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asus\Desktop\网易数据分析课程录制\【赠课5】函数入门：基础操作与常用函数\"/>
    </mc:Choice>
  </mc:AlternateContent>
  <xr:revisionPtr revIDLastSave="0" documentId="13_ncr:1_{F830ED7B-34E3-4384-97B7-213479C623F8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【函数基础操作】" sheetId="1" r:id="rId1"/>
    <sheet name="【排名  极值】" sheetId="3" r:id="rId2"/>
    <sheet name="【counta和averagea】" sheetId="4" r:id="rId3"/>
    <sheet name="【count和average函数实战】" sheetId="2" r:id="rId4"/>
  </sheets>
  <externalReferences>
    <externalReference r:id="rId5"/>
  </externalReferences>
  <definedNames>
    <definedName name="_xlnm._FilterDatabase" localSheetId="3" hidden="1">【count和average函数实战】!$A$1:$Q$8569</definedName>
    <definedName name="_xlchart.v2.10" hidden="1">#REF!</definedName>
    <definedName name="_xlchart.v2.11" hidden="1">#REF!</definedName>
    <definedName name="_xlchart.v2.4" hidden="1">#REF!</definedName>
    <definedName name="_xlchart.v2.5" hidden="1">#REF!</definedName>
    <definedName name="_xlchart.v2.6" hidden="1">#REF!</definedName>
    <definedName name="_xlchart.v2.7" hidden="1">#REF!</definedName>
    <definedName name="_xlchart.v2.8" hidden="1">#REF!</definedName>
    <definedName name="_xlchart.v2.9" hidden="1">#REF!</definedName>
    <definedName name="数据源">OFFSET([1]【Sum实战】!$A$1,0,0,COUNTA([1]【Sum实战】!$A:$A),COUNTA([1]【Sum实战】!$1:$1))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8" i="1" l="1"/>
  <c r="E18" i="1"/>
  <c r="A12" i="1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sharedStrings.xml><?xml version="1.0" encoding="utf-8"?>
<sst xmlns="http://schemas.openxmlformats.org/spreadsheetml/2006/main" count="85738" uniqueCount="2427">
  <si>
    <t>BA520</t>
  </si>
  <si>
    <t>A602</t>
  </si>
  <si>
    <t>BA611t</t>
  </si>
  <si>
    <t>荣耀Play3</t>
  </si>
  <si>
    <t>魅族 X8</t>
  </si>
  <si>
    <t>手机型号</t>
    <phoneticPr fontId="2" type="noConversion"/>
  </si>
  <si>
    <t>单价</t>
    <phoneticPr fontId="2" type="noConversion"/>
  </si>
  <si>
    <t>1月销量</t>
    <phoneticPr fontId="2" type="noConversion"/>
  </si>
  <si>
    <t>2月销量</t>
    <phoneticPr fontId="2" type="noConversion"/>
  </si>
  <si>
    <t>3月销量</t>
    <phoneticPr fontId="2" type="noConversion"/>
  </si>
  <si>
    <t>1月营收</t>
    <phoneticPr fontId="2" type="noConversion"/>
  </si>
  <si>
    <t>2月营收</t>
    <phoneticPr fontId="2" type="noConversion"/>
  </si>
  <si>
    <t>3月营收</t>
    <phoneticPr fontId="2" type="noConversion"/>
  </si>
  <si>
    <t>相对引用</t>
    <phoneticPr fontId="2" type="noConversion"/>
  </si>
  <si>
    <t>绝对引用</t>
    <phoneticPr fontId="2" type="noConversion"/>
  </si>
  <si>
    <t>日期</t>
    <phoneticPr fontId="10" type="noConversion"/>
  </si>
  <si>
    <t>订单等级</t>
    <phoneticPr fontId="10" type="noConversion"/>
  </si>
  <si>
    <t>销售额</t>
    <phoneticPr fontId="10" type="noConversion"/>
  </si>
  <si>
    <t>折扣点</t>
    <phoneticPr fontId="10" type="noConversion"/>
  </si>
  <si>
    <t>运输方式</t>
    <phoneticPr fontId="10" type="noConversion"/>
  </si>
  <si>
    <t>利润</t>
    <phoneticPr fontId="10" type="noConversion"/>
  </si>
  <si>
    <t>单价</t>
    <phoneticPr fontId="10" type="noConversion"/>
  </si>
  <si>
    <t>运输成本</t>
    <phoneticPr fontId="10" type="noConversion"/>
  </si>
  <si>
    <t>区域</t>
  </si>
  <si>
    <t>省份</t>
    <phoneticPr fontId="10" type="noConversion"/>
  </si>
  <si>
    <t>城市</t>
    <phoneticPr fontId="10" type="noConversion"/>
  </si>
  <si>
    <t>产品类别</t>
    <phoneticPr fontId="10" type="noConversion"/>
  </si>
  <si>
    <t>产品子类别</t>
    <phoneticPr fontId="10" type="noConversion"/>
  </si>
  <si>
    <t>产品名称</t>
    <phoneticPr fontId="10" type="noConversion"/>
  </si>
  <si>
    <t>产品包箱</t>
    <phoneticPr fontId="10" type="noConversion"/>
  </si>
  <si>
    <t>李鹏晨</t>
  </si>
  <si>
    <t>低级</t>
  </si>
  <si>
    <t>火车</t>
  </si>
  <si>
    <t>华北</t>
  </si>
  <si>
    <t>河北</t>
  </si>
  <si>
    <t>石家庄</t>
  </si>
  <si>
    <t>办公用品</t>
  </si>
  <si>
    <t>容器，箱子</t>
  </si>
  <si>
    <t>Eldon Base for stackable storage shelf, platinum</t>
  </si>
  <si>
    <t>大型箱子</t>
  </si>
  <si>
    <t>所有订单数</t>
    <phoneticPr fontId="14" type="noConversion"/>
  </si>
  <si>
    <t>Count(A)函数</t>
    <phoneticPr fontId="14" type="noConversion"/>
  </si>
  <si>
    <t>王勇民</t>
  </si>
  <si>
    <t>其它</t>
  </si>
  <si>
    <t>华南</t>
  </si>
  <si>
    <t>河南</t>
  </si>
  <si>
    <t>郑州</t>
  </si>
  <si>
    <t>剪刀，尺子，锯</t>
  </si>
  <si>
    <t>Kleencut® Forged Office Shears by Acme United Corporation</t>
  </si>
  <si>
    <t>小型包裹</t>
  </si>
  <si>
    <t>姚文文</t>
  </si>
  <si>
    <t>高级</t>
  </si>
  <si>
    <t>广东</t>
  </si>
  <si>
    <t>汕头</t>
  </si>
  <si>
    <t>家具产品</t>
  </si>
  <si>
    <t>办公装饰品</t>
  </si>
  <si>
    <t>Tenex Contemporary Contur Chairmats for Low and Medium Pile Carpet, Computer, 39" x 49"</t>
  </si>
  <si>
    <t>中型箱子</t>
  </si>
  <si>
    <t>大卡</t>
  </si>
  <si>
    <t>内蒙古</t>
  </si>
  <si>
    <t>呼和浩特</t>
  </si>
  <si>
    <t>桌子</t>
  </si>
  <si>
    <t>KI Conference Tables</t>
  </si>
  <si>
    <t>巨型纸箱</t>
  </si>
  <si>
    <t>技术产品</t>
  </si>
  <si>
    <t>电话通信产品</t>
  </si>
  <si>
    <t>Bell Sonecor JB700 Caller ID</t>
  </si>
  <si>
    <t>河北省订单数</t>
    <phoneticPr fontId="14" type="noConversion"/>
  </si>
  <si>
    <t>Countif函数</t>
    <phoneticPr fontId="14" type="noConversion"/>
  </si>
  <si>
    <t>东北</t>
  </si>
  <si>
    <t>辽宁</t>
  </si>
  <si>
    <t>沈阳</t>
  </si>
  <si>
    <t>电脑配件</t>
  </si>
  <si>
    <t>Imation 3.5 IBM Diskettes, 10/Box</t>
  </si>
  <si>
    <t>高亮平</t>
  </si>
  <si>
    <t>吉林</t>
  </si>
  <si>
    <t>长春</t>
  </si>
  <si>
    <t>笔、美术用品</t>
  </si>
  <si>
    <t>Dixon Ticonderoga Core-Lock Colored Pencils</t>
  </si>
  <si>
    <t>打包纸袋</t>
  </si>
  <si>
    <t>湖北</t>
  </si>
  <si>
    <t>武汉</t>
  </si>
  <si>
    <t>CF 688</t>
  </si>
  <si>
    <t>小型箱子</t>
  </si>
  <si>
    <t>张国华</t>
  </si>
  <si>
    <t>中级</t>
  </si>
  <si>
    <t>6162i</t>
  </si>
  <si>
    <t>Countifs函数</t>
    <phoneticPr fontId="14" type="noConversion"/>
  </si>
  <si>
    <t>李丹</t>
  </si>
  <si>
    <t>广西</t>
  </si>
  <si>
    <t>南宁</t>
  </si>
  <si>
    <t>Verbatim DVD-R, 4.7GB, Spindle, WE, Blank, Ink Jet/Thermal, 20/Spindle</t>
  </si>
  <si>
    <t>谢浩谦</t>
  </si>
  <si>
    <t>北京</t>
  </si>
  <si>
    <t xml:space="preserve">北京 </t>
  </si>
  <si>
    <t>Newell 340</t>
  </si>
  <si>
    <t>何春梅</t>
  </si>
  <si>
    <t>西北</t>
  </si>
  <si>
    <t>甘肃</t>
  </si>
  <si>
    <t>兰州</t>
  </si>
  <si>
    <t>Advantus Employee of the Month Certificate Frame, 11 x 13-1/2</t>
  </si>
  <si>
    <t>空运</t>
  </si>
  <si>
    <t>Newell 308</t>
  </si>
  <si>
    <t>河北省技术产品
包箱为小型箱子
2012年的销售数</t>
    <phoneticPr fontId="14" type="noConversion"/>
  </si>
  <si>
    <t>张瑶培</t>
  </si>
  <si>
    <t>橡皮筋</t>
  </si>
  <si>
    <t>Super Bands, 12/Pack</t>
  </si>
  <si>
    <t>3285</t>
  </si>
  <si>
    <t>杨国宇</t>
  </si>
  <si>
    <t>SC7868i</t>
  </si>
  <si>
    <t>胡晓</t>
  </si>
  <si>
    <t>西南</t>
  </si>
  <si>
    <t>四川</t>
  </si>
  <si>
    <t>成都</t>
  </si>
  <si>
    <t>标签</t>
  </si>
  <si>
    <t>Avery 498</t>
  </si>
  <si>
    <t>黄东亮</t>
  </si>
  <si>
    <t>纸张</t>
  </si>
  <si>
    <t>Xerox 217</t>
  </si>
  <si>
    <t>张宏波</t>
  </si>
  <si>
    <t>海南</t>
  </si>
  <si>
    <t>海口</t>
  </si>
  <si>
    <t>办公机器</t>
  </si>
  <si>
    <t>Canon MP41DH Printing Calculator</t>
  </si>
  <si>
    <t>华东</t>
  </si>
  <si>
    <t>福建</t>
  </si>
  <si>
    <t>福州</t>
  </si>
  <si>
    <t>Computer Printout Paper with Letter-Trim Perforations</t>
  </si>
  <si>
    <t>天津</t>
  </si>
  <si>
    <t xml:space="preserve">天津 </t>
  </si>
  <si>
    <t>Filing/Storage Totes and Swivel Casters</t>
  </si>
  <si>
    <t>杨肇辉</t>
  </si>
  <si>
    <t>新疆</t>
  </si>
  <si>
    <t>乌鲁木齐</t>
  </si>
  <si>
    <t>书架</t>
  </si>
  <si>
    <t>O'Sullivan Elevations Bookcase, Cherry Finish</t>
  </si>
  <si>
    <t>王震环</t>
  </si>
  <si>
    <t>Safco Industrial Wire Shelving</t>
  </si>
  <si>
    <t>齐千郡</t>
  </si>
  <si>
    <t>Imation 3.5", DISKETTE 44766 HGHLD3.52HD/FM, 10/Pack</t>
  </si>
  <si>
    <t>何春香</t>
  </si>
  <si>
    <t>i270</t>
  </si>
  <si>
    <t>吴磊</t>
  </si>
  <si>
    <t>Eldon Simplefile® Box Office®</t>
  </si>
  <si>
    <t>谢中明</t>
  </si>
  <si>
    <t>山西</t>
  </si>
  <si>
    <t>太原</t>
  </si>
  <si>
    <t>Master Caster Door Stop, Large Neon Orange</t>
  </si>
  <si>
    <t>Serrated Blade or Curved Handle Hand Letter Openers</t>
  </si>
  <si>
    <t xml:space="preserve">吕果 </t>
  </si>
  <si>
    <t>Dixon Ticonderoga Core-Lock Colored Pencils, 48-Color Set</t>
  </si>
  <si>
    <t>高微微</t>
  </si>
  <si>
    <t>Acme® 8" Straight Scissors</t>
  </si>
  <si>
    <t>鲁鸣</t>
  </si>
  <si>
    <t>Eldon® Expressions™ Wood Desk Accessories, Oak</t>
  </si>
  <si>
    <t>Xerox 193</t>
  </si>
  <si>
    <t>Decoflex Hanging Personal Folder File, Blue</t>
  </si>
  <si>
    <t>张子强</t>
  </si>
  <si>
    <t>上海</t>
  </si>
  <si>
    <t>Newell 314</t>
  </si>
  <si>
    <t>浙江</t>
  </si>
  <si>
    <t>杭州</t>
  </si>
  <si>
    <t>Prismacolor Color Pencil Set</t>
  </si>
  <si>
    <t>张新</t>
  </si>
  <si>
    <t>安徽</t>
  </si>
  <si>
    <t>合肥</t>
  </si>
  <si>
    <t>Nu-Dell Executive Frame</t>
  </si>
  <si>
    <t>俞勇浩</t>
  </si>
  <si>
    <t>江西</t>
  </si>
  <si>
    <t>南昌</t>
  </si>
  <si>
    <t xml:space="preserve">夹子及其配件 </t>
  </si>
  <si>
    <t>GBC Standard Therm-A-Bind Covers</t>
  </si>
  <si>
    <t xml:space="preserve">赵晓平 </t>
  </si>
  <si>
    <t>Boston 1645 Deluxe Heavier-Duty Electric Pencil Sharpener</t>
  </si>
  <si>
    <t>StarTAC ST7762</t>
  </si>
  <si>
    <t>张善轩</t>
  </si>
  <si>
    <t>家用电器</t>
  </si>
  <si>
    <t>Hoover WindTunnel™ Plus Canister Vacuum</t>
  </si>
  <si>
    <t>王燕生</t>
  </si>
  <si>
    <t>Xerox 1984</t>
  </si>
  <si>
    <t>Tennsco Lockers, Gray</t>
  </si>
  <si>
    <t>巨型木箱</t>
  </si>
  <si>
    <t>Wilson Jones® Four-Pocket Poly Binders</t>
  </si>
  <si>
    <t>范钺</t>
  </si>
  <si>
    <t>7160</t>
  </si>
  <si>
    <t>武骏</t>
  </si>
  <si>
    <t>3M Organizer Strips</t>
  </si>
  <si>
    <t>周毅</t>
  </si>
  <si>
    <t>Rediform Wirebound "Phone Memo" Message Book, 11 x 5-3/4</t>
  </si>
  <si>
    <t>信封</t>
  </si>
  <si>
    <t>#6 3/4 Gummed Flap White Envelopes</t>
  </si>
  <si>
    <t>谢平安</t>
  </si>
  <si>
    <t>1.7 Cubic Foot Compact "Cube" Office Refrigerators</t>
  </si>
  <si>
    <t>Cardinal Slant-D® Ring Binder, Heavy Gauge Vinyl</t>
  </si>
  <si>
    <t>王志军</t>
  </si>
  <si>
    <t>陕西</t>
  </si>
  <si>
    <t>西安</t>
  </si>
  <si>
    <t>Fellowes Staxonsteel® Drawer Files</t>
  </si>
  <si>
    <t>李秋富</t>
  </si>
  <si>
    <t>I888 World Phone</t>
  </si>
  <si>
    <t>Xerox 1997</t>
  </si>
  <si>
    <t>高磊</t>
  </si>
  <si>
    <t>Staples Standard Envelopes</t>
  </si>
  <si>
    <t>Xerox 1964</t>
  </si>
  <si>
    <t>包小林</t>
  </si>
  <si>
    <t>VTech VT20-2481 2.4GHz Two-Line Phone System w/Answering Machine</t>
  </si>
  <si>
    <t>282</t>
  </si>
  <si>
    <t>郎雨生</t>
  </si>
  <si>
    <t>DXL™ Angle-View Binders with Locking Rings, Black</t>
  </si>
  <si>
    <t>Advantus Push Pins, Aluminum Head</t>
  </si>
  <si>
    <t>唐俊鹏</t>
  </si>
  <si>
    <t>Quartet Alpha® White Chalk, 12/Pack</t>
  </si>
  <si>
    <t>姚华</t>
  </si>
  <si>
    <t>Accessory4</t>
  </si>
  <si>
    <t>陆玉英</t>
  </si>
  <si>
    <t>黑龙江</t>
  </si>
  <si>
    <t>哈尔滨</t>
  </si>
  <si>
    <t>O'Sullivan 2-Shelf Heavy-Duty Bookcases</t>
  </si>
  <si>
    <t>80 Minute CD-R Spindle, 100/Pack - Staples</t>
  </si>
  <si>
    <t>孙婷露</t>
  </si>
  <si>
    <t>Bevis 36 x 72 Conference Tables</t>
  </si>
  <si>
    <t>张槟</t>
  </si>
  <si>
    <t>BPI Conference Tables</t>
  </si>
  <si>
    <t>宝艳</t>
  </si>
  <si>
    <t>Avery 501</t>
  </si>
  <si>
    <t>Avery Hi-Liter Pen Style Six-Color Fluorescent Set</t>
  </si>
  <si>
    <t>孙敏</t>
  </si>
  <si>
    <t>Harmony HEPA Quiet Air Purifiers</t>
  </si>
  <si>
    <t>杨光</t>
  </si>
  <si>
    <t>5190</t>
  </si>
  <si>
    <t>卢亚灵</t>
  </si>
  <si>
    <t>Hewlett-Packard cp1700 [D, PS] Series Color Inkjet Printers</t>
  </si>
  <si>
    <t>Hot File® 7-Pocket, Floor Stand</t>
  </si>
  <si>
    <t>王仲奇</t>
  </si>
  <si>
    <t>Xerox 190</t>
  </si>
  <si>
    <t>Xerox 1950</t>
  </si>
  <si>
    <t>湖南</t>
  </si>
  <si>
    <t>长沙</t>
  </si>
  <si>
    <t>iDENi80s</t>
  </si>
  <si>
    <t xml:space="preserve">孙果 </t>
  </si>
  <si>
    <t>田凤琴</t>
  </si>
  <si>
    <t>Panasonic KP-350BK Electric Pencil Sharpener with Auto Stop</t>
  </si>
  <si>
    <t>Hanging Personal Folder File</t>
  </si>
  <si>
    <t>高瑞昌</t>
  </si>
  <si>
    <t>Staples Bulk Pack Metal Binder Clips</t>
  </si>
  <si>
    <t>谢云</t>
  </si>
  <si>
    <t>636</t>
  </si>
  <si>
    <t>邱玉红</t>
  </si>
  <si>
    <t>R380</t>
  </si>
  <si>
    <t>周楠</t>
  </si>
  <si>
    <t>Belkin 6 Outlet Metallic Surge Strip</t>
  </si>
  <si>
    <t>杨玲玲</t>
  </si>
  <si>
    <t>椅子</t>
  </si>
  <si>
    <t>Lifetime Advantage™ Folding Chairs, 4/Carton</t>
  </si>
  <si>
    <t>谢愚舅</t>
  </si>
  <si>
    <t>Global Leather &amp; Oak Executive Chair, Burgundy</t>
  </si>
  <si>
    <t>郑则强</t>
  </si>
  <si>
    <t>Holmes HEPA Air Purifier</t>
  </si>
  <si>
    <t>西藏</t>
  </si>
  <si>
    <t>拉萨</t>
  </si>
  <si>
    <t>G.E. Longer-Life Indoor Recessed Floodlight Bulbs</t>
  </si>
  <si>
    <t>杨子梅</t>
  </si>
  <si>
    <t>Avery 481</t>
  </si>
  <si>
    <t>Xerox 1976</t>
  </si>
  <si>
    <t>V3682</t>
  </si>
  <si>
    <t>齐军</t>
  </si>
  <si>
    <t>Xerox 1922</t>
  </si>
  <si>
    <t>李青</t>
  </si>
  <si>
    <t>Xerox 195</t>
  </si>
  <si>
    <t>Portfile® Personal File Boxes</t>
  </si>
  <si>
    <t>艾楠丽</t>
  </si>
  <si>
    <t>Xerox 1928</t>
  </si>
  <si>
    <t>6190</t>
  </si>
  <si>
    <t xml:space="preserve">余伟 </t>
  </si>
  <si>
    <t>Angle-D Binders with Locking Rings, Label Holders</t>
  </si>
  <si>
    <t>SAFCO Mobile Desk Side File, Wire Frame</t>
  </si>
  <si>
    <t>高捷</t>
  </si>
  <si>
    <t>Nu-Dell Leatherette Frames</t>
  </si>
  <si>
    <t>Balt Split Level Computer Training Table</t>
  </si>
  <si>
    <t>李爽</t>
  </si>
  <si>
    <t>O'Sullivan Living Dimensions 2-Shelf Bookcases</t>
  </si>
  <si>
    <t>Xerox 1939</t>
  </si>
  <si>
    <t>张颖</t>
  </si>
  <si>
    <t>宁夏</t>
  </si>
  <si>
    <t>银川</t>
  </si>
  <si>
    <t>SAFCO Commercial Wire Shelving, Black</t>
  </si>
  <si>
    <t>吕大强</t>
  </si>
  <si>
    <t>Hon 4070 Series Pagoda™ Round Back Stacking Chairs</t>
  </si>
  <si>
    <t>贺晓晨</t>
  </si>
  <si>
    <t>GBC Binding covers</t>
  </si>
  <si>
    <t>包忠然</t>
  </si>
  <si>
    <t>Acme® Forged Steel Scissors with Black Enamel Handles</t>
  </si>
  <si>
    <t>周文龙</t>
  </si>
  <si>
    <t>Xerox 198</t>
  </si>
  <si>
    <t xml:space="preserve">朱正玉 </t>
  </si>
  <si>
    <t>Newell 326</t>
  </si>
  <si>
    <t>张小燕</t>
  </si>
  <si>
    <t>Avery Poly Binder Pockets</t>
  </si>
  <si>
    <t>Deflect-o EconoMat Studded, No Bevel Mat for Low Pile Carpeting</t>
  </si>
  <si>
    <t>Panasonic KX-P1150 Dot Matrix Printer</t>
  </si>
  <si>
    <t>牛莉丽</t>
  </si>
  <si>
    <t>Belkin 8 Outlet SurgeMaster II Gold Surge Protector with Phone Protection</t>
  </si>
  <si>
    <t>Xerox 23</t>
  </si>
  <si>
    <t>柳承刚</t>
  </si>
  <si>
    <t>Avery White Multi-Purpose Labels</t>
  </si>
  <si>
    <t>胡张坤</t>
  </si>
  <si>
    <t>Hewlett-Packard Deskjet 5550 Color Inkjet Printer</t>
  </si>
  <si>
    <t>高凤</t>
  </si>
  <si>
    <t>Xerox 1949</t>
  </si>
  <si>
    <t>汤雪梅</t>
  </si>
  <si>
    <t>Bionaire 99.97% HEPA Air Cleaner</t>
  </si>
  <si>
    <t>杨高宁</t>
  </si>
  <si>
    <t>Talkabout T8367</t>
  </si>
  <si>
    <t>任锦升</t>
  </si>
  <si>
    <t>Hoover Portapower™ Portable Vacuum</t>
  </si>
  <si>
    <t>周勇</t>
  </si>
  <si>
    <t>Bagged Rubber Bands</t>
  </si>
  <si>
    <t>Dixon Prang® Watercolor Pencils, 10-Color Set with Brush</t>
  </si>
  <si>
    <t>肖明</t>
  </si>
  <si>
    <t>Jiangsu</t>
  </si>
  <si>
    <t>南京</t>
  </si>
  <si>
    <t>Rogers Handheld Barrel Pencil Sharpener</t>
  </si>
  <si>
    <t>李丹丹</t>
  </si>
  <si>
    <t>Fellowes Binding Cases</t>
  </si>
  <si>
    <t>AT&amp;T Black Trimline Phone, Model 210</t>
  </si>
  <si>
    <t>李杰</t>
  </si>
  <si>
    <t>DAX Value U-Channel Document Frames, Easel Back</t>
  </si>
  <si>
    <t>陶蔚红</t>
  </si>
  <si>
    <t>Xerox 1980</t>
  </si>
  <si>
    <t>Advantus Map Pennant Flags and Round Head Tacks</t>
  </si>
  <si>
    <t>马明亮</t>
  </si>
  <si>
    <t>朱先</t>
  </si>
  <si>
    <t>GBC ProClick Spines for 32-Hole Punch</t>
  </si>
  <si>
    <t>杨波</t>
  </si>
  <si>
    <t>张治灿</t>
  </si>
  <si>
    <t>Avery Hi-Liter® Smear-Safe Highlighters</t>
  </si>
  <si>
    <t>李嘉伟</t>
  </si>
  <si>
    <t>宜宾</t>
  </si>
  <si>
    <t>DS/HD IBM Formatted Diskettes, 200/Pack - Staples</t>
  </si>
  <si>
    <t>Tripp Lite Isotel 8 Ultra 8 Outlet Metal Surge</t>
  </si>
  <si>
    <t>唐晨</t>
  </si>
  <si>
    <t>Eldon Expressions Mahogany Wood Desk Collection</t>
  </si>
  <si>
    <t>包若男</t>
  </si>
  <si>
    <t>刘珩</t>
  </si>
  <si>
    <t>Logitech Access Keyboard</t>
  </si>
  <si>
    <t>Hon 94000 Series Round Tables</t>
  </si>
  <si>
    <t>王霞</t>
  </si>
  <si>
    <t>Avery Trapezoid Ring Binder, 3" Capacity, Black, 1040 sheets</t>
  </si>
  <si>
    <t>王海燕</t>
  </si>
  <si>
    <t>Kensington 7 Outlet MasterPiece Power Center with Fax/Phone Line Protection</t>
  </si>
  <si>
    <t>贺军翔</t>
  </si>
  <si>
    <t>Belkin 8 Outlet SurgeMaster II Gold Surge Protector</t>
  </si>
  <si>
    <t>DAX Clear Channel Poster Frame</t>
  </si>
  <si>
    <t>赵磊</t>
  </si>
  <si>
    <t>Micro Innovations 104 Keyboard</t>
  </si>
  <si>
    <t>殷子涵</t>
  </si>
  <si>
    <t>Adams Phone Message Book, 200 Message Capacity, 8 1/16” x 11”</t>
  </si>
  <si>
    <t>邱梦霞</t>
  </si>
  <si>
    <t>Wilson Jones 1" Hanging DublLock® Ring Binders</t>
  </si>
  <si>
    <t>肖杜明</t>
  </si>
  <si>
    <t>DAX Wood Document Frame.</t>
  </si>
  <si>
    <t>蔡松敏</t>
  </si>
  <si>
    <t>GBC Therma-A-Bind 250T Electric Binding System</t>
  </si>
  <si>
    <t>Holmes Replacement Filter for HEPA Air Cleaner, Very Large Room, HEPA Filter</t>
  </si>
  <si>
    <t>邓宇</t>
  </si>
  <si>
    <t>Avery Hanging File Binders</t>
  </si>
  <si>
    <t>Peel-Off® China Markers</t>
  </si>
  <si>
    <t>张婷莹</t>
  </si>
  <si>
    <t>Global Adaptabilities™ Conference Tables</t>
  </si>
  <si>
    <t>张俊鹏</t>
  </si>
  <si>
    <t>Sharp EL500L Fraction Calculator</t>
  </si>
  <si>
    <t>Panasonic KP-150 Electric Pencil Sharpener</t>
  </si>
  <si>
    <t>Hon Rectangular Conference Tables</t>
  </si>
  <si>
    <t>张武艺</t>
  </si>
  <si>
    <t>OIC Colored Binder Clips, Assorted Sizes</t>
  </si>
  <si>
    <t>Ultra Commercial Grade Dual Valve Door Closer</t>
  </si>
  <si>
    <t>吴天骄</t>
  </si>
  <si>
    <t>#10-4 1/8" x 9 1/2" Premium Diagonal Seam Envelopes</t>
  </si>
  <si>
    <t>林钊</t>
  </si>
  <si>
    <t>Fellowes Stor/Drawer® Steel Plus™ Storage Drawers</t>
  </si>
  <si>
    <t>李绵红</t>
  </si>
  <si>
    <t>Hon Metal Bookcases, Putty</t>
  </si>
  <si>
    <t>Memorex 4.7GB DVD+RW, 3/Pack</t>
  </si>
  <si>
    <t>C-Line Peel &amp; Stick Add-On Filing Pockets, 8-3/4 x 5-1/8, 10/Pack</t>
  </si>
  <si>
    <t>谢大智</t>
  </si>
  <si>
    <t>Imation 3.5", RTS 247544 3M 3.5 DSDD, 10/Pack</t>
  </si>
  <si>
    <t>周皓云</t>
  </si>
  <si>
    <t>T28 WORLD</t>
  </si>
  <si>
    <t>Wilson Jones 14 Line Acrylic Coated Pressboard Data Binders</t>
  </si>
  <si>
    <t>Wilson Jones Ledger-Size, Piano-Hinge Binder, 2", Blue</t>
  </si>
  <si>
    <t>郑帅</t>
  </si>
  <si>
    <t>Vinyl Sectional Post Binders</t>
  </si>
  <si>
    <t xml:space="preserve">张槟   </t>
  </si>
  <si>
    <t>Microsoft Internet Keyboard</t>
  </si>
  <si>
    <t>魏学涛</t>
  </si>
  <si>
    <t>Rubbermaid ClusterMat Chairmats, Mat Size- 66" x 60", Lip 20" x 11" -90 Degree Angle</t>
  </si>
  <si>
    <t>闯洋</t>
  </si>
  <si>
    <t>Hon 4-Shelf Metal Bookcases</t>
  </si>
  <si>
    <t>张子良</t>
  </si>
  <si>
    <t>Lesro Sheffield Collection Coffee Table, End Table, Center Table, Corner Table</t>
  </si>
  <si>
    <t>Avery 493</t>
  </si>
  <si>
    <t>邓鹏</t>
  </si>
  <si>
    <t>Xerox 194</t>
  </si>
  <si>
    <t>韩北平</t>
  </si>
  <si>
    <t>展大鹏</t>
  </si>
  <si>
    <t>Grip Seal Envelopes</t>
  </si>
  <si>
    <t>贾明波</t>
  </si>
  <si>
    <t>重庆</t>
  </si>
  <si>
    <t>Barricks 18" x 48" Non-Folding Utility Table with Bottom Storage Shelf</t>
  </si>
  <si>
    <t>黄锦悦</t>
  </si>
  <si>
    <t>胡庆平</t>
  </si>
  <si>
    <t>Holmes Odor Grabber</t>
  </si>
  <si>
    <t>韩庆峰</t>
  </si>
  <si>
    <t>Avery Printable Repositionable Plastic Tabs</t>
  </si>
  <si>
    <t>GBC DocuBind TL300 Electric Binding System</t>
  </si>
  <si>
    <t>Storex DuraTech Recycled Plastic Frosted Binders</t>
  </si>
  <si>
    <t>杨婷</t>
  </si>
  <si>
    <t>Xerox 1981</t>
  </si>
  <si>
    <t>王国宇</t>
  </si>
  <si>
    <t>Fellowes Bankers Box™ Stor/Drawer® Steel Plus™</t>
  </si>
  <si>
    <t>李宇震</t>
  </si>
  <si>
    <t>Memorex 4.7GB DVD-RAM, 3/Pack</t>
  </si>
  <si>
    <t>Prang Drawing Pencil Set</t>
  </si>
  <si>
    <t>邹翔然</t>
  </si>
  <si>
    <t>潮州</t>
  </si>
  <si>
    <t>BoxOffice By Design Rectangular and Half-Moon Meeting Room Tables</t>
  </si>
  <si>
    <t>马立强</t>
  </si>
  <si>
    <t>Wilson Jones Impact Binders</t>
  </si>
  <si>
    <t>Accessory20</t>
  </si>
  <si>
    <t>赵若男</t>
  </si>
  <si>
    <t>Eldon Antistatic Chair Mats for Low to Medium Pile Carpets</t>
  </si>
  <si>
    <t>李云峰</t>
  </si>
  <si>
    <t>Xerox 1973</t>
  </si>
  <si>
    <t>黄锦凯</t>
  </si>
  <si>
    <t>Wirebound Message Books, Four 2 3/4" x 5" Forms per Page, 600 Sets per Book</t>
  </si>
  <si>
    <t>韩民</t>
  </si>
  <si>
    <t>邹捷瑜</t>
  </si>
  <si>
    <t>g520</t>
  </si>
  <si>
    <t>LX 788</t>
  </si>
  <si>
    <t>杨成</t>
  </si>
  <si>
    <t>Bush Westfield Collection Bookcases, Fully Assembled</t>
  </si>
  <si>
    <t>杨雅</t>
  </si>
  <si>
    <t>贵州</t>
  </si>
  <si>
    <t>贵阳</t>
  </si>
  <si>
    <t>胡昆</t>
  </si>
  <si>
    <t>Accessory37</t>
  </si>
  <si>
    <t>Ibico Presentation Index for Binding Systems</t>
  </si>
  <si>
    <t>Bush Cubix Collection Bookcases, Fully Assembled</t>
  </si>
  <si>
    <t>马明丽</t>
  </si>
  <si>
    <t>Deluxe Rollaway Locking File with Drawer</t>
  </si>
  <si>
    <t>魏礼岩</t>
  </si>
  <si>
    <t>Rush Hierlooms Collection Rich Wood Bookcases</t>
  </si>
  <si>
    <t>5165</t>
  </si>
  <si>
    <t>Avery 52</t>
  </si>
  <si>
    <t>Plymouth Boxed Rubber Bands by Plymouth</t>
  </si>
  <si>
    <t xml:space="preserve">王一楠 </t>
  </si>
  <si>
    <t>Balt Solid Wood Rectangular Table</t>
  </si>
  <si>
    <t>韩嫕</t>
  </si>
  <si>
    <t>Executive Impressions 12" Wall Clock</t>
  </si>
  <si>
    <t>冯丽冰</t>
  </si>
  <si>
    <t>复印机、传真机</t>
  </si>
  <si>
    <t>Canon PC1060 Personal Laser Copier</t>
  </si>
  <si>
    <t>Okidata ML395C Color Dot Matrix Printer</t>
  </si>
  <si>
    <t>Advantus Rolling Storage Box</t>
  </si>
  <si>
    <t>Xerox 1979</t>
  </si>
  <si>
    <t>赵和</t>
  </si>
  <si>
    <t>GBC DocuBind 200 Manual Binding Machine</t>
  </si>
  <si>
    <t>Staples SlimLine Pencil Sharpener</t>
  </si>
  <si>
    <t>刘湘琪</t>
  </si>
  <si>
    <t>SC-3160</t>
  </si>
  <si>
    <t>崔云浩</t>
  </si>
  <si>
    <t>TDK 4.7GB DVD-R</t>
  </si>
  <si>
    <t>郭玲玲</t>
  </si>
  <si>
    <t>Adesso Programmable 142-Key Keyboard</t>
  </si>
  <si>
    <t>鲁菁菁</t>
  </si>
  <si>
    <t>Peel &amp; Stick Add-On Corner Pockets</t>
  </si>
  <si>
    <t>金相城</t>
  </si>
  <si>
    <t>T60</t>
  </si>
  <si>
    <t>祁新平</t>
  </si>
  <si>
    <t>GBC Pre-Punched Binding Paper, Plastic, White, 8-1/2" x 11"</t>
  </si>
  <si>
    <t>Maxell 3.5" DS/HD IBM-Formatted Diskettes, 10/Pack</t>
  </si>
  <si>
    <t>周飞</t>
  </si>
  <si>
    <t>Newell 335</t>
  </si>
  <si>
    <t>Belkin Premiere Surge Master II 8-outlet surge protector</t>
  </si>
  <si>
    <t>Steel Personal Filing/Posting Tote</t>
  </si>
  <si>
    <t>姜昊</t>
  </si>
  <si>
    <t>Global Push Button Manager's Chair, Indigo</t>
  </si>
  <si>
    <t>Rediform S.O.S. Phone Message Books</t>
  </si>
  <si>
    <t>8860</t>
  </si>
  <si>
    <t>郝磊</t>
  </si>
  <si>
    <t>Eldon Expressions™ Desk Accessory, Wood Pencil Holder, Oak</t>
  </si>
  <si>
    <t>刘波</t>
  </si>
  <si>
    <t>胡炎</t>
  </si>
  <si>
    <t>山东</t>
  </si>
  <si>
    <t>菏泽</t>
  </si>
  <si>
    <t>Belkin OmniView SE Rackmount Kit</t>
  </si>
  <si>
    <t>US Robotics 56K V.92 External Faxmodem</t>
  </si>
  <si>
    <t>Boston School Pro Electric Pencil Sharpener, 1670</t>
  </si>
  <si>
    <t>方明刚</t>
  </si>
  <si>
    <t>Strathmore Photo Mount Cards</t>
  </si>
  <si>
    <t>刘宇飞</t>
  </si>
  <si>
    <t>Accessory35</t>
  </si>
  <si>
    <t xml:space="preserve">隋作鑫 </t>
  </si>
  <si>
    <t>GBC ProClick™ 150 Presentation Binding System</t>
  </si>
  <si>
    <t>谢鸣</t>
  </si>
  <si>
    <t>#10 Self-Seal White Envelopes</t>
  </si>
  <si>
    <t>魏松敏</t>
  </si>
  <si>
    <t>Imation Printable White 80 Minute CD-R Spindle, 50/Pack</t>
  </si>
  <si>
    <t>Dana Halogen Swing-Arm Architect Lamp</t>
  </si>
  <si>
    <t>曹苑</t>
  </si>
  <si>
    <t>SANFORD Liquid Accent™ Tank-Style Highlighters</t>
  </si>
  <si>
    <t>Canon PC940 Copier</t>
  </si>
  <si>
    <t>吴媛</t>
  </si>
  <si>
    <t>Wausau Papers Astrobrights® Colored Envelopes</t>
  </si>
  <si>
    <t>Southworth 25% Cotton Antique Laid Paper &amp; Envelopes</t>
  </si>
  <si>
    <t>Tenex Personal Project File with Scoop Front Design, Black</t>
  </si>
  <si>
    <t>赵宣宣</t>
  </si>
  <si>
    <t>GBC Standard Plastic Binding Systems' Combs</t>
  </si>
  <si>
    <t>唐晋伟</t>
  </si>
  <si>
    <t>ACCOHIDE® 3-Ring Binder, Blue, 1"</t>
  </si>
  <si>
    <t>田俊霞</t>
  </si>
  <si>
    <t>Hon Comfortask® Task/Swivel Chairs</t>
  </si>
  <si>
    <t>Xerox 204</t>
  </si>
  <si>
    <t>徐丽</t>
  </si>
  <si>
    <t>SAFCO Arco Folding Chair</t>
  </si>
  <si>
    <t>Eldon® 200 Class™ Desk Accessories, Burgundy</t>
  </si>
  <si>
    <t>Newell 310</t>
  </si>
  <si>
    <t>王丽霞</t>
  </si>
  <si>
    <t>Hammermill CopyPlus Copy Paper (20Lb. and 84 Bright)</t>
  </si>
  <si>
    <t>李维晗</t>
  </si>
  <si>
    <t>Wilson Jones Suede Grain Vinyl Binders</t>
  </si>
  <si>
    <t>中级</t>
    <phoneticPr fontId="10" type="noConversion"/>
  </si>
  <si>
    <t>Sauder Facets Collection Locker/File Cabinet, Sky Alder Finish</t>
  </si>
  <si>
    <t>胡小鱼</t>
  </si>
  <si>
    <t>Euro Pro Shark Stick Mini Vacuum</t>
  </si>
  <si>
    <t>M3682</t>
  </si>
  <si>
    <t>StarTAC 6500</t>
  </si>
  <si>
    <t>侯丽</t>
  </si>
  <si>
    <t>DIXON Ticonderoga® Erasable Checking Pencils</t>
  </si>
  <si>
    <t>武磊</t>
  </si>
  <si>
    <t>Bevis Steel Folding Chairs</t>
  </si>
  <si>
    <t>包广宇</t>
  </si>
  <si>
    <t>Hon iLevel™ Computer Training Table</t>
  </si>
  <si>
    <t>Newell® 3-Hole Punched Plastic Slotted Magazine Holders for Binders</t>
  </si>
  <si>
    <t>杨晓倩</t>
  </si>
  <si>
    <t>赵涛</t>
  </si>
  <si>
    <t>Xerox 207</t>
  </si>
  <si>
    <t>Xerox 216</t>
  </si>
  <si>
    <t>夏平安</t>
  </si>
  <si>
    <t>Sanyo Counter Height Refrigerator with Crisper, 3.6 Cubic Foot, Stainless Steel/Black</t>
  </si>
  <si>
    <t xml:space="preserve">孙一楠 </t>
  </si>
  <si>
    <t>Memorex 80 Minute CD-R, 30/Pack</t>
  </si>
  <si>
    <t>胡冲</t>
  </si>
  <si>
    <t>孙利建</t>
  </si>
  <si>
    <t>Heavy-Duty E-Z-D® Binders</t>
  </si>
  <si>
    <t>余勇进</t>
  </si>
  <si>
    <t>Epson LQ-870 Dot Matrix Printer</t>
  </si>
  <si>
    <t>Xerox 1978</t>
  </si>
  <si>
    <t xml:space="preserve">张翼 </t>
  </si>
  <si>
    <t>谢菲菲</t>
  </si>
  <si>
    <t>3M Polarizing Task Lamp with Clamp Arm, Light Gray</t>
  </si>
  <si>
    <t>Okidata ML320 Series Turbo Dot Matrix Printers</t>
  </si>
  <si>
    <t>罗晓娜</t>
  </si>
  <si>
    <t>Imation 3.5, DISKETTE 44766 HGHLD3.52HD/FM, 10/Pack</t>
  </si>
  <si>
    <t>胡羽</t>
  </si>
  <si>
    <t>Hoover Replacement Belts For Soft Guard™ &amp; Commercial Ltweight Upright Vacs, 2/Pk</t>
  </si>
  <si>
    <t>Keytronic 105-Key Spanish Keyboard</t>
  </si>
  <si>
    <t>青海</t>
  </si>
  <si>
    <t>西宁</t>
  </si>
  <si>
    <t>Xerox 1952</t>
  </si>
  <si>
    <t>3.6 Cubic Foot Counter Height Office Refrigerator</t>
  </si>
  <si>
    <t>Tripp Lite Isotel 6 Outlet Surge Protector with Fax/Modem Protection</t>
  </si>
  <si>
    <t>邓娟丽</t>
  </si>
  <si>
    <t>Avery 482</t>
  </si>
  <si>
    <t>张祺丽</t>
  </si>
  <si>
    <t>ACCOHIDE® Binder by Acco</t>
  </si>
  <si>
    <t>张静</t>
  </si>
  <si>
    <t>Global Troy™ Executive Leather Low-Back Tilter</t>
  </si>
  <si>
    <t>余春涛</t>
  </si>
  <si>
    <t>Seth Thomas 12" Clock w/ Goldtone Case</t>
  </si>
  <si>
    <t xml:space="preserve">左鹏  </t>
  </si>
  <si>
    <t>#10- 4 1/8" x 9 1/2" Recycled Envelopes</t>
  </si>
  <si>
    <t>吴林林</t>
  </si>
  <si>
    <t>Xerox 1893</t>
  </si>
  <si>
    <t>Xerox 1908</t>
  </si>
  <si>
    <t>SAFCO Folding Chair Trolley</t>
  </si>
  <si>
    <t>王雨</t>
  </si>
  <si>
    <t>Avery 479</t>
  </si>
  <si>
    <t>Belkin 8 Outlet Surge Protector</t>
  </si>
  <si>
    <t>王晓</t>
  </si>
  <si>
    <t>Eldon Expressions Punched Metal &amp; Wood Desk Accessories, Black &amp; Cherry</t>
  </si>
  <si>
    <t>华婷露</t>
  </si>
  <si>
    <t>Bevis Round Conference Table Top, X-Base</t>
  </si>
  <si>
    <t>Avery 494</t>
  </si>
  <si>
    <t>OIC Bulk Pack Metal Binder Clips</t>
  </si>
  <si>
    <t>任锦凯</t>
  </si>
  <si>
    <t>Ibico Covers for Plastic or Wire Binding Elements</t>
  </si>
  <si>
    <t>Hewlett Packard LaserJet 3310 Copier</t>
  </si>
  <si>
    <t>邢罡</t>
  </si>
  <si>
    <t>Wirebound Voice Message Log Book</t>
  </si>
  <si>
    <t>Newell 336</t>
  </si>
  <si>
    <t>270c</t>
  </si>
  <si>
    <t>张力华</t>
  </si>
  <si>
    <t>Universal Premium White Copier/Laser Paper (20Lb. and 87 Bright)</t>
  </si>
  <si>
    <t>Barrel Sharpener</t>
  </si>
  <si>
    <t>Xerox 1924</t>
  </si>
  <si>
    <t>白秋富</t>
  </si>
  <si>
    <t>Eldon Expressions Punched Metal &amp; Wood Desk Accessories, Pewter &amp; Cherry</t>
  </si>
  <si>
    <t>Boston Model 1800 Electric Pencil Sharpener, Gray</t>
  </si>
  <si>
    <t>Large Capacity Hanging Post Binders</t>
  </si>
  <si>
    <t>李仕明</t>
  </si>
  <si>
    <t>Durable Pressboard Binders</t>
  </si>
  <si>
    <t>邱纯青</t>
  </si>
  <si>
    <t>Okidata Pacemark 4410N Wide Format Dot Matrix Printer</t>
  </si>
  <si>
    <t xml:space="preserve"> 严杰</t>
  </si>
  <si>
    <t>Bush Advantage Collection® Round Conference Table</t>
  </si>
  <si>
    <t xml:space="preserve">赵正玉 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</si>
  <si>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</si>
  <si>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</si>
  <si>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</si>
  <si>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李琼</t>
  </si>
  <si>
    <t>Office Star - Task Chair with Contemporary Loop Arms</t>
  </si>
  <si>
    <t>Acco Perma® 3000 Stacking Storage Drawers</t>
  </si>
  <si>
    <t>孟子祥</t>
  </si>
  <si>
    <t>Bush Westfield Collection Bookcases, Dark Cherry Finish, Fully Assembled</t>
  </si>
  <si>
    <t>Xerox 1923</t>
  </si>
  <si>
    <t>Iceberg Mobile Mega Data/Printer Cart ®</t>
  </si>
  <si>
    <t>拜庆平</t>
  </si>
  <si>
    <t>Acco Four Pocket Poly Ring Binder with Label Holder, Smoke, 1"</t>
  </si>
  <si>
    <t xml:space="preserve"> 刁琳</t>
  </si>
  <si>
    <t>赵丽</t>
  </si>
  <si>
    <t>李剑</t>
  </si>
  <si>
    <t>Eldon Executive Woodline II Cherry Finish Desk Accessories</t>
  </si>
  <si>
    <t>王然山</t>
  </si>
  <si>
    <t>Fellowes Strictly Business® Drawer File, Letter/Legal Size</t>
  </si>
  <si>
    <t xml:space="preserve">李雪艳 </t>
  </si>
  <si>
    <t>Xerox 1899</t>
  </si>
  <si>
    <t>聂帅</t>
  </si>
  <si>
    <t>Holmes Replacement Filter for HEPA Air Cleaner, Large Room</t>
  </si>
  <si>
    <t>TOPS Money Receipt Book, Consecutively Numbered in Red,</t>
  </si>
  <si>
    <t>张文标</t>
  </si>
  <si>
    <t>Avery Round Ring Poly Binders</t>
  </si>
  <si>
    <t>Lexmark 4227 Plus Dot Matrix Printer</t>
  </si>
  <si>
    <t>赵子武</t>
  </si>
  <si>
    <t>Xerox 1929</t>
  </si>
  <si>
    <t>吴天柱</t>
  </si>
  <si>
    <t>GBC White Gloss Covers, Plain Front</t>
  </si>
  <si>
    <t>Accessory31</t>
  </si>
  <si>
    <t>肖海峰</t>
  </si>
  <si>
    <t>邓春龙</t>
  </si>
  <si>
    <t>i470</t>
  </si>
  <si>
    <t>夏建东</t>
  </si>
  <si>
    <t>Cardinal Poly Pocket Divider Pockets for Ring Binders</t>
  </si>
  <si>
    <t>Avery 506</t>
  </si>
  <si>
    <t>1726 Digital Answering Machine</t>
  </si>
  <si>
    <t>胡小山</t>
  </si>
  <si>
    <t>Self-Adhesive Address Labels for Typewriters by Universal</t>
  </si>
  <si>
    <t>张剑</t>
  </si>
  <si>
    <t>TDK 4.7GB DVD+RW</t>
  </si>
  <si>
    <t>邱伟</t>
  </si>
  <si>
    <t>Fuji Slim Jewel Case CD-R</t>
  </si>
  <si>
    <t>Staples 1 Part Blank Computer Paper</t>
  </si>
  <si>
    <t>Xerox 1891</t>
  </si>
  <si>
    <t xml:space="preserve">吕明 </t>
  </si>
  <si>
    <t>Newell 315</t>
  </si>
  <si>
    <t>黄紫嫣</t>
  </si>
  <si>
    <t>Hon Deluxe Fabric Upholstered Stacking Chairs, Rounded Back</t>
  </si>
  <si>
    <t>谢仲瑜</t>
  </si>
  <si>
    <t>Riverside Palais Royal Lawyers Bookcase, Royale Cherry Finish</t>
  </si>
  <si>
    <t>Advantus Panel Wall Acrylic Frame</t>
  </si>
  <si>
    <t>邱钰</t>
  </si>
  <si>
    <t>Avery 504</t>
  </si>
  <si>
    <t>李颖</t>
  </si>
  <si>
    <t>*Staples* Letter Opener</t>
  </si>
  <si>
    <t xml:space="preserve">陈鸿建 </t>
  </si>
  <si>
    <t>While You Were Out Pads, 50 per Pad, 4 x 5 1/4, Green Cycle</t>
  </si>
  <si>
    <t>姚军</t>
  </si>
  <si>
    <t>Fuji 5.2GB DVD-RAM</t>
  </si>
  <si>
    <t>罗静</t>
  </si>
  <si>
    <t>Hon Non-Folding Utility Tables</t>
  </si>
  <si>
    <t>Accessory13</t>
  </si>
  <si>
    <t>黄赫</t>
  </si>
  <si>
    <t>Sanyo 2.5 Cubic Foot Mid-Size Office Refrigerators</t>
  </si>
  <si>
    <t xml:space="preserve">吕佳 </t>
  </si>
  <si>
    <t>Xerox 1905</t>
  </si>
  <si>
    <t>Accessory8</t>
  </si>
  <si>
    <t>T39m</t>
  </si>
  <si>
    <t>Atlantic Metals Mobile 3-Shelf Bookcases, Custom Colors</t>
  </si>
  <si>
    <t>邱宇华</t>
  </si>
  <si>
    <t>StarTAC 7760</t>
  </si>
  <si>
    <t>李晗</t>
  </si>
  <si>
    <t>TDK 4.7GB DVD-R Spindle, 15/Pack</t>
  </si>
  <si>
    <t>5180</t>
  </si>
  <si>
    <t>Staples Bulldog Clip</t>
  </si>
  <si>
    <t>Multi-Use Personal File Cart and Caster Set, Three Stacking Bins</t>
  </si>
  <si>
    <t>2190</t>
  </si>
  <si>
    <t>景珑</t>
  </si>
  <si>
    <t>Kensington 6 Outlet MasterPiece® HOMEOFFICE Power Control Center</t>
  </si>
  <si>
    <t>Xerox 1938</t>
  </si>
  <si>
    <t>邓涛</t>
  </si>
  <si>
    <t>Xerox 1904</t>
  </si>
  <si>
    <t>朱军锋</t>
  </si>
  <si>
    <t>Fellowes Smart Design 104-Key Enhanced Keyboard, PS/2 Adapter, Platinum</t>
  </si>
  <si>
    <t>Avery 48</t>
  </si>
  <si>
    <t>伍洋</t>
  </si>
  <si>
    <t>赵磊华</t>
  </si>
  <si>
    <t>Belkin ErgoBoard™ Keyboard</t>
  </si>
  <si>
    <t>Wilson Jones Custom Binder Spines &amp; Labels</t>
  </si>
  <si>
    <t>Sharp 1540cs Digital Laser Copier</t>
  </si>
  <si>
    <t>Boston 16801 Nautilus™ Battery Pencil Sharpener</t>
  </si>
  <si>
    <t>杨争</t>
  </si>
  <si>
    <t>Avery Binder Labels</t>
  </si>
  <si>
    <t>Hon Every-Day® Chair Series Swivel Task Chairs</t>
  </si>
  <si>
    <t>IBM Multi-Purpose Copy Paper, 8 1/2 x 11", Case</t>
  </si>
  <si>
    <t>代宝敏</t>
  </si>
  <si>
    <t>Panasonic KP-310 Heavy-Duty Electric Pencil Sharpener</t>
  </si>
  <si>
    <t>那木</t>
  </si>
  <si>
    <t>Gyration Ultra Professional Cordless Optical Suite</t>
  </si>
  <si>
    <t>Artistic Insta-Plaque</t>
  </si>
  <si>
    <t>GE 4 Foot Flourescent Tube, 40 Watt</t>
  </si>
  <si>
    <t>Xerox 1892</t>
  </si>
  <si>
    <t>郭明丽</t>
  </si>
  <si>
    <t>Tennsco Double-Tier Lockers</t>
  </si>
  <si>
    <t>Eldon Advantage® Chair Mats for Low to Medium Pile Carpets</t>
  </si>
  <si>
    <t xml:space="preserve">夏羽 </t>
  </si>
  <si>
    <t>于小丹</t>
  </si>
  <si>
    <t>Office Star - Mid Back Dual function Ergonomic High Back Chair with 2-Way Adjustable Arms</t>
  </si>
  <si>
    <t>Fellowes Bankers Box™ Staxonsteel® Drawer File/Stacking System</t>
  </si>
  <si>
    <t xml:space="preserve">张弛 </t>
  </si>
  <si>
    <t>Xerox 212</t>
  </si>
  <si>
    <t>Decoflex Hanging Personal Folder File</t>
  </si>
  <si>
    <t>Epson DFX-8500 Dot Matrix Printer</t>
  </si>
  <si>
    <t>史小明</t>
  </si>
  <si>
    <t>Microsoft Natural Keyboard Elite</t>
  </si>
  <si>
    <t>柳州</t>
  </si>
  <si>
    <t>Xerox 1930</t>
  </si>
  <si>
    <t>包强</t>
  </si>
  <si>
    <t>胡子武</t>
  </si>
  <si>
    <t>iDEN i550</t>
  </si>
  <si>
    <t>Multimedia Mailers</t>
  </si>
  <si>
    <t>2160i</t>
  </si>
  <si>
    <t xml:space="preserve">余果 </t>
  </si>
  <si>
    <t>艾梅芳</t>
  </si>
  <si>
    <t>Ibico Hi-Tech Manual Binding System</t>
  </si>
  <si>
    <t>李栋</t>
  </si>
  <si>
    <t>Xerox 21</t>
  </si>
  <si>
    <t>邱晓文</t>
  </si>
  <si>
    <t>张东</t>
  </si>
  <si>
    <t>Avery Reinforcements for Hole-Punch Pages</t>
  </si>
  <si>
    <t>宁波</t>
  </si>
  <si>
    <t>Polycom ViewStation™ ISDN Videoconferencing Unit</t>
  </si>
  <si>
    <t>Hon 4070 Series Pagoda™ Armless Upholstered Stacking Chairs</t>
  </si>
  <si>
    <t>唐伟明</t>
  </si>
  <si>
    <t>Xerox 224</t>
  </si>
  <si>
    <t>芜湖</t>
  </si>
  <si>
    <t>Boston 16701 Slimline Battery Pencil Sharpener</t>
  </si>
  <si>
    <t>Crayola Anti Dust Chalk, 12/Pack</t>
  </si>
  <si>
    <t>Executive Impressions 14" Contract Wall Clock with Quartz Movement</t>
  </si>
  <si>
    <t>Talkabout T8097</t>
  </si>
  <si>
    <t>王军</t>
  </si>
  <si>
    <t>Epson C82 Color Inkjet Printer</t>
  </si>
  <si>
    <t xml:space="preserve"> 陈迟  </t>
  </si>
  <si>
    <t>夏婷露</t>
  </si>
  <si>
    <t>Motorola SB4200 Cable Modem</t>
  </si>
  <si>
    <t>张晨</t>
  </si>
  <si>
    <t>IBM 3.5" DS/HD IBM Formatted Diskettes, 50/Pack</t>
  </si>
  <si>
    <t>Master Big Foot® Doorstop, Beige</t>
  </si>
  <si>
    <t>庄斌</t>
  </si>
  <si>
    <t>毛林林</t>
  </si>
  <si>
    <t>Accessory39</t>
  </si>
  <si>
    <t xml:space="preserve">夏季 </t>
  </si>
  <si>
    <t>Economy Rollaway Files</t>
  </si>
  <si>
    <t>张勇进</t>
  </si>
  <si>
    <t>Nu-Form 106-Key Ergonomic Keyboard w/ Touchpad</t>
  </si>
  <si>
    <t>胡大鹏</t>
  </si>
  <si>
    <t xml:space="preserve">夏东鹏 </t>
  </si>
  <si>
    <t>XtraLife® ClearVue™ Slant-D® Ring Binders by Cardinal</t>
  </si>
  <si>
    <t>张鹏华</t>
  </si>
  <si>
    <t>Sterling Rubber Bands by Alliance</t>
  </si>
  <si>
    <t>魏丽</t>
  </si>
  <si>
    <t>Panasonic KX-P1131 Dot Matrix Printer</t>
  </si>
  <si>
    <t>REDIFORM Incoming/Outgoing Call Register, 11" X 8 1/2", 100 Messages</t>
  </si>
  <si>
    <t>韦毅祥</t>
  </si>
  <si>
    <t>Smead Alpha-Z Color-Coded Name Labels First Letter Starter Set</t>
  </si>
  <si>
    <t>孙草莓</t>
  </si>
  <si>
    <t xml:space="preserve">蒙晓平 </t>
  </si>
  <si>
    <t>Avery 508</t>
  </si>
  <si>
    <t>周语晨</t>
  </si>
  <si>
    <t>Avery Hi-Liter GlideStik Fluorescent Highlighter, Yellow Ink</t>
  </si>
  <si>
    <t>王彪</t>
  </si>
  <si>
    <t>Belkin F5C206VTEL 6 Outlet Surge</t>
  </si>
  <si>
    <t>李军锋</t>
  </si>
  <si>
    <t>Xerox 1927</t>
  </si>
  <si>
    <t>Dixon My First Ticonderoga Pencil, #2</t>
  </si>
  <si>
    <t>邱海华</t>
  </si>
  <si>
    <t>Eldon® Gobal File Keepers</t>
  </si>
  <si>
    <t>宋小俊</t>
  </si>
  <si>
    <t>张婷</t>
  </si>
  <si>
    <t>DAX Two-Tone Rosewood/Black Document Frame, Desktop, 5 x 7</t>
  </si>
  <si>
    <t xml:space="preserve">姚羽 </t>
  </si>
  <si>
    <t>Acco PRESSTEX® Data Binder with Storage Hooks, Dark Blue, 14 7/8" X 11"</t>
  </si>
  <si>
    <t>1/4 Fold Party Design Invitations &amp; White Envelopes, 24 8-1/2" X 11" Cards, 25 Env./Pack</t>
  </si>
  <si>
    <t>Park Ridge™ Embossed Executive Business Envelopes</t>
  </si>
  <si>
    <t>Iris® 3-Drawer Stacking Bin, Black</t>
  </si>
  <si>
    <t>沈鸽</t>
  </si>
  <si>
    <t>Belkin 105-Key Black Keyboard</t>
  </si>
  <si>
    <t>Avery Durable Binders</t>
  </si>
  <si>
    <t>张玉嬿</t>
  </si>
  <si>
    <t>闫玉红</t>
  </si>
  <si>
    <t>Memorex 4.7GB DVD+R, 3/Pack</t>
  </si>
  <si>
    <t>张坤</t>
  </si>
  <si>
    <t>LX 677</t>
  </si>
  <si>
    <t>邓芳</t>
  </si>
  <si>
    <t>Perma STOR-ALL™ Hanging File Box, 13 1/8"W x 12 1/4"D x 10 1/2"H</t>
  </si>
  <si>
    <t>徐春光</t>
  </si>
  <si>
    <t>Accessory32</t>
  </si>
  <si>
    <t>StarTAC 7797</t>
  </si>
  <si>
    <t>肖泽宇</t>
  </si>
  <si>
    <t>黄悦</t>
  </si>
  <si>
    <t>Global High-Back Leather Tilter, Burgundy</t>
  </si>
  <si>
    <t>刘小俊</t>
  </si>
  <si>
    <t>Catalog Binders with Expanding Posts</t>
  </si>
  <si>
    <t>Newell 318</t>
  </si>
  <si>
    <t xml:space="preserve">周桐  </t>
  </si>
  <si>
    <t xml:space="preserve">杨雪艳 </t>
  </si>
  <si>
    <t>Verbatim DVD-RAM, 5.2GB, Rewritable, Type 1, DS</t>
  </si>
  <si>
    <t xml:space="preserve">张阿兰 </t>
  </si>
  <si>
    <t>张新东</t>
  </si>
  <si>
    <t>齐齐哈尔</t>
  </si>
  <si>
    <t>Eldon® 500 Class™ Desk Accessories</t>
  </si>
  <si>
    <t>Newell 343</t>
  </si>
  <si>
    <t>张涛</t>
  </si>
  <si>
    <t>Xerox 1881</t>
  </si>
  <si>
    <t>李林</t>
  </si>
  <si>
    <t>Binder Posts</t>
  </si>
  <si>
    <t>Acco Pressboard Covers with Storage Hooks, 14 7/8" x 11", Dark Blue</t>
  </si>
  <si>
    <t>贺军</t>
  </si>
  <si>
    <t>Riverleaf Stik-Withit® Designer Note Cubes®</t>
  </si>
  <si>
    <t>Newell 323</t>
  </si>
  <si>
    <t>张平敏</t>
  </si>
  <si>
    <t>DAX Copper Panel Document Frame, 5 x 7 Size</t>
  </si>
  <si>
    <t>Staples 4 Outlet Surge Protector</t>
  </si>
  <si>
    <t>Keytronic French Keyboard</t>
  </si>
  <si>
    <t>Lexmark Z54se Color Inkjet Printer</t>
  </si>
  <si>
    <t>朱华强</t>
  </si>
  <si>
    <t>Self-Adhesive Removable Labels</t>
  </si>
  <si>
    <t>秦晴</t>
  </si>
  <si>
    <t>Avanti 1.7 Cu. Ft. Refrigerator</t>
  </si>
  <si>
    <t>Global Leather Task Chair, Black</t>
  </si>
  <si>
    <t>Staples Brown Kraft Recycled Clasp Envelopes</t>
  </si>
  <si>
    <t>胡洋</t>
  </si>
  <si>
    <t>KH 688</t>
  </si>
  <si>
    <t>GBC Instant Index™ System for Binding Systems</t>
  </si>
  <si>
    <t>Avery 514</t>
  </si>
  <si>
    <t>朱海燕</t>
  </si>
  <si>
    <t>Hon Multipurpose Stacking Arm Chairs</t>
  </si>
  <si>
    <t>吴敏敏</t>
  </si>
  <si>
    <t>Sanford Liquid Accent Highlighters</t>
  </si>
  <si>
    <t>Eldon® Wave Desk Accessories</t>
  </si>
  <si>
    <t>Soundgear Copyboard Conference Phone, Optional Battery</t>
  </si>
  <si>
    <t>Timeport L7089</t>
  </si>
  <si>
    <t>李国平</t>
  </si>
  <si>
    <t>Xerox 2</t>
  </si>
  <si>
    <t>Newell 35</t>
  </si>
  <si>
    <t>谢浩</t>
  </si>
  <si>
    <t>广安</t>
  </si>
  <si>
    <t>Acco® Hot Clips™ Clips to Go</t>
  </si>
  <si>
    <t>赵名东</t>
  </si>
  <si>
    <t>Deflect-o SuperTray™ Unbreakable Stackable Tray, Letter, Black</t>
  </si>
  <si>
    <t>胡巴朗</t>
  </si>
  <si>
    <t>6160</t>
  </si>
  <si>
    <t>Xerox 1903</t>
  </si>
  <si>
    <t>王忠敏</t>
  </si>
  <si>
    <t>Mead 1st Gear 2" Zipper Binder, Asst. Colors</t>
  </si>
  <si>
    <t>Xerox 1992</t>
  </si>
  <si>
    <t>赵刚</t>
  </si>
  <si>
    <t>Imation 3.5 IBM Formatted Diskettes, 10/Box</t>
  </si>
  <si>
    <t>Verbatim DVD-RAM, 9.4GB, Rewritable, Type 1, DS, DataLife Plus</t>
  </si>
  <si>
    <t>Xerox 1898</t>
  </si>
  <si>
    <t>Imation Neon Mac Format Diskettes, 10/Pack</t>
  </si>
  <si>
    <t>Xerox 227</t>
  </si>
  <si>
    <t>*Staples* Packaging Labels</t>
  </si>
  <si>
    <t>张兴胜</t>
  </si>
  <si>
    <t>Eldon Portable Mobile Manager</t>
  </si>
  <si>
    <t>吴媛丽</t>
  </si>
  <si>
    <t>Fellowes PB500 Electric Punch Plastic Comb Binding Machine with Manual Bind</t>
  </si>
  <si>
    <t>StarTAC 8000</t>
  </si>
  <si>
    <t>马小林</t>
  </si>
  <si>
    <t>温州</t>
  </si>
  <si>
    <t>12-1/2 Diameter Round Wall Clock</t>
  </si>
  <si>
    <t>Document Clip Frames</t>
  </si>
  <si>
    <t>Xerox 1885</t>
  </si>
  <si>
    <t>汤明华</t>
  </si>
  <si>
    <t>Avery Flip-Chart Easel Binder, Black</t>
  </si>
  <si>
    <t>Logitech Cordless Access Keyboard</t>
  </si>
  <si>
    <t>周剑宇</t>
  </si>
  <si>
    <t>赵金龙</t>
  </si>
  <si>
    <t>Boston 19500 Mighty Mite Electric Pencil Sharpener</t>
  </si>
  <si>
    <t>邱中立</t>
  </si>
  <si>
    <t>Tennsco Lockers, Sand</t>
  </si>
  <si>
    <t>夏虎</t>
  </si>
  <si>
    <t>*Staples* Highlighting Markers</t>
  </si>
  <si>
    <t>Snap-A-Way® Black Print Carbonless Ruled Speed Letter, Triplicate</t>
  </si>
  <si>
    <t>张广庆</t>
  </si>
  <si>
    <t>Conquest™ 14 Commercial Heavy-Duty Upright Vacuum, Collection System, Accessory Kit</t>
  </si>
  <si>
    <t>Tennsco Snap-Together Open Shelving Units, Starter Sets and Add-On Units</t>
  </si>
  <si>
    <t>Home/Office Personal File Carts</t>
  </si>
  <si>
    <t>DMI Eclipse Executive Suite Bookcases</t>
  </si>
  <si>
    <t>邱景涛</t>
  </si>
  <si>
    <t>Eldon Cleatmat Plus™ Chair Mats for High Pile Carpets</t>
  </si>
  <si>
    <t>Bevis Rectangular Conference Tables</t>
  </si>
  <si>
    <t>孙虎</t>
  </si>
  <si>
    <t>Xerox 213</t>
  </si>
  <si>
    <t>Wilson Jones Hanging View Binder, White, 1"</t>
  </si>
  <si>
    <t>Xerox 215</t>
  </si>
  <si>
    <t>Staples Metal Binder Clips</t>
  </si>
  <si>
    <t>Avery 51</t>
  </si>
  <si>
    <t>Staples #10 Laser &amp; Inkjet Envelopes, 4 1/8" x 9 1/2", 100/Box</t>
  </si>
  <si>
    <t>Boston 16765 Mini Stand Up Battery Pencil Sharpener</t>
  </si>
  <si>
    <t>吴小莹</t>
  </si>
  <si>
    <t>Xerox 1948</t>
  </si>
  <si>
    <t>柳小山</t>
  </si>
  <si>
    <t>Avery 49</t>
  </si>
  <si>
    <t>宗峰岩</t>
  </si>
  <si>
    <t>Microsoft Multimedia Keyboard</t>
  </si>
  <si>
    <t>吴可飞</t>
  </si>
  <si>
    <t>Avery 491</t>
  </si>
  <si>
    <t>Executive Impressions 14" Two-Color Numerals Wall Clock</t>
  </si>
  <si>
    <t>Hewlett-Packard 4.7GB DVD+R Discs</t>
  </si>
  <si>
    <t>孙建东</t>
  </si>
  <si>
    <t>Coloredge Poster Frame</t>
  </si>
  <si>
    <t>胡广宇</t>
  </si>
  <si>
    <t>张玉</t>
  </si>
  <si>
    <t>Xerox 1947</t>
  </si>
  <si>
    <t>Honeywell Enviracaire Portable HEPA Air Cleaner for 17' x 22' Room</t>
  </si>
  <si>
    <t>Eldon Regeneration Recycled Desk Accessories, Smoke</t>
  </si>
  <si>
    <t>Avery 4027 File Folder Labels for Dot Matrix Printers, 5000 Labels per Box, White</t>
  </si>
  <si>
    <t>高云安</t>
  </si>
  <si>
    <t>Sanford 52201 APSCO Electric Pencil Sharpener</t>
  </si>
  <si>
    <t>赵瑞</t>
  </si>
  <si>
    <t>Crate-A-Files™</t>
  </si>
  <si>
    <t>Iceberg OfficeWorks 42" Round Tables</t>
  </si>
  <si>
    <t>徐艳红</t>
  </si>
  <si>
    <t>Pressboard Data Binder, Crimson, 12" X 8 1/2"</t>
  </si>
  <si>
    <t>赵江玲</t>
  </si>
  <si>
    <t>GBC DocuBind P100 Manual Binding Machine</t>
  </si>
  <si>
    <t xml:space="preserve">卢文聪  </t>
  </si>
  <si>
    <t>Executive Impressions 13" Chairman Wall Clock</t>
  </si>
  <si>
    <t>Boston 1730 StandUp Electric Pencil Sharpener</t>
  </si>
  <si>
    <t>Avery 497</t>
  </si>
  <si>
    <t>周庄</t>
  </si>
  <si>
    <t>Master Giant Foot® Doorstop, Safety Yellow</t>
  </si>
  <si>
    <t>赵斐</t>
  </si>
  <si>
    <t>Bevis Round Conference Table Top &amp; Single Column Base</t>
  </si>
  <si>
    <t>StarTAC 3000</t>
  </si>
  <si>
    <t>Canon BP1200DH 12-Digit Bubble Jet Printing Calculator</t>
  </si>
  <si>
    <t>张江亭</t>
  </si>
  <si>
    <t>HP Office Paper (20Lb. and 87 Bright)</t>
  </si>
  <si>
    <t>EcoTones® Memo Sheets</t>
  </si>
  <si>
    <t>Epson C62 Color Inkjet Printer</t>
  </si>
  <si>
    <t>DAX Contemporary Wood Frame with Silver Metal Mat, Desktop, 11 x 14 Size</t>
  </si>
  <si>
    <t>朱伟</t>
  </si>
  <si>
    <t>Satellite Sectional Post Binders</t>
  </si>
  <si>
    <t>Tyvek® Side-Opening Peel &amp; Seel® Expanding Envelopes</t>
  </si>
  <si>
    <t>Novimex Turbo Task Chair</t>
  </si>
  <si>
    <t>蒋曦生</t>
  </si>
  <si>
    <t>80 Minute Slim Jewel Case CD-R , 10/Pack - Staples</t>
  </si>
  <si>
    <t>#10 White Business Envelopes,4 1/8 x 9 1/2</t>
  </si>
  <si>
    <t>Imation 3.5" DS-HD Macintosh Formatted Diskettes, 10/Pack</t>
  </si>
  <si>
    <t>Project Tote Personal File</t>
  </si>
  <si>
    <t>吴胡媛</t>
  </si>
  <si>
    <t>Fellowes 17-key keypad for PS/2 interface</t>
  </si>
  <si>
    <t>Acco 6 Outlet Guardian Premium Surge Suppressor</t>
  </si>
  <si>
    <t>Brother DCP1000 Digital 3 in 1 Multifunction Machine</t>
  </si>
  <si>
    <t>杨青烦</t>
  </si>
  <si>
    <t>Accessory6</t>
  </si>
  <si>
    <t>Acme Hot Forged Carbon Steel Scissors with Nickel-Plated Handles, 3 7/8" Cut, 8"L</t>
  </si>
  <si>
    <t>Peel &amp; Seel® Recycled Catalog Envelopes, Brown</t>
  </si>
  <si>
    <t>Deflect-O® Glasstique™ Clear Desk Accessories</t>
  </si>
  <si>
    <t>邱明中</t>
  </si>
  <si>
    <t>Office Star - Contemporary Task Swivel chair with 2-way adjustable arms, Plum</t>
  </si>
  <si>
    <t>4009® Highlighters by Sanford</t>
  </si>
  <si>
    <t>Avery 510</t>
  </si>
  <si>
    <t>胡婕</t>
  </si>
  <si>
    <t>Iris Project Case</t>
  </si>
  <si>
    <t>Xerox 220</t>
  </si>
  <si>
    <t>Adams Telephone Message Book W/Dividers/Space For Phone Numbers, 5 1/4"X8 1/2", 300/Messages</t>
  </si>
  <si>
    <t>Newell 338</t>
  </si>
  <si>
    <t>Eldon® 400 Class™ Desk Accessories, Black Carbon</t>
  </si>
  <si>
    <t>大连</t>
  </si>
  <si>
    <t>姚子扬</t>
  </si>
  <si>
    <t>黄石</t>
  </si>
  <si>
    <t>何薇</t>
  </si>
  <si>
    <t>PC Concepts 116 Key Quantum 3000 Keyboard</t>
  </si>
  <si>
    <t>高丽娜</t>
  </si>
  <si>
    <t>Fellowes Twister Kit, Gray/Clear, 3/pkg</t>
  </si>
  <si>
    <t>Newell 309</t>
  </si>
  <si>
    <t>Imation Neon 80 Minute CD-R Spindle, 50/Pack</t>
  </si>
  <si>
    <t>Xerox 210</t>
  </si>
  <si>
    <t>Letter Slitter</t>
  </si>
  <si>
    <t>李文峰</t>
  </si>
  <si>
    <t>Bretford CR8500 Series Meeting Room Furniture</t>
  </si>
  <si>
    <t xml:space="preserve">丁义 </t>
  </si>
  <si>
    <t>傅飞</t>
  </si>
  <si>
    <t>Imation DVD-RAM discs</t>
  </si>
  <si>
    <t>i600</t>
  </si>
  <si>
    <t>Wilson Jones “Snap” Scratch Pad Binder Tool for Ring Binders</t>
  </si>
  <si>
    <t>包婧</t>
  </si>
  <si>
    <t>Wirebound Message Forms, Four 2 3/4 x 5 Forms per Page, Pink Paper</t>
  </si>
  <si>
    <t>自贡</t>
  </si>
  <si>
    <t>T18</t>
  </si>
  <si>
    <t>Speediset Carbonless Redi-Letter® 7" x 8 1/2"</t>
  </si>
  <si>
    <t>王曦敏</t>
  </si>
  <si>
    <t>*Staples* vLetter Openers, 2/Pack</t>
  </si>
  <si>
    <t>胡文</t>
  </si>
  <si>
    <t>Global Leather and Oak Executive Chair, Black</t>
  </si>
  <si>
    <t>Honeywell Enviracaire® Portable Air Cleaner for up to 8 x 10 Room</t>
  </si>
  <si>
    <t>Xerox 196</t>
  </si>
  <si>
    <t>谢国平</t>
  </si>
  <si>
    <t>Letter Size Cart</t>
  </si>
  <si>
    <t>修仕辉</t>
  </si>
  <si>
    <t>谭北平</t>
  </si>
  <si>
    <t>Newell 346</t>
  </si>
  <si>
    <t>黄博</t>
  </si>
  <si>
    <t>王涛</t>
  </si>
  <si>
    <t>Sanford Prismacolor® Professional Thick Lead Art Pencils, 36-Color Set</t>
  </si>
  <si>
    <t>郭晓文</t>
  </si>
  <si>
    <t>Accessory2</t>
  </si>
  <si>
    <t>廖智勇</t>
  </si>
  <si>
    <t>东莞</t>
  </si>
  <si>
    <t>金林</t>
  </si>
  <si>
    <t>SAFCO PlanMaster Heigh-Adjustable Drafting Table Base, 43w x 30d x 30-37h, Black</t>
  </si>
  <si>
    <t>2160</t>
  </si>
  <si>
    <t>艾丽</t>
  </si>
  <si>
    <t>Luxo Professional Fluorescent Magnifier Lamp with Clamp-Mount Base</t>
  </si>
  <si>
    <t>Bush Heritage Pine Collection 5-Shelf Bookcase, Albany Pine Finish, *Special Order</t>
  </si>
  <si>
    <t>Kensington 7 Outlet MasterPiece® HOMEOFFICE Power Control Center</t>
  </si>
  <si>
    <t>郭明中</t>
  </si>
  <si>
    <t>Eldon ClusterMat Chair Mat with Cordless Antistatic Protection</t>
  </si>
  <si>
    <t>Sauder Forest Hills Library, Woodland Oak Finish</t>
  </si>
  <si>
    <t>张玲玲</t>
  </si>
  <si>
    <t xml:space="preserve"> 周游</t>
  </si>
  <si>
    <t>Holmes Replacement Filter for HEPA Air Cleaner, Medium Room</t>
  </si>
  <si>
    <t>邱伟民</t>
  </si>
  <si>
    <t>Ampad® Evidence® Wirebond Steno Books, 6" x 9"</t>
  </si>
  <si>
    <t>Nu-Dell Float Frame 11 x 14 1/2</t>
  </si>
  <si>
    <t>邹庄</t>
  </si>
  <si>
    <t>Unpadded Memo Slips</t>
  </si>
  <si>
    <t>孙嘉伟</t>
  </si>
  <si>
    <t>吴亚灵</t>
  </si>
  <si>
    <t>Binney &amp; Smith Crayola® Metallic Colored Pencils, 8-Color Set</t>
  </si>
  <si>
    <t>Manila Recycled Extra-Heavyweight Clasp Envelopes, 6" x 9"</t>
  </si>
  <si>
    <t>Xerox 1966</t>
  </si>
  <si>
    <t>8890</t>
  </si>
  <si>
    <t>秦雯晴</t>
  </si>
  <si>
    <t>任东霖</t>
  </si>
  <si>
    <t>HP Office Recycled Paper (20Lb. and 87 Bright)</t>
  </si>
  <si>
    <t>KF 788</t>
  </si>
  <si>
    <t>吕琳</t>
  </si>
  <si>
    <t>谢语乔</t>
  </si>
  <si>
    <t>Wirebound Service Call Books, 5 1/2" x 4"</t>
  </si>
  <si>
    <t>DIXON Oriole® Pencils</t>
  </si>
  <si>
    <t>StarTAC Series</t>
  </si>
  <si>
    <t>Binding Machine Supplies</t>
  </si>
  <si>
    <t>8290</t>
  </si>
  <si>
    <t>陈锋</t>
  </si>
  <si>
    <t>于庆丰</t>
  </si>
  <si>
    <t>刘骅</t>
  </si>
  <si>
    <t>方小月</t>
  </si>
  <si>
    <t>Imation 3.5" Unformatted DS/HD Diskettes, 10/Box</t>
  </si>
  <si>
    <t>谭柯</t>
  </si>
  <si>
    <t>Xerox 1895</t>
  </si>
  <si>
    <t>徐萍平</t>
  </si>
  <si>
    <t>Aluminum Document Frame</t>
  </si>
  <si>
    <t>张剑宇</t>
  </si>
  <si>
    <t xml:space="preserve">周欣 </t>
  </si>
  <si>
    <t>DAX Cubicle Frames - 8x10</t>
  </si>
  <si>
    <t>朱永飞</t>
  </si>
  <si>
    <t>李岩</t>
  </si>
  <si>
    <t>Eldon Jumbo ProFile™ Portable File Boxes Graphite/Black</t>
  </si>
  <si>
    <t>陈华</t>
  </si>
  <si>
    <t>GBC DocuBind 300 Electric Binding Machine</t>
  </si>
  <si>
    <t>JM Magazine Binder</t>
  </si>
  <si>
    <t>大同</t>
  </si>
  <si>
    <t>Imation 3.5" IBM-Formatted Diskettes, 10/Pack</t>
  </si>
  <si>
    <t>X-Rack™ File for Hanging Folders</t>
  </si>
  <si>
    <t>何伟民</t>
  </si>
  <si>
    <t>Kensington 6 Outlet Guardian Standard Surge Protector</t>
  </si>
  <si>
    <t>范瑛杰</t>
  </si>
  <si>
    <t>Super Decoflex Portable Personal File</t>
  </si>
  <si>
    <t>陈仕明</t>
  </si>
  <si>
    <t>Global Airflow Leather Mesh Back Chair, Black</t>
  </si>
  <si>
    <t>高云浩</t>
  </si>
  <si>
    <t>Xerox 1880</t>
  </si>
  <si>
    <t>陈平东</t>
  </si>
  <si>
    <t>Micro Innovations Micro Digital Wireless Keyboard and Mouse, Gray</t>
  </si>
  <si>
    <t>姚松</t>
  </si>
  <si>
    <t>Bush® Cubix Conference Tables, Fully Assembled</t>
  </si>
  <si>
    <t>Eureka The Boss® Cordless Rechargeable Stick Vac</t>
  </si>
  <si>
    <t>李治灿</t>
  </si>
  <si>
    <t>唐丽丽</t>
  </si>
  <si>
    <t>Accessory21</t>
  </si>
  <si>
    <t>Avery Legal 4-Ring Binder</t>
  </si>
  <si>
    <t>宋小莹</t>
  </si>
  <si>
    <t>Avery Arch Ring Binders</t>
  </si>
  <si>
    <t>APC 7 Outlet Network SurgeArrest Surge Protector</t>
  </si>
  <si>
    <t>温宇震</t>
  </si>
  <si>
    <t>Dual Level, Single-Width Filing Carts</t>
  </si>
  <si>
    <t>魏晋伟</t>
  </si>
  <si>
    <t>Fellowes Personal Hanging Folder Files, Navy</t>
  </si>
  <si>
    <t>杨玲</t>
  </si>
  <si>
    <t>Deflect-o RollaMat Studded, Beveled Mat for Medium Pile Carpeting</t>
  </si>
  <si>
    <t>Epson FX-2180 Wide Format Dot Matrix Printer</t>
  </si>
  <si>
    <t>Bush Mission Pointe Library</t>
  </si>
  <si>
    <t>Staples Plastic Wall Frames</t>
  </si>
  <si>
    <t>吴祺丽</t>
  </si>
  <si>
    <t>Belkin 325VA UPS Surge Protector, 6'</t>
  </si>
  <si>
    <t>Global Deluxe Stacking Chair, Gray</t>
  </si>
  <si>
    <t>Sharp AL-1530CS Digital Copier</t>
  </si>
  <si>
    <t xml:space="preserve">李槟   </t>
  </si>
  <si>
    <t>3M Office Air Cleaner</t>
  </si>
  <si>
    <t>包静</t>
  </si>
  <si>
    <t>Xerox 200</t>
  </si>
  <si>
    <t>邓娟</t>
  </si>
  <si>
    <t>Personal Creations™ Ink Jet Cards and Labels</t>
  </si>
  <si>
    <t>路广彬</t>
  </si>
  <si>
    <t>Master Caster Door Stop, Brown</t>
  </si>
  <si>
    <t>Xerox 1882</t>
  </si>
  <si>
    <t>谢纬凡</t>
  </si>
  <si>
    <t xml:space="preserve">苏本才  </t>
  </si>
  <si>
    <t>Lexmark Z25 Color Inkjet Printer</t>
  </si>
  <si>
    <t>Hon 2111 Invitation™ Series Corner Table</t>
  </si>
  <si>
    <t>张华</t>
  </si>
  <si>
    <t>鸡西</t>
  </si>
  <si>
    <t>姜海洋</t>
  </si>
  <si>
    <t>252</t>
  </si>
  <si>
    <t>Seth Thomas 13 1/2" Wall Clock</t>
  </si>
  <si>
    <t>林纬凡</t>
  </si>
  <si>
    <t>High Speed Automatic Electric Letter Opener</t>
  </si>
  <si>
    <t>Executive Impressions 14"</t>
  </si>
  <si>
    <t>Avery 492</t>
  </si>
  <si>
    <t>Bretford CR4500 Series Slim Rectangular Table</t>
  </si>
  <si>
    <t>崔晨</t>
  </si>
  <si>
    <t>Seth Thomas 8 1/2" Cubicle Clock</t>
  </si>
  <si>
    <t>王丽</t>
  </si>
  <si>
    <t>5125</t>
  </si>
  <si>
    <t>Xerox 1916</t>
  </si>
  <si>
    <t>陈岩</t>
  </si>
  <si>
    <t>Quartet Omega® Colored Chalk, 12/Pack</t>
  </si>
  <si>
    <t>Staples Vinyl Coated Paper Clips</t>
  </si>
  <si>
    <t>Accessory28</t>
  </si>
  <si>
    <t>Tenex 46" x 60" Computer Anti-Static Chairmat, Rectangular Shaped</t>
  </si>
  <si>
    <t>龙百川</t>
  </si>
  <si>
    <t>Avery 474</t>
  </si>
  <si>
    <t>李玉英</t>
  </si>
  <si>
    <t>6" Cubicle Wall Clock, Black</t>
  </si>
  <si>
    <t>3395</t>
  </si>
  <si>
    <t>王仲凯</t>
  </si>
  <si>
    <t>Tenex Carpeted, Granite-Look or Clear Contemporary Contour Shape Chair Mats</t>
  </si>
  <si>
    <t>Bretford Rectangular Conference Table Tops</t>
  </si>
  <si>
    <t>Okidata ML390 Turbo Dot Matrix Printers</t>
  </si>
  <si>
    <t>Chromcraft Bull-Nose Wood Oval Conference Tables &amp; Bases</t>
  </si>
  <si>
    <t>嘉峪关</t>
  </si>
  <si>
    <t>陈正立</t>
  </si>
  <si>
    <t>Imation 3.5" Diskettes, IBM Format, DS/HD, 10/Box, Neon</t>
  </si>
  <si>
    <t>Binder Clips by OIC</t>
  </si>
  <si>
    <t>席岩东</t>
  </si>
  <si>
    <t>Acme® Box Cutter Scissors</t>
  </si>
  <si>
    <t>Smead Adjustable Mobile File Trolley with Lockable Top</t>
  </si>
  <si>
    <t>Avery 487</t>
  </si>
  <si>
    <t>李天柱</t>
  </si>
  <si>
    <t>DAX Solid Wood Frames</t>
  </si>
  <si>
    <t>邱凌燕</t>
  </si>
  <si>
    <t>胡百川</t>
  </si>
  <si>
    <t>范楠</t>
  </si>
  <si>
    <t>Fellowes Internet Keyboard, Platinum</t>
  </si>
  <si>
    <t>Avery Hi-Liter Comfort Grip Fluorescent Highlighter, Yellow Ink</t>
  </si>
  <si>
    <t>胡木</t>
  </si>
  <si>
    <t>陈东平</t>
  </si>
  <si>
    <t>Eureka Sanitaire ® Multi-Pro Heavy-Duty Upright, Disposable Bags</t>
  </si>
  <si>
    <t>Boston Electric Pencil Sharpener, Model 1818, Charcoal Black</t>
  </si>
  <si>
    <t>姚卓君</t>
  </si>
  <si>
    <t>Acme Design Line 8" Stainless Steel Bent Scissors w/Champagne Handles, 3-1/8" Cut</t>
  </si>
  <si>
    <t>达州</t>
  </si>
  <si>
    <t>Tennsco Industrial Shelving</t>
  </si>
  <si>
    <t>刘草莓</t>
  </si>
  <si>
    <t>Ibico Recycled Linen-Style Covers</t>
  </si>
  <si>
    <t>Executive Impressions 13" Clairmont Wall Clock</t>
  </si>
  <si>
    <t>谢语晨</t>
  </si>
  <si>
    <t>俞龙丽</t>
  </si>
  <si>
    <t>Fellowes Black Plastic Comb Bindings</t>
  </si>
  <si>
    <t>范晓楠</t>
  </si>
  <si>
    <t>吕莉丽</t>
  </si>
  <si>
    <t xml:space="preserve">孙佳 </t>
  </si>
  <si>
    <t>Riverside Furniture Stanwyck Manor Table Series</t>
  </si>
  <si>
    <t>Assorted Color Push Pins</t>
  </si>
  <si>
    <t>庄梦霞</t>
  </si>
  <si>
    <t>Canon MP25DIII Desktop Whisper-Quiet Printing Calculator</t>
  </si>
  <si>
    <t>Imation 3.5" DS/HD IBM Formatted Diskettes, 50/Pack</t>
  </si>
  <si>
    <t>邱庆峰</t>
  </si>
  <si>
    <t>十堰</t>
  </si>
  <si>
    <t>GBC VeloBinder Strips</t>
  </si>
  <si>
    <t>杨震卿</t>
  </si>
  <si>
    <t>Telephone Message Books with Fax/Mobile Section, 5 1/2" x 3 3/16"</t>
  </si>
  <si>
    <t>高克强</t>
  </si>
  <si>
    <t>TI 36X Solar Scientific Calculator</t>
  </si>
  <si>
    <t>吴卓君</t>
  </si>
  <si>
    <t xml:space="preserve">包义 </t>
  </si>
  <si>
    <t>培生</t>
  </si>
  <si>
    <t>Deflect-o EconoMat Nonstudded, No Bevel Mat</t>
  </si>
  <si>
    <t>王军品</t>
  </si>
  <si>
    <t>朱海洋</t>
  </si>
  <si>
    <t>Accessory24</t>
  </si>
  <si>
    <t>TI 30X Scientific Calculator</t>
  </si>
  <si>
    <t>王江仿</t>
  </si>
  <si>
    <t>鞍山</t>
  </si>
  <si>
    <t>T65</t>
  </si>
  <si>
    <t>唐华</t>
  </si>
  <si>
    <t>GBC Standard Plastic Binding Systems Combs</t>
  </si>
  <si>
    <t>魏江亭</t>
  </si>
  <si>
    <t>Hon 2090 “Pillow Soft” Series Mid Back Swivel/Tilt Chairs</t>
  </si>
  <si>
    <t>Eureka Recycled Copy Paper 8 1/2" x 11", Ream</t>
  </si>
  <si>
    <t>Eureka Disposable Bags for Sanitaire® Vibra Groomer I® Upright Vac</t>
  </si>
  <si>
    <t>邓超鹏</t>
  </si>
  <si>
    <t>GBC Laser Imprintable Binding System Covers, Desert Sand</t>
  </si>
  <si>
    <t>Gyration RF Keyboard</t>
  </si>
  <si>
    <t>Fellowes Super Stor/Drawer®</t>
  </si>
  <si>
    <t>谢周佩</t>
  </si>
  <si>
    <t>蚌埠</t>
  </si>
  <si>
    <t>Eldon Advantage® Foldable Chair Mats for Low Pile Carpets</t>
  </si>
  <si>
    <t>Recycled Steel Personal File for Standard File Folders</t>
  </si>
  <si>
    <t>Career Cubicle Clock, 8 1/4", Black</t>
  </si>
  <si>
    <t>V8162</t>
  </si>
  <si>
    <t>吴苑</t>
  </si>
  <si>
    <t>8260</t>
  </si>
  <si>
    <t>DAX Wood Document Frame</t>
  </si>
  <si>
    <t>Hon Metal Bookcases, Black</t>
  </si>
  <si>
    <t>唐钊</t>
  </si>
  <si>
    <t>Linden® 12" Wall Clock With Oak Frame</t>
  </si>
  <si>
    <t>6000</t>
  </si>
  <si>
    <t>Eldon Delta Triangular Chair Mat, 52" x 58", Clear</t>
  </si>
  <si>
    <t>尹捷</t>
  </si>
  <si>
    <t>Brown Kraft Recycled Envelopes</t>
  </si>
  <si>
    <t>Wirebound Message Book, 4 per Page</t>
  </si>
  <si>
    <t>Sony MFD2HD Formatted Diskettes, 10/Pack</t>
  </si>
  <si>
    <t>Space Solutions Commercial Steel Shelving</t>
  </si>
  <si>
    <t>Flexible Leather- Look Classic Collection Ring Binder</t>
  </si>
  <si>
    <t>Keytronic Designer 104- Key Black Keyboard</t>
  </si>
  <si>
    <t>DAX Natural Wood-Tone Poster Frame</t>
  </si>
  <si>
    <t>Eldon Pizzaz™ Desk Accessories</t>
  </si>
  <si>
    <t>赵龙丽</t>
  </si>
  <si>
    <t>Tyvek Interoffice Envelopes, 9 1/2" x 12 1/2", 100/Box</t>
  </si>
  <si>
    <t>Acco Recycled 2" Capacity Laser Printer Hanging Data Binders</t>
  </si>
  <si>
    <t>李善轩</t>
  </si>
  <si>
    <t>Global Leather Executive Chair</t>
  </si>
  <si>
    <t>Brites Rubber Bands, 1 1/2 oz. Box</t>
  </si>
  <si>
    <t>张中立</t>
  </si>
  <si>
    <t>O'Sullivan Manor Hill 2-Door Library in Brianna Oak</t>
  </si>
  <si>
    <t>谢江涛</t>
  </si>
  <si>
    <t>Fellowes Basic 104-Key Keyboard, Platinum</t>
  </si>
  <si>
    <t>高涛</t>
  </si>
  <si>
    <t>Accessory29</t>
  </si>
  <si>
    <t>Maxell Pro 80 Minute CD-R, 10/Pack</t>
  </si>
  <si>
    <t>US Robotics 56K V.92 Internal PCI Faxmodem</t>
  </si>
  <si>
    <t>驻马店</t>
  </si>
  <si>
    <t>Xerox 1941</t>
  </si>
  <si>
    <t>杨雅昆</t>
  </si>
  <si>
    <t>Xerox 1910</t>
  </si>
  <si>
    <t>丁向晖</t>
  </si>
  <si>
    <t>Avery 05222 Permanent Self-Adhesive File Folder Labels for Typewriters, on Rolls, White, 250/Roll</t>
  </si>
  <si>
    <t>金城</t>
  </si>
  <si>
    <t>Ibico EB-19 Dual Function Manual Binding System</t>
  </si>
  <si>
    <t>#10- 4 1/8" x 9 1/2" Security-Tint Envelopes</t>
  </si>
  <si>
    <t>罗骅</t>
  </si>
  <si>
    <t>Southworth 25% Cotton Premium Laser Paper and Envelopes</t>
  </si>
  <si>
    <t>Global Deluxe Office Fabric Chairs</t>
  </si>
  <si>
    <t>程毅</t>
  </si>
  <si>
    <t>Global Leather Highback Executive Chair with Pneumatic Height Adjustment, Black</t>
  </si>
  <si>
    <t>李志坚</t>
  </si>
  <si>
    <t>Howard Miller Distant Time Traveler Alarm Clock</t>
  </si>
  <si>
    <t>Chromcraft 48" x 96" Racetrack Double Pedestal Table</t>
  </si>
  <si>
    <t>吴贵樱</t>
  </si>
  <si>
    <t>高瑞光</t>
  </si>
  <si>
    <t>Electrix Fluorescent Magnifier Lamps &amp; Weighted Base</t>
  </si>
  <si>
    <t>Acco Pressboard Covers with Storage Hooks, 14 7/8" x 11", Light Blue</t>
  </si>
  <si>
    <t>Economy Binders</t>
  </si>
  <si>
    <t>Micro Innovations Micro 3000 Keyboard, Black</t>
  </si>
  <si>
    <t>Regeneration Desk Collection</t>
  </si>
  <si>
    <t>O'Sullivan 5-Shelf Heavy-Duty Bookcases</t>
  </si>
  <si>
    <t>莱芜</t>
  </si>
  <si>
    <t>DAX Cubicle Frames, 8-1/2 x 11</t>
  </si>
  <si>
    <t>王然</t>
  </si>
  <si>
    <t>何伟</t>
  </si>
  <si>
    <t>Bevis Round Bullnose 29" High Table Top</t>
  </si>
  <si>
    <t>吕则强</t>
  </si>
  <si>
    <t>崔婕</t>
  </si>
  <si>
    <t>Tenex B1-RE Series Chair Mats for Low Pile Carpets</t>
  </si>
  <si>
    <t>厦门</t>
  </si>
  <si>
    <t>Xerox 1932</t>
  </si>
  <si>
    <t>O'Sullivan 3-Shelf Heavy-Duty Bookcases</t>
  </si>
  <si>
    <t>佛山</t>
  </si>
  <si>
    <t>Global Deluxe High-Back Office Chair in Storm</t>
  </si>
  <si>
    <t>宋添翼</t>
  </si>
  <si>
    <t>Novimex Swivel Fabric Task Chair</t>
  </si>
  <si>
    <t>GBC Prepunched Paper, 19-Hole, for Binding Systems, 24-lb</t>
  </si>
  <si>
    <t>Wilson Jones Turn Tabs Binder Tool for Ring Binders</t>
  </si>
  <si>
    <t>GBC Recycled Grain Textured Covers</t>
  </si>
  <si>
    <t>Xerox 1977</t>
  </si>
  <si>
    <t>周华强</t>
  </si>
  <si>
    <t>AT&amp;T 2230 Dual Handset Phone With Caller ID/Call Waiting</t>
  </si>
  <si>
    <t>吕文龙</t>
  </si>
  <si>
    <t>朱洪利</t>
  </si>
  <si>
    <t>Staples Surge Protector 6 outlet</t>
  </si>
  <si>
    <t>Berol Giant Pencil Sharpener</t>
  </si>
  <si>
    <t>Hon 61000 Series Interactive Training Tables</t>
  </si>
  <si>
    <t>Staples Colored Interoffice Envelopes</t>
  </si>
  <si>
    <t>Hon Deluxe Fabric Upholstered Stacking Chairs</t>
  </si>
  <si>
    <t>Tenex Traditional Chairmats for Medium Pile Carpet, Standard Lip, 36" x 48"</t>
  </si>
  <si>
    <t>周进科</t>
  </si>
  <si>
    <t xml:space="preserve">夏青 </t>
  </si>
  <si>
    <t>闫洁</t>
  </si>
  <si>
    <t>李若愚</t>
  </si>
  <si>
    <t>Belkin MediaBoard 104- Keyboard</t>
  </si>
  <si>
    <t>Xerox 1894</t>
  </si>
  <si>
    <t>Array® Parchment Paper, Assorted Colors</t>
  </si>
  <si>
    <t>Master Caster Door Stop, Gray</t>
  </si>
  <si>
    <t>Newell 337</t>
  </si>
  <si>
    <t>李栋亮</t>
  </si>
  <si>
    <t>Imation Primaris 3.5" 2HD Unformatted Diskettes, 10/Pack</t>
  </si>
  <si>
    <t>吴生</t>
  </si>
  <si>
    <t>Okidata ML520 Series Dot Matrix Printers</t>
  </si>
  <si>
    <t>TOPS Voice Message Log Book, Flash Format</t>
  </si>
  <si>
    <t>Epson DFX5000+ Dot Matrix Printer</t>
  </si>
  <si>
    <t>Newell 320</t>
  </si>
  <si>
    <t>王云安</t>
  </si>
  <si>
    <t>GBC Recycled Regency Composition Covers</t>
  </si>
  <si>
    <t>许磊明</t>
  </si>
  <si>
    <t>抚顺</t>
  </si>
  <si>
    <t>宋宏波</t>
  </si>
  <si>
    <t>赵爽</t>
  </si>
  <si>
    <t>i2000</t>
  </si>
  <si>
    <t>桂林</t>
  </si>
  <si>
    <t>李杰仁</t>
  </si>
  <si>
    <t>李晓冬</t>
  </si>
  <si>
    <t>GBC Wire Binding Strips</t>
  </si>
  <si>
    <t>Adams Phone Message Book, Professional, 400 Message Capacity, 5 3/6” x 11”</t>
  </si>
  <si>
    <t>Logitech Internet Navigator Keyboard</t>
  </si>
  <si>
    <t>Xerox 1936</t>
  </si>
  <si>
    <t>Xerox 214</t>
  </si>
  <si>
    <t>若愚舅</t>
  </si>
  <si>
    <t>Acco Keyboard-In-A-Box®</t>
  </si>
  <si>
    <t>陆成</t>
  </si>
  <si>
    <t>Belkin 5 Outlet SurgeMaster™ Power Centers</t>
  </si>
  <si>
    <t>Staples® General Use 3-Ring Binders</t>
  </si>
  <si>
    <t>邱丽敏</t>
  </si>
  <si>
    <t>郭红菱</t>
  </si>
  <si>
    <t>赵伟</t>
  </si>
  <si>
    <t>Canon P1-DHIII Palm Printing Calculator</t>
  </si>
  <si>
    <t>Acco Six-Outlet Power Strip, 4' Cord Length</t>
  </si>
  <si>
    <t>唐山</t>
  </si>
  <si>
    <t>谢子扬</t>
  </si>
  <si>
    <t>包头</t>
  </si>
  <si>
    <t>胡磊华</t>
  </si>
  <si>
    <t>Staples 10" Round Wall Clock</t>
  </si>
  <si>
    <t>李聪</t>
  </si>
  <si>
    <t>Hoover Commercial Soft Guard Upright Vacuum And Disposable Filtration Bags</t>
  </si>
  <si>
    <t>Deflect-o DuraMat Antistatic Studded Beveled Mat for Medium Pile Carpeting</t>
  </si>
  <si>
    <t>Avery 503</t>
  </si>
  <si>
    <t>李小青</t>
  </si>
  <si>
    <t>Targus USB Numeric Keypad</t>
  </si>
  <si>
    <t>王晨</t>
  </si>
  <si>
    <t>Trav-L-File Heavy-Duty Shuttle II, Black</t>
  </si>
  <si>
    <t>Acco Perma® 2700 Stacking Storage Drawers</t>
  </si>
  <si>
    <t>董先生</t>
  </si>
  <si>
    <t>Black Print Carbonless Snap-Off® Rapid Letter, 8 1/2" x 7"</t>
  </si>
  <si>
    <t>"While you Were Out" Message Book, One Form per Page</t>
  </si>
  <si>
    <t>3390</t>
  </si>
  <si>
    <t>Accessory36</t>
  </si>
  <si>
    <t>陈平</t>
  </si>
  <si>
    <t>吴向鹏</t>
  </si>
  <si>
    <t>Honeywell Enviracaire® Portable HEPA Air Cleaner for up to 10 x 16 Room</t>
  </si>
  <si>
    <t>Surelock™ Post Binders</t>
  </si>
  <si>
    <t>i1000plus</t>
  </si>
  <si>
    <t>Carina Double Wide Media Storage Towers in Natural &amp; Black</t>
  </si>
  <si>
    <t>Advantus Panel Wall Certificate Holder - 8.5x11</t>
  </si>
  <si>
    <t>Xerox 19</t>
  </si>
  <si>
    <t>李大智</t>
  </si>
  <si>
    <t>Canon F603 Scientific Calculator</t>
  </si>
  <si>
    <t>鹤岗</t>
  </si>
  <si>
    <t>何毕</t>
  </si>
  <si>
    <t>Hammermill Color Copier Paper (28Lb. and 96 Bright)</t>
  </si>
  <si>
    <t>Wilson Jones Elliptical Ring 3 1/2" Capacity Binders, 800 sheets</t>
  </si>
  <si>
    <t>Hon Olson Stacker Stools</t>
  </si>
  <si>
    <t>688</t>
  </si>
  <si>
    <t>6340</t>
  </si>
  <si>
    <t>高亮</t>
  </si>
  <si>
    <t>邱威微</t>
  </si>
  <si>
    <t>阳泉</t>
  </si>
  <si>
    <t>Luxo Professional Combination Clamp-On Lamps</t>
  </si>
  <si>
    <t>Revere Boxed Rubber Bands by Revere</t>
  </si>
  <si>
    <t>Newell 312</t>
  </si>
  <si>
    <t>Verbatim DVD-R, 3.95GB, SR, Mitsubishi Branded, Jewel</t>
  </si>
  <si>
    <t>张标</t>
  </si>
  <si>
    <t>Microsoft Office Keyboard</t>
  </si>
  <si>
    <t xml:space="preserve">王英 </t>
  </si>
  <si>
    <t>Okidata ML184 Turbo Dot Matrix Printers</t>
  </si>
  <si>
    <t>GE 48" Fluorescent Tube, Cool White Energy Saver, 34 Watts, 30/Box</t>
  </si>
  <si>
    <t>乔辉</t>
  </si>
  <si>
    <t>V 3600 Series</t>
  </si>
  <si>
    <t>肖泽泉</t>
  </si>
  <si>
    <t>张胜</t>
  </si>
  <si>
    <t>Tennsco Regal Shelving Units</t>
  </si>
  <si>
    <t>胡敏敏</t>
  </si>
  <si>
    <t>铜川</t>
  </si>
  <si>
    <t>姜赟</t>
  </si>
  <si>
    <t>Xerox 1926</t>
  </si>
  <si>
    <t>Acco Smartsocket™ Table Surge Protector, 6 Color-Coded Adapter Outlets</t>
  </si>
  <si>
    <t xml:space="preserve">孙牡丹 </t>
  </si>
  <si>
    <t>许磊</t>
  </si>
  <si>
    <t>GBC Linen Binding Covers</t>
  </si>
  <si>
    <t>Avanti 4.4 Cu. Ft. Refrigerator</t>
  </si>
  <si>
    <t>胡燕生</t>
  </si>
  <si>
    <t>Microsoft Natural Multimedia Keyboard</t>
  </si>
  <si>
    <t>邱车明</t>
  </si>
  <si>
    <t>Bravo II™ Megaboss® 12-Amp Hard Body Upright, Replacement Belts, 2 Belts per Pack</t>
  </si>
  <si>
    <t>Xerox 188</t>
  </si>
  <si>
    <t>胡云格</t>
  </si>
  <si>
    <t>Companion Letter/Legal File, Black</t>
  </si>
  <si>
    <t>Howard Miller 13" Diameter Goldtone Round Wall Clock</t>
  </si>
  <si>
    <t>Avery 478</t>
  </si>
  <si>
    <t>Newell 339</t>
  </si>
  <si>
    <t>Global Stack Chair without Arms, Black</t>
  </si>
  <si>
    <t>侯月明</t>
  </si>
  <si>
    <t>赵瑛杰</t>
  </si>
  <si>
    <t>Tenex File Box, Personal Filing Tote with Lid, Black</t>
  </si>
  <si>
    <t>Executive Impressions 8-1/2" Career Panel/Partition Cubicle Clock</t>
  </si>
  <si>
    <t>Xerox 1962</t>
  </si>
  <si>
    <t>Xerox 1887</t>
  </si>
  <si>
    <t>费英</t>
  </si>
  <si>
    <t>李宇辉</t>
  </si>
  <si>
    <t>Lexmark Z55se Color Inkjet Printer</t>
  </si>
  <si>
    <t>Sauder Camden County Collection Library</t>
  </si>
  <si>
    <t>Round Specialty Laser Printer Labels</t>
  </si>
  <si>
    <t>Array® Memo Cubes</t>
  </si>
  <si>
    <t>吴千郡</t>
  </si>
  <si>
    <t>GBC VeloBinder Electric Binding Machine</t>
  </si>
  <si>
    <t>Fellowes Mobile Numeric Keypad, Graphite</t>
  </si>
  <si>
    <t>Polycom ViaVideo™ Desktop Video Communications Unit</t>
  </si>
  <si>
    <t>Staples Wirebound Steno Books, 6" x 9", 12/Pack</t>
  </si>
  <si>
    <t>谢建</t>
  </si>
  <si>
    <t>赵永根</t>
  </si>
  <si>
    <t>Bionaire Personal Warm Mist Humidifier/Vaporizer</t>
  </si>
  <si>
    <t>Avery® Durable Slant Ring Binders With Label Holder</t>
  </si>
  <si>
    <t>Wilson Jones DublLock® D-Ring Binders</t>
  </si>
  <si>
    <t>蔡松</t>
  </si>
  <si>
    <t>宋勇民</t>
  </si>
  <si>
    <t>石景涛</t>
  </si>
  <si>
    <t>36X48 HARDFLOOR CHAIRMAT</t>
  </si>
  <si>
    <t>贺晓波</t>
  </si>
  <si>
    <t>Acme® Preferred Stainless Steel Scissors</t>
  </si>
  <si>
    <t>Fellowes Premier Superior Surge Suppressor, 10-Outlet, With Phone and Remote</t>
  </si>
  <si>
    <t>Sanford Colorific Colored Pencils, 12/Box</t>
  </si>
  <si>
    <t xml:space="preserve">孙羽 </t>
  </si>
  <si>
    <t>9-3/4 Diameter Round Wall Clock</t>
  </si>
  <si>
    <t>TimeportP7382</t>
  </si>
  <si>
    <t>Tyvek ® Top-Opening Peel &amp; Seel Envelopes, Plain White</t>
  </si>
  <si>
    <t>Hon 4700 Series Mobuis™ Mid-Back Task Chairs with Adjustable Arms</t>
  </si>
  <si>
    <t>向羽</t>
  </si>
  <si>
    <t>IBM Active Response Keyboard, Black</t>
  </si>
  <si>
    <t>Avery Trapezoid Extra Heavy Duty 4" Binders</t>
  </si>
  <si>
    <t>周华</t>
  </si>
  <si>
    <t>石嘴山</t>
  </si>
  <si>
    <t>Office Impressions Heavy Duty Welded Shelving &amp; Multimedia Storage Drawers</t>
  </si>
  <si>
    <t>Fluorescent Highlighters by Dixon</t>
  </si>
  <si>
    <t>Binney &amp; Smith inkTank™ Erasable Pocket Highlighter, Chisel Tip, Yellow</t>
  </si>
  <si>
    <t>朱梅芳</t>
  </si>
  <si>
    <t>Zebra Zazzle Fluorescent Highlighters</t>
  </si>
  <si>
    <t>Holmes Cool Mist Humidifier for the Whole House with 8-Gallon Output per Day, Extended Life Filter</t>
  </si>
  <si>
    <t>胡培生</t>
  </si>
  <si>
    <t>张瑶</t>
  </si>
  <si>
    <t>孙大强</t>
  </si>
  <si>
    <t>Hand-Finished Solid Wood Document Frame</t>
  </si>
  <si>
    <t>Eaton Premium Continuous-Feed Paper, 25% Cotton, Letter Size, White, 1000 Shts/Box</t>
  </si>
  <si>
    <t>朱春龙</t>
  </si>
  <si>
    <t>李瑞瑞</t>
  </si>
  <si>
    <t xml:space="preserve">韩海泳 </t>
  </si>
  <si>
    <t>Avery Durable Poly Binders</t>
  </si>
  <si>
    <t>Memorex Slim 80 Minute CD-R, 10/Pack</t>
  </si>
  <si>
    <t>包正立</t>
  </si>
  <si>
    <t>Xerox 1991</t>
  </si>
  <si>
    <t>2180</t>
  </si>
  <si>
    <t>肖珊</t>
  </si>
  <si>
    <t>本溪</t>
  </si>
  <si>
    <t>Hon Pagoda™ Stacking Chairs</t>
  </si>
  <si>
    <t>Sauder Camden County Collection Libraries, Planked Cherry Finish</t>
  </si>
  <si>
    <t>Polycom Soundstation EX Audio-Conferencing Telephone, Black</t>
  </si>
  <si>
    <t>Imation IBM Formatted Diskettes, 100/Pack</t>
  </si>
  <si>
    <t>楼永飞</t>
  </si>
  <si>
    <t>Acme Galleria® Hot Forged Steel Scissors with Colored Handles</t>
  </si>
  <si>
    <t>Global Ergonomic Managers Chair</t>
  </si>
  <si>
    <t>杨琼</t>
  </si>
  <si>
    <t>Boston KS Multi-Size Manual Pencil Sharpener</t>
  </si>
  <si>
    <t>Hunt BOSTON® Vista® Battery-Operated Pencil Sharpener, Black</t>
  </si>
  <si>
    <t>Belkin 107-key enhanced keyboard, USB/PS/2 interface</t>
  </si>
  <si>
    <t>Stacking Tray, Side-Loading, Legal, Smoke</t>
  </si>
  <si>
    <t>嘉兴</t>
  </si>
  <si>
    <t>Xerox 1897</t>
  </si>
  <si>
    <t>Acco Smartsocket® Color-Coded Six-Outlet AC Adapter Model Surge Protectors</t>
  </si>
  <si>
    <t>柳刚</t>
  </si>
  <si>
    <t>周雨生</t>
  </si>
  <si>
    <t>Bevis Boat-Shaped Conference Table</t>
  </si>
  <si>
    <t>宋冰雪</t>
  </si>
  <si>
    <t>齐洪军</t>
  </si>
  <si>
    <t>Hoover Upright Vacuum With Dirt Cup</t>
  </si>
  <si>
    <t>杜美玲</t>
  </si>
  <si>
    <t>高雁</t>
  </si>
  <si>
    <t>Westinghouse Clip-On Gooseneck Lamps</t>
  </si>
  <si>
    <t>Xerox 1996</t>
  </si>
  <si>
    <t xml:space="preserve">杜浩  </t>
  </si>
  <si>
    <t>宿迁</t>
  </si>
  <si>
    <t>何碧刚</t>
  </si>
  <si>
    <t>600 Series Flip</t>
  </si>
  <si>
    <t>高鹏</t>
  </si>
  <si>
    <t>Xerox 1954</t>
  </si>
  <si>
    <t>王金凯</t>
  </si>
  <si>
    <t>巴朗</t>
  </si>
  <si>
    <t>Eldon Econocleat® Chair Mats for Low Pile Carpets</t>
  </si>
  <si>
    <t>A1228</t>
  </si>
  <si>
    <t>唐丽娜</t>
  </si>
  <si>
    <t>V70</t>
  </si>
  <si>
    <t>Xerox 199</t>
  </si>
  <si>
    <t xml:space="preserve">朱英 </t>
  </si>
  <si>
    <t>洪岩</t>
  </si>
  <si>
    <t>Avery Self-Adhesive Photo Pockets for Polaroid Photos</t>
  </si>
  <si>
    <t>王晨柯</t>
  </si>
  <si>
    <t>Xerox Blank Computer Paper</t>
  </si>
  <si>
    <t>胡磊</t>
  </si>
  <si>
    <t>张玉信</t>
  </si>
  <si>
    <t>Martin-Yale Premier Letter Opener</t>
  </si>
  <si>
    <t>600 Series Non-Flip</t>
  </si>
  <si>
    <t>Recycled Premium Regency Composition Covers</t>
  </si>
  <si>
    <t>Atlantic Metals Mobile 5-Shelf Bookcases, Custom Colors</t>
  </si>
  <si>
    <t>Hewlett-Packard 2600DN Business Color Inkjet Printer</t>
  </si>
  <si>
    <t>Office Star - Ergonomic Mid Back Chair with 2-Way Adjustable Arms</t>
  </si>
  <si>
    <t>徐萍</t>
  </si>
  <si>
    <t>Hewlett-Packard Deskjet 940 REFURBISHED Color Inkjet Printer</t>
  </si>
  <si>
    <t>Dana Fluorescent Magnifying Lamp, White, 36"</t>
  </si>
  <si>
    <t>Novimex Fabric Task Chair</t>
  </si>
  <si>
    <t>Xerox 191</t>
  </si>
  <si>
    <t>邱文龙</t>
  </si>
  <si>
    <t>StarTAC ST7868</t>
  </si>
  <si>
    <t>OIC Thumb-Tacks</t>
  </si>
  <si>
    <t>Atlantic Metals Mobile 2-Shelf Bookcases, Custom Colors</t>
  </si>
  <si>
    <t>M70</t>
  </si>
  <si>
    <t xml:space="preserve"> 闫杰</t>
  </si>
  <si>
    <t>长治</t>
  </si>
  <si>
    <t>Recycled Interoffice Envelopes with String and Button Closure, 10 x 13</t>
  </si>
  <si>
    <t>Chromcraft Bull-Nose Wood 48" x 96" Rectangular Conference Tables</t>
  </si>
  <si>
    <t>胡国平</t>
  </si>
  <si>
    <t>Xerox 1994</t>
  </si>
  <si>
    <t>It's Hot Message Books with Stickers, 2 3/4" x 5"</t>
  </si>
  <si>
    <t>Fellowes Recycled Storage Drawers</t>
  </si>
  <si>
    <t>Magna Visual Magnetic Picture Hangers</t>
  </si>
  <si>
    <t>Staples Copy Paper (20Lb. and 84 Bright)</t>
  </si>
  <si>
    <t>张丽涛</t>
  </si>
  <si>
    <t>Zoom V.92 USB External Faxmodem</t>
  </si>
  <si>
    <t>Lock-Up Easel 'Spel-Binder'</t>
  </si>
  <si>
    <t>张燕</t>
  </si>
  <si>
    <t>Binney &amp; Smith inkTank™ Erasable Desk Highlighter, Chisel Tip, Yellow, 12/Box</t>
  </si>
  <si>
    <t>四平</t>
  </si>
  <si>
    <t>Cardinal Holdit Business Card Pockets</t>
  </si>
  <si>
    <t>王山</t>
  </si>
  <si>
    <t>焦作</t>
  </si>
  <si>
    <t>i1000</t>
  </si>
  <si>
    <t>吕嘉伟</t>
  </si>
  <si>
    <t>高聪</t>
  </si>
  <si>
    <t>周丽</t>
  </si>
  <si>
    <t>Accessory41</t>
  </si>
  <si>
    <t>i500plus</t>
  </si>
  <si>
    <t>赵和贵</t>
  </si>
  <si>
    <t>李婧</t>
  </si>
  <si>
    <t>Presstex Flexible Ring Binders</t>
  </si>
  <si>
    <t>黄丽丽</t>
  </si>
  <si>
    <t>李江玲</t>
  </si>
  <si>
    <t>Prang Colored Pencils</t>
  </si>
  <si>
    <t>倪合明</t>
  </si>
  <si>
    <t>Tenex Personal Self-Stacking Standard File Box, Black/Gray</t>
  </si>
  <si>
    <t>Maxell DVD-RAM Discs</t>
  </si>
  <si>
    <t>济南</t>
  </si>
  <si>
    <t xml:space="preserve">吕一楠 </t>
  </si>
  <si>
    <t>GBC Imprintable Covers</t>
  </si>
  <si>
    <t>3.5" IBM Formatted Diskettes, DS/HD</t>
  </si>
  <si>
    <t>Staples Pen Style Liquid Stix; Assorted (yellow, pink, green, blue, orange), 5/Pack</t>
  </si>
  <si>
    <t>吕新平</t>
  </si>
  <si>
    <t>Gould Plastics 9-Pocket Panel Bin, 18-3/8w x 5-1/4d x 20-1/2h, Black</t>
  </si>
  <si>
    <t>Accessory34</t>
  </si>
  <si>
    <t>邱立强</t>
  </si>
  <si>
    <t>孙则强</t>
  </si>
  <si>
    <t>Rogers® Profile Extra Capacity Storage Tub</t>
  </si>
  <si>
    <t>赵广丽</t>
  </si>
  <si>
    <t>Newell 329</t>
  </si>
  <si>
    <t>雅安</t>
  </si>
  <si>
    <t>Post-it® “Important Message” Note Pad, Neon Colors, 50 Sheets/Pad</t>
  </si>
  <si>
    <t>Epson Stylus 1520 Color Inkjet Printer</t>
  </si>
  <si>
    <t>SouthWestern Bell FA970 Digital Answering Machine with Time/Day Stamp</t>
  </si>
  <si>
    <t>邢雁</t>
  </si>
  <si>
    <t>Southworth Structures Collection™</t>
  </si>
  <si>
    <t>任磊</t>
  </si>
  <si>
    <t>Panasonic All Digital Answering System with Caller ID*, KX-TM150B</t>
  </si>
  <si>
    <t>丰涛云</t>
  </si>
  <si>
    <t>Ampad #10 Peel &amp; Seel® Holiday Envelopes</t>
  </si>
  <si>
    <t>Xerox 1940</t>
  </si>
  <si>
    <t>于丹</t>
  </si>
  <si>
    <t>2300 Heavy-Duty Transfer File Systems by Perma</t>
  </si>
  <si>
    <t>Blue String-Tie &amp; Button Interoffice Envelopes, 10 x 13</t>
  </si>
  <si>
    <t>Hewlett-Packard Deskjet 3820 Color Inkjet Printer</t>
  </si>
  <si>
    <t>Accessory25</t>
  </si>
  <si>
    <t>GBC Twin Loop™ Wire Binding Elements, 9/16" Spine, Black</t>
  </si>
  <si>
    <t>Avery Hi-Liter® Fluorescent Desk Style Markers</t>
  </si>
  <si>
    <t>姚松中</t>
  </si>
  <si>
    <t>Carina Mini System Audio Rack, Model AR050B</t>
  </si>
  <si>
    <t>湖州</t>
  </si>
  <si>
    <t>傅天骄</t>
  </si>
  <si>
    <t>Panasonic KX-P2130 Dot Matrix Printer</t>
  </si>
  <si>
    <t>九江</t>
  </si>
  <si>
    <t>DAX Charcoal/Nickel-Tone Document Frame, 5 x 7</t>
  </si>
  <si>
    <t>iDEN i95</t>
  </si>
  <si>
    <t>Electrix Halogen Magnifier Lamp</t>
  </si>
  <si>
    <t>邱海军</t>
  </si>
  <si>
    <t>周智宇</t>
  </si>
  <si>
    <t>Flat Face Poster Frame</t>
  </si>
  <si>
    <t>Accessory17</t>
  </si>
  <si>
    <t>吕草莓</t>
  </si>
  <si>
    <t>高浩</t>
  </si>
  <si>
    <t>Belkin 7 Outlet SurgeMaster Surge Protector with Phone Protection</t>
  </si>
  <si>
    <t>Anderson Hickey Conga Table Tops &amp; Accessories</t>
  </si>
  <si>
    <t>Plastic Binding Combs</t>
  </si>
  <si>
    <t>黄子博</t>
  </si>
  <si>
    <t>Seth Thomas 14" Putty-Colored Wall Clock</t>
  </si>
  <si>
    <t>张波涛</t>
  </si>
  <si>
    <t>Pizazz® Global Quick File™</t>
  </si>
  <si>
    <t>Logitech Cordless Navigator Duo</t>
  </si>
  <si>
    <t>SimpliFile™ Personal File, Black Granite, 15w x 6-15/16d x 11-1/4h</t>
  </si>
  <si>
    <t>刘虎</t>
  </si>
  <si>
    <t>Polycom ViewStation™ Adapter H323 Videoconferencing Unit</t>
  </si>
  <si>
    <t>田霞</t>
  </si>
  <si>
    <t>GBC Plastic Binding Combs</t>
  </si>
  <si>
    <t>Global Commerce™ Series High-Back Swivel/Tilt Chairs</t>
  </si>
  <si>
    <t>谢湘琪</t>
  </si>
  <si>
    <t>Fellowes PB300 Plastic Comb Binding Machine</t>
  </si>
  <si>
    <t>Xerox 1934</t>
  </si>
  <si>
    <t>O'Sullivan Cherrywood Estates Traditional Barrister Bookcase</t>
  </si>
  <si>
    <t>IBM 80 Minute CD-R Spindle, 50/Pack</t>
  </si>
  <si>
    <t>王晓山</t>
  </si>
  <si>
    <t>Advantus 10-Drawer Portable Organizer, Chrome Metal Frame, Smoke Drawers</t>
  </si>
  <si>
    <t>Hon GuestStacker Chair</t>
  </si>
  <si>
    <t>唐菲</t>
  </si>
  <si>
    <t>Kensington 6 Outlet SmartSocket Surge Protector</t>
  </si>
  <si>
    <t>逄金龙</t>
  </si>
  <si>
    <t>Xerox 231</t>
  </si>
  <si>
    <t>宋辉</t>
  </si>
  <si>
    <t>232</t>
  </si>
  <si>
    <t>White GlueTop Scratch Pads</t>
  </si>
  <si>
    <t>Newell 342</t>
  </si>
  <si>
    <t>陈梅</t>
  </si>
  <si>
    <t>Honeywell Quietcare HEPA Air Cleaner</t>
  </si>
  <si>
    <t>Avery 496</t>
  </si>
  <si>
    <t>Xerox 1935</t>
  </si>
  <si>
    <t>王雨华</t>
  </si>
  <si>
    <t>Crayola Colored Pencils</t>
  </si>
  <si>
    <t>Belkin F9M820V08 8 Outlet Surge</t>
  </si>
  <si>
    <t xml:space="preserve">谢文聪  </t>
  </si>
  <si>
    <t>Acco Suede Grain Vinyl Round Ring Binder</t>
  </si>
  <si>
    <t>Eldon Image Series Black Desk Accessories</t>
  </si>
  <si>
    <t>Portable Personal File Box</t>
  </si>
  <si>
    <t>李承男</t>
  </si>
  <si>
    <t>Letter/Legal File Tote with Clear Snap-On Lid, Black Granite</t>
  </si>
  <si>
    <t>Jet-Pak Recycled Peel 'N' Seal Padded Mailers</t>
  </si>
  <si>
    <t>Spiral Phone Message Books with Labels by Adams</t>
  </si>
  <si>
    <t>5170i</t>
  </si>
  <si>
    <t>张凤</t>
  </si>
  <si>
    <t>张宇华</t>
  </si>
  <si>
    <t>高子祥</t>
  </si>
  <si>
    <t>O'Sullivan 4-Shelf Bookcase in Odessa Pine</t>
  </si>
  <si>
    <t>Global Enterprise Series Seating High-Back Swivel/Tilt Chairs</t>
  </si>
  <si>
    <t>广州</t>
  </si>
  <si>
    <t>Logitech Cordless Elite Duo</t>
  </si>
  <si>
    <t>周语乔</t>
  </si>
  <si>
    <t>唐勇浩</t>
  </si>
  <si>
    <t>谢丽</t>
  </si>
  <si>
    <t>Tennsco Commercial Shelving</t>
  </si>
  <si>
    <t>Canon PC1080F Personal Copier</t>
  </si>
  <si>
    <t>陈雷凯</t>
  </si>
  <si>
    <t>Eldon Radial Chair Mat for Low to Medium Pile Carpets</t>
  </si>
  <si>
    <t>Fellowes EZ Multi-Media Keyboard</t>
  </si>
  <si>
    <t>Holmes 99% HEPA Air Purifier</t>
  </si>
  <si>
    <t>Tensor "Hersey Kiss" Styled Floor Lamp</t>
  </si>
  <si>
    <t>Xerox 1906</t>
  </si>
  <si>
    <t>Fiskars® Softgrip Scissors</t>
  </si>
  <si>
    <t>Acme Kleencut® Forged Steel Scissors</t>
  </si>
  <si>
    <t>吴鹏</t>
  </si>
  <si>
    <t>闯广</t>
  </si>
  <si>
    <t>Memorex 80 Minute CD-R Spindle, 100/Pack</t>
  </si>
  <si>
    <t>费成杰</t>
  </si>
  <si>
    <t>双鸭山</t>
  </si>
  <si>
    <t>T193</t>
  </si>
  <si>
    <t>Stockwell Push Pins</t>
  </si>
  <si>
    <t>Recycled Eldon Regeneration Jumbo File</t>
  </si>
  <si>
    <t>陈宝艳</t>
  </si>
  <si>
    <t xml:space="preserve">王兰柱 </t>
  </si>
  <si>
    <t>Eureka Hand Vacuum, Bagless</t>
  </si>
  <si>
    <t>无锡</t>
  </si>
  <si>
    <t>DMI Arturo Collection Mission-style Design Wood Chair</t>
  </si>
  <si>
    <t>杨芳</t>
  </si>
  <si>
    <t>Space Solutions™ Industrial Galvanized Steel Shelving.</t>
  </si>
  <si>
    <t>朱冰雪</t>
  </si>
  <si>
    <t>邯郸</t>
  </si>
  <si>
    <t>Security-Tint Envelopes</t>
  </si>
  <si>
    <t>Avery 520</t>
  </si>
  <si>
    <t>邵菁菁</t>
  </si>
  <si>
    <t>Accessory9</t>
  </si>
  <si>
    <t>吴峰岩</t>
  </si>
  <si>
    <t>周楠楠</t>
  </si>
  <si>
    <t>Global Enterprise™ Series Seating Low-Back Swivel/Tilt Chairs</t>
  </si>
  <si>
    <t>马红菱</t>
  </si>
  <si>
    <t>Accessory23</t>
  </si>
  <si>
    <t>邓久光</t>
  </si>
  <si>
    <t>Acme® Office Executive Series Stainless Steel Trimmers</t>
  </si>
  <si>
    <t>Hewlett-Packard Deskjet 6122 Color Inkjet Printer</t>
  </si>
  <si>
    <t>高瑞瑞</t>
  </si>
  <si>
    <t>Xerox 1985</t>
  </si>
  <si>
    <t>陈鹏华</t>
  </si>
  <si>
    <t>攀枝花</t>
  </si>
  <si>
    <t>孟菲</t>
  </si>
  <si>
    <t>Eldon® 300 Class™ Desk Accessories, Black</t>
  </si>
  <si>
    <t>Staples 6 Outlet Surge</t>
  </si>
  <si>
    <t>Hon 4060 Series Tables</t>
  </si>
  <si>
    <t>Newell 307</t>
  </si>
  <si>
    <t>Acco D-Ring Binder w/DublLock®</t>
  </si>
  <si>
    <t>Executive Impressions 14" Contract Wall Clock</t>
  </si>
  <si>
    <t>卢贺</t>
  </si>
  <si>
    <t>Advantus Push Pins</t>
  </si>
  <si>
    <t>Rush Hierlooms Collection 1" Thick Stackable Bookcases</t>
  </si>
  <si>
    <t>Eldon® 200 Class™ Desk Accessories</t>
  </si>
  <si>
    <t>Eldon® Image Series Desk Accessories, Burgundy</t>
  </si>
  <si>
    <t>Accessory27</t>
  </si>
  <si>
    <t>程成</t>
  </si>
  <si>
    <t>Xerox 1953</t>
  </si>
  <si>
    <t xml:space="preserve">夏牡丹 </t>
  </si>
  <si>
    <t>Verbatim 4.7GB DVD-R</t>
  </si>
  <si>
    <t>Fellowes High-Stak® Drawer Files</t>
  </si>
  <si>
    <t>孙青烦</t>
  </si>
  <si>
    <t>朱震环</t>
  </si>
  <si>
    <t>Staples Battery-Operated Desktop Pencil Sharpener</t>
  </si>
  <si>
    <t>Zoom V.92 V.44 PCI Internal Controllerless FaxModem</t>
  </si>
  <si>
    <t>王学涛</t>
  </si>
  <si>
    <t>丹东</t>
  </si>
  <si>
    <t>Sauder Facets Collection Library, Sky Alder Finish</t>
  </si>
  <si>
    <t>于春涛</t>
  </si>
  <si>
    <t>Airmail Envelopes</t>
  </si>
  <si>
    <t>刘宣华</t>
  </si>
  <si>
    <t>晋城</t>
  </si>
  <si>
    <t>王金利</t>
  </si>
  <si>
    <t>Canon imageCLASS 2200 Advanced Copier</t>
  </si>
  <si>
    <t>3M Polarizing Light Filter Sleeves</t>
  </si>
  <si>
    <t>张东华</t>
  </si>
  <si>
    <t>王向</t>
  </si>
  <si>
    <t>张伟</t>
  </si>
  <si>
    <t>三门峡</t>
  </si>
  <si>
    <t>鞠卫宇</t>
  </si>
  <si>
    <t>Fellowes Officeware™ Wire Shelving</t>
  </si>
  <si>
    <t>IBM Numeric Access II Keypad, 17-Key, Black</t>
  </si>
  <si>
    <t>Prang Dustless Chalk Sticks</t>
  </si>
  <si>
    <t>Xerox 221</t>
  </si>
  <si>
    <t>5170</t>
  </si>
  <si>
    <t>TIMEPORT P8767</t>
  </si>
  <si>
    <t>唐毅</t>
  </si>
  <si>
    <t>Turquoise Lead Holder with Pocket Clip</t>
  </si>
  <si>
    <t>王天华</t>
  </si>
  <si>
    <t>Canon Image Class D660 Copier</t>
  </si>
  <si>
    <t>张玉丽</t>
  </si>
  <si>
    <t>姜昆明</t>
  </si>
  <si>
    <t>谢佩</t>
  </si>
  <si>
    <t>12 Colored Short Pencils</t>
  </si>
  <si>
    <t>赵岩东</t>
  </si>
  <si>
    <t>Staples #10 Colored Envelopes</t>
  </si>
  <si>
    <t>辽源</t>
  </si>
  <si>
    <t>Howard Miller 16" Diameter Gallery Wall Clock</t>
  </si>
  <si>
    <t>Xerox 1917</t>
  </si>
  <si>
    <t>Tuff Stuff™ Recycled Round Ring Binders</t>
  </si>
  <si>
    <t>Newell 327</t>
  </si>
  <si>
    <t>Kensington 4 Outlet MasterPiece® Compact Power Control Center</t>
  </si>
  <si>
    <t>高江涛</t>
  </si>
  <si>
    <t>张晓倩</t>
  </si>
  <si>
    <t>Fellowes Super Stor/Drawer® Files</t>
  </si>
  <si>
    <t>Astroparche® Fine Business Paper</t>
  </si>
  <si>
    <t>Avery® Durable Plastic 1" Binders</t>
  </si>
  <si>
    <t>Ibico Laser Imprintable Binding System Covers</t>
  </si>
  <si>
    <t>邹捷</t>
  </si>
  <si>
    <t>DS/HD IBM Formatted Diskettes, 10/Pack - Staples</t>
  </si>
  <si>
    <t>U.S. Robotics 56K Internet Call Modem</t>
  </si>
  <si>
    <t>Xerox 1920</t>
  </si>
  <si>
    <t>Newell 31</t>
  </si>
  <si>
    <t>Xerox 1993</t>
  </si>
  <si>
    <t>吴璇</t>
  </si>
  <si>
    <t>Fellowes Smart Surge Ten-Outlet Protector, Platinum</t>
  </si>
  <si>
    <t>Carina 42"Hx23 3/4"W Media Storage Unit</t>
  </si>
  <si>
    <t>Bevis Round Conference Room Tables and Bases</t>
  </si>
  <si>
    <t>魏涛云</t>
  </si>
  <si>
    <t>梧州</t>
  </si>
  <si>
    <t>青岛</t>
  </si>
  <si>
    <t>Accessory15</t>
  </si>
  <si>
    <t>谢若愚</t>
  </si>
  <si>
    <t>唐凤琴</t>
  </si>
  <si>
    <t>3M Hangers With Command Adhesive</t>
  </si>
  <si>
    <t>孟红飞</t>
  </si>
  <si>
    <t>Wirebound Message Books, 2 7/8" x 5", 3 Forms per Page</t>
  </si>
  <si>
    <t>姚纪鹏</t>
  </si>
  <si>
    <t>Staples Gold Paper Clips</t>
  </si>
  <si>
    <t>孙莉丽</t>
  </si>
  <si>
    <t>王添翼</t>
  </si>
  <si>
    <t xml:space="preserve">林祯舜  </t>
  </si>
  <si>
    <t xml:space="preserve">梅松林 </t>
  </si>
  <si>
    <t>宜昌</t>
  </si>
  <si>
    <t>赵蔚红</t>
  </si>
  <si>
    <t>Tensor Computer Mounted Lamp</t>
  </si>
  <si>
    <t>吴丽敏</t>
  </si>
  <si>
    <t>Deflect-o Glass Clear Studded Chair Mats</t>
  </si>
  <si>
    <t>任克强</t>
  </si>
  <si>
    <t>莆田</t>
  </si>
  <si>
    <t>王旭</t>
  </si>
  <si>
    <t>Xerox 1972</t>
  </si>
  <si>
    <t>余明刚</t>
  </si>
  <si>
    <t>SANFORD Major Accent™ Highlighters</t>
  </si>
  <si>
    <t xml:space="preserve">孙季 </t>
  </si>
  <si>
    <t>V2397</t>
  </si>
  <si>
    <t>Eldon Spacemaker® Box, Quick-Snap Lid, Clear</t>
  </si>
  <si>
    <t>吕青烦</t>
  </si>
  <si>
    <t>Xerox 20</t>
  </si>
  <si>
    <t>邱静</t>
  </si>
  <si>
    <t>陈桂英</t>
  </si>
  <si>
    <t>锦州</t>
  </si>
  <si>
    <t>Colorific® Watercolor Pencils</t>
  </si>
  <si>
    <t>巴中</t>
  </si>
  <si>
    <t>Avery Hi-Liter® EverBold™ Pen Style Fluorescent Highlighters, 4/Pack</t>
  </si>
  <si>
    <t>Tyvek ® Top-Opening Peel &amp; Seel ® Envelopes, Gray</t>
  </si>
  <si>
    <t>路广鹏</t>
  </si>
  <si>
    <t>宝鸡</t>
  </si>
  <si>
    <t>Xerox 1982</t>
  </si>
  <si>
    <t>Sanford EarthWrite® Recycled Pencils, Medium Soft, #2</t>
  </si>
  <si>
    <t>Premier Elliptical Ring Binder, Black</t>
  </si>
  <si>
    <t>Staples Colored Bar Computer Paper</t>
  </si>
  <si>
    <t>BASF Silver 74 Minute CD-R</t>
  </si>
  <si>
    <t>BOSTON® Ranger® #55 Pencil Sharpener, Black</t>
  </si>
  <si>
    <t>马林</t>
  </si>
  <si>
    <t>Eldon Shelf Savers™ Cubes and Bins</t>
  </si>
  <si>
    <t>Fellowes Neat Ideas® Storage Cubes</t>
  </si>
  <si>
    <t>Okidata ML591 Wide Format Dot Matrix Printer</t>
  </si>
  <si>
    <t>邱薇</t>
  </si>
  <si>
    <t>Self-Adhesive Ring Binder Labels</t>
  </si>
  <si>
    <t>Staples File Caddy</t>
  </si>
  <si>
    <t>成广庆</t>
  </si>
  <si>
    <t>Xerox 1959</t>
  </si>
  <si>
    <t>Elite 5" Scissors</t>
  </si>
  <si>
    <t>Acme® Elite Stainless Steel Scissors</t>
  </si>
  <si>
    <t>Epson LQ-570e Dot Matrix Printer</t>
  </si>
  <si>
    <t xml:space="preserve">李瑞礼  </t>
  </si>
  <si>
    <t>Xerox 197</t>
  </si>
  <si>
    <t>Polycom VoiceStation 100</t>
  </si>
  <si>
    <t>Phone 918</t>
  </si>
  <si>
    <t>Accohide Poly Flexible Ring Binders</t>
  </si>
  <si>
    <t>Colored Envelopes</t>
  </si>
  <si>
    <t>周翔然</t>
  </si>
  <si>
    <t>G.E. Halogen Desk Lamp Bulbs</t>
  </si>
  <si>
    <t>姚浩谦</t>
  </si>
  <si>
    <t>Computer Room Manger, 14"</t>
  </si>
  <si>
    <t>魏华</t>
  </si>
  <si>
    <t>Office Star Flex Back Scooter Chair with White Frame</t>
  </si>
  <si>
    <t>Canon S750 Color Inkjet Printer</t>
  </si>
  <si>
    <t>Xerox 1983</t>
  </si>
  <si>
    <t>Wirebound Four 2-3/4 x 5 Forms per Page, 400 Sets per Book</t>
  </si>
  <si>
    <t>刘丽梅</t>
  </si>
  <si>
    <t>Xerox 1971</t>
  </si>
  <si>
    <t>Imation 5.2GB DVD-RAM</t>
  </si>
  <si>
    <t>Eldon Cleatmat® Chair Mats for Medium Pile Carpets</t>
  </si>
  <si>
    <t>Fellowes Bases and Tops For Staxonsteel®/High-Stak® Systems</t>
  </si>
  <si>
    <t>Logitech Cordless Keyboard</t>
  </si>
  <si>
    <t>株洲</t>
  </si>
  <si>
    <t>Electrix 20W Halogen Replacement Bulb for Zoom-In Desk Lamp</t>
  </si>
  <si>
    <t>吴东霖</t>
  </si>
  <si>
    <t>赵鹏</t>
  </si>
  <si>
    <t>Premium Transparent Presentation Covers by GBC</t>
  </si>
  <si>
    <t>孙琳</t>
  </si>
  <si>
    <t>郝车明</t>
  </si>
  <si>
    <t xml:space="preserve">梁东  </t>
  </si>
  <si>
    <t>营口</t>
  </si>
  <si>
    <t>Avery 485</t>
  </si>
  <si>
    <t>侯月</t>
  </si>
  <si>
    <t>钱锋</t>
  </si>
  <si>
    <t>张伟明</t>
  </si>
  <si>
    <t>Storex Dura Pro™ Binders</t>
  </si>
  <si>
    <t>吴忠</t>
  </si>
  <si>
    <t>Telescoping Adjustable Floor Lamp</t>
  </si>
  <si>
    <t>胡骏</t>
  </si>
  <si>
    <t>Xerox 1951</t>
  </si>
  <si>
    <t>李亚静</t>
  </si>
  <si>
    <t>绍兴</t>
  </si>
  <si>
    <t>Round Ring Binders</t>
  </si>
  <si>
    <t>蒋振华</t>
  </si>
  <si>
    <t>邱平敏</t>
  </si>
  <si>
    <t>佩云</t>
  </si>
  <si>
    <t>泸州</t>
  </si>
  <si>
    <t>V8160</t>
  </si>
  <si>
    <t>刘海军</t>
  </si>
  <si>
    <t>Avery 511</t>
  </si>
  <si>
    <t>邢台</t>
  </si>
  <si>
    <t>孙游</t>
  </si>
  <si>
    <t>资阳</t>
  </si>
  <si>
    <t>Message Book, Standard Line "While You Were Out", 5 1/2" X 4", 200 Sets/Book</t>
  </si>
  <si>
    <t xml:space="preserve">刘佳 </t>
  </si>
  <si>
    <t>6185</t>
  </si>
  <si>
    <t>邓芳芳</t>
  </si>
  <si>
    <t>Howard Miller 12-3/4 Diameter Accuwave DS ™ Wall Clock</t>
  </si>
  <si>
    <t>Laminate Occasional Tables</t>
  </si>
  <si>
    <t>焦小明</t>
  </si>
  <si>
    <t>Telephone Message Books with Fax/Mobile Section, 4 1/4" x 6"</t>
  </si>
  <si>
    <t>吴小月</t>
  </si>
  <si>
    <t>淄博</t>
  </si>
  <si>
    <t>File Shuttle II and Handi-File, Black</t>
  </si>
  <si>
    <t>吴明华</t>
  </si>
  <si>
    <t>Verbatim DVD-R 4.7GB authoring disc</t>
  </si>
  <si>
    <t>洪小青</t>
  </si>
  <si>
    <t>北海</t>
  </si>
  <si>
    <t>包云峰</t>
  </si>
  <si>
    <t>300 Series Non-Flip</t>
  </si>
  <si>
    <t>朱强</t>
  </si>
  <si>
    <t>T61</t>
  </si>
  <si>
    <t>Hewlett-Packard Deskjet 1220Cse Color Inkjet Printer</t>
  </si>
  <si>
    <t xml:space="preserve">孙青 </t>
  </si>
  <si>
    <t>夏菲菲</t>
  </si>
  <si>
    <t>卢军</t>
  </si>
  <si>
    <t>乌海</t>
  </si>
  <si>
    <t>Panasonic KX-P3200 Dot Matrix Printer</t>
  </si>
  <si>
    <t>董可飞</t>
  </si>
  <si>
    <t>刘大强</t>
  </si>
  <si>
    <t>涂香</t>
  </si>
  <si>
    <t xml:space="preserve">张牡丹 </t>
  </si>
  <si>
    <t>GBC Clear Cover, 8-1/2 x 11, unpunched, 25 covers per pack</t>
  </si>
  <si>
    <t>赵利建</t>
  </si>
  <si>
    <t xml:space="preserve"> 陆路</t>
  </si>
  <si>
    <t>孙卫</t>
  </si>
  <si>
    <t>衢州</t>
  </si>
  <si>
    <t>褚红</t>
  </si>
  <si>
    <t>Ultra Door Pull Handle</t>
  </si>
  <si>
    <t>王国平</t>
  </si>
  <si>
    <t>Recycled Desk Saver Line "While You Were Out" Book, 5 1/2" X 4"</t>
  </si>
  <si>
    <t>高中明</t>
  </si>
  <si>
    <t>Sauder Camden County Barrister Bookcase, Planked Cherry Finish</t>
  </si>
  <si>
    <t>Xerox 1907</t>
  </si>
  <si>
    <t>210 Trimline Phone, White</t>
  </si>
  <si>
    <t>Xerox 1919</t>
  </si>
  <si>
    <t>邱昊</t>
  </si>
  <si>
    <t>宋丽</t>
  </si>
  <si>
    <t>毛新平</t>
  </si>
  <si>
    <t>咸阳</t>
  </si>
  <si>
    <t>Xerox 1963</t>
  </si>
  <si>
    <t>徐州</t>
  </si>
  <si>
    <t>Canon PC-428 Personal Copier</t>
  </si>
  <si>
    <t>C-Line Cubicle Keepers Polyproplyene Holder w/Velcro® Back, 8-1/2x11, 25/Bx</t>
  </si>
  <si>
    <t>王天宝</t>
  </si>
  <si>
    <t>徐光</t>
  </si>
  <si>
    <t>张毅</t>
  </si>
  <si>
    <t>Premium Writing Pencils, Soft, #2 by Central Association for the Blind</t>
  </si>
  <si>
    <t>Canon Imageclass D680 Copier / Fax</t>
  </si>
  <si>
    <t>Canon MP100DHII Printing Calculator</t>
  </si>
  <si>
    <t>Westinghouse Floor Lamp with Metal Mesh Shade, Black</t>
  </si>
  <si>
    <t>Southworth 25% Cotton Linen-Finish Paper &amp; Envelopes</t>
  </si>
  <si>
    <t>杨永根</t>
  </si>
  <si>
    <t>Black Print Carbonless 8 1/2" x 8 1/4" Rapid Memo Book</t>
  </si>
  <si>
    <t>Avoid Verbal Orders Carbonless Minifold Book</t>
  </si>
  <si>
    <t>通化</t>
  </si>
  <si>
    <t>Sharp EL501VB Scientific Calculator, Battery Operated, 10-Digit Display, Hard Case</t>
  </si>
  <si>
    <t>德阳</t>
  </si>
  <si>
    <t>Bretford “Just In Time” Height-Adjustable Multi-Task Work Tables</t>
  </si>
  <si>
    <t>Xerox 1937</t>
  </si>
  <si>
    <t>洛阳</t>
  </si>
  <si>
    <t>Standard Line™ “While You Were Out” Hardbound Telephone Message Book</t>
  </si>
  <si>
    <t>吴振华</t>
  </si>
  <si>
    <t>SAFCO Boltless Steel Shelving</t>
  </si>
  <si>
    <t>Memorex 'Cool' 80 Minute CD-R Spindle, 25/Pack</t>
  </si>
  <si>
    <t>罗娜</t>
  </si>
  <si>
    <t>金昌</t>
  </si>
  <si>
    <t>Executive Impressions 13-1/2" Indoor/Outdoor Wall Clock</t>
  </si>
  <si>
    <t>李纯青</t>
  </si>
  <si>
    <t>李宝敏</t>
  </si>
  <si>
    <t>陈雷</t>
  </si>
  <si>
    <t>淮南</t>
  </si>
  <si>
    <t>DPC 650 Piper</t>
  </si>
  <si>
    <t>GBC Durable Plastic Covers</t>
  </si>
  <si>
    <t>Eldon® Expressions™ Wood and Plastic Desk Accessories, Oak</t>
  </si>
  <si>
    <t>胡鸽</t>
  </si>
  <si>
    <t>杨钰</t>
  </si>
  <si>
    <t>Howard Miller 13-3/4" Diameter Brushed Chrome Round Wall Clock</t>
  </si>
  <si>
    <t>Pressboard Covers with Storage Hooks, 9 1/2" x 11", Light Blue</t>
  </si>
  <si>
    <t>Recycled Interoffice Envelopes with Re-Use-A-Seal® Closure, 10 x 13</t>
  </si>
  <si>
    <t>王向东</t>
  </si>
  <si>
    <t>朔州</t>
  </si>
  <si>
    <t>Micro Innovations Media Access Pro Keyboard</t>
  </si>
  <si>
    <t>Office Star - Professional Matrix Back Chair with 2-to-1 Synchro Tilt and Mesh Fabric Seat</t>
  </si>
  <si>
    <t>Poly Designer Cover &amp; Back</t>
  </si>
  <si>
    <t>安顺</t>
  </si>
  <si>
    <t>Adams Telephone Message Books, 5 1/4” x 11”</t>
  </si>
  <si>
    <t>襄阳</t>
  </si>
  <si>
    <t>范钺敏</t>
  </si>
  <si>
    <t>Snap-A-Way® Black Print Carbonless Speed Message, No Reply Area, Duplicate</t>
  </si>
  <si>
    <t>Xerox 1988</t>
  </si>
  <si>
    <t xml:space="preserve">辛青 </t>
  </si>
  <si>
    <t>Adams Write n' Stick Phone Message Book, 11" X 5 1/4", 200 Messages</t>
  </si>
  <si>
    <t>Hon 5100 Series Wood Tables</t>
  </si>
  <si>
    <t>张威微</t>
  </si>
  <si>
    <t>Hayes Optima 56K V.90 Internal Voice Modem</t>
  </si>
  <si>
    <t>Fellowes Command Center 5-outlet power strip</t>
  </si>
  <si>
    <t>Staples Vinyl Coated Paper Clips, 800/Box</t>
  </si>
  <si>
    <t>绵阳</t>
  </si>
  <si>
    <t xml:space="preserve">夏香香 </t>
  </si>
  <si>
    <t>三亚</t>
  </si>
  <si>
    <t>Wirebound Message Books, 5-1/2 x 4 Forms, 2 or 4 Forms per Page</t>
  </si>
  <si>
    <t>曹广丽</t>
  </si>
  <si>
    <t>魏然</t>
  </si>
  <si>
    <t>StarTAC Analog</t>
  </si>
  <si>
    <t>Ibico Ibimaster 300 Manual Binding System</t>
  </si>
  <si>
    <t>Acco PRESSTEX® Data Binder with Storage Hooks, Dark Blue, 9 1/2" X 11"</t>
  </si>
  <si>
    <t>Soundgear TeleForum DX Desktop Conference Phone</t>
  </si>
  <si>
    <t>赤峰</t>
  </si>
  <si>
    <t>CF 888</t>
  </si>
  <si>
    <t>Hewlett-Packard Business Color Inkjet 3000 [N, DTN] Series Printers</t>
  </si>
  <si>
    <t>翁瑞光</t>
  </si>
  <si>
    <t>Desktop 3-Pocket Hot File®</t>
  </si>
  <si>
    <t>大庆</t>
  </si>
  <si>
    <t>Xerox 226</t>
  </si>
  <si>
    <t>渭南</t>
  </si>
  <si>
    <t>6120</t>
  </si>
  <si>
    <t>河源</t>
  </si>
  <si>
    <t>保定</t>
  </si>
  <si>
    <t>O'Sullivan Living Dimensions 3-Shelf Bookcases</t>
  </si>
  <si>
    <t>Metal Folding Chairs, Beige, 4/Carton</t>
  </si>
  <si>
    <t>Adams "While You Were Out" Message Pads</t>
  </si>
  <si>
    <t>Gyration Ultra Cordless Optical Suite</t>
  </si>
  <si>
    <t>三明</t>
  </si>
  <si>
    <t>Chromcraft Rectangular Conference Tables</t>
  </si>
  <si>
    <t>枣庄</t>
  </si>
  <si>
    <t>湘潭</t>
  </si>
  <si>
    <t>马鞍山</t>
  </si>
  <si>
    <t>濮阳</t>
  </si>
  <si>
    <t>Xerox 1995</t>
  </si>
  <si>
    <t>晋中</t>
  </si>
  <si>
    <t>Luxo Adjustable Task Clamp Lamp</t>
  </si>
  <si>
    <t>费浚英</t>
  </si>
  <si>
    <t>广元</t>
  </si>
  <si>
    <t>GBC Poly Designer Binding Covers</t>
  </si>
  <si>
    <t>Xerox 229</t>
  </si>
  <si>
    <t>郑进科</t>
  </si>
  <si>
    <t>张璇</t>
  </si>
  <si>
    <t>Trimflex™ Flexible Post Binders</t>
  </si>
  <si>
    <t>Luxo Economy Swing Arm Lamp</t>
  </si>
  <si>
    <t>赣州</t>
  </si>
  <si>
    <t>Accessory12</t>
  </si>
  <si>
    <t>Holmes Harmony HEPA Air Purifier for 17 x 20 Room</t>
  </si>
  <si>
    <t>惠州</t>
  </si>
  <si>
    <t>R289LX</t>
  </si>
  <si>
    <t>Xerox 1888</t>
  </si>
  <si>
    <t>6162m</t>
  </si>
  <si>
    <t>吕志坚</t>
  </si>
  <si>
    <t>柴礼岩</t>
  </si>
  <si>
    <t>高宇</t>
  </si>
  <si>
    <t>Acme® Design Stainless Steel Bent Scissors</t>
  </si>
  <si>
    <t>Ames Color-File® Green Diamond Border X-ray Mailers</t>
  </si>
  <si>
    <t>包洁</t>
  </si>
  <si>
    <t>邱涛</t>
  </si>
  <si>
    <t>Lumber Crayons</t>
  </si>
  <si>
    <t>Ultra Door Push Plate</t>
  </si>
  <si>
    <t>荆州</t>
  </si>
  <si>
    <t xml:space="preserve">余季 </t>
  </si>
  <si>
    <t>Staples Paper Clips</t>
  </si>
  <si>
    <t>Eureka The Boss® Plus 12-Amp Hard Box Upright Vacuum, Red</t>
  </si>
  <si>
    <t>白银</t>
  </si>
  <si>
    <t>李明华</t>
  </si>
  <si>
    <t>Tenex Antistatic Computer Chair Mats</t>
  </si>
  <si>
    <t>Xerox 1974</t>
  </si>
  <si>
    <t>Fellowes Mobile File Cart, Black</t>
  </si>
  <si>
    <t>Xerox 1986</t>
  </si>
  <si>
    <t>通辽</t>
  </si>
  <si>
    <t>R280</t>
  </si>
  <si>
    <t>Fellowes Superior 10 Outlet Split Surge Protector</t>
  </si>
  <si>
    <t>蔡松玲</t>
  </si>
  <si>
    <t>MicroTAC 650</t>
  </si>
  <si>
    <t>Ibico EPK-21 Electric Binding System</t>
  </si>
  <si>
    <t>Avery 507</t>
  </si>
  <si>
    <t>常州</t>
  </si>
  <si>
    <t>Sanford Pocket Accent® Highlighters</t>
  </si>
  <si>
    <t>Fellowes Mighty 8 Compact Surge Protector</t>
  </si>
  <si>
    <t>Hoover® Commercial Lightweight Upright Vacuum</t>
  </si>
  <si>
    <t>朱凤</t>
  </si>
  <si>
    <t>王彪强</t>
  </si>
  <si>
    <t>Letter or Legal Size Expandable Poly String Tie Envelopes</t>
  </si>
  <si>
    <t xml:space="preserve">涂香香 </t>
  </si>
  <si>
    <t>Bush Advantage Collection® Racetrack Conference Table</t>
  </si>
  <si>
    <t>Xerox 1961</t>
  </si>
  <si>
    <t>吴晓冬</t>
  </si>
  <si>
    <t>Adams Telephone Message Book w/Frequently-Called Numbers Space, 400 Messages per Book</t>
  </si>
  <si>
    <t>White Business Envelopes with Contemporary Seam, Recycled White Business Envelopes</t>
  </si>
  <si>
    <t>Laser &amp; Ink Jet Business Envelopes</t>
  </si>
  <si>
    <t>Eldon Expressions™ Desk Accessory, Wood Photo Frame, Mahogany</t>
  </si>
  <si>
    <t>Hunt Boston® Vacuum Mount KS Pencil Sharpener</t>
  </si>
  <si>
    <t>徐敏</t>
  </si>
  <si>
    <t>遂宁</t>
  </si>
  <si>
    <t>张文涛</t>
  </si>
  <si>
    <t>东营</t>
  </si>
  <si>
    <t>Xerox 1896</t>
  </si>
  <si>
    <t>高明华</t>
  </si>
  <si>
    <t>伊春</t>
  </si>
  <si>
    <t>Memo Book, 100 Message Capacity, 5 3/8” x 11”</t>
  </si>
  <si>
    <t>Avery File Folder Labels</t>
  </si>
  <si>
    <t>Xerox 1933</t>
  </si>
  <si>
    <t>董惠来</t>
  </si>
  <si>
    <t>GBC DocuBind TL200 Manual Binding Machine</t>
  </si>
  <si>
    <t>淮北</t>
  </si>
  <si>
    <t>李逸辉</t>
  </si>
  <si>
    <t>邹智宇</t>
  </si>
  <si>
    <t>衡阳</t>
  </si>
  <si>
    <t>SAFCO Optional Arm Kit for Workspace® Cribbage Stacking Chair</t>
  </si>
  <si>
    <t>Avery Hole Reinforcements</t>
  </si>
  <si>
    <t xml:space="preserve">卫叔 </t>
  </si>
  <si>
    <t xml:space="preserve">郑维东 </t>
  </si>
  <si>
    <t>烟台</t>
  </si>
  <si>
    <t>5185</t>
  </si>
  <si>
    <t xml:space="preserve">王延东 </t>
  </si>
  <si>
    <t>内江</t>
  </si>
  <si>
    <t>延安</t>
  </si>
  <si>
    <t>Multicolor Computer Printout Paper</t>
  </si>
  <si>
    <t>运城</t>
  </si>
  <si>
    <t>Epson FX-980 Dot Matrix Printer</t>
  </si>
  <si>
    <t>Sterilite Officeware Hinged File Box</t>
  </si>
  <si>
    <t>徐艳</t>
  </si>
  <si>
    <t>Maxell 4.7GB DVD-R</t>
  </si>
  <si>
    <t>Safco Contoured Stacking Chairs</t>
  </si>
  <si>
    <t>泰州</t>
  </si>
  <si>
    <t>Hoover Replacement Belt for Commercial Guardsman Heavy-Duty Upright Vacuum</t>
  </si>
  <si>
    <t>江门</t>
  </si>
  <si>
    <t>张旭</t>
  </si>
  <si>
    <t>Safco Value Mate Steel Bookcase, Baked Enamel Finish on Steel, Black</t>
  </si>
  <si>
    <t>鞠宇</t>
  </si>
  <si>
    <t>Dixon Ticonderoga® Erasable Colored Pencil Set, 12-Color</t>
  </si>
  <si>
    <t>Xerox 4200 Series MultiUse Premium Copy Paper (20Lb. and 84 Bright)</t>
  </si>
  <si>
    <t>Avery® 3 1/2" Diskette Storage Pages, 10/Pack</t>
  </si>
  <si>
    <t>李建东</t>
  </si>
  <si>
    <t>Panasonic KX-P3626 Dot Matrix Printer</t>
  </si>
  <si>
    <t>Wilson Jones Easy Flow II™ Sheet Lifters</t>
  </si>
  <si>
    <t>胡玉</t>
  </si>
  <si>
    <t>杨慧玲</t>
  </si>
  <si>
    <t xml:space="preserve">饶展 </t>
  </si>
  <si>
    <t>天水</t>
  </si>
  <si>
    <t>Electrix Architect's Clamp-On Swing Arm Lamp, Black</t>
  </si>
  <si>
    <t>Fellowes 8 Outlet Superior Workstation Surge Protector</t>
  </si>
  <si>
    <t>Eldon® Executive Woodline II Desk Accessories, Mahogany</t>
  </si>
  <si>
    <t>平顶山</t>
  </si>
  <si>
    <t>Verbatim DVD Rewritable Disc, Single-Sided, 4.7GB</t>
  </si>
  <si>
    <t>董绍良</t>
  </si>
  <si>
    <t>Xerox 1989</t>
  </si>
  <si>
    <t>Global Comet™ Stacking Armless Chair</t>
  </si>
  <si>
    <t>Model L Table or Wall-Mount Pencil Sharpener</t>
  </si>
  <si>
    <t>铜陵</t>
  </si>
  <si>
    <t>胡明亮</t>
  </si>
  <si>
    <t>Eldon Wave Desk Accessories</t>
  </si>
  <si>
    <t>Office Star Flex Back Scooter Chair with Aluminum Finish Frame</t>
  </si>
  <si>
    <t>邵阳</t>
  </si>
  <si>
    <t>魏斐</t>
  </si>
  <si>
    <t>石昆</t>
  </si>
  <si>
    <t>岳华</t>
  </si>
  <si>
    <t>鄂州</t>
  </si>
  <si>
    <t>李纪鹏</t>
  </si>
  <si>
    <t>舟山</t>
  </si>
  <si>
    <t>赵彩瑞</t>
  </si>
  <si>
    <t>揭阳</t>
  </si>
  <si>
    <t>魏悦</t>
  </si>
  <si>
    <t>鄂尔多斯</t>
  </si>
  <si>
    <t>Avery Premier Heavy-Duty Binder with Round Locking Rings</t>
  </si>
  <si>
    <t>王林</t>
  </si>
  <si>
    <t>王英</t>
  </si>
  <si>
    <t>王洪利</t>
  </si>
  <si>
    <t>Tennsco Stur-D-Stor Boltless Shelving, 5 Shelves, 24" Deep, Sand</t>
  </si>
  <si>
    <t>林芳</t>
  </si>
  <si>
    <t>Kensington 7 Outlet MasterPiece Power Center</t>
  </si>
  <si>
    <t>DAX Metal Frame, Desktop, Stepped-Edge</t>
  </si>
  <si>
    <t>胡斌</t>
  </si>
  <si>
    <t>Avery 484</t>
  </si>
  <si>
    <t>Contemporary Wood/Metal Frame</t>
  </si>
  <si>
    <t>佳木斯</t>
  </si>
  <si>
    <t>乐山</t>
  </si>
  <si>
    <t>Fiskars 8" Scissors, 2/Pack</t>
  </si>
  <si>
    <t>Lesro Round Back Collection Coffee Table, End Table</t>
  </si>
  <si>
    <t>熊肇辉</t>
  </si>
  <si>
    <t>白山</t>
  </si>
  <si>
    <t>Tenex Personal Filing Tote With Secure Closure Lid, Black/Frost</t>
  </si>
  <si>
    <t>Newell 325</t>
  </si>
  <si>
    <t>固原</t>
  </si>
  <si>
    <t>潍坊</t>
  </si>
  <si>
    <t>上饶</t>
  </si>
  <si>
    <t>王小青</t>
  </si>
  <si>
    <t>Strathmore #10 Envelopes, Ultimate White</t>
  </si>
  <si>
    <t>Avery Binding System Hidden Tab™ Executive Style Index Sets</t>
  </si>
  <si>
    <t>王仲瑜</t>
  </si>
  <si>
    <t>乔名东</t>
  </si>
  <si>
    <t>冷鹏</t>
  </si>
  <si>
    <t>苏州</t>
  </si>
  <si>
    <t>肖珊珊</t>
  </si>
  <si>
    <t>阜新</t>
  </si>
  <si>
    <t>武威</t>
  </si>
  <si>
    <t>Xerox 209</t>
  </si>
  <si>
    <t>杜玲</t>
  </si>
  <si>
    <t>杨光俊</t>
  </si>
  <si>
    <t>Avery Non-Stick Binders</t>
  </si>
  <si>
    <t>六盘水</t>
  </si>
  <si>
    <t>泉州</t>
  </si>
  <si>
    <t>刘海华</t>
  </si>
  <si>
    <t>Xerox 1968</t>
  </si>
  <si>
    <t>Hon Valutask™ Swivel Chairs</t>
  </si>
  <si>
    <t>呼伦贝尔</t>
  </si>
  <si>
    <t>Xerox 1998</t>
  </si>
  <si>
    <t>程柯</t>
  </si>
  <si>
    <t>辽阳</t>
  </si>
  <si>
    <t>松原</t>
  </si>
  <si>
    <t>14-7/8 x 11 Blue Bar Computer Printout Paper</t>
  </si>
  <si>
    <t>Hewlett Packard 6S Scientific Calculator</t>
  </si>
  <si>
    <t>Newell 351</t>
  </si>
  <si>
    <t>宋先明</t>
  </si>
  <si>
    <t>南阳</t>
  </si>
  <si>
    <t>赵宇涛</t>
  </si>
  <si>
    <t>24 Capacity Maxi Data Binder Racks, Pearl</t>
  </si>
  <si>
    <t>南通</t>
  </si>
  <si>
    <t>梅州</t>
  </si>
  <si>
    <t>Quality Park Security Envelopes</t>
  </si>
  <si>
    <t>Acco Clips to Go™ Binder Clips, 24 Clips in Two Sizes</t>
  </si>
  <si>
    <t>Hoover Commercial Lightweight Upright Vacuum with E-Z Empty™ Dirt Cup</t>
  </si>
  <si>
    <t>宜春</t>
  </si>
  <si>
    <t>周皓</t>
  </si>
  <si>
    <t>岳阳</t>
  </si>
  <si>
    <t>孙道敏</t>
  </si>
  <si>
    <t>忻州</t>
  </si>
  <si>
    <t>Newell 321</t>
  </si>
  <si>
    <t>Avery 516</t>
  </si>
  <si>
    <t>Important Message Pads, 50 4-1/4 x 5-1/2 Forms per Pad</t>
  </si>
  <si>
    <t>唐凤</t>
  </si>
  <si>
    <t xml:space="preserve">余快 </t>
  </si>
  <si>
    <t>Acco 3-Hole Punch</t>
  </si>
  <si>
    <t>Situations Contoured Folding Chairs, 4/Set</t>
  </si>
  <si>
    <t>Computer Printout Index Tabs</t>
  </si>
  <si>
    <t>安庆</t>
  </si>
  <si>
    <t>周林</t>
  </si>
  <si>
    <t>济宁</t>
  </si>
  <si>
    <t>Rubber Band Ball</t>
  </si>
  <si>
    <t>Accessory1</t>
  </si>
  <si>
    <t>三沙</t>
  </si>
  <si>
    <t>Wilson Jones Standard D-Ring Binders</t>
  </si>
  <si>
    <t>胡久光</t>
  </si>
  <si>
    <t>漳州</t>
  </si>
  <si>
    <t>Newell 332</t>
  </si>
  <si>
    <t>Avery Heavy-Duty EZD ™ Binder With Locking Rings</t>
  </si>
  <si>
    <t>Dot Matrix Printer Tape Reel Labels, White, 5000/Box</t>
  </si>
  <si>
    <t>巴彦淖尔</t>
  </si>
  <si>
    <t>南充</t>
  </si>
  <si>
    <t>安阳</t>
  </si>
  <si>
    <t>Staples Pushpins</t>
  </si>
  <si>
    <t>张家口</t>
  </si>
  <si>
    <t>Newell 333</t>
  </si>
  <si>
    <t>七台河</t>
  </si>
  <si>
    <t>Stanley Bostitch Contemporary Electric Pencil Sharpeners</t>
  </si>
  <si>
    <t>Boston 1799 Powerhouse™ Electric Pencil Sharpener</t>
  </si>
  <si>
    <t>防城港</t>
  </si>
  <si>
    <t>张掖</t>
  </si>
  <si>
    <t>李瑞昌</t>
  </si>
  <si>
    <t>台州</t>
  </si>
  <si>
    <t>Eldon Imàge® Series Desk Accessories, Clear</t>
  </si>
  <si>
    <t>Acco Pressboard Covers with Storage Hooks, 14 7/8" x 11", Executive Red</t>
  </si>
  <si>
    <t>白城</t>
  </si>
  <si>
    <t>V66</t>
  </si>
  <si>
    <t>黄山</t>
  </si>
  <si>
    <t>Advantus Plastic Paper Clips</t>
  </si>
  <si>
    <t>Sanford Colorific® Eraseable Coloring Pencils, 12 Count</t>
  </si>
  <si>
    <t>Colored Push Pins</t>
  </si>
  <si>
    <t>牡丹江</t>
  </si>
  <si>
    <t>眉山</t>
  </si>
  <si>
    <t>Hewlett Packard 610 Color Digital Copier / Printer</t>
  </si>
  <si>
    <t>钦州</t>
  </si>
  <si>
    <t>克拉玛依</t>
  </si>
  <si>
    <t>清远</t>
  </si>
  <si>
    <t>常德</t>
  </si>
  <si>
    <t>孝感</t>
  </si>
  <si>
    <t>唐建</t>
  </si>
  <si>
    <t>聊城</t>
  </si>
  <si>
    <t>连云港</t>
  </si>
  <si>
    <t>云南</t>
  </si>
  <si>
    <t>昆明</t>
  </si>
  <si>
    <t>Geographics Note Cards, Blank, White, 8 1/2" x 11"</t>
  </si>
  <si>
    <t>遵义</t>
  </si>
  <si>
    <t>贵港</t>
  </si>
  <si>
    <t>中卫</t>
  </si>
  <si>
    <t>滁州</t>
  </si>
  <si>
    <t>GBC DocuBind P50 Personal Binding Machine</t>
  </si>
  <si>
    <t>李争</t>
  </si>
  <si>
    <t>Novimex High-Tech Fabric Mesh Task Chair</t>
  </si>
  <si>
    <t>ELITE Series</t>
  </si>
  <si>
    <t>Electrix Incandescent Magnifying Lamp, Black</t>
  </si>
  <si>
    <t>临汾</t>
  </si>
  <si>
    <t>6162</t>
  </si>
  <si>
    <t>承德</t>
  </si>
  <si>
    <t>Blackstonian Pencils</t>
  </si>
  <si>
    <t>Chromcraft Bull-Nose Wood Round Conference Table Top, Wood Base</t>
  </si>
  <si>
    <t>Sensible Storage WireTech Storage Systems</t>
  </si>
  <si>
    <t>阜阳</t>
  </si>
  <si>
    <t>汕尾</t>
  </si>
  <si>
    <t>Dana Swing-Arm Lamps</t>
  </si>
  <si>
    <t>黑河</t>
  </si>
  <si>
    <t>Adams Telephone Message Book W/Dividers/Space For Phone Numbers, 5 1/4"X8 1/2", 200/Messages</t>
  </si>
  <si>
    <t>景德镇</t>
  </si>
  <si>
    <t>南平</t>
  </si>
  <si>
    <t>玉林</t>
  </si>
  <si>
    <t>盘锦</t>
  </si>
  <si>
    <t>平凉</t>
  </si>
  <si>
    <t>Staples Premium Bright 1-Part Blank Computer Paper</t>
  </si>
  <si>
    <t>张波</t>
  </si>
  <si>
    <t>Fellowes 8 Outlet Superior Workstation Surge Protector w/o Phone/Fax/Modem Protection</t>
  </si>
  <si>
    <t>Martin Yale Chadless Opener Electric Letter Opener</t>
  </si>
  <si>
    <t>宿州</t>
  </si>
  <si>
    <t>泰安</t>
  </si>
  <si>
    <t>六安</t>
  </si>
  <si>
    <t>韶关</t>
  </si>
  <si>
    <t>百色</t>
  </si>
  <si>
    <t>抚州</t>
  </si>
  <si>
    <t>黄冈</t>
  </si>
  <si>
    <t>Barricks Non-Folding Utility Table with Steel Legs, Laminate Tops</t>
  </si>
  <si>
    <t>张家界</t>
  </si>
  <si>
    <t>Howard Miller 11-1/2" Diameter Ridgewood Wall Clock</t>
  </si>
  <si>
    <t>淮安</t>
  </si>
  <si>
    <t>乌兰察布</t>
  </si>
  <si>
    <t>Sony IBM Color Diskettes, 25/Pack</t>
  </si>
  <si>
    <t>临沧</t>
  </si>
  <si>
    <t>吕梁</t>
  </si>
  <si>
    <t>铁岭</t>
  </si>
  <si>
    <t>GBC ProClick Punch Binding System</t>
  </si>
  <si>
    <t>临沂</t>
  </si>
  <si>
    <t>深圳</t>
  </si>
  <si>
    <t>AT&amp;T 1430 2.4GHz Analog Phone w/Caller ID</t>
  </si>
  <si>
    <t>沧州</t>
  </si>
  <si>
    <t>UniKeep™ View Case Binders</t>
  </si>
  <si>
    <t>绥化</t>
  </si>
  <si>
    <t>漯河</t>
  </si>
  <si>
    <t>朝阳</t>
  </si>
  <si>
    <t>龙岩</t>
  </si>
  <si>
    <t>李亚宾</t>
  </si>
  <si>
    <t>亳州</t>
  </si>
  <si>
    <t>益阳</t>
  </si>
  <si>
    <t>吉安</t>
  </si>
  <si>
    <t>酒泉</t>
  </si>
  <si>
    <t>曲靖</t>
  </si>
  <si>
    <t>贺州</t>
  </si>
  <si>
    <t>高彦宇</t>
  </si>
  <si>
    <t>威海</t>
  </si>
  <si>
    <t>池州</t>
  </si>
  <si>
    <t>阳江</t>
  </si>
  <si>
    <t>Advantus SlideClip™ Paper Clips</t>
  </si>
  <si>
    <t>Alliance Rubber Bands</t>
  </si>
  <si>
    <t>Sanford Uni-Blazer™ View Highlighters, Chisel Tip, Yellow</t>
  </si>
  <si>
    <t>鹤壁</t>
  </si>
  <si>
    <t>汉中</t>
  </si>
  <si>
    <t>盐城</t>
  </si>
  <si>
    <t>毕节</t>
  </si>
  <si>
    <t>廊坊</t>
  </si>
  <si>
    <t>新余</t>
  </si>
  <si>
    <t>宣城</t>
  </si>
  <si>
    <t>云浮</t>
  </si>
  <si>
    <t>永州</t>
  </si>
  <si>
    <t>Xerox 1883</t>
  </si>
  <si>
    <t>葫芦岛</t>
  </si>
  <si>
    <t>玉溪</t>
  </si>
  <si>
    <t>商丘</t>
  </si>
  <si>
    <t>Xerox 223</t>
  </si>
  <si>
    <t>庆阳</t>
  </si>
  <si>
    <t>榆林</t>
  </si>
  <si>
    <t>AT&amp;T Black Trimline Phone, 广东del 210</t>
  </si>
  <si>
    <t>Fel低级es Bankers Box™ Staxonsteel® Drawer File/Stacking System</t>
  </si>
  <si>
    <t>Fel低级es Twister Kit, Gray/Clear, 3/pkg</t>
  </si>
  <si>
    <t>Global Leather 高级back Executive Chair with Pneustalltic Height Adjustment, Black</t>
  </si>
  <si>
    <t>Prisstallcolor Color Pencil Set</t>
  </si>
  <si>
    <t>Tripp Lite Isotel 6 Outlet Surge Protector with Fax/广东dem Protection</t>
  </si>
  <si>
    <t>Global 高级-Back Leather Tilter, Burgundy</t>
  </si>
  <si>
    <t>stallster Giant Foot® Doorstop, Safety Yel低级</t>
  </si>
  <si>
    <t>Istalltion Pristallris 3.5" 2HD Unforstalltted Diskettes, 10/Pack</t>
  </si>
  <si>
    <t>Global Ergonomic stallnagers Chair</t>
  </si>
  <si>
    <t>Deflect-o Rollastallt Studded, Beveled stallt for 中级 Pile Carpeting</t>
  </si>
  <si>
    <t>新乡</t>
  </si>
  <si>
    <t>Istalltion DVD-RAM discs</t>
  </si>
  <si>
    <t>SANFORD stalljor Accent™ 高级lighters</t>
  </si>
  <si>
    <t>Array® Me广东 Cubes</t>
  </si>
  <si>
    <t>河池</t>
  </si>
  <si>
    <t>安康</t>
  </si>
  <si>
    <t>1. 插入和搜索函数</t>
    <phoneticPr fontId="2" type="noConversion"/>
  </si>
  <si>
    <t>2. 引用多个区域</t>
    <phoneticPr fontId="2" type="noConversion"/>
  </si>
  <si>
    <t>3. 相对引用 VS 绝对引用</t>
    <phoneticPr fontId="2" type="noConversion"/>
  </si>
  <si>
    <t>4. 混合引用：列固定</t>
    <phoneticPr fontId="2" type="noConversion"/>
  </si>
  <si>
    <t>4. 混合引用：行固定</t>
    <phoneticPr fontId="2" type="noConversion"/>
  </si>
  <si>
    <t>Average函数</t>
    <phoneticPr fontId="14" type="noConversion"/>
  </si>
  <si>
    <t>运输成本
平均值</t>
    <phoneticPr fontId="14" type="noConversion"/>
  </si>
  <si>
    <t>郑州所售
办公用品
平均单价</t>
    <phoneticPr fontId="14" type="noConversion"/>
  </si>
  <si>
    <t>Averageifs函数</t>
    <phoneticPr fontId="14" type="noConversion"/>
  </si>
  <si>
    <t>质量</t>
    <phoneticPr fontId="2" type="noConversion"/>
  </si>
  <si>
    <t>排名 Rank</t>
    <phoneticPr fontId="2" type="noConversion"/>
  </si>
  <si>
    <t>极值 Max  Min</t>
    <phoneticPr fontId="2" type="noConversion"/>
  </si>
  <si>
    <t xml:space="preserve">提成点 </t>
    <phoneticPr fontId="2" type="noConversion"/>
  </si>
  <si>
    <t>订单数</t>
    <phoneticPr fontId="10" type="noConversion"/>
  </si>
  <si>
    <t>顾客姓名</t>
    <phoneticPr fontId="2" type="noConversion"/>
  </si>
  <si>
    <t>Counta</t>
    <phoneticPr fontId="2" type="noConversion"/>
  </si>
  <si>
    <t>Count</t>
    <phoneticPr fontId="2" type="noConversion"/>
  </si>
  <si>
    <t>未测量</t>
    <phoneticPr fontId="2" type="noConversion"/>
  </si>
  <si>
    <t>Averagea</t>
    <phoneticPr fontId="2" type="noConversion"/>
  </si>
  <si>
    <t>Average</t>
    <phoneticPr fontId="2" type="noConversion"/>
  </si>
  <si>
    <t xml:space="preserve">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</si>
</sst>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76" formatCode="&quot;¥&quot;#,##0_);[Red]\(&quot;¥&quot;#,##0\)"/>
    <numFmt numFmtId="177" formatCode="0.00_ "/>
  </numFmts>
  <fonts count="19" x14ac:knownFonts="1">
    <font>
      <sz val="11"/>
      <color theme="1"/>
      <name val="等线"/>
      <family val="2"/>
      <scheme val="minor"/>
    </font>
    <font>
      <sz val="12"/>
      <color theme="1"/>
      <name val="微软雅黑"/>
      <family val="2"/>
      <charset val="134"/>
    </font>
    <font>
      <sz val="9"/>
      <name val="等线"/>
      <family val="3"/>
      <charset val="134"/>
      <scheme val="minor"/>
    </font>
    <font>
      <b/>
      <sz val="22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b/>
      <sz val="22"/>
      <color rgb="FFFFFF00"/>
      <name val="微软雅黑"/>
      <family val="2"/>
      <charset val="134"/>
    </font>
    <font>
      <sz val="22"/>
      <color theme="1"/>
      <name val="微软雅黑"/>
      <family val="2"/>
      <charset val="134"/>
    </font>
    <font>
      <sz val="11"/>
      <color theme="1"/>
      <name val="等线"/>
      <family val="2"/>
      <scheme val="minor"/>
    </font>
    <font>
      <sz val="14"/>
      <color theme="1"/>
      <name val="宋体"/>
      <family val="2"/>
      <charset val="1"/>
    </font>
    <font>
      <b/>
      <sz val="12"/>
      <name val="微软雅黑"/>
      <family val="2"/>
      <charset val="134"/>
    </font>
    <font>
      <sz val="8"/>
      <name val="MS Sans Serif"/>
      <family val="2"/>
    </font>
    <font>
      <sz val="10"/>
      <name val="微软雅黑"/>
      <family val="2"/>
      <charset val="134"/>
    </font>
    <font>
      <sz val="12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sz val="9"/>
      <name val="宋体"/>
      <family val="3"/>
      <charset val="134"/>
    </font>
    <font>
      <b/>
      <sz val="20"/>
      <color rgb="FFFFFF00"/>
      <name val="微软雅黑"/>
      <family val="2"/>
      <charset val="134"/>
    </font>
    <font>
      <b/>
      <sz val="20"/>
      <color theme="1"/>
      <name val="微软雅黑"/>
      <family val="2"/>
      <charset val="134"/>
    </font>
    <font>
      <b/>
      <sz val="20"/>
      <name val="微软雅黑"/>
      <family val="2"/>
      <charset val="134"/>
    </font>
    <font>
      <sz val="20"/>
      <color theme="1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8" fillId="0" borderId="0"/>
    <xf numFmtId="43" fontId="8" fillId="0" borderId="0" applyFont="0" applyFill="0" applyBorder="0" applyAlignment="0" applyProtection="0">
      <alignment vertical="center"/>
    </xf>
    <xf numFmtId="0" fontId="7" fillId="0" borderId="0"/>
  </cellStyleXfs>
  <cellXfs count="48">
    <xf numFmtId="0" fontId="0" fillId="0" borderId="0" xfId="0"/>
    <xf numFmtId="0" fontId="1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76" fontId="4" fillId="0" borderId="1" xfId="0" applyNumberFormat="1" applyFont="1" applyBorder="1" applyAlignment="1">
      <alignment horizontal="center" vertical="center"/>
    </xf>
    <xf numFmtId="0" fontId="11" fillId="0" borderId="0" xfId="1" applyFont="1" applyAlignment="1">
      <alignment horizontal="center" vertical="center"/>
    </xf>
    <xf numFmtId="0" fontId="11" fillId="0" borderId="4" xfId="1" applyFont="1" applyBorder="1" applyAlignment="1">
      <alignment horizontal="center" vertical="center"/>
    </xf>
    <xf numFmtId="0" fontId="8" fillId="0" borderId="0" xfId="1"/>
    <xf numFmtId="177" fontId="8" fillId="0" borderId="0" xfId="1" applyNumberFormat="1"/>
    <xf numFmtId="0" fontId="8" fillId="0" borderId="0" xfId="1" applyAlignment="1">
      <alignment horizontal="left"/>
    </xf>
    <xf numFmtId="0" fontId="9" fillId="3" borderId="1" xfId="1" applyFont="1" applyFill="1" applyBorder="1" applyAlignment="1">
      <alignment horizontal="center" vertical="center"/>
    </xf>
    <xf numFmtId="177" fontId="9" fillId="3" borderId="1" xfId="1" applyNumberFormat="1" applyFont="1" applyFill="1" applyBorder="1" applyAlignment="1">
      <alignment horizontal="center" vertical="center"/>
    </xf>
    <xf numFmtId="2" fontId="9" fillId="3" borderId="1" xfId="1" applyNumberFormat="1" applyFont="1" applyFill="1" applyBorder="1" applyAlignment="1">
      <alignment horizontal="center" vertical="center"/>
    </xf>
    <xf numFmtId="0" fontId="9" fillId="3" borderId="1" xfId="2" applyNumberFormat="1" applyFont="1" applyFill="1" applyBorder="1" applyAlignment="1">
      <alignment horizontal="center" vertical="center"/>
    </xf>
    <xf numFmtId="0" fontId="9" fillId="3" borderId="1" xfId="3" applyFont="1" applyFill="1" applyBorder="1" applyAlignment="1">
      <alignment horizontal="center" vertical="center"/>
    </xf>
    <xf numFmtId="14" fontId="12" fillId="0" borderId="1" xfId="2" quotePrefix="1" applyNumberFormat="1" applyFont="1" applyFill="1" applyBorder="1" applyAlignment="1">
      <alignment horizontal="center" vertical="center"/>
    </xf>
    <xf numFmtId="0" fontId="12" fillId="0" borderId="1" xfId="1" applyFont="1" applyBorder="1" applyAlignment="1">
      <alignment horizontal="center" vertical="center"/>
    </xf>
    <xf numFmtId="0" fontId="12" fillId="0" borderId="1" xfId="1" quotePrefix="1" applyFont="1" applyBorder="1" applyAlignment="1">
      <alignment horizontal="center" vertical="center"/>
    </xf>
    <xf numFmtId="177" fontId="12" fillId="0" borderId="1" xfId="1" quotePrefix="1" applyNumberFormat="1" applyFont="1" applyBorder="1" applyAlignment="1">
      <alignment horizontal="center" vertical="center"/>
    </xf>
    <xf numFmtId="2" fontId="12" fillId="0" borderId="1" xfId="1" applyNumberFormat="1" applyFont="1" applyBorder="1" applyAlignment="1">
      <alignment horizontal="center" vertical="center"/>
    </xf>
    <xf numFmtId="0" fontId="12" fillId="0" borderId="1" xfId="2" applyNumberFormat="1" applyFont="1" applyFill="1" applyBorder="1" applyAlignment="1">
      <alignment horizontal="center" vertical="center"/>
    </xf>
    <xf numFmtId="0" fontId="12" fillId="0" borderId="1" xfId="3" quotePrefix="1" applyFont="1" applyBorder="1" applyAlignment="1">
      <alignment horizontal="left" vertical="center"/>
    </xf>
    <xf numFmtId="0" fontId="12" fillId="0" borderId="1" xfId="1" quotePrefix="1" applyFont="1" applyBorder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15" fillId="2" borderId="6" xfId="0" applyFont="1" applyFill="1" applyBorder="1" applyAlignment="1">
      <alignment horizontal="center" vertical="center"/>
    </xf>
    <xf numFmtId="0" fontId="15" fillId="2" borderId="5" xfId="0" applyFont="1" applyFill="1" applyBorder="1" applyAlignment="1">
      <alignment horizontal="center" vertical="center"/>
    </xf>
    <xf numFmtId="0" fontId="16" fillId="0" borderId="5" xfId="0" applyFont="1" applyBorder="1" applyAlignment="1">
      <alignment vertical="center"/>
    </xf>
    <xf numFmtId="0" fontId="5" fillId="2" borderId="0" xfId="0" applyFont="1" applyFill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13" fillId="3" borderId="1" xfId="1" applyFont="1" applyFill="1" applyBorder="1" applyAlignment="1">
      <alignment horizontal="center" vertical="center" wrapText="1"/>
    </xf>
    <xf numFmtId="0" fontId="13" fillId="3" borderId="1" xfId="1" applyFont="1" applyFill="1" applyBorder="1" applyAlignment="1">
      <alignment horizontal="center" vertical="center"/>
    </xf>
    <xf numFmtId="0" fontId="1" fillId="3" borderId="1" xfId="1" applyFont="1" applyFill="1" applyBorder="1" applyAlignment="1">
      <alignment horizontal="center" vertical="center"/>
    </xf>
    <xf numFmtId="0" fontId="13" fillId="4" borderId="1" xfId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9" fontId="4" fillId="0" borderId="0" xfId="0" applyNumberFormat="1" applyFont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7" fillId="0" borderId="7" xfId="2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5" fillId="2" borderId="4" xfId="0" applyFont="1" applyFill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2" fontId="1" fillId="3" borderId="1" xfId="1" applyNumberFormat="1" applyFont="1" applyFill="1" applyBorder="1" applyAlignment="1">
      <alignment horizontal="center" vertical="center"/>
    </xf>
  </cellXfs>
  <cellStyles count="4">
    <cellStyle name="常规" xfId="0" builtinId="0"/>
    <cellStyle name="常规 2" xfId="1" xr:uid="{B482BF46-AFED-467A-8F46-1B563A20968F}"/>
    <cellStyle name="常规 2 2" xfId="3" xr:uid="{34F9AAC3-A127-4C9D-A76C-79DC0D7B280E}"/>
    <cellStyle name="千位分隔 2" xfId="2" xr:uid="{37A7E10C-46AC-4B09-9FF5-0BE970EAC943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esktop/&#9733;%20&#25968;&#20998;&#39033;&#30446;/2.%20Excel&#23454;&#25112;&#28436;&#32451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【秒算合计】"/>
      <sheetName val="【自动填充】"/>
      <sheetName val="【Sum实战】"/>
      <sheetName val="【Vlookup实战】"/>
      <sheetName val="【Vlookup跨表】 "/>
      <sheetName val="Sheet2"/>
      <sheetName val="Sheet3"/>
      <sheetName val="【数据透视表 - 数据】"/>
      <sheetName val="【数据透视表实战案例2】"/>
      <sheetName val="【数据透视表实战案例1】"/>
      <sheetName val="数据透视表实战2"/>
      <sheetName val="【Count实战】"/>
      <sheetName val="【三维地图】"/>
    </sheetNames>
    <sheetDataSet>
      <sheetData sheetId="0" refreshError="1"/>
      <sheetData sheetId="1" refreshError="1"/>
      <sheetData sheetId="2">
        <row r="1">
          <cell r="A1" t="str">
            <v>订单日期</v>
          </cell>
          <cell r="B1" t="str">
            <v>年</v>
          </cell>
          <cell r="C1" t="str">
            <v>月</v>
          </cell>
          <cell r="D1" t="str">
            <v>地区</v>
          </cell>
          <cell r="E1" t="str">
            <v>省份</v>
          </cell>
          <cell r="F1" t="str">
            <v>城市</v>
          </cell>
          <cell r="G1" t="str">
            <v>品牌</v>
          </cell>
          <cell r="H1" t="str">
            <v>型号</v>
          </cell>
          <cell r="I1" t="str">
            <v>运行内存</v>
          </cell>
          <cell r="J1" t="str">
            <v>机身内存</v>
          </cell>
          <cell r="K1" t="str">
            <v>数量</v>
          </cell>
          <cell r="L1" t="str">
            <v>年龄</v>
          </cell>
          <cell r="M1" t="str">
            <v>年龄分段</v>
          </cell>
          <cell r="N1" t="str">
            <v>性别</v>
          </cell>
          <cell r="O1" t="str">
            <v>状态</v>
          </cell>
          <cell r="P1" t="str">
            <v>单价</v>
          </cell>
          <cell r="Q1" t="str">
            <v>销售额</v>
          </cell>
        </row>
        <row r="2">
          <cell r="A2">
            <v>43844</v>
          </cell>
        </row>
        <row r="3">
          <cell r="A3">
            <v>43120</v>
          </cell>
        </row>
        <row r="4">
          <cell r="A4">
            <v>43631</v>
          </cell>
        </row>
        <row r="5">
          <cell r="A5">
            <v>43472</v>
          </cell>
        </row>
        <row r="6">
          <cell r="A6">
            <v>43606</v>
          </cell>
        </row>
        <row r="7">
          <cell r="A7">
            <v>43571</v>
          </cell>
        </row>
        <row r="8">
          <cell r="A8">
            <v>43774</v>
          </cell>
        </row>
        <row r="9">
          <cell r="A9">
            <v>43380</v>
          </cell>
        </row>
        <row r="10">
          <cell r="A10">
            <v>43835</v>
          </cell>
        </row>
        <row r="11">
          <cell r="A11">
            <v>43126</v>
          </cell>
        </row>
        <row r="12">
          <cell r="A12">
            <v>43666</v>
          </cell>
        </row>
        <row r="13">
          <cell r="A13">
            <v>43409</v>
          </cell>
        </row>
        <row r="14">
          <cell r="A14">
            <v>43882</v>
          </cell>
        </row>
        <row r="15">
          <cell r="A15">
            <v>43185</v>
          </cell>
        </row>
        <row r="16">
          <cell r="A16">
            <v>43843</v>
          </cell>
        </row>
        <row r="17">
          <cell r="A17">
            <v>43427</v>
          </cell>
        </row>
        <row r="18">
          <cell r="A18">
            <v>43774</v>
          </cell>
        </row>
        <row r="19">
          <cell r="A19">
            <v>43135</v>
          </cell>
        </row>
        <row r="20">
          <cell r="A20">
            <v>43451</v>
          </cell>
        </row>
        <row r="21">
          <cell r="A21">
            <v>43857</v>
          </cell>
        </row>
        <row r="22">
          <cell r="A22">
            <v>43227</v>
          </cell>
        </row>
        <row r="23">
          <cell r="A23">
            <v>43495</v>
          </cell>
        </row>
        <row r="24">
          <cell r="A24">
            <v>43594</v>
          </cell>
        </row>
        <row r="25">
          <cell r="A25">
            <v>43915</v>
          </cell>
        </row>
        <row r="26">
          <cell r="A26">
            <v>43684</v>
          </cell>
        </row>
        <row r="27">
          <cell r="A27">
            <v>43913</v>
          </cell>
        </row>
        <row r="28">
          <cell r="A28">
            <v>43457</v>
          </cell>
        </row>
        <row r="29">
          <cell r="A29">
            <v>43517</v>
          </cell>
        </row>
        <row r="30">
          <cell r="A30">
            <v>43388</v>
          </cell>
        </row>
        <row r="31">
          <cell r="A31">
            <v>43609</v>
          </cell>
        </row>
        <row r="32">
          <cell r="A32">
            <v>43557</v>
          </cell>
        </row>
        <row r="33">
          <cell r="A33">
            <v>43280</v>
          </cell>
        </row>
        <row r="34">
          <cell r="A34">
            <v>43398</v>
          </cell>
        </row>
        <row r="35">
          <cell r="A35">
            <v>43260</v>
          </cell>
        </row>
        <row r="36">
          <cell r="A36">
            <v>43358</v>
          </cell>
        </row>
        <row r="37">
          <cell r="A37">
            <v>43333</v>
          </cell>
        </row>
        <row r="38">
          <cell r="A38">
            <v>43556</v>
          </cell>
        </row>
        <row r="39">
          <cell r="A39">
            <v>43358</v>
          </cell>
        </row>
        <row r="40">
          <cell r="A40">
            <v>43472</v>
          </cell>
        </row>
        <row r="41">
          <cell r="A41">
            <v>43148</v>
          </cell>
        </row>
        <row r="42">
          <cell r="A42">
            <v>43717</v>
          </cell>
        </row>
        <row r="43">
          <cell r="A43">
            <v>43216</v>
          </cell>
        </row>
        <row r="44">
          <cell r="A44">
            <v>43681</v>
          </cell>
        </row>
        <row r="45">
          <cell r="A45">
            <v>43419</v>
          </cell>
        </row>
        <row r="46">
          <cell r="A46">
            <v>43249</v>
          </cell>
        </row>
        <row r="47">
          <cell r="A47">
            <v>43236</v>
          </cell>
        </row>
        <row r="48">
          <cell r="A48">
            <v>43203</v>
          </cell>
        </row>
        <row r="49">
          <cell r="A49">
            <v>43531</v>
          </cell>
        </row>
        <row r="50">
          <cell r="A50">
            <v>43712</v>
          </cell>
        </row>
        <row r="51">
          <cell r="A51">
            <v>43703</v>
          </cell>
        </row>
        <row r="52">
          <cell r="A52">
            <v>43130</v>
          </cell>
        </row>
        <row r="53">
          <cell r="A53">
            <v>43628</v>
          </cell>
        </row>
        <row r="54">
          <cell r="A54">
            <v>43595</v>
          </cell>
        </row>
        <row r="55">
          <cell r="A55">
            <v>43447</v>
          </cell>
        </row>
        <row r="56">
          <cell r="A56">
            <v>43313</v>
          </cell>
        </row>
        <row r="57">
          <cell r="A57">
            <v>43625</v>
          </cell>
        </row>
        <row r="58">
          <cell r="A58">
            <v>43242</v>
          </cell>
        </row>
        <row r="59">
          <cell r="A59">
            <v>43364</v>
          </cell>
        </row>
        <row r="60">
          <cell r="A60">
            <v>43542</v>
          </cell>
        </row>
        <row r="61">
          <cell r="A61">
            <v>43218</v>
          </cell>
        </row>
        <row r="62">
          <cell r="A62">
            <v>43373</v>
          </cell>
        </row>
        <row r="63">
          <cell r="A63">
            <v>43205</v>
          </cell>
        </row>
        <row r="64">
          <cell r="A64">
            <v>43571</v>
          </cell>
        </row>
        <row r="65">
          <cell r="A65">
            <v>43830</v>
          </cell>
        </row>
        <row r="66">
          <cell r="A66">
            <v>43866</v>
          </cell>
        </row>
        <row r="67">
          <cell r="A67">
            <v>43388</v>
          </cell>
        </row>
        <row r="68">
          <cell r="A68">
            <v>43721</v>
          </cell>
        </row>
        <row r="69">
          <cell r="A69">
            <v>43536</v>
          </cell>
        </row>
        <row r="70">
          <cell r="A70">
            <v>43581</v>
          </cell>
        </row>
        <row r="71">
          <cell r="A71">
            <v>43314</v>
          </cell>
        </row>
        <row r="72">
          <cell r="A72">
            <v>43172</v>
          </cell>
        </row>
        <row r="73">
          <cell r="A73">
            <v>43269</v>
          </cell>
        </row>
        <row r="74">
          <cell r="A74">
            <v>43920</v>
          </cell>
        </row>
        <row r="75">
          <cell r="A75">
            <v>43649</v>
          </cell>
        </row>
        <row r="76">
          <cell r="A76">
            <v>43566</v>
          </cell>
        </row>
        <row r="77">
          <cell r="A77">
            <v>43316</v>
          </cell>
        </row>
        <row r="78">
          <cell r="A78">
            <v>43650</v>
          </cell>
        </row>
        <row r="79">
          <cell r="A79">
            <v>43313</v>
          </cell>
        </row>
        <row r="80">
          <cell r="A80">
            <v>43630</v>
          </cell>
        </row>
        <row r="81">
          <cell r="A81">
            <v>43537</v>
          </cell>
        </row>
        <row r="82">
          <cell r="A82">
            <v>43209</v>
          </cell>
        </row>
        <row r="83">
          <cell r="A83">
            <v>43519</v>
          </cell>
        </row>
        <row r="84">
          <cell r="A84">
            <v>43476</v>
          </cell>
        </row>
        <row r="85">
          <cell r="A85">
            <v>43766</v>
          </cell>
        </row>
        <row r="86">
          <cell r="A86">
            <v>43736</v>
          </cell>
        </row>
        <row r="87">
          <cell r="A87">
            <v>43739</v>
          </cell>
        </row>
        <row r="88">
          <cell r="A88">
            <v>43428</v>
          </cell>
        </row>
        <row r="89">
          <cell r="A89">
            <v>43349</v>
          </cell>
        </row>
        <row r="90">
          <cell r="A90">
            <v>43847</v>
          </cell>
        </row>
        <row r="91">
          <cell r="A91">
            <v>43164</v>
          </cell>
        </row>
        <row r="92">
          <cell r="A92">
            <v>43233</v>
          </cell>
        </row>
        <row r="93">
          <cell r="A93">
            <v>43406</v>
          </cell>
        </row>
        <row r="94">
          <cell r="A94">
            <v>43415</v>
          </cell>
        </row>
        <row r="95">
          <cell r="A95">
            <v>43650</v>
          </cell>
        </row>
        <row r="96">
          <cell r="A96">
            <v>43377</v>
          </cell>
        </row>
        <row r="97">
          <cell r="A97">
            <v>43640</v>
          </cell>
        </row>
        <row r="98">
          <cell r="A98">
            <v>43780</v>
          </cell>
        </row>
        <row r="99">
          <cell r="A99">
            <v>43664</v>
          </cell>
        </row>
        <row r="100">
          <cell r="A100">
            <v>43644</v>
          </cell>
        </row>
        <row r="101">
          <cell r="A101">
            <v>43369</v>
          </cell>
        </row>
        <row r="102">
          <cell r="A102">
            <v>43515</v>
          </cell>
        </row>
        <row r="103">
          <cell r="A103">
            <v>43792</v>
          </cell>
        </row>
        <row r="104">
          <cell r="A104">
            <v>43356</v>
          </cell>
        </row>
        <row r="105">
          <cell r="A105">
            <v>43836</v>
          </cell>
        </row>
        <row r="106">
          <cell r="A106">
            <v>43632</v>
          </cell>
        </row>
        <row r="107">
          <cell r="A107">
            <v>43710</v>
          </cell>
        </row>
        <row r="108">
          <cell r="A108">
            <v>43114</v>
          </cell>
        </row>
        <row r="109">
          <cell r="A109">
            <v>43671</v>
          </cell>
        </row>
        <row r="110">
          <cell r="A110">
            <v>43242</v>
          </cell>
        </row>
        <row r="111">
          <cell r="A111">
            <v>43674</v>
          </cell>
        </row>
        <row r="112">
          <cell r="A112">
            <v>43509</v>
          </cell>
        </row>
        <row r="113">
          <cell r="A113">
            <v>43596</v>
          </cell>
        </row>
        <row r="114">
          <cell r="A114">
            <v>43710</v>
          </cell>
        </row>
        <row r="115">
          <cell r="A115">
            <v>43420</v>
          </cell>
        </row>
        <row r="116">
          <cell r="A116">
            <v>43734</v>
          </cell>
        </row>
        <row r="117">
          <cell r="A117">
            <v>43891</v>
          </cell>
        </row>
        <row r="118">
          <cell r="A118">
            <v>43248</v>
          </cell>
        </row>
        <row r="119">
          <cell r="A119">
            <v>43740</v>
          </cell>
        </row>
        <row r="120">
          <cell r="A120">
            <v>43331</v>
          </cell>
        </row>
        <row r="121">
          <cell r="A121">
            <v>43319</v>
          </cell>
        </row>
        <row r="122">
          <cell r="A122">
            <v>43238</v>
          </cell>
        </row>
        <row r="123">
          <cell r="A123">
            <v>43461</v>
          </cell>
        </row>
        <row r="124">
          <cell r="A124">
            <v>43921</v>
          </cell>
        </row>
        <row r="125">
          <cell r="A125">
            <v>43451</v>
          </cell>
        </row>
        <row r="126">
          <cell r="A126">
            <v>43833</v>
          </cell>
        </row>
        <row r="127">
          <cell r="A127">
            <v>43611</v>
          </cell>
        </row>
        <row r="128">
          <cell r="A128">
            <v>43699</v>
          </cell>
        </row>
        <row r="129">
          <cell r="A129">
            <v>43648</v>
          </cell>
        </row>
        <row r="130">
          <cell r="A130">
            <v>43857</v>
          </cell>
        </row>
        <row r="131">
          <cell r="A131">
            <v>43535</v>
          </cell>
        </row>
        <row r="132">
          <cell r="A132">
            <v>43662</v>
          </cell>
        </row>
        <row r="133">
          <cell r="A133">
            <v>43713</v>
          </cell>
        </row>
        <row r="134">
          <cell r="A134">
            <v>43319</v>
          </cell>
        </row>
        <row r="135">
          <cell r="A135">
            <v>43418</v>
          </cell>
        </row>
        <row r="136">
          <cell r="A136">
            <v>43195</v>
          </cell>
        </row>
        <row r="137">
          <cell r="A137">
            <v>43857</v>
          </cell>
        </row>
        <row r="138">
          <cell r="A138">
            <v>43651</v>
          </cell>
        </row>
        <row r="139">
          <cell r="A139">
            <v>43572</v>
          </cell>
        </row>
        <row r="140">
          <cell r="A140">
            <v>43878</v>
          </cell>
        </row>
        <row r="141">
          <cell r="A141">
            <v>43656</v>
          </cell>
        </row>
        <row r="142">
          <cell r="A142">
            <v>43383</v>
          </cell>
        </row>
        <row r="143">
          <cell r="A143">
            <v>43177</v>
          </cell>
        </row>
        <row r="144">
          <cell r="A144">
            <v>43662</v>
          </cell>
        </row>
        <row r="145">
          <cell r="A145">
            <v>43607</v>
          </cell>
        </row>
        <row r="146">
          <cell r="A146">
            <v>43479</v>
          </cell>
        </row>
        <row r="147">
          <cell r="A147">
            <v>43671</v>
          </cell>
        </row>
        <row r="148">
          <cell r="A148">
            <v>43121</v>
          </cell>
        </row>
        <row r="149">
          <cell r="A149">
            <v>43888</v>
          </cell>
        </row>
        <row r="150">
          <cell r="A150">
            <v>43604</v>
          </cell>
        </row>
        <row r="151">
          <cell r="A151">
            <v>43583</v>
          </cell>
        </row>
        <row r="152">
          <cell r="A152">
            <v>43721</v>
          </cell>
        </row>
        <row r="153">
          <cell r="A153">
            <v>43458</v>
          </cell>
        </row>
        <row r="154">
          <cell r="A154">
            <v>43364</v>
          </cell>
        </row>
        <row r="155">
          <cell r="A155">
            <v>43213</v>
          </cell>
        </row>
        <row r="156">
          <cell r="A156">
            <v>43909</v>
          </cell>
        </row>
        <row r="157">
          <cell r="A157">
            <v>43695</v>
          </cell>
        </row>
        <row r="158">
          <cell r="A158">
            <v>43205</v>
          </cell>
        </row>
        <row r="159">
          <cell r="A159">
            <v>43710</v>
          </cell>
        </row>
        <row r="160">
          <cell r="A160">
            <v>43234</v>
          </cell>
        </row>
        <row r="161">
          <cell r="A161">
            <v>43251</v>
          </cell>
        </row>
        <row r="162">
          <cell r="A162">
            <v>43306</v>
          </cell>
        </row>
        <row r="163">
          <cell r="A163">
            <v>43817</v>
          </cell>
        </row>
        <row r="164">
          <cell r="A164">
            <v>43490</v>
          </cell>
        </row>
        <row r="165">
          <cell r="A165">
            <v>43236</v>
          </cell>
        </row>
        <row r="166">
          <cell r="A166">
            <v>43384</v>
          </cell>
        </row>
        <row r="167">
          <cell r="A167">
            <v>43531</v>
          </cell>
        </row>
        <row r="168">
          <cell r="A168">
            <v>43884</v>
          </cell>
        </row>
        <row r="169">
          <cell r="A169">
            <v>43415</v>
          </cell>
        </row>
        <row r="170">
          <cell r="A170">
            <v>43612</v>
          </cell>
        </row>
        <row r="171">
          <cell r="A171">
            <v>43665</v>
          </cell>
        </row>
        <row r="172">
          <cell r="A172">
            <v>43315</v>
          </cell>
        </row>
        <row r="173">
          <cell r="A173">
            <v>43691</v>
          </cell>
        </row>
        <row r="174">
          <cell r="A174">
            <v>43725</v>
          </cell>
        </row>
        <row r="175">
          <cell r="A175">
            <v>43106</v>
          </cell>
        </row>
        <row r="176">
          <cell r="A176">
            <v>43297</v>
          </cell>
        </row>
        <row r="177">
          <cell r="A177">
            <v>43546</v>
          </cell>
        </row>
        <row r="178">
          <cell r="A178">
            <v>43518</v>
          </cell>
        </row>
        <row r="179">
          <cell r="A179">
            <v>43188</v>
          </cell>
        </row>
        <row r="180">
          <cell r="A180">
            <v>43456</v>
          </cell>
        </row>
        <row r="181">
          <cell r="A181">
            <v>43794</v>
          </cell>
        </row>
        <row r="182">
          <cell r="A182">
            <v>43663</v>
          </cell>
        </row>
        <row r="183">
          <cell r="A183">
            <v>43513</v>
          </cell>
        </row>
        <row r="184">
          <cell r="A184">
            <v>43183</v>
          </cell>
        </row>
        <row r="185">
          <cell r="A185">
            <v>43159</v>
          </cell>
        </row>
        <row r="186">
          <cell r="A186">
            <v>43792</v>
          </cell>
        </row>
        <row r="187">
          <cell r="A187">
            <v>43529</v>
          </cell>
        </row>
        <row r="188">
          <cell r="A188">
            <v>43773</v>
          </cell>
        </row>
        <row r="189">
          <cell r="A189">
            <v>43731</v>
          </cell>
        </row>
        <row r="190">
          <cell r="A190">
            <v>43240</v>
          </cell>
        </row>
        <row r="191">
          <cell r="A191">
            <v>43230</v>
          </cell>
        </row>
        <row r="192">
          <cell r="A192">
            <v>43239</v>
          </cell>
        </row>
        <row r="193">
          <cell r="A193">
            <v>43852</v>
          </cell>
        </row>
        <row r="194">
          <cell r="A194">
            <v>43626</v>
          </cell>
        </row>
        <row r="195">
          <cell r="A195">
            <v>43111</v>
          </cell>
        </row>
        <row r="196">
          <cell r="A196">
            <v>43414</v>
          </cell>
        </row>
        <row r="197">
          <cell r="A197">
            <v>43255</v>
          </cell>
        </row>
        <row r="198">
          <cell r="A198">
            <v>43707</v>
          </cell>
        </row>
        <row r="199">
          <cell r="A199">
            <v>43232</v>
          </cell>
        </row>
        <row r="200">
          <cell r="A200">
            <v>43227</v>
          </cell>
        </row>
        <row r="201">
          <cell r="A201">
            <v>43320</v>
          </cell>
        </row>
        <row r="202">
          <cell r="A202">
            <v>43250</v>
          </cell>
        </row>
        <row r="203">
          <cell r="A203">
            <v>43661</v>
          </cell>
        </row>
        <row r="204">
          <cell r="A204">
            <v>43545</v>
          </cell>
        </row>
        <row r="205">
          <cell r="A205">
            <v>43607</v>
          </cell>
        </row>
        <row r="206">
          <cell r="A206">
            <v>43481</v>
          </cell>
        </row>
        <row r="207">
          <cell r="A207">
            <v>43533</v>
          </cell>
        </row>
        <row r="208">
          <cell r="A208">
            <v>43447</v>
          </cell>
        </row>
        <row r="209">
          <cell r="A209">
            <v>43310</v>
          </cell>
        </row>
        <row r="210">
          <cell r="A210">
            <v>43622</v>
          </cell>
        </row>
        <row r="211">
          <cell r="A211">
            <v>43659</v>
          </cell>
        </row>
        <row r="212">
          <cell r="A212">
            <v>43400</v>
          </cell>
        </row>
        <row r="213">
          <cell r="A213">
            <v>43535</v>
          </cell>
        </row>
        <row r="214">
          <cell r="A214">
            <v>43173</v>
          </cell>
        </row>
        <row r="215">
          <cell r="A215">
            <v>43158</v>
          </cell>
        </row>
        <row r="216">
          <cell r="A216">
            <v>43182</v>
          </cell>
        </row>
        <row r="217">
          <cell r="A217">
            <v>43236</v>
          </cell>
        </row>
        <row r="218">
          <cell r="A218">
            <v>43467</v>
          </cell>
        </row>
        <row r="219">
          <cell r="A219">
            <v>43771</v>
          </cell>
        </row>
        <row r="220">
          <cell r="A220">
            <v>43283</v>
          </cell>
        </row>
        <row r="221">
          <cell r="A221">
            <v>43290</v>
          </cell>
        </row>
        <row r="222">
          <cell r="A222">
            <v>43919</v>
          </cell>
        </row>
        <row r="223">
          <cell r="A223">
            <v>43875</v>
          </cell>
        </row>
        <row r="224">
          <cell r="A224">
            <v>43267</v>
          </cell>
        </row>
        <row r="225">
          <cell r="A225">
            <v>43433</v>
          </cell>
        </row>
        <row r="226">
          <cell r="A226">
            <v>43205</v>
          </cell>
        </row>
        <row r="227">
          <cell r="A227">
            <v>43248</v>
          </cell>
        </row>
        <row r="228">
          <cell r="A228">
            <v>43175</v>
          </cell>
        </row>
        <row r="229">
          <cell r="A229">
            <v>43265</v>
          </cell>
        </row>
        <row r="230">
          <cell r="A230">
            <v>43693</v>
          </cell>
        </row>
        <row r="231">
          <cell r="A231">
            <v>43345</v>
          </cell>
        </row>
        <row r="232">
          <cell r="A232">
            <v>43344</v>
          </cell>
        </row>
        <row r="233">
          <cell r="A233">
            <v>43102</v>
          </cell>
        </row>
        <row r="234">
          <cell r="A234">
            <v>43368</v>
          </cell>
        </row>
        <row r="235">
          <cell r="A235">
            <v>43363</v>
          </cell>
        </row>
        <row r="236">
          <cell r="A236">
            <v>43203</v>
          </cell>
        </row>
        <row r="237">
          <cell r="A237">
            <v>43816</v>
          </cell>
        </row>
        <row r="238">
          <cell r="A238">
            <v>43621</v>
          </cell>
        </row>
        <row r="239">
          <cell r="A239">
            <v>43512</v>
          </cell>
        </row>
        <row r="240">
          <cell r="A240">
            <v>43133</v>
          </cell>
        </row>
        <row r="241">
          <cell r="A241">
            <v>43315</v>
          </cell>
        </row>
        <row r="242">
          <cell r="A242">
            <v>43299</v>
          </cell>
        </row>
        <row r="243">
          <cell r="A243">
            <v>43654</v>
          </cell>
        </row>
        <row r="244">
          <cell r="A244">
            <v>43461</v>
          </cell>
        </row>
        <row r="245">
          <cell r="A245">
            <v>43110</v>
          </cell>
        </row>
        <row r="246">
          <cell r="A246">
            <v>43873</v>
          </cell>
        </row>
        <row r="247">
          <cell r="A247">
            <v>43487</v>
          </cell>
        </row>
        <row r="248">
          <cell r="A248">
            <v>43623</v>
          </cell>
        </row>
        <row r="249">
          <cell r="A249">
            <v>43208</v>
          </cell>
        </row>
        <row r="250">
          <cell r="A250">
            <v>43824</v>
          </cell>
        </row>
        <row r="251">
          <cell r="A251">
            <v>43545</v>
          </cell>
        </row>
        <row r="252">
          <cell r="A252">
            <v>43436</v>
          </cell>
        </row>
        <row r="253">
          <cell r="A253">
            <v>43146</v>
          </cell>
        </row>
        <row r="254">
          <cell r="A254">
            <v>43260</v>
          </cell>
        </row>
        <row r="255">
          <cell r="A255">
            <v>43659</v>
          </cell>
        </row>
        <row r="256">
          <cell r="A256">
            <v>43879</v>
          </cell>
        </row>
        <row r="257">
          <cell r="A257">
            <v>43232</v>
          </cell>
        </row>
        <row r="258">
          <cell r="A258">
            <v>43673</v>
          </cell>
        </row>
        <row r="259">
          <cell r="A259">
            <v>43777</v>
          </cell>
        </row>
        <row r="260">
          <cell r="A260">
            <v>43671</v>
          </cell>
        </row>
        <row r="261">
          <cell r="A261">
            <v>43555</v>
          </cell>
        </row>
        <row r="262">
          <cell r="A262">
            <v>43318</v>
          </cell>
        </row>
        <row r="263">
          <cell r="A263">
            <v>43341</v>
          </cell>
        </row>
        <row r="264">
          <cell r="A264">
            <v>43232</v>
          </cell>
        </row>
        <row r="265">
          <cell r="A265">
            <v>43785</v>
          </cell>
        </row>
        <row r="266">
          <cell r="A266">
            <v>43360</v>
          </cell>
        </row>
        <row r="267">
          <cell r="A267">
            <v>43660</v>
          </cell>
        </row>
        <row r="268">
          <cell r="A268">
            <v>43206</v>
          </cell>
        </row>
        <row r="269">
          <cell r="A269">
            <v>43156</v>
          </cell>
        </row>
        <row r="270">
          <cell r="A270">
            <v>43419</v>
          </cell>
        </row>
        <row r="271">
          <cell r="A271">
            <v>43867</v>
          </cell>
        </row>
        <row r="272">
          <cell r="A272">
            <v>43853</v>
          </cell>
        </row>
        <row r="273">
          <cell r="A273">
            <v>43211</v>
          </cell>
        </row>
        <row r="274">
          <cell r="A274">
            <v>43824</v>
          </cell>
        </row>
        <row r="275">
          <cell r="A275">
            <v>43855</v>
          </cell>
        </row>
        <row r="276">
          <cell r="A276">
            <v>43443</v>
          </cell>
        </row>
        <row r="277">
          <cell r="A277">
            <v>43763</v>
          </cell>
        </row>
        <row r="278">
          <cell r="A278">
            <v>43672</v>
          </cell>
        </row>
        <row r="279">
          <cell r="A279">
            <v>43457</v>
          </cell>
        </row>
        <row r="280">
          <cell r="A280">
            <v>43146</v>
          </cell>
        </row>
        <row r="281">
          <cell r="A281">
            <v>43151</v>
          </cell>
        </row>
        <row r="282">
          <cell r="A282">
            <v>43595</v>
          </cell>
        </row>
        <row r="283">
          <cell r="A283">
            <v>43891</v>
          </cell>
        </row>
        <row r="284">
          <cell r="A284">
            <v>43154</v>
          </cell>
        </row>
        <row r="285">
          <cell r="A285">
            <v>43470</v>
          </cell>
        </row>
        <row r="286">
          <cell r="A286">
            <v>43465</v>
          </cell>
        </row>
        <row r="287">
          <cell r="A287">
            <v>43490</v>
          </cell>
        </row>
        <row r="288">
          <cell r="A288">
            <v>43348</v>
          </cell>
        </row>
        <row r="289">
          <cell r="A289">
            <v>43474</v>
          </cell>
        </row>
        <row r="290">
          <cell r="A290">
            <v>43614</v>
          </cell>
        </row>
        <row r="291">
          <cell r="A291">
            <v>43504</v>
          </cell>
        </row>
        <row r="292">
          <cell r="A292">
            <v>43643</v>
          </cell>
        </row>
        <row r="293">
          <cell r="A293">
            <v>43445</v>
          </cell>
        </row>
        <row r="294">
          <cell r="A294">
            <v>43560</v>
          </cell>
        </row>
        <row r="295">
          <cell r="A295">
            <v>43788</v>
          </cell>
        </row>
        <row r="296">
          <cell r="A296">
            <v>43874</v>
          </cell>
        </row>
        <row r="297">
          <cell r="A297">
            <v>43133</v>
          </cell>
        </row>
        <row r="298">
          <cell r="A298">
            <v>43596</v>
          </cell>
        </row>
        <row r="299">
          <cell r="A299">
            <v>43659</v>
          </cell>
        </row>
        <row r="300">
          <cell r="A300">
            <v>43463</v>
          </cell>
        </row>
        <row r="301">
          <cell r="A301">
            <v>43182</v>
          </cell>
        </row>
        <row r="302">
          <cell r="A302">
            <v>43763</v>
          </cell>
        </row>
        <row r="303">
          <cell r="A303">
            <v>43630</v>
          </cell>
        </row>
        <row r="304">
          <cell r="A304">
            <v>43476</v>
          </cell>
        </row>
        <row r="305">
          <cell r="A305">
            <v>43702</v>
          </cell>
        </row>
        <row r="306">
          <cell r="A306">
            <v>43529</v>
          </cell>
        </row>
        <row r="307">
          <cell r="A307">
            <v>43351</v>
          </cell>
        </row>
        <row r="308">
          <cell r="A308">
            <v>43465</v>
          </cell>
        </row>
        <row r="309">
          <cell r="A309">
            <v>43880</v>
          </cell>
        </row>
        <row r="310">
          <cell r="A310">
            <v>43108</v>
          </cell>
        </row>
        <row r="311">
          <cell r="A311">
            <v>43737</v>
          </cell>
        </row>
        <row r="312">
          <cell r="A312">
            <v>43474</v>
          </cell>
        </row>
        <row r="313">
          <cell r="A313">
            <v>43759</v>
          </cell>
        </row>
        <row r="314">
          <cell r="A314">
            <v>43621</v>
          </cell>
        </row>
        <row r="315">
          <cell r="A315">
            <v>43530</v>
          </cell>
        </row>
        <row r="316">
          <cell r="A316">
            <v>43679</v>
          </cell>
        </row>
        <row r="317">
          <cell r="A317">
            <v>43198</v>
          </cell>
        </row>
        <row r="318">
          <cell r="A318">
            <v>43829</v>
          </cell>
        </row>
        <row r="319">
          <cell r="A319">
            <v>43765</v>
          </cell>
        </row>
        <row r="320">
          <cell r="A320">
            <v>43385</v>
          </cell>
        </row>
        <row r="321">
          <cell r="A321">
            <v>43623</v>
          </cell>
        </row>
        <row r="322">
          <cell r="A322">
            <v>43462</v>
          </cell>
        </row>
        <row r="323">
          <cell r="A323">
            <v>43253</v>
          </cell>
        </row>
        <row r="324">
          <cell r="A324">
            <v>43670</v>
          </cell>
        </row>
        <row r="325">
          <cell r="A325">
            <v>43338</v>
          </cell>
        </row>
        <row r="326">
          <cell r="A326">
            <v>43892</v>
          </cell>
        </row>
        <row r="327">
          <cell r="A327">
            <v>43675</v>
          </cell>
        </row>
        <row r="328">
          <cell r="A328">
            <v>43423</v>
          </cell>
        </row>
        <row r="329">
          <cell r="A329">
            <v>43355</v>
          </cell>
        </row>
        <row r="330">
          <cell r="A330">
            <v>43617</v>
          </cell>
        </row>
        <row r="331">
          <cell r="A331">
            <v>43343</v>
          </cell>
        </row>
        <row r="332">
          <cell r="A332">
            <v>43609</v>
          </cell>
        </row>
        <row r="333">
          <cell r="A333">
            <v>43544</v>
          </cell>
        </row>
        <row r="334">
          <cell r="A334">
            <v>43670</v>
          </cell>
        </row>
        <row r="335">
          <cell r="A335">
            <v>43267</v>
          </cell>
        </row>
        <row r="336">
          <cell r="A336">
            <v>43880</v>
          </cell>
        </row>
        <row r="337">
          <cell r="A337">
            <v>43509</v>
          </cell>
        </row>
        <row r="338">
          <cell r="A338">
            <v>43876</v>
          </cell>
        </row>
        <row r="339">
          <cell r="A339">
            <v>43709</v>
          </cell>
        </row>
        <row r="340">
          <cell r="A340">
            <v>43769</v>
          </cell>
        </row>
        <row r="341">
          <cell r="A341">
            <v>43699</v>
          </cell>
        </row>
        <row r="342">
          <cell r="A342">
            <v>43141</v>
          </cell>
        </row>
        <row r="343">
          <cell r="A343">
            <v>43899</v>
          </cell>
        </row>
        <row r="344">
          <cell r="A344">
            <v>43587</v>
          </cell>
        </row>
        <row r="345">
          <cell r="A345">
            <v>43236</v>
          </cell>
        </row>
        <row r="346">
          <cell r="A346">
            <v>43784</v>
          </cell>
        </row>
        <row r="347">
          <cell r="A347">
            <v>43833</v>
          </cell>
        </row>
        <row r="348">
          <cell r="A348">
            <v>43605</v>
          </cell>
        </row>
        <row r="349">
          <cell r="A349">
            <v>43851</v>
          </cell>
        </row>
        <row r="350">
          <cell r="A350">
            <v>43733</v>
          </cell>
        </row>
        <row r="351">
          <cell r="A351">
            <v>43586</v>
          </cell>
        </row>
        <row r="352">
          <cell r="A352">
            <v>43453</v>
          </cell>
        </row>
        <row r="353">
          <cell r="A353">
            <v>43757</v>
          </cell>
        </row>
        <row r="354">
          <cell r="A354">
            <v>43780</v>
          </cell>
        </row>
        <row r="355">
          <cell r="A355">
            <v>43811</v>
          </cell>
        </row>
        <row r="356">
          <cell r="A356">
            <v>43891</v>
          </cell>
        </row>
        <row r="357">
          <cell r="A357">
            <v>43875</v>
          </cell>
        </row>
        <row r="358">
          <cell r="A358">
            <v>43231</v>
          </cell>
        </row>
        <row r="359">
          <cell r="A359">
            <v>43299</v>
          </cell>
        </row>
        <row r="360">
          <cell r="A360">
            <v>43607</v>
          </cell>
        </row>
        <row r="361">
          <cell r="A361">
            <v>43529</v>
          </cell>
        </row>
        <row r="362">
          <cell r="A362">
            <v>43850</v>
          </cell>
        </row>
        <row r="363">
          <cell r="A363">
            <v>43293</v>
          </cell>
        </row>
        <row r="364">
          <cell r="A364">
            <v>43566</v>
          </cell>
        </row>
        <row r="365">
          <cell r="A365">
            <v>43243</v>
          </cell>
        </row>
        <row r="366">
          <cell r="A366">
            <v>43176</v>
          </cell>
        </row>
        <row r="367">
          <cell r="A367">
            <v>43453</v>
          </cell>
        </row>
        <row r="368">
          <cell r="A368">
            <v>43696</v>
          </cell>
        </row>
        <row r="369">
          <cell r="A369">
            <v>43196</v>
          </cell>
        </row>
        <row r="370">
          <cell r="A370">
            <v>43328</v>
          </cell>
        </row>
        <row r="371">
          <cell r="A371">
            <v>43507</v>
          </cell>
        </row>
        <row r="372">
          <cell r="A372">
            <v>43147</v>
          </cell>
        </row>
        <row r="373">
          <cell r="A373">
            <v>43919</v>
          </cell>
        </row>
        <row r="374">
          <cell r="A374">
            <v>43810</v>
          </cell>
        </row>
        <row r="375">
          <cell r="A375">
            <v>43175</v>
          </cell>
        </row>
        <row r="376">
          <cell r="A376">
            <v>43773</v>
          </cell>
        </row>
        <row r="377">
          <cell r="A377">
            <v>43646</v>
          </cell>
        </row>
        <row r="378">
          <cell r="A378">
            <v>43663</v>
          </cell>
        </row>
        <row r="379">
          <cell r="A379">
            <v>43181</v>
          </cell>
        </row>
        <row r="380">
          <cell r="A380">
            <v>43762</v>
          </cell>
        </row>
        <row r="381">
          <cell r="A381">
            <v>43905</v>
          </cell>
        </row>
        <row r="382">
          <cell r="A382">
            <v>43224</v>
          </cell>
        </row>
        <row r="383">
          <cell r="A383">
            <v>43227</v>
          </cell>
        </row>
        <row r="384">
          <cell r="A384">
            <v>43138</v>
          </cell>
        </row>
        <row r="385">
          <cell r="A385">
            <v>43870</v>
          </cell>
        </row>
        <row r="386">
          <cell r="A386">
            <v>43908</v>
          </cell>
        </row>
        <row r="387">
          <cell r="A387">
            <v>43891</v>
          </cell>
        </row>
        <row r="388">
          <cell r="A388">
            <v>43273</v>
          </cell>
        </row>
        <row r="389">
          <cell r="A389">
            <v>43884</v>
          </cell>
        </row>
        <row r="390">
          <cell r="A390">
            <v>43261</v>
          </cell>
        </row>
        <row r="391">
          <cell r="A391">
            <v>43419</v>
          </cell>
        </row>
        <row r="392">
          <cell r="A392">
            <v>43803</v>
          </cell>
        </row>
        <row r="393">
          <cell r="A393">
            <v>43602</v>
          </cell>
        </row>
        <row r="394">
          <cell r="A394">
            <v>43212</v>
          </cell>
        </row>
        <row r="395">
          <cell r="A395">
            <v>43500</v>
          </cell>
        </row>
        <row r="396">
          <cell r="A396">
            <v>43141</v>
          </cell>
        </row>
        <row r="397">
          <cell r="A397">
            <v>43625</v>
          </cell>
        </row>
        <row r="398">
          <cell r="A398">
            <v>43662</v>
          </cell>
        </row>
        <row r="399">
          <cell r="A399">
            <v>43524</v>
          </cell>
        </row>
        <row r="400">
          <cell r="A400">
            <v>43244</v>
          </cell>
        </row>
        <row r="401">
          <cell r="A401">
            <v>43216</v>
          </cell>
        </row>
        <row r="402">
          <cell r="A402">
            <v>43261</v>
          </cell>
        </row>
        <row r="403">
          <cell r="A403">
            <v>43805</v>
          </cell>
        </row>
        <row r="404">
          <cell r="A404">
            <v>43208</v>
          </cell>
        </row>
        <row r="405">
          <cell r="A405">
            <v>43635</v>
          </cell>
        </row>
        <row r="406">
          <cell r="A406">
            <v>43324</v>
          </cell>
        </row>
        <row r="407">
          <cell r="A407">
            <v>43597</v>
          </cell>
        </row>
        <row r="408">
          <cell r="A408">
            <v>43683</v>
          </cell>
        </row>
        <row r="409">
          <cell r="A409">
            <v>43794</v>
          </cell>
        </row>
        <row r="410">
          <cell r="A410">
            <v>43437</v>
          </cell>
        </row>
        <row r="411">
          <cell r="A411">
            <v>43337</v>
          </cell>
        </row>
        <row r="412">
          <cell r="A412">
            <v>43403</v>
          </cell>
        </row>
        <row r="413">
          <cell r="A413">
            <v>43328</v>
          </cell>
        </row>
        <row r="414">
          <cell r="A414">
            <v>43449</v>
          </cell>
        </row>
        <row r="415">
          <cell r="A415">
            <v>43444</v>
          </cell>
        </row>
        <row r="416">
          <cell r="A416">
            <v>43590</v>
          </cell>
        </row>
        <row r="417">
          <cell r="A417">
            <v>43208</v>
          </cell>
        </row>
        <row r="418">
          <cell r="A418">
            <v>43416</v>
          </cell>
        </row>
        <row r="419">
          <cell r="A419">
            <v>43302</v>
          </cell>
        </row>
        <row r="420">
          <cell r="A420">
            <v>43569</v>
          </cell>
        </row>
        <row r="421">
          <cell r="A421">
            <v>43664</v>
          </cell>
        </row>
        <row r="422">
          <cell r="A422">
            <v>43417</v>
          </cell>
        </row>
        <row r="423">
          <cell r="A423">
            <v>43140</v>
          </cell>
        </row>
        <row r="424">
          <cell r="A424">
            <v>43908</v>
          </cell>
        </row>
        <row r="425">
          <cell r="A425">
            <v>43799</v>
          </cell>
        </row>
        <row r="426">
          <cell r="A426">
            <v>43189</v>
          </cell>
        </row>
        <row r="427">
          <cell r="A427">
            <v>43453</v>
          </cell>
        </row>
        <row r="428">
          <cell r="A428">
            <v>43724</v>
          </cell>
        </row>
        <row r="429">
          <cell r="A429">
            <v>43546</v>
          </cell>
        </row>
        <row r="430">
          <cell r="A430">
            <v>43405</v>
          </cell>
        </row>
        <row r="431">
          <cell r="A431">
            <v>43210</v>
          </cell>
        </row>
        <row r="432">
          <cell r="A432">
            <v>43634</v>
          </cell>
        </row>
        <row r="433">
          <cell r="A433">
            <v>43658</v>
          </cell>
        </row>
        <row r="434">
          <cell r="A434">
            <v>43434</v>
          </cell>
        </row>
        <row r="435">
          <cell r="A435">
            <v>43269</v>
          </cell>
        </row>
        <row r="436">
          <cell r="A436">
            <v>43297</v>
          </cell>
        </row>
        <row r="437">
          <cell r="A437">
            <v>43292</v>
          </cell>
        </row>
        <row r="438">
          <cell r="A438">
            <v>43414</v>
          </cell>
        </row>
        <row r="439">
          <cell r="A439">
            <v>43304</v>
          </cell>
        </row>
        <row r="440">
          <cell r="A440">
            <v>43214</v>
          </cell>
        </row>
        <row r="441">
          <cell r="A441">
            <v>43178</v>
          </cell>
        </row>
        <row r="442">
          <cell r="A442">
            <v>43214</v>
          </cell>
        </row>
        <row r="443">
          <cell r="A443">
            <v>43321</v>
          </cell>
        </row>
        <row r="444">
          <cell r="A444">
            <v>43171</v>
          </cell>
        </row>
        <row r="445">
          <cell r="A445">
            <v>43174</v>
          </cell>
        </row>
        <row r="446">
          <cell r="A446">
            <v>43272</v>
          </cell>
        </row>
        <row r="447">
          <cell r="A447">
            <v>43610</v>
          </cell>
        </row>
        <row r="448">
          <cell r="A448">
            <v>43178</v>
          </cell>
        </row>
        <row r="449">
          <cell r="A449">
            <v>43764</v>
          </cell>
        </row>
        <row r="450">
          <cell r="A450">
            <v>43115</v>
          </cell>
        </row>
        <row r="451">
          <cell r="A451">
            <v>43258</v>
          </cell>
        </row>
        <row r="452">
          <cell r="A452">
            <v>43887</v>
          </cell>
        </row>
        <row r="453">
          <cell r="A453">
            <v>43798</v>
          </cell>
        </row>
        <row r="454">
          <cell r="A454">
            <v>43699</v>
          </cell>
        </row>
        <row r="455">
          <cell r="A455">
            <v>43860</v>
          </cell>
        </row>
        <row r="456">
          <cell r="A456">
            <v>43176</v>
          </cell>
        </row>
        <row r="457">
          <cell r="A457">
            <v>43424</v>
          </cell>
        </row>
        <row r="458">
          <cell r="A458">
            <v>43637</v>
          </cell>
        </row>
        <row r="459">
          <cell r="A459">
            <v>43304</v>
          </cell>
        </row>
        <row r="460">
          <cell r="A460">
            <v>43638</v>
          </cell>
        </row>
        <row r="461">
          <cell r="A461">
            <v>43670</v>
          </cell>
        </row>
        <row r="462">
          <cell r="A462">
            <v>43147</v>
          </cell>
        </row>
        <row r="463">
          <cell r="A463">
            <v>43882</v>
          </cell>
        </row>
        <row r="464">
          <cell r="A464">
            <v>43411</v>
          </cell>
        </row>
        <row r="465">
          <cell r="A465">
            <v>43786</v>
          </cell>
        </row>
        <row r="466">
          <cell r="A466">
            <v>43584</v>
          </cell>
        </row>
        <row r="467">
          <cell r="A467">
            <v>43418</v>
          </cell>
        </row>
        <row r="468">
          <cell r="A468">
            <v>43909</v>
          </cell>
        </row>
        <row r="469">
          <cell r="A469">
            <v>43453</v>
          </cell>
        </row>
        <row r="470">
          <cell r="A470">
            <v>43359</v>
          </cell>
        </row>
        <row r="471">
          <cell r="A471">
            <v>43636</v>
          </cell>
        </row>
        <row r="472">
          <cell r="A472">
            <v>43162</v>
          </cell>
        </row>
        <row r="473">
          <cell r="A473">
            <v>43706</v>
          </cell>
        </row>
        <row r="474">
          <cell r="A474">
            <v>43522</v>
          </cell>
        </row>
        <row r="475">
          <cell r="A475">
            <v>43844</v>
          </cell>
        </row>
        <row r="476">
          <cell r="A476">
            <v>43828</v>
          </cell>
        </row>
        <row r="477">
          <cell r="A477">
            <v>43448</v>
          </cell>
        </row>
        <row r="478">
          <cell r="A478">
            <v>43628</v>
          </cell>
        </row>
        <row r="479">
          <cell r="A479">
            <v>43471</v>
          </cell>
        </row>
        <row r="480">
          <cell r="A480">
            <v>43683</v>
          </cell>
        </row>
        <row r="481">
          <cell r="A481">
            <v>43354</v>
          </cell>
        </row>
        <row r="482">
          <cell r="A482">
            <v>43764</v>
          </cell>
        </row>
        <row r="483">
          <cell r="A483">
            <v>43707</v>
          </cell>
        </row>
        <row r="484">
          <cell r="A484">
            <v>43184</v>
          </cell>
        </row>
        <row r="485">
          <cell r="A485">
            <v>43204</v>
          </cell>
        </row>
        <row r="486">
          <cell r="A486">
            <v>43801</v>
          </cell>
        </row>
        <row r="487">
          <cell r="A487">
            <v>43638</v>
          </cell>
        </row>
        <row r="488">
          <cell r="A488">
            <v>43740</v>
          </cell>
        </row>
        <row r="489">
          <cell r="A489">
            <v>43519</v>
          </cell>
        </row>
        <row r="490">
          <cell r="A490">
            <v>43883</v>
          </cell>
        </row>
        <row r="491">
          <cell r="A491">
            <v>43334</v>
          </cell>
        </row>
        <row r="492">
          <cell r="A492">
            <v>43194</v>
          </cell>
        </row>
        <row r="493">
          <cell r="A493">
            <v>43821</v>
          </cell>
        </row>
        <row r="494">
          <cell r="A494">
            <v>43462</v>
          </cell>
        </row>
        <row r="495">
          <cell r="A495">
            <v>43170</v>
          </cell>
        </row>
        <row r="496">
          <cell r="A496">
            <v>43106</v>
          </cell>
        </row>
        <row r="497">
          <cell r="A497">
            <v>43412</v>
          </cell>
        </row>
        <row r="498">
          <cell r="A498">
            <v>43516</v>
          </cell>
        </row>
        <row r="499">
          <cell r="A499">
            <v>43807</v>
          </cell>
        </row>
        <row r="500">
          <cell r="A500">
            <v>43550</v>
          </cell>
        </row>
        <row r="501">
          <cell r="A501">
            <v>43335</v>
          </cell>
        </row>
        <row r="502">
          <cell r="A502">
            <v>43669</v>
          </cell>
        </row>
        <row r="503">
          <cell r="A503">
            <v>43739</v>
          </cell>
        </row>
        <row r="504">
          <cell r="A504">
            <v>43739</v>
          </cell>
        </row>
        <row r="505">
          <cell r="A505">
            <v>43890</v>
          </cell>
        </row>
        <row r="506">
          <cell r="A506">
            <v>43638</v>
          </cell>
        </row>
        <row r="507">
          <cell r="A507">
            <v>43543</v>
          </cell>
        </row>
        <row r="508">
          <cell r="A508">
            <v>43809</v>
          </cell>
        </row>
        <row r="509">
          <cell r="A509">
            <v>43522</v>
          </cell>
        </row>
        <row r="510">
          <cell r="A510">
            <v>43560</v>
          </cell>
        </row>
        <row r="511">
          <cell r="A511">
            <v>43701</v>
          </cell>
        </row>
        <row r="512">
          <cell r="A512">
            <v>43578</v>
          </cell>
        </row>
        <row r="513">
          <cell r="A513">
            <v>43776</v>
          </cell>
        </row>
        <row r="514">
          <cell r="A514">
            <v>43511</v>
          </cell>
        </row>
        <row r="515">
          <cell r="A515">
            <v>43554</v>
          </cell>
        </row>
        <row r="516">
          <cell r="A516">
            <v>43213</v>
          </cell>
        </row>
        <row r="517">
          <cell r="A517">
            <v>43751</v>
          </cell>
        </row>
        <row r="518">
          <cell r="A518">
            <v>43244</v>
          </cell>
        </row>
        <row r="519">
          <cell r="A519">
            <v>43302</v>
          </cell>
        </row>
        <row r="520">
          <cell r="A520">
            <v>43613</v>
          </cell>
        </row>
        <row r="521">
          <cell r="A521">
            <v>43322</v>
          </cell>
        </row>
        <row r="522">
          <cell r="A522">
            <v>43458</v>
          </cell>
        </row>
        <row r="523">
          <cell r="A523">
            <v>43810</v>
          </cell>
        </row>
        <row r="524">
          <cell r="A524">
            <v>43125</v>
          </cell>
        </row>
        <row r="525">
          <cell r="A525">
            <v>43178</v>
          </cell>
        </row>
        <row r="526">
          <cell r="A526">
            <v>43244</v>
          </cell>
        </row>
        <row r="527">
          <cell r="A527">
            <v>43359</v>
          </cell>
        </row>
        <row r="528">
          <cell r="A528">
            <v>43208</v>
          </cell>
        </row>
        <row r="529">
          <cell r="A529">
            <v>43464</v>
          </cell>
        </row>
        <row r="530">
          <cell r="A530">
            <v>43793</v>
          </cell>
        </row>
        <row r="531">
          <cell r="A531">
            <v>43134</v>
          </cell>
        </row>
        <row r="532">
          <cell r="A532">
            <v>43450</v>
          </cell>
        </row>
        <row r="533">
          <cell r="A533">
            <v>43779</v>
          </cell>
        </row>
        <row r="534">
          <cell r="A534">
            <v>43411</v>
          </cell>
        </row>
        <row r="535">
          <cell r="A535">
            <v>43837</v>
          </cell>
        </row>
        <row r="536">
          <cell r="A536">
            <v>43232</v>
          </cell>
        </row>
        <row r="537">
          <cell r="A537">
            <v>43531</v>
          </cell>
        </row>
        <row r="538">
          <cell r="A538">
            <v>43856</v>
          </cell>
        </row>
        <row r="539">
          <cell r="A539">
            <v>43728</v>
          </cell>
        </row>
        <row r="540">
          <cell r="A540">
            <v>43851</v>
          </cell>
        </row>
        <row r="541">
          <cell r="A541">
            <v>43913</v>
          </cell>
        </row>
        <row r="542">
          <cell r="A542">
            <v>43627</v>
          </cell>
        </row>
        <row r="543">
          <cell r="A543">
            <v>43108</v>
          </cell>
        </row>
        <row r="544">
          <cell r="A544">
            <v>43891</v>
          </cell>
        </row>
        <row r="545">
          <cell r="A545">
            <v>43135</v>
          </cell>
        </row>
        <row r="546">
          <cell r="A546">
            <v>43244</v>
          </cell>
        </row>
        <row r="547">
          <cell r="A547">
            <v>43779</v>
          </cell>
        </row>
        <row r="548">
          <cell r="A548">
            <v>43689</v>
          </cell>
        </row>
        <row r="549">
          <cell r="A549">
            <v>43914</v>
          </cell>
        </row>
        <row r="550">
          <cell r="A550">
            <v>43439</v>
          </cell>
        </row>
        <row r="551">
          <cell r="A551">
            <v>43705</v>
          </cell>
        </row>
        <row r="552">
          <cell r="A552">
            <v>43252</v>
          </cell>
        </row>
        <row r="553">
          <cell r="A553">
            <v>43873</v>
          </cell>
        </row>
        <row r="554">
          <cell r="A554">
            <v>43179</v>
          </cell>
        </row>
        <row r="555">
          <cell r="A555">
            <v>43508</v>
          </cell>
        </row>
        <row r="556">
          <cell r="A556">
            <v>43338</v>
          </cell>
        </row>
        <row r="557">
          <cell r="A557">
            <v>43754</v>
          </cell>
        </row>
        <row r="558">
          <cell r="A558">
            <v>43788</v>
          </cell>
        </row>
        <row r="559">
          <cell r="A559">
            <v>43515</v>
          </cell>
        </row>
        <row r="560">
          <cell r="A560">
            <v>43614</v>
          </cell>
        </row>
        <row r="561">
          <cell r="A561">
            <v>43611</v>
          </cell>
        </row>
        <row r="562">
          <cell r="A562">
            <v>43520</v>
          </cell>
        </row>
        <row r="563">
          <cell r="A563">
            <v>43671</v>
          </cell>
        </row>
        <row r="564">
          <cell r="A564">
            <v>43420</v>
          </cell>
        </row>
        <row r="565">
          <cell r="A565">
            <v>43401</v>
          </cell>
        </row>
        <row r="566">
          <cell r="A566">
            <v>43344</v>
          </cell>
        </row>
        <row r="567">
          <cell r="A567">
            <v>43889</v>
          </cell>
        </row>
        <row r="568">
          <cell r="A568">
            <v>43210</v>
          </cell>
        </row>
        <row r="569">
          <cell r="A569">
            <v>43395</v>
          </cell>
        </row>
        <row r="570">
          <cell r="A570">
            <v>43275</v>
          </cell>
        </row>
        <row r="571">
          <cell r="A571">
            <v>43316</v>
          </cell>
        </row>
        <row r="572">
          <cell r="A572">
            <v>43233</v>
          </cell>
        </row>
        <row r="573">
          <cell r="A573">
            <v>43814</v>
          </cell>
        </row>
        <row r="574">
          <cell r="A574">
            <v>43736</v>
          </cell>
        </row>
        <row r="575">
          <cell r="A575">
            <v>43329</v>
          </cell>
        </row>
        <row r="576">
          <cell r="A576">
            <v>43739</v>
          </cell>
        </row>
        <row r="577">
          <cell r="A577">
            <v>43529</v>
          </cell>
        </row>
        <row r="578">
          <cell r="A578">
            <v>43257</v>
          </cell>
        </row>
        <row r="579">
          <cell r="A579">
            <v>43724</v>
          </cell>
        </row>
        <row r="580">
          <cell r="A580">
            <v>43498</v>
          </cell>
        </row>
        <row r="581">
          <cell r="A581">
            <v>43703</v>
          </cell>
        </row>
        <row r="582">
          <cell r="A582">
            <v>43236</v>
          </cell>
        </row>
        <row r="583">
          <cell r="A583">
            <v>43564</v>
          </cell>
        </row>
        <row r="584">
          <cell r="A584">
            <v>43569</v>
          </cell>
        </row>
        <row r="585">
          <cell r="A585">
            <v>43222</v>
          </cell>
        </row>
        <row r="586">
          <cell r="A586">
            <v>43754</v>
          </cell>
        </row>
        <row r="587">
          <cell r="A587">
            <v>43112</v>
          </cell>
        </row>
        <row r="588">
          <cell r="A588">
            <v>43314</v>
          </cell>
        </row>
        <row r="589">
          <cell r="A589">
            <v>43917</v>
          </cell>
        </row>
        <row r="590">
          <cell r="A590">
            <v>43190</v>
          </cell>
        </row>
        <row r="591">
          <cell r="A591">
            <v>43319</v>
          </cell>
        </row>
        <row r="592">
          <cell r="A592">
            <v>43539</v>
          </cell>
        </row>
        <row r="593">
          <cell r="A593">
            <v>43381</v>
          </cell>
        </row>
        <row r="594">
          <cell r="A594">
            <v>43257</v>
          </cell>
        </row>
        <row r="595">
          <cell r="A595">
            <v>43537</v>
          </cell>
        </row>
        <row r="596">
          <cell r="A596">
            <v>43469</v>
          </cell>
        </row>
        <row r="597">
          <cell r="A597">
            <v>43444</v>
          </cell>
        </row>
        <row r="598">
          <cell r="A598">
            <v>43355</v>
          </cell>
        </row>
        <row r="599">
          <cell r="A599">
            <v>43290</v>
          </cell>
        </row>
        <row r="600">
          <cell r="A600">
            <v>43463</v>
          </cell>
        </row>
        <row r="601">
          <cell r="A601">
            <v>43839</v>
          </cell>
        </row>
        <row r="602">
          <cell r="A602">
            <v>43154</v>
          </cell>
        </row>
        <row r="603">
          <cell r="A603">
            <v>43818</v>
          </cell>
        </row>
        <row r="604">
          <cell r="A604">
            <v>43509</v>
          </cell>
        </row>
        <row r="605">
          <cell r="A605">
            <v>43206</v>
          </cell>
        </row>
        <row r="606">
          <cell r="A606">
            <v>43744</v>
          </cell>
        </row>
        <row r="607">
          <cell r="A607">
            <v>43369</v>
          </cell>
        </row>
        <row r="608">
          <cell r="A608">
            <v>43132</v>
          </cell>
        </row>
        <row r="609">
          <cell r="A609">
            <v>43151</v>
          </cell>
        </row>
        <row r="610">
          <cell r="A610">
            <v>43331</v>
          </cell>
        </row>
        <row r="611">
          <cell r="A611">
            <v>43685</v>
          </cell>
        </row>
        <row r="612">
          <cell r="A612">
            <v>43724</v>
          </cell>
        </row>
        <row r="613">
          <cell r="A613">
            <v>43123</v>
          </cell>
        </row>
        <row r="614">
          <cell r="A614">
            <v>43185</v>
          </cell>
        </row>
        <row r="615">
          <cell r="A615">
            <v>43485</v>
          </cell>
        </row>
        <row r="616">
          <cell r="A616">
            <v>43286</v>
          </cell>
        </row>
        <row r="617">
          <cell r="A617">
            <v>43583</v>
          </cell>
        </row>
        <row r="618">
          <cell r="A618">
            <v>43227</v>
          </cell>
        </row>
        <row r="619">
          <cell r="A619">
            <v>43641</v>
          </cell>
        </row>
        <row r="620">
          <cell r="A620">
            <v>43388</v>
          </cell>
        </row>
        <row r="621">
          <cell r="A621">
            <v>43766</v>
          </cell>
        </row>
        <row r="622">
          <cell r="A622">
            <v>43366</v>
          </cell>
        </row>
        <row r="623">
          <cell r="A623">
            <v>43652</v>
          </cell>
        </row>
        <row r="624">
          <cell r="A624">
            <v>43252</v>
          </cell>
        </row>
        <row r="625">
          <cell r="A625">
            <v>43475</v>
          </cell>
        </row>
        <row r="626">
          <cell r="A626">
            <v>43384</v>
          </cell>
        </row>
        <row r="627">
          <cell r="A627">
            <v>43545</v>
          </cell>
        </row>
        <row r="628">
          <cell r="A628">
            <v>43413</v>
          </cell>
        </row>
        <row r="629">
          <cell r="A629">
            <v>43896</v>
          </cell>
        </row>
        <row r="630">
          <cell r="A630">
            <v>43342</v>
          </cell>
        </row>
        <row r="631">
          <cell r="A631">
            <v>43614</v>
          </cell>
        </row>
        <row r="632">
          <cell r="A632">
            <v>43893</v>
          </cell>
        </row>
        <row r="633">
          <cell r="A633">
            <v>43560</v>
          </cell>
        </row>
        <row r="634">
          <cell r="A634">
            <v>43378</v>
          </cell>
        </row>
        <row r="635">
          <cell r="A635">
            <v>43286</v>
          </cell>
        </row>
        <row r="636">
          <cell r="A636">
            <v>43159</v>
          </cell>
        </row>
        <row r="637">
          <cell r="A637">
            <v>43342</v>
          </cell>
        </row>
        <row r="638">
          <cell r="A638">
            <v>43748</v>
          </cell>
        </row>
        <row r="639">
          <cell r="A639">
            <v>43892</v>
          </cell>
        </row>
        <row r="640">
          <cell r="A640">
            <v>43114</v>
          </cell>
        </row>
        <row r="641">
          <cell r="A641">
            <v>43329</v>
          </cell>
        </row>
        <row r="642">
          <cell r="A642">
            <v>43194</v>
          </cell>
        </row>
        <row r="643">
          <cell r="A643">
            <v>43397</v>
          </cell>
        </row>
        <row r="644">
          <cell r="A644">
            <v>43562</v>
          </cell>
        </row>
        <row r="645">
          <cell r="A645">
            <v>43573</v>
          </cell>
        </row>
        <row r="646">
          <cell r="A646">
            <v>43428</v>
          </cell>
        </row>
        <row r="647">
          <cell r="A647">
            <v>43549</v>
          </cell>
        </row>
        <row r="648">
          <cell r="A648">
            <v>43178</v>
          </cell>
        </row>
        <row r="649">
          <cell r="A649">
            <v>43507</v>
          </cell>
        </row>
        <row r="650">
          <cell r="A650">
            <v>43151</v>
          </cell>
        </row>
        <row r="651">
          <cell r="A651">
            <v>43318</v>
          </cell>
        </row>
        <row r="652">
          <cell r="A652">
            <v>43489</v>
          </cell>
        </row>
        <row r="653">
          <cell r="A653">
            <v>43323</v>
          </cell>
        </row>
        <row r="654">
          <cell r="A654">
            <v>43529</v>
          </cell>
        </row>
        <row r="655">
          <cell r="A655">
            <v>43828</v>
          </cell>
        </row>
        <row r="656">
          <cell r="A656">
            <v>43224</v>
          </cell>
        </row>
        <row r="657">
          <cell r="A657">
            <v>43575</v>
          </cell>
        </row>
        <row r="658">
          <cell r="A658">
            <v>43327</v>
          </cell>
        </row>
        <row r="659">
          <cell r="A659">
            <v>43723</v>
          </cell>
        </row>
        <row r="660">
          <cell r="A660">
            <v>43782</v>
          </cell>
        </row>
        <row r="661">
          <cell r="A661">
            <v>43444</v>
          </cell>
        </row>
        <row r="662">
          <cell r="A662">
            <v>43770</v>
          </cell>
        </row>
        <row r="663">
          <cell r="A663">
            <v>43619</v>
          </cell>
        </row>
        <row r="664">
          <cell r="A664">
            <v>43192</v>
          </cell>
        </row>
        <row r="665">
          <cell r="A665">
            <v>43853</v>
          </cell>
        </row>
        <row r="666">
          <cell r="A666">
            <v>43431</v>
          </cell>
        </row>
        <row r="667">
          <cell r="A667">
            <v>43519</v>
          </cell>
        </row>
        <row r="668">
          <cell r="A668">
            <v>43620</v>
          </cell>
        </row>
        <row r="669">
          <cell r="A669">
            <v>43528</v>
          </cell>
        </row>
        <row r="670">
          <cell r="A670">
            <v>43126</v>
          </cell>
        </row>
        <row r="671">
          <cell r="A671">
            <v>43803</v>
          </cell>
        </row>
        <row r="672">
          <cell r="A672">
            <v>43175</v>
          </cell>
        </row>
        <row r="673">
          <cell r="A673">
            <v>43848</v>
          </cell>
        </row>
        <row r="674">
          <cell r="A674">
            <v>43246</v>
          </cell>
        </row>
        <row r="675">
          <cell r="A675">
            <v>43232</v>
          </cell>
        </row>
        <row r="676">
          <cell r="A676">
            <v>43222</v>
          </cell>
        </row>
        <row r="677">
          <cell r="A677">
            <v>43721</v>
          </cell>
        </row>
        <row r="678">
          <cell r="A678">
            <v>43320</v>
          </cell>
        </row>
        <row r="679">
          <cell r="A679">
            <v>43806</v>
          </cell>
        </row>
        <row r="680">
          <cell r="A680">
            <v>43612</v>
          </cell>
        </row>
        <row r="681">
          <cell r="A681">
            <v>43634</v>
          </cell>
        </row>
        <row r="682">
          <cell r="A682">
            <v>43108</v>
          </cell>
        </row>
        <row r="683">
          <cell r="A683">
            <v>43736</v>
          </cell>
        </row>
        <row r="684">
          <cell r="A684">
            <v>43490</v>
          </cell>
        </row>
        <row r="685">
          <cell r="A685">
            <v>43835</v>
          </cell>
        </row>
        <row r="686">
          <cell r="A686">
            <v>43238</v>
          </cell>
        </row>
        <row r="687">
          <cell r="A687">
            <v>43281</v>
          </cell>
        </row>
        <row r="688">
          <cell r="A688">
            <v>43380</v>
          </cell>
        </row>
        <row r="689">
          <cell r="A689">
            <v>43791</v>
          </cell>
        </row>
        <row r="690">
          <cell r="A690">
            <v>43442</v>
          </cell>
        </row>
        <row r="691">
          <cell r="A691">
            <v>43469</v>
          </cell>
        </row>
        <row r="692">
          <cell r="A692">
            <v>43255</v>
          </cell>
        </row>
        <row r="693">
          <cell r="A693">
            <v>43440</v>
          </cell>
        </row>
        <row r="694">
          <cell r="A694">
            <v>43881</v>
          </cell>
        </row>
        <row r="695">
          <cell r="A695">
            <v>43719</v>
          </cell>
        </row>
        <row r="696">
          <cell r="A696">
            <v>43172</v>
          </cell>
        </row>
        <row r="697">
          <cell r="A697">
            <v>43732</v>
          </cell>
        </row>
        <row r="698">
          <cell r="A698">
            <v>43287</v>
          </cell>
        </row>
        <row r="699">
          <cell r="A699">
            <v>43725</v>
          </cell>
        </row>
        <row r="700">
          <cell r="A700">
            <v>43223</v>
          </cell>
        </row>
        <row r="701">
          <cell r="A701">
            <v>43884</v>
          </cell>
        </row>
        <row r="702">
          <cell r="A702">
            <v>43760</v>
          </cell>
        </row>
        <row r="703">
          <cell r="A703">
            <v>43636</v>
          </cell>
        </row>
        <row r="704">
          <cell r="A704">
            <v>43772</v>
          </cell>
        </row>
        <row r="705">
          <cell r="A705">
            <v>43837</v>
          </cell>
        </row>
        <row r="706">
          <cell r="A706">
            <v>43586</v>
          </cell>
        </row>
        <row r="707">
          <cell r="A707">
            <v>43460</v>
          </cell>
        </row>
        <row r="708">
          <cell r="A708">
            <v>43833</v>
          </cell>
        </row>
        <row r="709">
          <cell r="A709">
            <v>43839</v>
          </cell>
        </row>
        <row r="710">
          <cell r="A710">
            <v>43762</v>
          </cell>
        </row>
        <row r="711">
          <cell r="A711">
            <v>43259</v>
          </cell>
        </row>
        <row r="712">
          <cell r="A712">
            <v>43218</v>
          </cell>
        </row>
        <row r="713">
          <cell r="A713">
            <v>43167</v>
          </cell>
        </row>
        <row r="714">
          <cell r="A714">
            <v>43862</v>
          </cell>
        </row>
        <row r="715">
          <cell r="A715">
            <v>43604</v>
          </cell>
        </row>
        <row r="716">
          <cell r="A716">
            <v>43639</v>
          </cell>
        </row>
        <row r="717">
          <cell r="A717">
            <v>43855</v>
          </cell>
        </row>
        <row r="718">
          <cell r="A718">
            <v>43497</v>
          </cell>
        </row>
        <row r="719">
          <cell r="A719">
            <v>43900</v>
          </cell>
        </row>
        <row r="720">
          <cell r="A720">
            <v>43661</v>
          </cell>
        </row>
        <row r="721">
          <cell r="A721">
            <v>43828</v>
          </cell>
        </row>
        <row r="722">
          <cell r="A722">
            <v>43127</v>
          </cell>
        </row>
        <row r="723">
          <cell r="A723">
            <v>43474</v>
          </cell>
        </row>
        <row r="724">
          <cell r="A724">
            <v>43162</v>
          </cell>
        </row>
        <row r="725">
          <cell r="A725">
            <v>43202</v>
          </cell>
        </row>
        <row r="726">
          <cell r="A726">
            <v>43641</v>
          </cell>
        </row>
        <row r="727">
          <cell r="A727">
            <v>43567</v>
          </cell>
        </row>
        <row r="728">
          <cell r="A728">
            <v>43683</v>
          </cell>
        </row>
        <row r="729">
          <cell r="A729">
            <v>43755</v>
          </cell>
        </row>
        <row r="730">
          <cell r="A730">
            <v>43698</v>
          </cell>
        </row>
        <row r="731">
          <cell r="A731">
            <v>43229</v>
          </cell>
        </row>
        <row r="732">
          <cell r="A732">
            <v>43827</v>
          </cell>
        </row>
        <row r="733">
          <cell r="A733">
            <v>43144</v>
          </cell>
        </row>
        <row r="734">
          <cell r="A734">
            <v>43522</v>
          </cell>
        </row>
        <row r="735">
          <cell r="A735">
            <v>43487</v>
          </cell>
        </row>
        <row r="736">
          <cell r="A736">
            <v>43235</v>
          </cell>
        </row>
        <row r="737">
          <cell r="A737">
            <v>43753</v>
          </cell>
        </row>
        <row r="738">
          <cell r="A738">
            <v>43223</v>
          </cell>
        </row>
        <row r="739">
          <cell r="A739">
            <v>43121</v>
          </cell>
        </row>
        <row r="740">
          <cell r="A740">
            <v>43567</v>
          </cell>
        </row>
        <row r="741">
          <cell r="A741">
            <v>43242</v>
          </cell>
        </row>
        <row r="742">
          <cell r="A742">
            <v>43715</v>
          </cell>
        </row>
        <row r="743">
          <cell r="A743">
            <v>43723</v>
          </cell>
        </row>
        <row r="744">
          <cell r="A744">
            <v>43527</v>
          </cell>
        </row>
        <row r="745">
          <cell r="A745">
            <v>43560</v>
          </cell>
        </row>
        <row r="746">
          <cell r="A746">
            <v>43878</v>
          </cell>
        </row>
        <row r="747">
          <cell r="A747">
            <v>43172</v>
          </cell>
        </row>
        <row r="748">
          <cell r="A748">
            <v>43429</v>
          </cell>
        </row>
        <row r="749">
          <cell r="A749">
            <v>43921</v>
          </cell>
        </row>
        <row r="750">
          <cell r="A750">
            <v>43868</v>
          </cell>
        </row>
        <row r="751">
          <cell r="A751">
            <v>43490</v>
          </cell>
        </row>
        <row r="752">
          <cell r="A752">
            <v>43797</v>
          </cell>
        </row>
        <row r="753">
          <cell r="A753">
            <v>43534</v>
          </cell>
        </row>
        <row r="754">
          <cell r="A754">
            <v>43785</v>
          </cell>
        </row>
        <row r="755">
          <cell r="A755">
            <v>43505</v>
          </cell>
        </row>
        <row r="756">
          <cell r="A756">
            <v>43702</v>
          </cell>
        </row>
        <row r="757">
          <cell r="A757">
            <v>43727</v>
          </cell>
        </row>
        <row r="758">
          <cell r="A758">
            <v>43894</v>
          </cell>
        </row>
        <row r="759">
          <cell r="A759">
            <v>43432</v>
          </cell>
        </row>
        <row r="760">
          <cell r="A760">
            <v>43916</v>
          </cell>
        </row>
        <row r="761">
          <cell r="A761">
            <v>43322</v>
          </cell>
        </row>
        <row r="762">
          <cell r="A762">
            <v>43349</v>
          </cell>
        </row>
        <row r="763">
          <cell r="A763">
            <v>43793</v>
          </cell>
        </row>
        <row r="764">
          <cell r="A764">
            <v>43185</v>
          </cell>
        </row>
        <row r="765">
          <cell r="A765">
            <v>43388</v>
          </cell>
        </row>
        <row r="766">
          <cell r="A766">
            <v>43737</v>
          </cell>
        </row>
        <row r="767">
          <cell r="A767">
            <v>43360</v>
          </cell>
        </row>
        <row r="768">
          <cell r="A768">
            <v>43862</v>
          </cell>
        </row>
        <row r="769">
          <cell r="A769">
            <v>43383</v>
          </cell>
        </row>
        <row r="770">
          <cell r="A770">
            <v>43639</v>
          </cell>
        </row>
        <row r="771">
          <cell r="A771">
            <v>43200</v>
          </cell>
        </row>
        <row r="772">
          <cell r="A772">
            <v>43303</v>
          </cell>
        </row>
        <row r="773">
          <cell r="A773">
            <v>43617</v>
          </cell>
        </row>
        <row r="774">
          <cell r="A774">
            <v>43138</v>
          </cell>
        </row>
        <row r="775">
          <cell r="A775">
            <v>43178</v>
          </cell>
        </row>
        <row r="776">
          <cell r="A776">
            <v>43876</v>
          </cell>
        </row>
        <row r="777">
          <cell r="A777">
            <v>43616</v>
          </cell>
        </row>
        <row r="778">
          <cell r="A778">
            <v>43416</v>
          </cell>
        </row>
        <row r="779">
          <cell r="A779">
            <v>43599</v>
          </cell>
        </row>
        <row r="780">
          <cell r="A780">
            <v>43170</v>
          </cell>
        </row>
        <row r="781">
          <cell r="A781">
            <v>43741</v>
          </cell>
        </row>
        <row r="782">
          <cell r="A782">
            <v>43666</v>
          </cell>
        </row>
        <row r="783">
          <cell r="A783">
            <v>43171</v>
          </cell>
        </row>
        <row r="784">
          <cell r="A784">
            <v>43608</v>
          </cell>
        </row>
        <row r="785">
          <cell r="A785">
            <v>43209</v>
          </cell>
        </row>
        <row r="786">
          <cell r="A786">
            <v>43813</v>
          </cell>
        </row>
        <row r="787">
          <cell r="A787">
            <v>43233</v>
          </cell>
        </row>
        <row r="788">
          <cell r="A788">
            <v>43198</v>
          </cell>
        </row>
        <row r="789">
          <cell r="A789">
            <v>43398</v>
          </cell>
        </row>
        <row r="790">
          <cell r="A790">
            <v>43238</v>
          </cell>
        </row>
        <row r="791">
          <cell r="A791">
            <v>43245</v>
          </cell>
        </row>
        <row r="792">
          <cell r="A792">
            <v>43325</v>
          </cell>
        </row>
        <row r="793">
          <cell r="A793">
            <v>43269</v>
          </cell>
        </row>
        <row r="794">
          <cell r="A794">
            <v>43720</v>
          </cell>
        </row>
        <row r="795">
          <cell r="A795">
            <v>43281</v>
          </cell>
        </row>
        <row r="796">
          <cell r="A796">
            <v>43295</v>
          </cell>
        </row>
        <row r="797">
          <cell r="A797">
            <v>43848</v>
          </cell>
        </row>
        <row r="798">
          <cell r="A798">
            <v>43882</v>
          </cell>
        </row>
        <row r="799">
          <cell r="A799">
            <v>43184</v>
          </cell>
        </row>
        <row r="800">
          <cell r="A800">
            <v>43502</v>
          </cell>
        </row>
        <row r="801">
          <cell r="A801">
            <v>43201</v>
          </cell>
        </row>
        <row r="802">
          <cell r="A802">
            <v>43130</v>
          </cell>
        </row>
        <row r="803">
          <cell r="A803">
            <v>43761</v>
          </cell>
        </row>
        <row r="804">
          <cell r="A804">
            <v>43145</v>
          </cell>
        </row>
        <row r="805">
          <cell r="A805">
            <v>43823</v>
          </cell>
        </row>
        <row r="806">
          <cell r="A806">
            <v>43635</v>
          </cell>
        </row>
        <row r="807">
          <cell r="A807">
            <v>43470</v>
          </cell>
        </row>
        <row r="808">
          <cell r="A808">
            <v>43331</v>
          </cell>
        </row>
        <row r="809">
          <cell r="A809">
            <v>43299</v>
          </cell>
        </row>
        <row r="810">
          <cell r="A810">
            <v>43336</v>
          </cell>
        </row>
        <row r="811">
          <cell r="A811">
            <v>43894</v>
          </cell>
        </row>
        <row r="812">
          <cell r="A812">
            <v>43140</v>
          </cell>
        </row>
        <row r="813">
          <cell r="A813">
            <v>43223</v>
          </cell>
        </row>
        <row r="814">
          <cell r="A814">
            <v>43103</v>
          </cell>
        </row>
        <row r="815">
          <cell r="A815">
            <v>43845</v>
          </cell>
        </row>
        <row r="816">
          <cell r="A816">
            <v>43719</v>
          </cell>
        </row>
        <row r="817">
          <cell r="A817">
            <v>43569</v>
          </cell>
        </row>
        <row r="818">
          <cell r="A818">
            <v>43731</v>
          </cell>
        </row>
        <row r="819">
          <cell r="A819">
            <v>43701</v>
          </cell>
        </row>
        <row r="820">
          <cell r="A820">
            <v>43554</v>
          </cell>
        </row>
        <row r="821">
          <cell r="A821">
            <v>43197</v>
          </cell>
        </row>
        <row r="822">
          <cell r="A822">
            <v>43401</v>
          </cell>
        </row>
        <row r="823">
          <cell r="A823">
            <v>43330</v>
          </cell>
        </row>
        <row r="824">
          <cell r="A824">
            <v>43179</v>
          </cell>
        </row>
        <row r="825">
          <cell r="A825">
            <v>43307</v>
          </cell>
        </row>
        <row r="826">
          <cell r="A826">
            <v>43549</v>
          </cell>
        </row>
        <row r="827">
          <cell r="A827">
            <v>43610</v>
          </cell>
        </row>
        <row r="828">
          <cell r="A828">
            <v>43283</v>
          </cell>
        </row>
        <row r="829">
          <cell r="A829">
            <v>43119</v>
          </cell>
        </row>
        <row r="830">
          <cell r="A830">
            <v>43625</v>
          </cell>
        </row>
        <row r="831">
          <cell r="A831">
            <v>43578</v>
          </cell>
        </row>
        <row r="832">
          <cell r="A832">
            <v>43559</v>
          </cell>
        </row>
        <row r="833">
          <cell r="A833">
            <v>43181</v>
          </cell>
        </row>
        <row r="834">
          <cell r="A834">
            <v>43911</v>
          </cell>
        </row>
        <row r="835">
          <cell r="A835">
            <v>43485</v>
          </cell>
        </row>
        <row r="836">
          <cell r="A836">
            <v>43350</v>
          </cell>
        </row>
        <row r="837">
          <cell r="A837">
            <v>43735</v>
          </cell>
        </row>
        <row r="838">
          <cell r="A838">
            <v>43239</v>
          </cell>
        </row>
        <row r="839">
          <cell r="A839">
            <v>43871</v>
          </cell>
        </row>
        <row r="840">
          <cell r="A840">
            <v>43151</v>
          </cell>
        </row>
        <row r="841">
          <cell r="A841">
            <v>43605</v>
          </cell>
        </row>
        <row r="842">
          <cell r="A842">
            <v>43329</v>
          </cell>
        </row>
        <row r="843">
          <cell r="A843">
            <v>43811</v>
          </cell>
        </row>
        <row r="844">
          <cell r="A844">
            <v>43500</v>
          </cell>
        </row>
        <row r="845">
          <cell r="A845">
            <v>43903</v>
          </cell>
        </row>
        <row r="846">
          <cell r="A846">
            <v>43778</v>
          </cell>
        </row>
        <row r="847">
          <cell r="A847">
            <v>43189</v>
          </cell>
        </row>
        <row r="848">
          <cell r="A848">
            <v>43127</v>
          </cell>
        </row>
        <row r="849">
          <cell r="A849">
            <v>43621</v>
          </cell>
        </row>
        <row r="850">
          <cell r="A850">
            <v>43312</v>
          </cell>
        </row>
        <row r="851">
          <cell r="A851">
            <v>43603</v>
          </cell>
        </row>
        <row r="852">
          <cell r="A852">
            <v>43636</v>
          </cell>
        </row>
        <row r="853">
          <cell r="A853">
            <v>43880</v>
          </cell>
        </row>
        <row r="854">
          <cell r="A854">
            <v>43281</v>
          </cell>
        </row>
        <row r="855">
          <cell r="A855">
            <v>43357</v>
          </cell>
        </row>
        <row r="856">
          <cell r="A856">
            <v>43228</v>
          </cell>
        </row>
        <row r="857">
          <cell r="A857">
            <v>43281</v>
          </cell>
        </row>
        <row r="858">
          <cell r="A858">
            <v>43780</v>
          </cell>
        </row>
        <row r="859">
          <cell r="A859">
            <v>43306</v>
          </cell>
        </row>
        <row r="860">
          <cell r="A860">
            <v>43298</v>
          </cell>
        </row>
        <row r="861">
          <cell r="A861">
            <v>43270</v>
          </cell>
        </row>
        <row r="862">
          <cell r="A862">
            <v>43447</v>
          </cell>
        </row>
        <row r="863">
          <cell r="A863">
            <v>43877</v>
          </cell>
        </row>
        <row r="864">
          <cell r="A864">
            <v>43167</v>
          </cell>
        </row>
        <row r="865">
          <cell r="A865">
            <v>43375</v>
          </cell>
        </row>
        <row r="866">
          <cell r="A866">
            <v>43916</v>
          </cell>
        </row>
        <row r="867">
          <cell r="A867">
            <v>43334</v>
          </cell>
        </row>
        <row r="868">
          <cell r="A868">
            <v>43598</v>
          </cell>
        </row>
        <row r="869">
          <cell r="A869">
            <v>43495</v>
          </cell>
        </row>
        <row r="870">
          <cell r="A870">
            <v>43399</v>
          </cell>
        </row>
        <row r="871">
          <cell r="A871">
            <v>43314</v>
          </cell>
        </row>
        <row r="872">
          <cell r="A872">
            <v>43324</v>
          </cell>
        </row>
        <row r="873">
          <cell r="A873">
            <v>43788</v>
          </cell>
        </row>
        <row r="874">
          <cell r="A874">
            <v>43730</v>
          </cell>
        </row>
        <row r="875">
          <cell r="A875">
            <v>43262</v>
          </cell>
        </row>
        <row r="876">
          <cell r="A876">
            <v>43689</v>
          </cell>
        </row>
        <row r="877">
          <cell r="A877">
            <v>43896</v>
          </cell>
        </row>
        <row r="878">
          <cell r="A878">
            <v>43698</v>
          </cell>
        </row>
        <row r="879">
          <cell r="A879">
            <v>43815</v>
          </cell>
        </row>
        <row r="880">
          <cell r="A880">
            <v>43919</v>
          </cell>
        </row>
        <row r="881">
          <cell r="A881">
            <v>43572</v>
          </cell>
        </row>
        <row r="882">
          <cell r="A882">
            <v>43830</v>
          </cell>
        </row>
        <row r="883">
          <cell r="A883">
            <v>43255</v>
          </cell>
        </row>
        <row r="884">
          <cell r="A884">
            <v>43905</v>
          </cell>
        </row>
        <row r="885">
          <cell r="A885">
            <v>43902</v>
          </cell>
        </row>
        <row r="886">
          <cell r="A886">
            <v>43895</v>
          </cell>
        </row>
        <row r="887">
          <cell r="A887">
            <v>43242</v>
          </cell>
        </row>
        <row r="888">
          <cell r="A888">
            <v>43747</v>
          </cell>
        </row>
        <row r="889">
          <cell r="A889">
            <v>43263</v>
          </cell>
        </row>
        <row r="890">
          <cell r="A890">
            <v>43579</v>
          </cell>
        </row>
        <row r="891">
          <cell r="A891">
            <v>43389</v>
          </cell>
        </row>
        <row r="892">
          <cell r="A892">
            <v>43740</v>
          </cell>
        </row>
        <row r="893">
          <cell r="A893">
            <v>43894</v>
          </cell>
        </row>
        <row r="894">
          <cell r="A894">
            <v>43268</v>
          </cell>
        </row>
        <row r="895">
          <cell r="A895">
            <v>43474</v>
          </cell>
        </row>
        <row r="896">
          <cell r="A896">
            <v>43854</v>
          </cell>
        </row>
        <row r="897">
          <cell r="A897">
            <v>43783</v>
          </cell>
        </row>
        <row r="898">
          <cell r="A898">
            <v>43887</v>
          </cell>
        </row>
        <row r="899">
          <cell r="A899">
            <v>43793</v>
          </cell>
        </row>
        <row r="900">
          <cell r="A900">
            <v>43593</v>
          </cell>
        </row>
        <row r="901">
          <cell r="A901">
            <v>43209</v>
          </cell>
        </row>
        <row r="902">
          <cell r="A902">
            <v>43843</v>
          </cell>
        </row>
        <row r="903">
          <cell r="A903">
            <v>43130</v>
          </cell>
        </row>
        <row r="904">
          <cell r="A904">
            <v>43875</v>
          </cell>
        </row>
        <row r="905">
          <cell r="A905">
            <v>43888</v>
          </cell>
        </row>
        <row r="906">
          <cell r="A906">
            <v>43469</v>
          </cell>
        </row>
        <row r="907">
          <cell r="A907">
            <v>43180</v>
          </cell>
        </row>
        <row r="908">
          <cell r="A908">
            <v>43513</v>
          </cell>
        </row>
        <row r="909">
          <cell r="A909">
            <v>43114</v>
          </cell>
        </row>
        <row r="910">
          <cell r="A910">
            <v>43444</v>
          </cell>
        </row>
        <row r="911">
          <cell r="A911">
            <v>43594</v>
          </cell>
        </row>
        <row r="912">
          <cell r="A912">
            <v>43553</v>
          </cell>
        </row>
        <row r="913">
          <cell r="A913">
            <v>43757</v>
          </cell>
        </row>
        <row r="914">
          <cell r="A914">
            <v>43751</v>
          </cell>
        </row>
        <row r="915">
          <cell r="A915">
            <v>43299</v>
          </cell>
        </row>
        <row r="916">
          <cell r="A916">
            <v>43360</v>
          </cell>
        </row>
        <row r="917">
          <cell r="A917">
            <v>43111</v>
          </cell>
        </row>
        <row r="918">
          <cell r="A918">
            <v>43437</v>
          </cell>
        </row>
        <row r="919">
          <cell r="A919">
            <v>43692</v>
          </cell>
        </row>
        <row r="920">
          <cell r="A920">
            <v>43516</v>
          </cell>
        </row>
        <row r="921">
          <cell r="A921">
            <v>43897</v>
          </cell>
        </row>
        <row r="922">
          <cell r="A922">
            <v>43809</v>
          </cell>
        </row>
        <row r="923">
          <cell r="A923">
            <v>43301</v>
          </cell>
        </row>
        <row r="924">
          <cell r="A924">
            <v>43468</v>
          </cell>
        </row>
        <row r="925">
          <cell r="A925">
            <v>43742</v>
          </cell>
        </row>
        <row r="926">
          <cell r="A926">
            <v>43520</v>
          </cell>
        </row>
        <row r="927">
          <cell r="A927">
            <v>43351</v>
          </cell>
        </row>
        <row r="928">
          <cell r="A928">
            <v>43293</v>
          </cell>
        </row>
        <row r="929">
          <cell r="A929">
            <v>43182</v>
          </cell>
        </row>
        <row r="930">
          <cell r="A930">
            <v>43160</v>
          </cell>
        </row>
        <row r="931">
          <cell r="A931">
            <v>43739</v>
          </cell>
        </row>
        <row r="932">
          <cell r="A932">
            <v>43498</v>
          </cell>
        </row>
        <row r="933">
          <cell r="A933">
            <v>43651</v>
          </cell>
        </row>
        <row r="934">
          <cell r="A934">
            <v>43366</v>
          </cell>
        </row>
        <row r="935">
          <cell r="A935">
            <v>43105</v>
          </cell>
        </row>
        <row r="936">
          <cell r="A936">
            <v>43119</v>
          </cell>
        </row>
        <row r="937">
          <cell r="A937">
            <v>43383</v>
          </cell>
        </row>
        <row r="938">
          <cell r="A938">
            <v>43724</v>
          </cell>
        </row>
        <row r="939">
          <cell r="A939">
            <v>43495</v>
          </cell>
        </row>
        <row r="940">
          <cell r="A940">
            <v>43619</v>
          </cell>
        </row>
        <row r="941">
          <cell r="A941">
            <v>43755</v>
          </cell>
        </row>
        <row r="942">
          <cell r="A942">
            <v>43821</v>
          </cell>
        </row>
        <row r="943">
          <cell r="A943">
            <v>43718</v>
          </cell>
        </row>
        <row r="944">
          <cell r="A944">
            <v>43513</v>
          </cell>
        </row>
        <row r="945">
          <cell r="A945">
            <v>43819</v>
          </cell>
        </row>
        <row r="946">
          <cell r="A946">
            <v>43743</v>
          </cell>
        </row>
        <row r="947">
          <cell r="A947">
            <v>43394</v>
          </cell>
        </row>
        <row r="948">
          <cell r="A948">
            <v>43811</v>
          </cell>
        </row>
        <row r="949">
          <cell r="A949">
            <v>43136</v>
          </cell>
        </row>
        <row r="950">
          <cell r="A950">
            <v>43321</v>
          </cell>
        </row>
        <row r="951">
          <cell r="A951">
            <v>43147</v>
          </cell>
        </row>
        <row r="952">
          <cell r="A952">
            <v>43755</v>
          </cell>
        </row>
        <row r="953">
          <cell r="A953">
            <v>43196</v>
          </cell>
        </row>
        <row r="954">
          <cell r="A954">
            <v>43907</v>
          </cell>
        </row>
        <row r="955">
          <cell r="A955">
            <v>43859</v>
          </cell>
        </row>
        <row r="956">
          <cell r="A956">
            <v>43729</v>
          </cell>
        </row>
        <row r="957">
          <cell r="A957">
            <v>43733</v>
          </cell>
        </row>
        <row r="958">
          <cell r="A958">
            <v>43769</v>
          </cell>
        </row>
        <row r="959">
          <cell r="A959">
            <v>43590</v>
          </cell>
        </row>
        <row r="960">
          <cell r="A960">
            <v>43182</v>
          </cell>
        </row>
        <row r="961">
          <cell r="A961">
            <v>43806</v>
          </cell>
        </row>
        <row r="962">
          <cell r="A962">
            <v>43805</v>
          </cell>
        </row>
        <row r="963">
          <cell r="A963">
            <v>43173</v>
          </cell>
        </row>
        <row r="964">
          <cell r="A964">
            <v>43788</v>
          </cell>
        </row>
        <row r="965">
          <cell r="A965">
            <v>43106</v>
          </cell>
        </row>
        <row r="966">
          <cell r="A966">
            <v>43786</v>
          </cell>
        </row>
        <row r="967">
          <cell r="A967">
            <v>43153</v>
          </cell>
        </row>
        <row r="968">
          <cell r="A968">
            <v>43728</v>
          </cell>
        </row>
        <row r="969">
          <cell r="A969">
            <v>43524</v>
          </cell>
        </row>
        <row r="970">
          <cell r="A970">
            <v>43547</v>
          </cell>
        </row>
        <row r="971">
          <cell r="A971">
            <v>43790</v>
          </cell>
        </row>
        <row r="972">
          <cell r="A972">
            <v>43691</v>
          </cell>
        </row>
        <row r="973">
          <cell r="A973">
            <v>43867</v>
          </cell>
        </row>
        <row r="974">
          <cell r="A974">
            <v>43390</v>
          </cell>
        </row>
        <row r="975">
          <cell r="A975">
            <v>43166</v>
          </cell>
        </row>
        <row r="976">
          <cell r="A976">
            <v>43632</v>
          </cell>
        </row>
        <row r="977">
          <cell r="A977">
            <v>43852</v>
          </cell>
        </row>
        <row r="978">
          <cell r="A978">
            <v>43425</v>
          </cell>
        </row>
        <row r="979">
          <cell r="A979">
            <v>43862</v>
          </cell>
        </row>
        <row r="980">
          <cell r="A980">
            <v>43426</v>
          </cell>
        </row>
        <row r="981">
          <cell r="A981">
            <v>43770</v>
          </cell>
        </row>
        <row r="982">
          <cell r="A982">
            <v>43807</v>
          </cell>
        </row>
        <row r="983">
          <cell r="A983">
            <v>43177</v>
          </cell>
        </row>
        <row r="984">
          <cell r="A984">
            <v>43382</v>
          </cell>
        </row>
        <row r="985">
          <cell r="A985">
            <v>43530</v>
          </cell>
        </row>
        <row r="986">
          <cell r="A986">
            <v>43572</v>
          </cell>
        </row>
        <row r="987">
          <cell r="A987">
            <v>43663</v>
          </cell>
        </row>
        <row r="988">
          <cell r="A988">
            <v>43667</v>
          </cell>
        </row>
        <row r="989">
          <cell r="A989">
            <v>43711</v>
          </cell>
        </row>
        <row r="990">
          <cell r="A990">
            <v>43601</v>
          </cell>
        </row>
        <row r="991">
          <cell r="A991">
            <v>43156</v>
          </cell>
        </row>
        <row r="992">
          <cell r="A992">
            <v>43411</v>
          </cell>
        </row>
        <row r="993">
          <cell r="A993">
            <v>43148</v>
          </cell>
        </row>
        <row r="994">
          <cell r="A994">
            <v>43258</v>
          </cell>
        </row>
        <row r="995">
          <cell r="A995">
            <v>43682</v>
          </cell>
        </row>
        <row r="996">
          <cell r="A996">
            <v>43115</v>
          </cell>
        </row>
        <row r="997">
          <cell r="A997">
            <v>43811</v>
          </cell>
        </row>
        <row r="998">
          <cell r="A998">
            <v>43679</v>
          </cell>
        </row>
        <row r="999">
          <cell r="A999">
            <v>43710</v>
          </cell>
        </row>
        <row r="1000">
          <cell r="A1000">
            <v>43421</v>
          </cell>
        </row>
        <row r="1001">
          <cell r="A1001">
            <v>43802</v>
          </cell>
        </row>
        <row r="1002">
          <cell r="A1002">
            <v>43146</v>
          </cell>
        </row>
        <row r="1003">
          <cell r="A1003">
            <v>43631</v>
          </cell>
        </row>
        <row r="1004">
          <cell r="A1004">
            <v>43645</v>
          </cell>
        </row>
        <row r="1005">
          <cell r="A1005">
            <v>43170</v>
          </cell>
        </row>
        <row r="1006">
          <cell r="A1006">
            <v>43603</v>
          </cell>
        </row>
        <row r="1007">
          <cell r="A1007">
            <v>43251</v>
          </cell>
        </row>
        <row r="1008">
          <cell r="A1008">
            <v>43251</v>
          </cell>
        </row>
        <row r="1009">
          <cell r="A1009">
            <v>43134</v>
          </cell>
        </row>
        <row r="1010">
          <cell r="A1010">
            <v>43107</v>
          </cell>
        </row>
        <row r="1011">
          <cell r="A1011">
            <v>43217</v>
          </cell>
        </row>
        <row r="1012">
          <cell r="A1012">
            <v>43609</v>
          </cell>
        </row>
        <row r="1013">
          <cell r="A1013">
            <v>43238</v>
          </cell>
        </row>
        <row r="1014">
          <cell r="A1014">
            <v>43209</v>
          </cell>
        </row>
        <row r="1015">
          <cell r="A1015">
            <v>43635</v>
          </cell>
        </row>
        <row r="1016">
          <cell r="A1016">
            <v>43871</v>
          </cell>
        </row>
        <row r="1017">
          <cell r="A1017">
            <v>43681</v>
          </cell>
        </row>
        <row r="1018">
          <cell r="A1018">
            <v>43650</v>
          </cell>
        </row>
        <row r="1019">
          <cell r="A1019">
            <v>43178</v>
          </cell>
        </row>
        <row r="1020">
          <cell r="A1020">
            <v>43262</v>
          </cell>
        </row>
        <row r="1021">
          <cell r="A1021">
            <v>43427</v>
          </cell>
        </row>
        <row r="1022">
          <cell r="A1022">
            <v>43291</v>
          </cell>
        </row>
        <row r="1023">
          <cell r="A1023">
            <v>43364</v>
          </cell>
        </row>
        <row r="1024">
          <cell r="A1024">
            <v>43632</v>
          </cell>
        </row>
        <row r="1025">
          <cell r="A1025">
            <v>43857</v>
          </cell>
        </row>
        <row r="1026">
          <cell r="A1026">
            <v>43860</v>
          </cell>
        </row>
        <row r="1027">
          <cell r="A1027">
            <v>43612</v>
          </cell>
        </row>
        <row r="1028">
          <cell r="A1028">
            <v>43518</v>
          </cell>
        </row>
        <row r="1029">
          <cell r="A1029">
            <v>43269</v>
          </cell>
        </row>
        <row r="1030">
          <cell r="A1030">
            <v>43186</v>
          </cell>
        </row>
        <row r="1031">
          <cell r="A1031">
            <v>43744</v>
          </cell>
        </row>
        <row r="1032">
          <cell r="A1032">
            <v>43325</v>
          </cell>
        </row>
        <row r="1033">
          <cell r="A1033">
            <v>43727</v>
          </cell>
        </row>
        <row r="1034">
          <cell r="A1034">
            <v>43254</v>
          </cell>
        </row>
        <row r="1035">
          <cell r="A1035">
            <v>43226</v>
          </cell>
        </row>
        <row r="1036">
          <cell r="A1036">
            <v>43522</v>
          </cell>
        </row>
        <row r="1037">
          <cell r="A1037">
            <v>43296</v>
          </cell>
        </row>
        <row r="1038">
          <cell r="A1038">
            <v>43394</v>
          </cell>
        </row>
        <row r="1039">
          <cell r="A1039">
            <v>43646</v>
          </cell>
        </row>
        <row r="1040">
          <cell r="A1040">
            <v>43111</v>
          </cell>
        </row>
        <row r="1041">
          <cell r="A1041">
            <v>43301</v>
          </cell>
        </row>
        <row r="1042">
          <cell r="A1042">
            <v>43698</v>
          </cell>
        </row>
        <row r="1043">
          <cell r="A1043">
            <v>43356</v>
          </cell>
        </row>
        <row r="1044">
          <cell r="A1044">
            <v>43128</v>
          </cell>
        </row>
        <row r="1045">
          <cell r="A1045">
            <v>43162</v>
          </cell>
        </row>
        <row r="1046">
          <cell r="A1046">
            <v>43361</v>
          </cell>
        </row>
        <row r="1047">
          <cell r="A1047">
            <v>43334</v>
          </cell>
        </row>
        <row r="1048">
          <cell r="A1048">
            <v>43566</v>
          </cell>
        </row>
        <row r="1049">
          <cell r="A1049">
            <v>43675</v>
          </cell>
        </row>
        <row r="1050">
          <cell r="A1050">
            <v>43900</v>
          </cell>
        </row>
        <row r="1051">
          <cell r="A1051">
            <v>43493</v>
          </cell>
        </row>
        <row r="1052">
          <cell r="A1052">
            <v>43578</v>
          </cell>
        </row>
        <row r="1053">
          <cell r="A1053">
            <v>43219</v>
          </cell>
        </row>
        <row r="1054">
          <cell r="A1054">
            <v>43742</v>
          </cell>
        </row>
        <row r="1055">
          <cell r="A1055">
            <v>43627</v>
          </cell>
        </row>
        <row r="1056">
          <cell r="A1056">
            <v>43219</v>
          </cell>
        </row>
        <row r="1057">
          <cell r="A1057">
            <v>43414</v>
          </cell>
        </row>
        <row r="1058">
          <cell r="A1058">
            <v>43164</v>
          </cell>
        </row>
        <row r="1059">
          <cell r="A1059">
            <v>43783</v>
          </cell>
        </row>
        <row r="1060">
          <cell r="A1060">
            <v>43640</v>
          </cell>
        </row>
        <row r="1061">
          <cell r="A1061">
            <v>43704</v>
          </cell>
        </row>
        <row r="1062">
          <cell r="A1062">
            <v>43603</v>
          </cell>
        </row>
        <row r="1063">
          <cell r="A1063">
            <v>43528</v>
          </cell>
        </row>
        <row r="1064">
          <cell r="A1064">
            <v>43562</v>
          </cell>
        </row>
        <row r="1065">
          <cell r="A1065">
            <v>43183</v>
          </cell>
        </row>
        <row r="1066">
          <cell r="A1066">
            <v>43569</v>
          </cell>
        </row>
        <row r="1067">
          <cell r="A1067">
            <v>43296</v>
          </cell>
        </row>
        <row r="1068">
          <cell r="A1068">
            <v>43475</v>
          </cell>
        </row>
        <row r="1069">
          <cell r="A1069">
            <v>43911</v>
          </cell>
        </row>
        <row r="1070">
          <cell r="A1070">
            <v>43150</v>
          </cell>
        </row>
        <row r="1071">
          <cell r="A1071">
            <v>43702</v>
          </cell>
        </row>
        <row r="1072">
          <cell r="A1072">
            <v>43711</v>
          </cell>
        </row>
        <row r="1073">
          <cell r="A1073">
            <v>43442</v>
          </cell>
        </row>
        <row r="1074">
          <cell r="A1074">
            <v>43220</v>
          </cell>
        </row>
        <row r="1075">
          <cell r="A1075">
            <v>43789</v>
          </cell>
        </row>
        <row r="1076">
          <cell r="A1076">
            <v>43293</v>
          </cell>
        </row>
        <row r="1077">
          <cell r="A1077">
            <v>43901</v>
          </cell>
        </row>
        <row r="1078">
          <cell r="A1078">
            <v>43642</v>
          </cell>
        </row>
        <row r="1079">
          <cell r="A1079">
            <v>43242</v>
          </cell>
        </row>
        <row r="1080">
          <cell r="A1080">
            <v>43212</v>
          </cell>
        </row>
        <row r="1081">
          <cell r="A1081">
            <v>43560</v>
          </cell>
        </row>
        <row r="1082">
          <cell r="A1082">
            <v>43582</v>
          </cell>
        </row>
        <row r="1083">
          <cell r="A1083">
            <v>43843</v>
          </cell>
        </row>
        <row r="1084">
          <cell r="A1084">
            <v>43291</v>
          </cell>
        </row>
        <row r="1085">
          <cell r="A1085">
            <v>43429</v>
          </cell>
        </row>
        <row r="1086">
          <cell r="A1086">
            <v>43795</v>
          </cell>
        </row>
        <row r="1087">
          <cell r="A1087">
            <v>43138</v>
          </cell>
        </row>
        <row r="1088">
          <cell r="A1088">
            <v>43419</v>
          </cell>
        </row>
        <row r="1089">
          <cell r="A1089">
            <v>43594</v>
          </cell>
        </row>
        <row r="1090">
          <cell r="A1090">
            <v>43580</v>
          </cell>
        </row>
        <row r="1091">
          <cell r="A1091">
            <v>43755</v>
          </cell>
        </row>
        <row r="1092">
          <cell r="A1092">
            <v>43135</v>
          </cell>
        </row>
        <row r="1093">
          <cell r="A1093">
            <v>43436</v>
          </cell>
        </row>
        <row r="1094">
          <cell r="A1094">
            <v>43674</v>
          </cell>
        </row>
        <row r="1095">
          <cell r="A1095">
            <v>43709</v>
          </cell>
        </row>
        <row r="1096">
          <cell r="A1096">
            <v>43581</v>
          </cell>
        </row>
        <row r="1097">
          <cell r="A1097">
            <v>43469</v>
          </cell>
        </row>
        <row r="1098">
          <cell r="A1098">
            <v>43845</v>
          </cell>
        </row>
        <row r="1099">
          <cell r="A1099">
            <v>43170</v>
          </cell>
        </row>
        <row r="1100">
          <cell r="A1100">
            <v>43567</v>
          </cell>
        </row>
        <row r="1101">
          <cell r="A1101">
            <v>43481</v>
          </cell>
        </row>
        <row r="1102">
          <cell r="A1102">
            <v>43468</v>
          </cell>
        </row>
        <row r="1103">
          <cell r="A1103">
            <v>43488</v>
          </cell>
        </row>
        <row r="1104">
          <cell r="A1104">
            <v>43832</v>
          </cell>
        </row>
        <row r="1105">
          <cell r="A1105">
            <v>43715</v>
          </cell>
        </row>
        <row r="1106">
          <cell r="A1106">
            <v>43134</v>
          </cell>
        </row>
        <row r="1107">
          <cell r="A1107">
            <v>43377</v>
          </cell>
        </row>
        <row r="1108">
          <cell r="A1108">
            <v>43315</v>
          </cell>
        </row>
        <row r="1109">
          <cell r="A1109">
            <v>43706</v>
          </cell>
        </row>
        <row r="1110">
          <cell r="A1110">
            <v>43467</v>
          </cell>
        </row>
        <row r="1111">
          <cell r="A1111">
            <v>43485</v>
          </cell>
        </row>
        <row r="1112">
          <cell r="A1112">
            <v>43880</v>
          </cell>
        </row>
        <row r="1113">
          <cell r="A1113">
            <v>43197</v>
          </cell>
        </row>
        <row r="1114">
          <cell r="A1114">
            <v>43260</v>
          </cell>
        </row>
        <row r="1115">
          <cell r="A1115">
            <v>43487</v>
          </cell>
        </row>
        <row r="1116">
          <cell r="A1116">
            <v>43787</v>
          </cell>
        </row>
        <row r="1117">
          <cell r="A1117">
            <v>43104</v>
          </cell>
        </row>
        <row r="1118">
          <cell r="A1118">
            <v>43273</v>
          </cell>
        </row>
        <row r="1119">
          <cell r="A1119">
            <v>43836</v>
          </cell>
        </row>
        <row r="1120">
          <cell r="A1120">
            <v>43468</v>
          </cell>
        </row>
        <row r="1121">
          <cell r="A1121">
            <v>43820</v>
          </cell>
        </row>
        <row r="1122">
          <cell r="A1122">
            <v>43268</v>
          </cell>
        </row>
        <row r="1123">
          <cell r="A1123">
            <v>43423</v>
          </cell>
        </row>
        <row r="1124">
          <cell r="A1124">
            <v>43501</v>
          </cell>
        </row>
        <row r="1125">
          <cell r="A1125">
            <v>43513</v>
          </cell>
        </row>
        <row r="1126">
          <cell r="A1126">
            <v>43525</v>
          </cell>
        </row>
        <row r="1127">
          <cell r="A1127">
            <v>43197</v>
          </cell>
        </row>
        <row r="1128">
          <cell r="A1128">
            <v>43156</v>
          </cell>
        </row>
        <row r="1129">
          <cell r="A1129">
            <v>43918</v>
          </cell>
        </row>
        <row r="1130">
          <cell r="A1130">
            <v>43494</v>
          </cell>
        </row>
        <row r="1131">
          <cell r="A1131">
            <v>43586</v>
          </cell>
        </row>
        <row r="1132">
          <cell r="A1132">
            <v>43773</v>
          </cell>
        </row>
        <row r="1133">
          <cell r="A1133">
            <v>43111</v>
          </cell>
        </row>
        <row r="1134">
          <cell r="A1134">
            <v>43322</v>
          </cell>
        </row>
        <row r="1135">
          <cell r="A1135">
            <v>43768</v>
          </cell>
        </row>
        <row r="1136">
          <cell r="A1136">
            <v>43410</v>
          </cell>
        </row>
        <row r="1137">
          <cell r="A1137">
            <v>43370</v>
          </cell>
        </row>
        <row r="1138">
          <cell r="A1138">
            <v>43183</v>
          </cell>
        </row>
        <row r="1139">
          <cell r="A1139">
            <v>43809</v>
          </cell>
        </row>
        <row r="1140">
          <cell r="A1140">
            <v>43405</v>
          </cell>
        </row>
        <row r="1141">
          <cell r="A1141">
            <v>43752</v>
          </cell>
        </row>
        <row r="1142">
          <cell r="A1142">
            <v>43759</v>
          </cell>
        </row>
        <row r="1143">
          <cell r="A1143">
            <v>43172</v>
          </cell>
        </row>
        <row r="1144">
          <cell r="A1144">
            <v>43400</v>
          </cell>
        </row>
        <row r="1145">
          <cell r="A1145">
            <v>43563</v>
          </cell>
        </row>
        <row r="1146">
          <cell r="A1146">
            <v>43498</v>
          </cell>
        </row>
        <row r="1147">
          <cell r="A1147">
            <v>43194</v>
          </cell>
        </row>
        <row r="1148">
          <cell r="A1148">
            <v>43108</v>
          </cell>
        </row>
        <row r="1149">
          <cell r="A1149">
            <v>43161</v>
          </cell>
        </row>
        <row r="1150">
          <cell r="A1150">
            <v>43761</v>
          </cell>
        </row>
        <row r="1151">
          <cell r="A1151">
            <v>43462</v>
          </cell>
        </row>
        <row r="1152">
          <cell r="A1152">
            <v>43456</v>
          </cell>
        </row>
        <row r="1153">
          <cell r="A1153">
            <v>43785</v>
          </cell>
        </row>
        <row r="1154">
          <cell r="A1154">
            <v>43572</v>
          </cell>
        </row>
        <row r="1155">
          <cell r="A1155">
            <v>43404</v>
          </cell>
        </row>
        <row r="1156">
          <cell r="A1156">
            <v>43666</v>
          </cell>
        </row>
        <row r="1157">
          <cell r="A1157">
            <v>43574</v>
          </cell>
        </row>
        <row r="1158">
          <cell r="A1158">
            <v>43714</v>
          </cell>
        </row>
        <row r="1159">
          <cell r="A1159">
            <v>43623</v>
          </cell>
        </row>
        <row r="1160">
          <cell r="A1160">
            <v>43732</v>
          </cell>
        </row>
        <row r="1161">
          <cell r="A1161">
            <v>43536</v>
          </cell>
        </row>
        <row r="1162">
          <cell r="A1162">
            <v>43604</v>
          </cell>
        </row>
        <row r="1163">
          <cell r="A1163">
            <v>43664</v>
          </cell>
        </row>
        <row r="1164">
          <cell r="A1164">
            <v>43416</v>
          </cell>
        </row>
        <row r="1165">
          <cell r="A1165">
            <v>43380</v>
          </cell>
        </row>
        <row r="1166">
          <cell r="A1166">
            <v>43596</v>
          </cell>
        </row>
        <row r="1167">
          <cell r="A1167">
            <v>43456</v>
          </cell>
        </row>
        <row r="1168">
          <cell r="A1168">
            <v>43169</v>
          </cell>
        </row>
        <row r="1169">
          <cell r="A1169">
            <v>43315</v>
          </cell>
        </row>
        <row r="1170">
          <cell r="A1170">
            <v>43250</v>
          </cell>
        </row>
        <row r="1171">
          <cell r="A1171">
            <v>43324</v>
          </cell>
        </row>
        <row r="1172">
          <cell r="A1172">
            <v>43631</v>
          </cell>
        </row>
        <row r="1173">
          <cell r="A1173">
            <v>43656</v>
          </cell>
        </row>
        <row r="1174">
          <cell r="A1174">
            <v>43815</v>
          </cell>
        </row>
        <row r="1175">
          <cell r="A1175">
            <v>43238</v>
          </cell>
        </row>
        <row r="1176">
          <cell r="A1176">
            <v>43223</v>
          </cell>
        </row>
        <row r="1177">
          <cell r="A1177">
            <v>43128</v>
          </cell>
        </row>
        <row r="1178">
          <cell r="A1178">
            <v>43262</v>
          </cell>
        </row>
        <row r="1179">
          <cell r="A1179">
            <v>43485</v>
          </cell>
        </row>
        <row r="1180">
          <cell r="A1180">
            <v>43357</v>
          </cell>
        </row>
        <row r="1181">
          <cell r="A1181">
            <v>43359</v>
          </cell>
        </row>
        <row r="1182">
          <cell r="A1182">
            <v>43513</v>
          </cell>
        </row>
        <row r="1183">
          <cell r="A1183">
            <v>43152</v>
          </cell>
        </row>
        <row r="1184">
          <cell r="A1184">
            <v>43325</v>
          </cell>
        </row>
        <row r="1185">
          <cell r="A1185">
            <v>43381</v>
          </cell>
        </row>
        <row r="1186">
          <cell r="A1186">
            <v>43479</v>
          </cell>
        </row>
        <row r="1187">
          <cell r="A1187">
            <v>43137</v>
          </cell>
        </row>
        <row r="1188">
          <cell r="A1188">
            <v>43104</v>
          </cell>
        </row>
        <row r="1189">
          <cell r="A1189">
            <v>43163</v>
          </cell>
        </row>
        <row r="1190">
          <cell r="A1190">
            <v>43311</v>
          </cell>
        </row>
        <row r="1191">
          <cell r="A1191">
            <v>43445</v>
          </cell>
        </row>
        <row r="1192">
          <cell r="A1192">
            <v>43759</v>
          </cell>
        </row>
        <row r="1193">
          <cell r="A1193">
            <v>43912</v>
          </cell>
        </row>
        <row r="1194">
          <cell r="A1194">
            <v>43102</v>
          </cell>
        </row>
        <row r="1195">
          <cell r="A1195">
            <v>43408</v>
          </cell>
        </row>
        <row r="1196">
          <cell r="A1196">
            <v>43658</v>
          </cell>
        </row>
        <row r="1197">
          <cell r="A1197">
            <v>43905</v>
          </cell>
        </row>
        <row r="1198">
          <cell r="A1198">
            <v>43801</v>
          </cell>
        </row>
        <row r="1199">
          <cell r="A1199">
            <v>43404</v>
          </cell>
        </row>
        <row r="1200">
          <cell r="A1200">
            <v>43492</v>
          </cell>
        </row>
        <row r="1201">
          <cell r="A1201">
            <v>43785</v>
          </cell>
        </row>
        <row r="1202">
          <cell r="A1202">
            <v>43407</v>
          </cell>
        </row>
        <row r="1203">
          <cell r="A1203">
            <v>43595</v>
          </cell>
        </row>
        <row r="1204">
          <cell r="A1204">
            <v>43382</v>
          </cell>
        </row>
        <row r="1205">
          <cell r="A1205">
            <v>43885</v>
          </cell>
        </row>
        <row r="1206">
          <cell r="A1206">
            <v>43717</v>
          </cell>
        </row>
        <row r="1207">
          <cell r="A1207">
            <v>43147</v>
          </cell>
        </row>
        <row r="1208">
          <cell r="A1208">
            <v>43764</v>
          </cell>
        </row>
        <row r="1209">
          <cell r="A1209">
            <v>43408</v>
          </cell>
        </row>
        <row r="1210">
          <cell r="A1210">
            <v>43484</v>
          </cell>
        </row>
        <row r="1211">
          <cell r="A1211">
            <v>43212</v>
          </cell>
        </row>
        <row r="1212">
          <cell r="A1212">
            <v>43882</v>
          </cell>
        </row>
        <row r="1213">
          <cell r="A1213">
            <v>43833</v>
          </cell>
        </row>
        <row r="1214">
          <cell r="A1214">
            <v>43713</v>
          </cell>
        </row>
        <row r="1215">
          <cell r="A1215">
            <v>43736</v>
          </cell>
        </row>
        <row r="1216">
          <cell r="A1216">
            <v>43375</v>
          </cell>
        </row>
        <row r="1217">
          <cell r="A1217">
            <v>43438</v>
          </cell>
        </row>
        <row r="1218">
          <cell r="A1218">
            <v>43637</v>
          </cell>
        </row>
        <row r="1219">
          <cell r="A1219">
            <v>43687</v>
          </cell>
        </row>
        <row r="1220">
          <cell r="A1220">
            <v>43862</v>
          </cell>
        </row>
        <row r="1221">
          <cell r="A1221">
            <v>43120</v>
          </cell>
        </row>
        <row r="1222">
          <cell r="A1222">
            <v>43244</v>
          </cell>
        </row>
        <row r="1223">
          <cell r="A1223">
            <v>43614</v>
          </cell>
        </row>
        <row r="1224">
          <cell r="A1224">
            <v>43729</v>
          </cell>
        </row>
        <row r="1225">
          <cell r="A1225">
            <v>43664</v>
          </cell>
        </row>
        <row r="1226">
          <cell r="A1226">
            <v>43548</v>
          </cell>
        </row>
        <row r="1227">
          <cell r="A1227">
            <v>43463</v>
          </cell>
        </row>
        <row r="1228">
          <cell r="A1228">
            <v>43681</v>
          </cell>
        </row>
        <row r="1229">
          <cell r="A1229">
            <v>43792</v>
          </cell>
        </row>
        <row r="1230">
          <cell r="A1230">
            <v>43861</v>
          </cell>
        </row>
        <row r="1231">
          <cell r="A1231">
            <v>43795</v>
          </cell>
        </row>
        <row r="1232">
          <cell r="A1232">
            <v>43832</v>
          </cell>
        </row>
        <row r="1233">
          <cell r="A1233">
            <v>43451</v>
          </cell>
        </row>
        <row r="1234">
          <cell r="A1234">
            <v>43848</v>
          </cell>
        </row>
        <row r="1235">
          <cell r="A1235">
            <v>43595</v>
          </cell>
        </row>
        <row r="1236">
          <cell r="A1236">
            <v>43319</v>
          </cell>
        </row>
        <row r="1237">
          <cell r="A1237">
            <v>43366</v>
          </cell>
        </row>
        <row r="1238">
          <cell r="A1238">
            <v>43149</v>
          </cell>
        </row>
        <row r="1239">
          <cell r="A1239">
            <v>43121</v>
          </cell>
        </row>
        <row r="1240">
          <cell r="A1240">
            <v>43223</v>
          </cell>
        </row>
        <row r="1241">
          <cell r="A1241">
            <v>43725</v>
          </cell>
        </row>
        <row r="1242">
          <cell r="A1242">
            <v>43312</v>
          </cell>
        </row>
        <row r="1243">
          <cell r="A1243">
            <v>43763</v>
          </cell>
        </row>
        <row r="1244">
          <cell r="A1244">
            <v>43682</v>
          </cell>
        </row>
        <row r="1245">
          <cell r="A1245">
            <v>43308</v>
          </cell>
        </row>
        <row r="1246">
          <cell r="A1246">
            <v>43186</v>
          </cell>
        </row>
        <row r="1247">
          <cell r="A1247">
            <v>43845</v>
          </cell>
        </row>
        <row r="1248">
          <cell r="A1248">
            <v>43444</v>
          </cell>
        </row>
        <row r="1249">
          <cell r="A1249">
            <v>43280</v>
          </cell>
        </row>
        <row r="1250">
          <cell r="A1250">
            <v>43578</v>
          </cell>
        </row>
        <row r="1251">
          <cell r="A1251">
            <v>43746</v>
          </cell>
        </row>
        <row r="1252">
          <cell r="A1252">
            <v>43369</v>
          </cell>
        </row>
        <row r="1253">
          <cell r="A1253">
            <v>43162</v>
          </cell>
        </row>
        <row r="1254">
          <cell r="A1254">
            <v>43444</v>
          </cell>
        </row>
        <row r="1255">
          <cell r="A1255">
            <v>43182</v>
          </cell>
        </row>
        <row r="1256">
          <cell r="A1256">
            <v>43657</v>
          </cell>
        </row>
        <row r="1257">
          <cell r="A1257">
            <v>43757</v>
          </cell>
        </row>
        <row r="1258">
          <cell r="A1258">
            <v>43489</v>
          </cell>
        </row>
        <row r="1259">
          <cell r="A1259">
            <v>43772</v>
          </cell>
        </row>
        <row r="1260">
          <cell r="A1260">
            <v>43450</v>
          </cell>
        </row>
        <row r="1261">
          <cell r="A1261">
            <v>43910</v>
          </cell>
        </row>
        <row r="1262">
          <cell r="A1262">
            <v>43492</v>
          </cell>
        </row>
        <row r="1263">
          <cell r="A1263">
            <v>43590</v>
          </cell>
        </row>
        <row r="1264">
          <cell r="A1264">
            <v>43861</v>
          </cell>
        </row>
        <row r="1265">
          <cell r="A1265">
            <v>43520</v>
          </cell>
        </row>
        <row r="1266">
          <cell r="A1266">
            <v>43703</v>
          </cell>
        </row>
        <row r="1267">
          <cell r="A1267">
            <v>43161</v>
          </cell>
        </row>
        <row r="1268">
          <cell r="A1268">
            <v>43728</v>
          </cell>
        </row>
        <row r="1269">
          <cell r="A1269">
            <v>43835</v>
          </cell>
        </row>
        <row r="1270">
          <cell r="A1270">
            <v>43548</v>
          </cell>
        </row>
        <row r="1271">
          <cell r="A1271">
            <v>43582</v>
          </cell>
        </row>
        <row r="1272">
          <cell r="A1272">
            <v>43105</v>
          </cell>
        </row>
        <row r="1273">
          <cell r="A1273">
            <v>43198</v>
          </cell>
        </row>
        <row r="1274">
          <cell r="A1274">
            <v>43166</v>
          </cell>
        </row>
        <row r="1275">
          <cell r="A1275">
            <v>43119</v>
          </cell>
        </row>
        <row r="1276">
          <cell r="A1276">
            <v>43319</v>
          </cell>
        </row>
        <row r="1277">
          <cell r="A1277">
            <v>43491</v>
          </cell>
        </row>
        <row r="1278">
          <cell r="A1278">
            <v>43327</v>
          </cell>
        </row>
        <row r="1279">
          <cell r="A1279">
            <v>43797</v>
          </cell>
        </row>
        <row r="1280">
          <cell r="A1280">
            <v>43499</v>
          </cell>
        </row>
        <row r="1281">
          <cell r="A1281">
            <v>43205</v>
          </cell>
        </row>
        <row r="1282">
          <cell r="A1282">
            <v>43780</v>
          </cell>
        </row>
        <row r="1283">
          <cell r="A1283">
            <v>43903</v>
          </cell>
        </row>
        <row r="1284">
          <cell r="A1284">
            <v>43376</v>
          </cell>
        </row>
        <row r="1285">
          <cell r="A1285">
            <v>43176</v>
          </cell>
        </row>
        <row r="1286">
          <cell r="A1286">
            <v>43372</v>
          </cell>
        </row>
        <row r="1287">
          <cell r="A1287">
            <v>43552</v>
          </cell>
        </row>
        <row r="1288">
          <cell r="A1288">
            <v>43891</v>
          </cell>
        </row>
        <row r="1289">
          <cell r="A1289">
            <v>43606</v>
          </cell>
        </row>
        <row r="1290">
          <cell r="A1290">
            <v>43604</v>
          </cell>
        </row>
        <row r="1291">
          <cell r="A1291">
            <v>43391</v>
          </cell>
        </row>
        <row r="1292">
          <cell r="A1292">
            <v>43812</v>
          </cell>
        </row>
        <row r="1293">
          <cell r="A1293">
            <v>43892</v>
          </cell>
        </row>
        <row r="1294">
          <cell r="A1294">
            <v>43516</v>
          </cell>
        </row>
        <row r="1295">
          <cell r="A1295">
            <v>43408</v>
          </cell>
        </row>
        <row r="1296">
          <cell r="A1296">
            <v>43606</v>
          </cell>
        </row>
        <row r="1297">
          <cell r="A1297">
            <v>43738</v>
          </cell>
        </row>
        <row r="1298">
          <cell r="A1298">
            <v>43126</v>
          </cell>
        </row>
        <row r="1299">
          <cell r="A1299">
            <v>43492</v>
          </cell>
        </row>
        <row r="1300">
          <cell r="A1300">
            <v>43731</v>
          </cell>
        </row>
        <row r="1301">
          <cell r="A1301">
            <v>43137</v>
          </cell>
        </row>
        <row r="1302">
          <cell r="A1302">
            <v>43379</v>
          </cell>
        </row>
        <row r="1303">
          <cell r="A1303">
            <v>43373</v>
          </cell>
        </row>
        <row r="1304">
          <cell r="A1304">
            <v>43106</v>
          </cell>
        </row>
        <row r="1305">
          <cell r="A1305">
            <v>43639</v>
          </cell>
        </row>
        <row r="1306">
          <cell r="A1306">
            <v>43884</v>
          </cell>
        </row>
        <row r="1307">
          <cell r="A1307">
            <v>43134</v>
          </cell>
        </row>
        <row r="1308">
          <cell r="A1308">
            <v>43563</v>
          </cell>
        </row>
        <row r="1309">
          <cell r="A1309">
            <v>43264</v>
          </cell>
        </row>
        <row r="1310">
          <cell r="A1310">
            <v>43547</v>
          </cell>
        </row>
        <row r="1311">
          <cell r="A1311">
            <v>43207</v>
          </cell>
        </row>
        <row r="1312">
          <cell r="A1312">
            <v>43242</v>
          </cell>
        </row>
        <row r="1313">
          <cell r="A1313">
            <v>43868</v>
          </cell>
        </row>
        <row r="1314">
          <cell r="A1314">
            <v>43497</v>
          </cell>
        </row>
        <row r="1315">
          <cell r="A1315">
            <v>43173</v>
          </cell>
        </row>
        <row r="1316">
          <cell r="A1316">
            <v>43474</v>
          </cell>
        </row>
        <row r="1317">
          <cell r="A1317">
            <v>43220</v>
          </cell>
        </row>
        <row r="1318">
          <cell r="A1318">
            <v>43347</v>
          </cell>
        </row>
        <row r="1319">
          <cell r="A1319">
            <v>43256</v>
          </cell>
        </row>
        <row r="1320">
          <cell r="A1320">
            <v>43641</v>
          </cell>
        </row>
        <row r="1321">
          <cell r="A1321">
            <v>43827</v>
          </cell>
        </row>
        <row r="1322">
          <cell r="A1322">
            <v>43466</v>
          </cell>
        </row>
        <row r="1323">
          <cell r="A1323">
            <v>43359</v>
          </cell>
        </row>
        <row r="1324">
          <cell r="A1324">
            <v>43619</v>
          </cell>
        </row>
        <row r="1325">
          <cell r="A1325">
            <v>43511</v>
          </cell>
        </row>
        <row r="1326">
          <cell r="A1326">
            <v>43915</v>
          </cell>
        </row>
        <row r="1327">
          <cell r="A1327">
            <v>43752</v>
          </cell>
        </row>
        <row r="1328">
          <cell r="A1328">
            <v>43585</v>
          </cell>
        </row>
        <row r="1329">
          <cell r="A1329">
            <v>43144</v>
          </cell>
        </row>
        <row r="1330">
          <cell r="A1330">
            <v>43791</v>
          </cell>
        </row>
        <row r="1331">
          <cell r="A1331">
            <v>43256</v>
          </cell>
        </row>
        <row r="1332">
          <cell r="A1332">
            <v>43657</v>
          </cell>
        </row>
        <row r="1333">
          <cell r="A1333">
            <v>43352</v>
          </cell>
        </row>
        <row r="1334">
          <cell r="A1334">
            <v>43797</v>
          </cell>
        </row>
        <row r="1335">
          <cell r="A1335">
            <v>43572</v>
          </cell>
        </row>
        <row r="1336">
          <cell r="A1336">
            <v>43711</v>
          </cell>
        </row>
        <row r="1337">
          <cell r="A1337">
            <v>43416</v>
          </cell>
        </row>
        <row r="1338">
          <cell r="A1338">
            <v>43760</v>
          </cell>
        </row>
        <row r="1339">
          <cell r="A1339">
            <v>43375</v>
          </cell>
        </row>
        <row r="1340">
          <cell r="A1340">
            <v>43121</v>
          </cell>
        </row>
        <row r="1341">
          <cell r="A1341">
            <v>43913</v>
          </cell>
        </row>
        <row r="1342">
          <cell r="A1342">
            <v>43128</v>
          </cell>
        </row>
        <row r="1343">
          <cell r="A1343">
            <v>43367</v>
          </cell>
        </row>
        <row r="1344">
          <cell r="A1344">
            <v>43209</v>
          </cell>
        </row>
        <row r="1345">
          <cell r="A1345">
            <v>43747</v>
          </cell>
        </row>
        <row r="1346">
          <cell r="A1346">
            <v>43433</v>
          </cell>
        </row>
        <row r="1347">
          <cell r="A1347">
            <v>43401</v>
          </cell>
        </row>
        <row r="1348">
          <cell r="A1348">
            <v>43752</v>
          </cell>
        </row>
        <row r="1349">
          <cell r="A1349">
            <v>43207</v>
          </cell>
        </row>
        <row r="1350">
          <cell r="A1350">
            <v>43157</v>
          </cell>
        </row>
        <row r="1351">
          <cell r="A1351">
            <v>43390</v>
          </cell>
        </row>
        <row r="1352">
          <cell r="A1352">
            <v>43712</v>
          </cell>
        </row>
        <row r="1353">
          <cell r="A1353">
            <v>43331</v>
          </cell>
        </row>
        <row r="1354">
          <cell r="A1354">
            <v>43523</v>
          </cell>
        </row>
        <row r="1355">
          <cell r="A1355">
            <v>43800</v>
          </cell>
        </row>
        <row r="1356">
          <cell r="A1356">
            <v>43308</v>
          </cell>
        </row>
        <row r="1357">
          <cell r="A1357">
            <v>43279</v>
          </cell>
        </row>
        <row r="1358">
          <cell r="A1358">
            <v>43380</v>
          </cell>
        </row>
        <row r="1359">
          <cell r="A1359">
            <v>43341</v>
          </cell>
        </row>
        <row r="1360">
          <cell r="A1360">
            <v>43252</v>
          </cell>
        </row>
        <row r="1361">
          <cell r="A1361">
            <v>43831</v>
          </cell>
        </row>
        <row r="1362">
          <cell r="A1362">
            <v>43726</v>
          </cell>
        </row>
        <row r="1363">
          <cell r="A1363">
            <v>43272</v>
          </cell>
        </row>
        <row r="1364">
          <cell r="A1364">
            <v>43329</v>
          </cell>
        </row>
        <row r="1365">
          <cell r="A1365">
            <v>43177</v>
          </cell>
        </row>
        <row r="1366">
          <cell r="A1366">
            <v>43636</v>
          </cell>
        </row>
        <row r="1367">
          <cell r="A1367">
            <v>43383</v>
          </cell>
        </row>
        <row r="1368">
          <cell r="A1368">
            <v>43579</v>
          </cell>
        </row>
        <row r="1369">
          <cell r="A1369">
            <v>43548</v>
          </cell>
        </row>
        <row r="1370">
          <cell r="A1370">
            <v>43589</v>
          </cell>
        </row>
        <row r="1371">
          <cell r="A1371">
            <v>43415</v>
          </cell>
        </row>
        <row r="1372">
          <cell r="A1372">
            <v>43462</v>
          </cell>
        </row>
        <row r="1373">
          <cell r="A1373">
            <v>43205</v>
          </cell>
        </row>
        <row r="1374">
          <cell r="A1374">
            <v>43792</v>
          </cell>
        </row>
        <row r="1375">
          <cell r="A1375">
            <v>43672</v>
          </cell>
        </row>
        <row r="1376">
          <cell r="A1376">
            <v>43121</v>
          </cell>
        </row>
        <row r="1377">
          <cell r="A1377">
            <v>43116</v>
          </cell>
        </row>
        <row r="1378">
          <cell r="A1378">
            <v>43334</v>
          </cell>
        </row>
        <row r="1379">
          <cell r="A1379">
            <v>43556</v>
          </cell>
        </row>
        <row r="1380">
          <cell r="A1380">
            <v>43114</v>
          </cell>
        </row>
        <row r="1381">
          <cell r="A1381">
            <v>43538</v>
          </cell>
        </row>
        <row r="1382">
          <cell r="A1382">
            <v>43680</v>
          </cell>
        </row>
        <row r="1383">
          <cell r="A1383">
            <v>43298</v>
          </cell>
        </row>
        <row r="1384">
          <cell r="A1384">
            <v>43385</v>
          </cell>
        </row>
        <row r="1385">
          <cell r="A1385">
            <v>43810</v>
          </cell>
        </row>
        <row r="1386">
          <cell r="A1386">
            <v>43724</v>
          </cell>
        </row>
        <row r="1387">
          <cell r="A1387">
            <v>43120</v>
          </cell>
        </row>
        <row r="1388">
          <cell r="A1388">
            <v>43702</v>
          </cell>
        </row>
        <row r="1389">
          <cell r="A1389">
            <v>43236</v>
          </cell>
        </row>
        <row r="1390">
          <cell r="A1390">
            <v>43574</v>
          </cell>
        </row>
        <row r="1391">
          <cell r="A1391">
            <v>43629</v>
          </cell>
        </row>
        <row r="1392">
          <cell r="A1392">
            <v>43860</v>
          </cell>
        </row>
        <row r="1393">
          <cell r="A1393">
            <v>43374</v>
          </cell>
        </row>
        <row r="1394">
          <cell r="A1394">
            <v>43310</v>
          </cell>
        </row>
        <row r="1395">
          <cell r="A1395">
            <v>43830</v>
          </cell>
        </row>
        <row r="1396">
          <cell r="A1396">
            <v>43606</v>
          </cell>
        </row>
        <row r="1397">
          <cell r="A1397">
            <v>43834</v>
          </cell>
        </row>
        <row r="1398">
          <cell r="A1398">
            <v>43346</v>
          </cell>
        </row>
        <row r="1399">
          <cell r="A1399">
            <v>43616</v>
          </cell>
        </row>
        <row r="1400">
          <cell r="A1400">
            <v>43370</v>
          </cell>
        </row>
        <row r="1401">
          <cell r="A1401">
            <v>43428</v>
          </cell>
        </row>
        <row r="1402">
          <cell r="A1402">
            <v>43432</v>
          </cell>
        </row>
        <row r="1403">
          <cell r="A1403">
            <v>43733</v>
          </cell>
        </row>
        <row r="1404">
          <cell r="A1404">
            <v>43257</v>
          </cell>
        </row>
        <row r="1405">
          <cell r="A1405">
            <v>43306</v>
          </cell>
        </row>
        <row r="1406">
          <cell r="A1406">
            <v>43109</v>
          </cell>
        </row>
        <row r="1407">
          <cell r="A1407">
            <v>43108</v>
          </cell>
        </row>
        <row r="1408">
          <cell r="A1408">
            <v>43241</v>
          </cell>
        </row>
        <row r="1409">
          <cell r="A1409">
            <v>43313</v>
          </cell>
        </row>
        <row r="1410">
          <cell r="A1410">
            <v>43518</v>
          </cell>
        </row>
        <row r="1411">
          <cell r="A1411">
            <v>43160</v>
          </cell>
        </row>
        <row r="1412">
          <cell r="A1412">
            <v>43436</v>
          </cell>
        </row>
        <row r="1413">
          <cell r="A1413">
            <v>43284</v>
          </cell>
        </row>
        <row r="1414">
          <cell r="A1414">
            <v>43120</v>
          </cell>
        </row>
        <row r="1415">
          <cell r="A1415">
            <v>43774</v>
          </cell>
        </row>
        <row r="1416">
          <cell r="A1416">
            <v>43433</v>
          </cell>
        </row>
        <row r="1417">
          <cell r="A1417">
            <v>43419</v>
          </cell>
        </row>
        <row r="1418">
          <cell r="A1418">
            <v>43389</v>
          </cell>
        </row>
        <row r="1419">
          <cell r="A1419">
            <v>43105</v>
          </cell>
        </row>
        <row r="1420">
          <cell r="A1420">
            <v>43336</v>
          </cell>
        </row>
        <row r="1421">
          <cell r="A1421">
            <v>43392</v>
          </cell>
        </row>
        <row r="1422">
          <cell r="A1422">
            <v>43912</v>
          </cell>
        </row>
        <row r="1423">
          <cell r="A1423">
            <v>43172</v>
          </cell>
        </row>
        <row r="1424">
          <cell r="A1424">
            <v>43319</v>
          </cell>
        </row>
        <row r="1425">
          <cell r="A1425">
            <v>43319</v>
          </cell>
        </row>
        <row r="1426">
          <cell r="A1426">
            <v>43589</v>
          </cell>
        </row>
        <row r="1427">
          <cell r="A1427">
            <v>43235</v>
          </cell>
        </row>
        <row r="1428">
          <cell r="A1428">
            <v>43153</v>
          </cell>
        </row>
        <row r="1429">
          <cell r="A1429">
            <v>43483</v>
          </cell>
        </row>
        <row r="1430">
          <cell r="A1430">
            <v>43851</v>
          </cell>
        </row>
        <row r="1431">
          <cell r="A1431">
            <v>43545</v>
          </cell>
        </row>
        <row r="1432">
          <cell r="A1432">
            <v>43561</v>
          </cell>
        </row>
        <row r="1433">
          <cell r="A1433">
            <v>43280</v>
          </cell>
        </row>
        <row r="1434">
          <cell r="A1434">
            <v>43431</v>
          </cell>
        </row>
        <row r="1435">
          <cell r="A1435">
            <v>43773</v>
          </cell>
        </row>
        <row r="1436">
          <cell r="A1436">
            <v>43706</v>
          </cell>
        </row>
        <row r="1437">
          <cell r="A1437">
            <v>43146</v>
          </cell>
        </row>
        <row r="1438">
          <cell r="A1438">
            <v>43200</v>
          </cell>
        </row>
        <row r="1439">
          <cell r="A1439">
            <v>43346</v>
          </cell>
        </row>
        <row r="1440">
          <cell r="A1440">
            <v>43734</v>
          </cell>
        </row>
        <row r="1441">
          <cell r="A1441">
            <v>43364</v>
          </cell>
        </row>
        <row r="1442">
          <cell r="A1442">
            <v>43618</v>
          </cell>
        </row>
        <row r="1443">
          <cell r="A1443">
            <v>43863</v>
          </cell>
        </row>
        <row r="1444">
          <cell r="A1444">
            <v>43377</v>
          </cell>
        </row>
        <row r="1445">
          <cell r="A1445">
            <v>43716</v>
          </cell>
        </row>
        <row r="1446">
          <cell r="A1446">
            <v>43656</v>
          </cell>
        </row>
        <row r="1447">
          <cell r="A1447">
            <v>43676</v>
          </cell>
        </row>
        <row r="1448">
          <cell r="A1448">
            <v>43902</v>
          </cell>
        </row>
        <row r="1449">
          <cell r="A1449">
            <v>43253</v>
          </cell>
        </row>
        <row r="1450">
          <cell r="A1450">
            <v>43399</v>
          </cell>
        </row>
        <row r="1451">
          <cell r="A1451">
            <v>43468</v>
          </cell>
        </row>
        <row r="1452">
          <cell r="A1452">
            <v>43467</v>
          </cell>
        </row>
        <row r="1453">
          <cell r="A1453">
            <v>43598</v>
          </cell>
        </row>
        <row r="1454">
          <cell r="A1454">
            <v>43816</v>
          </cell>
        </row>
        <row r="1455">
          <cell r="A1455">
            <v>43583</v>
          </cell>
        </row>
        <row r="1456">
          <cell r="A1456">
            <v>43568</v>
          </cell>
        </row>
        <row r="1457">
          <cell r="A1457">
            <v>43787</v>
          </cell>
        </row>
        <row r="1458">
          <cell r="A1458">
            <v>43642</v>
          </cell>
        </row>
        <row r="1459">
          <cell r="A1459">
            <v>43589</v>
          </cell>
        </row>
        <row r="1460">
          <cell r="A1460">
            <v>43214</v>
          </cell>
        </row>
        <row r="1461">
          <cell r="A1461">
            <v>43683</v>
          </cell>
        </row>
        <row r="1462">
          <cell r="A1462">
            <v>43205</v>
          </cell>
        </row>
        <row r="1463">
          <cell r="A1463">
            <v>43331</v>
          </cell>
        </row>
        <row r="1464">
          <cell r="A1464">
            <v>43300</v>
          </cell>
        </row>
        <row r="1465">
          <cell r="A1465">
            <v>43536</v>
          </cell>
        </row>
        <row r="1466">
          <cell r="A1466">
            <v>43841</v>
          </cell>
        </row>
        <row r="1467">
          <cell r="A1467">
            <v>43745</v>
          </cell>
        </row>
        <row r="1468">
          <cell r="A1468">
            <v>43876</v>
          </cell>
        </row>
        <row r="1469">
          <cell r="A1469">
            <v>43469</v>
          </cell>
        </row>
        <row r="1470">
          <cell r="A1470">
            <v>43754</v>
          </cell>
        </row>
        <row r="1471">
          <cell r="A1471">
            <v>43199</v>
          </cell>
        </row>
        <row r="1472">
          <cell r="A1472">
            <v>43496</v>
          </cell>
        </row>
        <row r="1473">
          <cell r="A1473">
            <v>43544</v>
          </cell>
        </row>
        <row r="1474">
          <cell r="A1474">
            <v>43177</v>
          </cell>
        </row>
        <row r="1475">
          <cell r="A1475">
            <v>43238</v>
          </cell>
        </row>
        <row r="1476">
          <cell r="A1476">
            <v>43441</v>
          </cell>
        </row>
        <row r="1477">
          <cell r="A1477">
            <v>43565</v>
          </cell>
        </row>
        <row r="1478">
          <cell r="A1478">
            <v>43771</v>
          </cell>
        </row>
        <row r="1479">
          <cell r="A1479">
            <v>43344</v>
          </cell>
        </row>
        <row r="1480">
          <cell r="A1480">
            <v>43269</v>
          </cell>
        </row>
        <row r="1481">
          <cell r="A1481">
            <v>43159</v>
          </cell>
        </row>
        <row r="1482">
          <cell r="A1482">
            <v>43461</v>
          </cell>
        </row>
        <row r="1483">
          <cell r="A1483">
            <v>43365</v>
          </cell>
        </row>
        <row r="1484">
          <cell r="A1484">
            <v>43711</v>
          </cell>
        </row>
        <row r="1485">
          <cell r="A1485">
            <v>43648</v>
          </cell>
        </row>
        <row r="1486">
          <cell r="A1486">
            <v>43446</v>
          </cell>
        </row>
        <row r="1487">
          <cell r="A1487">
            <v>43532</v>
          </cell>
        </row>
        <row r="1488">
          <cell r="A1488">
            <v>43556</v>
          </cell>
        </row>
        <row r="1489">
          <cell r="A1489">
            <v>43339</v>
          </cell>
        </row>
        <row r="1490">
          <cell r="A1490">
            <v>43731</v>
          </cell>
        </row>
        <row r="1491">
          <cell r="A1491">
            <v>43566</v>
          </cell>
        </row>
        <row r="1492">
          <cell r="A1492">
            <v>43746</v>
          </cell>
        </row>
        <row r="1493">
          <cell r="A1493">
            <v>43505</v>
          </cell>
        </row>
        <row r="1494">
          <cell r="A1494">
            <v>43850</v>
          </cell>
        </row>
        <row r="1495">
          <cell r="A1495">
            <v>43704</v>
          </cell>
        </row>
        <row r="1496">
          <cell r="A1496">
            <v>43122</v>
          </cell>
        </row>
        <row r="1497">
          <cell r="A1497">
            <v>43480</v>
          </cell>
        </row>
        <row r="1498">
          <cell r="A1498">
            <v>43238</v>
          </cell>
        </row>
        <row r="1499">
          <cell r="A1499">
            <v>43150</v>
          </cell>
        </row>
        <row r="1500">
          <cell r="A1500">
            <v>43149</v>
          </cell>
        </row>
        <row r="1501">
          <cell r="A1501">
            <v>43684</v>
          </cell>
        </row>
        <row r="1502">
          <cell r="A1502">
            <v>43207</v>
          </cell>
        </row>
        <row r="1503">
          <cell r="A1503">
            <v>43761</v>
          </cell>
        </row>
        <row r="1504">
          <cell r="A1504">
            <v>43719</v>
          </cell>
        </row>
        <row r="1505">
          <cell r="A1505">
            <v>43259</v>
          </cell>
        </row>
        <row r="1506">
          <cell r="A1506">
            <v>43609</v>
          </cell>
        </row>
        <row r="1507">
          <cell r="A1507">
            <v>43153</v>
          </cell>
        </row>
        <row r="1508">
          <cell r="A1508">
            <v>43663</v>
          </cell>
        </row>
        <row r="1509">
          <cell r="A1509">
            <v>43144</v>
          </cell>
        </row>
        <row r="1510">
          <cell r="A1510">
            <v>43482</v>
          </cell>
        </row>
        <row r="1511">
          <cell r="A1511">
            <v>43208</v>
          </cell>
        </row>
        <row r="1512">
          <cell r="A1512">
            <v>43830</v>
          </cell>
        </row>
        <row r="1513">
          <cell r="A1513">
            <v>43680</v>
          </cell>
        </row>
        <row r="1514">
          <cell r="A1514">
            <v>43749</v>
          </cell>
        </row>
        <row r="1515">
          <cell r="A1515">
            <v>43587</v>
          </cell>
        </row>
        <row r="1516">
          <cell r="A1516">
            <v>43684</v>
          </cell>
        </row>
        <row r="1517">
          <cell r="A1517">
            <v>43782</v>
          </cell>
        </row>
        <row r="1518">
          <cell r="A1518">
            <v>43619</v>
          </cell>
        </row>
        <row r="1519">
          <cell r="A1519">
            <v>43842</v>
          </cell>
        </row>
        <row r="1520">
          <cell r="A1520">
            <v>43608</v>
          </cell>
        </row>
        <row r="1521">
          <cell r="A1521">
            <v>43448</v>
          </cell>
        </row>
        <row r="1522">
          <cell r="A1522">
            <v>43242</v>
          </cell>
        </row>
        <row r="1523">
          <cell r="A1523">
            <v>43571</v>
          </cell>
        </row>
        <row r="1524">
          <cell r="A1524">
            <v>43439</v>
          </cell>
        </row>
        <row r="1525">
          <cell r="A1525">
            <v>43312</v>
          </cell>
        </row>
        <row r="1526">
          <cell r="A1526">
            <v>43688</v>
          </cell>
        </row>
        <row r="1527">
          <cell r="A1527">
            <v>43557</v>
          </cell>
        </row>
        <row r="1528">
          <cell r="A1528">
            <v>43835</v>
          </cell>
        </row>
        <row r="1529">
          <cell r="A1529">
            <v>43791</v>
          </cell>
        </row>
        <row r="1530">
          <cell r="A1530">
            <v>43622</v>
          </cell>
        </row>
        <row r="1531">
          <cell r="A1531">
            <v>43352</v>
          </cell>
        </row>
        <row r="1532">
          <cell r="A1532">
            <v>43144</v>
          </cell>
        </row>
        <row r="1533">
          <cell r="A1533">
            <v>43754</v>
          </cell>
        </row>
        <row r="1534">
          <cell r="A1534">
            <v>43504</v>
          </cell>
        </row>
        <row r="1535">
          <cell r="A1535">
            <v>43249</v>
          </cell>
        </row>
        <row r="1536">
          <cell r="A1536">
            <v>43107</v>
          </cell>
        </row>
        <row r="1537">
          <cell r="A1537">
            <v>43733</v>
          </cell>
        </row>
        <row r="1538">
          <cell r="A1538">
            <v>43241</v>
          </cell>
        </row>
        <row r="1539">
          <cell r="A1539">
            <v>43921</v>
          </cell>
        </row>
        <row r="1540">
          <cell r="A1540">
            <v>43605</v>
          </cell>
        </row>
        <row r="1541">
          <cell r="A1541">
            <v>43293</v>
          </cell>
        </row>
        <row r="1542">
          <cell r="A1542">
            <v>43629</v>
          </cell>
        </row>
        <row r="1543">
          <cell r="A1543">
            <v>43230</v>
          </cell>
        </row>
        <row r="1544">
          <cell r="A1544">
            <v>43480</v>
          </cell>
        </row>
        <row r="1545">
          <cell r="A1545">
            <v>43693</v>
          </cell>
        </row>
        <row r="1546">
          <cell r="A1546">
            <v>43724</v>
          </cell>
        </row>
        <row r="1547">
          <cell r="A1547">
            <v>43193</v>
          </cell>
        </row>
        <row r="1548">
          <cell r="A1548">
            <v>43124</v>
          </cell>
        </row>
        <row r="1549">
          <cell r="A1549">
            <v>43757</v>
          </cell>
        </row>
        <row r="1550">
          <cell r="A1550">
            <v>43605</v>
          </cell>
        </row>
        <row r="1551">
          <cell r="A1551">
            <v>43814</v>
          </cell>
        </row>
        <row r="1552">
          <cell r="A1552">
            <v>43412</v>
          </cell>
        </row>
        <row r="1553">
          <cell r="A1553">
            <v>43484</v>
          </cell>
        </row>
        <row r="1554">
          <cell r="A1554">
            <v>43454</v>
          </cell>
        </row>
        <row r="1555">
          <cell r="A1555">
            <v>43112</v>
          </cell>
        </row>
        <row r="1556">
          <cell r="A1556">
            <v>43854</v>
          </cell>
        </row>
        <row r="1557">
          <cell r="A1557">
            <v>43770</v>
          </cell>
        </row>
        <row r="1558">
          <cell r="A1558">
            <v>43555</v>
          </cell>
        </row>
        <row r="1559">
          <cell r="A1559">
            <v>43528</v>
          </cell>
        </row>
        <row r="1560">
          <cell r="A1560">
            <v>43562</v>
          </cell>
        </row>
        <row r="1561">
          <cell r="A1561">
            <v>43523</v>
          </cell>
        </row>
        <row r="1562">
          <cell r="A1562">
            <v>43887</v>
          </cell>
        </row>
        <row r="1563">
          <cell r="A1563">
            <v>43186</v>
          </cell>
        </row>
        <row r="1564">
          <cell r="A1564">
            <v>43782</v>
          </cell>
        </row>
        <row r="1565">
          <cell r="A1565">
            <v>43671</v>
          </cell>
        </row>
        <row r="1566">
          <cell r="A1566">
            <v>43293</v>
          </cell>
        </row>
        <row r="1567">
          <cell r="A1567">
            <v>43829</v>
          </cell>
        </row>
        <row r="1568">
          <cell r="A1568">
            <v>43602</v>
          </cell>
        </row>
        <row r="1569">
          <cell r="A1569">
            <v>43403</v>
          </cell>
        </row>
        <row r="1570">
          <cell r="A1570">
            <v>43710</v>
          </cell>
        </row>
        <row r="1571">
          <cell r="A1571">
            <v>43804</v>
          </cell>
        </row>
        <row r="1572">
          <cell r="A1572">
            <v>43724</v>
          </cell>
        </row>
        <row r="1573">
          <cell r="A1573">
            <v>43209</v>
          </cell>
        </row>
        <row r="1574">
          <cell r="A1574">
            <v>43543</v>
          </cell>
        </row>
        <row r="1575">
          <cell r="A1575">
            <v>43580</v>
          </cell>
        </row>
        <row r="1576">
          <cell r="A1576">
            <v>43650</v>
          </cell>
        </row>
        <row r="1577">
          <cell r="A1577">
            <v>43624</v>
          </cell>
        </row>
        <row r="1578">
          <cell r="A1578">
            <v>43428</v>
          </cell>
        </row>
        <row r="1579">
          <cell r="A1579">
            <v>43286</v>
          </cell>
        </row>
        <row r="1580">
          <cell r="A1580">
            <v>43463</v>
          </cell>
        </row>
        <row r="1581">
          <cell r="A1581">
            <v>43715</v>
          </cell>
        </row>
        <row r="1582">
          <cell r="A1582">
            <v>43283</v>
          </cell>
        </row>
        <row r="1583">
          <cell r="A1583">
            <v>43147</v>
          </cell>
        </row>
        <row r="1584">
          <cell r="A1584">
            <v>43104</v>
          </cell>
        </row>
        <row r="1585">
          <cell r="A1585">
            <v>43542</v>
          </cell>
        </row>
        <row r="1586">
          <cell r="A1586">
            <v>43330</v>
          </cell>
        </row>
        <row r="1587">
          <cell r="A1587">
            <v>43598</v>
          </cell>
        </row>
        <row r="1588">
          <cell r="A1588">
            <v>43745</v>
          </cell>
        </row>
        <row r="1589">
          <cell r="A1589">
            <v>43750</v>
          </cell>
        </row>
        <row r="1590">
          <cell r="A1590">
            <v>43443</v>
          </cell>
        </row>
        <row r="1591">
          <cell r="A1591">
            <v>43418</v>
          </cell>
        </row>
        <row r="1592">
          <cell r="A1592">
            <v>43359</v>
          </cell>
        </row>
        <row r="1593">
          <cell r="A1593">
            <v>43327</v>
          </cell>
        </row>
        <row r="1594">
          <cell r="A1594">
            <v>43767</v>
          </cell>
        </row>
        <row r="1595">
          <cell r="A1595">
            <v>43182</v>
          </cell>
        </row>
        <row r="1596">
          <cell r="A1596">
            <v>43483</v>
          </cell>
        </row>
        <row r="1597">
          <cell r="A1597">
            <v>43595</v>
          </cell>
        </row>
        <row r="1598">
          <cell r="A1598">
            <v>43174</v>
          </cell>
        </row>
        <row r="1599">
          <cell r="A1599">
            <v>43681</v>
          </cell>
        </row>
        <row r="1600">
          <cell r="A1600">
            <v>43864</v>
          </cell>
        </row>
        <row r="1601">
          <cell r="A1601">
            <v>43548</v>
          </cell>
        </row>
        <row r="1602">
          <cell r="A1602">
            <v>43715</v>
          </cell>
        </row>
        <row r="1603">
          <cell r="A1603">
            <v>43430</v>
          </cell>
        </row>
        <row r="1604">
          <cell r="A1604">
            <v>43281</v>
          </cell>
        </row>
        <row r="1605">
          <cell r="A1605">
            <v>43345</v>
          </cell>
        </row>
        <row r="1606">
          <cell r="A1606">
            <v>43266</v>
          </cell>
        </row>
        <row r="1607">
          <cell r="A1607">
            <v>43865</v>
          </cell>
        </row>
        <row r="1608">
          <cell r="A1608">
            <v>43732</v>
          </cell>
        </row>
        <row r="1609">
          <cell r="A1609">
            <v>43864</v>
          </cell>
        </row>
        <row r="1610">
          <cell r="A1610">
            <v>43137</v>
          </cell>
        </row>
        <row r="1611">
          <cell r="A1611">
            <v>43546</v>
          </cell>
        </row>
        <row r="1612">
          <cell r="A1612">
            <v>43190</v>
          </cell>
        </row>
        <row r="1613">
          <cell r="A1613">
            <v>43908</v>
          </cell>
        </row>
        <row r="1614">
          <cell r="A1614">
            <v>43909</v>
          </cell>
        </row>
        <row r="1615">
          <cell r="A1615">
            <v>43564</v>
          </cell>
        </row>
        <row r="1616">
          <cell r="A1616">
            <v>43400</v>
          </cell>
        </row>
        <row r="1617">
          <cell r="A1617">
            <v>43754</v>
          </cell>
        </row>
        <row r="1618">
          <cell r="A1618">
            <v>43405</v>
          </cell>
        </row>
        <row r="1619">
          <cell r="A1619">
            <v>43483</v>
          </cell>
        </row>
        <row r="1620">
          <cell r="A1620">
            <v>43553</v>
          </cell>
        </row>
        <row r="1621">
          <cell r="A1621">
            <v>43813</v>
          </cell>
        </row>
        <row r="1622">
          <cell r="A1622">
            <v>43354</v>
          </cell>
        </row>
        <row r="1623">
          <cell r="A1623">
            <v>43397</v>
          </cell>
        </row>
        <row r="1624">
          <cell r="A1624">
            <v>43522</v>
          </cell>
        </row>
        <row r="1625">
          <cell r="A1625">
            <v>43802</v>
          </cell>
        </row>
        <row r="1626">
          <cell r="A1626">
            <v>43380</v>
          </cell>
        </row>
        <row r="1627">
          <cell r="A1627">
            <v>43235</v>
          </cell>
        </row>
        <row r="1628">
          <cell r="A1628">
            <v>43817</v>
          </cell>
        </row>
        <row r="1629">
          <cell r="A1629">
            <v>43429</v>
          </cell>
        </row>
        <row r="1630">
          <cell r="A1630">
            <v>43792</v>
          </cell>
        </row>
        <row r="1631">
          <cell r="A1631">
            <v>43682</v>
          </cell>
        </row>
        <row r="1632">
          <cell r="A1632">
            <v>43278</v>
          </cell>
        </row>
        <row r="1633">
          <cell r="A1633">
            <v>43545</v>
          </cell>
        </row>
        <row r="1634">
          <cell r="A1634">
            <v>43676</v>
          </cell>
        </row>
        <row r="1635">
          <cell r="A1635">
            <v>43887</v>
          </cell>
        </row>
        <row r="1636">
          <cell r="A1636">
            <v>43553</v>
          </cell>
        </row>
        <row r="1637">
          <cell r="A1637">
            <v>43207</v>
          </cell>
        </row>
        <row r="1638">
          <cell r="A1638">
            <v>43248</v>
          </cell>
        </row>
        <row r="1639">
          <cell r="A1639">
            <v>43136</v>
          </cell>
        </row>
        <row r="1640">
          <cell r="A1640">
            <v>43263</v>
          </cell>
        </row>
        <row r="1641">
          <cell r="A1641">
            <v>43216</v>
          </cell>
        </row>
        <row r="1642">
          <cell r="A1642">
            <v>43668</v>
          </cell>
        </row>
        <row r="1643">
          <cell r="A1643">
            <v>43561</v>
          </cell>
        </row>
        <row r="1644">
          <cell r="A1644">
            <v>43529</v>
          </cell>
        </row>
        <row r="1645">
          <cell r="A1645">
            <v>43648</v>
          </cell>
        </row>
        <row r="1646">
          <cell r="A1646">
            <v>43205</v>
          </cell>
        </row>
        <row r="1647">
          <cell r="A1647">
            <v>43126</v>
          </cell>
        </row>
        <row r="1648">
          <cell r="A1648">
            <v>43901</v>
          </cell>
        </row>
        <row r="1649">
          <cell r="A1649">
            <v>43660</v>
          </cell>
        </row>
        <row r="1650">
          <cell r="A1650">
            <v>43297</v>
          </cell>
        </row>
        <row r="1651">
          <cell r="A1651">
            <v>43638</v>
          </cell>
        </row>
        <row r="1652">
          <cell r="A1652">
            <v>43553</v>
          </cell>
        </row>
        <row r="1653">
          <cell r="A1653">
            <v>43319</v>
          </cell>
        </row>
        <row r="1654">
          <cell r="A1654">
            <v>43148</v>
          </cell>
        </row>
        <row r="1655">
          <cell r="A1655">
            <v>43797</v>
          </cell>
        </row>
        <row r="1656">
          <cell r="A1656">
            <v>43102</v>
          </cell>
        </row>
        <row r="1657">
          <cell r="A1657">
            <v>43243</v>
          </cell>
        </row>
        <row r="1658">
          <cell r="A1658">
            <v>43423</v>
          </cell>
        </row>
        <row r="1659">
          <cell r="A1659">
            <v>43104</v>
          </cell>
        </row>
        <row r="1660">
          <cell r="A1660">
            <v>43305</v>
          </cell>
        </row>
        <row r="1661">
          <cell r="A1661">
            <v>43647</v>
          </cell>
        </row>
        <row r="1662">
          <cell r="A1662">
            <v>43545</v>
          </cell>
        </row>
        <row r="1663">
          <cell r="A1663">
            <v>43122</v>
          </cell>
        </row>
        <row r="1664">
          <cell r="A1664">
            <v>43587</v>
          </cell>
        </row>
        <row r="1665">
          <cell r="A1665">
            <v>43142</v>
          </cell>
        </row>
        <row r="1666">
          <cell r="A1666">
            <v>43333</v>
          </cell>
        </row>
        <row r="1667">
          <cell r="A1667">
            <v>43258</v>
          </cell>
        </row>
        <row r="1668">
          <cell r="A1668">
            <v>43607</v>
          </cell>
        </row>
        <row r="1669">
          <cell r="A1669">
            <v>43743</v>
          </cell>
        </row>
        <row r="1670">
          <cell r="A1670">
            <v>43121</v>
          </cell>
        </row>
        <row r="1671">
          <cell r="A1671">
            <v>43215</v>
          </cell>
        </row>
        <row r="1672">
          <cell r="A1672">
            <v>43636</v>
          </cell>
        </row>
        <row r="1673">
          <cell r="A1673">
            <v>43352</v>
          </cell>
        </row>
        <row r="1674">
          <cell r="A1674">
            <v>43168</v>
          </cell>
        </row>
        <row r="1675">
          <cell r="A1675">
            <v>43859</v>
          </cell>
        </row>
        <row r="1676">
          <cell r="A1676">
            <v>43802</v>
          </cell>
        </row>
        <row r="1677">
          <cell r="A1677">
            <v>43919</v>
          </cell>
        </row>
        <row r="1678">
          <cell r="A1678">
            <v>43135</v>
          </cell>
        </row>
        <row r="1679">
          <cell r="A1679">
            <v>43685</v>
          </cell>
        </row>
        <row r="1680">
          <cell r="A1680">
            <v>43591</v>
          </cell>
        </row>
        <row r="1681">
          <cell r="A1681">
            <v>43806</v>
          </cell>
        </row>
        <row r="1682">
          <cell r="A1682">
            <v>43450</v>
          </cell>
        </row>
        <row r="1683">
          <cell r="A1683">
            <v>43414</v>
          </cell>
        </row>
        <row r="1684">
          <cell r="A1684">
            <v>43134</v>
          </cell>
        </row>
        <row r="1685">
          <cell r="A1685">
            <v>43871</v>
          </cell>
        </row>
        <row r="1686">
          <cell r="A1686">
            <v>43220</v>
          </cell>
        </row>
        <row r="1687">
          <cell r="A1687">
            <v>43345</v>
          </cell>
        </row>
        <row r="1688">
          <cell r="A1688">
            <v>43218</v>
          </cell>
        </row>
        <row r="1689">
          <cell r="A1689">
            <v>43640</v>
          </cell>
        </row>
        <row r="1690">
          <cell r="A1690">
            <v>43331</v>
          </cell>
        </row>
        <row r="1691">
          <cell r="A1691">
            <v>43647</v>
          </cell>
        </row>
        <row r="1692">
          <cell r="A1692">
            <v>43851</v>
          </cell>
        </row>
        <row r="1693">
          <cell r="A1693">
            <v>43372</v>
          </cell>
        </row>
        <row r="1694">
          <cell r="A1694">
            <v>43493</v>
          </cell>
        </row>
        <row r="1695">
          <cell r="A1695">
            <v>43885</v>
          </cell>
        </row>
        <row r="1696">
          <cell r="A1696">
            <v>43301</v>
          </cell>
        </row>
        <row r="1697">
          <cell r="A1697">
            <v>43840</v>
          </cell>
        </row>
        <row r="1698">
          <cell r="A1698">
            <v>43464</v>
          </cell>
        </row>
        <row r="1699">
          <cell r="A1699">
            <v>43675</v>
          </cell>
        </row>
        <row r="1700">
          <cell r="A1700">
            <v>43367</v>
          </cell>
        </row>
        <row r="1701">
          <cell r="A1701">
            <v>43754</v>
          </cell>
        </row>
        <row r="1702">
          <cell r="A1702">
            <v>43529</v>
          </cell>
        </row>
        <row r="1703">
          <cell r="A1703">
            <v>43217</v>
          </cell>
        </row>
        <row r="1704">
          <cell r="A1704">
            <v>43710</v>
          </cell>
        </row>
        <row r="1705">
          <cell r="A1705">
            <v>43902</v>
          </cell>
        </row>
        <row r="1706">
          <cell r="A1706">
            <v>43591</v>
          </cell>
        </row>
        <row r="1707">
          <cell r="A1707">
            <v>43460</v>
          </cell>
        </row>
        <row r="1708">
          <cell r="A1708">
            <v>43513</v>
          </cell>
        </row>
        <row r="1709">
          <cell r="A1709">
            <v>43544</v>
          </cell>
        </row>
        <row r="1710">
          <cell r="A1710">
            <v>43527</v>
          </cell>
        </row>
        <row r="1711">
          <cell r="A1711">
            <v>43450</v>
          </cell>
        </row>
        <row r="1712">
          <cell r="A1712">
            <v>43339</v>
          </cell>
        </row>
        <row r="1713">
          <cell r="A1713">
            <v>43211</v>
          </cell>
        </row>
        <row r="1714">
          <cell r="A1714">
            <v>43749</v>
          </cell>
        </row>
        <row r="1715">
          <cell r="A1715">
            <v>43824</v>
          </cell>
        </row>
        <row r="1716">
          <cell r="A1716">
            <v>43480</v>
          </cell>
        </row>
        <row r="1717">
          <cell r="A1717">
            <v>43495</v>
          </cell>
        </row>
        <row r="1718">
          <cell r="A1718">
            <v>43569</v>
          </cell>
        </row>
        <row r="1719">
          <cell r="A1719">
            <v>43737</v>
          </cell>
        </row>
        <row r="1720">
          <cell r="A1720">
            <v>43917</v>
          </cell>
        </row>
        <row r="1721">
          <cell r="A1721">
            <v>43205</v>
          </cell>
        </row>
        <row r="1722">
          <cell r="A1722">
            <v>43208</v>
          </cell>
        </row>
        <row r="1723">
          <cell r="A1723">
            <v>43223</v>
          </cell>
        </row>
        <row r="1724">
          <cell r="A1724">
            <v>43827</v>
          </cell>
        </row>
        <row r="1725">
          <cell r="A1725">
            <v>43326</v>
          </cell>
        </row>
        <row r="1726">
          <cell r="A1726">
            <v>43225</v>
          </cell>
        </row>
        <row r="1727">
          <cell r="A1727">
            <v>43535</v>
          </cell>
        </row>
        <row r="1728">
          <cell r="A1728">
            <v>43623</v>
          </cell>
        </row>
        <row r="1729">
          <cell r="A1729">
            <v>43439</v>
          </cell>
        </row>
        <row r="1730">
          <cell r="A1730">
            <v>43498</v>
          </cell>
        </row>
        <row r="1731">
          <cell r="A1731">
            <v>43464</v>
          </cell>
        </row>
        <row r="1732">
          <cell r="A1732">
            <v>43363</v>
          </cell>
        </row>
        <row r="1733">
          <cell r="A1733">
            <v>43452</v>
          </cell>
        </row>
        <row r="1734">
          <cell r="A1734">
            <v>43178</v>
          </cell>
        </row>
        <row r="1735">
          <cell r="A1735">
            <v>43787</v>
          </cell>
        </row>
        <row r="1736">
          <cell r="A1736">
            <v>43706</v>
          </cell>
        </row>
        <row r="1737">
          <cell r="A1737">
            <v>43696</v>
          </cell>
        </row>
        <row r="1738">
          <cell r="A1738">
            <v>43393</v>
          </cell>
        </row>
        <row r="1739">
          <cell r="A1739">
            <v>43433</v>
          </cell>
        </row>
        <row r="1740">
          <cell r="A1740">
            <v>43749</v>
          </cell>
        </row>
        <row r="1741">
          <cell r="A1741">
            <v>43251</v>
          </cell>
        </row>
        <row r="1742">
          <cell r="A1742">
            <v>43196</v>
          </cell>
        </row>
        <row r="1743">
          <cell r="A1743">
            <v>43472</v>
          </cell>
        </row>
        <row r="1744">
          <cell r="A1744">
            <v>43232</v>
          </cell>
        </row>
        <row r="1745">
          <cell r="A1745">
            <v>43606</v>
          </cell>
        </row>
        <row r="1746">
          <cell r="A1746">
            <v>43903</v>
          </cell>
        </row>
        <row r="1747">
          <cell r="A1747">
            <v>43609</v>
          </cell>
        </row>
        <row r="1748">
          <cell r="A1748">
            <v>43640</v>
          </cell>
        </row>
        <row r="1749">
          <cell r="A1749">
            <v>43445</v>
          </cell>
        </row>
        <row r="1750">
          <cell r="A1750">
            <v>43775</v>
          </cell>
        </row>
        <row r="1751">
          <cell r="A1751">
            <v>43114</v>
          </cell>
        </row>
        <row r="1752">
          <cell r="A1752">
            <v>43177</v>
          </cell>
        </row>
        <row r="1753">
          <cell r="A1753">
            <v>43870</v>
          </cell>
        </row>
        <row r="1754">
          <cell r="A1754">
            <v>43586</v>
          </cell>
        </row>
        <row r="1755">
          <cell r="A1755">
            <v>43305</v>
          </cell>
        </row>
        <row r="1756">
          <cell r="A1756">
            <v>43796</v>
          </cell>
        </row>
        <row r="1757">
          <cell r="A1757">
            <v>43521</v>
          </cell>
        </row>
        <row r="1758">
          <cell r="A1758">
            <v>43666</v>
          </cell>
        </row>
        <row r="1759">
          <cell r="A1759">
            <v>43407</v>
          </cell>
        </row>
        <row r="1760">
          <cell r="A1760">
            <v>43427</v>
          </cell>
        </row>
        <row r="1761">
          <cell r="A1761">
            <v>43243</v>
          </cell>
        </row>
        <row r="1762">
          <cell r="A1762">
            <v>43394</v>
          </cell>
        </row>
        <row r="1763">
          <cell r="A1763">
            <v>43331</v>
          </cell>
        </row>
        <row r="1764">
          <cell r="A1764">
            <v>43342</v>
          </cell>
        </row>
        <row r="1765">
          <cell r="A1765">
            <v>43308</v>
          </cell>
        </row>
        <row r="1766">
          <cell r="A1766">
            <v>43700</v>
          </cell>
        </row>
        <row r="1767">
          <cell r="A1767">
            <v>43773</v>
          </cell>
        </row>
        <row r="1768">
          <cell r="A1768">
            <v>43769</v>
          </cell>
        </row>
        <row r="1769">
          <cell r="A1769">
            <v>43918</v>
          </cell>
        </row>
        <row r="1770">
          <cell r="A1770">
            <v>43773</v>
          </cell>
        </row>
        <row r="1771">
          <cell r="A1771">
            <v>43155</v>
          </cell>
        </row>
        <row r="1772">
          <cell r="A1772">
            <v>43858</v>
          </cell>
        </row>
        <row r="1773">
          <cell r="A1773">
            <v>43568</v>
          </cell>
        </row>
        <row r="1774">
          <cell r="A1774">
            <v>43902</v>
          </cell>
        </row>
        <row r="1775">
          <cell r="A1775">
            <v>43499</v>
          </cell>
        </row>
        <row r="1776">
          <cell r="A1776">
            <v>43418</v>
          </cell>
        </row>
        <row r="1777">
          <cell r="A1777">
            <v>43360</v>
          </cell>
        </row>
        <row r="1778">
          <cell r="A1778">
            <v>43120</v>
          </cell>
        </row>
        <row r="1779">
          <cell r="A1779">
            <v>43104</v>
          </cell>
        </row>
        <row r="1780">
          <cell r="A1780">
            <v>43211</v>
          </cell>
        </row>
        <row r="1781">
          <cell r="A1781">
            <v>43319</v>
          </cell>
        </row>
        <row r="1782">
          <cell r="A1782">
            <v>43580</v>
          </cell>
        </row>
        <row r="1783">
          <cell r="A1783">
            <v>43135</v>
          </cell>
        </row>
        <row r="1784">
          <cell r="A1784">
            <v>43699</v>
          </cell>
        </row>
        <row r="1785">
          <cell r="A1785">
            <v>43233</v>
          </cell>
        </row>
        <row r="1786">
          <cell r="A1786">
            <v>43197</v>
          </cell>
        </row>
        <row r="1787">
          <cell r="A1787">
            <v>43567</v>
          </cell>
        </row>
        <row r="1788">
          <cell r="A1788">
            <v>43879</v>
          </cell>
        </row>
        <row r="1789">
          <cell r="A1789">
            <v>43827</v>
          </cell>
        </row>
        <row r="1790">
          <cell r="A1790">
            <v>43675</v>
          </cell>
        </row>
        <row r="1791">
          <cell r="A1791">
            <v>43640</v>
          </cell>
        </row>
        <row r="1792">
          <cell r="A1792">
            <v>43182</v>
          </cell>
        </row>
        <row r="1793">
          <cell r="A1793">
            <v>43244</v>
          </cell>
        </row>
        <row r="1794">
          <cell r="A1794">
            <v>43834</v>
          </cell>
        </row>
        <row r="1795">
          <cell r="A1795">
            <v>43443</v>
          </cell>
        </row>
        <row r="1796">
          <cell r="A1796">
            <v>43264</v>
          </cell>
        </row>
        <row r="1797">
          <cell r="A1797">
            <v>43114</v>
          </cell>
        </row>
        <row r="1798">
          <cell r="A1798">
            <v>43238</v>
          </cell>
        </row>
        <row r="1799">
          <cell r="A1799">
            <v>43253</v>
          </cell>
        </row>
        <row r="1800">
          <cell r="A1800">
            <v>43227</v>
          </cell>
        </row>
        <row r="1801">
          <cell r="A1801">
            <v>43294</v>
          </cell>
        </row>
        <row r="1802">
          <cell r="A1802">
            <v>43127</v>
          </cell>
        </row>
        <row r="1803">
          <cell r="A1803">
            <v>43742</v>
          </cell>
        </row>
        <row r="1804">
          <cell r="A1804">
            <v>43783</v>
          </cell>
        </row>
        <row r="1805">
          <cell r="A1805">
            <v>43458</v>
          </cell>
        </row>
        <row r="1806">
          <cell r="A1806">
            <v>43867</v>
          </cell>
        </row>
        <row r="1807">
          <cell r="A1807">
            <v>43520</v>
          </cell>
        </row>
        <row r="1808">
          <cell r="A1808">
            <v>43438</v>
          </cell>
        </row>
        <row r="1809">
          <cell r="A1809">
            <v>43895</v>
          </cell>
        </row>
        <row r="1810">
          <cell r="A1810">
            <v>43886</v>
          </cell>
        </row>
        <row r="1811">
          <cell r="A1811">
            <v>43743</v>
          </cell>
        </row>
        <row r="1812">
          <cell r="A1812">
            <v>43221</v>
          </cell>
        </row>
        <row r="1813">
          <cell r="A1813">
            <v>43234</v>
          </cell>
        </row>
        <row r="1814">
          <cell r="A1814">
            <v>43695</v>
          </cell>
        </row>
        <row r="1815">
          <cell r="A1815">
            <v>43696</v>
          </cell>
        </row>
        <row r="1816">
          <cell r="A1816">
            <v>43719</v>
          </cell>
        </row>
        <row r="1817">
          <cell r="A1817">
            <v>43354</v>
          </cell>
        </row>
        <row r="1818">
          <cell r="A1818">
            <v>43124</v>
          </cell>
        </row>
        <row r="1819">
          <cell r="A1819">
            <v>43798</v>
          </cell>
        </row>
        <row r="1820">
          <cell r="A1820">
            <v>43480</v>
          </cell>
        </row>
        <row r="1821">
          <cell r="A1821">
            <v>43168</v>
          </cell>
        </row>
        <row r="1822">
          <cell r="A1822">
            <v>43483</v>
          </cell>
        </row>
        <row r="1823">
          <cell r="A1823">
            <v>43425</v>
          </cell>
        </row>
        <row r="1824">
          <cell r="A1824">
            <v>43343</v>
          </cell>
        </row>
        <row r="1825">
          <cell r="A1825">
            <v>43740</v>
          </cell>
        </row>
        <row r="1826">
          <cell r="A1826">
            <v>43126</v>
          </cell>
        </row>
        <row r="1827">
          <cell r="A1827">
            <v>43275</v>
          </cell>
        </row>
        <row r="1828">
          <cell r="A1828">
            <v>43756</v>
          </cell>
        </row>
        <row r="1829">
          <cell r="A1829">
            <v>43580</v>
          </cell>
        </row>
        <row r="1830">
          <cell r="A1830">
            <v>43538</v>
          </cell>
        </row>
        <row r="1831">
          <cell r="A1831">
            <v>43266</v>
          </cell>
        </row>
        <row r="1832">
          <cell r="A1832">
            <v>43871</v>
          </cell>
        </row>
        <row r="1833">
          <cell r="A1833">
            <v>43426</v>
          </cell>
        </row>
        <row r="1834">
          <cell r="A1834">
            <v>43280</v>
          </cell>
        </row>
        <row r="1835">
          <cell r="A1835">
            <v>43459</v>
          </cell>
        </row>
        <row r="1836">
          <cell r="A1836">
            <v>43145</v>
          </cell>
        </row>
        <row r="1837">
          <cell r="A1837">
            <v>43759</v>
          </cell>
        </row>
        <row r="1838">
          <cell r="A1838">
            <v>43300</v>
          </cell>
        </row>
        <row r="1839">
          <cell r="A1839">
            <v>43244</v>
          </cell>
        </row>
        <row r="1840">
          <cell r="A1840">
            <v>43820</v>
          </cell>
        </row>
        <row r="1841">
          <cell r="A1841">
            <v>43412</v>
          </cell>
        </row>
        <row r="1842">
          <cell r="A1842">
            <v>43503</v>
          </cell>
        </row>
        <row r="1843">
          <cell r="A1843">
            <v>43786</v>
          </cell>
        </row>
        <row r="1844">
          <cell r="A1844">
            <v>43237</v>
          </cell>
        </row>
        <row r="1845">
          <cell r="A1845">
            <v>43635</v>
          </cell>
        </row>
        <row r="1846">
          <cell r="A1846">
            <v>43354</v>
          </cell>
        </row>
        <row r="1847">
          <cell r="A1847">
            <v>43347</v>
          </cell>
        </row>
        <row r="1848">
          <cell r="A1848">
            <v>43543</v>
          </cell>
        </row>
        <row r="1849">
          <cell r="A1849">
            <v>43590</v>
          </cell>
        </row>
        <row r="1850">
          <cell r="A1850">
            <v>43432</v>
          </cell>
        </row>
        <row r="1851">
          <cell r="A1851">
            <v>43863</v>
          </cell>
        </row>
        <row r="1852">
          <cell r="A1852">
            <v>43123</v>
          </cell>
        </row>
        <row r="1853">
          <cell r="A1853">
            <v>43395</v>
          </cell>
        </row>
        <row r="1854">
          <cell r="A1854">
            <v>43467</v>
          </cell>
        </row>
        <row r="1855">
          <cell r="A1855">
            <v>43635</v>
          </cell>
        </row>
        <row r="1856">
          <cell r="A1856">
            <v>43507</v>
          </cell>
        </row>
        <row r="1857">
          <cell r="A1857">
            <v>43166</v>
          </cell>
        </row>
        <row r="1858">
          <cell r="A1858">
            <v>43473</v>
          </cell>
        </row>
        <row r="1859">
          <cell r="A1859">
            <v>43247</v>
          </cell>
        </row>
        <row r="1860">
          <cell r="A1860">
            <v>43135</v>
          </cell>
        </row>
        <row r="1861">
          <cell r="A1861">
            <v>43366</v>
          </cell>
        </row>
        <row r="1862">
          <cell r="A1862">
            <v>43147</v>
          </cell>
        </row>
        <row r="1863">
          <cell r="A1863">
            <v>43466</v>
          </cell>
        </row>
        <row r="1864">
          <cell r="A1864">
            <v>43832</v>
          </cell>
        </row>
        <row r="1865">
          <cell r="A1865">
            <v>43476</v>
          </cell>
        </row>
        <row r="1866">
          <cell r="A1866">
            <v>43747</v>
          </cell>
        </row>
        <row r="1867">
          <cell r="A1867">
            <v>43518</v>
          </cell>
        </row>
        <row r="1868">
          <cell r="A1868">
            <v>43708</v>
          </cell>
        </row>
        <row r="1869">
          <cell r="A1869">
            <v>43210</v>
          </cell>
        </row>
        <row r="1870">
          <cell r="A1870">
            <v>43291</v>
          </cell>
        </row>
        <row r="1871">
          <cell r="A1871">
            <v>43296</v>
          </cell>
        </row>
        <row r="1872">
          <cell r="A1872">
            <v>43431</v>
          </cell>
        </row>
        <row r="1873">
          <cell r="A1873">
            <v>43615</v>
          </cell>
        </row>
        <row r="1874">
          <cell r="A1874">
            <v>43169</v>
          </cell>
        </row>
        <row r="1875">
          <cell r="A1875">
            <v>43664</v>
          </cell>
        </row>
        <row r="1876">
          <cell r="A1876">
            <v>43917</v>
          </cell>
        </row>
        <row r="1877">
          <cell r="A1877">
            <v>43795</v>
          </cell>
        </row>
        <row r="1878">
          <cell r="A1878">
            <v>43426</v>
          </cell>
        </row>
        <row r="1879">
          <cell r="A1879">
            <v>43438</v>
          </cell>
        </row>
        <row r="1880">
          <cell r="A1880">
            <v>43270</v>
          </cell>
        </row>
        <row r="1881">
          <cell r="A1881">
            <v>43730</v>
          </cell>
        </row>
        <row r="1882">
          <cell r="A1882">
            <v>43341</v>
          </cell>
        </row>
        <row r="1883">
          <cell r="A1883">
            <v>43596</v>
          </cell>
        </row>
        <row r="1884">
          <cell r="A1884">
            <v>43259</v>
          </cell>
        </row>
        <row r="1885">
          <cell r="A1885">
            <v>43901</v>
          </cell>
        </row>
        <row r="1886">
          <cell r="A1886">
            <v>43680</v>
          </cell>
        </row>
        <row r="1887">
          <cell r="A1887">
            <v>43733</v>
          </cell>
        </row>
        <row r="1888">
          <cell r="A1888">
            <v>43282</v>
          </cell>
        </row>
        <row r="1889">
          <cell r="A1889">
            <v>43669</v>
          </cell>
        </row>
        <row r="1890">
          <cell r="A1890">
            <v>43267</v>
          </cell>
        </row>
        <row r="1891">
          <cell r="A1891">
            <v>43869</v>
          </cell>
        </row>
        <row r="1892">
          <cell r="A1892">
            <v>43880</v>
          </cell>
        </row>
        <row r="1893">
          <cell r="A1893">
            <v>43263</v>
          </cell>
        </row>
        <row r="1894">
          <cell r="A1894">
            <v>43473</v>
          </cell>
        </row>
        <row r="1895">
          <cell r="A1895">
            <v>43148</v>
          </cell>
        </row>
        <row r="1896">
          <cell r="A1896">
            <v>43251</v>
          </cell>
        </row>
        <row r="1897">
          <cell r="A1897">
            <v>43849</v>
          </cell>
        </row>
        <row r="1898">
          <cell r="A1898">
            <v>43322</v>
          </cell>
        </row>
        <row r="1899">
          <cell r="A1899">
            <v>43333</v>
          </cell>
        </row>
        <row r="1900">
          <cell r="A1900">
            <v>43327</v>
          </cell>
        </row>
        <row r="1901">
          <cell r="A1901">
            <v>43354</v>
          </cell>
        </row>
        <row r="1902">
          <cell r="A1902">
            <v>43490</v>
          </cell>
        </row>
        <row r="1903">
          <cell r="A1903">
            <v>43517</v>
          </cell>
        </row>
        <row r="1904">
          <cell r="A1904">
            <v>43160</v>
          </cell>
        </row>
        <row r="1905">
          <cell r="A1905">
            <v>43436</v>
          </cell>
        </row>
        <row r="1906">
          <cell r="A1906">
            <v>43648</v>
          </cell>
        </row>
        <row r="1907">
          <cell r="A1907">
            <v>43327</v>
          </cell>
        </row>
        <row r="1908">
          <cell r="A1908">
            <v>43183</v>
          </cell>
        </row>
        <row r="1909">
          <cell r="A1909">
            <v>43199</v>
          </cell>
        </row>
        <row r="1910">
          <cell r="A1910">
            <v>43331</v>
          </cell>
        </row>
        <row r="1911">
          <cell r="A1911">
            <v>43145</v>
          </cell>
        </row>
        <row r="1912">
          <cell r="A1912">
            <v>43892</v>
          </cell>
        </row>
        <row r="1913">
          <cell r="A1913">
            <v>43268</v>
          </cell>
        </row>
        <row r="1914">
          <cell r="A1914">
            <v>43783</v>
          </cell>
        </row>
        <row r="1915">
          <cell r="A1915">
            <v>43635</v>
          </cell>
        </row>
        <row r="1916">
          <cell r="A1916">
            <v>43114</v>
          </cell>
        </row>
        <row r="1917">
          <cell r="A1917">
            <v>43870</v>
          </cell>
        </row>
        <row r="1918">
          <cell r="A1918">
            <v>43457</v>
          </cell>
        </row>
        <row r="1919">
          <cell r="A1919">
            <v>43407</v>
          </cell>
        </row>
        <row r="1920">
          <cell r="A1920">
            <v>43835</v>
          </cell>
        </row>
        <row r="1921">
          <cell r="A1921">
            <v>43439</v>
          </cell>
        </row>
        <row r="1922">
          <cell r="A1922">
            <v>43494</v>
          </cell>
        </row>
        <row r="1923">
          <cell r="A1923">
            <v>43252</v>
          </cell>
        </row>
        <row r="1924">
          <cell r="A1924">
            <v>43907</v>
          </cell>
        </row>
        <row r="1925">
          <cell r="A1925">
            <v>43427</v>
          </cell>
        </row>
        <row r="1926">
          <cell r="A1926">
            <v>43488</v>
          </cell>
        </row>
        <row r="1927">
          <cell r="A1927">
            <v>43385</v>
          </cell>
        </row>
        <row r="1928">
          <cell r="A1928">
            <v>43252</v>
          </cell>
        </row>
        <row r="1929">
          <cell r="A1929">
            <v>43878</v>
          </cell>
        </row>
        <row r="1930">
          <cell r="A1930">
            <v>43794</v>
          </cell>
        </row>
        <row r="1931">
          <cell r="A1931">
            <v>43619</v>
          </cell>
        </row>
        <row r="1932">
          <cell r="A1932">
            <v>43115</v>
          </cell>
        </row>
        <row r="1933">
          <cell r="A1933">
            <v>43238</v>
          </cell>
        </row>
        <row r="1934">
          <cell r="A1934">
            <v>43242</v>
          </cell>
        </row>
        <row r="1935">
          <cell r="A1935">
            <v>43551</v>
          </cell>
        </row>
        <row r="1936">
          <cell r="A1936">
            <v>43370</v>
          </cell>
        </row>
        <row r="1937">
          <cell r="A1937">
            <v>43761</v>
          </cell>
        </row>
        <row r="1938">
          <cell r="A1938">
            <v>43120</v>
          </cell>
        </row>
        <row r="1939">
          <cell r="A1939">
            <v>43121</v>
          </cell>
        </row>
        <row r="1940">
          <cell r="A1940">
            <v>43682</v>
          </cell>
        </row>
        <row r="1941">
          <cell r="A1941">
            <v>43605</v>
          </cell>
        </row>
        <row r="1942">
          <cell r="A1942">
            <v>43460</v>
          </cell>
        </row>
        <row r="1943">
          <cell r="A1943">
            <v>43805</v>
          </cell>
        </row>
        <row r="1944">
          <cell r="A1944">
            <v>43820</v>
          </cell>
        </row>
        <row r="1945">
          <cell r="A1945">
            <v>43682</v>
          </cell>
        </row>
        <row r="1946">
          <cell r="A1946">
            <v>43571</v>
          </cell>
        </row>
        <row r="1947">
          <cell r="A1947">
            <v>43752</v>
          </cell>
        </row>
        <row r="1948">
          <cell r="A1948">
            <v>43477</v>
          </cell>
        </row>
        <row r="1949">
          <cell r="A1949">
            <v>43504</v>
          </cell>
        </row>
        <row r="1950">
          <cell r="A1950">
            <v>43182</v>
          </cell>
        </row>
        <row r="1951">
          <cell r="A1951">
            <v>43474</v>
          </cell>
        </row>
        <row r="1952">
          <cell r="A1952">
            <v>43810</v>
          </cell>
        </row>
        <row r="1953">
          <cell r="A1953">
            <v>43726</v>
          </cell>
        </row>
        <row r="1954">
          <cell r="A1954">
            <v>43308</v>
          </cell>
        </row>
        <row r="1955">
          <cell r="A1955">
            <v>43369</v>
          </cell>
        </row>
        <row r="1956">
          <cell r="A1956">
            <v>43377</v>
          </cell>
        </row>
        <row r="1957">
          <cell r="A1957">
            <v>43166</v>
          </cell>
        </row>
        <row r="1958">
          <cell r="A1958">
            <v>43602</v>
          </cell>
        </row>
        <row r="1959">
          <cell r="A1959">
            <v>43730</v>
          </cell>
        </row>
        <row r="1960">
          <cell r="A1960">
            <v>43770</v>
          </cell>
        </row>
        <row r="1961">
          <cell r="A1961">
            <v>43457</v>
          </cell>
        </row>
        <row r="1962">
          <cell r="A1962">
            <v>43818</v>
          </cell>
        </row>
        <row r="1963">
          <cell r="A1963">
            <v>43703</v>
          </cell>
        </row>
        <row r="1964">
          <cell r="A1964">
            <v>43753</v>
          </cell>
        </row>
        <row r="1965">
          <cell r="A1965">
            <v>43745</v>
          </cell>
        </row>
        <row r="1966">
          <cell r="A1966">
            <v>43919</v>
          </cell>
        </row>
        <row r="1967">
          <cell r="A1967">
            <v>43480</v>
          </cell>
        </row>
        <row r="1968">
          <cell r="A1968">
            <v>43639</v>
          </cell>
        </row>
        <row r="1969">
          <cell r="A1969">
            <v>43713</v>
          </cell>
        </row>
        <row r="1970">
          <cell r="A1970">
            <v>43434</v>
          </cell>
        </row>
        <row r="1971">
          <cell r="A1971">
            <v>43308</v>
          </cell>
        </row>
        <row r="1972">
          <cell r="A1972">
            <v>43643</v>
          </cell>
        </row>
        <row r="1973">
          <cell r="A1973">
            <v>43521</v>
          </cell>
        </row>
        <row r="1974">
          <cell r="A1974">
            <v>43444</v>
          </cell>
        </row>
        <row r="1975">
          <cell r="A1975">
            <v>43606</v>
          </cell>
        </row>
        <row r="1976">
          <cell r="A1976">
            <v>43217</v>
          </cell>
        </row>
        <row r="1977">
          <cell r="A1977">
            <v>43177</v>
          </cell>
        </row>
        <row r="1978">
          <cell r="A1978">
            <v>43170</v>
          </cell>
        </row>
        <row r="1979">
          <cell r="A1979">
            <v>43298</v>
          </cell>
        </row>
        <row r="1980">
          <cell r="A1980">
            <v>43419</v>
          </cell>
        </row>
        <row r="1981">
          <cell r="A1981">
            <v>43525</v>
          </cell>
        </row>
        <row r="1982">
          <cell r="A1982">
            <v>43199</v>
          </cell>
        </row>
        <row r="1983">
          <cell r="A1983">
            <v>43624</v>
          </cell>
        </row>
        <row r="1984">
          <cell r="A1984">
            <v>43850</v>
          </cell>
        </row>
        <row r="1985">
          <cell r="A1985">
            <v>43231</v>
          </cell>
        </row>
        <row r="1986">
          <cell r="A1986">
            <v>43595</v>
          </cell>
        </row>
        <row r="1987">
          <cell r="A1987">
            <v>43903</v>
          </cell>
        </row>
        <row r="1988">
          <cell r="A1988">
            <v>43609</v>
          </cell>
        </row>
        <row r="1989">
          <cell r="A1989">
            <v>43507</v>
          </cell>
        </row>
        <row r="1990">
          <cell r="A1990">
            <v>43597</v>
          </cell>
        </row>
        <row r="1991">
          <cell r="A1991">
            <v>43254</v>
          </cell>
        </row>
        <row r="1992">
          <cell r="A1992">
            <v>43248</v>
          </cell>
        </row>
        <row r="1993">
          <cell r="A1993">
            <v>43731</v>
          </cell>
        </row>
        <row r="1994">
          <cell r="A1994">
            <v>43428</v>
          </cell>
        </row>
        <row r="1995">
          <cell r="A1995">
            <v>43752</v>
          </cell>
        </row>
        <row r="1996">
          <cell r="A1996">
            <v>43499</v>
          </cell>
        </row>
        <row r="1997">
          <cell r="A1997">
            <v>43451</v>
          </cell>
        </row>
        <row r="1998">
          <cell r="A1998">
            <v>43661</v>
          </cell>
        </row>
        <row r="1999">
          <cell r="A1999">
            <v>43665</v>
          </cell>
        </row>
        <row r="2000">
          <cell r="A2000">
            <v>43131</v>
          </cell>
        </row>
        <row r="2001">
          <cell r="A2001">
            <v>43914</v>
          </cell>
        </row>
        <row r="2002">
          <cell r="A2002">
            <v>43763</v>
          </cell>
        </row>
        <row r="2003">
          <cell r="A2003">
            <v>43594</v>
          </cell>
        </row>
        <row r="2004">
          <cell r="A2004">
            <v>43485</v>
          </cell>
        </row>
        <row r="2005">
          <cell r="A2005">
            <v>43286</v>
          </cell>
        </row>
        <row r="2006">
          <cell r="A2006">
            <v>43533</v>
          </cell>
        </row>
        <row r="2007">
          <cell r="A2007">
            <v>43112</v>
          </cell>
        </row>
        <row r="2008">
          <cell r="A2008">
            <v>43234</v>
          </cell>
        </row>
        <row r="2009">
          <cell r="A2009">
            <v>43581</v>
          </cell>
        </row>
        <row r="2010">
          <cell r="A2010">
            <v>43148</v>
          </cell>
        </row>
        <row r="2011">
          <cell r="A2011">
            <v>43163</v>
          </cell>
        </row>
        <row r="2012">
          <cell r="A2012">
            <v>43276</v>
          </cell>
        </row>
        <row r="2013">
          <cell r="A2013">
            <v>43878</v>
          </cell>
        </row>
        <row r="2014">
          <cell r="A2014">
            <v>43154</v>
          </cell>
        </row>
        <row r="2015">
          <cell r="A2015">
            <v>43167</v>
          </cell>
        </row>
        <row r="2016">
          <cell r="A2016">
            <v>43816</v>
          </cell>
        </row>
        <row r="2017">
          <cell r="A2017">
            <v>43855</v>
          </cell>
        </row>
        <row r="2018">
          <cell r="A2018">
            <v>43767</v>
          </cell>
        </row>
        <row r="2019">
          <cell r="A2019">
            <v>43373</v>
          </cell>
        </row>
        <row r="2020">
          <cell r="A2020">
            <v>43537</v>
          </cell>
        </row>
        <row r="2021">
          <cell r="A2021">
            <v>43103</v>
          </cell>
        </row>
        <row r="2022">
          <cell r="A2022">
            <v>43823</v>
          </cell>
        </row>
        <row r="2023">
          <cell r="A2023">
            <v>43316</v>
          </cell>
        </row>
        <row r="2024">
          <cell r="A2024">
            <v>43898</v>
          </cell>
        </row>
        <row r="2025">
          <cell r="A2025">
            <v>43726</v>
          </cell>
        </row>
        <row r="2026">
          <cell r="A2026">
            <v>43259</v>
          </cell>
        </row>
        <row r="2027">
          <cell r="A2027">
            <v>43730</v>
          </cell>
        </row>
        <row r="2028">
          <cell r="A2028">
            <v>43484</v>
          </cell>
        </row>
        <row r="2029">
          <cell r="A2029">
            <v>43445</v>
          </cell>
        </row>
        <row r="2030">
          <cell r="A2030">
            <v>43225</v>
          </cell>
        </row>
        <row r="2031">
          <cell r="A2031">
            <v>43820</v>
          </cell>
        </row>
        <row r="2032">
          <cell r="A2032">
            <v>43798</v>
          </cell>
        </row>
        <row r="2033">
          <cell r="A2033">
            <v>43711</v>
          </cell>
        </row>
        <row r="2034">
          <cell r="A2034">
            <v>43168</v>
          </cell>
        </row>
        <row r="2035">
          <cell r="A2035">
            <v>43537</v>
          </cell>
        </row>
        <row r="2036">
          <cell r="A2036">
            <v>43316</v>
          </cell>
        </row>
        <row r="2037">
          <cell r="A2037">
            <v>43261</v>
          </cell>
        </row>
        <row r="2038">
          <cell r="A2038">
            <v>43346</v>
          </cell>
        </row>
        <row r="2039">
          <cell r="A2039">
            <v>43210</v>
          </cell>
        </row>
        <row r="2040">
          <cell r="A2040">
            <v>43613</v>
          </cell>
        </row>
        <row r="2041">
          <cell r="A2041">
            <v>43893</v>
          </cell>
        </row>
        <row r="2042">
          <cell r="A2042">
            <v>43290</v>
          </cell>
        </row>
        <row r="2043">
          <cell r="A2043">
            <v>43884</v>
          </cell>
        </row>
        <row r="2044">
          <cell r="A2044">
            <v>43480</v>
          </cell>
        </row>
        <row r="2045">
          <cell r="A2045">
            <v>43819</v>
          </cell>
        </row>
        <row r="2046">
          <cell r="A2046">
            <v>43457</v>
          </cell>
        </row>
        <row r="2047">
          <cell r="A2047">
            <v>43702</v>
          </cell>
        </row>
        <row r="2048">
          <cell r="A2048">
            <v>43256</v>
          </cell>
        </row>
        <row r="2049">
          <cell r="A2049">
            <v>43358</v>
          </cell>
        </row>
        <row r="2050">
          <cell r="A2050">
            <v>43181</v>
          </cell>
        </row>
        <row r="2051">
          <cell r="A2051">
            <v>43348</v>
          </cell>
        </row>
        <row r="2052">
          <cell r="A2052">
            <v>43455</v>
          </cell>
        </row>
        <row r="2053">
          <cell r="A2053">
            <v>43274</v>
          </cell>
        </row>
        <row r="2054">
          <cell r="A2054">
            <v>43412</v>
          </cell>
        </row>
        <row r="2055">
          <cell r="A2055">
            <v>43142</v>
          </cell>
        </row>
        <row r="2056">
          <cell r="A2056">
            <v>43650</v>
          </cell>
        </row>
        <row r="2057">
          <cell r="A2057">
            <v>43575</v>
          </cell>
        </row>
        <row r="2058">
          <cell r="A2058">
            <v>43282</v>
          </cell>
        </row>
        <row r="2059">
          <cell r="A2059">
            <v>43692</v>
          </cell>
        </row>
        <row r="2060">
          <cell r="A2060">
            <v>43471</v>
          </cell>
        </row>
        <row r="2061">
          <cell r="A2061">
            <v>43810</v>
          </cell>
        </row>
        <row r="2062">
          <cell r="A2062">
            <v>43160</v>
          </cell>
        </row>
        <row r="2063">
          <cell r="A2063">
            <v>43368</v>
          </cell>
        </row>
        <row r="2064">
          <cell r="A2064">
            <v>43410</v>
          </cell>
        </row>
        <row r="2065">
          <cell r="A2065">
            <v>43773</v>
          </cell>
        </row>
        <row r="2066">
          <cell r="A2066">
            <v>43494</v>
          </cell>
        </row>
        <row r="2067">
          <cell r="A2067">
            <v>43793</v>
          </cell>
        </row>
        <row r="2068">
          <cell r="A2068">
            <v>43123</v>
          </cell>
        </row>
        <row r="2069">
          <cell r="A2069">
            <v>43572</v>
          </cell>
        </row>
        <row r="2070">
          <cell r="A2070">
            <v>43242</v>
          </cell>
        </row>
        <row r="2071">
          <cell r="A2071">
            <v>43239</v>
          </cell>
        </row>
        <row r="2072">
          <cell r="A2072">
            <v>43402</v>
          </cell>
        </row>
        <row r="2073">
          <cell r="A2073">
            <v>43912</v>
          </cell>
        </row>
        <row r="2074">
          <cell r="A2074">
            <v>43415</v>
          </cell>
        </row>
        <row r="2075">
          <cell r="A2075">
            <v>43659</v>
          </cell>
        </row>
        <row r="2076">
          <cell r="A2076">
            <v>43887</v>
          </cell>
        </row>
        <row r="2077">
          <cell r="A2077">
            <v>43652</v>
          </cell>
        </row>
        <row r="2078">
          <cell r="A2078">
            <v>43751</v>
          </cell>
        </row>
        <row r="2079">
          <cell r="A2079">
            <v>43479</v>
          </cell>
        </row>
        <row r="2080">
          <cell r="A2080">
            <v>43239</v>
          </cell>
        </row>
        <row r="2081">
          <cell r="A2081">
            <v>43602</v>
          </cell>
        </row>
        <row r="2082">
          <cell r="A2082">
            <v>43564</v>
          </cell>
        </row>
        <row r="2083">
          <cell r="A2083">
            <v>43694</v>
          </cell>
        </row>
        <row r="2084">
          <cell r="A2084">
            <v>43771</v>
          </cell>
        </row>
        <row r="2085">
          <cell r="A2085">
            <v>43853</v>
          </cell>
        </row>
        <row r="2086">
          <cell r="A2086">
            <v>43866</v>
          </cell>
        </row>
        <row r="2087">
          <cell r="A2087">
            <v>43898</v>
          </cell>
        </row>
        <row r="2088">
          <cell r="A2088">
            <v>43211</v>
          </cell>
        </row>
        <row r="2089">
          <cell r="A2089">
            <v>43831</v>
          </cell>
        </row>
        <row r="2090">
          <cell r="A2090">
            <v>43620</v>
          </cell>
        </row>
        <row r="2091">
          <cell r="A2091">
            <v>43684</v>
          </cell>
        </row>
        <row r="2092">
          <cell r="A2092">
            <v>43458</v>
          </cell>
        </row>
        <row r="2093">
          <cell r="A2093">
            <v>43899</v>
          </cell>
        </row>
        <row r="2094">
          <cell r="A2094">
            <v>43271</v>
          </cell>
        </row>
        <row r="2095">
          <cell r="A2095">
            <v>43844</v>
          </cell>
        </row>
        <row r="2096">
          <cell r="A2096">
            <v>43812</v>
          </cell>
        </row>
        <row r="2097">
          <cell r="A2097">
            <v>43362</v>
          </cell>
        </row>
        <row r="2098">
          <cell r="A2098">
            <v>43511</v>
          </cell>
        </row>
        <row r="2099">
          <cell r="A2099">
            <v>43205</v>
          </cell>
        </row>
        <row r="2100">
          <cell r="A2100">
            <v>43717</v>
          </cell>
        </row>
        <row r="2101">
          <cell r="A2101">
            <v>43891</v>
          </cell>
        </row>
        <row r="2102">
          <cell r="A2102">
            <v>43886</v>
          </cell>
        </row>
        <row r="2103">
          <cell r="A2103">
            <v>43734</v>
          </cell>
        </row>
        <row r="2104">
          <cell r="A2104">
            <v>43873</v>
          </cell>
        </row>
        <row r="2105">
          <cell r="A2105">
            <v>43387</v>
          </cell>
        </row>
        <row r="2106">
          <cell r="A2106">
            <v>43718</v>
          </cell>
        </row>
        <row r="2107">
          <cell r="A2107">
            <v>43322</v>
          </cell>
        </row>
        <row r="2108">
          <cell r="A2108">
            <v>43631</v>
          </cell>
        </row>
        <row r="2109">
          <cell r="A2109">
            <v>43247</v>
          </cell>
        </row>
        <row r="2110">
          <cell r="A2110">
            <v>43823</v>
          </cell>
        </row>
        <row r="2111">
          <cell r="A2111">
            <v>43123</v>
          </cell>
        </row>
        <row r="2112">
          <cell r="A2112">
            <v>43732</v>
          </cell>
        </row>
        <row r="2113">
          <cell r="A2113">
            <v>43882</v>
          </cell>
        </row>
        <row r="2114">
          <cell r="A2114">
            <v>43196</v>
          </cell>
        </row>
        <row r="2115">
          <cell r="A2115">
            <v>43860</v>
          </cell>
        </row>
        <row r="2116">
          <cell r="A2116">
            <v>43162</v>
          </cell>
        </row>
        <row r="2117">
          <cell r="A2117">
            <v>43141</v>
          </cell>
        </row>
        <row r="2118">
          <cell r="A2118">
            <v>43463</v>
          </cell>
        </row>
        <row r="2119">
          <cell r="A2119">
            <v>43408</v>
          </cell>
        </row>
        <row r="2120">
          <cell r="A2120">
            <v>43501</v>
          </cell>
        </row>
        <row r="2121">
          <cell r="A2121">
            <v>43747</v>
          </cell>
        </row>
        <row r="2122">
          <cell r="A2122">
            <v>43220</v>
          </cell>
        </row>
        <row r="2123">
          <cell r="A2123">
            <v>43541</v>
          </cell>
        </row>
        <row r="2124">
          <cell r="A2124">
            <v>43361</v>
          </cell>
        </row>
        <row r="2125">
          <cell r="A2125">
            <v>43741</v>
          </cell>
        </row>
        <row r="2126">
          <cell r="A2126">
            <v>43414</v>
          </cell>
        </row>
        <row r="2127">
          <cell r="A2127">
            <v>43339</v>
          </cell>
        </row>
        <row r="2128">
          <cell r="A2128">
            <v>43710</v>
          </cell>
        </row>
        <row r="2129">
          <cell r="A2129">
            <v>43250</v>
          </cell>
        </row>
        <row r="2130">
          <cell r="A2130">
            <v>43487</v>
          </cell>
        </row>
        <row r="2131">
          <cell r="A2131">
            <v>43324</v>
          </cell>
        </row>
        <row r="2132">
          <cell r="A2132">
            <v>43406</v>
          </cell>
        </row>
        <row r="2133">
          <cell r="A2133">
            <v>43555</v>
          </cell>
        </row>
        <row r="2134">
          <cell r="A2134">
            <v>43184</v>
          </cell>
        </row>
        <row r="2135">
          <cell r="A2135">
            <v>43137</v>
          </cell>
        </row>
        <row r="2136">
          <cell r="A2136">
            <v>43714</v>
          </cell>
        </row>
        <row r="2137">
          <cell r="A2137">
            <v>43715</v>
          </cell>
        </row>
        <row r="2138">
          <cell r="A2138">
            <v>43672</v>
          </cell>
        </row>
        <row r="2139">
          <cell r="A2139">
            <v>43690</v>
          </cell>
        </row>
        <row r="2140">
          <cell r="A2140">
            <v>43471</v>
          </cell>
        </row>
        <row r="2141">
          <cell r="A2141">
            <v>43180</v>
          </cell>
        </row>
        <row r="2142">
          <cell r="A2142">
            <v>43754</v>
          </cell>
        </row>
        <row r="2143">
          <cell r="A2143">
            <v>43614</v>
          </cell>
        </row>
        <row r="2144">
          <cell r="A2144">
            <v>43271</v>
          </cell>
        </row>
        <row r="2145">
          <cell r="A2145">
            <v>43168</v>
          </cell>
        </row>
        <row r="2146">
          <cell r="A2146">
            <v>43428</v>
          </cell>
        </row>
        <row r="2147">
          <cell r="A2147">
            <v>43163</v>
          </cell>
        </row>
        <row r="2148">
          <cell r="A2148">
            <v>43518</v>
          </cell>
        </row>
        <row r="2149">
          <cell r="A2149">
            <v>43600</v>
          </cell>
        </row>
        <row r="2150">
          <cell r="A2150">
            <v>43278</v>
          </cell>
        </row>
        <row r="2151">
          <cell r="A2151">
            <v>43228</v>
          </cell>
        </row>
        <row r="2152">
          <cell r="A2152">
            <v>43725</v>
          </cell>
        </row>
        <row r="2153">
          <cell r="A2153">
            <v>43462</v>
          </cell>
        </row>
        <row r="2154">
          <cell r="A2154">
            <v>43116</v>
          </cell>
        </row>
        <row r="2155">
          <cell r="A2155">
            <v>43611</v>
          </cell>
        </row>
        <row r="2156">
          <cell r="A2156">
            <v>43550</v>
          </cell>
        </row>
        <row r="2157">
          <cell r="A2157">
            <v>43826</v>
          </cell>
        </row>
        <row r="2158">
          <cell r="A2158">
            <v>43108</v>
          </cell>
        </row>
        <row r="2159">
          <cell r="A2159">
            <v>43244</v>
          </cell>
        </row>
        <row r="2160">
          <cell r="A2160">
            <v>43917</v>
          </cell>
        </row>
        <row r="2161">
          <cell r="A2161">
            <v>43440</v>
          </cell>
        </row>
        <row r="2162">
          <cell r="A2162">
            <v>43916</v>
          </cell>
        </row>
        <row r="2163">
          <cell r="A2163">
            <v>43343</v>
          </cell>
        </row>
        <row r="2164">
          <cell r="A2164">
            <v>43429</v>
          </cell>
        </row>
        <row r="2165">
          <cell r="A2165">
            <v>43291</v>
          </cell>
        </row>
        <row r="2166">
          <cell r="A2166">
            <v>43724</v>
          </cell>
        </row>
        <row r="2167">
          <cell r="A2167">
            <v>43357</v>
          </cell>
        </row>
        <row r="2168">
          <cell r="A2168">
            <v>43517</v>
          </cell>
        </row>
        <row r="2169">
          <cell r="A2169">
            <v>43327</v>
          </cell>
        </row>
        <row r="2170">
          <cell r="A2170">
            <v>43172</v>
          </cell>
        </row>
        <row r="2171">
          <cell r="A2171">
            <v>43901</v>
          </cell>
        </row>
        <row r="2172">
          <cell r="A2172">
            <v>43864</v>
          </cell>
        </row>
        <row r="2173">
          <cell r="A2173">
            <v>43906</v>
          </cell>
        </row>
        <row r="2174">
          <cell r="A2174">
            <v>43305</v>
          </cell>
        </row>
        <row r="2175">
          <cell r="A2175">
            <v>43855</v>
          </cell>
        </row>
        <row r="2176">
          <cell r="A2176">
            <v>43679</v>
          </cell>
        </row>
        <row r="2177">
          <cell r="A2177">
            <v>43283</v>
          </cell>
        </row>
        <row r="2178">
          <cell r="A2178">
            <v>43706</v>
          </cell>
        </row>
        <row r="2179">
          <cell r="A2179">
            <v>43697</v>
          </cell>
        </row>
        <row r="2180">
          <cell r="A2180">
            <v>43705</v>
          </cell>
        </row>
        <row r="2181">
          <cell r="A2181">
            <v>43421</v>
          </cell>
        </row>
        <row r="2182">
          <cell r="A2182">
            <v>43764</v>
          </cell>
        </row>
        <row r="2183">
          <cell r="A2183">
            <v>43432</v>
          </cell>
        </row>
        <row r="2184">
          <cell r="A2184">
            <v>43375</v>
          </cell>
        </row>
        <row r="2185">
          <cell r="A2185">
            <v>43907</v>
          </cell>
        </row>
        <row r="2186">
          <cell r="A2186">
            <v>43625</v>
          </cell>
        </row>
        <row r="2187">
          <cell r="A2187">
            <v>43455</v>
          </cell>
        </row>
        <row r="2188">
          <cell r="A2188">
            <v>43147</v>
          </cell>
        </row>
        <row r="2189">
          <cell r="A2189">
            <v>43688</v>
          </cell>
        </row>
        <row r="2190">
          <cell r="A2190">
            <v>43766</v>
          </cell>
        </row>
        <row r="2191">
          <cell r="A2191">
            <v>43411</v>
          </cell>
        </row>
        <row r="2192">
          <cell r="A2192">
            <v>43340</v>
          </cell>
        </row>
        <row r="2193">
          <cell r="A2193">
            <v>43758</v>
          </cell>
        </row>
        <row r="2194">
          <cell r="A2194">
            <v>43595</v>
          </cell>
        </row>
        <row r="2195">
          <cell r="A2195">
            <v>43663</v>
          </cell>
        </row>
        <row r="2196">
          <cell r="A2196">
            <v>43339</v>
          </cell>
        </row>
        <row r="2197">
          <cell r="A2197">
            <v>43214</v>
          </cell>
        </row>
        <row r="2198">
          <cell r="A2198">
            <v>43618</v>
          </cell>
        </row>
        <row r="2199">
          <cell r="A2199">
            <v>43589</v>
          </cell>
        </row>
        <row r="2200">
          <cell r="A2200">
            <v>43905</v>
          </cell>
        </row>
        <row r="2201">
          <cell r="A2201">
            <v>43249</v>
          </cell>
        </row>
        <row r="2202">
          <cell r="A2202">
            <v>43693</v>
          </cell>
        </row>
        <row r="2203">
          <cell r="A2203">
            <v>43341</v>
          </cell>
        </row>
        <row r="2204">
          <cell r="A2204">
            <v>43724</v>
          </cell>
        </row>
        <row r="2205">
          <cell r="A2205">
            <v>43852</v>
          </cell>
        </row>
        <row r="2206">
          <cell r="A2206">
            <v>43698</v>
          </cell>
        </row>
        <row r="2207">
          <cell r="A2207">
            <v>43123</v>
          </cell>
        </row>
        <row r="2208">
          <cell r="A2208">
            <v>43733</v>
          </cell>
        </row>
        <row r="2209">
          <cell r="A2209">
            <v>43389</v>
          </cell>
        </row>
        <row r="2210">
          <cell r="A2210">
            <v>43750</v>
          </cell>
        </row>
        <row r="2211">
          <cell r="A2211">
            <v>43451</v>
          </cell>
        </row>
        <row r="2212">
          <cell r="A2212">
            <v>43729</v>
          </cell>
        </row>
        <row r="2213">
          <cell r="A2213">
            <v>43884</v>
          </cell>
        </row>
        <row r="2214">
          <cell r="A2214">
            <v>43761</v>
          </cell>
        </row>
        <row r="2215">
          <cell r="A2215">
            <v>43849</v>
          </cell>
        </row>
        <row r="2216">
          <cell r="A2216">
            <v>43141</v>
          </cell>
        </row>
        <row r="2217">
          <cell r="A2217">
            <v>43444</v>
          </cell>
        </row>
        <row r="2218">
          <cell r="A2218">
            <v>43718</v>
          </cell>
        </row>
        <row r="2219">
          <cell r="A2219">
            <v>43577</v>
          </cell>
        </row>
        <row r="2220">
          <cell r="A2220">
            <v>43583</v>
          </cell>
        </row>
        <row r="2221">
          <cell r="A2221">
            <v>43526</v>
          </cell>
        </row>
        <row r="2222">
          <cell r="A2222">
            <v>43136</v>
          </cell>
        </row>
        <row r="2223">
          <cell r="A2223">
            <v>43809</v>
          </cell>
        </row>
        <row r="2224">
          <cell r="A2224">
            <v>43805</v>
          </cell>
        </row>
        <row r="2225">
          <cell r="A2225">
            <v>43864</v>
          </cell>
        </row>
        <row r="2226">
          <cell r="A2226">
            <v>43261</v>
          </cell>
        </row>
        <row r="2227">
          <cell r="A2227">
            <v>43396</v>
          </cell>
        </row>
        <row r="2228">
          <cell r="A2228">
            <v>43433</v>
          </cell>
        </row>
        <row r="2229">
          <cell r="A2229">
            <v>43734</v>
          </cell>
        </row>
        <row r="2230">
          <cell r="A2230">
            <v>43771</v>
          </cell>
        </row>
        <row r="2231">
          <cell r="A2231">
            <v>43586</v>
          </cell>
        </row>
        <row r="2232">
          <cell r="A2232">
            <v>43119</v>
          </cell>
        </row>
        <row r="2233">
          <cell r="A2233">
            <v>43230</v>
          </cell>
        </row>
        <row r="2234">
          <cell r="A2234">
            <v>43588</v>
          </cell>
        </row>
        <row r="2235">
          <cell r="A2235">
            <v>43708</v>
          </cell>
        </row>
        <row r="2236">
          <cell r="A2236">
            <v>43354</v>
          </cell>
        </row>
        <row r="2237">
          <cell r="A2237">
            <v>43397</v>
          </cell>
        </row>
        <row r="2238">
          <cell r="A2238">
            <v>43129</v>
          </cell>
        </row>
        <row r="2239">
          <cell r="A2239">
            <v>43411</v>
          </cell>
        </row>
        <row r="2240">
          <cell r="A2240">
            <v>43553</v>
          </cell>
        </row>
        <row r="2241">
          <cell r="A2241">
            <v>43720</v>
          </cell>
        </row>
        <row r="2242">
          <cell r="A2242">
            <v>43596</v>
          </cell>
        </row>
        <row r="2243">
          <cell r="A2243">
            <v>43579</v>
          </cell>
        </row>
        <row r="2244">
          <cell r="A2244">
            <v>43633</v>
          </cell>
        </row>
        <row r="2245">
          <cell r="A2245">
            <v>43188</v>
          </cell>
        </row>
        <row r="2246">
          <cell r="A2246">
            <v>43359</v>
          </cell>
        </row>
        <row r="2247">
          <cell r="A2247">
            <v>43308</v>
          </cell>
        </row>
        <row r="2248">
          <cell r="A2248">
            <v>43391</v>
          </cell>
        </row>
        <row r="2249">
          <cell r="A2249">
            <v>43521</v>
          </cell>
        </row>
        <row r="2250">
          <cell r="A2250">
            <v>43427</v>
          </cell>
        </row>
        <row r="2251">
          <cell r="A2251">
            <v>43616</v>
          </cell>
        </row>
        <row r="2252">
          <cell r="A2252">
            <v>43740</v>
          </cell>
        </row>
        <row r="2253">
          <cell r="A2253">
            <v>43189</v>
          </cell>
        </row>
        <row r="2254">
          <cell r="A2254">
            <v>43787</v>
          </cell>
        </row>
        <row r="2255">
          <cell r="A2255">
            <v>43652</v>
          </cell>
        </row>
        <row r="2256">
          <cell r="A2256">
            <v>43210</v>
          </cell>
        </row>
        <row r="2257">
          <cell r="A2257">
            <v>43906</v>
          </cell>
        </row>
        <row r="2258">
          <cell r="A2258">
            <v>43346</v>
          </cell>
        </row>
        <row r="2259">
          <cell r="A2259">
            <v>43183</v>
          </cell>
        </row>
        <row r="2260">
          <cell r="A2260">
            <v>43626</v>
          </cell>
        </row>
        <row r="2261">
          <cell r="A2261">
            <v>43424</v>
          </cell>
        </row>
        <row r="2262">
          <cell r="A2262">
            <v>43794</v>
          </cell>
        </row>
        <row r="2263">
          <cell r="A2263">
            <v>43172</v>
          </cell>
        </row>
        <row r="2264">
          <cell r="A2264">
            <v>43441</v>
          </cell>
        </row>
        <row r="2265">
          <cell r="A2265">
            <v>43186</v>
          </cell>
        </row>
        <row r="2266">
          <cell r="A2266">
            <v>43498</v>
          </cell>
        </row>
        <row r="2267">
          <cell r="A2267">
            <v>43523</v>
          </cell>
        </row>
        <row r="2268">
          <cell r="A2268">
            <v>43685</v>
          </cell>
        </row>
        <row r="2269">
          <cell r="A2269">
            <v>43726</v>
          </cell>
        </row>
        <row r="2270">
          <cell r="A2270">
            <v>43334</v>
          </cell>
        </row>
        <row r="2271">
          <cell r="A2271">
            <v>43553</v>
          </cell>
        </row>
        <row r="2272">
          <cell r="A2272">
            <v>43807</v>
          </cell>
        </row>
        <row r="2273">
          <cell r="A2273">
            <v>43915</v>
          </cell>
        </row>
        <row r="2274">
          <cell r="A2274">
            <v>43295</v>
          </cell>
        </row>
        <row r="2275">
          <cell r="A2275">
            <v>43172</v>
          </cell>
        </row>
        <row r="2276">
          <cell r="A2276">
            <v>43333</v>
          </cell>
        </row>
        <row r="2277">
          <cell r="A2277">
            <v>43131</v>
          </cell>
        </row>
        <row r="2278">
          <cell r="A2278">
            <v>43578</v>
          </cell>
        </row>
        <row r="2279">
          <cell r="A2279">
            <v>43643</v>
          </cell>
        </row>
        <row r="2280">
          <cell r="A2280">
            <v>43332</v>
          </cell>
        </row>
        <row r="2281">
          <cell r="A2281">
            <v>43558</v>
          </cell>
        </row>
        <row r="2282">
          <cell r="A2282">
            <v>43461</v>
          </cell>
        </row>
        <row r="2283">
          <cell r="A2283">
            <v>43406</v>
          </cell>
        </row>
        <row r="2284">
          <cell r="A2284">
            <v>43893</v>
          </cell>
        </row>
        <row r="2285">
          <cell r="A2285">
            <v>43105</v>
          </cell>
        </row>
        <row r="2286">
          <cell r="A2286">
            <v>43196</v>
          </cell>
        </row>
        <row r="2287">
          <cell r="A2287">
            <v>43278</v>
          </cell>
        </row>
        <row r="2288">
          <cell r="A2288">
            <v>43508</v>
          </cell>
        </row>
        <row r="2289">
          <cell r="A2289">
            <v>43249</v>
          </cell>
        </row>
        <row r="2290">
          <cell r="A2290">
            <v>43579</v>
          </cell>
        </row>
        <row r="2291">
          <cell r="A2291">
            <v>43705</v>
          </cell>
        </row>
        <row r="2292">
          <cell r="A2292">
            <v>43642</v>
          </cell>
        </row>
        <row r="2293">
          <cell r="A2293">
            <v>43594</v>
          </cell>
        </row>
        <row r="2294">
          <cell r="A2294">
            <v>43621</v>
          </cell>
        </row>
        <row r="2295">
          <cell r="A2295">
            <v>43211</v>
          </cell>
        </row>
        <row r="2296">
          <cell r="A2296">
            <v>43572</v>
          </cell>
        </row>
        <row r="2297">
          <cell r="A2297">
            <v>43639</v>
          </cell>
        </row>
        <row r="2298">
          <cell r="A2298">
            <v>43342</v>
          </cell>
        </row>
        <row r="2299">
          <cell r="A2299">
            <v>43256</v>
          </cell>
        </row>
        <row r="2300">
          <cell r="A2300">
            <v>43915</v>
          </cell>
        </row>
        <row r="2301">
          <cell r="A2301">
            <v>43913</v>
          </cell>
        </row>
        <row r="2302">
          <cell r="A2302">
            <v>43454</v>
          </cell>
        </row>
        <row r="2303">
          <cell r="A2303">
            <v>43360</v>
          </cell>
        </row>
        <row r="2304">
          <cell r="A2304">
            <v>43653</v>
          </cell>
        </row>
        <row r="2305">
          <cell r="A2305">
            <v>43712</v>
          </cell>
        </row>
        <row r="2306">
          <cell r="A2306">
            <v>43565</v>
          </cell>
        </row>
        <row r="2307">
          <cell r="A2307">
            <v>43120</v>
          </cell>
        </row>
        <row r="2308">
          <cell r="A2308">
            <v>43108</v>
          </cell>
        </row>
        <row r="2309">
          <cell r="A2309">
            <v>43617</v>
          </cell>
        </row>
        <row r="2310">
          <cell r="A2310">
            <v>43562</v>
          </cell>
        </row>
        <row r="2311">
          <cell r="A2311">
            <v>43166</v>
          </cell>
        </row>
        <row r="2312">
          <cell r="A2312">
            <v>43416</v>
          </cell>
        </row>
        <row r="2313">
          <cell r="A2313">
            <v>43670</v>
          </cell>
        </row>
        <row r="2314">
          <cell r="A2314">
            <v>43418</v>
          </cell>
        </row>
        <row r="2315">
          <cell r="A2315">
            <v>43282</v>
          </cell>
        </row>
        <row r="2316">
          <cell r="A2316">
            <v>43715</v>
          </cell>
        </row>
        <row r="2317">
          <cell r="A2317">
            <v>43468</v>
          </cell>
        </row>
        <row r="2318">
          <cell r="A2318">
            <v>43418</v>
          </cell>
        </row>
        <row r="2319">
          <cell r="A2319">
            <v>43301</v>
          </cell>
        </row>
        <row r="2320">
          <cell r="A2320">
            <v>43768</v>
          </cell>
        </row>
        <row r="2321">
          <cell r="A2321">
            <v>43340</v>
          </cell>
        </row>
        <row r="2322">
          <cell r="A2322">
            <v>43565</v>
          </cell>
        </row>
        <row r="2323">
          <cell r="A2323">
            <v>43448</v>
          </cell>
        </row>
        <row r="2324">
          <cell r="A2324">
            <v>43757</v>
          </cell>
        </row>
        <row r="2325">
          <cell r="A2325">
            <v>43288</v>
          </cell>
        </row>
        <row r="2326">
          <cell r="A2326">
            <v>43789</v>
          </cell>
        </row>
        <row r="2327">
          <cell r="A2327">
            <v>43734</v>
          </cell>
        </row>
        <row r="2328">
          <cell r="A2328">
            <v>43546</v>
          </cell>
        </row>
        <row r="2329">
          <cell r="A2329">
            <v>43598</v>
          </cell>
        </row>
        <row r="2330">
          <cell r="A2330">
            <v>43280</v>
          </cell>
        </row>
        <row r="2331">
          <cell r="A2331">
            <v>43704</v>
          </cell>
        </row>
        <row r="2332">
          <cell r="A2332">
            <v>43745</v>
          </cell>
        </row>
        <row r="2333">
          <cell r="A2333">
            <v>43717</v>
          </cell>
        </row>
        <row r="2334">
          <cell r="A2334">
            <v>43632</v>
          </cell>
        </row>
        <row r="2335">
          <cell r="A2335">
            <v>43867</v>
          </cell>
        </row>
        <row r="2336">
          <cell r="A2336">
            <v>43737</v>
          </cell>
        </row>
        <row r="2337">
          <cell r="A2337">
            <v>43375</v>
          </cell>
        </row>
        <row r="2338">
          <cell r="A2338">
            <v>43353</v>
          </cell>
        </row>
        <row r="2339">
          <cell r="A2339">
            <v>43158</v>
          </cell>
        </row>
        <row r="2340">
          <cell r="A2340">
            <v>43464</v>
          </cell>
        </row>
        <row r="2341">
          <cell r="A2341">
            <v>43176</v>
          </cell>
        </row>
        <row r="2342">
          <cell r="A2342">
            <v>43435</v>
          </cell>
        </row>
        <row r="2343">
          <cell r="A2343">
            <v>43205</v>
          </cell>
        </row>
        <row r="2344">
          <cell r="A2344">
            <v>43176</v>
          </cell>
        </row>
        <row r="2345">
          <cell r="A2345">
            <v>43881</v>
          </cell>
        </row>
        <row r="2346">
          <cell r="A2346">
            <v>43657</v>
          </cell>
        </row>
        <row r="2347">
          <cell r="A2347">
            <v>43590</v>
          </cell>
        </row>
        <row r="2348">
          <cell r="A2348">
            <v>43206</v>
          </cell>
        </row>
        <row r="2349">
          <cell r="A2349">
            <v>43407</v>
          </cell>
        </row>
        <row r="2350">
          <cell r="A2350">
            <v>43263</v>
          </cell>
        </row>
        <row r="2351">
          <cell r="A2351">
            <v>43570</v>
          </cell>
        </row>
        <row r="2352">
          <cell r="A2352">
            <v>43479</v>
          </cell>
        </row>
        <row r="2353">
          <cell r="A2353">
            <v>43764</v>
          </cell>
        </row>
        <row r="2354">
          <cell r="A2354">
            <v>43519</v>
          </cell>
        </row>
        <row r="2355">
          <cell r="A2355">
            <v>43595</v>
          </cell>
        </row>
        <row r="2356">
          <cell r="A2356">
            <v>43637</v>
          </cell>
        </row>
        <row r="2357">
          <cell r="A2357">
            <v>43512</v>
          </cell>
        </row>
        <row r="2358">
          <cell r="A2358">
            <v>43337</v>
          </cell>
        </row>
        <row r="2359">
          <cell r="A2359">
            <v>43544</v>
          </cell>
        </row>
        <row r="2360">
          <cell r="A2360">
            <v>43890</v>
          </cell>
        </row>
        <row r="2361">
          <cell r="A2361">
            <v>43364</v>
          </cell>
        </row>
        <row r="2362">
          <cell r="A2362">
            <v>43754</v>
          </cell>
        </row>
        <row r="2363">
          <cell r="A2363">
            <v>43846</v>
          </cell>
        </row>
        <row r="2364">
          <cell r="A2364">
            <v>43306</v>
          </cell>
        </row>
        <row r="2365">
          <cell r="A2365">
            <v>43480</v>
          </cell>
        </row>
        <row r="2366">
          <cell r="A2366">
            <v>43517</v>
          </cell>
        </row>
        <row r="2367">
          <cell r="A2367">
            <v>43635</v>
          </cell>
        </row>
        <row r="2368">
          <cell r="A2368">
            <v>43379</v>
          </cell>
        </row>
        <row r="2369">
          <cell r="A2369">
            <v>43586</v>
          </cell>
        </row>
        <row r="2370">
          <cell r="A2370">
            <v>43727</v>
          </cell>
        </row>
        <row r="2371">
          <cell r="A2371">
            <v>43569</v>
          </cell>
        </row>
        <row r="2372">
          <cell r="A2372">
            <v>43587</v>
          </cell>
        </row>
        <row r="2373">
          <cell r="A2373">
            <v>43143</v>
          </cell>
        </row>
        <row r="2374">
          <cell r="A2374">
            <v>43730</v>
          </cell>
        </row>
        <row r="2375">
          <cell r="A2375">
            <v>43641</v>
          </cell>
        </row>
        <row r="2376">
          <cell r="A2376">
            <v>43214</v>
          </cell>
        </row>
        <row r="2377">
          <cell r="A2377">
            <v>43456</v>
          </cell>
        </row>
        <row r="2378">
          <cell r="A2378">
            <v>43231</v>
          </cell>
        </row>
        <row r="2379">
          <cell r="A2379">
            <v>43418</v>
          </cell>
        </row>
        <row r="2380">
          <cell r="A2380">
            <v>43422</v>
          </cell>
        </row>
        <row r="2381">
          <cell r="A2381">
            <v>43675</v>
          </cell>
        </row>
        <row r="2382">
          <cell r="A2382">
            <v>43441</v>
          </cell>
        </row>
        <row r="2383">
          <cell r="A2383">
            <v>43133</v>
          </cell>
        </row>
        <row r="2384">
          <cell r="A2384">
            <v>43116</v>
          </cell>
        </row>
        <row r="2385">
          <cell r="A2385">
            <v>43911</v>
          </cell>
        </row>
        <row r="2386">
          <cell r="A2386">
            <v>43394</v>
          </cell>
        </row>
        <row r="2387">
          <cell r="A2387">
            <v>43119</v>
          </cell>
        </row>
        <row r="2388">
          <cell r="A2388">
            <v>43422</v>
          </cell>
        </row>
        <row r="2389">
          <cell r="A2389">
            <v>43477</v>
          </cell>
        </row>
        <row r="2390">
          <cell r="A2390">
            <v>43690</v>
          </cell>
        </row>
        <row r="2391">
          <cell r="A2391">
            <v>43827</v>
          </cell>
        </row>
        <row r="2392">
          <cell r="A2392">
            <v>43322</v>
          </cell>
        </row>
        <row r="2393">
          <cell r="A2393">
            <v>43673</v>
          </cell>
        </row>
        <row r="2394">
          <cell r="A2394">
            <v>43159</v>
          </cell>
        </row>
        <row r="2395">
          <cell r="A2395">
            <v>43734</v>
          </cell>
        </row>
        <row r="2396">
          <cell r="A2396">
            <v>43498</v>
          </cell>
        </row>
        <row r="2397">
          <cell r="A2397">
            <v>43303</v>
          </cell>
        </row>
        <row r="2398">
          <cell r="A2398">
            <v>43246</v>
          </cell>
        </row>
        <row r="2399">
          <cell r="A2399">
            <v>43104</v>
          </cell>
        </row>
        <row r="2400">
          <cell r="A2400">
            <v>43256</v>
          </cell>
        </row>
        <row r="2401">
          <cell r="A2401">
            <v>43163</v>
          </cell>
        </row>
        <row r="2402">
          <cell r="A2402">
            <v>43447</v>
          </cell>
        </row>
        <row r="2403">
          <cell r="A2403">
            <v>43627</v>
          </cell>
        </row>
        <row r="2404">
          <cell r="A2404">
            <v>43259</v>
          </cell>
        </row>
        <row r="2405">
          <cell r="A2405">
            <v>43873</v>
          </cell>
        </row>
        <row r="2406">
          <cell r="A2406">
            <v>43656</v>
          </cell>
        </row>
        <row r="2407">
          <cell r="A2407">
            <v>43434</v>
          </cell>
        </row>
        <row r="2408">
          <cell r="A2408">
            <v>43134</v>
          </cell>
        </row>
        <row r="2409">
          <cell r="A2409">
            <v>43661</v>
          </cell>
        </row>
        <row r="2410">
          <cell r="A2410">
            <v>43514</v>
          </cell>
        </row>
        <row r="2411">
          <cell r="A2411">
            <v>43390</v>
          </cell>
        </row>
        <row r="2412">
          <cell r="A2412">
            <v>43842</v>
          </cell>
        </row>
        <row r="2413">
          <cell r="A2413">
            <v>43501</v>
          </cell>
        </row>
        <row r="2414">
          <cell r="A2414">
            <v>43182</v>
          </cell>
        </row>
        <row r="2415">
          <cell r="A2415">
            <v>43853</v>
          </cell>
        </row>
        <row r="2416">
          <cell r="A2416">
            <v>43252</v>
          </cell>
        </row>
        <row r="2417">
          <cell r="A2417">
            <v>43657</v>
          </cell>
        </row>
        <row r="2418">
          <cell r="A2418">
            <v>43779</v>
          </cell>
        </row>
        <row r="2419">
          <cell r="A2419">
            <v>43801</v>
          </cell>
        </row>
        <row r="2420">
          <cell r="A2420">
            <v>43690</v>
          </cell>
        </row>
        <row r="2421">
          <cell r="A2421">
            <v>43905</v>
          </cell>
        </row>
        <row r="2422">
          <cell r="A2422">
            <v>43798</v>
          </cell>
        </row>
        <row r="2423">
          <cell r="A2423">
            <v>43145</v>
          </cell>
        </row>
        <row r="2424">
          <cell r="A2424">
            <v>43414</v>
          </cell>
        </row>
        <row r="2425">
          <cell r="A2425">
            <v>43390</v>
          </cell>
        </row>
        <row r="2426">
          <cell r="A2426">
            <v>43673</v>
          </cell>
        </row>
        <row r="2427">
          <cell r="A2427">
            <v>43796</v>
          </cell>
        </row>
        <row r="2428">
          <cell r="A2428">
            <v>43735</v>
          </cell>
        </row>
        <row r="2429">
          <cell r="A2429">
            <v>43837</v>
          </cell>
        </row>
        <row r="2430">
          <cell r="A2430">
            <v>43873</v>
          </cell>
        </row>
        <row r="2431">
          <cell r="A2431">
            <v>43236</v>
          </cell>
        </row>
        <row r="2432">
          <cell r="A2432">
            <v>43351</v>
          </cell>
        </row>
        <row r="2433">
          <cell r="A2433">
            <v>43471</v>
          </cell>
        </row>
        <row r="2434">
          <cell r="A2434">
            <v>43663</v>
          </cell>
        </row>
        <row r="2435">
          <cell r="A2435">
            <v>43296</v>
          </cell>
        </row>
        <row r="2436">
          <cell r="A2436">
            <v>43329</v>
          </cell>
        </row>
        <row r="2437">
          <cell r="A2437">
            <v>43754</v>
          </cell>
        </row>
        <row r="2438">
          <cell r="A2438">
            <v>43179</v>
          </cell>
        </row>
        <row r="2439">
          <cell r="A2439">
            <v>43570</v>
          </cell>
        </row>
        <row r="2440">
          <cell r="A2440">
            <v>43862</v>
          </cell>
        </row>
        <row r="2441">
          <cell r="A2441">
            <v>43356</v>
          </cell>
        </row>
        <row r="2442">
          <cell r="A2442">
            <v>43690</v>
          </cell>
        </row>
        <row r="2443">
          <cell r="A2443">
            <v>43627</v>
          </cell>
        </row>
        <row r="2444">
          <cell r="A2444">
            <v>43576</v>
          </cell>
        </row>
        <row r="2445">
          <cell r="A2445">
            <v>43362</v>
          </cell>
        </row>
        <row r="2446">
          <cell r="A2446">
            <v>43750</v>
          </cell>
        </row>
        <row r="2447">
          <cell r="A2447">
            <v>43838</v>
          </cell>
        </row>
        <row r="2448">
          <cell r="A2448">
            <v>43530</v>
          </cell>
        </row>
        <row r="2449">
          <cell r="A2449">
            <v>43343</v>
          </cell>
        </row>
        <row r="2450">
          <cell r="A2450">
            <v>43506</v>
          </cell>
        </row>
        <row r="2451">
          <cell r="A2451">
            <v>43581</v>
          </cell>
        </row>
        <row r="2452">
          <cell r="A2452">
            <v>43663</v>
          </cell>
        </row>
        <row r="2453">
          <cell r="A2453">
            <v>43820</v>
          </cell>
        </row>
        <row r="2454">
          <cell r="A2454">
            <v>43185</v>
          </cell>
        </row>
        <row r="2455">
          <cell r="A2455">
            <v>43497</v>
          </cell>
        </row>
        <row r="2456">
          <cell r="A2456">
            <v>43210</v>
          </cell>
        </row>
        <row r="2457">
          <cell r="A2457">
            <v>43769</v>
          </cell>
        </row>
        <row r="2458">
          <cell r="A2458">
            <v>43118</v>
          </cell>
        </row>
        <row r="2459">
          <cell r="A2459">
            <v>43559</v>
          </cell>
        </row>
        <row r="2460">
          <cell r="A2460">
            <v>43610</v>
          </cell>
        </row>
        <row r="2461">
          <cell r="A2461">
            <v>43583</v>
          </cell>
        </row>
        <row r="2462">
          <cell r="A2462">
            <v>43231</v>
          </cell>
        </row>
        <row r="2463">
          <cell r="A2463">
            <v>43885</v>
          </cell>
        </row>
        <row r="2464">
          <cell r="A2464">
            <v>43463</v>
          </cell>
        </row>
        <row r="2465">
          <cell r="A2465">
            <v>43555</v>
          </cell>
        </row>
        <row r="2466">
          <cell r="A2466">
            <v>43372</v>
          </cell>
        </row>
        <row r="2467">
          <cell r="A2467">
            <v>43488</v>
          </cell>
        </row>
        <row r="2468">
          <cell r="A2468">
            <v>43696</v>
          </cell>
        </row>
        <row r="2469">
          <cell r="A2469">
            <v>43842</v>
          </cell>
        </row>
        <row r="2470">
          <cell r="A2470">
            <v>43770</v>
          </cell>
        </row>
        <row r="2471">
          <cell r="A2471">
            <v>43348</v>
          </cell>
        </row>
        <row r="2472">
          <cell r="A2472">
            <v>43798</v>
          </cell>
        </row>
        <row r="2473">
          <cell r="A2473">
            <v>43335</v>
          </cell>
        </row>
        <row r="2474">
          <cell r="A2474">
            <v>43107</v>
          </cell>
        </row>
        <row r="2475">
          <cell r="A2475">
            <v>43133</v>
          </cell>
        </row>
        <row r="2476">
          <cell r="A2476">
            <v>43373</v>
          </cell>
        </row>
        <row r="2477">
          <cell r="A2477">
            <v>43264</v>
          </cell>
        </row>
        <row r="2478">
          <cell r="A2478">
            <v>43239</v>
          </cell>
        </row>
        <row r="2479">
          <cell r="A2479">
            <v>43122</v>
          </cell>
        </row>
        <row r="2480">
          <cell r="A2480">
            <v>43902</v>
          </cell>
        </row>
        <row r="2481">
          <cell r="A2481">
            <v>43717</v>
          </cell>
        </row>
        <row r="2482">
          <cell r="A2482">
            <v>43491</v>
          </cell>
        </row>
        <row r="2483">
          <cell r="A2483">
            <v>43886</v>
          </cell>
        </row>
        <row r="2484">
          <cell r="A2484">
            <v>43390</v>
          </cell>
        </row>
        <row r="2485">
          <cell r="A2485">
            <v>43722</v>
          </cell>
        </row>
        <row r="2486">
          <cell r="A2486">
            <v>43175</v>
          </cell>
        </row>
        <row r="2487">
          <cell r="A2487">
            <v>43744</v>
          </cell>
        </row>
        <row r="2488">
          <cell r="A2488">
            <v>43639</v>
          </cell>
        </row>
        <row r="2489">
          <cell r="A2489">
            <v>43830</v>
          </cell>
        </row>
        <row r="2490">
          <cell r="A2490">
            <v>43161</v>
          </cell>
        </row>
        <row r="2491">
          <cell r="A2491">
            <v>43899</v>
          </cell>
        </row>
        <row r="2492">
          <cell r="A2492">
            <v>43661</v>
          </cell>
        </row>
        <row r="2493">
          <cell r="A2493">
            <v>43446</v>
          </cell>
        </row>
        <row r="2494">
          <cell r="A2494">
            <v>43604</v>
          </cell>
        </row>
        <row r="2495">
          <cell r="A2495">
            <v>43902</v>
          </cell>
        </row>
        <row r="2496">
          <cell r="A2496">
            <v>43448</v>
          </cell>
        </row>
        <row r="2497">
          <cell r="A2497">
            <v>43347</v>
          </cell>
        </row>
        <row r="2498">
          <cell r="A2498">
            <v>43835</v>
          </cell>
        </row>
        <row r="2499">
          <cell r="A2499">
            <v>43468</v>
          </cell>
        </row>
        <row r="2500">
          <cell r="A2500">
            <v>43750</v>
          </cell>
        </row>
        <row r="2501">
          <cell r="A2501">
            <v>43207</v>
          </cell>
        </row>
        <row r="2502">
          <cell r="A2502">
            <v>43263</v>
          </cell>
        </row>
        <row r="2503">
          <cell r="A2503">
            <v>43120</v>
          </cell>
        </row>
        <row r="2504">
          <cell r="A2504">
            <v>43784</v>
          </cell>
        </row>
        <row r="2505">
          <cell r="A2505">
            <v>43679</v>
          </cell>
        </row>
        <row r="2506">
          <cell r="A2506">
            <v>43563</v>
          </cell>
        </row>
        <row r="2507">
          <cell r="A2507">
            <v>43501</v>
          </cell>
        </row>
        <row r="2508">
          <cell r="A2508">
            <v>43686</v>
          </cell>
        </row>
        <row r="2509">
          <cell r="A2509">
            <v>43165</v>
          </cell>
        </row>
        <row r="2510">
          <cell r="A2510">
            <v>43656</v>
          </cell>
        </row>
        <row r="2511">
          <cell r="A2511">
            <v>43450</v>
          </cell>
        </row>
        <row r="2512">
          <cell r="A2512">
            <v>43897</v>
          </cell>
        </row>
        <row r="2513">
          <cell r="A2513">
            <v>43650</v>
          </cell>
        </row>
        <row r="2514">
          <cell r="A2514">
            <v>43774</v>
          </cell>
        </row>
        <row r="2515">
          <cell r="A2515">
            <v>43111</v>
          </cell>
        </row>
        <row r="2516">
          <cell r="A2516">
            <v>43639</v>
          </cell>
        </row>
        <row r="2517">
          <cell r="A2517">
            <v>43436</v>
          </cell>
        </row>
        <row r="2518">
          <cell r="A2518">
            <v>43118</v>
          </cell>
        </row>
        <row r="2519">
          <cell r="A2519">
            <v>43315</v>
          </cell>
        </row>
        <row r="2520">
          <cell r="A2520">
            <v>43404</v>
          </cell>
        </row>
        <row r="2521">
          <cell r="A2521">
            <v>43445</v>
          </cell>
        </row>
        <row r="2522">
          <cell r="A2522">
            <v>43538</v>
          </cell>
        </row>
        <row r="2523">
          <cell r="A2523">
            <v>43613</v>
          </cell>
        </row>
        <row r="2524">
          <cell r="A2524">
            <v>43499</v>
          </cell>
        </row>
        <row r="2525">
          <cell r="A2525">
            <v>43815</v>
          </cell>
        </row>
        <row r="2526">
          <cell r="A2526">
            <v>43283</v>
          </cell>
        </row>
        <row r="2527">
          <cell r="A2527">
            <v>43601</v>
          </cell>
        </row>
        <row r="2528">
          <cell r="A2528">
            <v>43543</v>
          </cell>
        </row>
        <row r="2529">
          <cell r="A2529">
            <v>43507</v>
          </cell>
        </row>
        <row r="2530">
          <cell r="A2530">
            <v>43591</v>
          </cell>
        </row>
        <row r="2531">
          <cell r="A2531">
            <v>43706</v>
          </cell>
        </row>
        <row r="2532">
          <cell r="A2532">
            <v>43606</v>
          </cell>
        </row>
        <row r="2533">
          <cell r="A2533">
            <v>43453</v>
          </cell>
        </row>
        <row r="2534">
          <cell r="A2534">
            <v>43697</v>
          </cell>
        </row>
        <row r="2535">
          <cell r="A2535">
            <v>43166</v>
          </cell>
        </row>
        <row r="2536">
          <cell r="A2536">
            <v>43125</v>
          </cell>
        </row>
        <row r="2537">
          <cell r="A2537">
            <v>43303</v>
          </cell>
        </row>
        <row r="2538">
          <cell r="A2538">
            <v>43375</v>
          </cell>
        </row>
        <row r="2539">
          <cell r="A2539">
            <v>43736</v>
          </cell>
        </row>
        <row r="2540">
          <cell r="A2540">
            <v>43852</v>
          </cell>
        </row>
        <row r="2541">
          <cell r="A2541">
            <v>43384</v>
          </cell>
        </row>
        <row r="2542">
          <cell r="A2542">
            <v>43379</v>
          </cell>
        </row>
        <row r="2543">
          <cell r="A2543">
            <v>43409</v>
          </cell>
        </row>
        <row r="2544">
          <cell r="A2544">
            <v>43363</v>
          </cell>
        </row>
        <row r="2545">
          <cell r="A2545">
            <v>43216</v>
          </cell>
        </row>
        <row r="2546">
          <cell r="A2546">
            <v>43773</v>
          </cell>
        </row>
        <row r="2547">
          <cell r="A2547">
            <v>43287</v>
          </cell>
        </row>
        <row r="2548">
          <cell r="A2548">
            <v>43333</v>
          </cell>
        </row>
        <row r="2549">
          <cell r="A2549">
            <v>43632</v>
          </cell>
        </row>
        <row r="2550">
          <cell r="A2550">
            <v>43774</v>
          </cell>
        </row>
        <row r="2551">
          <cell r="A2551">
            <v>43184</v>
          </cell>
        </row>
        <row r="2552">
          <cell r="A2552">
            <v>43251</v>
          </cell>
        </row>
        <row r="2553">
          <cell r="A2553">
            <v>43718</v>
          </cell>
        </row>
        <row r="2554">
          <cell r="A2554">
            <v>43550</v>
          </cell>
        </row>
        <row r="2555">
          <cell r="A2555">
            <v>43761</v>
          </cell>
        </row>
        <row r="2556">
          <cell r="A2556">
            <v>43613</v>
          </cell>
        </row>
        <row r="2557">
          <cell r="A2557">
            <v>43305</v>
          </cell>
        </row>
        <row r="2558">
          <cell r="A2558">
            <v>43695</v>
          </cell>
        </row>
        <row r="2559">
          <cell r="A2559">
            <v>43243</v>
          </cell>
        </row>
        <row r="2560">
          <cell r="A2560">
            <v>43899</v>
          </cell>
        </row>
        <row r="2561">
          <cell r="A2561">
            <v>43218</v>
          </cell>
        </row>
        <row r="2562">
          <cell r="A2562">
            <v>43649</v>
          </cell>
        </row>
        <row r="2563">
          <cell r="A2563">
            <v>43869</v>
          </cell>
        </row>
        <row r="2564">
          <cell r="A2564">
            <v>43542</v>
          </cell>
        </row>
        <row r="2565">
          <cell r="A2565">
            <v>43606</v>
          </cell>
        </row>
        <row r="2566">
          <cell r="A2566">
            <v>43531</v>
          </cell>
        </row>
        <row r="2567">
          <cell r="A2567">
            <v>43775</v>
          </cell>
        </row>
        <row r="2568">
          <cell r="A2568">
            <v>43338</v>
          </cell>
        </row>
        <row r="2569">
          <cell r="A2569">
            <v>43904</v>
          </cell>
        </row>
        <row r="2570">
          <cell r="A2570">
            <v>43387</v>
          </cell>
        </row>
        <row r="2571">
          <cell r="A2571">
            <v>43747</v>
          </cell>
        </row>
        <row r="2572">
          <cell r="A2572">
            <v>43813</v>
          </cell>
        </row>
        <row r="2573">
          <cell r="A2573">
            <v>43905</v>
          </cell>
        </row>
        <row r="2574">
          <cell r="A2574">
            <v>43597</v>
          </cell>
        </row>
        <row r="2575">
          <cell r="A2575">
            <v>43484</v>
          </cell>
        </row>
        <row r="2576">
          <cell r="A2576">
            <v>43383</v>
          </cell>
        </row>
        <row r="2577">
          <cell r="A2577">
            <v>43653</v>
          </cell>
        </row>
        <row r="2578">
          <cell r="A2578">
            <v>43686</v>
          </cell>
        </row>
        <row r="2579">
          <cell r="A2579">
            <v>43619</v>
          </cell>
        </row>
        <row r="2580">
          <cell r="A2580">
            <v>43517</v>
          </cell>
        </row>
        <row r="2581">
          <cell r="A2581">
            <v>43873</v>
          </cell>
        </row>
        <row r="2582">
          <cell r="A2582">
            <v>43396</v>
          </cell>
        </row>
        <row r="2583">
          <cell r="A2583">
            <v>43197</v>
          </cell>
        </row>
        <row r="2584">
          <cell r="A2584">
            <v>43748</v>
          </cell>
        </row>
        <row r="2585">
          <cell r="A2585">
            <v>43578</v>
          </cell>
        </row>
        <row r="2586">
          <cell r="A2586">
            <v>43281</v>
          </cell>
        </row>
        <row r="2587">
          <cell r="A2587">
            <v>43803</v>
          </cell>
        </row>
        <row r="2588">
          <cell r="A2588">
            <v>43530</v>
          </cell>
        </row>
        <row r="2589">
          <cell r="A2589">
            <v>43692</v>
          </cell>
        </row>
        <row r="2590">
          <cell r="A2590">
            <v>43678</v>
          </cell>
        </row>
        <row r="2591">
          <cell r="A2591">
            <v>43160</v>
          </cell>
        </row>
        <row r="2592">
          <cell r="A2592">
            <v>43867</v>
          </cell>
        </row>
        <row r="2593">
          <cell r="A2593">
            <v>43777</v>
          </cell>
        </row>
        <row r="2594">
          <cell r="A2594">
            <v>43239</v>
          </cell>
        </row>
        <row r="2595">
          <cell r="A2595">
            <v>43615</v>
          </cell>
        </row>
        <row r="2596">
          <cell r="A2596">
            <v>43479</v>
          </cell>
        </row>
        <row r="2597">
          <cell r="A2597">
            <v>43144</v>
          </cell>
        </row>
        <row r="2598">
          <cell r="A2598">
            <v>43877</v>
          </cell>
        </row>
        <row r="2599">
          <cell r="A2599">
            <v>43745</v>
          </cell>
        </row>
        <row r="2600">
          <cell r="A2600">
            <v>43852</v>
          </cell>
        </row>
        <row r="2601">
          <cell r="A2601">
            <v>43494</v>
          </cell>
        </row>
        <row r="2602">
          <cell r="A2602">
            <v>43148</v>
          </cell>
        </row>
        <row r="2603">
          <cell r="A2603">
            <v>43715</v>
          </cell>
        </row>
        <row r="2604">
          <cell r="A2604">
            <v>43427</v>
          </cell>
        </row>
        <row r="2605">
          <cell r="A2605">
            <v>43524</v>
          </cell>
        </row>
        <row r="2606">
          <cell r="A2606">
            <v>43388</v>
          </cell>
        </row>
        <row r="2607">
          <cell r="A2607">
            <v>43785</v>
          </cell>
        </row>
        <row r="2608">
          <cell r="A2608">
            <v>43121</v>
          </cell>
        </row>
        <row r="2609">
          <cell r="A2609">
            <v>43417</v>
          </cell>
        </row>
        <row r="2610">
          <cell r="A2610">
            <v>43358</v>
          </cell>
        </row>
        <row r="2611">
          <cell r="A2611">
            <v>43147</v>
          </cell>
        </row>
        <row r="2612">
          <cell r="A2612">
            <v>43727</v>
          </cell>
        </row>
        <row r="2613">
          <cell r="A2613">
            <v>43901</v>
          </cell>
        </row>
        <row r="2614">
          <cell r="A2614">
            <v>43217</v>
          </cell>
        </row>
        <row r="2615">
          <cell r="A2615">
            <v>43843</v>
          </cell>
        </row>
        <row r="2616">
          <cell r="A2616">
            <v>43267</v>
          </cell>
        </row>
        <row r="2617">
          <cell r="A2617">
            <v>43767</v>
          </cell>
        </row>
        <row r="2618">
          <cell r="A2618">
            <v>43391</v>
          </cell>
        </row>
        <row r="2619">
          <cell r="A2619">
            <v>43297</v>
          </cell>
        </row>
        <row r="2620">
          <cell r="A2620">
            <v>43461</v>
          </cell>
        </row>
        <row r="2621">
          <cell r="A2621">
            <v>43216</v>
          </cell>
        </row>
        <row r="2622">
          <cell r="A2622">
            <v>43684</v>
          </cell>
        </row>
        <row r="2623">
          <cell r="A2623">
            <v>43267</v>
          </cell>
        </row>
        <row r="2624">
          <cell r="A2624">
            <v>43311</v>
          </cell>
        </row>
        <row r="2625">
          <cell r="A2625">
            <v>43383</v>
          </cell>
        </row>
        <row r="2626">
          <cell r="A2626">
            <v>43343</v>
          </cell>
        </row>
        <row r="2627">
          <cell r="A2627">
            <v>43617</v>
          </cell>
        </row>
        <row r="2628">
          <cell r="A2628">
            <v>43136</v>
          </cell>
        </row>
        <row r="2629">
          <cell r="A2629">
            <v>43599</v>
          </cell>
        </row>
        <row r="2630">
          <cell r="A2630">
            <v>43880</v>
          </cell>
        </row>
        <row r="2631">
          <cell r="A2631">
            <v>43415</v>
          </cell>
        </row>
        <row r="2632">
          <cell r="A2632">
            <v>43216</v>
          </cell>
        </row>
        <row r="2633">
          <cell r="A2633">
            <v>43214</v>
          </cell>
        </row>
        <row r="2634">
          <cell r="A2634">
            <v>43191</v>
          </cell>
        </row>
        <row r="2635">
          <cell r="A2635">
            <v>43676</v>
          </cell>
        </row>
        <row r="2636">
          <cell r="A2636">
            <v>43140</v>
          </cell>
        </row>
        <row r="2637">
          <cell r="A2637">
            <v>43363</v>
          </cell>
        </row>
        <row r="2638">
          <cell r="A2638">
            <v>43494</v>
          </cell>
        </row>
        <row r="2639">
          <cell r="A2639">
            <v>43396</v>
          </cell>
        </row>
        <row r="2640">
          <cell r="A2640">
            <v>43459</v>
          </cell>
        </row>
        <row r="2641">
          <cell r="A2641">
            <v>43336</v>
          </cell>
        </row>
        <row r="2642">
          <cell r="A2642">
            <v>43780</v>
          </cell>
        </row>
        <row r="2643">
          <cell r="A2643">
            <v>43107</v>
          </cell>
        </row>
        <row r="2644">
          <cell r="A2644">
            <v>43877</v>
          </cell>
        </row>
        <row r="2645">
          <cell r="A2645">
            <v>43613</v>
          </cell>
        </row>
        <row r="2646">
          <cell r="A2646">
            <v>43344</v>
          </cell>
        </row>
        <row r="2647">
          <cell r="A2647">
            <v>43505</v>
          </cell>
        </row>
        <row r="2648">
          <cell r="A2648">
            <v>43151</v>
          </cell>
        </row>
        <row r="2649">
          <cell r="A2649">
            <v>43624</v>
          </cell>
        </row>
        <row r="2650">
          <cell r="A2650">
            <v>43255</v>
          </cell>
        </row>
        <row r="2651">
          <cell r="A2651">
            <v>43420</v>
          </cell>
        </row>
        <row r="2652">
          <cell r="A2652">
            <v>43209</v>
          </cell>
        </row>
        <row r="2653">
          <cell r="A2653">
            <v>43427</v>
          </cell>
        </row>
        <row r="2654">
          <cell r="A2654">
            <v>43421</v>
          </cell>
        </row>
        <row r="2655">
          <cell r="A2655">
            <v>43514</v>
          </cell>
        </row>
        <row r="2656">
          <cell r="A2656">
            <v>43419</v>
          </cell>
        </row>
        <row r="2657">
          <cell r="A2657">
            <v>43670</v>
          </cell>
        </row>
        <row r="2658">
          <cell r="A2658">
            <v>43520</v>
          </cell>
        </row>
        <row r="2659">
          <cell r="A2659">
            <v>43776</v>
          </cell>
        </row>
        <row r="2660">
          <cell r="A2660">
            <v>43183</v>
          </cell>
        </row>
        <row r="2661">
          <cell r="A2661">
            <v>43387</v>
          </cell>
        </row>
        <row r="2662">
          <cell r="A2662">
            <v>43845</v>
          </cell>
        </row>
        <row r="2663">
          <cell r="A2663">
            <v>43157</v>
          </cell>
        </row>
        <row r="2664">
          <cell r="A2664">
            <v>43156</v>
          </cell>
        </row>
        <row r="2665">
          <cell r="A2665">
            <v>43209</v>
          </cell>
        </row>
        <row r="2666">
          <cell r="A2666">
            <v>43634</v>
          </cell>
        </row>
        <row r="2667">
          <cell r="A2667">
            <v>43350</v>
          </cell>
        </row>
        <row r="2668">
          <cell r="A2668">
            <v>43457</v>
          </cell>
        </row>
        <row r="2669">
          <cell r="A2669">
            <v>43577</v>
          </cell>
        </row>
        <row r="2670">
          <cell r="A2670">
            <v>43386</v>
          </cell>
        </row>
        <row r="2671">
          <cell r="A2671">
            <v>43886</v>
          </cell>
        </row>
        <row r="2672">
          <cell r="A2672">
            <v>43747</v>
          </cell>
        </row>
        <row r="2673">
          <cell r="A2673">
            <v>43900</v>
          </cell>
        </row>
        <row r="2674">
          <cell r="A2674">
            <v>43492</v>
          </cell>
        </row>
        <row r="2675">
          <cell r="A2675">
            <v>43912</v>
          </cell>
        </row>
        <row r="2676">
          <cell r="A2676">
            <v>43673</v>
          </cell>
        </row>
        <row r="2677">
          <cell r="A2677">
            <v>43552</v>
          </cell>
        </row>
        <row r="2678">
          <cell r="A2678">
            <v>43430</v>
          </cell>
        </row>
        <row r="2679">
          <cell r="A2679">
            <v>43704</v>
          </cell>
        </row>
        <row r="2680">
          <cell r="A2680">
            <v>43767</v>
          </cell>
        </row>
        <row r="2681">
          <cell r="A2681">
            <v>43436</v>
          </cell>
        </row>
        <row r="2682">
          <cell r="A2682">
            <v>43855</v>
          </cell>
        </row>
        <row r="2683">
          <cell r="A2683">
            <v>43841</v>
          </cell>
        </row>
        <row r="2684">
          <cell r="A2684">
            <v>43642</v>
          </cell>
        </row>
        <row r="2685">
          <cell r="A2685">
            <v>43573</v>
          </cell>
        </row>
        <row r="2686">
          <cell r="A2686">
            <v>43201</v>
          </cell>
        </row>
        <row r="2687">
          <cell r="A2687">
            <v>43376</v>
          </cell>
        </row>
        <row r="2688">
          <cell r="A2688">
            <v>43267</v>
          </cell>
        </row>
        <row r="2689">
          <cell r="A2689">
            <v>43857</v>
          </cell>
        </row>
        <row r="2690">
          <cell r="A2690">
            <v>43233</v>
          </cell>
        </row>
        <row r="2691">
          <cell r="A2691">
            <v>43611</v>
          </cell>
        </row>
        <row r="2692">
          <cell r="A2692">
            <v>43867</v>
          </cell>
        </row>
        <row r="2693">
          <cell r="A2693">
            <v>43319</v>
          </cell>
        </row>
        <row r="2694">
          <cell r="A2694">
            <v>43855</v>
          </cell>
        </row>
        <row r="2695">
          <cell r="A2695">
            <v>43312</v>
          </cell>
        </row>
        <row r="2696">
          <cell r="A2696">
            <v>43897</v>
          </cell>
        </row>
        <row r="2697">
          <cell r="A2697">
            <v>43131</v>
          </cell>
        </row>
        <row r="2698">
          <cell r="A2698">
            <v>43719</v>
          </cell>
        </row>
        <row r="2699">
          <cell r="A2699">
            <v>43453</v>
          </cell>
        </row>
        <row r="2700">
          <cell r="A2700">
            <v>43371</v>
          </cell>
        </row>
        <row r="2701">
          <cell r="A2701">
            <v>43425</v>
          </cell>
        </row>
        <row r="2702">
          <cell r="A2702">
            <v>43693</v>
          </cell>
        </row>
        <row r="2703">
          <cell r="A2703">
            <v>43759</v>
          </cell>
        </row>
        <row r="2704">
          <cell r="A2704">
            <v>43741</v>
          </cell>
        </row>
        <row r="2705">
          <cell r="A2705">
            <v>43597</v>
          </cell>
        </row>
        <row r="2706">
          <cell r="A2706">
            <v>43807</v>
          </cell>
        </row>
        <row r="2707">
          <cell r="A2707">
            <v>43594</v>
          </cell>
        </row>
        <row r="2708">
          <cell r="A2708">
            <v>43745</v>
          </cell>
        </row>
        <row r="2709">
          <cell r="A2709">
            <v>43134</v>
          </cell>
        </row>
        <row r="2710">
          <cell r="A2710">
            <v>43684</v>
          </cell>
        </row>
        <row r="2711">
          <cell r="A2711">
            <v>43128</v>
          </cell>
        </row>
        <row r="2712">
          <cell r="A2712">
            <v>43578</v>
          </cell>
        </row>
        <row r="2713">
          <cell r="A2713">
            <v>43665</v>
          </cell>
        </row>
        <row r="2714">
          <cell r="A2714">
            <v>43685</v>
          </cell>
        </row>
        <row r="2715">
          <cell r="A2715">
            <v>43351</v>
          </cell>
        </row>
        <row r="2716">
          <cell r="A2716">
            <v>43543</v>
          </cell>
        </row>
        <row r="2717">
          <cell r="A2717">
            <v>43447</v>
          </cell>
        </row>
        <row r="2718">
          <cell r="A2718">
            <v>43825</v>
          </cell>
        </row>
        <row r="2719">
          <cell r="A2719">
            <v>43883</v>
          </cell>
        </row>
        <row r="2720">
          <cell r="A2720">
            <v>43575</v>
          </cell>
        </row>
        <row r="2721">
          <cell r="A2721">
            <v>43841</v>
          </cell>
        </row>
        <row r="2722">
          <cell r="A2722">
            <v>43314</v>
          </cell>
        </row>
        <row r="2723">
          <cell r="A2723">
            <v>43530</v>
          </cell>
        </row>
        <row r="2724">
          <cell r="A2724">
            <v>43388</v>
          </cell>
        </row>
        <row r="2725">
          <cell r="A2725">
            <v>43214</v>
          </cell>
        </row>
        <row r="2726">
          <cell r="A2726">
            <v>43423</v>
          </cell>
        </row>
        <row r="2727">
          <cell r="A2727">
            <v>43690</v>
          </cell>
        </row>
        <row r="2728">
          <cell r="A2728">
            <v>43148</v>
          </cell>
        </row>
        <row r="2729">
          <cell r="A2729">
            <v>43730</v>
          </cell>
        </row>
        <row r="2730">
          <cell r="A2730">
            <v>43522</v>
          </cell>
        </row>
        <row r="2731">
          <cell r="A2731">
            <v>43158</v>
          </cell>
        </row>
        <row r="2732">
          <cell r="A2732">
            <v>43900</v>
          </cell>
        </row>
        <row r="2733">
          <cell r="A2733">
            <v>43357</v>
          </cell>
        </row>
        <row r="2734">
          <cell r="A2734">
            <v>43713</v>
          </cell>
        </row>
        <row r="2735">
          <cell r="A2735">
            <v>43881</v>
          </cell>
        </row>
        <row r="2736">
          <cell r="A2736">
            <v>43779</v>
          </cell>
        </row>
        <row r="2737">
          <cell r="A2737">
            <v>43673</v>
          </cell>
        </row>
        <row r="2738">
          <cell r="A2738">
            <v>43438</v>
          </cell>
        </row>
        <row r="2739">
          <cell r="A2739">
            <v>43610</v>
          </cell>
        </row>
        <row r="2740">
          <cell r="A2740">
            <v>43191</v>
          </cell>
        </row>
        <row r="2741">
          <cell r="A2741">
            <v>43646</v>
          </cell>
        </row>
        <row r="2742">
          <cell r="A2742">
            <v>43822</v>
          </cell>
        </row>
        <row r="2743">
          <cell r="A2743">
            <v>43416</v>
          </cell>
        </row>
        <row r="2744">
          <cell r="A2744">
            <v>43887</v>
          </cell>
        </row>
        <row r="2745">
          <cell r="A2745">
            <v>43329</v>
          </cell>
        </row>
        <row r="2746">
          <cell r="A2746">
            <v>43300</v>
          </cell>
        </row>
        <row r="2747">
          <cell r="A2747">
            <v>43574</v>
          </cell>
        </row>
        <row r="2748">
          <cell r="A2748">
            <v>43570</v>
          </cell>
        </row>
        <row r="2749">
          <cell r="A2749">
            <v>43189</v>
          </cell>
        </row>
        <row r="2750">
          <cell r="A2750">
            <v>43334</v>
          </cell>
        </row>
        <row r="2751">
          <cell r="A2751">
            <v>43557</v>
          </cell>
        </row>
        <row r="2752">
          <cell r="A2752">
            <v>43755</v>
          </cell>
        </row>
        <row r="2753">
          <cell r="A2753">
            <v>43468</v>
          </cell>
        </row>
        <row r="2754">
          <cell r="A2754">
            <v>43327</v>
          </cell>
        </row>
        <row r="2755">
          <cell r="A2755">
            <v>43687</v>
          </cell>
        </row>
        <row r="2756">
          <cell r="A2756">
            <v>43838</v>
          </cell>
        </row>
        <row r="2757">
          <cell r="A2757">
            <v>43722</v>
          </cell>
        </row>
        <row r="2758">
          <cell r="A2758">
            <v>43578</v>
          </cell>
        </row>
        <row r="2759">
          <cell r="A2759">
            <v>43261</v>
          </cell>
        </row>
        <row r="2760">
          <cell r="A2760">
            <v>43761</v>
          </cell>
        </row>
        <row r="2761">
          <cell r="A2761">
            <v>43408</v>
          </cell>
        </row>
        <row r="2762">
          <cell r="A2762">
            <v>43846</v>
          </cell>
        </row>
        <row r="2763">
          <cell r="A2763">
            <v>43396</v>
          </cell>
        </row>
        <row r="2764">
          <cell r="A2764">
            <v>43191</v>
          </cell>
        </row>
        <row r="2765">
          <cell r="A2765">
            <v>43402</v>
          </cell>
        </row>
        <row r="2766">
          <cell r="A2766">
            <v>43360</v>
          </cell>
        </row>
        <row r="2767">
          <cell r="A2767">
            <v>43563</v>
          </cell>
        </row>
        <row r="2768">
          <cell r="A2768">
            <v>43165</v>
          </cell>
        </row>
        <row r="2769">
          <cell r="A2769">
            <v>43430</v>
          </cell>
        </row>
        <row r="2770">
          <cell r="A2770">
            <v>43676</v>
          </cell>
        </row>
        <row r="2771">
          <cell r="A2771">
            <v>43886</v>
          </cell>
        </row>
        <row r="2772">
          <cell r="A2772">
            <v>43424</v>
          </cell>
        </row>
        <row r="2773">
          <cell r="A2773">
            <v>43300</v>
          </cell>
        </row>
        <row r="2774">
          <cell r="A2774">
            <v>43460</v>
          </cell>
        </row>
        <row r="2775">
          <cell r="A2775">
            <v>43195</v>
          </cell>
        </row>
        <row r="2776">
          <cell r="A2776">
            <v>43141</v>
          </cell>
        </row>
        <row r="2777">
          <cell r="A2777">
            <v>43710</v>
          </cell>
        </row>
        <row r="2778">
          <cell r="A2778">
            <v>43156</v>
          </cell>
        </row>
        <row r="2779">
          <cell r="A2779">
            <v>43302</v>
          </cell>
        </row>
        <row r="2780">
          <cell r="A2780">
            <v>43749</v>
          </cell>
        </row>
        <row r="2781">
          <cell r="A2781">
            <v>43373</v>
          </cell>
        </row>
        <row r="2782">
          <cell r="A2782">
            <v>43644</v>
          </cell>
        </row>
        <row r="2783">
          <cell r="A2783">
            <v>43189</v>
          </cell>
        </row>
        <row r="2784">
          <cell r="A2784">
            <v>43522</v>
          </cell>
        </row>
        <row r="2785">
          <cell r="A2785">
            <v>43730</v>
          </cell>
        </row>
        <row r="2786">
          <cell r="A2786">
            <v>43902</v>
          </cell>
        </row>
        <row r="2787">
          <cell r="A2787">
            <v>43460</v>
          </cell>
        </row>
        <row r="2788">
          <cell r="A2788">
            <v>43422</v>
          </cell>
        </row>
        <row r="2789">
          <cell r="A2789">
            <v>43302</v>
          </cell>
        </row>
        <row r="2790">
          <cell r="A2790">
            <v>43698</v>
          </cell>
        </row>
        <row r="2791">
          <cell r="A2791">
            <v>43165</v>
          </cell>
        </row>
        <row r="2792">
          <cell r="A2792">
            <v>43189</v>
          </cell>
        </row>
        <row r="2793">
          <cell r="A2793">
            <v>43882</v>
          </cell>
        </row>
        <row r="2794">
          <cell r="A2794">
            <v>43246</v>
          </cell>
        </row>
        <row r="2795">
          <cell r="A2795">
            <v>43669</v>
          </cell>
        </row>
        <row r="2796">
          <cell r="A2796">
            <v>43350</v>
          </cell>
        </row>
        <row r="2797">
          <cell r="A2797">
            <v>43381</v>
          </cell>
        </row>
        <row r="2798">
          <cell r="A2798">
            <v>43769</v>
          </cell>
        </row>
        <row r="2799">
          <cell r="A2799">
            <v>43831</v>
          </cell>
        </row>
        <row r="2800">
          <cell r="A2800">
            <v>43294</v>
          </cell>
        </row>
        <row r="2801">
          <cell r="A2801">
            <v>43809</v>
          </cell>
        </row>
        <row r="2802">
          <cell r="A2802">
            <v>43832</v>
          </cell>
        </row>
        <row r="2803">
          <cell r="A2803">
            <v>43653</v>
          </cell>
        </row>
        <row r="2804">
          <cell r="A2804">
            <v>43663</v>
          </cell>
        </row>
        <row r="2805">
          <cell r="A2805">
            <v>43237</v>
          </cell>
        </row>
        <row r="2806">
          <cell r="A2806">
            <v>43366</v>
          </cell>
        </row>
        <row r="2807">
          <cell r="A2807">
            <v>43495</v>
          </cell>
        </row>
        <row r="2808">
          <cell r="A2808">
            <v>43150</v>
          </cell>
        </row>
        <row r="2809">
          <cell r="A2809">
            <v>43784</v>
          </cell>
        </row>
        <row r="2810">
          <cell r="A2810">
            <v>43430</v>
          </cell>
        </row>
        <row r="2811">
          <cell r="A2811">
            <v>43136</v>
          </cell>
        </row>
        <row r="2812">
          <cell r="A2812">
            <v>43200</v>
          </cell>
        </row>
        <row r="2813">
          <cell r="A2813">
            <v>43914</v>
          </cell>
        </row>
        <row r="2814">
          <cell r="A2814">
            <v>43213</v>
          </cell>
        </row>
        <row r="2815">
          <cell r="A2815">
            <v>43529</v>
          </cell>
        </row>
        <row r="2816">
          <cell r="A2816">
            <v>43465</v>
          </cell>
        </row>
        <row r="2817">
          <cell r="A2817">
            <v>43575</v>
          </cell>
        </row>
        <row r="2818">
          <cell r="A2818">
            <v>43771</v>
          </cell>
        </row>
        <row r="2819">
          <cell r="A2819">
            <v>43330</v>
          </cell>
        </row>
        <row r="2820">
          <cell r="A2820">
            <v>43612</v>
          </cell>
        </row>
        <row r="2821">
          <cell r="A2821">
            <v>43761</v>
          </cell>
        </row>
        <row r="2822">
          <cell r="A2822">
            <v>43481</v>
          </cell>
        </row>
        <row r="2823">
          <cell r="A2823">
            <v>43180</v>
          </cell>
        </row>
        <row r="2824">
          <cell r="A2824">
            <v>43675</v>
          </cell>
        </row>
        <row r="2825">
          <cell r="A2825">
            <v>43615</v>
          </cell>
        </row>
        <row r="2826">
          <cell r="A2826">
            <v>43513</v>
          </cell>
        </row>
        <row r="2827">
          <cell r="A2827">
            <v>43263</v>
          </cell>
        </row>
        <row r="2828">
          <cell r="A2828">
            <v>43220</v>
          </cell>
        </row>
        <row r="2829">
          <cell r="A2829">
            <v>43689</v>
          </cell>
        </row>
        <row r="2830">
          <cell r="A2830">
            <v>43518</v>
          </cell>
        </row>
        <row r="2831">
          <cell r="A2831">
            <v>43164</v>
          </cell>
        </row>
        <row r="2832">
          <cell r="A2832">
            <v>43223</v>
          </cell>
        </row>
        <row r="2833">
          <cell r="A2833">
            <v>43459</v>
          </cell>
        </row>
        <row r="2834">
          <cell r="A2834">
            <v>43519</v>
          </cell>
        </row>
        <row r="2835">
          <cell r="A2835">
            <v>43701</v>
          </cell>
        </row>
        <row r="2836">
          <cell r="A2836">
            <v>43211</v>
          </cell>
        </row>
        <row r="2837">
          <cell r="A2837">
            <v>43273</v>
          </cell>
        </row>
        <row r="2838">
          <cell r="A2838">
            <v>43300</v>
          </cell>
        </row>
        <row r="2839">
          <cell r="A2839">
            <v>43571</v>
          </cell>
        </row>
        <row r="2840">
          <cell r="A2840">
            <v>43464</v>
          </cell>
        </row>
        <row r="2841">
          <cell r="A2841">
            <v>43136</v>
          </cell>
        </row>
        <row r="2842">
          <cell r="A2842">
            <v>43734</v>
          </cell>
        </row>
        <row r="2843">
          <cell r="A2843">
            <v>43194</v>
          </cell>
        </row>
        <row r="2844">
          <cell r="A2844">
            <v>43557</v>
          </cell>
        </row>
        <row r="2845">
          <cell r="A2845">
            <v>43808</v>
          </cell>
        </row>
        <row r="2846">
          <cell r="A2846">
            <v>43143</v>
          </cell>
        </row>
        <row r="2847">
          <cell r="A2847">
            <v>43533</v>
          </cell>
        </row>
        <row r="2848">
          <cell r="A2848">
            <v>43506</v>
          </cell>
        </row>
        <row r="2849">
          <cell r="A2849">
            <v>43761</v>
          </cell>
        </row>
        <row r="2850">
          <cell r="A2850">
            <v>43510</v>
          </cell>
        </row>
        <row r="2851">
          <cell r="A2851">
            <v>43789</v>
          </cell>
        </row>
        <row r="2852">
          <cell r="A2852">
            <v>43858</v>
          </cell>
        </row>
        <row r="2853">
          <cell r="A2853">
            <v>43685</v>
          </cell>
        </row>
        <row r="2854">
          <cell r="A2854">
            <v>43506</v>
          </cell>
        </row>
        <row r="2855">
          <cell r="A2855">
            <v>43638</v>
          </cell>
        </row>
        <row r="2856">
          <cell r="A2856">
            <v>43649</v>
          </cell>
        </row>
        <row r="2857">
          <cell r="A2857">
            <v>43473</v>
          </cell>
        </row>
        <row r="2858">
          <cell r="A2858">
            <v>43182</v>
          </cell>
        </row>
        <row r="2859">
          <cell r="A2859">
            <v>43649</v>
          </cell>
        </row>
        <row r="2860">
          <cell r="A2860">
            <v>43339</v>
          </cell>
        </row>
        <row r="2861">
          <cell r="A2861">
            <v>43732</v>
          </cell>
        </row>
        <row r="2862">
          <cell r="A2862">
            <v>43562</v>
          </cell>
        </row>
        <row r="2863">
          <cell r="A2863">
            <v>43780</v>
          </cell>
        </row>
        <row r="2864">
          <cell r="A2864">
            <v>43655</v>
          </cell>
        </row>
        <row r="2865">
          <cell r="A2865">
            <v>43818</v>
          </cell>
        </row>
        <row r="2866">
          <cell r="A2866">
            <v>43534</v>
          </cell>
        </row>
        <row r="2867">
          <cell r="A2867">
            <v>43454</v>
          </cell>
        </row>
        <row r="2868">
          <cell r="A2868">
            <v>43248</v>
          </cell>
        </row>
        <row r="2869">
          <cell r="A2869">
            <v>43824</v>
          </cell>
        </row>
        <row r="2870">
          <cell r="A2870">
            <v>43535</v>
          </cell>
        </row>
        <row r="2871">
          <cell r="A2871">
            <v>43835</v>
          </cell>
        </row>
        <row r="2872">
          <cell r="A2872">
            <v>43921</v>
          </cell>
        </row>
        <row r="2873">
          <cell r="A2873">
            <v>43825</v>
          </cell>
        </row>
        <row r="2874">
          <cell r="A2874">
            <v>43447</v>
          </cell>
        </row>
        <row r="2875">
          <cell r="A2875">
            <v>43148</v>
          </cell>
        </row>
        <row r="2876">
          <cell r="A2876">
            <v>43874</v>
          </cell>
        </row>
        <row r="2877">
          <cell r="A2877">
            <v>43741</v>
          </cell>
        </row>
        <row r="2878">
          <cell r="A2878">
            <v>43237</v>
          </cell>
        </row>
        <row r="2879">
          <cell r="A2879">
            <v>43789</v>
          </cell>
        </row>
        <row r="2880">
          <cell r="A2880">
            <v>43706</v>
          </cell>
        </row>
        <row r="2881">
          <cell r="A2881">
            <v>43671</v>
          </cell>
        </row>
        <row r="2882">
          <cell r="A2882">
            <v>43238</v>
          </cell>
        </row>
        <row r="2883">
          <cell r="A2883">
            <v>43701</v>
          </cell>
        </row>
        <row r="2884">
          <cell r="A2884">
            <v>43172</v>
          </cell>
        </row>
        <row r="2885">
          <cell r="A2885">
            <v>43285</v>
          </cell>
        </row>
        <row r="2886">
          <cell r="A2886">
            <v>43425</v>
          </cell>
        </row>
        <row r="2887">
          <cell r="A2887">
            <v>43540</v>
          </cell>
        </row>
        <row r="2888">
          <cell r="A2888">
            <v>43255</v>
          </cell>
        </row>
        <row r="2889">
          <cell r="A2889">
            <v>43176</v>
          </cell>
        </row>
        <row r="2890">
          <cell r="A2890">
            <v>43813</v>
          </cell>
        </row>
        <row r="2891">
          <cell r="A2891">
            <v>43637</v>
          </cell>
        </row>
        <row r="2892">
          <cell r="A2892">
            <v>43293</v>
          </cell>
        </row>
        <row r="2893">
          <cell r="A2893">
            <v>43720</v>
          </cell>
        </row>
        <row r="2894">
          <cell r="A2894">
            <v>43355</v>
          </cell>
        </row>
        <row r="2895">
          <cell r="A2895">
            <v>43732</v>
          </cell>
        </row>
        <row r="2896">
          <cell r="A2896">
            <v>43540</v>
          </cell>
        </row>
        <row r="2897">
          <cell r="A2897">
            <v>43589</v>
          </cell>
        </row>
        <row r="2898">
          <cell r="A2898">
            <v>43334</v>
          </cell>
        </row>
        <row r="2899">
          <cell r="A2899">
            <v>43698</v>
          </cell>
        </row>
        <row r="2900">
          <cell r="A2900">
            <v>43218</v>
          </cell>
        </row>
        <row r="2901">
          <cell r="A2901">
            <v>43662</v>
          </cell>
        </row>
        <row r="2902">
          <cell r="A2902">
            <v>43366</v>
          </cell>
        </row>
        <row r="2903">
          <cell r="A2903">
            <v>43864</v>
          </cell>
        </row>
        <row r="2904">
          <cell r="A2904">
            <v>43842</v>
          </cell>
        </row>
        <row r="2905">
          <cell r="A2905">
            <v>43583</v>
          </cell>
        </row>
        <row r="2906">
          <cell r="A2906">
            <v>43335</v>
          </cell>
        </row>
        <row r="2907">
          <cell r="A2907">
            <v>43103</v>
          </cell>
        </row>
        <row r="2908">
          <cell r="A2908">
            <v>43701</v>
          </cell>
        </row>
        <row r="2909">
          <cell r="A2909">
            <v>43630</v>
          </cell>
        </row>
        <row r="2910">
          <cell r="A2910">
            <v>43142</v>
          </cell>
        </row>
        <row r="2911">
          <cell r="A2911">
            <v>43242</v>
          </cell>
        </row>
        <row r="2912">
          <cell r="A2912">
            <v>43835</v>
          </cell>
        </row>
        <row r="2913">
          <cell r="A2913">
            <v>43761</v>
          </cell>
        </row>
        <row r="2914">
          <cell r="A2914">
            <v>43737</v>
          </cell>
        </row>
        <row r="2915">
          <cell r="A2915">
            <v>43298</v>
          </cell>
        </row>
        <row r="2916">
          <cell r="A2916">
            <v>43360</v>
          </cell>
        </row>
        <row r="2917">
          <cell r="A2917">
            <v>43453</v>
          </cell>
        </row>
        <row r="2918">
          <cell r="A2918">
            <v>43288</v>
          </cell>
        </row>
        <row r="2919">
          <cell r="A2919">
            <v>43799</v>
          </cell>
        </row>
        <row r="2920">
          <cell r="A2920">
            <v>43712</v>
          </cell>
        </row>
        <row r="2921">
          <cell r="A2921">
            <v>43807</v>
          </cell>
        </row>
        <row r="2922">
          <cell r="A2922">
            <v>43397</v>
          </cell>
        </row>
        <row r="2923">
          <cell r="A2923">
            <v>43108</v>
          </cell>
        </row>
        <row r="2924">
          <cell r="A2924">
            <v>43660</v>
          </cell>
        </row>
        <row r="2925">
          <cell r="A2925">
            <v>43151</v>
          </cell>
        </row>
        <row r="2926">
          <cell r="A2926">
            <v>43919</v>
          </cell>
        </row>
        <row r="2927">
          <cell r="A2927">
            <v>43354</v>
          </cell>
        </row>
        <row r="2928">
          <cell r="A2928">
            <v>43160</v>
          </cell>
        </row>
        <row r="2929">
          <cell r="A2929">
            <v>43157</v>
          </cell>
        </row>
        <row r="2930">
          <cell r="A2930">
            <v>43108</v>
          </cell>
        </row>
        <row r="2931">
          <cell r="A2931">
            <v>43514</v>
          </cell>
        </row>
        <row r="2932">
          <cell r="A2932">
            <v>43894</v>
          </cell>
        </row>
        <row r="2933">
          <cell r="A2933">
            <v>43605</v>
          </cell>
        </row>
        <row r="2934">
          <cell r="A2934">
            <v>43274</v>
          </cell>
        </row>
        <row r="2935">
          <cell r="A2935">
            <v>43625</v>
          </cell>
        </row>
        <row r="2936">
          <cell r="A2936">
            <v>43283</v>
          </cell>
        </row>
        <row r="2937">
          <cell r="A2937">
            <v>43350</v>
          </cell>
        </row>
        <row r="2938">
          <cell r="A2938">
            <v>43801</v>
          </cell>
        </row>
        <row r="2939">
          <cell r="A2939">
            <v>43322</v>
          </cell>
        </row>
        <row r="2940">
          <cell r="A2940">
            <v>43658</v>
          </cell>
        </row>
        <row r="2941">
          <cell r="A2941">
            <v>43339</v>
          </cell>
        </row>
        <row r="2942">
          <cell r="A2942">
            <v>43239</v>
          </cell>
        </row>
        <row r="2943">
          <cell r="A2943">
            <v>43916</v>
          </cell>
        </row>
        <row r="2944">
          <cell r="A2944">
            <v>43764</v>
          </cell>
        </row>
        <row r="2945">
          <cell r="A2945">
            <v>43217</v>
          </cell>
        </row>
        <row r="2946">
          <cell r="A2946">
            <v>43845</v>
          </cell>
        </row>
        <row r="2947">
          <cell r="A2947">
            <v>43646</v>
          </cell>
        </row>
        <row r="2948">
          <cell r="A2948">
            <v>43139</v>
          </cell>
        </row>
        <row r="2949">
          <cell r="A2949">
            <v>43861</v>
          </cell>
        </row>
        <row r="2950">
          <cell r="A2950">
            <v>43259</v>
          </cell>
        </row>
        <row r="2951">
          <cell r="A2951">
            <v>43770</v>
          </cell>
        </row>
        <row r="2952">
          <cell r="A2952">
            <v>43120</v>
          </cell>
        </row>
        <row r="2953">
          <cell r="A2953">
            <v>43444</v>
          </cell>
        </row>
        <row r="2954">
          <cell r="A2954">
            <v>43262</v>
          </cell>
        </row>
        <row r="2955">
          <cell r="A2955">
            <v>43858</v>
          </cell>
        </row>
        <row r="2956">
          <cell r="A2956">
            <v>43436</v>
          </cell>
        </row>
        <row r="2957">
          <cell r="A2957">
            <v>43364</v>
          </cell>
        </row>
        <row r="2958">
          <cell r="A2958">
            <v>43701</v>
          </cell>
        </row>
        <row r="2959">
          <cell r="A2959">
            <v>43781</v>
          </cell>
        </row>
        <row r="2960">
          <cell r="A2960">
            <v>43249</v>
          </cell>
        </row>
        <row r="2961">
          <cell r="A2961">
            <v>43361</v>
          </cell>
        </row>
        <row r="2962">
          <cell r="A2962">
            <v>43803</v>
          </cell>
        </row>
        <row r="2963">
          <cell r="A2963">
            <v>43546</v>
          </cell>
        </row>
        <row r="2964">
          <cell r="A2964">
            <v>43547</v>
          </cell>
        </row>
        <row r="2965">
          <cell r="A2965">
            <v>43192</v>
          </cell>
        </row>
        <row r="2966">
          <cell r="A2966">
            <v>43325</v>
          </cell>
        </row>
        <row r="2967">
          <cell r="A2967">
            <v>43696</v>
          </cell>
        </row>
        <row r="2968">
          <cell r="A2968">
            <v>43107</v>
          </cell>
        </row>
        <row r="2969">
          <cell r="A2969">
            <v>43127</v>
          </cell>
        </row>
        <row r="2970">
          <cell r="A2970">
            <v>43607</v>
          </cell>
        </row>
        <row r="2971">
          <cell r="A2971">
            <v>43382</v>
          </cell>
        </row>
        <row r="2972">
          <cell r="A2972">
            <v>43219</v>
          </cell>
        </row>
        <row r="2973">
          <cell r="A2973">
            <v>43703</v>
          </cell>
        </row>
        <row r="2974">
          <cell r="A2974">
            <v>43677</v>
          </cell>
        </row>
        <row r="2975">
          <cell r="A2975">
            <v>43265</v>
          </cell>
        </row>
        <row r="2976">
          <cell r="A2976">
            <v>43588</v>
          </cell>
        </row>
        <row r="2977">
          <cell r="A2977">
            <v>43536</v>
          </cell>
        </row>
        <row r="2978">
          <cell r="A2978">
            <v>43187</v>
          </cell>
        </row>
        <row r="2979">
          <cell r="A2979">
            <v>43358</v>
          </cell>
        </row>
        <row r="2980">
          <cell r="A2980">
            <v>43106</v>
          </cell>
        </row>
        <row r="2981">
          <cell r="A2981">
            <v>43713</v>
          </cell>
        </row>
        <row r="2982">
          <cell r="A2982">
            <v>43612</v>
          </cell>
        </row>
        <row r="2983">
          <cell r="A2983">
            <v>43624</v>
          </cell>
        </row>
        <row r="2984">
          <cell r="A2984">
            <v>43498</v>
          </cell>
        </row>
        <row r="2985">
          <cell r="A2985">
            <v>43207</v>
          </cell>
        </row>
        <row r="2986">
          <cell r="A2986">
            <v>43306</v>
          </cell>
        </row>
        <row r="2987">
          <cell r="A2987">
            <v>43698</v>
          </cell>
        </row>
        <row r="2988">
          <cell r="A2988">
            <v>43664</v>
          </cell>
        </row>
        <row r="2989">
          <cell r="A2989">
            <v>43214</v>
          </cell>
        </row>
        <row r="2990">
          <cell r="A2990">
            <v>43895</v>
          </cell>
        </row>
        <row r="2991">
          <cell r="A2991">
            <v>43277</v>
          </cell>
        </row>
        <row r="2992">
          <cell r="A2992">
            <v>43308</v>
          </cell>
        </row>
        <row r="2993">
          <cell r="A2993">
            <v>43857</v>
          </cell>
        </row>
        <row r="2994">
          <cell r="A2994">
            <v>43889</v>
          </cell>
        </row>
        <row r="2995">
          <cell r="A2995">
            <v>43604</v>
          </cell>
        </row>
        <row r="2996">
          <cell r="A2996">
            <v>43608</v>
          </cell>
        </row>
        <row r="2997">
          <cell r="A2997">
            <v>43855</v>
          </cell>
        </row>
        <row r="2998">
          <cell r="A2998">
            <v>43157</v>
          </cell>
        </row>
        <row r="2999">
          <cell r="A2999">
            <v>43499</v>
          </cell>
        </row>
        <row r="3000">
          <cell r="A3000">
            <v>43396</v>
          </cell>
        </row>
        <row r="3001">
          <cell r="A3001">
            <v>43211</v>
          </cell>
        </row>
        <row r="3002">
          <cell r="A3002">
            <v>43327</v>
          </cell>
        </row>
        <row r="3003">
          <cell r="A3003">
            <v>43423</v>
          </cell>
        </row>
        <row r="3004">
          <cell r="A3004">
            <v>43650</v>
          </cell>
        </row>
        <row r="3005">
          <cell r="A3005">
            <v>43179</v>
          </cell>
        </row>
        <row r="3006">
          <cell r="A3006">
            <v>43769</v>
          </cell>
        </row>
        <row r="3007">
          <cell r="A3007">
            <v>43208</v>
          </cell>
        </row>
        <row r="3008">
          <cell r="A3008">
            <v>43754</v>
          </cell>
        </row>
        <row r="3009">
          <cell r="A3009">
            <v>43573</v>
          </cell>
        </row>
        <row r="3010">
          <cell r="A3010">
            <v>43320</v>
          </cell>
        </row>
        <row r="3011">
          <cell r="A3011">
            <v>43445</v>
          </cell>
        </row>
        <row r="3012">
          <cell r="A3012">
            <v>43492</v>
          </cell>
        </row>
        <row r="3013">
          <cell r="A3013">
            <v>43279</v>
          </cell>
        </row>
        <row r="3014">
          <cell r="A3014">
            <v>43471</v>
          </cell>
        </row>
        <row r="3015">
          <cell r="A3015">
            <v>43660</v>
          </cell>
        </row>
        <row r="3016">
          <cell r="A3016">
            <v>43354</v>
          </cell>
        </row>
        <row r="3017">
          <cell r="A3017">
            <v>43380</v>
          </cell>
        </row>
        <row r="3018">
          <cell r="A3018">
            <v>43805</v>
          </cell>
        </row>
        <row r="3019">
          <cell r="A3019">
            <v>43145</v>
          </cell>
        </row>
        <row r="3020">
          <cell r="A3020">
            <v>43856</v>
          </cell>
        </row>
        <row r="3021">
          <cell r="A3021">
            <v>43116</v>
          </cell>
        </row>
        <row r="3022">
          <cell r="A3022">
            <v>43592</v>
          </cell>
        </row>
        <row r="3023">
          <cell r="A3023">
            <v>43614</v>
          </cell>
        </row>
        <row r="3024">
          <cell r="A3024">
            <v>43268</v>
          </cell>
        </row>
        <row r="3025">
          <cell r="A3025">
            <v>43622</v>
          </cell>
        </row>
        <row r="3026">
          <cell r="A3026">
            <v>43390</v>
          </cell>
        </row>
        <row r="3027">
          <cell r="A3027">
            <v>43652</v>
          </cell>
        </row>
        <row r="3028">
          <cell r="A3028">
            <v>43818</v>
          </cell>
        </row>
        <row r="3029">
          <cell r="A3029">
            <v>43154</v>
          </cell>
        </row>
        <row r="3030">
          <cell r="A3030">
            <v>43412</v>
          </cell>
        </row>
        <row r="3031">
          <cell r="A3031">
            <v>43399</v>
          </cell>
        </row>
        <row r="3032">
          <cell r="A3032">
            <v>43566</v>
          </cell>
        </row>
        <row r="3033">
          <cell r="A3033">
            <v>43711</v>
          </cell>
        </row>
        <row r="3034">
          <cell r="A3034">
            <v>43515</v>
          </cell>
        </row>
        <row r="3035">
          <cell r="A3035">
            <v>43832</v>
          </cell>
        </row>
        <row r="3036">
          <cell r="A3036">
            <v>43674</v>
          </cell>
        </row>
        <row r="3037">
          <cell r="A3037">
            <v>43658</v>
          </cell>
        </row>
        <row r="3038">
          <cell r="A3038">
            <v>43771</v>
          </cell>
        </row>
        <row r="3039">
          <cell r="A3039">
            <v>43667</v>
          </cell>
        </row>
        <row r="3040">
          <cell r="A3040">
            <v>43612</v>
          </cell>
        </row>
        <row r="3041">
          <cell r="A3041">
            <v>43690</v>
          </cell>
        </row>
        <row r="3042">
          <cell r="A3042">
            <v>43140</v>
          </cell>
        </row>
        <row r="3043">
          <cell r="A3043">
            <v>43254</v>
          </cell>
        </row>
        <row r="3044">
          <cell r="A3044">
            <v>43401</v>
          </cell>
        </row>
        <row r="3045">
          <cell r="A3045">
            <v>43483</v>
          </cell>
        </row>
        <row r="3046">
          <cell r="A3046">
            <v>43330</v>
          </cell>
        </row>
        <row r="3047">
          <cell r="A3047">
            <v>43167</v>
          </cell>
        </row>
        <row r="3048">
          <cell r="A3048">
            <v>43425</v>
          </cell>
        </row>
        <row r="3049">
          <cell r="A3049">
            <v>43600</v>
          </cell>
        </row>
        <row r="3050">
          <cell r="A3050">
            <v>43802</v>
          </cell>
        </row>
        <row r="3051">
          <cell r="A3051">
            <v>43387</v>
          </cell>
        </row>
        <row r="3052">
          <cell r="A3052">
            <v>43738</v>
          </cell>
        </row>
        <row r="3053">
          <cell r="A3053">
            <v>43144</v>
          </cell>
        </row>
        <row r="3054">
          <cell r="A3054">
            <v>43236</v>
          </cell>
        </row>
        <row r="3055">
          <cell r="A3055">
            <v>43847</v>
          </cell>
        </row>
        <row r="3056">
          <cell r="A3056">
            <v>43293</v>
          </cell>
        </row>
        <row r="3057">
          <cell r="A3057">
            <v>43491</v>
          </cell>
        </row>
        <row r="3058">
          <cell r="A3058">
            <v>43706</v>
          </cell>
        </row>
        <row r="3059">
          <cell r="A3059">
            <v>43145</v>
          </cell>
        </row>
        <row r="3060">
          <cell r="A3060">
            <v>43683</v>
          </cell>
        </row>
        <row r="3061">
          <cell r="A3061">
            <v>43469</v>
          </cell>
        </row>
        <row r="3062">
          <cell r="A3062">
            <v>43494</v>
          </cell>
        </row>
        <row r="3063">
          <cell r="A3063">
            <v>43320</v>
          </cell>
        </row>
        <row r="3064">
          <cell r="A3064">
            <v>43637</v>
          </cell>
        </row>
        <row r="3065">
          <cell r="A3065">
            <v>43622</v>
          </cell>
        </row>
        <row r="3066">
          <cell r="A3066">
            <v>43834</v>
          </cell>
        </row>
        <row r="3067">
          <cell r="A3067">
            <v>43170</v>
          </cell>
        </row>
        <row r="3068">
          <cell r="A3068">
            <v>43545</v>
          </cell>
        </row>
        <row r="3069">
          <cell r="A3069">
            <v>43886</v>
          </cell>
        </row>
        <row r="3070">
          <cell r="A3070">
            <v>43367</v>
          </cell>
        </row>
        <row r="3071">
          <cell r="A3071">
            <v>43103</v>
          </cell>
        </row>
        <row r="3072">
          <cell r="A3072">
            <v>43209</v>
          </cell>
        </row>
        <row r="3073">
          <cell r="A3073">
            <v>43589</v>
          </cell>
        </row>
        <row r="3074">
          <cell r="A3074">
            <v>43429</v>
          </cell>
        </row>
        <row r="3075">
          <cell r="A3075">
            <v>43205</v>
          </cell>
        </row>
        <row r="3076">
          <cell r="A3076">
            <v>43533</v>
          </cell>
        </row>
        <row r="3077">
          <cell r="A3077">
            <v>43788</v>
          </cell>
        </row>
        <row r="3078">
          <cell r="A3078">
            <v>43444</v>
          </cell>
        </row>
        <row r="3079">
          <cell r="A3079">
            <v>43667</v>
          </cell>
        </row>
        <row r="3080">
          <cell r="A3080">
            <v>43584</v>
          </cell>
        </row>
        <row r="3081">
          <cell r="A3081">
            <v>43362</v>
          </cell>
        </row>
        <row r="3082">
          <cell r="A3082">
            <v>43331</v>
          </cell>
        </row>
        <row r="3083">
          <cell r="A3083">
            <v>43638</v>
          </cell>
        </row>
        <row r="3084">
          <cell r="A3084">
            <v>43253</v>
          </cell>
        </row>
        <row r="3085">
          <cell r="A3085">
            <v>43386</v>
          </cell>
        </row>
        <row r="3086">
          <cell r="A3086">
            <v>43433</v>
          </cell>
        </row>
        <row r="3087">
          <cell r="A3087">
            <v>43774</v>
          </cell>
        </row>
        <row r="3088">
          <cell r="A3088">
            <v>43548</v>
          </cell>
        </row>
        <row r="3089">
          <cell r="A3089">
            <v>43674</v>
          </cell>
        </row>
        <row r="3090">
          <cell r="A3090">
            <v>43272</v>
          </cell>
        </row>
        <row r="3091">
          <cell r="A3091">
            <v>43456</v>
          </cell>
        </row>
        <row r="3092">
          <cell r="A3092">
            <v>43912</v>
          </cell>
        </row>
        <row r="3093">
          <cell r="A3093">
            <v>43714</v>
          </cell>
        </row>
        <row r="3094">
          <cell r="A3094">
            <v>43870</v>
          </cell>
        </row>
        <row r="3095">
          <cell r="A3095">
            <v>43915</v>
          </cell>
        </row>
        <row r="3096">
          <cell r="A3096">
            <v>43375</v>
          </cell>
        </row>
        <row r="3097">
          <cell r="A3097">
            <v>43417</v>
          </cell>
        </row>
        <row r="3098">
          <cell r="A3098">
            <v>43113</v>
          </cell>
        </row>
        <row r="3099">
          <cell r="A3099">
            <v>43375</v>
          </cell>
        </row>
        <row r="3100">
          <cell r="A3100">
            <v>43855</v>
          </cell>
        </row>
        <row r="3101">
          <cell r="A3101">
            <v>43740</v>
          </cell>
        </row>
        <row r="3102">
          <cell r="A3102">
            <v>43107</v>
          </cell>
        </row>
        <row r="3103">
          <cell r="A3103">
            <v>43103</v>
          </cell>
        </row>
        <row r="3104">
          <cell r="A3104">
            <v>43389</v>
          </cell>
        </row>
        <row r="3105">
          <cell r="A3105">
            <v>43734</v>
          </cell>
        </row>
        <row r="3106">
          <cell r="A3106">
            <v>43448</v>
          </cell>
        </row>
        <row r="3107">
          <cell r="A3107">
            <v>43623</v>
          </cell>
        </row>
        <row r="3108">
          <cell r="A3108">
            <v>43837</v>
          </cell>
        </row>
        <row r="3109">
          <cell r="A3109">
            <v>43555</v>
          </cell>
        </row>
        <row r="3110">
          <cell r="A3110">
            <v>43487</v>
          </cell>
        </row>
        <row r="3111">
          <cell r="A3111">
            <v>43242</v>
          </cell>
        </row>
        <row r="3112">
          <cell r="A3112">
            <v>43682</v>
          </cell>
        </row>
        <row r="3113">
          <cell r="A3113">
            <v>43555</v>
          </cell>
        </row>
        <row r="3114">
          <cell r="A3114">
            <v>43831</v>
          </cell>
        </row>
        <row r="3115">
          <cell r="A3115">
            <v>43283</v>
          </cell>
        </row>
        <row r="3116">
          <cell r="A3116">
            <v>43203</v>
          </cell>
        </row>
        <row r="3117">
          <cell r="A3117">
            <v>43613</v>
          </cell>
        </row>
        <row r="3118">
          <cell r="A3118">
            <v>43498</v>
          </cell>
        </row>
        <row r="3119">
          <cell r="A3119">
            <v>43521</v>
          </cell>
        </row>
        <row r="3120">
          <cell r="A3120">
            <v>43489</v>
          </cell>
        </row>
        <row r="3121">
          <cell r="A3121">
            <v>43685</v>
          </cell>
        </row>
        <row r="3122">
          <cell r="A3122">
            <v>43391</v>
          </cell>
        </row>
        <row r="3123">
          <cell r="A3123">
            <v>43340</v>
          </cell>
        </row>
        <row r="3124">
          <cell r="A3124">
            <v>43801</v>
          </cell>
        </row>
        <row r="3125">
          <cell r="A3125">
            <v>43338</v>
          </cell>
        </row>
        <row r="3126">
          <cell r="A3126">
            <v>43879</v>
          </cell>
        </row>
        <row r="3127">
          <cell r="A3127">
            <v>43670</v>
          </cell>
        </row>
        <row r="3128">
          <cell r="A3128">
            <v>43673</v>
          </cell>
        </row>
        <row r="3129">
          <cell r="A3129">
            <v>43255</v>
          </cell>
        </row>
        <row r="3130">
          <cell r="A3130">
            <v>43137</v>
          </cell>
        </row>
        <row r="3131">
          <cell r="A3131">
            <v>43309</v>
          </cell>
        </row>
        <row r="3132">
          <cell r="A3132">
            <v>43157</v>
          </cell>
        </row>
        <row r="3133">
          <cell r="A3133">
            <v>43225</v>
          </cell>
        </row>
        <row r="3134">
          <cell r="A3134">
            <v>43564</v>
          </cell>
        </row>
        <row r="3135">
          <cell r="A3135">
            <v>43204</v>
          </cell>
        </row>
        <row r="3136">
          <cell r="A3136">
            <v>43294</v>
          </cell>
        </row>
        <row r="3137">
          <cell r="A3137">
            <v>43121</v>
          </cell>
        </row>
        <row r="3138">
          <cell r="A3138">
            <v>43322</v>
          </cell>
        </row>
        <row r="3139">
          <cell r="A3139">
            <v>43227</v>
          </cell>
        </row>
        <row r="3140">
          <cell r="A3140">
            <v>43710</v>
          </cell>
        </row>
        <row r="3141">
          <cell r="A3141">
            <v>43528</v>
          </cell>
        </row>
        <row r="3142">
          <cell r="A3142">
            <v>43380</v>
          </cell>
        </row>
        <row r="3143">
          <cell r="A3143">
            <v>43761</v>
          </cell>
        </row>
        <row r="3144">
          <cell r="A3144">
            <v>43395</v>
          </cell>
        </row>
        <row r="3145">
          <cell r="A3145">
            <v>43212</v>
          </cell>
        </row>
        <row r="3146">
          <cell r="A3146">
            <v>43660</v>
          </cell>
        </row>
        <row r="3147">
          <cell r="A3147">
            <v>43820</v>
          </cell>
        </row>
        <row r="3148">
          <cell r="A3148">
            <v>43801</v>
          </cell>
        </row>
        <row r="3149">
          <cell r="A3149">
            <v>43642</v>
          </cell>
        </row>
        <row r="3150">
          <cell r="A3150">
            <v>43609</v>
          </cell>
        </row>
        <row r="3151">
          <cell r="A3151">
            <v>43228</v>
          </cell>
        </row>
        <row r="3152">
          <cell r="A3152">
            <v>43851</v>
          </cell>
        </row>
        <row r="3153">
          <cell r="A3153">
            <v>43771</v>
          </cell>
        </row>
        <row r="3154">
          <cell r="A3154">
            <v>43514</v>
          </cell>
        </row>
        <row r="3155">
          <cell r="A3155">
            <v>43365</v>
          </cell>
        </row>
        <row r="3156">
          <cell r="A3156">
            <v>43811</v>
          </cell>
        </row>
        <row r="3157">
          <cell r="A3157">
            <v>43215</v>
          </cell>
        </row>
        <row r="3158">
          <cell r="A3158">
            <v>43880</v>
          </cell>
        </row>
        <row r="3159">
          <cell r="A3159">
            <v>43783</v>
          </cell>
        </row>
        <row r="3160">
          <cell r="A3160">
            <v>43627</v>
          </cell>
        </row>
        <row r="3161">
          <cell r="A3161">
            <v>43566</v>
          </cell>
        </row>
        <row r="3162">
          <cell r="A3162">
            <v>43660</v>
          </cell>
        </row>
        <row r="3163">
          <cell r="A3163">
            <v>43764</v>
          </cell>
        </row>
        <row r="3164">
          <cell r="A3164">
            <v>43585</v>
          </cell>
        </row>
        <row r="3165">
          <cell r="A3165">
            <v>43892</v>
          </cell>
        </row>
        <row r="3166">
          <cell r="A3166">
            <v>43558</v>
          </cell>
        </row>
        <row r="3167">
          <cell r="A3167">
            <v>43650</v>
          </cell>
        </row>
        <row r="3168">
          <cell r="A3168">
            <v>43788</v>
          </cell>
        </row>
        <row r="3169">
          <cell r="A3169">
            <v>43678</v>
          </cell>
        </row>
        <row r="3170">
          <cell r="A3170">
            <v>43149</v>
          </cell>
        </row>
        <row r="3171">
          <cell r="A3171">
            <v>43367</v>
          </cell>
        </row>
        <row r="3172">
          <cell r="A3172">
            <v>43424</v>
          </cell>
        </row>
        <row r="3173">
          <cell r="A3173">
            <v>43876</v>
          </cell>
        </row>
        <row r="3174">
          <cell r="A3174">
            <v>43599</v>
          </cell>
        </row>
        <row r="3175">
          <cell r="A3175">
            <v>43403</v>
          </cell>
        </row>
        <row r="3176">
          <cell r="A3176">
            <v>43568</v>
          </cell>
        </row>
        <row r="3177">
          <cell r="A3177">
            <v>43649</v>
          </cell>
        </row>
        <row r="3178">
          <cell r="A3178">
            <v>43418</v>
          </cell>
        </row>
        <row r="3179">
          <cell r="A3179">
            <v>43828</v>
          </cell>
        </row>
        <row r="3180">
          <cell r="A3180">
            <v>43419</v>
          </cell>
        </row>
        <row r="3181">
          <cell r="A3181">
            <v>43750</v>
          </cell>
        </row>
        <row r="3182">
          <cell r="A3182">
            <v>43507</v>
          </cell>
        </row>
        <row r="3183">
          <cell r="A3183">
            <v>43559</v>
          </cell>
        </row>
        <row r="3184">
          <cell r="A3184">
            <v>43144</v>
          </cell>
        </row>
        <row r="3185">
          <cell r="A3185">
            <v>43157</v>
          </cell>
        </row>
        <row r="3186">
          <cell r="A3186">
            <v>43177</v>
          </cell>
        </row>
        <row r="3187">
          <cell r="A3187">
            <v>43633</v>
          </cell>
        </row>
        <row r="3188">
          <cell r="A3188">
            <v>43458</v>
          </cell>
        </row>
        <row r="3189">
          <cell r="A3189">
            <v>43827</v>
          </cell>
        </row>
        <row r="3190">
          <cell r="A3190">
            <v>43256</v>
          </cell>
        </row>
        <row r="3191">
          <cell r="A3191">
            <v>43563</v>
          </cell>
        </row>
        <row r="3192">
          <cell r="A3192">
            <v>43700</v>
          </cell>
        </row>
        <row r="3193">
          <cell r="A3193">
            <v>43132</v>
          </cell>
        </row>
        <row r="3194">
          <cell r="A3194">
            <v>43756</v>
          </cell>
        </row>
        <row r="3195">
          <cell r="A3195">
            <v>43778</v>
          </cell>
        </row>
        <row r="3196">
          <cell r="A3196">
            <v>43729</v>
          </cell>
        </row>
        <row r="3197">
          <cell r="A3197">
            <v>43648</v>
          </cell>
        </row>
        <row r="3198">
          <cell r="A3198">
            <v>43909</v>
          </cell>
        </row>
        <row r="3199">
          <cell r="A3199">
            <v>43780</v>
          </cell>
        </row>
        <row r="3200">
          <cell r="A3200">
            <v>43236</v>
          </cell>
        </row>
        <row r="3201">
          <cell r="A3201">
            <v>43193</v>
          </cell>
        </row>
        <row r="3202">
          <cell r="A3202">
            <v>43385</v>
          </cell>
        </row>
        <row r="3203">
          <cell r="A3203">
            <v>43679</v>
          </cell>
        </row>
        <row r="3204">
          <cell r="A3204">
            <v>43812</v>
          </cell>
        </row>
        <row r="3205">
          <cell r="A3205">
            <v>43240</v>
          </cell>
        </row>
        <row r="3206">
          <cell r="A3206">
            <v>43839</v>
          </cell>
        </row>
        <row r="3207">
          <cell r="A3207">
            <v>43782</v>
          </cell>
        </row>
        <row r="3208">
          <cell r="A3208">
            <v>43645</v>
          </cell>
        </row>
        <row r="3209">
          <cell r="A3209">
            <v>43113</v>
          </cell>
        </row>
        <row r="3210">
          <cell r="A3210">
            <v>43164</v>
          </cell>
        </row>
        <row r="3211">
          <cell r="A3211">
            <v>43118</v>
          </cell>
        </row>
        <row r="3212">
          <cell r="A3212">
            <v>43166</v>
          </cell>
        </row>
        <row r="3213">
          <cell r="A3213">
            <v>43645</v>
          </cell>
        </row>
        <row r="3214">
          <cell r="A3214">
            <v>43188</v>
          </cell>
        </row>
        <row r="3215">
          <cell r="A3215">
            <v>43523</v>
          </cell>
        </row>
        <row r="3216">
          <cell r="A3216">
            <v>43783</v>
          </cell>
        </row>
        <row r="3217">
          <cell r="A3217">
            <v>43851</v>
          </cell>
        </row>
        <row r="3218">
          <cell r="A3218">
            <v>43416</v>
          </cell>
        </row>
        <row r="3219">
          <cell r="A3219">
            <v>43254</v>
          </cell>
        </row>
        <row r="3220">
          <cell r="A3220">
            <v>43497</v>
          </cell>
        </row>
        <row r="3221">
          <cell r="A3221">
            <v>43832</v>
          </cell>
        </row>
        <row r="3222">
          <cell r="A3222">
            <v>43691</v>
          </cell>
        </row>
        <row r="3223">
          <cell r="A3223">
            <v>43602</v>
          </cell>
        </row>
        <row r="3224">
          <cell r="A3224">
            <v>43858</v>
          </cell>
        </row>
        <row r="3225">
          <cell r="A3225">
            <v>43201</v>
          </cell>
        </row>
        <row r="3226">
          <cell r="A3226">
            <v>43312</v>
          </cell>
        </row>
        <row r="3227">
          <cell r="A3227">
            <v>43689</v>
          </cell>
        </row>
        <row r="3228">
          <cell r="A3228">
            <v>43155</v>
          </cell>
        </row>
        <row r="3229">
          <cell r="A3229">
            <v>43221</v>
          </cell>
        </row>
        <row r="3230">
          <cell r="A3230">
            <v>43457</v>
          </cell>
        </row>
        <row r="3231">
          <cell r="A3231">
            <v>43475</v>
          </cell>
        </row>
        <row r="3232">
          <cell r="A3232">
            <v>43347</v>
          </cell>
        </row>
        <row r="3233">
          <cell r="A3233">
            <v>43685</v>
          </cell>
        </row>
        <row r="3234">
          <cell r="A3234">
            <v>43394</v>
          </cell>
        </row>
        <row r="3235">
          <cell r="A3235">
            <v>43538</v>
          </cell>
        </row>
        <row r="3236">
          <cell r="A3236">
            <v>43198</v>
          </cell>
        </row>
        <row r="3237">
          <cell r="A3237">
            <v>43134</v>
          </cell>
        </row>
        <row r="3238">
          <cell r="A3238">
            <v>43543</v>
          </cell>
        </row>
        <row r="3239">
          <cell r="A3239">
            <v>43764</v>
          </cell>
        </row>
        <row r="3240">
          <cell r="A3240">
            <v>43477</v>
          </cell>
        </row>
        <row r="3241">
          <cell r="A3241">
            <v>43399</v>
          </cell>
        </row>
        <row r="3242">
          <cell r="A3242">
            <v>43432</v>
          </cell>
        </row>
        <row r="3243">
          <cell r="A3243">
            <v>43374</v>
          </cell>
        </row>
        <row r="3244">
          <cell r="A3244">
            <v>43590</v>
          </cell>
        </row>
        <row r="3245">
          <cell r="A3245">
            <v>43374</v>
          </cell>
        </row>
        <row r="3246">
          <cell r="A3246">
            <v>43392</v>
          </cell>
        </row>
        <row r="3247">
          <cell r="A3247">
            <v>43415</v>
          </cell>
        </row>
        <row r="3248">
          <cell r="A3248">
            <v>43349</v>
          </cell>
        </row>
        <row r="3249">
          <cell r="A3249">
            <v>43578</v>
          </cell>
        </row>
        <row r="3250">
          <cell r="A3250">
            <v>43650</v>
          </cell>
        </row>
        <row r="3251">
          <cell r="A3251">
            <v>43868</v>
          </cell>
        </row>
        <row r="3252">
          <cell r="A3252">
            <v>43911</v>
          </cell>
        </row>
        <row r="3253">
          <cell r="A3253">
            <v>43445</v>
          </cell>
        </row>
        <row r="3254">
          <cell r="A3254">
            <v>43614</v>
          </cell>
        </row>
        <row r="3255">
          <cell r="A3255">
            <v>43797</v>
          </cell>
        </row>
        <row r="3256">
          <cell r="A3256">
            <v>43353</v>
          </cell>
        </row>
        <row r="3257">
          <cell r="A3257">
            <v>43144</v>
          </cell>
        </row>
        <row r="3258">
          <cell r="A3258">
            <v>43797</v>
          </cell>
        </row>
        <row r="3259">
          <cell r="A3259">
            <v>43463</v>
          </cell>
        </row>
        <row r="3260">
          <cell r="A3260">
            <v>43380</v>
          </cell>
        </row>
        <row r="3261">
          <cell r="A3261">
            <v>43247</v>
          </cell>
        </row>
        <row r="3262">
          <cell r="A3262">
            <v>43762</v>
          </cell>
        </row>
        <row r="3263">
          <cell r="A3263">
            <v>43430</v>
          </cell>
        </row>
        <row r="3264">
          <cell r="A3264">
            <v>43753</v>
          </cell>
        </row>
        <row r="3265">
          <cell r="A3265">
            <v>43258</v>
          </cell>
        </row>
        <row r="3266">
          <cell r="A3266">
            <v>43910</v>
          </cell>
        </row>
        <row r="3267">
          <cell r="A3267">
            <v>43917</v>
          </cell>
        </row>
        <row r="3268">
          <cell r="A3268">
            <v>43353</v>
          </cell>
        </row>
        <row r="3269">
          <cell r="A3269">
            <v>43324</v>
          </cell>
        </row>
        <row r="3270">
          <cell r="A3270">
            <v>43477</v>
          </cell>
        </row>
        <row r="3271">
          <cell r="A3271">
            <v>43787</v>
          </cell>
        </row>
        <row r="3272">
          <cell r="A3272">
            <v>43870</v>
          </cell>
        </row>
        <row r="3273">
          <cell r="A3273">
            <v>43791</v>
          </cell>
        </row>
        <row r="3274">
          <cell r="A3274">
            <v>43782</v>
          </cell>
        </row>
        <row r="3275">
          <cell r="A3275">
            <v>43487</v>
          </cell>
        </row>
        <row r="3276">
          <cell r="A3276">
            <v>43271</v>
          </cell>
        </row>
        <row r="3277">
          <cell r="A3277">
            <v>43510</v>
          </cell>
        </row>
        <row r="3278">
          <cell r="A3278">
            <v>43882</v>
          </cell>
        </row>
        <row r="3279">
          <cell r="A3279">
            <v>43409</v>
          </cell>
        </row>
        <row r="3280">
          <cell r="A3280">
            <v>43791</v>
          </cell>
        </row>
        <row r="3281">
          <cell r="A3281">
            <v>43512</v>
          </cell>
        </row>
        <row r="3282">
          <cell r="A3282">
            <v>43209</v>
          </cell>
        </row>
        <row r="3283">
          <cell r="A3283">
            <v>43154</v>
          </cell>
        </row>
        <row r="3284">
          <cell r="A3284">
            <v>43476</v>
          </cell>
        </row>
        <row r="3285">
          <cell r="A3285">
            <v>43914</v>
          </cell>
        </row>
        <row r="3286">
          <cell r="A3286">
            <v>43500</v>
          </cell>
        </row>
        <row r="3287">
          <cell r="A3287">
            <v>43290</v>
          </cell>
        </row>
        <row r="3288">
          <cell r="A3288">
            <v>43434</v>
          </cell>
        </row>
        <row r="3289">
          <cell r="A3289">
            <v>43560</v>
          </cell>
        </row>
        <row r="3290">
          <cell r="A3290">
            <v>43189</v>
          </cell>
        </row>
        <row r="3291">
          <cell r="A3291">
            <v>43453</v>
          </cell>
        </row>
        <row r="3292">
          <cell r="A3292">
            <v>43781</v>
          </cell>
        </row>
        <row r="3293">
          <cell r="A3293">
            <v>43324</v>
          </cell>
        </row>
        <row r="3294">
          <cell r="A3294">
            <v>43823</v>
          </cell>
        </row>
        <row r="3295">
          <cell r="A3295">
            <v>43873</v>
          </cell>
        </row>
        <row r="3296">
          <cell r="A3296">
            <v>43686</v>
          </cell>
        </row>
        <row r="3297">
          <cell r="A3297">
            <v>43920</v>
          </cell>
        </row>
        <row r="3298">
          <cell r="A3298">
            <v>43828</v>
          </cell>
        </row>
        <row r="3299">
          <cell r="A3299">
            <v>43319</v>
          </cell>
        </row>
        <row r="3300">
          <cell r="A3300">
            <v>43180</v>
          </cell>
        </row>
        <row r="3301">
          <cell r="A3301">
            <v>43531</v>
          </cell>
        </row>
        <row r="3302">
          <cell r="A3302">
            <v>43745</v>
          </cell>
        </row>
        <row r="3303">
          <cell r="A3303">
            <v>43285</v>
          </cell>
        </row>
        <row r="3304">
          <cell r="A3304">
            <v>43763</v>
          </cell>
        </row>
        <row r="3305">
          <cell r="A3305">
            <v>43226</v>
          </cell>
        </row>
        <row r="3306">
          <cell r="A3306">
            <v>43866</v>
          </cell>
        </row>
        <row r="3307">
          <cell r="A3307">
            <v>43598</v>
          </cell>
        </row>
        <row r="3308">
          <cell r="A3308">
            <v>43355</v>
          </cell>
        </row>
        <row r="3309">
          <cell r="A3309">
            <v>43442</v>
          </cell>
        </row>
        <row r="3310">
          <cell r="A3310">
            <v>43787</v>
          </cell>
        </row>
        <row r="3311">
          <cell r="A3311">
            <v>43244</v>
          </cell>
        </row>
        <row r="3312">
          <cell r="A3312">
            <v>43673</v>
          </cell>
        </row>
        <row r="3313">
          <cell r="A3313">
            <v>43607</v>
          </cell>
        </row>
        <row r="3314">
          <cell r="A3314">
            <v>43738</v>
          </cell>
        </row>
        <row r="3315">
          <cell r="A3315">
            <v>43866</v>
          </cell>
        </row>
        <row r="3316">
          <cell r="A3316">
            <v>43187</v>
          </cell>
        </row>
        <row r="3317">
          <cell r="A3317">
            <v>43292</v>
          </cell>
        </row>
        <row r="3318">
          <cell r="A3318">
            <v>43513</v>
          </cell>
        </row>
        <row r="3319">
          <cell r="A3319">
            <v>43829</v>
          </cell>
        </row>
        <row r="3320">
          <cell r="A3320">
            <v>43642</v>
          </cell>
        </row>
        <row r="3321">
          <cell r="A3321">
            <v>43112</v>
          </cell>
        </row>
        <row r="3322">
          <cell r="A3322">
            <v>43359</v>
          </cell>
        </row>
        <row r="3323">
          <cell r="A3323">
            <v>43173</v>
          </cell>
        </row>
        <row r="3324">
          <cell r="A3324">
            <v>43808</v>
          </cell>
        </row>
        <row r="3325">
          <cell r="A3325">
            <v>43407</v>
          </cell>
        </row>
        <row r="3326">
          <cell r="A3326">
            <v>43405</v>
          </cell>
        </row>
        <row r="3327">
          <cell r="A3327">
            <v>43203</v>
          </cell>
        </row>
        <row r="3328">
          <cell r="A3328">
            <v>43538</v>
          </cell>
        </row>
        <row r="3329">
          <cell r="A3329">
            <v>43506</v>
          </cell>
        </row>
        <row r="3330">
          <cell r="A3330">
            <v>43307</v>
          </cell>
        </row>
        <row r="3331">
          <cell r="A3331">
            <v>43476</v>
          </cell>
        </row>
        <row r="3332">
          <cell r="A3332">
            <v>43919</v>
          </cell>
        </row>
        <row r="3333">
          <cell r="A3333">
            <v>43704</v>
          </cell>
        </row>
        <row r="3334">
          <cell r="A3334">
            <v>43110</v>
          </cell>
        </row>
        <row r="3335">
          <cell r="A3335">
            <v>43430</v>
          </cell>
        </row>
        <row r="3336">
          <cell r="A3336">
            <v>43227</v>
          </cell>
        </row>
        <row r="3337">
          <cell r="A3337">
            <v>43759</v>
          </cell>
        </row>
        <row r="3338">
          <cell r="A3338">
            <v>43468</v>
          </cell>
        </row>
        <row r="3339">
          <cell r="A3339">
            <v>43607</v>
          </cell>
        </row>
        <row r="3340">
          <cell r="A3340">
            <v>43720</v>
          </cell>
        </row>
        <row r="3341">
          <cell r="A3341">
            <v>43530</v>
          </cell>
        </row>
        <row r="3342">
          <cell r="A3342">
            <v>43637</v>
          </cell>
        </row>
        <row r="3343">
          <cell r="A3343">
            <v>43674</v>
          </cell>
        </row>
        <row r="3344">
          <cell r="A3344">
            <v>43664</v>
          </cell>
        </row>
        <row r="3345">
          <cell r="A3345">
            <v>43870</v>
          </cell>
        </row>
        <row r="3346">
          <cell r="A3346">
            <v>43528</v>
          </cell>
        </row>
        <row r="3347">
          <cell r="A3347">
            <v>43495</v>
          </cell>
        </row>
        <row r="3348">
          <cell r="A3348">
            <v>43917</v>
          </cell>
        </row>
        <row r="3349">
          <cell r="A3349">
            <v>43319</v>
          </cell>
        </row>
        <row r="3350">
          <cell r="A3350">
            <v>43131</v>
          </cell>
        </row>
        <row r="3351">
          <cell r="A3351">
            <v>43136</v>
          </cell>
        </row>
        <row r="3352">
          <cell r="A3352">
            <v>43837</v>
          </cell>
        </row>
        <row r="3353">
          <cell r="A3353">
            <v>43884</v>
          </cell>
        </row>
        <row r="3354">
          <cell r="A3354">
            <v>43261</v>
          </cell>
        </row>
        <row r="3355">
          <cell r="A3355">
            <v>43489</v>
          </cell>
        </row>
        <row r="3356">
          <cell r="A3356">
            <v>43347</v>
          </cell>
        </row>
        <row r="3357">
          <cell r="A3357">
            <v>43168</v>
          </cell>
        </row>
        <row r="3358">
          <cell r="A3358">
            <v>43492</v>
          </cell>
        </row>
        <row r="3359">
          <cell r="A3359">
            <v>43170</v>
          </cell>
        </row>
        <row r="3360">
          <cell r="A3360">
            <v>43479</v>
          </cell>
        </row>
        <row r="3361">
          <cell r="A3361">
            <v>43898</v>
          </cell>
        </row>
        <row r="3362">
          <cell r="A3362">
            <v>43506</v>
          </cell>
        </row>
        <row r="3363">
          <cell r="A3363">
            <v>43828</v>
          </cell>
        </row>
        <row r="3364">
          <cell r="A3364">
            <v>43535</v>
          </cell>
        </row>
        <row r="3365">
          <cell r="A3365">
            <v>43543</v>
          </cell>
        </row>
        <row r="3366">
          <cell r="A3366">
            <v>43115</v>
          </cell>
        </row>
        <row r="3367">
          <cell r="A3367">
            <v>43129</v>
          </cell>
        </row>
        <row r="3368">
          <cell r="A3368">
            <v>43427</v>
          </cell>
        </row>
        <row r="3369">
          <cell r="A3369">
            <v>43637</v>
          </cell>
        </row>
        <row r="3370">
          <cell r="A3370">
            <v>43488</v>
          </cell>
        </row>
        <row r="3371">
          <cell r="A3371">
            <v>43653</v>
          </cell>
        </row>
        <row r="3372">
          <cell r="A3372">
            <v>43230</v>
          </cell>
        </row>
        <row r="3373">
          <cell r="A3373">
            <v>43799</v>
          </cell>
        </row>
        <row r="3374">
          <cell r="A3374">
            <v>43602</v>
          </cell>
        </row>
        <row r="3375">
          <cell r="A3375">
            <v>43179</v>
          </cell>
        </row>
        <row r="3376">
          <cell r="A3376">
            <v>43563</v>
          </cell>
        </row>
        <row r="3377">
          <cell r="A3377">
            <v>43614</v>
          </cell>
        </row>
        <row r="3378">
          <cell r="A3378">
            <v>43620</v>
          </cell>
        </row>
        <row r="3379">
          <cell r="A3379">
            <v>43199</v>
          </cell>
        </row>
        <row r="3380">
          <cell r="A3380">
            <v>43728</v>
          </cell>
        </row>
        <row r="3381">
          <cell r="A3381">
            <v>43196</v>
          </cell>
        </row>
        <row r="3382">
          <cell r="A3382">
            <v>43613</v>
          </cell>
        </row>
        <row r="3383">
          <cell r="A3383">
            <v>43354</v>
          </cell>
        </row>
        <row r="3384">
          <cell r="A3384">
            <v>43223</v>
          </cell>
        </row>
        <row r="3385">
          <cell r="A3385">
            <v>43911</v>
          </cell>
        </row>
        <row r="3386">
          <cell r="A3386">
            <v>43895</v>
          </cell>
        </row>
        <row r="3387">
          <cell r="A3387">
            <v>43594</v>
          </cell>
        </row>
        <row r="3388">
          <cell r="A3388">
            <v>43491</v>
          </cell>
        </row>
        <row r="3389">
          <cell r="A3389">
            <v>43353</v>
          </cell>
        </row>
        <row r="3390">
          <cell r="A3390">
            <v>43324</v>
          </cell>
        </row>
        <row r="3391">
          <cell r="A3391">
            <v>43475</v>
          </cell>
        </row>
        <row r="3392">
          <cell r="A3392">
            <v>43722</v>
          </cell>
        </row>
        <row r="3393">
          <cell r="A3393">
            <v>43504</v>
          </cell>
        </row>
        <row r="3394">
          <cell r="A3394">
            <v>43770</v>
          </cell>
        </row>
        <row r="3395">
          <cell r="A3395">
            <v>43730</v>
          </cell>
        </row>
        <row r="3396">
          <cell r="A3396">
            <v>43237</v>
          </cell>
        </row>
        <row r="3397">
          <cell r="A3397">
            <v>43494</v>
          </cell>
        </row>
        <row r="3398">
          <cell r="A3398">
            <v>43201</v>
          </cell>
        </row>
        <row r="3399">
          <cell r="A3399">
            <v>43804</v>
          </cell>
        </row>
        <row r="3400">
          <cell r="A3400">
            <v>43579</v>
          </cell>
        </row>
        <row r="3401">
          <cell r="A3401">
            <v>43329</v>
          </cell>
        </row>
        <row r="3402">
          <cell r="A3402">
            <v>43457</v>
          </cell>
        </row>
        <row r="3403">
          <cell r="A3403">
            <v>43557</v>
          </cell>
        </row>
        <row r="3404">
          <cell r="A3404">
            <v>43905</v>
          </cell>
        </row>
        <row r="3405">
          <cell r="A3405">
            <v>43712</v>
          </cell>
        </row>
        <row r="3406">
          <cell r="A3406">
            <v>43176</v>
          </cell>
        </row>
        <row r="3407">
          <cell r="A3407">
            <v>43459</v>
          </cell>
        </row>
        <row r="3408">
          <cell r="A3408">
            <v>43144</v>
          </cell>
        </row>
        <row r="3409">
          <cell r="A3409">
            <v>43344</v>
          </cell>
        </row>
        <row r="3410">
          <cell r="A3410">
            <v>43441</v>
          </cell>
        </row>
        <row r="3411">
          <cell r="A3411">
            <v>43277</v>
          </cell>
        </row>
        <row r="3412">
          <cell r="A3412">
            <v>43107</v>
          </cell>
        </row>
        <row r="3413">
          <cell r="A3413">
            <v>43285</v>
          </cell>
        </row>
        <row r="3414">
          <cell r="A3414">
            <v>43127</v>
          </cell>
        </row>
        <row r="3415">
          <cell r="A3415">
            <v>43619</v>
          </cell>
        </row>
        <row r="3416">
          <cell r="A3416">
            <v>43208</v>
          </cell>
        </row>
        <row r="3417">
          <cell r="A3417">
            <v>43505</v>
          </cell>
        </row>
        <row r="3418">
          <cell r="A3418">
            <v>43345</v>
          </cell>
        </row>
        <row r="3419">
          <cell r="A3419">
            <v>43168</v>
          </cell>
        </row>
        <row r="3420">
          <cell r="A3420">
            <v>43401</v>
          </cell>
        </row>
        <row r="3421">
          <cell r="A3421">
            <v>43479</v>
          </cell>
        </row>
        <row r="3422">
          <cell r="A3422">
            <v>43894</v>
          </cell>
        </row>
        <row r="3423">
          <cell r="A3423">
            <v>43738</v>
          </cell>
        </row>
        <row r="3424">
          <cell r="A3424">
            <v>43736</v>
          </cell>
        </row>
        <row r="3425">
          <cell r="A3425">
            <v>43436</v>
          </cell>
        </row>
        <row r="3426">
          <cell r="A3426">
            <v>43167</v>
          </cell>
        </row>
        <row r="3427">
          <cell r="A3427">
            <v>43821</v>
          </cell>
        </row>
        <row r="3428">
          <cell r="A3428">
            <v>43655</v>
          </cell>
        </row>
        <row r="3429">
          <cell r="A3429">
            <v>43244</v>
          </cell>
        </row>
        <row r="3430">
          <cell r="A3430">
            <v>43787</v>
          </cell>
        </row>
        <row r="3431">
          <cell r="A3431">
            <v>43521</v>
          </cell>
        </row>
        <row r="3432">
          <cell r="A3432">
            <v>43190</v>
          </cell>
        </row>
        <row r="3433">
          <cell r="A3433">
            <v>43587</v>
          </cell>
        </row>
        <row r="3434">
          <cell r="A3434">
            <v>43422</v>
          </cell>
        </row>
        <row r="3435">
          <cell r="A3435">
            <v>43900</v>
          </cell>
        </row>
        <row r="3436">
          <cell r="A3436">
            <v>43749</v>
          </cell>
        </row>
        <row r="3437">
          <cell r="A3437">
            <v>43805</v>
          </cell>
        </row>
        <row r="3438">
          <cell r="A3438">
            <v>43311</v>
          </cell>
        </row>
        <row r="3439">
          <cell r="A3439">
            <v>43700</v>
          </cell>
        </row>
        <row r="3440">
          <cell r="A3440">
            <v>43869</v>
          </cell>
        </row>
        <row r="3441">
          <cell r="A3441">
            <v>43719</v>
          </cell>
        </row>
        <row r="3442">
          <cell r="A3442">
            <v>43402</v>
          </cell>
        </row>
        <row r="3443">
          <cell r="A3443">
            <v>43187</v>
          </cell>
        </row>
        <row r="3444">
          <cell r="A3444">
            <v>43189</v>
          </cell>
        </row>
        <row r="3445">
          <cell r="A3445">
            <v>43464</v>
          </cell>
        </row>
        <row r="3446">
          <cell r="A3446">
            <v>43257</v>
          </cell>
        </row>
        <row r="3447">
          <cell r="A3447">
            <v>43843</v>
          </cell>
        </row>
        <row r="3448">
          <cell r="A3448">
            <v>43778</v>
          </cell>
        </row>
        <row r="3449">
          <cell r="A3449">
            <v>43144</v>
          </cell>
        </row>
        <row r="3450">
          <cell r="A3450">
            <v>43904</v>
          </cell>
        </row>
        <row r="3451">
          <cell r="A3451">
            <v>43578</v>
          </cell>
        </row>
        <row r="3452">
          <cell r="A3452">
            <v>43346</v>
          </cell>
        </row>
        <row r="3453">
          <cell r="A3453">
            <v>43157</v>
          </cell>
        </row>
        <row r="3454">
          <cell r="A3454">
            <v>43232</v>
          </cell>
        </row>
        <row r="3455">
          <cell r="A3455">
            <v>43772</v>
          </cell>
        </row>
        <row r="3456">
          <cell r="A3456">
            <v>43422</v>
          </cell>
        </row>
        <row r="3457">
          <cell r="A3457">
            <v>43234</v>
          </cell>
        </row>
        <row r="3458">
          <cell r="A3458">
            <v>43158</v>
          </cell>
        </row>
        <row r="3459">
          <cell r="A3459">
            <v>43611</v>
          </cell>
        </row>
        <row r="3460">
          <cell r="A3460">
            <v>43619</v>
          </cell>
        </row>
        <row r="3461">
          <cell r="A3461">
            <v>43592</v>
          </cell>
        </row>
        <row r="3462">
          <cell r="A3462">
            <v>43248</v>
          </cell>
        </row>
        <row r="3463">
          <cell r="A3463">
            <v>43251</v>
          </cell>
        </row>
        <row r="3464">
          <cell r="A3464">
            <v>43391</v>
          </cell>
        </row>
        <row r="3465">
          <cell r="A3465">
            <v>43305</v>
          </cell>
        </row>
        <row r="3466">
          <cell r="A3466">
            <v>43642</v>
          </cell>
        </row>
        <row r="3467">
          <cell r="A3467">
            <v>43800</v>
          </cell>
        </row>
        <row r="3468">
          <cell r="A3468">
            <v>43270</v>
          </cell>
        </row>
        <row r="3469">
          <cell r="A3469">
            <v>43536</v>
          </cell>
        </row>
        <row r="3470">
          <cell r="A3470">
            <v>43830</v>
          </cell>
        </row>
        <row r="3471">
          <cell r="A3471">
            <v>43736</v>
          </cell>
        </row>
        <row r="3472">
          <cell r="A3472">
            <v>43504</v>
          </cell>
        </row>
        <row r="3473">
          <cell r="A3473">
            <v>43559</v>
          </cell>
        </row>
        <row r="3474">
          <cell r="A3474">
            <v>43639</v>
          </cell>
        </row>
        <row r="3475">
          <cell r="A3475">
            <v>43671</v>
          </cell>
        </row>
        <row r="3476">
          <cell r="A3476">
            <v>43190</v>
          </cell>
        </row>
        <row r="3477">
          <cell r="A3477">
            <v>43502</v>
          </cell>
        </row>
        <row r="3478">
          <cell r="A3478">
            <v>43783</v>
          </cell>
        </row>
        <row r="3479">
          <cell r="A3479">
            <v>43723</v>
          </cell>
        </row>
        <row r="3480">
          <cell r="A3480">
            <v>43208</v>
          </cell>
        </row>
        <row r="3481">
          <cell r="A3481">
            <v>43119</v>
          </cell>
        </row>
        <row r="3482">
          <cell r="A3482">
            <v>43610</v>
          </cell>
        </row>
        <row r="3483">
          <cell r="A3483">
            <v>43107</v>
          </cell>
        </row>
        <row r="3484">
          <cell r="A3484">
            <v>43296</v>
          </cell>
        </row>
        <row r="3485">
          <cell r="A3485">
            <v>43667</v>
          </cell>
        </row>
        <row r="3486">
          <cell r="A3486">
            <v>43819</v>
          </cell>
        </row>
        <row r="3487">
          <cell r="A3487">
            <v>43726</v>
          </cell>
        </row>
        <row r="3488">
          <cell r="A3488">
            <v>43543</v>
          </cell>
        </row>
        <row r="3489">
          <cell r="A3489">
            <v>43795</v>
          </cell>
        </row>
        <row r="3490">
          <cell r="A3490">
            <v>43259</v>
          </cell>
        </row>
        <row r="3491">
          <cell r="A3491">
            <v>43639</v>
          </cell>
        </row>
        <row r="3492">
          <cell r="A3492">
            <v>43475</v>
          </cell>
        </row>
        <row r="3493">
          <cell r="A3493">
            <v>43814</v>
          </cell>
        </row>
        <row r="3494">
          <cell r="A3494">
            <v>43623</v>
          </cell>
        </row>
        <row r="3495">
          <cell r="A3495">
            <v>43451</v>
          </cell>
        </row>
        <row r="3496">
          <cell r="A3496">
            <v>43779</v>
          </cell>
        </row>
        <row r="3497">
          <cell r="A3497">
            <v>43471</v>
          </cell>
        </row>
        <row r="3498">
          <cell r="A3498">
            <v>43239</v>
          </cell>
        </row>
        <row r="3499">
          <cell r="A3499">
            <v>43813</v>
          </cell>
        </row>
        <row r="3500">
          <cell r="A3500">
            <v>43322</v>
          </cell>
        </row>
        <row r="3501">
          <cell r="A3501">
            <v>43707</v>
          </cell>
        </row>
        <row r="3502">
          <cell r="A3502">
            <v>43471</v>
          </cell>
        </row>
        <row r="3503">
          <cell r="A3503">
            <v>43555</v>
          </cell>
        </row>
        <row r="3504">
          <cell r="A3504">
            <v>43537</v>
          </cell>
        </row>
        <row r="3505">
          <cell r="A3505">
            <v>43807</v>
          </cell>
        </row>
        <row r="3506">
          <cell r="A3506">
            <v>43110</v>
          </cell>
        </row>
        <row r="3507">
          <cell r="A3507">
            <v>43171</v>
          </cell>
        </row>
        <row r="3508">
          <cell r="A3508">
            <v>43894</v>
          </cell>
        </row>
        <row r="3509">
          <cell r="A3509">
            <v>43807</v>
          </cell>
        </row>
        <row r="3510">
          <cell r="A3510">
            <v>43480</v>
          </cell>
        </row>
        <row r="3511">
          <cell r="A3511">
            <v>43463</v>
          </cell>
        </row>
        <row r="3512">
          <cell r="A3512">
            <v>43205</v>
          </cell>
        </row>
        <row r="3513">
          <cell r="A3513">
            <v>43159</v>
          </cell>
        </row>
        <row r="3514">
          <cell r="A3514">
            <v>43306</v>
          </cell>
        </row>
        <row r="3515">
          <cell r="A3515">
            <v>43370</v>
          </cell>
        </row>
        <row r="3516">
          <cell r="A3516">
            <v>43264</v>
          </cell>
        </row>
        <row r="3517">
          <cell r="A3517">
            <v>43372</v>
          </cell>
        </row>
        <row r="3518">
          <cell r="A3518">
            <v>43852</v>
          </cell>
        </row>
        <row r="3519">
          <cell r="A3519">
            <v>43885</v>
          </cell>
        </row>
        <row r="3520">
          <cell r="A3520">
            <v>43401</v>
          </cell>
        </row>
        <row r="3521">
          <cell r="A3521">
            <v>43599</v>
          </cell>
        </row>
        <row r="3522">
          <cell r="A3522">
            <v>43354</v>
          </cell>
        </row>
        <row r="3523">
          <cell r="A3523">
            <v>43709</v>
          </cell>
        </row>
        <row r="3524">
          <cell r="A3524">
            <v>43262</v>
          </cell>
        </row>
        <row r="3525">
          <cell r="A3525">
            <v>43751</v>
          </cell>
        </row>
        <row r="3526">
          <cell r="A3526">
            <v>43639</v>
          </cell>
        </row>
        <row r="3527">
          <cell r="A3527">
            <v>43259</v>
          </cell>
        </row>
        <row r="3528">
          <cell r="A3528">
            <v>43142</v>
          </cell>
        </row>
        <row r="3529">
          <cell r="A3529">
            <v>43767</v>
          </cell>
        </row>
        <row r="3530">
          <cell r="A3530">
            <v>43171</v>
          </cell>
        </row>
        <row r="3531">
          <cell r="A3531">
            <v>43680</v>
          </cell>
        </row>
        <row r="3532">
          <cell r="A3532">
            <v>43184</v>
          </cell>
        </row>
        <row r="3533">
          <cell r="A3533">
            <v>43725</v>
          </cell>
        </row>
        <row r="3534">
          <cell r="A3534">
            <v>43587</v>
          </cell>
        </row>
        <row r="3535">
          <cell r="A3535">
            <v>43169</v>
          </cell>
        </row>
        <row r="3536">
          <cell r="A3536">
            <v>43621</v>
          </cell>
        </row>
        <row r="3537">
          <cell r="A3537">
            <v>43708</v>
          </cell>
        </row>
        <row r="3538">
          <cell r="A3538">
            <v>43388</v>
          </cell>
        </row>
        <row r="3539">
          <cell r="A3539">
            <v>43256</v>
          </cell>
        </row>
        <row r="3540">
          <cell r="A3540">
            <v>43620</v>
          </cell>
        </row>
        <row r="3541">
          <cell r="A3541">
            <v>43918</v>
          </cell>
        </row>
        <row r="3542">
          <cell r="A3542">
            <v>43764</v>
          </cell>
        </row>
        <row r="3543">
          <cell r="A3543">
            <v>43549</v>
          </cell>
        </row>
        <row r="3544">
          <cell r="A3544">
            <v>43216</v>
          </cell>
        </row>
        <row r="3545">
          <cell r="A3545">
            <v>43414</v>
          </cell>
        </row>
        <row r="3546">
          <cell r="A3546">
            <v>43788</v>
          </cell>
        </row>
        <row r="3547">
          <cell r="A3547">
            <v>43413</v>
          </cell>
        </row>
        <row r="3548">
          <cell r="A3548">
            <v>43482</v>
          </cell>
        </row>
        <row r="3549">
          <cell r="A3549">
            <v>43714</v>
          </cell>
        </row>
        <row r="3550">
          <cell r="A3550">
            <v>43203</v>
          </cell>
        </row>
        <row r="3551">
          <cell r="A3551">
            <v>43111</v>
          </cell>
        </row>
        <row r="3552">
          <cell r="A3552">
            <v>43311</v>
          </cell>
        </row>
        <row r="3553">
          <cell r="A3553">
            <v>43812</v>
          </cell>
        </row>
        <row r="3554">
          <cell r="A3554">
            <v>43197</v>
          </cell>
        </row>
        <row r="3555">
          <cell r="A3555">
            <v>43316</v>
          </cell>
        </row>
        <row r="3556">
          <cell r="A3556">
            <v>43842</v>
          </cell>
        </row>
        <row r="3557">
          <cell r="A3557">
            <v>43269</v>
          </cell>
        </row>
        <row r="3558">
          <cell r="A3558">
            <v>43416</v>
          </cell>
        </row>
        <row r="3559">
          <cell r="A3559">
            <v>43545</v>
          </cell>
        </row>
        <row r="3560">
          <cell r="A3560">
            <v>43872</v>
          </cell>
        </row>
        <row r="3561">
          <cell r="A3561">
            <v>43645</v>
          </cell>
        </row>
        <row r="3562">
          <cell r="A3562">
            <v>43418</v>
          </cell>
        </row>
        <row r="3563">
          <cell r="A3563">
            <v>43772</v>
          </cell>
        </row>
        <row r="3564">
          <cell r="A3564">
            <v>43654</v>
          </cell>
        </row>
        <row r="3565">
          <cell r="A3565">
            <v>43700</v>
          </cell>
        </row>
        <row r="3566">
          <cell r="A3566">
            <v>43756</v>
          </cell>
        </row>
        <row r="3567">
          <cell r="A3567">
            <v>43174</v>
          </cell>
        </row>
        <row r="3568">
          <cell r="A3568">
            <v>43513</v>
          </cell>
        </row>
        <row r="3569">
          <cell r="A3569">
            <v>43239</v>
          </cell>
        </row>
        <row r="3570">
          <cell r="A3570">
            <v>43801</v>
          </cell>
        </row>
        <row r="3571">
          <cell r="A3571">
            <v>43107</v>
          </cell>
        </row>
        <row r="3572">
          <cell r="A3572">
            <v>43595</v>
          </cell>
        </row>
        <row r="3573">
          <cell r="A3573">
            <v>43514</v>
          </cell>
        </row>
        <row r="3574">
          <cell r="A3574">
            <v>43409</v>
          </cell>
        </row>
        <row r="3575">
          <cell r="A3575">
            <v>43844</v>
          </cell>
        </row>
        <row r="3576">
          <cell r="A3576">
            <v>43241</v>
          </cell>
        </row>
        <row r="3577">
          <cell r="A3577">
            <v>43453</v>
          </cell>
        </row>
        <row r="3578">
          <cell r="A3578">
            <v>43267</v>
          </cell>
        </row>
        <row r="3579">
          <cell r="A3579">
            <v>43599</v>
          </cell>
        </row>
        <row r="3580">
          <cell r="A3580">
            <v>43738</v>
          </cell>
        </row>
        <row r="3581">
          <cell r="A3581">
            <v>43208</v>
          </cell>
        </row>
        <row r="3582">
          <cell r="A3582">
            <v>43508</v>
          </cell>
        </row>
        <row r="3583">
          <cell r="A3583">
            <v>43159</v>
          </cell>
        </row>
        <row r="3584">
          <cell r="A3584">
            <v>43435</v>
          </cell>
        </row>
        <row r="3585">
          <cell r="A3585">
            <v>43509</v>
          </cell>
        </row>
        <row r="3586">
          <cell r="A3586">
            <v>43588</v>
          </cell>
        </row>
        <row r="3587">
          <cell r="A3587">
            <v>43517</v>
          </cell>
        </row>
        <row r="3588">
          <cell r="A3588">
            <v>43596</v>
          </cell>
        </row>
        <row r="3589">
          <cell r="A3589">
            <v>43579</v>
          </cell>
        </row>
        <row r="3590">
          <cell r="A3590">
            <v>43211</v>
          </cell>
        </row>
        <row r="3591">
          <cell r="A3591">
            <v>43637</v>
          </cell>
        </row>
        <row r="3592">
          <cell r="A3592">
            <v>43356</v>
          </cell>
        </row>
        <row r="3593">
          <cell r="A3593">
            <v>43536</v>
          </cell>
        </row>
        <row r="3594">
          <cell r="A3594">
            <v>43416</v>
          </cell>
        </row>
        <row r="3595">
          <cell r="A3595">
            <v>43547</v>
          </cell>
        </row>
        <row r="3596">
          <cell r="A3596">
            <v>43547</v>
          </cell>
        </row>
        <row r="3597">
          <cell r="A3597">
            <v>43841</v>
          </cell>
        </row>
        <row r="3598">
          <cell r="A3598">
            <v>43822</v>
          </cell>
        </row>
        <row r="3599">
          <cell r="A3599">
            <v>43468</v>
          </cell>
        </row>
        <row r="3600">
          <cell r="A3600">
            <v>43181</v>
          </cell>
        </row>
        <row r="3601">
          <cell r="A3601">
            <v>43829</v>
          </cell>
        </row>
        <row r="3602">
          <cell r="A3602">
            <v>43783</v>
          </cell>
        </row>
        <row r="3603">
          <cell r="A3603">
            <v>43297</v>
          </cell>
        </row>
        <row r="3604">
          <cell r="A3604">
            <v>43817</v>
          </cell>
        </row>
        <row r="3605">
          <cell r="A3605">
            <v>43521</v>
          </cell>
        </row>
        <row r="3606">
          <cell r="A3606">
            <v>43817</v>
          </cell>
        </row>
        <row r="3607">
          <cell r="A3607">
            <v>43836</v>
          </cell>
        </row>
        <row r="3608">
          <cell r="A3608">
            <v>43786</v>
          </cell>
        </row>
        <row r="3609">
          <cell r="A3609">
            <v>43861</v>
          </cell>
        </row>
        <row r="3610">
          <cell r="A3610">
            <v>43891</v>
          </cell>
        </row>
        <row r="3611">
          <cell r="A3611">
            <v>43503</v>
          </cell>
        </row>
        <row r="3612">
          <cell r="A3612">
            <v>43812</v>
          </cell>
        </row>
        <row r="3613">
          <cell r="A3613">
            <v>43595</v>
          </cell>
        </row>
        <row r="3614">
          <cell r="A3614">
            <v>43793</v>
          </cell>
        </row>
        <row r="3615">
          <cell r="A3615">
            <v>43635</v>
          </cell>
        </row>
        <row r="3616">
          <cell r="A3616">
            <v>43704</v>
          </cell>
        </row>
        <row r="3617">
          <cell r="A3617">
            <v>43237</v>
          </cell>
        </row>
        <row r="3618">
          <cell r="A3618">
            <v>43207</v>
          </cell>
        </row>
        <row r="3619">
          <cell r="A3619">
            <v>43304</v>
          </cell>
        </row>
        <row r="3620">
          <cell r="A3620">
            <v>43479</v>
          </cell>
        </row>
        <row r="3621">
          <cell r="A3621">
            <v>43155</v>
          </cell>
        </row>
        <row r="3622">
          <cell r="A3622">
            <v>43566</v>
          </cell>
        </row>
        <row r="3623">
          <cell r="A3623">
            <v>43462</v>
          </cell>
        </row>
        <row r="3624">
          <cell r="A3624">
            <v>43865</v>
          </cell>
        </row>
        <row r="3625">
          <cell r="A3625">
            <v>43134</v>
          </cell>
        </row>
        <row r="3626">
          <cell r="A3626">
            <v>43159</v>
          </cell>
        </row>
        <row r="3627">
          <cell r="A3627">
            <v>43509</v>
          </cell>
        </row>
        <row r="3628">
          <cell r="A3628">
            <v>43745</v>
          </cell>
        </row>
        <row r="3629">
          <cell r="A3629">
            <v>43102</v>
          </cell>
        </row>
        <row r="3630">
          <cell r="A3630">
            <v>43294</v>
          </cell>
        </row>
        <row r="3631">
          <cell r="A3631">
            <v>43254</v>
          </cell>
        </row>
        <row r="3632">
          <cell r="A3632">
            <v>43687</v>
          </cell>
        </row>
        <row r="3633">
          <cell r="A3633">
            <v>43199</v>
          </cell>
        </row>
        <row r="3634">
          <cell r="A3634">
            <v>43193</v>
          </cell>
        </row>
        <row r="3635">
          <cell r="A3635">
            <v>43899</v>
          </cell>
        </row>
        <row r="3636">
          <cell r="A3636">
            <v>43536</v>
          </cell>
        </row>
        <row r="3637">
          <cell r="A3637">
            <v>43901</v>
          </cell>
        </row>
        <row r="3638">
          <cell r="A3638">
            <v>43836</v>
          </cell>
        </row>
        <row r="3639">
          <cell r="A3639">
            <v>43500</v>
          </cell>
        </row>
        <row r="3640">
          <cell r="A3640">
            <v>43695</v>
          </cell>
        </row>
        <row r="3641">
          <cell r="A3641">
            <v>43303</v>
          </cell>
        </row>
        <row r="3642">
          <cell r="A3642">
            <v>43243</v>
          </cell>
        </row>
        <row r="3643">
          <cell r="A3643">
            <v>43556</v>
          </cell>
        </row>
        <row r="3644">
          <cell r="A3644">
            <v>43256</v>
          </cell>
        </row>
        <row r="3645">
          <cell r="A3645">
            <v>43459</v>
          </cell>
        </row>
        <row r="3646">
          <cell r="A3646">
            <v>43275</v>
          </cell>
        </row>
        <row r="3647">
          <cell r="A3647">
            <v>43339</v>
          </cell>
        </row>
        <row r="3648">
          <cell r="A3648">
            <v>43901</v>
          </cell>
        </row>
        <row r="3649">
          <cell r="A3649">
            <v>43494</v>
          </cell>
        </row>
        <row r="3650">
          <cell r="A3650">
            <v>43604</v>
          </cell>
        </row>
        <row r="3651">
          <cell r="A3651">
            <v>43541</v>
          </cell>
        </row>
        <row r="3652">
          <cell r="A3652">
            <v>43403</v>
          </cell>
        </row>
        <row r="3653">
          <cell r="A3653">
            <v>43619</v>
          </cell>
        </row>
        <row r="3654">
          <cell r="A3654">
            <v>43568</v>
          </cell>
        </row>
        <row r="3655">
          <cell r="A3655">
            <v>43647</v>
          </cell>
        </row>
        <row r="3656">
          <cell r="A3656">
            <v>43515</v>
          </cell>
        </row>
        <row r="3657">
          <cell r="A3657">
            <v>43490</v>
          </cell>
        </row>
        <row r="3658">
          <cell r="A3658">
            <v>43545</v>
          </cell>
        </row>
        <row r="3659">
          <cell r="A3659">
            <v>43359</v>
          </cell>
        </row>
        <row r="3660">
          <cell r="A3660">
            <v>43888</v>
          </cell>
        </row>
        <row r="3661">
          <cell r="A3661">
            <v>43606</v>
          </cell>
        </row>
        <row r="3662">
          <cell r="A3662">
            <v>43909</v>
          </cell>
        </row>
        <row r="3663">
          <cell r="A3663">
            <v>43674</v>
          </cell>
        </row>
        <row r="3664">
          <cell r="A3664">
            <v>43360</v>
          </cell>
        </row>
        <row r="3665">
          <cell r="A3665">
            <v>43611</v>
          </cell>
        </row>
        <row r="3666">
          <cell r="A3666">
            <v>43722</v>
          </cell>
        </row>
        <row r="3667">
          <cell r="A3667">
            <v>43895</v>
          </cell>
        </row>
        <row r="3668">
          <cell r="A3668">
            <v>43866</v>
          </cell>
        </row>
        <row r="3669">
          <cell r="A3669">
            <v>43332</v>
          </cell>
        </row>
        <row r="3670">
          <cell r="A3670">
            <v>43561</v>
          </cell>
        </row>
        <row r="3671">
          <cell r="A3671">
            <v>43652</v>
          </cell>
        </row>
        <row r="3672">
          <cell r="A3672">
            <v>43672</v>
          </cell>
        </row>
        <row r="3673">
          <cell r="A3673">
            <v>43419</v>
          </cell>
        </row>
        <row r="3674">
          <cell r="A3674">
            <v>43434</v>
          </cell>
        </row>
        <row r="3675">
          <cell r="A3675">
            <v>43770</v>
          </cell>
        </row>
        <row r="3676">
          <cell r="A3676">
            <v>43257</v>
          </cell>
        </row>
        <row r="3677">
          <cell r="A3677">
            <v>43210</v>
          </cell>
        </row>
        <row r="3678">
          <cell r="A3678">
            <v>43675</v>
          </cell>
        </row>
        <row r="3679">
          <cell r="A3679">
            <v>43405</v>
          </cell>
        </row>
        <row r="3680">
          <cell r="A3680">
            <v>43872</v>
          </cell>
        </row>
        <row r="3681">
          <cell r="A3681">
            <v>43286</v>
          </cell>
        </row>
        <row r="3682">
          <cell r="A3682">
            <v>43488</v>
          </cell>
        </row>
        <row r="3683">
          <cell r="A3683">
            <v>43700</v>
          </cell>
        </row>
        <row r="3684">
          <cell r="A3684">
            <v>43212</v>
          </cell>
        </row>
        <row r="3685">
          <cell r="A3685">
            <v>43615</v>
          </cell>
        </row>
        <row r="3686">
          <cell r="A3686">
            <v>43301</v>
          </cell>
        </row>
        <row r="3687">
          <cell r="A3687">
            <v>43654</v>
          </cell>
        </row>
        <row r="3688">
          <cell r="A3688">
            <v>43215</v>
          </cell>
        </row>
        <row r="3689">
          <cell r="A3689">
            <v>43811</v>
          </cell>
        </row>
        <row r="3690">
          <cell r="A3690">
            <v>43838</v>
          </cell>
        </row>
        <row r="3691">
          <cell r="A3691">
            <v>43582</v>
          </cell>
        </row>
        <row r="3692">
          <cell r="A3692">
            <v>43384</v>
          </cell>
        </row>
        <row r="3693">
          <cell r="A3693">
            <v>43450</v>
          </cell>
        </row>
        <row r="3694">
          <cell r="A3694">
            <v>43115</v>
          </cell>
        </row>
        <row r="3695">
          <cell r="A3695">
            <v>43592</v>
          </cell>
        </row>
        <row r="3696">
          <cell r="A3696">
            <v>43672</v>
          </cell>
        </row>
        <row r="3697">
          <cell r="A3697">
            <v>43325</v>
          </cell>
        </row>
        <row r="3698">
          <cell r="A3698">
            <v>43213</v>
          </cell>
        </row>
        <row r="3699">
          <cell r="A3699">
            <v>43284</v>
          </cell>
        </row>
        <row r="3700">
          <cell r="A3700">
            <v>43601</v>
          </cell>
        </row>
        <row r="3701">
          <cell r="A3701">
            <v>43129</v>
          </cell>
        </row>
        <row r="3702">
          <cell r="A3702">
            <v>43195</v>
          </cell>
        </row>
        <row r="3703">
          <cell r="A3703">
            <v>43116</v>
          </cell>
        </row>
        <row r="3704">
          <cell r="A3704">
            <v>43110</v>
          </cell>
        </row>
        <row r="3705">
          <cell r="A3705">
            <v>43169</v>
          </cell>
        </row>
        <row r="3706">
          <cell r="A3706">
            <v>43743</v>
          </cell>
        </row>
        <row r="3707">
          <cell r="A3707">
            <v>43126</v>
          </cell>
        </row>
        <row r="3708">
          <cell r="A3708">
            <v>43314</v>
          </cell>
        </row>
        <row r="3709">
          <cell r="A3709">
            <v>43885</v>
          </cell>
        </row>
        <row r="3710">
          <cell r="A3710">
            <v>43288</v>
          </cell>
        </row>
        <row r="3711">
          <cell r="A3711">
            <v>43363</v>
          </cell>
        </row>
        <row r="3712">
          <cell r="A3712">
            <v>43555</v>
          </cell>
        </row>
        <row r="3713">
          <cell r="A3713">
            <v>43244</v>
          </cell>
        </row>
        <row r="3714">
          <cell r="A3714">
            <v>43434</v>
          </cell>
        </row>
        <row r="3715">
          <cell r="A3715">
            <v>43106</v>
          </cell>
        </row>
        <row r="3716">
          <cell r="A3716">
            <v>43290</v>
          </cell>
        </row>
        <row r="3717">
          <cell r="A3717">
            <v>43459</v>
          </cell>
        </row>
        <row r="3718">
          <cell r="A3718">
            <v>43523</v>
          </cell>
        </row>
        <row r="3719">
          <cell r="A3719">
            <v>43419</v>
          </cell>
        </row>
        <row r="3720">
          <cell r="A3720">
            <v>43760</v>
          </cell>
        </row>
        <row r="3721">
          <cell r="A3721">
            <v>43387</v>
          </cell>
        </row>
        <row r="3722">
          <cell r="A3722">
            <v>43294</v>
          </cell>
        </row>
        <row r="3723">
          <cell r="A3723">
            <v>43309</v>
          </cell>
        </row>
        <row r="3724">
          <cell r="A3724">
            <v>43505</v>
          </cell>
        </row>
        <row r="3725">
          <cell r="A3725">
            <v>43449</v>
          </cell>
        </row>
        <row r="3726">
          <cell r="A3726">
            <v>43699</v>
          </cell>
        </row>
        <row r="3727">
          <cell r="A3727">
            <v>43563</v>
          </cell>
        </row>
        <row r="3728">
          <cell r="A3728">
            <v>43478</v>
          </cell>
        </row>
        <row r="3729">
          <cell r="A3729">
            <v>43363</v>
          </cell>
        </row>
        <row r="3730">
          <cell r="A3730">
            <v>43420</v>
          </cell>
        </row>
        <row r="3731">
          <cell r="A3731">
            <v>43706</v>
          </cell>
        </row>
        <row r="3732">
          <cell r="A3732">
            <v>43487</v>
          </cell>
        </row>
        <row r="3733">
          <cell r="A3733">
            <v>43767</v>
          </cell>
        </row>
        <row r="3734">
          <cell r="A3734">
            <v>43358</v>
          </cell>
        </row>
        <row r="3735">
          <cell r="A3735">
            <v>43732</v>
          </cell>
        </row>
        <row r="3736">
          <cell r="A3736">
            <v>43310</v>
          </cell>
        </row>
        <row r="3737">
          <cell r="A3737">
            <v>43255</v>
          </cell>
        </row>
        <row r="3738">
          <cell r="A3738">
            <v>43367</v>
          </cell>
        </row>
        <row r="3739">
          <cell r="A3739">
            <v>43589</v>
          </cell>
        </row>
        <row r="3740">
          <cell r="A3740">
            <v>43487</v>
          </cell>
        </row>
        <row r="3741">
          <cell r="A3741">
            <v>43607</v>
          </cell>
        </row>
        <row r="3742">
          <cell r="A3742">
            <v>43764</v>
          </cell>
        </row>
        <row r="3743">
          <cell r="A3743">
            <v>43155</v>
          </cell>
        </row>
        <row r="3744">
          <cell r="A3744">
            <v>43252</v>
          </cell>
        </row>
        <row r="3745">
          <cell r="A3745">
            <v>43294</v>
          </cell>
        </row>
        <row r="3746">
          <cell r="A3746">
            <v>43499</v>
          </cell>
        </row>
        <row r="3747">
          <cell r="A3747">
            <v>43559</v>
          </cell>
        </row>
        <row r="3748">
          <cell r="A3748">
            <v>43128</v>
          </cell>
        </row>
        <row r="3749">
          <cell r="A3749">
            <v>43918</v>
          </cell>
        </row>
        <row r="3750">
          <cell r="A3750">
            <v>43255</v>
          </cell>
        </row>
        <row r="3751">
          <cell r="A3751">
            <v>43838</v>
          </cell>
        </row>
        <row r="3752">
          <cell r="A3752">
            <v>43906</v>
          </cell>
        </row>
        <row r="3753">
          <cell r="A3753">
            <v>43805</v>
          </cell>
        </row>
        <row r="3754">
          <cell r="A3754">
            <v>43535</v>
          </cell>
        </row>
        <row r="3755">
          <cell r="A3755">
            <v>43186</v>
          </cell>
        </row>
        <row r="3756">
          <cell r="A3756">
            <v>43696</v>
          </cell>
        </row>
        <row r="3757">
          <cell r="A3757">
            <v>43280</v>
          </cell>
        </row>
        <row r="3758">
          <cell r="A3758">
            <v>43618</v>
          </cell>
        </row>
        <row r="3759">
          <cell r="A3759">
            <v>43134</v>
          </cell>
        </row>
        <row r="3760">
          <cell r="A3760">
            <v>43908</v>
          </cell>
        </row>
        <row r="3761">
          <cell r="A3761">
            <v>43724</v>
          </cell>
        </row>
        <row r="3762">
          <cell r="A3762">
            <v>43670</v>
          </cell>
        </row>
        <row r="3763">
          <cell r="A3763">
            <v>43243</v>
          </cell>
        </row>
        <row r="3764">
          <cell r="A3764">
            <v>43640</v>
          </cell>
        </row>
        <row r="3765">
          <cell r="A3765">
            <v>43349</v>
          </cell>
        </row>
        <row r="3766">
          <cell r="A3766">
            <v>43258</v>
          </cell>
        </row>
        <row r="3767">
          <cell r="A3767">
            <v>43744</v>
          </cell>
        </row>
        <row r="3768">
          <cell r="A3768">
            <v>43900</v>
          </cell>
        </row>
        <row r="3769">
          <cell r="A3769">
            <v>43498</v>
          </cell>
        </row>
        <row r="3770">
          <cell r="A3770">
            <v>43471</v>
          </cell>
        </row>
        <row r="3771">
          <cell r="A3771">
            <v>43569</v>
          </cell>
        </row>
        <row r="3772">
          <cell r="A3772">
            <v>43614</v>
          </cell>
        </row>
        <row r="3773">
          <cell r="A3773">
            <v>43461</v>
          </cell>
        </row>
        <row r="3774">
          <cell r="A3774">
            <v>43653</v>
          </cell>
        </row>
        <row r="3775">
          <cell r="A3775">
            <v>43852</v>
          </cell>
        </row>
        <row r="3776">
          <cell r="A3776">
            <v>43824</v>
          </cell>
        </row>
        <row r="3777">
          <cell r="A3777">
            <v>43357</v>
          </cell>
        </row>
        <row r="3778">
          <cell r="A3778">
            <v>43874</v>
          </cell>
        </row>
        <row r="3779">
          <cell r="A3779">
            <v>43291</v>
          </cell>
        </row>
        <row r="3780">
          <cell r="A3780">
            <v>43658</v>
          </cell>
        </row>
        <row r="3781">
          <cell r="A3781">
            <v>43144</v>
          </cell>
        </row>
        <row r="3782">
          <cell r="A3782">
            <v>43642</v>
          </cell>
        </row>
        <row r="3783">
          <cell r="A3783">
            <v>43407</v>
          </cell>
        </row>
        <row r="3784">
          <cell r="A3784">
            <v>43754</v>
          </cell>
        </row>
        <row r="3785">
          <cell r="A3785">
            <v>43597</v>
          </cell>
        </row>
        <row r="3786">
          <cell r="A3786">
            <v>43659</v>
          </cell>
        </row>
        <row r="3787">
          <cell r="A3787">
            <v>43653</v>
          </cell>
        </row>
        <row r="3788">
          <cell r="A3788">
            <v>43272</v>
          </cell>
        </row>
        <row r="3789">
          <cell r="A3789">
            <v>43498</v>
          </cell>
        </row>
        <row r="3790">
          <cell r="A3790">
            <v>43865</v>
          </cell>
        </row>
        <row r="3791">
          <cell r="A3791">
            <v>43435</v>
          </cell>
        </row>
        <row r="3792">
          <cell r="A3792">
            <v>43769</v>
          </cell>
        </row>
        <row r="3793">
          <cell r="A3793">
            <v>43646</v>
          </cell>
        </row>
        <row r="3794">
          <cell r="A3794">
            <v>43890</v>
          </cell>
        </row>
        <row r="3795">
          <cell r="A3795">
            <v>43896</v>
          </cell>
        </row>
        <row r="3796">
          <cell r="A3796">
            <v>43909</v>
          </cell>
        </row>
        <row r="3797">
          <cell r="A3797">
            <v>43393</v>
          </cell>
        </row>
        <row r="3798">
          <cell r="A3798">
            <v>43348</v>
          </cell>
        </row>
        <row r="3799">
          <cell r="A3799">
            <v>43910</v>
          </cell>
        </row>
        <row r="3800">
          <cell r="A3800">
            <v>43371</v>
          </cell>
        </row>
        <row r="3801">
          <cell r="A3801">
            <v>43104</v>
          </cell>
        </row>
        <row r="3802">
          <cell r="A3802">
            <v>43875</v>
          </cell>
        </row>
        <row r="3803">
          <cell r="A3803">
            <v>43588</v>
          </cell>
        </row>
        <row r="3804">
          <cell r="A3804">
            <v>43831</v>
          </cell>
        </row>
        <row r="3805">
          <cell r="A3805">
            <v>43693</v>
          </cell>
        </row>
        <row r="3806">
          <cell r="A3806">
            <v>43351</v>
          </cell>
        </row>
        <row r="3807">
          <cell r="A3807">
            <v>43642</v>
          </cell>
        </row>
        <row r="3808">
          <cell r="A3808">
            <v>43616</v>
          </cell>
        </row>
        <row r="3809">
          <cell r="A3809">
            <v>43600</v>
          </cell>
        </row>
        <row r="3810">
          <cell r="A3810">
            <v>43775</v>
          </cell>
        </row>
        <row r="3811">
          <cell r="A3811">
            <v>43483</v>
          </cell>
        </row>
        <row r="3812">
          <cell r="A3812">
            <v>43324</v>
          </cell>
        </row>
        <row r="3813">
          <cell r="A3813">
            <v>43343</v>
          </cell>
        </row>
        <row r="3814">
          <cell r="A3814">
            <v>43564</v>
          </cell>
        </row>
        <row r="3815">
          <cell r="A3815">
            <v>43505</v>
          </cell>
        </row>
        <row r="3816">
          <cell r="A3816">
            <v>43161</v>
          </cell>
        </row>
        <row r="3817">
          <cell r="A3817">
            <v>43377</v>
          </cell>
        </row>
        <row r="3818">
          <cell r="A3818">
            <v>43906</v>
          </cell>
        </row>
        <row r="3819">
          <cell r="A3819">
            <v>43439</v>
          </cell>
        </row>
        <row r="3820">
          <cell r="A3820">
            <v>43120</v>
          </cell>
        </row>
        <row r="3821">
          <cell r="A3821">
            <v>43677</v>
          </cell>
        </row>
        <row r="3822">
          <cell r="A3822">
            <v>43318</v>
          </cell>
        </row>
        <row r="3823">
          <cell r="A3823">
            <v>43239</v>
          </cell>
        </row>
        <row r="3824">
          <cell r="A3824">
            <v>43612</v>
          </cell>
        </row>
        <row r="3825">
          <cell r="A3825">
            <v>43625</v>
          </cell>
        </row>
        <row r="3826">
          <cell r="A3826">
            <v>43770</v>
          </cell>
        </row>
        <row r="3827">
          <cell r="A3827">
            <v>43715</v>
          </cell>
        </row>
        <row r="3828">
          <cell r="A3828">
            <v>43735</v>
          </cell>
        </row>
        <row r="3829">
          <cell r="A3829">
            <v>43900</v>
          </cell>
        </row>
        <row r="3830">
          <cell r="A3830">
            <v>43225</v>
          </cell>
        </row>
        <row r="3831">
          <cell r="A3831">
            <v>43628</v>
          </cell>
        </row>
        <row r="3832">
          <cell r="A3832">
            <v>43679</v>
          </cell>
        </row>
        <row r="3833">
          <cell r="A3833">
            <v>43889</v>
          </cell>
        </row>
        <row r="3834">
          <cell r="A3834">
            <v>43391</v>
          </cell>
        </row>
        <row r="3835">
          <cell r="A3835">
            <v>43376</v>
          </cell>
        </row>
        <row r="3836">
          <cell r="A3836">
            <v>43895</v>
          </cell>
        </row>
        <row r="3837">
          <cell r="A3837">
            <v>43475</v>
          </cell>
        </row>
        <row r="3838">
          <cell r="A3838">
            <v>43405</v>
          </cell>
        </row>
        <row r="3839">
          <cell r="A3839">
            <v>43387</v>
          </cell>
        </row>
        <row r="3840">
          <cell r="A3840">
            <v>43463</v>
          </cell>
        </row>
        <row r="3841">
          <cell r="A3841">
            <v>43236</v>
          </cell>
        </row>
        <row r="3842">
          <cell r="A3842">
            <v>43366</v>
          </cell>
        </row>
        <row r="3843">
          <cell r="A3843">
            <v>43713</v>
          </cell>
        </row>
        <row r="3844">
          <cell r="A3844">
            <v>43845</v>
          </cell>
        </row>
        <row r="3845">
          <cell r="A3845">
            <v>43492</v>
          </cell>
        </row>
        <row r="3846">
          <cell r="A3846">
            <v>43352</v>
          </cell>
        </row>
        <row r="3847">
          <cell r="A3847">
            <v>43374</v>
          </cell>
        </row>
        <row r="3848">
          <cell r="A3848">
            <v>43184</v>
          </cell>
        </row>
        <row r="3849">
          <cell r="A3849">
            <v>43765</v>
          </cell>
        </row>
        <row r="3850">
          <cell r="A3850">
            <v>43795</v>
          </cell>
        </row>
        <row r="3851">
          <cell r="A3851">
            <v>43588</v>
          </cell>
        </row>
        <row r="3852">
          <cell r="A3852">
            <v>43816</v>
          </cell>
        </row>
        <row r="3853">
          <cell r="A3853">
            <v>43602</v>
          </cell>
        </row>
        <row r="3854">
          <cell r="A3854">
            <v>43508</v>
          </cell>
        </row>
        <row r="3855">
          <cell r="A3855">
            <v>43556</v>
          </cell>
        </row>
        <row r="3856">
          <cell r="A3856">
            <v>43407</v>
          </cell>
        </row>
        <row r="3857">
          <cell r="A3857">
            <v>43776</v>
          </cell>
        </row>
        <row r="3858">
          <cell r="A3858">
            <v>43558</v>
          </cell>
        </row>
        <row r="3859">
          <cell r="A3859">
            <v>43639</v>
          </cell>
        </row>
        <row r="3860">
          <cell r="A3860">
            <v>43393</v>
          </cell>
        </row>
        <row r="3861">
          <cell r="A3861">
            <v>43319</v>
          </cell>
        </row>
        <row r="3862">
          <cell r="A3862">
            <v>43850</v>
          </cell>
        </row>
        <row r="3863">
          <cell r="A3863">
            <v>43723</v>
          </cell>
        </row>
        <row r="3864">
          <cell r="A3864">
            <v>43898</v>
          </cell>
        </row>
        <row r="3865">
          <cell r="A3865">
            <v>43874</v>
          </cell>
        </row>
        <row r="3866">
          <cell r="A3866">
            <v>43742</v>
          </cell>
        </row>
        <row r="3867">
          <cell r="A3867">
            <v>43192</v>
          </cell>
        </row>
        <row r="3868">
          <cell r="A3868">
            <v>43334</v>
          </cell>
        </row>
        <row r="3869">
          <cell r="A3869">
            <v>43768</v>
          </cell>
        </row>
        <row r="3870">
          <cell r="A3870">
            <v>43241</v>
          </cell>
        </row>
        <row r="3871">
          <cell r="A3871">
            <v>43349</v>
          </cell>
        </row>
        <row r="3872">
          <cell r="A3872">
            <v>43676</v>
          </cell>
        </row>
        <row r="3873">
          <cell r="A3873">
            <v>43403</v>
          </cell>
        </row>
        <row r="3874">
          <cell r="A3874">
            <v>43445</v>
          </cell>
        </row>
        <row r="3875">
          <cell r="A3875">
            <v>43653</v>
          </cell>
        </row>
        <row r="3876">
          <cell r="A3876">
            <v>43252</v>
          </cell>
        </row>
        <row r="3877">
          <cell r="A3877">
            <v>43886</v>
          </cell>
        </row>
        <row r="3878">
          <cell r="A3878">
            <v>43553</v>
          </cell>
        </row>
        <row r="3879">
          <cell r="A3879">
            <v>43469</v>
          </cell>
        </row>
        <row r="3880">
          <cell r="A3880">
            <v>43588</v>
          </cell>
        </row>
        <row r="3881">
          <cell r="A3881">
            <v>43866</v>
          </cell>
        </row>
        <row r="3882">
          <cell r="A3882">
            <v>43108</v>
          </cell>
        </row>
        <row r="3883">
          <cell r="A3883">
            <v>43146</v>
          </cell>
        </row>
        <row r="3884">
          <cell r="A3884">
            <v>43589</v>
          </cell>
        </row>
        <row r="3885">
          <cell r="A3885">
            <v>43913</v>
          </cell>
        </row>
        <row r="3886">
          <cell r="A3886">
            <v>43747</v>
          </cell>
        </row>
        <row r="3887">
          <cell r="A3887">
            <v>43273</v>
          </cell>
        </row>
        <row r="3888">
          <cell r="A3888">
            <v>43887</v>
          </cell>
        </row>
        <row r="3889">
          <cell r="A3889">
            <v>43257</v>
          </cell>
        </row>
        <row r="3890">
          <cell r="A3890">
            <v>43726</v>
          </cell>
        </row>
        <row r="3891">
          <cell r="A3891">
            <v>43277</v>
          </cell>
        </row>
        <row r="3892">
          <cell r="A3892">
            <v>43885</v>
          </cell>
        </row>
        <row r="3893">
          <cell r="A3893">
            <v>43672</v>
          </cell>
        </row>
        <row r="3894">
          <cell r="A3894">
            <v>43895</v>
          </cell>
        </row>
        <row r="3895">
          <cell r="A3895">
            <v>43438</v>
          </cell>
        </row>
        <row r="3896">
          <cell r="A3896">
            <v>43320</v>
          </cell>
        </row>
        <row r="3897">
          <cell r="A3897">
            <v>43836</v>
          </cell>
        </row>
        <row r="3898">
          <cell r="A3898">
            <v>43814</v>
          </cell>
        </row>
        <row r="3899">
          <cell r="A3899">
            <v>43541</v>
          </cell>
        </row>
        <row r="3900">
          <cell r="A3900">
            <v>43233</v>
          </cell>
        </row>
        <row r="3901">
          <cell r="A3901">
            <v>43352</v>
          </cell>
        </row>
        <row r="3902">
          <cell r="A3902">
            <v>43908</v>
          </cell>
        </row>
        <row r="3903">
          <cell r="A3903">
            <v>43735</v>
          </cell>
        </row>
        <row r="3904">
          <cell r="A3904">
            <v>43415</v>
          </cell>
        </row>
        <row r="3905">
          <cell r="A3905">
            <v>43812</v>
          </cell>
        </row>
        <row r="3906">
          <cell r="A3906">
            <v>43246</v>
          </cell>
        </row>
        <row r="3907">
          <cell r="A3907">
            <v>43879</v>
          </cell>
        </row>
        <row r="3908">
          <cell r="A3908">
            <v>43179</v>
          </cell>
        </row>
        <row r="3909">
          <cell r="A3909">
            <v>43868</v>
          </cell>
        </row>
        <row r="3910">
          <cell r="A3910">
            <v>43660</v>
          </cell>
        </row>
        <row r="3911">
          <cell r="A3911">
            <v>43670</v>
          </cell>
        </row>
        <row r="3912">
          <cell r="A3912">
            <v>43742</v>
          </cell>
        </row>
        <row r="3913">
          <cell r="A3913">
            <v>43765</v>
          </cell>
        </row>
        <row r="3914">
          <cell r="A3914">
            <v>43319</v>
          </cell>
        </row>
        <row r="3915">
          <cell r="A3915">
            <v>43550</v>
          </cell>
        </row>
        <row r="3916">
          <cell r="A3916">
            <v>43763</v>
          </cell>
        </row>
        <row r="3917">
          <cell r="A3917">
            <v>43191</v>
          </cell>
        </row>
        <row r="3918">
          <cell r="A3918">
            <v>43709</v>
          </cell>
        </row>
        <row r="3919">
          <cell r="A3919">
            <v>43436</v>
          </cell>
        </row>
        <row r="3920">
          <cell r="A3920">
            <v>43725</v>
          </cell>
        </row>
        <row r="3921">
          <cell r="A3921">
            <v>43900</v>
          </cell>
        </row>
        <row r="3922">
          <cell r="A3922">
            <v>43336</v>
          </cell>
        </row>
        <row r="3923">
          <cell r="A3923">
            <v>43161</v>
          </cell>
        </row>
        <row r="3924">
          <cell r="A3924">
            <v>43861</v>
          </cell>
        </row>
        <row r="3925">
          <cell r="A3925">
            <v>43636</v>
          </cell>
        </row>
        <row r="3926">
          <cell r="A3926">
            <v>43799</v>
          </cell>
        </row>
        <row r="3927">
          <cell r="A3927">
            <v>43889</v>
          </cell>
        </row>
        <row r="3928">
          <cell r="A3928">
            <v>43399</v>
          </cell>
        </row>
        <row r="3929">
          <cell r="A3929">
            <v>43779</v>
          </cell>
        </row>
        <row r="3930">
          <cell r="A3930">
            <v>43224</v>
          </cell>
        </row>
        <row r="3931">
          <cell r="A3931">
            <v>43655</v>
          </cell>
        </row>
        <row r="3932">
          <cell r="A3932">
            <v>43383</v>
          </cell>
        </row>
        <row r="3933">
          <cell r="A3933">
            <v>43559</v>
          </cell>
        </row>
        <row r="3934">
          <cell r="A3934">
            <v>43592</v>
          </cell>
        </row>
        <row r="3935">
          <cell r="A3935">
            <v>43501</v>
          </cell>
        </row>
        <row r="3936">
          <cell r="A3936">
            <v>43331</v>
          </cell>
        </row>
        <row r="3937">
          <cell r="A3937">
            <v>43640</v>
          </cell>
        </row>
        <row r="3938">
          <cell r="A3938">
            <v>43828</v>
          </cell>
        </row>
        <row r="3939">
          <cell r="A3939">
            <v>43487</v>
          </cell>
        </row>
        <row r="3940">
          <cell r="A3940">
            <v>43127</v>
          </cell>
        </row>
        <row r="3941">
          <cell r="A3941">
            <v>43166</v>
          </cell>
        </row>
        <row r="3942">
          <cell r="A3942">
            <v>43699</v>
          </cell>
        </row>
        <row r="3943">
          <cell r="A3943">
            <v>43382</v>
          </cell>
        </row>
        <row r="3944">
          <cell r="A3944">
            <v>43608</v>
          </cell>
        </row>
        <row r="3945">
          <cell r="A3945">
            <v>43157</v>
          </cell>
        </row>
        <row r="3946">
          <cell r="A3946">
            <v>43810</v>
          </cell>
        </row>
        <row r="3947">
          <cell r="A3947">
            <v>43707</v>
          </cell>
        </row>
        <row r="3948">
          <cell r="A3948">
            <v>43821</v>
          </cell>
        </row>
        <row r="3949">
          <cell r="A3949">
            <v>43305</v>
          </cell>
        </row>
        <row r="3950">
          <cell r="A3950">
            <v>43446</v>
          </cell>
        </row>
        <row r="3951">
          <cell r="A3951">
            <v>43450</v>
          </cell>
        </row>
        <row r="3952">
          <cell r="A3952">
            <v>43194</v>
          </cell>
        </row>
        <row r="3953">
          <cell r="A3953">
            <v>43401</v>
          </cell>
        </row>
        <row r="3954">
          <cell r="A3954">
            <v>43353</v>
          </cell>
        </row>
        <row r="3955">
          <cell r="A3955">
            <v>43432</v>
          </cell>
        </row>
        <row r="3956">
          <cell r="A3956">
            <v>43153</v>
          </cell>
        </row>
        <row r="3957">
          <cell r="A3957">
            <v>43557</v>
          </cell>
        </row>
        <row r="3958">
          <cell r="A3958">
            <v>43485</v>
          </cell>
        </row>
        <row r="3959">
          <cell r="A3959">
            <v>43165</v>
          </cell>
        </row>
        <row r="3960">
          <cell r="A3960">
            <v>43809</v>
          </cell>
        </row>
        <row r="3961">
          <cell r="A3961">
            <v>43741</v>
          </cell>
        </row>
        <row r="3962">
          <cell r="A3962">
            <v>43601</v>
          </cell>
        </row>
        <row r="3963">
          <cell r="A3963">
            <v>43552</v>
          </cell>
        </row>
        <row r="3964">
          <cell r="A3964">
            <v>43123</v>
          </cell>
        </row>
        <row r="3965">
          <cell r="A3965">
            <v>43728</v>
          </cell>
        </row>
        <row r="3966">
          <cell r="A3966">
            <v>43760</v>
          </cell>
        </row>
        <row r="3967">
          <cell r="A3967">
            <v>43523</v>
          </cell>
        </row>
        <row r="3968">
          <cell r="A3968">
            <v>43341</v>
          </cell>
        </row>
        <row r="3969">
          <cell r="A3969">
            <v>43201</v>
          </cell>
        </row>
        <row r="3970">
          <cell r="A3970">
            <v>43654</v>
          </cell>
        </row>
        <row r="3971">
          <cell r="A3971">
            <v>43733</v>
          </cell>
        </row>
        <row r="3972">
          <cell r="A3972">
            <v>43382</v>
          </cell>
        </row>
        <row r="3973">
          <cell r="A3973">
            <v>43473</v>
          </cell>
        </row>
        <row r="3974">
          <cell r="A3974">
            <v>43468</v>
          </cell>
        </row>
        <row r="3975">
          <cell r="A3975">
            <v>43241</v>
          </cell>
        </row>
        <row r="3976">
          <cell r="A3976">
            <v>43613</v>
          </cell>
        </row>
        <row r="3977">
          <cell r="A3977">
            <v>43175</v>
          </cell>
        </row>
        <row r="3978">
          <cell r="A3978">
            <v>43877</v>
          </cell>
        </row>
        <row r="3979">
          <cell r="A3979">
            <v>43848</v>
          </cell>
        </row>
        <row r="3980">
          <cell r="A3980">
            <v>43413</v>
          </cell>
        </row>
        <row r="3981">
          <cell r="A3981">
            <v>43412</v>
          </cell>
        </row>
        <row r="3982">
          <cell r="A3982">
            <v>43410</v>
          </cell>
        </row>
        <row r="3983">
          <cell r="A3983">
            <v>43384</v>
          </cell>
        </row>
        <row r="3984">
          <cell r="A3984">
            <v>43493</v>
          </cell>
        </row>
        <row r="3985">
          <cell r="A3985">
            <v>43355</v>
          </cell>
        </row>
        <row r="3986">
          <cell r="A3986">
            <v>43503</v>
          </cell>
        </row>
        <row r="3987">
          <cell r="A3987">
            <v>43414</v>
          </cell>
        </row>
        <row r="3988">
          <cell r="A3988">
            <v>43491</v>
          </cell>
        </row>
        <row r="3989">
          <cell r="A3989">
            <v>43571</v>
          </cell>
        </row>
        <row r="3990">
          <cell r="A3990">
            <v>43514</v>
          </cell>
        </row>
        <row r="3991">
          <cell r="A3991">
            <v>43131</v>
          </cell>
        </row>
        <row r="3992">
          <cell r="A3992">
            <v>43733</v>
          </cell>
        </row>
        <row r="3993">
          <cell r="A3993">
            <v>43258</v>
          </cell>
        </row>
        <row r="3994">
          <cell r="A3994">
            <v>43414</v>
          </cell>
        </row>
        <row r="3995">
          <cell r="A3995">
            <v>43658</v>
          </cell>
        </row>
        <row r="3996">
          <cell r="A3996">
            <v>43771</v>
          </cell>
        </row>
        <row r="3997">
          <cell r="A3997">
            <v>43568</v>
          </cell>
        </row>
        <row r="3998">
          <cell r="A3998">
            <v>43647</v>
          </cell>
        </row>
        <row r="3999">
          <cell r="A3999">
            <v>43327</v>
          </cell>
        </row>
        <row r="4000">
          <cell r="A4000">
            <v>43643</v>
          </cell>
        </row>
        <row r="4001">
          <cell r="A4001">
            <v>43347</v>
          </cell>
        </row>
        <row r="4002">
          <cell r="A4002">
            <v>43380</v>
          </cell>
        </row>
        <row r="4003">
          <cell r="A4003">
            <v>43319</v>
          </cell>
        </row>
        <row r="4004">
          <cell r="A4004">
            <v>43195</v>
          </cell>
        </row>
        <row r="4005">
          <cell r="A4005">
            <v>43333</v>
          </cell>
        </row>
        <row r="4006">
          <cell r="A4006">
            <v>43153</v>
          </cell>
        </row>
        <row r="4007">
          <cell r="A4007">
            <v>43242</v>
          </cell>
        </row>
        <row r="4008">
          <cell r="A4008">
            <v>43316</v>
          </cell>
        </row>
        <row r="4009">
          <cell r="A4009">
            <v>43140</v>
          </cell>
        </row>
        <row r="4010">
          <cell r="A4010">
            <v>43391</v>
          </cell>
        </row>
        <row r="4011">
          <cell r="A4011">
            <v>43348</v>
          </cell>
        </row>
        <row r="4012">
          <cell r="A4012">
            <v>43243</v>
          </cell>
        </row>
        <row r="4013">
          <cell r="A4013">
            <v>43880</v>
          </cell>
        </row>
        <row r="4014">
          <cell r="A4014">
            <v>43802</v>
          </cell>
        </row>
        <row r="4015">
          <cell r="A4015">
            <v>43720</v>
          </cell>
        </row>
        <row r="4016">
          <cell r="A4016">
            <v>43602</v>
          </cell>
        </row>
        <row r="4017">
          <cell r="A4017">
            <v>43279</v>
          </cell>
        </row>
        <row r="4018">
          <cell r="A4018">
            <v>43863</v>
          </cell>
        </row>
        <row r="4019">
          <cell r="A4019">
            <v>43440</v>
          </cell>
        </row>
        <row r="4020">
          <cell r="A4020">
            <v>43917</v>
          </cell>
        </row>
        <row r="4021">
          <cell r="A4021">
            <v>43435</v>
          </cell>
        </row>
        <row r="4022">
          <cell r="A4022">
            <v>43823</v>
          </cell>
        </row>
        <row r="4023">
          <cell r="A4023">
            <v>43222</v>
          </cell>
        </row>
        <row r="4024">
          <cell r="A4024">
            <v>43506</v>
          </cell>
        </row>
        <row r="4025">
          <cell r="A4025">
            <v>43848</v>
          </cell>
        </row>
        <row r="4026">
          <cell r="A4026">
            <v>43581</v>
          </cell>
        </row>
        <row r="4027">
          <cell r="A4027">
            <v>43517</v>
          </cell>
        </row>
        <row r="4028">
          <cell r="A4028">
            <v>43682</v>
          </cell>
        </row>
        <row r="4029">
          <cell r="A4029">
            <v>43648</v>
          </cell>
        </row>
        <row r="4030">
          <cell r="A4030">
            <v>43605</v>
          </cell>
        </row>
        <row r="4031">
          <cell r="A4031">
            <v>43714</v>
          </cell>
        </row>
        <row r="4032">
          <cell r="A4032">
            <v>43737</v>
          </cell>
        </row>
        <row r="4033">
          <cell r="A4033">
            <v>43671</v>
          </cell>
        </row>
        <row r="4034">
          <cell r="A4034">
            <v>43490</v>
          </cell>
        </row>
        <row r="4035">
          <cell r="A4035">
            <v>43662</v>
          </cell>
        </row>
        <row r="4036">
          <cell r="A4036">
            <v>43323</v>
          </cell>
        </row>
        <row r="4037">
          <cell r="A4037">
            <v>43120</v>
          </cell>
        </row>
        <row r="4038">
          <cell r="A4038">
            <v>43678</v>
          </cell>
        </row>
        <row r="4039">
          <cell r="A4039">
            <v>43233</v>
          </cell>
        </row>
        <row r="4040">
          <cell r="A4040">
            <v>43501</v>
          </cell>
        </row>
        <row r="4041">
          <cell r="A4041">
            <v>43171</v>
          </cell>
        </row>
        <row r="4042">
          <cell r="A4042">
            <v>43151</v>
          </cell>
        </row>
        <row r="4043">
          <cell r="A4043">
            <v>43632</v>
          </cell>
        </row>
        <row r="4044">
          <cell r="A4044">
            <v>43385</v>
          </cell>
        </row>
        <row r="4045">
          <cell r="A4045">
            <v>43497</v>
          </cell>
        </row>
        <row r="4046">
          <cell r="A4046">
            <v>43265</v>
          </cell>
        </row>
        <row r="4047">
          <cell r="A4047">
            <v>43894</v>
          </cell>
        </row>
        <row r="4048">
          <cell r="A4048">
            <v>43792</v>
          </cell>
        </row>
        <row r="4049">
          <cell r="A4049">
            <v>43375</v>
          </cell>
        </row>
        <row r="4050">
          <cell r="A4050">
            <v>43121</v>
          </cell>
        </row>
        <row r="4051">
          <cell r="A4051">
            <v>43612</v>
          </cell>
        </row>
        <row r="4052">
          <cell r="A4052">
            <v>43316</v>
          </cell>
        </row>
        <row r="4053">
          <cell r="A4053">
            <v>43239</v>
          </cell>
        </row>
        <row r="4054">
          <cell r="A4054">
            <v>43135</v>
          </cell>
        </row>
        <row r="4055">
          <cell r="A4055">
            <v>43427</v>
          </cell>
        </row>
        <row r="4056">
          <cell r="A4056">
            <v>43544</v>
          </cell>
        </row>
        <row r="4057">
          <cell r="A4057">
            <v>43655</v>
          </cell>
        </row>
        <row r="4058">
          <cell r="A4058">
            <v>43303</v>
          </cell>
        </row>
        <row r="4059">
          <cell r="A4059">
            <v>43423</v>
          </cell>
        </row>
        <row r="4060">
          <cell r="A4060">
            <v>43396</v>
          </cell>
        </row>
        <row r="4061">
          <cell r="A4061">
            <v>43646</v>
          </cell>
        </row>
        <row r="4062">
          <cell r="A4062">
            <v>43779</v>
          </cell>
        </row>
        <row r="4063">
          <cell r="A4063">
            <v>43137</v>
          </cell>
        </row>
        <row r="4064">
          <cell r="A4064">
            <v>43218</v>
          </cell>
        </row>
        <row r="4065">
          <cell r="A4065">
            <v>43891</v>
          </cell>
        </row>
        <row r="4066">
          <cell r="A4066">
            <v>43601</v>
          </cell>
        </row>
        <row r="4067">
          <cell r="A4067">
            <v>43136</v>
          </cell>
        </row>
        <row r="4068">
          <cell r="A4068">
            <v>43239</v>
          </cell>
        </row>
        <row r="4069">
          <cell r="A4069">
            <v>43627</v>
          </cell>
        </row>
        <row r="4070">
          <cell r="A4070">
            <v>43455</v>
          </cell>
        </row>
        <row r="4071">
          <cell r="A4071">
            <v>43609</v>
          </cell>
        </row>
        <row r="4072">
          <cell r="A4072">
            <v>43434</v>
          </cell>
        </row>
        <row r="4073">
          <cell r="A4073">
            <v>43209</v>
          </cell>
        </row>
        <row r="4074">
          <cell r="A4074">
            <v>43698</v>
          </cell>
        </row>
        <row r="4075">
          <cell r="A4075">
            <v>43853</v>
          </cell>
        </row>
        <row r="4076">
          <cell r="A4076">
            <v>43325</v>
          </cell>
        </row>
        <row r="4077">
          <cell r="A4077">
            <v>43676</v>
          </cell>
        </row>
        <row r="4078">
          <cell r="A4078">
            <v>43412</v>
          </cell>
        </row>
        <row r="4079">
          <cell r="A4079">
            <v>43138</v>
          </cell>
        </row>
        <row r="4080">
          <cell r="A4080">
            <v>43666</v>
          </cell>
        </row>
        <row r="4081">
          <cell r="A4081">
            <v>43661</v>
          </cell>
        </row>
        <row r="4082">
          <cell r="A4082">
            <v>43556</v>
          </cell>
        </row>
        <row r="4083">
          <cell r="A4083">
            <v>43438</v>
          </cell>
        </row>
        <row r="4084">
          <cell r="A4084">
            <v>43673</v>
          </cell>
        </row>
        <row r="4085">
          <cell r="A4085">
            <v>43863</v>
          </cell>
        </row>
        <row r="4086">
          <cell r="A4086">
            <v>43811</v>
          </cell>
        </row>
        <row r="4087">
          <cell r="A4087">
            <v>43154</v>
          </cell>
        </row>
        <row r="4088">
          <cell r="A4088">
            <v>43559</v>
          </cell>
        </row>
        <row r="4089">
          <cell r="A4089">
            <v>43306</v>
          </cell>
        </row>
        <row r="4090">
          <cell r="A4090">
            <v>43570</v>
          </cell>
        </row>
        <row r="4091">
          <cell r="A4091">
            <v>43863</v>
          </cell>
        </row>
        <row r="4092">
          <cell r="A4092">
            <v>43719</v>
          </cell>
        </row>
        <row r="4093">
          <cell r="A4093">
            <v>43835</v>
          </cell>
        </row>
        <row r="4094">
          <cell r="A4094">
            <v>43685</v>
          </cell>
        </row>
        <row r="4095">
          <cell r="A4095">
            <v>43581</v>
          </cell>
        </row>
        <row r="4096">
          <cell r="A4096">
            <v>43227</v>
          </cell>
        </row>
        <row r="4097">
          <cell r="A4097">
            <v>43143</v>
          </cell>
        </row>
        <row r="4098">
          <cell r="A4098">
            <v>43672</v>
          </cell>
        </row>
        <row r="4099">
          <cell r="A4099">
            <v>43675</v>
          </cell>
        </row>
        <row r="4100">
          <cell r="A4100">
            <v>43521</v>
          </cell>
        </row>
        <row r="4101">
          <cell r="A4101">
            <v>43442</v>
          </cell>
        </row>
        <row r="4102">
          <cell r="A4102">
            <v>43557</v>
          </cell>
        </row>
        <row r="4103">
          <cell r="A4103">
            <v>43531</v>
          </cell>
        </row>
        <row r="4104">
          <cell r="A4104">
            <v>43883</v>
          </cell>
        </row>
        <row r="4105">
          <cell r="A4105">
            <v>43388</v>
          </cell>
        </row>
        <row r="4106">
          <cell r="A4106">
            <v>43797</v>
          </cell>
        </row>
        <row r="4107">
          <cell r="A4107">
            <v>43312</v>
          </cell>
        </row>
        <row r="4108">
          <cell r="A4108">
            <v>43321</v>
          </cell>
        </row>
        <row r="4109">
          <cell r="A4109">
            <v>43480</v>
          </cell>
        </row>
        <row r="4110">
          <cell r="A4110">
            <v>43645</v>
          </cell>
        </row>
        <row r="4111">
          <cell r="A4111">
            <v>43475</v>
          </cell>
        </row>
        <row r="4112">
          <cell r="A4112">
            <v>43884</v>
          </cell>
        </row>
        <row r="4113">
          <cell r="A4113">
            <v>43149</v>
          </cell>
        </row>
        <row r="4114">
          <cell r="A4114">
            <v>43274</v>
          </cell>
        </row>
        <row r="4115">
          <cell r="A4115">
            <v>43684</v>
          </cell>
        </row>
        <row r="4116">
          <cell r="A4116">
            <v>43461</v>
          </cell>
        </row>
        <row r="4117">
          <cell r="A4117">
            <v>43195</v>
          </cell>
        </row>
        <row r="4118">
          <cell r="A4118">
            <v>43884</v>
          </cell>
        </row>
        <row r="4119">
          <cell r="A4119">
            <v>43494</v>
          </cell>
        </row>
        <row r="4120">
          <cell r="A4120">
            <v>43150</v>
          </cell>
        </row>
        <row r="4121">
          <cell r="A4121">
            <v>43334</v>
          </cell>
        </row>
        <row r="4122">
          <cell r="A4122">
            <v>43618</v>
          </cell>
        </row>
        <row r="4123">
          <cell r="A4123">
            <v>43872</v>
          </cell>
        </row>
        <row r="4124">
          <cell r="A4124">
            <v>43547</v>
          </cell>
        </row>
        <row r="4125">
          <cell r="A4125">
            <v>43342</v>
          </cell>
        </row>
        <row r="4126">
          <cell r="A4126">
            <v>43322</v>
          </cell>
        </row>
        <row r="4127">
          <cell r="A4127">
            <v>43585</v>
          </cell>
        </row>
        <row r="4128">
          <cell r="A4128">
            <v>43425</v>
          </cell>
        </row>
        <row r="4129">
          <cell r="A4129">
            <v>43703</v>
          </cell>
        </row>
        <row r="4130">
          <cell r="A4130">
            <v>43592</v>
          </cell>
        </row>
        <row r="4131">
          <cell r="A4131">
            <v>43910</v>
          </cell>
        </row>
        <row r="4132">
          <cell r="A4132">
            <v>43400</v>
          </cell>
        </row>
        <row r="4133">
          <cell r="A4133">
            <v>43170</v>
          </cell>
        </row>
        <row r="4134">
          <cell r="A4134">
            <v>43667</v>
          </cell>
        </row>
        <row r="4135">
          <cell r="A4135">
            <v>43206</v>
          </cell>
        </row>
        <row r="4136">
          <cell r="A4136">
            <v>43527</v>
          </cell>
        </row>
        <row r="4137">
          <cell r="A4137">
            <v>43661</v>
          </cell>
        </row>
        <row r="4138">
          <cell r="A4138">
            <v>43280</v>
          </cell>
        </row>
        <row r="4139">
          <cell r="A4139">
            <v>43417</v>
          </cell>
        </row>
        <row r="4140">
          <cell r="A4140">
            <v>43457</v>
          </cell>
        </row>
        <row r="4141">
          <cell r="A4141">
            <v>43209</v>
          </cell>
        </row>
        <row r="4142">
          <cell r="A4142">
            <v>43437</v>
          </cell>
        </row>
        <row r="4143">
          <cell r="A4143">
            <v>43274</v>
          </cell>
        </row>
        <row r="4144">
          <cell r="A4144">
            <v>43815</v>
          </cell>
        </row>
        <row r="4145">
          <cell r="A4145">
            <v>43901</v>
          </cell>
        </row>
        <row r="4146">
          <cell r="A4146">
            <v>43298</v>
          </cell>
        </row>
        <row r="4147">
          <cell r="A4147">
            <v>43500</v>
          </cell>
        </row>
        <row r="4148">
          <cell r="A4148">
            <v>43747</v>
          </cell>
        </row>
        <row r="4149">
          <cell r="A4149">
            <v>43401</v>
          </cell>
        </row>
        <row r="4150">
          <cell r="A4150">
            <v>43139</v>
          </cell>
        </row>
        <row r="4151">
          <cell r="A4151">
            <v>43136</v>
          </cell>
        </row>
        <row r="4152">
          <cell r="A4152">
            <v>43578</v>
          </cell>
        </row>
        <row r="4153">
          <cell r="A4153">
            <v>43206</v>
          </cell>
        </row>
        <row r="4154">
          <cell r="A4154">
            <v>43283</v>
          </cell>
        </row>
        <row r="4155">
          <cell r="A4155">
            <v>43355</v>
          </cell>
        </row>
        <row r="4156">
          <cell r="A4156">
            <v>43818</v>
          </cell>
        </row>
        <row r="4157">
          <cell r="A4157">
            <v>43312</v>
          </cell>
        </row>
        <row r="4158">
          <cell r="A4158">
            <v>43566</v>
          </cell>
        </row>
        <row r="4159">
          <cell r="A4159">
            <v>43232</v>
          </cell>
        </row>
        <row r="4160">
          <cell r="A4160">
            <v>43106</v>
          </cell>
        </row>
        <row r="4161">
          <cell r="A4161">
            <v>43271</v>
          </cell>
        </row>
        <row r="4162">
          <cell r="A4162">
            <v>43105</v>
          </cell>
        </row>
        <row r="4163">
          <cell r="A4163">
            <v>43229</v>
          </cell>
        </row>
        <row r="4164">
          <cell r="A4164">
            <v>43643</v>
          </cell>
        </row>
        <row r="4165">
          <cell r="A4165">
            <v>43504</v>
          </cell>
        </row>
        <row r="4166">
          <cell r="A4166">
            <v>43101</v>
          </cell>
        </row>
        <row r="4167">
          <cell r="A4167">
            <v>43458</v>
          </cell>
        </row>
        <row r="4168">
          <cell r="A4168">
            <v>43605</v>
          </cell>
        </row>
        <row r="4169">
          <cell r="A4169">
            <v>43645</v>
          </cell>
        </row>
        <row r="4170">
          <cell r="A4170">
            <v>43790</v>
          </cell>
        </row>
        <row r="4171">
          <cell r="A4171">
            <v>43527</v>
          </cell>
        </row>
        <row r="4172">
          <cell r="A4172">
            <v>43769</v>
          </cell>
        </row>
        <row r="4173">
          <cell r="A4173">
            <v>43158</v>
          </cell>
        </row>
        <row r="4174">
          <cell r="A4174">
            <v>43187</v>
          </cell>
        </row>
        <row r="4175">
          <cell r="A4175">
            <v>43609</v>
          </cell>
        </row>
        <row r="4176">
          <cell r="A4176">
            <v>43641</v>
          </cell>
        </row>
        <row r="4177">
          <cell r="A4177">
            <v>43300</v>
          </cell>
        </row>
        <row r="4178">
          <cell r="A4178">
            <v>43645</v>
          </cell>
        </row>
        <row r="4179">
          <cell r="A4179">
            <v>43426</v>
          </cell>
        </row>
        <row r="4180">
          <cell r="A4180">
            <v>43500</v>
          </cell>
        </row>
        <row r="4181">
          <cell r="A4181">
            <v>43442</v>
          </cell>
        </row>
        <row r="4182">
          <cell r="A4182">
            <v>43657</v>
          </cell>
        </row>
        <row r="4183">
          <cell r="A4183">
            <v>43222</v>
          </cell>
        </row>
        <row r="4184">
          <cell r="A4184">
            <v>43528</v>
          </cell>
        </row>
        <row r="4185">
          <cell r="A4185">
            <v>43473</v>
          </cell>
        </row>
        <row r="4186">
          <cell r="A4186">
            <v>43411</v>
          </cell>
        </row>
        <row r="4187">
          <cell r="A4187">
            <v>43809</v>
          </cell>
        </row>
        <row r="4188">
          <cell r="A4188">
            <v>43845</v>
          </cell>
        </row>
        <row r="4189">
          <cell r="A4189">
            <v>43500</v>
          </cell>
        </row>
        <row r="4190">
          <cell r="A4190">
            <v>43737</v>
          </cell>
        </row>
        <row r="4191">
          <cell r="A4191">
            <v>43879</v>
          </cell>
        </row>
        <row r="4192">
          <cell r="A4192">
            <v>43211</v>
          </cell>
        </row>
        <row r="4193">
          <cell r="A4193">
            <v>43545</v>
          </cell>
        </row>
        <row r="4194">
          <cell r="A4194">
            <v>43199</v>
          </cell>
        </row>
        <row r="4195">
          <cell r="A4195">
            <v>43803</v>
          </cell>
        </row>
        <row r="4196">
          <cell r="A4196">
            <v>43296</v>
          </cell>
        </row>
        <row r="4197">
          <cell r="A4197">
            <v>43670</v>
          </cell>
        </row>
        <row r="4198">
          <cell r="A4198">
            <v>43840</v>
          </cell>
        </row>
        <row r="4199">
          <cell r="A4199">
            <v>43856</v>
          </cell>
        </row>
        <row r="4200">
          <cell r="A4200">
            <v>43254</v>
          </cell>
        </row>
        <row r="4201">
          <cell r="A4201">
            <v>43684</v>
          </cell>
        </row>
        <row r="4202">
          <cell r="A4202">
            <v>43735</v>
          </cell>
        </row>
        <row r="4203">
          <cell r="A4203">
            <v>43505</v>
          </cell>
        </row>
        <row r="4204">
          <cell r="A4204">
            <v>43812</v>
          </cell>
        </row>
        <row r="4205">
          <cell r="A4205">
            <v>43629</v>
          </cell>
        </row>
        <row r="4206">
          <cell r="A4206">
            <v>43557</v>
          </cell>
        </row>
        <row r="4207">
          <cell r="A4207">
            <v>43450</v>
          </cell>
        </row>
        <row r="4208">
          <cell r="A4208">
            <v>43884</v>
          </cell>
        </row>
        <row r="4209">
          <cell r="A4209">
            <v>43451</v>
          </cell>
        </row>
        <row r="4210">
          <cell r="A4210">
            <v>43796</v>
          </cell>
        </row>
        <row r="4211">
          <cell r="A4211">
            <v>43681</v>
          </cell>
        </row>
        <row r="4212">
          <cell r="A4212">
            <v>43627</v>
          </cell>
        </row>
        <row r="4213">
          <cell r="A4213">
            <v>43624</v>
          </cell>
        </row>
        <row r="4214">
          <cell r="A4214">
            <v>43890</v>
          </cell>
        </row>
        <row r="4215">
          <cell r="A4215">
            <v>43911</v>
          </cell>
        </row>
        <row r="4216">
          <cell r="A4216">
            <v>43512</v>
          </cell>
        </row>
        <row r="4217">
          <cell r="A4217">
            <v>43250</v>
          </cell>
        </row>
        <row r="4218">
          <cell r="A4218">
            <v>43646</v>
          </cell>
        </row>
        <row r="4219">
          <cell r="A4219">
            <v>43397</v>
          </cell>
        </row>
        <row r="4220">
          <cell r="A4220">
            <v>43229</v>
          </cell>
        </row>
        <row r="4221">
          <cell r="A4221">
            <v>43411</v>
          </cell>
        </row>
        <row r="4222">
          <cell r="A4222">
            <v>43194</v>
          </cell>
        </row>
        <row r="4223">
          <cell r="A4223">
            <v>43408</v>
          </cell>
        </row>
        <row r="4224">
          <cell r="A4224">
            <v>43323</v>
          </cell>
        </row>
        <row r="4225">
          <cell r="A4225">
            <v>43503</v>
          </cell>
        </row>
        <row r="4226">
          <cell r="A4226">
            <v>43470</v>
          </cell>
        </row>
        <row r="4227">
          <cell r="A4227">
            <v>43234</v>
          </cell>
        </row>
        <row r="4228">
          <cell r="A4228">
            <v>43363</v>
          </cell>
        </row>
        <row r="4229">
          <cell r="A4229">
            <v>43723</v>
          </cell>
        </row>
        <row r="4230">
          <cell r="A4230">
            <v>43812</v>
          </cell>
        </row>
        <row r="4231">
          <cell r="A4231">
            <v>43200</v>
          </cell>
        </row>
        <row r="4232">
          <cell r="A4232">
            <v>43123</v>
          </cell>
        </row>
        <row r="4233">
          <cell r="A4233">
            <v>43823</v>
          </cell>
        </row>
        <row r="4234">
          <cell r="A4234">
            <v>43108</v>
          </cell>
        </row>
        <row r="4235">
          <cell r="A4235">
            <v>43539</v>
          </cell>
        </row>
        <row r="4236">
          <cell r="A4236">
            <v>43157</v>
          </cell>
        </row>
        <row r="4237">
          <cell r="A4237">
            <v>43373</v>
          </cell>
        </row>
        <row r="4238">
          <cell r="A4238">
            <v>43613</v>
          </cell>
        </row>
        <row r="4239">
          <cell r="A4239">
            <v>43544</v>
          </cell>
        </row>
        <row r="4240">
          <cell r="A4240">
            <v>43289</v>
          </cell>
        </row>
        <row r="4241">
          <cell r="A4241">
            <v>43254</v>
          </cell>
        </row>
        <row r="4242">
          <cell r="A4242">
            <v>43691</v>
          </cell>
        </row>
        <row r="4243">
          <cell r="A4243">
            <v>43146</v>
          </cell>
        </row>
        <row r="4244">
          <cell r="A4244">
            <v>43814</v>
          </cell>
        </row>
        <row r="4245">
          <cell r="A4245">
            <v>43569</v>
          </cell>
        </row>
        <row r="4246">
          <cell r="A4246">
            <v>43536</v>
          </cell>
        </row>
        <row r="4247">
          <cell r="A4247">
            <v>43746</v>
          </cell>
        </row>
        <row r="4248">
          <cell r="A4248">
            <v>43457</v>
          </cell>
        </row>
        <row r="4249">
          <cell r="A4249">
            <v>43349</v>
          </cell>
        </row>
        <row r="4250">
          <cell r="A4250">
            <v>43521</v>
          </cell>
        </row>
        <row r="4251">
          <cell r="A4251">
            <v>43345</v>
          </cell>
        </row>
        <row r="4252">
          <cell r="A4252">
            <v>43478</v>
          </cell>
        </row>
        <row r="4253">
          <cell r="A4253">
            <v>43280</v>
          </cell>
        </row>
        <row r="4254">
          <cell r="A4254">
            <v>43236</v>
          </cell>
        </row>
        <row r="4255">
          <cell r="A4255">
            <v>43124</v>
          </cell>
        </row>
        <row r="4256">
          <cell r="A4256">
            <v>43760</v>
          </cell>
        </row>
        <row r="4257">
          <cell r="A4257">
            <v>43237</v>
          </cell>
        </row>
        <row r="4258">
          <cell r="A4258">
            <v>43422</v>
          </cell>
        </row>
        <row r="4259">
          <cell r="A4259">
            <v>43785</v>
          </cell>
        </row>
        <row r="4260">
          <cell r="A4260">
            <v>43113</v>
          </cell>
        </row>
        <row r="4261">
          <cell r="A4261">
            <v>43580</v>
          </cell>
        </row>
        <row r="4262">
          <cell r="A4262">
            <v>43297</v>
          </cell>
        </row>
        <row r="4263">
          <cell r="A4263">
            <v>43863</v>
          </cell>
        </row>
        <row r="4264">
          <cell r="A4264">
            <v>43423</v>
          </cell>
        </row>
        <row r="4265">
          <cell r="A4265">
            <v>43347</v>
          </cell>
        </row>
        <row r="4266">
          <cell r="A4266">
            <v>43613</v>
          </cell>
        </row>
        <row r="4267">
          <cell r="A4267">
            <v>43411</v>
          </cell>
        </row>
        <row r="4268">
          <cell r="A4268">
            <v>43352</v>
          </cell>
        </row>
        <row r="4269">
          <cell r="A4269">
            <v>43561</v>
          </cell>
        </row>
        <row r="4270">
          <cell r="A4270">
            <v>43297</v>
          </cell>
        </row>
        <row r="4271">
          <cell r="A4271">
            <v>43156</v>
          </cell>
        </row>
        <row r="4272">
          <cell r="A4272">
            <v>43122</v>
          </cell>
        </row>
        <row r="4273">
          <cell r="A4273">
            <v>43683</v>
          </cell>
        </row>
        <row r="4274">
          <cell r="A4274">
            <v>43500</v>
          </cell>
        </row>
        <row r="4275">
          <cell r="A4275">
            <v>43259</v>
          </cell>
        </row>
        <row r="4276">
          <cell r="A4276">
            <v>43472</v>
          </cell>
        </row>
        <row r="4277">
          <cell r="A4277">
            <v>43317</v>
          </cell>
        </row>
        <row r="4278">
          <cell r="A4278">
            <v>43855</v>
          </cell>
        </row>
        <row r="4279">
          <cell r="A4279">
            <v>43585</v>
          </cell>
        </row>
        <row r="4280">
          <cell r="A4280">
            <v>43684</v>
          </cell>
        </row>
        <row r="4281">
          <cell r="A4281">
            <v>43621</v>
          </cell>
        </row>
        <row r="4282">
          <cell r="A4282">
            <v>43335</v>
          </cell>
        </row>
        <row r="4283">
          <cell r="A4283">
            <v>43736</v>
          </cell>
        </row>
        <row r="4284">
          <cell r="A4284">
            <v>43824</v>
          </cell>
        </row>
        <row r="4285">
          <cell r="A4285">
            <v>43666</v>
          </cell>
        </row>
        <row r="4286">
          <cell r="A4286">
            <v>43167</v>
          </cell>
        </row>
        <row r="4287">
          <cell r="A4287">
            <v>43201</v>
          </cell>
        </row>
        <row r="4288">
          <cell r="A4288">
            <v>43561</v>
          </cell>
        </row>
        <row r="4289">
          <cell r="A4289">
            <v>43414</v>
          </cell>
        </row>
        <row r="4290">
          <cell r="A4290">
            <v>43304</v>
          </cell>
        </row>
        <row r="4291">
          <cell r="A4291">
            <v>43158</v>
          </cell>
        </row>
        <row r="4292">
          <cell r="A4292">
            <v>43451</v>
          </cell>
        </row>
        <row r="4293">
          <cell r="A4293">
            <v>43569</v>
          </cell>
        </row>
        <row r="4294">
          <cell r="A4294">
            <v>43191</v>
          </cell>
        </row>
        <row r="4295">
          <cell r="A4295">
            <v>43578</v>
          </cell>
        </row>
        <row r="4296">
          <cell r="A4296">
            <v>43236</v>
          </cell>
        </row>
        <row r="4297">
          <cell r="A4297">
            <v>43909</v>
          </cell>
        </row>
        <row r="4298">
          <cell r="A4298">
            <v>43902</v>
          </cell>
        </row>
        <row r="4299">
          <cell r="A4299">
            <v>43388</v>
          </cell>
        </row>
        <row r="4300">
          <cell r="A4300">
            <v>43173</v>
          </cell>
        </row>
        <row r="4301">
          <cell r="A4301">
            <v>43853</v>
          </cell>
        </row>
        <row r="4302">
          <cell r="A4302">
            <v>43580</v>
          </cell>
        </row>
        <row r="4303">
          <cell r="A4303">
            <v>43252</v>
          </cell>
        </row>
        <row r="4304">
          <cell r="A4304">
            <v>43327</v>
          </cell>
        </row>
        <row r="4305">
          <cell r="A4305">
            <v>43280</v>
          </cell>
        </row>
        <row r="4306">
          <cell r="A4306">
            <v>43702</v>
          </cell>
        </row>
        <row r="4307">
          <cell r="A4307">
            <v>43593</v>
          </cell>
        </row>
        <row r="4308">
          <cell r="A4308">
            <v>43661</v>
          </cell>
        </row>
        <row r="4309">
          <cell r="A4309">
            <v>43798</v>
          </cell>
        </row>
        <row r="4310">
          <cell r="A4310">
            <v>43784</v>
          </cell>
        </row>
        <row r="4311">
          <cell r="A4311">
            <v>43123</v>
          </cell>
        </row>
        <row r="4312">
          <cell r="A4312">
            <v>43352</v>
          </cell>
        </row>
        <row r="4313">
          <cell r="A4313">
            <v>43132</v>
          </cell>
        </row>
        <row r="4314">
          <cell r="A4314">
            <v>43199</v>
          </cell>
        </row>
        <row r="4315">
          <cell r="A4315">
            <v>43734</v>
          </cell>
        </row>
        <row r="4316">
          <cell r="A4316">
            <v>43810</v>
          </cell>
        </row>
        <row r="4317">
          <cell r="A4317">
            <v>43189</v>
          </cell>
        </row>
        <row r="4318">
          <cell r="A4318">
            <v>43578</v>
          </cell>
        </row>
        <row r="4319">
          <cell r="A4319">
            <v>43866</v>
          </cell>
        </row>
        <row r="4320">
          <cell r="A4320">
            <v>43735</v>
          </cell>
        </row>
        <row r="4321">
          <cell r="A4321">
            <v>43514</v>
          </cell>
        </row>
        <row r="4322">
          <cell r="A4322">
            <v>43133</v>
          </cell>
        </row>
        <row r="4323">
          <cell r="A4323">
            <v>43651</v>
          </cell>
        </row>
        <row r="4324">
          <cell r="A4324">
            <v>43775</v>
          </cell>
        </row>
        <row r="4325">
          <cell r="A4325">
            <v>43514</v>
          </cell>
        </row>
        <row r="4326">
          <cell r="A4326">
            <v>43389</v>
          </cell>
        </row>
        <row r="4327">
          <cell r="A4327">
            <v>43864</v>
          </cell>
        </row>
        <row r="4328">
          <cell r="A4328">
            <v>43543</v>
          </cell>
        </row>
        <row r="4329">
          <cell r="A4329">
            <v>43177</v>
          </cell>
        </row>
        <row r="4330">
          <cell r="A4330">
            <v>43695</v>
          </cell>
        </row>
        <row r="4331">
          <cell r="A4331">
            <v>43822</v>
          </cell>
        </row>
        <row r="4332">
          <cell r="A4332">
            <v>43788</v>
          </cell>
        </row>
        <row r="4333">
          <cell r="A4333">
            <v>43749</v>
          </cell>
        </row>
        <row r="4334">
          <cell r="A4334">
            <v>43296</v>
          </cell>
        </row>
        <row r="4335">
          <cell r="A4335">
            <v>43863</v>
          </cell>
        </row>
        <row r="4336">
          <cell r="A4336">
            <v>43527</v>
          </cell>
        </row>
        <row r="4337">
          <cell r="A4337">
            <v>43259</v>
          </cell>
        </row>
        <row r="4338">
          <cell r="A4338">
            <v>43236</v>
          </cell>
        </row>
        <row r="4339">
          <cell r="A4339">
            <v>43325</v>
          </cell>
        </row>
        <row r="4340">
          <cell r="A4340">
            <v>43328</v>
          </cell>
        </row>
        <row r="4341">
          <cell r="A4341">
            <v>43770</v>
          </cell>
        </row>
        <row r="4342">
          <cell r="A4342">
            <v>43828</v>
          </cell>
        </row>
        <row r="4343">
          <cell r="A4343">
            <v>43604</v>
          </cell>
        </row>
        <row r="4344">
          <cell r="A4344">
            <v>43851</v>
          </cell>
        </row>
        <row r="4345">
          <cell r="A4345">
            <v>43285</v>
          </cell>
        </row>
        <row r="4346">
          <cell r="A4346">
            <v>43706</v>
          </cell>
        </row>
        <row r="4347">
          <cell r="A4347">
            <v>43302</v>
          </cell>
        </row>
        <row r="4348">
          <cell r="A4348">
            <v>43525</v>
          </cell>
        </row>
        <row r="4349">
          <cell r="A4349">
            <v>43536</v>
          </cell>
        </row>
        <row r="4350">
          <cell r="A4350">
            <v>43531</v>
          </cell>
        </row>
        <row r="4351">
          <cell r="A4351">
            <v>43591</v>
          </cell>
        </row>
        <row r="4352">
          <cell r="A4352">
            <v>43532</v>
          </cell>
        </row>
        <row r="4353">
          <cell r="A4353">
            <v>43879</v>
          </cell>
        </row>
        <row r="4354">
          <cell r="A4354">
            <v>43921</v>
          </cell>
        </row>
        <row r="4355">
          <cell r="A4355">
            <v>43112</v>
          </cell>
        </row>
        <row r="4356">
          <cell r="A4356">
            <v>43590</v>
          </cell>
        </row>
        <row r="4357">
          <cell r="A4357">
            <v>43301</v>
          </cell>
        </row>
        <row r="4358">
          <cell r="A4358">
            <v>43390</v>
          </cell>
        </row>
        <row r="4359">
          <cell r="A4359">
            <v>43806</v>
          </cell>
        </row>
        <row r="4360">
          <cell r="A4360">
            <v>43663</v>
          </cell>
        </row>
        <row r="4361">
          <cell r="A4361">
            <v>43103</v>
          </cell>
        </row>
        <row r="4362">
          <cell r="A4362">
            <v>43333</v>
          </cell>
        </row>
        <row r="4363">
          <cell r="A4363">
            <v>43527</v>
          </cell>
        </row>
        <row r="4364">
          <cell r="A4364">
            <v>43754</v>
          </cell>
        </row>
        <row r="4365">
          <cell r="A4365">
            <v>43625</v>
          </cell>
        </row>
        <row r="4366">
          <cell r="A4366">
            <v>43400</v>
          </cell>
        </row>
        <row r="4367">
          <cell r="A4367">
            <v>43306</v>
          </cell>
        </row>
        <row r="4368">
          <cell r="A4368">
            <v>43233</v>
          </cell>
        </row>
        <row r="4369">
          <cell r="A4369">
            <v>43497</v>
          </cell>
        </row>
        <row r="4370">
          <cell r="A4370">
            <v>43492</v>
          </cell>
        </row>
        <row r="4371">
          <cell r="A4371">
            <v>43661</v>
          </cell>
        </row>
        <row r="4372">
          <cell r="A4372">
            <v>43286</v>
          </cell>
        </row>
        <row r="4373">
          <cell r="A4373">
            <v>43538</v>
          </cell>
        </row>
        <row r="4374">
          <cell r="A4374">
            <v>43523</v>
          </cell>
        </row>
        <row r="4375">
          <cell r="A4375">
            <v>43237</v>
          </cell>
        </row>
        <row r="4376">
          <cell r="A4376">
            <v>43898</v>
          </cell>
        </row>
        <row r="4377">
          <cell r="A4377">
            <v>43509</v>
          </cell>
        </row>
        <row r="4378">
          <cell r="A4378">
            <v>43578</v>
          </cell>
        </row>
        <row r="4379">
          <cell r="A4379">
            <v>43664</v>
          </cell>
        </row>
        <row r="4380">
          <cell r="A4380">
            <v>43453</v>
          </cell>
        </row>
        <row r="4381">
          <cell r="A4381">
            <v>43707</v>
          </cell>
        </row>
        <row r="4382">
          <cell r="A4382">
            <v>43152</v>
          </cell>
        </row>
        <row r="4383">
          <cell r="A4383">
            <v>43545</v>
          </cell>
        </row>
        <row r="4384">
          <cell r="A4384">
            <v>43345</v>
          </cell>
        </row>
        <row r="4385">
          <cell r="A4385">
            <v>43831</v>
          </cell>
        </row>
        <row r="4386">
          <cell r="A4386">
            <v>43571</v>
          </cell>
        </row>
        <row r="4387">
          <cell r="A4387">
            <v>43792</v>
          </cell>
        </row>
        <row r="4388">
          <cell r="A4388">
            <v>43519</v>
          </cell>
        </row>
        <row r="4389">
          <cell r="A4389">
            <v>43639</v>
          </cell>
        </row>
        <row r="4390">
          <cell r="A4390">
            <v>43255</v>
          </cell>
        </row>
        <row r="4391">
          <cell r="A4391">
            <v>43812</v>
          </cell>
        </row>
        <row r="4392">
          <cell r="A4392">
            <v>43918</v>
          </cell>
        </row>
        <row r="4393">
          <cell r="A4393">
            <v>43280</v>
          </cell>
        </row>
        <row r="4394">
          <cell r="A4394">
            <v>43599</v>
          </cell>
        </row>
        <row r="4395">
          <cell r="A4395">
            <v>43730</v>
          </cell>
        </row>
        <row r="4396">
          <cell r="A4396">
            <v>43741</v>
          </cell>
        </row>
        <row r="4397">
          <cell r="A4397">
            <v>43543</v>
          </cell>
        </row>
        <row r="4398">
          <cell r="A4398">
            <v>43181</v>
          </cell>
        </row>
        <row r="4399">
          <cell r="A4399">
            <v>43571</v>
          </cell>
        </row>
        <row r="4400">
          <cell r="A4400">
            <v>43489</v>
          </cell>
        </row>
        <row r="4401">
          <cell r="A4401">
            <v>43511</v>
          </cell>
        </row>
        <row r="4402">
          <cell r="A4402">
            <v>43214</v>
          </cell>
        </row>
        <row r="4403">
          <cell r="A4403">
            <v>43527</v>
          </cell>
        </row>
        <row r="4404">
          <cell r="A4404">
            <v>43525</v>
          </cell>
        </row>
        <row r="4405">
          <cell r="A4405">
            <v>43686</v>
          </cell>
        </row>
        <row r="4406">
          <cell r="A4406">
            <v>43167</v>
          </cell>
        </row>
        <row r="4407">
          <cell r="A4407">
            <v>43159</v>
          </cell>
        </row>
        <row r="4408">
          <cell r="A4408">
            <v>43109</v>
          </cell>
        </row>
        <row r="4409">
          <cell r="A4409">
            <v>43653</v>
          </cell>
        </row>
        <row r="4410">
          <cell r="A4410">
            <v>43253</v>
          </cell>
        </row>
        <row r="4411">
          <cell r="A4411">
            <v>43787</v>
          </cell>
        </row>
        <row r="4412">
          <cell r="A4412">
            <v>43236</v>
          </cell>
        </row>
        <row r="4413">
          <cell r="A4413">
            <v>43856</v>
          </cell>
        </row>
        <row r="4414">
          <cell r="A4414">
            <v>43458</v>
          </cell>
        </row>
        <row r="4415">
          <cell r="A4415">
            <v>43894</v>
          </cell>
        </row>
        <row r="4416">
          <cell r="A4416">
            <v>43798</v>
          </cell>
        </row>
        <row r="4417">
          <cell r="A4417">
            <v>43520</v>
          </cell>
        </row>
        <row r="4418">
          <cell r="A4418">
            <v>43403</v>
          </cell>
        </row>
        <row r="4419">
          <cell r="A4419">
            <v>43262</v>
          </cell>
        </row>
        <row r="4420">
          <cell r="A4420">
            <v>43566</v>
          </cell>
        </row>
        <row r="4421">
          <cell r="A4421">
            <v>43159</v>
          </cell>
        </row>
        <row r="4422">
          <cell r="A4422">
            <v>43647</v>
          </cell>
        </row>
        <row r="4423">
          <cell r="A4423">
            <v>43789</v>
          </cell>
        </row>
        <row r="4424">
          <cell r="A4424">
            <v>43164</v>
          </cell>
        </row>
        <row r="4425">
          <cell r="A4425">
            <v>43570</v>
          </cell>
        </row>
        <row r="4426">
          <cell r="A4426">
            <v>43498</v>
          </cell>
        </row>
        <row r="4427">
          <cell r="A4427">
            <v>43314</v>
          </cell>
        </row>
        <row r="4428">
          <cell r="A4428">
            <v>43328</v>
          </cell>
        </row>
        <row r="4429">
          <cell r="A4429">
            <v>43294</v>
          </cell>
        </row>
        <row r="4430">
          <cell r="A4430">
            <v>43156</v>
          </cell>
        </row>
        <row r="4431">
          <cell r="A4431">
            <v>43605</v>
          </cell>
        </row>
        <row r="4432">
          <cell r="A4432">
            <v>43869</v>
          </cell>
        </row>
        <row r="4433">
          <cell r="A4433">
            <v>43547</v>
          </cell>
        </row>
        <row r="4434">
          <cell r="A4434">
            <v>43211</v>
          </cell>
        </row>
        <row r="4435">
          <cell r="A4435">
            <v>43732</v>
          </cell>
        </row>
        <row r="4436">
          <cell r="A4436">
            <v>43171</v>
          </cell>
        </row>
        <row r="4437">
          <cell r="A4437">
            <v>43163</v>
          </cell>
        </row>
        <row r="4438">
          <cell r="A4438">
            <v>43890</v>
          </cell>
        </row>
        <row r="4439">
          <cell r="A4439">
            <v>43578</v>
          </cell>
        </row>
        <row r="4440">
          <cell r="A4440">
            <v>43108</v>
          </cell>
        </row>
        <row r="4441">
          <cell r="A4441">
            <v>43309</v>
          </cell>
        </row>
        <row r="4442">
          <cell r="A4442">
            <v>43387</v>
          </cell>
        </row>
        <row r="4443">
          <cell r="A4443">
            <v>43615</v>
          </cell>
        </row>
        <row r="4444">
          <cell r="A4444">
            <v>43539</v>
          </cell>
        </row>
        <row r="4445">
          <cell r="A4445">
            <v>43652</v>
          </cell>
        </row>
        <row r="4446">
          <cell r="A4446">
            <v>43797</v>
          </cell>
        </row>
        <row r="4447">
          <cell r="A4447">
            <v>43655</v>
          </cell>
        </row>
        <row r="4448">
          <cell r="A4448">
            <v>43194</v>
          </cell>
        </row>
        <row r="4449">
          <cell r="A4449">
            <v>43258</v>
          </cell>
        </row>
        <row r="4450">
          <cell r="A4450">
            <v>43447</v>
          </cell>
        </row>
        <row r="4451">
          <cell r="A4451">
            <v>43103</v>
          </cell>
        </row>
        <row r="4452">
          <cell r="A4452">
            <v>43208</v>
          </cell>
        </row>
        <row r="4453">
          <cell r="A4453">
            <v>43864</v>
          </cell>
        </row>
        <row r="4454">
          <cell r="A4454">
            <v>43407</v>
          </cell>
        </row>
        <row r="4455">
          <cell r="A4455">
            <v>43310</v>
          </cell>
        </row>
        <row r="4456">
          <cell r="A4456">
            <v>43776</v>
          </cell>
        </row>
        <row r="4457">
          <cell r="A4457">
            <v>43878</v>
          </cell>
        </row>
        <row r="4458">
          <cell r="A4458">
            <v>43698</v>
          </cell>
        </row>
        <row r="4459">
          <cell r="A4459">
            <v>43314</v>
          </cell>
        </row>
        <row r="4460">
          <cell r="A4460">
            <v>43328</v>
          </cell>
        </row>
        <row r="4461">
          <cell r="A4461">
            <v>43854</v>
          </cell>
        </row>
        <row r="4462">
          <cell r="A4462">
            <v>43646</v>
          </cell>
        </row>
        <row r="4463">
          <cell r="A4463">
            <v>43234</v>
          </cell>
        </row>
        <row r="4464">
          <cell r="A4464">
            <v>43163</v>
          </cell>
        </row>
        <row r="4465">
          <cell r="A4465">
            <v>43756</v>
          </cell>
        </row>
        <row r="4466">
          <cell r="A4466">
            <v>43448</v>
          </cell>
        </row>
        <row r="4467">
          <cell r="A4467">
            <v>43323</v>
          </cell>
        </row>
        <row r="4468">
          <cell r="A4468">
            <v>43329</v>
          </cell>
        </row>
        <row r="4469">
          <cell r="A4469">
            <v>43494</v>
          </cell>
        </row>
        <row r="4470">
          <cell r="A4470">
            <v>43359</v>
          </cell>
        </row>
        <row r="4471">
          <cell r="A4471">
            <v>43856</v>
          </cell>
        </row>
        <row r="4472">
          <cell r="A4472">
            <v>43490</v>
          </cell>
        </row>
        <row r="4473">
          <cell r="A4473">
            <v>43883</v>
          </cell>
        </row>
        <row r="4474">
          <cell r="A4474">
            <v>43905</v>
          </cell>
        </row>
        <row r="4475">
          <cell r="A4475">
            <v>43803</v>
          </cell>
        </row>
        <row r="4476">
          <cell r="A4476">
            <v>43129</v>
          </cell>
        </row>
        <row r="4477">
          <cell r="A4477">
            <v>43114</v>
          </cell>
        </row>
        <row r="4478">
          <cell r="A4478">
            <v>43506</v>
          </cell>
        </row>
        <row r="4479">
          <cell r="A4479">
            <v>43606</v>
          </cell>
        </row>
        <row r="4480">
          <cell r="A4480">
            <v>43559</v>
          </cell>
        </row>
        <row r="4481">
          <cell r="A4481">
            <v>43118</v>
          </cell>
        </row>
        <row r="4482">
          <cell r="A4482">
            <v>43379</v>
          </cell>
        </row>
        <row r="4483">
          <cell r="A4483">
            <v>43627</v>
          </cell>
        </row>
        <row r="4484">
          <cell r="A4484">
            <v>43879</v>
          </cell>
        </row>
        <row r="4485">
          <cell r="A4485">
            <v>43568</v>
          </cell>
        </row>
        <row r="4486">
          <cell r="A4486">
            <v>43327</v>
          </cell>
        </row>
        <row r="4487">
          <cell r="A4487">
            <v>43219</v>
          </cell>
        </row>
        <row r="4488">
          <cell r="A4488">
            <v>43480</v>
          </cell>
        </row>
        <row r="4489">
          <cell r="A4489">
            <v>43606</v>
          </cell>
        </row>
        <row r="4490">
          <cell r="A4490">
            <v>43597</v>
          </cell>
        </row>
        <row r="4491">
          <cell r="A4491">
            <v>43718</v>
          </cell>
        </row>
        <row r="4492">
          <cell r="A4492">
            <v>43244</v>
          </cell>
        </row>
        <row r="4493">
          <cell r="A4493">
            <v>43517</v>
          </cell>
        </row>
        <row r="4494">
          <cell r="A4494">
            <v>43113</v>
          </cell>
        </row>
        <row r="4495">
          <cell r="A4495">
            <v>43446</v>
          </cell>
        </row>
        <row r="4496">
          <cell r="A4496">
            <v>43622</v>
          </cell>
        </row>
        <row r="4497">
          <cell r="A4497">
            <v>43773</v>
          </cell>
        </row>
        <row r="4498">
          <cell r="A4498">
            <v>43814</v>
          </cell>
        </row>
        <row r="4499">
          <cell r="A4499">
            <v>43774</v>
          </cell>
        </row>
        <row r="4500">
          <cell r="A4500">
            <v>43900</v>
          </cell>
        </row>
        <row r="4501">
          <cell r="A4501">
            <v>43562</v>
          </cell>
        </row>
        <row r="4502">
          <cell r="A4502">
            <v>43630</v>
          </cell>
        </row>
        <row r="4503">
          <cell r="A4503">
            <v>43581</v>
          </cell>
        </row>
        <row r="4504">
          <cell r="A4504">
            <v>43329</v>
          </cell>
        </row>
        <row r="4505">
          <cell r="A4505">
            <v>43561</v>
          </cell>
        </row>
        <row r="4506">
          <cell r="A4506">
            <v>43286</v>
          </cell>
        </row>
        <row r="4507">
          <cell r="A4507">
            <v>43451</v>
          </cell>
        </row>
        <row r="4508">
          <cell r="A4508">
            <v>43597</v>
          </cell>
        </row>
        <row r="4509">
          <cell r="A4509">
            <v>43574</v>
          </cell>
        </row>
        <row r="4510">
          <cell r="A4510">
            <v>43672</v>
          </cell>
        </row>
        <row r="4511">
          <cell r="A4511">
            <v>43710</v>
          </cell>
        </row>
        <row r="4512">
          <cell r="A4512">
            <v>43333</v>
          </cell>
        </row>
        <row r="4513">
          <cell r="A4513">
            <v>43488</v>
          </cell>
        </row>
        <row r="4514">
          <cell r="A4514">
            <v>43529</v>
          </cell>
        </row>
        <row r="4515">
          <cell r="A4515">
            <v>43521</v>
          </cell>
        </row>
        <row r="4516">
          <cell r="A4516">
            <v>43910</v>
          </cell>
        </row>
        <row r="4517">
          <cell r="A4517">
            <v>43748</v>
          </cell>
        </row>
        <row r="4518">
          <cell r="A4518">
            <v>43145</v>
          </cell>
        </row>
        <row r="4519">
          <cell r="A4519">
            <v>43478</v>
          </cell>
        </row>
        <row r="4520">
          <cell r="A4520">
            <v>43506</v>
          </cell>
        </row>
        <row r="4521">
          <cell r="A4521">
            <v>43414</v>
          </cell>
        </row>
        <row r="4522">
          <cell r="A4522">
            <v>43537</v>
          </cell>
        </row>
        <row r="4523">
          <cell r="A4523">
            <v>43284</v>
          </cell>
        </row>
        <row r="4524">
          <cell r="A4524">
            <v>43330</v>
          </cell>
        </row>
        <row r="4525">
          <cell r="A4525">
            <v>43863</v>
          </cell>
        </row>
        <row r="4526">
          <cell r="A4526">
            <v>43791</v>
          </cell>
        </row>
        <row r="4527">
          <cell r="A4527">
            <v>43701</v>
          </cell>
        </row>
        <row r="4528">
          <cell r="A4528">
            <v>43600</v>
          </cell>
        </row>
        <row r="4529">
          <cell r="A4529">
            <v>43751</v>
          </cell>
        </row>
        <row r="4530">
          <cell r="A4530">
            <v>43357</v>
          </cell>
        </row>
        <row r="4531">
          <cell r="A4531">
            <v>43306</v>
          </cell>
        </row>
        <row r="4532">
          <cell r="A4532">
            <v>43534</v>
          </cell>
        </row>
        <row r="4533">
          <cell r="A4533">
            <v>43294</v>
          </cell>
        </row>
        <row r="4534">
          <cell r="A4534">
            <v>43816</v>
          </cell>
        </row>
        <row r="4535">
          <cell r="A4535">
            <v>43604</v>
          </cell>
        </row>
        <row r="4536">
          <cell r="A4536">
            <v>43710</v>
          </cell>
        </row>
        <row r="4537">
          <cell r="A4537">
            <v>43213</v>
          </cell>
        </row>
        <row r="4538">
          <cell r="A4538">
            <v>43579</v>
          </cell>
        </row>
        <row r="4539">
          <cell r="A4539">
            <v>43557</v>
          </cell>
        </row>
        <row r="4540">
          <cell r="A4540">
            <v>43176</v>
          </cell>
        </row>
        <row r="4541">
          <cell r="A4541">
            <v>43655</v>
          </cell>
        </row>
        <row r="4542">
          <cell r="A4542">
            <v>43875</v>
          </cell>
        </row>
        <row r="4543">
          <cell r="A4543">
            <v>43273</v>
          </cell>
        </row>
        <row r="4544">
          <cell r="A4544">
            <v>43655</v>
          </cell>
        </row>
        <row r="4545">
          <cell r="A4545">
            <v>43619</v>
          </cell>
        </row>
        <row r="4546">
          <cell r="A4546">
            <v>43492</v>
          </cell>
        </row>
        <row r="4547">
          <cell r="A4547">
            <v>43696</v>
          </cell>
        </row>
        <row r="4548">
          <cell r="A4548">
            <v>43842</v>
          </cell>
        </row>
        <row r="4549">
          <cell r="A4549">
            <v>43913</v>
          </cell>
        </row>
        <row r="4550">
          <cell r="A4550">
            <v>43526</v>
          </cell>
        </row>
        <row r="4551">
          <cell r="A4551">
            <v>43778</v>
          </cell>
        </row>
        <row r="4552">
          <cell r="A4552">
            <v>43121</v>
          </cell>
        </row>
        <row r="4553">
          <cell r="A4553">
            <v>43550</v>
          </cell>
        </row>
        <row r="4554">
          <cell r="A4554">
            <v>43403</v>
          </cell>
        </row>
        <row r="4555">
          <cell r="A4555">
            <v>43566</v>
          </cell>
        </row>
        <row r="4556">
          <cell r="A4556">
            <v>43279</v>
          </cell>
        </row>
        <row r="4557">
          <cell r="A4557">
            <v>43850</v>
          </cell>
        </row>
        <row r="4558">
          <cell r="A4558">
            <v>43722</v>
          </cell>
        </row>
        <row r="4559">
          <cell r="A4559">
            <v>43338</v>
          </cell>
        </row>
        <row r="4560">
          <cell r="A4560">
            <v>43542</v>
          </cell>
        </row>
        <row r="4561">
          <cell r="A4561">
            <v>43742</v>
          </cell>
        </row>
        <row r="4562">
          <cell r="A4562">
            <v>43802</v>
          </cell>
        </row>
        <row r="4563">
          <cell r="A4563">
            <v>43754</v>
          </cell>
        </row>
        <row r="4564">
          <cell r="A4564">
            <v>43670</v>
          </cell>
        </row>
        <row r="4565">
          <cell r="A4565">
            <v>43751</v>
          </cell>
        </row>
        <row r="4566">
          <cell r="A4566">
            <v>43754</v>
          </cell>
        </row>
        <row r="4567">
          <cell r="A4567">
            <v>43333</v>
          </cell>
        </row>
        <row r="4568">
          <cell r="A4568">
            <v>43307</v>
          </cell>
        </row>
        <row r="4569">
          <cell r="A4569">
            <v>43168</v>
          </cell>
        </row>
        <row r="4570">
          <cell r="A4570">
            <v>43898</v>
          </cell>
        </row>
        <row r="4571">
          <cell r="A4571">
            <v>43916</v>
          </cell>
        </row>
        <row r="4572">
          <cell r="A4572">
            <v>43332</v>
          </cell>
        </row>
        <row r="4573">
          <cell r="A4573">
            <v>43451</v>
          </cell>
        </row>
        <row r="4574">
          <cell r="A4574">
            <v>43680</v>
          </cell>
        </row>
        <row r="4575">
          <cell r="A4575">
            <v>43365</v>
          </cell>
        </row>
        <row r="4576">
          <cell r="A4576">
            <v>43199</v>
          </cell>
        </row>
        <row r="4577">
          <cell r="A4577">
            <v>43393</v>
          </cell>
        </row>
        <row r="4578">
          <cell r="A4578">
            <v>43761</v>
          </cell>
        </row>
        <row r="4579">
          <cell r="A4579">
            <v>43554</v>
          </cell>
        </row>
        <row r="4580">
          <cell r="A4580">
            <v>43222</v>
          </cell>
        </row>
        <row r="4581">
          <cell r="A4581">
            <v>43811</v>
          </cell>
        </row>
        <row r="4582">
          <cell r="A4582">
            <v>43625</v>
          </cell>
        </row>
        <row r="4583">
          <cell r="A4583">
            <v>43517</v>
          </cell>
        </row>
        <row r="4584">
          <cell r="A4584">
            <v>43320</v>
          </cell>
        </row>
        <row r="4585">
          <cell r="A4585">
            <v>43205</v>
          </cell>
        </row>
        <row r="4586">
          <cell r="A4586">
            <v>43103</v>
          </cell>
        </row>
        <row r="4587">
          <cell r="A4587">
            <v>43293</v>
          </cell>
        </row>
        <row r="4588">
          <cell r="A4588">
            <v>43565</v>
          </cell>
        </row>
        <row r="4589">
          <cell r="A4589">
            <v>43261</v>
          </cell>
        </row>
        <row r="4590">
          <cell r="A4590">
            <v>43276</v>
          </cell>
        </row>
        <row r="4591">
          <cell r="A4591">
            <v>43555</v>
          </cell>
        </row>
        <row r="4592">
          <cell r="A4592">
            <v>43700</v>
          </cell>
        </row>
        <row r="4593">
          <cell r="A4593">
            <v>43491</v>
          </cell>
        </row>
        <row r="4594">
          <cell r="A4594">
            <v>43288</v>
          </cell>
        </row>
        <row r="4595">
          <cell r="A4595">
            <v>43522</v>
          </cell>
        </row>
        <row r="4596">
          <cell r="A4596">
            <v>43245</v>
          </cell>
        </row>
        <row r="4597">
          <cell r="A4597">
            <v>43580</v>
          </cell>
        </row>
        <row r="4598">
          <cell r="A4598">
            <v>43342</v>
          </cell>
        </row>
        <row r="4599">
          <cell r="A4599">
            <v>43600</v>
          </cell>
        </row>
        <row r="4600">
          <cell r="A4600">
            <v>43726</v>
          </cell>
        </row>
        <row r="4601">
          <cell r="A4601">
            <v>43390</v>
          </cell>
        </row>
        <row r="4602">
          <cell r="A4602">
            <v>43244</v>
          </cell>
        </row>
        <row r="4603">
          <cell r="A4603">
            <v>43313</v>
          </cell>
        </row>
        <row r="4604">
          <cell r="A4604">
            <v>43515</v>
          </cell>
        </row>
        <row r="4605">
          <cell r="A4605">
            <v>43678</v>
          </cell>
        </row>
        <row r="4606">
          <cell r="A4606">
            <v>43791</v>
          </cell>
        </row>
        <row r="4607">
          <cell r="A4607">
            <v>43244</v>
          </cell>
        </row>
        <row r="4608">
          <cell r="A4608">
            <v>43562</v>
          </cell>
        </row>
        <row r="4609">
          <cell r="A4609">
            <v>43916</v>
          </cell>
        </row>
        <row r="4610">
          <cell r="A4610">
            <v>43464</v>
          </cell>
        </row>
        <row r="4611">
          <cell r="A4611">
            <v>43765</v>
          </cell>
        </row>
        <row r="4612">
          <cell r="A4612">
            <v>43703</v>
          </cell>
        </row>
        <row r="4613">
          <cell r="A4613">
            <v>43320</v>
          </cell>
        </row>
        <row r="4614">
          <cell r="A4614">
            <v>43552</v>
          </cell>
        </row>
        <row r="4615">
          <cell r="A4615">
            <v>43891</v>
          </cell>
        </row>
        <row r="4616">
          <cell r="A4616">
            <v>43338</v>
          </cell>
        </row>
        <row r="4617">
          <cell r="A4617">
            <v>43186</v>
          </cell>
        </row>
        <row r="4618">
          <cell r="A4618">
            <v>43589</v>
          </cell>
        </row>
        <row r="4619">
          <cell r="A4619">
            <v>43461</v>
          </cell>
        </row>
        <row r="4620">
          <cell r="A4620">
            <v>43788</v>
          </cell>
        </row>
        <row r="4621">
          <cell r="A4621">
            <v>43729</v>
          </cell>
        </row>
        <row r="4622">
          <cell r="A4622">
            <v>43890</v>
          </cell>
        </row>
        <row r="4623">
          <cell r="A4623">
            <v>43328</v>
          </cell>
        </row>
        <row r="4624">
          <cell r="A4624">
            <v>43657</v>
          </cell>
        </row>
        <row r="4625">
          <cell r="A4625">
            <v>43543</v>
          </cell>
        </row>
        <row r="4626">
          <cell r="A4626">
            <v>43260</v>
          </cell>
        </row>
        <row r="4627">
          <cell r="A4627">
            <v>43741</v>
          </cell>
        </row>
        <row r="4628">
          <cell r="A4628">
            <v>43419</v>
          </cell>
        </row>
        <row r="4629">
          <cell r="A4629">
            <v>43778</v>
          </cell>
        </row>
        <row r="4630">
          <cell r="A4630">
            <v>43655</v>
          </cell>
        </row>
        <row r="4631">
          <cell r="A4631">
            <v>43621</v>
          </cell>
        </row>
        <row r="4632">
          <cell r="A4632">
            <v>43616</v>
          </cell>
        </row>
        <row r="4633">
          <cell r="A4633">
            <v>43464</v>
          </cell>
        </row>
        <row r="4634">
          <cell r="A4634">
            <v>43813</v>
          </cell>
        </row>
        <row r="4635">
          <cell r="A4635">
            <v>43412</v>
          </cell>
        </row>
        <row r="4636">
          <cell r="A4636">
            <v>43613</v>
          </cell>
        </row>
        <row r="4637">
          <cell r="A4637">
            <v>43346</v>
          </cell>
        </row>
        <row r="4638">
          <cell r="A4638">
            <v>43745</v>
          </cell>
        </row>
        <row r="4639">
          <cell r="A4639">
            <v>43610</v>
          </cell>
        </row>
        <row r="4640">
          <cell r="A4640">
            <v>43776</v>
          </cell>
        </row>
        <row r="4641">
          <cell r="A4641">
            <v>43807</v>
          </cell>
        </row>
        <row r="4642">
          <cell r="A4642">
            <v>43243</v>
          </cell>
        </row>
        <row r="4643">
          <cell r="A4643">
            <v>43801</v>
          </cell>
        </row>
        <row r="4644">
          <cell r="A4644">
            <v>43436</v>
          </cell>
        </row>
        <row r="4645">
          <cell r="A4645">
            <v>43343</v>
          </cell>
        </row>
        <row r="4646">
          <cell r="A4646">
            <v>43253</v>
          </cell>
        </row>
        <row r="4647">
          <cell r="A4647">
            <v>43466</v>
          </cell>
        </row>
        <row r="4648">
          <cell r="A4648">
            <v>43660</v>
          </cell>
        </row>
        <row r="4649">
          <cell r="A4649">
            <v>43415</v>
          </cell>
        </row>
        <row r="4650">
          <cell r="A4650">
            <v>43235</v>
          </cell>
        </row>
        <row r="4651">
          <cell r="A4651">
            <v>43493</v>
          </cell>
        </row>
        <row r="4652">
          <cell r="A4652">
            <v>43459</v>
          </cell>
        </row>
        <row r="4653">
          <cell r="A4653">
            <v>43740</v>
          </cell>
        </row>
        <row r="4654">
          <cell r="A4654">
            <v>43187</v>
          </cell>
        </row>
        <row r="4655">
          <cell r="A4655">
            <v>43142</v>
          </cell>
        </row>
        <row r="4656">
          <cell r="A4656">
            <v>43618</v>
          </cell>
        </row>
        <row r="4657">
          <cell r="A4657">
            <v>43803</v>
          </cell>
        </row>
        <row r="4658">
          <cell r="A4658">
            <v>43124</v>
          </cell>
        </row>
        <row r="4659">
          <cell r="A4659">
            <v>43695</v>
          </cell>
        </row>
        <row r="4660">
          <cell r="A4660">
            <v>43488</v>
          </cell>
        </row>
        <row r="4661">
          <cell r="A4661">
            <v>43249</v>
          </cell>
        </row>
        <row r="4662">
          <cell r="A4662">
            <v>43682</v>
          </cell>
        </row>
        <row r="4663">
          <cell r="A4663">
            <v>43482</v>
          </cell>
        </row>
        <row r="4664">
          <cell r="A4664">
            <v>43645</v>
          </cell>
        </row>
        <row r="4665">
          <cell r="A4665">
            <v>43413</v>
          </cell>
        </row>
        <row r="4666">
          <cell r="A4666">
            <v>43277</v>
          </cell>
        </row>
        <row r="4667">
          <cell r="A4667">
            <v>43754</v>
          </cell>
        </row>
        <row r="4668">
          <cell r="A4668">
            <v>43103</v>
          </cell>
        </row>
        <row r="4669">
          <cell r="A4669">
            <v>43143</v>
          </cell>
        </row>
        <row r="4670">
          <cell r="A4670">
            <v>43882</v>
          </cell>
        </row>
        <row r="4671">
          <cell r="A4671">
            <v>43537</v>
          </cell>
        </row>
        <row r="4672">
          <cell r="A4672">
            <v>43504</v>
          </cell>
        </row>
        <row r="4673">
          <cell r="A4673">
            <v>43133</v>
          </cell>
        </row>
        <row r="4674">
          <cell r="A4674">
            <v>43358</v>
          </cell>
        </row>
        <row r="4675">
          <cell r="A4675">
            <v>43562</v>
          </cell>
        </row>
        <row r="4676">
          <cell r="A4676">
            <v>43708</v>
          </cell>
        </row>
        <row r="4677">
          <cell r="A4677">
            <v>43274</v>
          </cell>
        </row>
        <row r="4678">
          <cell r="A4678">
            <v>43759</v>
          </cell>
        </row>
        <row r="4679">
          <cell r="A4679">
            <v>43240</v>
          </cell>
        </row>
        <row r="4680">
          <cell r="A4680">
            <v>43457</v>
          </cell>
        </row>
        <row r="4681">
          <cell r="A4681">
            <v>43615</v>
          </cell>
        </row>
        <row r="4682">
          <cell r="A4682">
            <v>43692</v>
          </cell>
        </row>
        <row r="4683">
          <cell r="A4683">
            <v>43481</v>
          </cell>
        </row>
        <row r="4684">
          <cell r="A4684">
            <v>43663</v>
          </cell>
        </row>
        <row r="4685">
          <cell r="A4685">
            <v>43149</v>
          </cell>
        </row>
        <row r="4686">
          <cell r="A4686">
            <v>43628</v>
          </cell>
        </row>
        <row r="4687">
          <cell r="A4687">
            <v>43510</v>
          </cell>
        </row>
        <row r="4688">
          <cell r="A4688">
            <v>43716</v>
          </cell>
        </row>
        <row r="4689">
          <cell r="A4689">
            <v>43393</v>
          </cell>
        </row>
        <row r="4690">
          <cell r="A4690">
            <v>43149</v>
          </cell>
        </row>
        <row r="4691">
          <cell r="A4691">
            <v>43501</v>
          </cell>
        </row>
        <row r="4692">
          <cell r="A4692">
            <v>43747</v>
          </cell>
        </row>
        <row r="4693">
          <cell r="A4693">
            <v>43538</v>
          </cell>
        </row>
        <row r="4694">
          <cell r="A4694">
            <v>43386</v>
          </cell>
        </row>
        <row r="4695">
          <cell r="A4695">
            <v>43561</v>
          </cell>
        </row>
        <row r="4696">
          <cell r="A4696">
            <v>43265</v>
          </cell>
        </row>
        <row r="4697">
          <cell r="A4697">
            <v>43898</v>
          </cell>
        </row>
        <row r="4698">
          <cell r="A4698">
            <v>43289</v>
          </cell>
        </row>
        <row r="4699">
          <cell r="A4699">
            <v>43609</v>
          </cell>
        </row>
        <row r="4700">
          <cell r="A4700">
            <v>43860</v>
          </cell>
        </row>
        <row r="4701">
          <cell r="A4701">
            <v>43349</v>
          </cell>
        </row>
        <row r="4702">
          <cell r="A4702">
            <v>43119</v>
          </cell>
        </row>
        <row r="4703">
          <cell r="A4703">
            <v>43239</v>
          </cell>
        </row>
        <row r="4704">
          <cell r="A4704">
            <v>43225</v>
          </cell>
        </row>
        <row r="4705">
          <cell r="A4705">
            <v>43359</v>
          </cell>
        </row>
        <row r="4706">
          <cell r="A4706">
            <v>43529</v>
          </cell>
        </row>
        <row r="4707">
          <cell r="A4707">
            <v>43823</v>
          </cell>
        </row>
        <row r="4708">
          <cell r="A4708">
            <v>43914</v>
          </cell>
        </row>
        <row r="4709">
          <cell r="A4709">
            <v>43146</v>
          </cell>
        </row>
        <row r="4710">
          <cell r="A4710">
            <v>43423</v>
          </cell>
        </row>
        <row r="4711">
          <cell r="A4711">
            <v>43897</v>
          </cell>
        </row>
        <row r="4712">
          <cell r="A4712">
            <v>43313</v>
          </cell>
        </row>
        <row r="4713">
          <cell r="A4713">
            <v>43660</v>
          </cell>
        </row>
        <row r="4714">
          <cell r="A4714">
            <v>43527</v>
          </cell>
        </row>
        <row r="4715">
          <cell r="A4715">
            <v>43167</v>
          </cell>
        </row>
        <row r="4716">
          <cell r="A4716">
            <v>43284</v>
          </cell>
        </row>
        <row r="4717">
          <cell r="A4717">
            <v>43836</v>
          </cell>
        </row>
        <row r="4718">
          <cell r="A4718">
            <v>43330</v>
          </cell>
        </row>
        <row r="4719">
          <cell r="A4719">
            <v>43833</v>
          </cell>
        </row>
        <row r="4720">
          <cell r="A4720">
            <v>43443</v>
          </cell>
        </row>
        <row r="4721">
          <cell r="A4721">
            <v>43639</v>
          </cell>
        </row>
        <row r="4722">
          <cell r="A4722">
            <v>43536</v>
          </cell>
        </row>
        <row r="4723">
          <cell r="A4723">
            <v>43699</v>
          </cell>
        </row>
        <row r="4724">
          <cell r="A4724">
            <v>43909</v>
          </cell>
        </row>
        <row r="4725">
          <cell r="A4725">
            <v>43633</v>
          </cell>
        </row>
        <row r="4726">
          <cell r="A4726">
            <v>43167</v>
          </cell>
        </row>
        <row r="4727">
          <cell r="A4727">
            <v>43341</v>
          </cell>
        </row>
        <row r="4728">
          <cell r="A4728">
            <v>43449</v>
          </cell>
        </row>
        <row r="4729">
          <cell r="A4729">
            <v>43820</v>
          </cell>
        </row>
        <row r="4730">
          <cell r="A4730">
            <v>43453</v>
          </cell>
        </row>
        <row r="4731">
          <cell r="A4731">
            <v>43444</v>
          </cell>
        </row>
        <row r="4732">
          <cell r="A4732">
            <v>43267</v>
          </cell>
        </row>
        <row r="4733">
          <cell r="A4733">
            <v>43498</v>
          </cell>
        </row>
        <row r="4734">
          <cell r="A4734">
            <v>43323</v>
          </cell>
        </row>
        <row r="4735">
          <cell r="A4735">
            <v>43584</v>
          </cell>
        </row>
        <row r="4736">
          <cell r="A4736">
            <v>43539</v>
          </cell>
        </row>
        <row r="4737">
          <cell r="A4737">
            <v>43611</v>
          </cell>
        </row>
        <row r="4738">
          <cell r="A4738">
            <v>43293</v>
          </cell>
        </row>
        <row r="4739">
          <cell r="A4739">
            <v>43642</v>
          </cell>
        </row>
        <row r="4740">
          <cell r="A4740">
            <v>43267</v>
          </cell>
        </row>
        <row r="4741">
          <cell r="A4741">
            <v>43378</v>
          </cell>
        </row>
        <row r="4742">
          <cell r="A4742">
            <v>43710</v>
          </cell>
        </row>
        <row r="4743">
          <cell r="A4743">
            <v>43560</v>
          </cell>
        </row>
        <row r="4744">
          <cell r="A4744">
            <v>43131</v>
          </cell>
        </row>
        <row r="4745">
          <cell r="A4745">
            <v>43620</v>
          </cell>
        </row>
        <row r="4746">
          <cell r="A4746">
            <v>43457</v>
          </cell>
        </row>
        <row r="4747">
          <cell r="A4747">
            <v>43859</v>
          </cell>
        </row>
        <row r="4748">
          <cell r="A4748">
            <v>43601</v>
          </cell>
        </row>
        <row r="4749">
          <cell r="A4749">
            <v>43785</v>
          </cell>
        </row>
        <row r="4750">
          <cell r="A4750">
            <v>43118</v>
          </cell>
        </row>
        <row r="4751">
          <cell r="A4751">
            <v>43604</v>
          </cell>
        </row>
        <row r="4752">
          <cell r="A4752">
            <v>43382</v>
          </cell>
        </row>
        <row r="4753">
          <cell r="A4753">
            <v>43438</v>
          </cell>
        </row>
        <row r="4754">
          <cell r="A4754">
            <v>43581</v>
          </cell>
        </row>
        <row r="4755">
          <cell r="A4755">
            <v>43276</v>
          </cell>
        </row>
        <row r="4756">
          <cell r="A4756">
            <v>43610</v>
          </cell>
        </row>
        <row r="4757">
          <cell r="A4757">
            <v>43671</v>
          </cell>
        </row>
        <row r="4758">
          <cell r="A4758">
            <v>43624</v>
          </cell>
        </row>
        <row r="4759">
          <cell r="A4759">
            <v>43435</v>
          </cell>
        </row>
        <row r="4760">
          <cell r="A4760">
            <v>43901</v>
          </cell>
        </row>
        <row r="4761">
          <cell r="A4761">
            <v>43276</v>
          </cell>
        </row>
        <row r="4762">
          <cell r="A4762">
            <v>43670</v>
          </cell>
        </row>
        <row r="4763">
          <cell r="A4763">
            <v>43298</v>
          </cell>
        </row>
        <row r="4764">
          <cell r="A4764">
            <v>43412</v>
          </cell>
        </row>
        <row r="4765">
          <cell r="A4765">
            <v>43763</v>
          </cell>
        </row>
        <row r="4766">
          <cell r="A4766">
            <v>43372</v>
          </cell>
        </row>
        <row r="4767">
          <cell r="A4767">
            <v>43421</v>
          </cell>
        </row>
        <row r="4768">
          <cell r="A4768">
            <v>43494</v>
          </cell>
        </row>
        <row r="4769">
          <cell r="A4769">
            <v>43669</v>
          </cell>
        </row>
        <row r="4770">
          <cell r="A4770">
            <v>43326</v>
          </cell>
        </row>
        <row r="4771">
          <cell r="A4771">
            <v>43255</v>
          </cell>
        </row>
        <row r="4772">
          <cell r="A4772">
            <v>43779</v>
          </cell>
        </row>
        <row r="4773">
          <cell r="A4773">
            <v>43605</v>
          </cell>
        </row>
        <row r="4774">
          <cell r="A4774">
            <v>43301</v>
          </cell>
        </row>
        <row r="4775">
          <cell r="A4775">
            <v>43667</v>
          </cell>
        </row>
        <row r="4776">
          <cell r="A4776">
            <v>43106</v>
          </cell>
        </row>
        <row r="4777">
          <cell r="A4777">
            <v>43854</v>
          </cell>
        </row>
        <row r="4778">
          <cell r="A4778">
            <v>43837</v>
          </cell>
        </row>
        <row r="4779">
          <cell r="A4779">
            <v>43395</v>
          </cell>
        </row>
        <row r="4780">
          <cell r="A4780">
            <v>43644</v>
          </cell>
        </row>
        <row r="4781">
          <cell r="A4781">
            <v>43574</v>
          </cell>
        </row>
        <row r="4782">
          <cell r="A4782">
            <v>43135</v>
          </cell>
        </row>
        <row r="4783">
          <cell r="A4783">
            <v>43575</v>
          </cell>
        </row>
        <row r="4784">
          <cell r="A4784">
            <v>43374</v>
          </cell>
        </row>
        <row r="4785">
          <cell r="A4785">
            <v>43104</v>
          </cell>
        </row>
        <row r="4786">
          <cell r="A4786">
            <v>43522</v>
          </cell>
        </row>
        <row r="4787">
          <cell r="A4787">
            <v>43725</v>
          </cell>
        </row>
        <row r="4788">
          <cell r="A4788">
            <v>43895</v>
          </cell>
        </row>
        <row r="4789">
          <cell r="A4789">
            <v>43475</v>
          </cell>
        </row>
        <row r="4790">
          <cell r="A4790">
            <v>43575</v>
          </cell>
        </row>
        <row r="4791">
          <cell r="A4791">
            <v>43384</v>
          </cell>
        </row>
        <row r="4792">
          <cell r="A4792">
            <v>43705</v>
          </cell>
        </row>
        <row r="4793">
          <cell r="A4793">
            <v>43708</v>
          </cell>
        </row>
        <row r="4794">
          <cell r="A4794">
            <v>43477</v>
          </cell>
        </row>
        <row r="4795">
          <cell r="A4795">
            <v>43920</v>
          </cell>
        </row>
        <row r="4796">
          <cell r="A4796">
            <v>43805</v>
          </cell>
        </row>
        <row r="4797">
          <cell r="A4797">
            <v>43103</v>
          </cell>
        </row>
        <row r="4798">
          <cell r="A4798">
            <v>43525</v>
          </cell>
        </row>
        <row r="4799">
          <cell r="A4799">
            <v>43764</v>
          </cell>
        </row>
        <row r="4800">
          <cell r="A4800">
            <v>43420</v>
          </cell>
        </row>
        <row r="4801">
          <cell r="A4801">
            <v>43112</v>
          </cell>
        </row>
        <row r="4802">
          <cell r="A4802">
            <v>43505</v>
          </cell>
        </row>
        <row r="4803">
          <cell r="A4803">
            <v>43306</v>
          </cell>
        </row>
        <row r="4804">
          <cell r="A4804">
            <v>43431</v>
          </cell>
        </row>
        <row r="4805">
          <cell r="A4805">
            <v>43658</v>
          </cell>
        </row>
        <row r="4806">
          <cell r="A4806">
            <v>43770</v>
          </cell>
        </row>
        <row r="4807">
          <cell r="A4807">
            <v>43126</v>
          </cell>
        </row>
        <row r="4808">
          <cell r="A4808">
            <v>43740</v>
          </cell>
        </row>
        <row r="4809">
          <cell r="A4809">
            <v>43418</v>
          </cell>
        </row>
        <row r="4810">
          <cell r="A4810">
            <v>43677</v>
          </cell>
        </row>
        <row r="4811">
          <cell r="A4811">
            <v>43606</v>
          </cell>
        </row>
        <row r="4812">
          <cell r="A4812">
            <v>43102</v>
          </cell>
        </row>
        <row r="4813">
          <cell r="A4813">
            <v>43383</v>
          </cell>
        </row>
        <row r="4814">
          <cell r="A4814">
            <v>43590</v>
          </cell>
        </row>
        <row r="4815">
          <cell r="A4815">
            <v>43565</v>
          </cell>
        </row>
        <row r="4816">
          <cell r="A4816">
            <v>43201</v>
          </cell>
        </row>
        <row r="4817">
          <cell r="A4817">
            <v>43866</v>
          </cell>
        </row>
        <row r="4818">
          <cell r="A4818">
            <v>43270</v>
          </cell>
        </row>
        <row r="4819">
          <cell r="A4819">
            <v>43615</v>
          </cell>
        </row>
        <row r="4820">
          <cell r="A4820">
            <v>43869</v>
          </cell>
        </row>
        <row r="4821">
          <cell r="A4821">
            <v>43107</v>
          </cell>
        </row>
        <row r="4822">
          <cell r="A4822">
            <v>43675</v>
          </cell>
        </row>
        <row r="4823">
          <cell r="A4823">
            <v>43113</v>
          </cell>
        </row>
        <row r="4824">
          <cell r="A4824">
            <v>43903</v>
          </cell>
        </row>
        <row r="4825">
          <cell r="A4825">
            <v>43674</v>
          </cell>
        </row>
        <row r="4826">
          <cell r="A4826">
            <v>43566</v>
          </cell>
        </row>
        <row r="4827">
          <cell r="A4827">
            <v>43170</v>
          </cell>
        </row>
        <row r="4828">
          <cell r="A4828">
            <v>43392</v>
          </cell>
        </row>
        <row r="4829">
          <cell r="A4829">
            <v>43455</v>
          </cell>
        </row>
        <row r="4830">
          <cell r="A4830">
            <v>43180</v>
          </cell>
        </row>
        <row r="4831">
          <cell r="A4831">
            <v>43908</v>
          </cell>
        </row>
        <row r="4832">
          <cell r="A4832">
            <v>43453</v>
          </cell>
        </row>
        <row r="4833">
          <cell r="A4833">
            <v>43148</v>
          </cell>
        </row>
        <row r="4834">
          <cell r="A4834">
            <v>43332</v>
          </cell>
        </row>
        <row r="4835">
          <cell r="A4835">
            <v>43866</v>
          </cell>
        </row>
        <row r="4836">
          <cell r="A4836">
            <v>43728</v>
          </cell>
        </row>
        <row r="4837">
          <cell r="A4837">
            <v>43363</v>
          </cell>
        </row>
        <row r="4838">
          <cell r="A4838">
            <v>43233</v>
          </cell>
        </row>
        <row r="4839">
          <cell r="A4839">
            <v>43772</v>
          </cell>
        </row>
        <row r="4840">
          <cell r="A4840">
            <v>43740</v>
          </cell>
        </row>
        <row r="4841">
          <cell r="A4841">
            <v>43330</v>
          </cell>
        </row>
        <row r="4842">
          <cell r="A4842">
            <v>43703</v>
          </cell>
        </row>
        <row r="4843">
          <cell r="A4843">
            <v>43136</v>
          </cell>
        </row>
        <row r="4844">
          <cell r="A4844">
            <v>43521</v>
          </cell>
        </row>
        <row r="4845">
          <cell r="A4845">
            <v>43840</v>
          </cell>
        </row>
        <row r="4846">
          <cell r="A4846">
            <v>43442</v>
          </cell>
        </row>
        <row r="4847">
          <cell r="A4847">
            <v>43299</v>
          </cell>
        </row>
        <row r="4848">
          <cell r="A4848">
            <v>43330</v>
          </cell>
        </row>
        <row r="4849">
          <cell r="A4849">
            <v>43470</v>
          </cell>
        </row>
        <row r="4850">
          <cell r="A4850">
            <v>43149</v>
          </cell>
        </row>
        <row r="4851">
          <cell r="A4851">
            <v>43340</v>
          </cell>
        </row>
        <row r="4852">
          <cell r="A4852">
            <v>43814</v>
          </cell>
        </row>
        <row r="4853">
          <cell r="A4853">
            <v>43686</v>
          </cell>
        </row>
        <row r="4854">
          <cell r="A4854">
            <v>43637</v>
          </cell>
        </row>
        <row r="4855">
          <cell r="A4855">
            <v>43369</v>
          </cell>
        </row>
        <row r="4856">
          <cell r="A4856">
            <v>43779</v>
          </cell>
        </row>
        <row r="4857">
          <cell r="A4857">
            <v>43913</v>
          </cell>
        </row>
        <row r="4858">
          <cell r="A4858">
            <v>43607</v>
          </cell>
        </row>
        <row r="4859">
          <cell r="A4859">
            <v>43429</v>
          </cell>
        </row>
        <row r="4860">
          <cell r="A4860">
            <v>43659</v>
          </cell>
        </row>
        <row r="4861">
          <cell r="A4861">
            <v>43422</v>
          </cell>
        </row>
        <row r="4862">
          <cell r="A4862">
            <v>43693</v>
          </cell>
        </row>
        <row r="4863">
          <cell r="A4863">
            <v>43565</v>
          </cell>
        </row>
        <row r="4864">
          <cell r="A4864">
            <v>43647</v>
          </cell>
        </row>
        <row r="4865">
          <cell r="A4865">
            <v>43325</v>
          </cell>
        </row>
        <row r="4866">
          <cell r="A4866">
            <v>43718</v>
          </cell>
        </row>
        <row r="4867">
          <cell r="A4867">
            <v>43448</v>
          </cell>
        </row>
        <row r="4868">
          <cell r="A4868">
            <v>43355</v>
          </cell>
        </row>
        <row r="4869">
          <cell r="A4869">
            <v>43827</v>
          </cell>
        </row>
        <row r="4870">
          <cell r="A4870">
            <v>43341</v>
          </cell>
        </row>
        <row r="4871">
          <cell r="A4871">
            <v>43468</v>
          </cell>
        </row>
        <row r="4872">
          <cell r="A4872">
            <v>43677</v>
          </cell>
        </row>
        <row r="4873">
          <cell r="A4873">
            <v>43458</v>
          </cell>
        </row>
        <row r="4874">
          <cell r="A4874">
            <v>43633</v>
          </cell>
        </row>
        <row r="4875">
          <cell r="A4875">
            <v>43890</v>
          </cell>
        </row>
        <row r="4876">
          <cell r="A4876">
            <v>43154</v>
          </cell>
        </row>
        <row r="4877">
          <cell r="A4877">
            <v>43801</v>
          </cell>
        </row>
        <row r="4878">
          <cell r="A4878">
            <v>43296</v>
          </cell>
        </row>
        <row r="4879">
          <cell r="A4879">
            <v>43604</v>
          </cell>
        </row>
        <row r="4880">
          <cell r="A4880">
            <v>43481</v>
          </cell>
        </row>
        <row r="4881">
          <cell r="A4881">
            <v>43909</v>
          </cell>
        </row>
        <row r="4882">
          <cell r="A4882">
            <v>43217</v>
          </cell>
        </row>
        <row r="4883">
          <cell r="A4883">
            <v>43160</v>
          </cell>
        </row>
        <row r="4884">
          <cell r="A4884">
            <v>43206</v>
          </cell>
        </row>
        <row r="4885">
          <cell r="A4885">
            <v>43818</v>
          </cell>
        </row>
        <row r="4886">
          <cell r="A4886">
            <v>43434</v>
          </cell>
        </row>
        <row r="4887">
          <cell r="A4887">
            <v>43674</v>
          </cell>
        </row>
        <row r="4888">
          <cell r="A4888">
            <v>43465</v>
          </cell>
        </row>
        <row r="4889">
          <cell r="A4889">
            <v>43412</v>
          </cell>
        </row>
        <row r="4890">
          <cell r="A4890">
            <v>43224</v>
          </cell>
        </row>
        <row r="4891">
          <cell r="A4891">
            <v>43419</v>
          </cell>
        </row>
        <row r="4892">
          <cell r="A4892">
            <v>43160</v>
          </cell>
        </row>
        <row r="4893">
          <cell r="A4893">
            <v>43379</v>
          </cell>
        </row>
        <row r="4894">
          <cell r="A4894">
            <v>43856</v>
          </cell>
        </row>
        <row r="4895">
          <cell r="A4895">
            <v>43650</v>
          </cell>
        </row>
        <row r="4896">
          <cell r="A4896">
            <v>43817</v>
          </cell>
        </row>
        <row r="4897">
          <cell r="A4897">
            <v>43832</v>
          </cell>
        </row>
        <row r="4898">
          <cell r="A4898">
            <v>43214</v>
          </cell>
        </row>
        <row r="4899">
          <cell r="A4899">
            <v>43283</v>
          </cell>
        </row>
        <row r="4900">
          <cell r="A4900">
            <v>43445</v>
          </cell>
        </row>
        <row r="4901">
          <cell r="A4901">
            <v>43349</v>
          </cell>
        </row>
        <row r="4902">
          <cell r="A4902">
            <v>43485</v>
          </cell>
        </row>
        <row r="4903">
          <cell r="A4903">
            <v>43451</v>
          </cell>
        </row>
        <row r="4904">
          <cell r="A4904">
            <v>43811</v>
          </cell>
        </row>
        <row r="4905">
          <cell r="A4905">
            <v>43770</v>
          </cell>
        </row>
        <row r="4906">
          <cell r="A4906">
            <v>43779</v>
          </cell>
        </row>
        <row r="4907">
          <cell r="A4907">
            <v>43503</v>
          </cell>
        </row>
        <row r="4908">
          <cell r="A4908">
            <v>43764</v>
          </cell>
        </row>
        <row r="4909">
          <cell r="A4909">
            <v>43520</v>
          </cell>
        </row>
        <row r="4910">
          <cell r="A4910">
            <v>43710</v>
          </cell>
        </row>
        <row r="4911">
          <cell r="A4911">
            <v>43456</v>
          </cell>
        </row>
        <row r="4912">
          <cell r="A4912">
            <v>43178</v>
          </cell>
        </row>
        <row r="4913">
          <cell r="A4913">
            <v>43179</v>
          </cell>
        </row>
        <row r="4914">
          <cell r="A4914">
            <v>43529</v>
          </cell>
        </row>
        <row r="4915">
          <cell r="A4915">
            <v>43744</v>
          </cell>
        </row>
        <row r="4916">
          <cell r="A4916">
            <v>43185</v>
          </cell>
        </row>
        <row r="4917">
          <cell r="A4917">
            <v>43194</v>
          </cell>
        </row>
        <row r="4918">
          <cell r="A4918">
            <v>43813</v>
          </cell>
        </row>
        <row r="4919">
          <cell r="A4919">
            <v>43641</v>
          </cell>
        </row>
        <row r="4920">
          <cell r="A4920">
            <v>43638</v>
          </cell>
        </row>
        <row r="4921">
          <cell r="A4921">
            <v>43636</v>
          </cell>
        </row>
        <row r="4922">
          <cell r="A4922">
            <v>43396</v>
          </cell>
        </row>
        <row r="4923">
          <cell r="A4923">
            <v>43380</v>
          </cell>
        </row>
        <row r="4924">
          <cell r="A4924">
            <v>43668</v>
          </cell>
        </row>
        <row r="4925">
          <cell r="A4925">
            <v>43763</v>
          </cell>
        </row>
        <row r="4926">
          <cell r="A4926">
            <v>43810</v>
          </cell>
        </row>
        <row r="4927">
          <cell r="A4927">
            <v>43167</v>
          </cell>
        </row>
        <row r="4928">
          <cell r="A4928">
            <v>43780</v>
          </cell>
        </row>
        <row r="4929">
          <cell r="A4929">
            <v>43658</v>
          </cell>
        </row>
        <row r="4930">
          <cell r="A4930">
            <v>43769</v>
          </cell>
        </row>
        <row r="4931">
          <cell r="A4931">
            <v>43918</v>
          </cell>
        </row>
        <row r="4932">
          <cell r="A4932">
            <v>43389</v>
          </cell>
        </row>
        <row r="4933">
          <cell r="A4933">
            <v>43473</v>
          </cell>
        </row>
        <row r="4934">
          <cell r="A4934">
            <v>43383</v>
          </cell>
        </row>
        <row r="4935">
          <cell r="A4935">
            <v>43205</v>
          </cell>
        </row>
        <row r="4936">
          <cell r="A4936">
            <v>43703</v>
          </cell>
        </row>
        <row r="4937">
          <cell r="A4937">
            <v>43735</v>
          </cell>
        </row>
        <row r="4938">
          <cell r="A4938">
            <v>43177</v>
          </cell>
        </row>
        <row r="4939">
          <cell r="A4939">
            <v>43902</v>
          </cell>
        </row>
        <row r="4940">
          <cell r="A4940">
            <v>43665</v>
          </cell>
        </row>
        <row r="4941">
          <cell r="A4941">
            <v>43255</v>
          </cell>
        </row>
        <row r="4942">
          <cell r="A4942">
            <v>43491</v>
          </cell>
        </row>
        <row r="4943">
          <cell r="A4943">
            <v>43702</v>
          </cell>
        </row>
        <row r="4944">
          <cell r="A4944">
            <v>43645</v>
          </cell>
        </row>
        <row r="4945">
          <cell r="A4945">
            <v>43232</v>
          </cell>
        </row>
        <row r="4946">
          <cell r="A4946">
            <v>43893</v>
          </cell>
        </row>
        <row r="4947">
          <cell r="A4947">
            <v>43252</v>
          </cell>
        </row>
        <row r="4948">
          <cell r="A4948">
            <v>43474</v>
          </cell>
        </row>
        <row r="4949">
          <cell r="A4949">
            <v>43823</v>
          </cell>
        </row>
        <row r="4950">
          <cell r="A4950">
            <v>43430</v>
          </cell>
        </row>
        <row r="4951">
          <cell r="A4951">
            <v>43413</v>
          </cell>
        </row>
        <row r="4952">
          <cell r="A4952">
            <v>43187</v>
          </cell>
        </row>
        <row r="4953">
          <cell r="A4953">
            <v>43893</v>
          </cell>
        </row>
        <row r="4954">
          <cell r="A4954">
            <v>43581</v>
          </cell>
        </row>
        <row r="4955">
          <cell r="A4955">
            <v>43210</v>
          </cell>
        </row>
        <row r="4956">
          <cell r="A4956">
            <v>43487</v>
          </cell>
        </row>
        <row r="4957">
          <cell r="A4957">
            <v>43357</v>
          </cell>
        </row>
        <row r="4958">
          <cell r="A4958">
            <v>43699</v>
          </cell>
        </row>
        <row r="4959">
          <cell r="A4959">
            <v>43243</v>
          </cell>
        </row>
        <row r="4960">
          <cell r="A4960">
            <v>43246</v>
          </cell>
        </row>
        <row r="4961">
          <cell r="A4961">
            <v>43654</v>
          </cell>
        </row>
        <row r="4962">
          <cell r="A4962">
            <v>43344</v>
          </cell>
        </row>
        <row r="4963">
          <cell r="A4963">
            <v>43429</v>
          </cell>
        </row>
        <row r="4964">
          <cell r="A4964">
            <v>43585</v>
          </cell>
        </row>
        <row r="4965">
          <cell r="A4965">
            <v>43218</v>
          </cell>
        </row>
        <row r="4966">
          <cell r="A4966">
            <v>43287</v>
          </cell>
        </row>
        <row r="4967">
          <cell r="A4967">
            <v>43626</v>
          </cell>
        </row>
        <row r="4968">
          <cell r="A4968">
            <v>43710</v>
          </cell>
        </row>
        <row r="4969">
          <cell r="A4969">
            <v>43835</v>
          </cell>
        </row>
        <row r="4970">
          <cell r="A4970">
            <v>43780</v>
          </cell>
        </row>
        <row r="4971">
          <cell r="A4971">
            <v>43280</v>
          </cell>
        </row>
        <row r="4972">
          <cell r="A4972">
            <v>43866</v>
          </cell>
        </row>
        <row r="4973">
          <cell r="A4973">
            <v>43666</v>
          </cell>
        </row>
        <row r="4974">
          <cell r="A4974">
            <v>43258</v>
          </cell>
        </row>
        <row r="4975">
          <cell r="A4975">
            <v>43625</v>
          </cell>
        </row>
        <row r="4976">
          <cell r="A4976">
            <v>43420</v>
          </cell>
        </row>
        <row r="4977">
          <cell r="A4977">
            <v>43812</v>
          </cell>
        </row>
        <row r="4978">
          <cell r="A4978">
            <v>43109</v>
          </cell>
        </row>
        <row r="4979">
          <cell r="A4979">
            <v>43409</v>
          </cell>
        </row>
        <row r="4980">
          <cell r="A4980">
            <v>43260</v>
          </cell>
        </row>
        <row r="4981">
          <cell r="A4981">
            <v>43196</v>
          </cell>
        </row>
        <row r="4982">
          <cell r="A4982">
            <v>43882</v>
          </cell>
        </row>
        <row r="4983">
          <cell r="A4983">
            <v>43654</v>
          </cell>
        </row>
        <row r="4984">
          <cell r="A4984">
            <v>43602</v>
          </cell>
        </row>
        <row r="4985">
          <cell r="A4985">
            <v>43642</v>
          </cell>
        </row>
        <row r="4986">
          <cell r="A4986">
            <v>43781</v>
          </cell>
        </row>
        <row r="4987">
          <cell r="A4987">
            <v>43680</v>
          </cell>
        </row>
        <row r="4988">
          <cell r="A4988">
            <v>43567</v>
          </cell>
        </row>
        <row r="4989">
          <cell r="A4989">
            <v>43141</v>
          </cell>
        </row>
        <row r="4990">
          <cell r="A4990">
            <v>43814</v>
          </cell>
        </row>
        <row r="4991">
          <cell r="A4991">
            <v>43430</v>
          </cell>
        </row>
        <row r="4992">
          <cell r="A4992">
            <v>43486</v>
          </cell>
        </row>
        <row r="4993">
          <cell r="A4993">
            <v>43272</v>
          </cell>
        </row>
        <row r="4994">
          <cell r="A4994">
            <v>43548</v>
          </cell>
        </row>
        <row r="4995">
          <cell r="A4995">
            <v>43545</v>
          </cell>
        </row>
        <row r="4996">
          <cell r="A4996">
            <v>43479</v>
          </cell>
        </row>
        <row r="4997">
          <cell r="A4997">
            <v>43646</v>
          </cell>
        </row>
        <row r="4998">
          <cell r="A4998">
            <v>43728</v>
          </cell>
        </row>
        <row r="4999">
          <cell r="A4999">
            <v>43305</v>
          </cell>
        </row>
        <row r="5000">
          <cell r="A5000">
            <v>43237</v>
          </cell>
        </row>
        <row r="5001">
          <cell r="A5001">
            <v>43406</v>
          </cell>
        </row>
        <row r="5002">
          <cell r="A5002">
            <v>43541</v>
          </cell>
        </row>
        <row r="5003">
          <cell r="A5003">
            <v>43732</v>
          </cell>
        </row>
        <row r="5004">
          <cell r="A5004">
            <v>43854</v>
          </cell>
        </row>
        <row r="5005">
          <cell r="A5005">
            <v>43573</v>
          </cell>
        </row>
        <row r="5006">
          <cell r="A5006">
            <v>43241</v>
          </cell>
        </row>
        <row r="5007">
          <cell r="A5007">
            <v>43314</v>
          </cell>
        </row>
        <row r="5008">
          <cell r="A5008">
            <v>43316</v>
          </cell>
        </row>
        <row r="5009">
          <cell r="A5009">
            <v>43472</v>
          </cell>
        </row>
        <row r="5010">
          <cell r="A5010">
            <v>43846</v>
          </cell>
        </row>
        <row r="5011">
          <cell r="A5011">
            <v>43675</v>
          </cell>
        </row>
        <row r="5012">
          <cell r="A5012">
            <v>43852</v>
          </cell>
        </row>
        <row r="5013">
          <cell r="A5013">
            <v>43302</v>
          </cell>
        </row>
        <row r="5014">
          <cell r="A5014">
            <v>43338</v>
          </cell>
        </row>
        <row r="5015">
          <cell r="A5015">
            <v>43221</v>
          </cell>
        </row>
        <row r="5016">
          <cell r="A5016">
            <v>43561</v>
          </cell>
        </row>
        <row r="5017">
          <cell r="A5017">
            <v>43478</v>
          </cell>
        </row>
        <row r="5018">
          <cell r="A5018">
            <v>43275</v>
          </cell>
        </row>
        <row r="5019">
          <cell r="A5019">
            <v>43676</v>
          </cell>
        </row>
        <row r="5020">
          <cell r="A5020">
            <v>43801</v>
          </cell>
        </row>
        <row r="5021">
          <cell r="A5021">
            <v>43618</v>
          </cell>
        </row>
        <row r="5022">
          <cell r="A5022">
            <v>43344</v>
          </cell>
        </row>
        <row r="5023">
          <cell r="A5023">
            <v>43634</v>
          </cell>
        </row>
        <row r="5024">
          <cell r="A5024">
            <v>43777</v>
          </cell>
        </row>
        <row r="5025">
          <cell r="A5025">
            <v>43417</v>
          </cell>
        </row>
        <row r="5026">
          <cell r="A5026">
            <v>43136</v>
          </cell>
        </row>
        <row r="5027">
          <cell r="A5027">
            <v>43778</v>
          </cell>
        </row>
        <row r="5028">
          <cell r="A5028">
            <v>43770</v>
          </cell>
        </row>
        <row r="5029">
          <cell r="A5029">
            <v>43558</v>
          </cell>
        </row>
        <row r="5030">
          <cell r="A5030">
            <v>43282</v>
          </cell>
        </row>
        <row r="5031">
          <cell r="A5031">
            <v>43751</v>
          </cell>
        </row>
        <row r="5032">
          <cell r="A5032">
            <v>43738</v>
          </cell>
        </row>
        <row r="5033">
          <cell r="A5033">
            <v>43849</v>
          </cell>
        </row>
        <row r="5034">
          <cell r="A5034">
            <v>43381</v>
          </cell>
        </row>
        <row r="5035">
          <cell r="A5035">
            <v>43179</v>
          </cell>
        </row>
        <row r="5036">
          <cell r="A5036">
            <v>43374</v>
          </cell>
        </row>
        <row r="5037">
          <cell r="A5037">
            <v>43760</v>
          </cell>
        </row>
        <row r="5038">
          <cell r="A5038">
            <v>43224</v>
          </cell>
        </row>
        <row r="5039">
          <cell r="A5039">
            <v>43447</v>
          </cell>
        </row>
        <row r="5040">
          <cell r="A5040">
            <v>43757</v>
          </cell>
        </row>
        <row r="5041">
          <cell r="A5041">
            <v>43380</v>
          </cell>
        </row>
        <row r="5042">
          <cell r="A5042">
            <v>43581</v>
          </cell>
        </row>
        <row r="5043">
          <cell r="A5043">
            <v>43346</v>
          </cell>
        </row>
        <row r="5044">
          <cell r="A5044">
            <v>43492</v>
          </cell>
        </row>
        <row r="5045">
          <cell r="A5045">
            <v>43839</v>
          </cell>
        </row>
        <row r="5046">
          <cell r="A5046">
            <v>43482</v>
          </cell>
        </row>
        <row r="5047">
          <cell r="A5047">
            <v>43149</v>
          </cell>
        </row>
        <row r="5048">
          <cell r="A5048">
            <v>43591</v>
          </cell>
        </row>
        <row r="5049">
          <cell r="A5049">
            <v>43907</v>
          </cell>
        </row>
        <row r="5050">
          <cell r="A5050">
            <v>43334</v>
          </cell>
        </row>
        <row r="5051">
          <cell r="A5051">
            <v>43667</v>
          </cell>
        </row>
        <row r="5052">
          <cell r="A5052">
            <v>43466</v>
          </cell>
        </row>
        <row r="5053">
          <cell r="A5053">
            <v>43408</v>
          </cell>
        </row>
        <row r="5054">
          <cell r="A5054">
            <v>43739</v>
          </cell>
        </row>
        <row r="5055">
          <cell r="A5055">
            <v>43297</v>
          </cell>
        </row>
        <row r="5056">
          <cell r="A5056">
            <v>43191</v>
          </cell>
        </row>
        <row r="5057">
          <cell r="A5057">
            <v>43160</v>
          </cell>
        </row>
        <row r="5058">
          <cell r="A5058">
            <v>43578</v>
          </cell>
        </row>
        <row r="5059">
          <cell r="A5059">
            <v>43135</v>
          </cell>
        </row>
        <row r="5060">
          <cell r="A5060">
            <v>43277</v>
          </cell>
        </row>
        <row r="5061">
          <cell r="A5061">
            <v>43477</v>
          </cell>
        </row>
        <row r="5062">
          <cell r="A5062">
            <v>43526</v>
          </cell>
        </row>
        <row r="5063">
          <cell r="A5063">
            <v>43156</v>
          </cell>
        </row>
        <row r="5064">
          <cell r="A5064">
            <v>43218</v>
          </cell>
        </row>
        <row r="5065">
          <cell r="A5065">
            <v>43513</v>
          </cell>
        </row>
        <row r="5066">
          <cell r="A5066">
            <v>43245</v>
          </cell>
        </row>
        <row r="5067">
          <cell r="A5067">
            <v>43187</v>
          </cell>
        </row>
        <row r="5068">
          <cell r="A5068">
            <v>43656</v>
          </cell>
        </row>
        <row r="5069">
          <cell r="A5069">
            <v>43155</v>
          </cell>
        </row>
        <row r="5070">
          <cell r="A5070">
            <v>43802</v>
          </cell>
        </row>
        <row r="5071">
          <cell r="A5071">
            <v>43416</v>
          </cell>
        </row>
        <row r="5072">
          <cell r="A5072">
            <v>43839</v>
          </cell>
        </row>
        <row r="5073">
          <cell r="A5073">
            <v>43886</v>
          </cell>
        </row>
        <row r="5074">
          <cell r="A5074">
            <v>43518</v>
          </cell>
        </row>
        <row r="5075">
          <cell r="A5075">
            <v>43237</v>
          </cell>
        </row>
        <row r="5076">
          <cell r="A5076">
            <v>43684</v>
          </cell>
        </row>
        <row r="5077">
          <cell r="A5077">
            <v>43466</v>
          </cell>
        </row>
        <row r="5078">
          <cell r="A5078">
            <v>43371</v>
          </cell>
        </row>
        <row r="5079">
          <cell r="A5079">
            <v>43273</v>
          </cell>
        </row>
        <row r="5080">
          <cell r="A5080">
            <v>43321</v>
          </cell>
        </row>
        <row r="5081">
          <cell r="A5081">
            <v>43384</v>
          </cell>
        </row>
        <row r="5082">
          <cell r="A5082">
            <v>43573</v>
          </cell>
        </row>
        <row r="5083">
          <cell r="A5083">
            <v>43134</v>
          </cell>
        </row>
        <row r="5084">
          <cell r="A5084">
            <v>43880</v>
          </cell>
        </row>
        <row r="5085">
          <cell r="A5085">
            <v>43911</v>
          </cell>
        </row>
        <row r="5086">
          <cell r="A5086">
            <v>43785</v>
          </cell>
        </row>
        <row r="5087">
          <cell r="A5087">
            <v>43126</v>
          </cell>
        </row>
        <row r="5088">
          <cell r="A5088">
            <v>43662</v>
          </cell>
        </row>
        <row r="5089">
          <cell r="A5089">
            <v>43361</v>
          </cell>
        </row>
        <row r="5090">
          <cell r="A5090">
            <v>43784</v>
          </cell>
        </row>
        <row r="5091">
          <cell r="A5091">
            <v>43596</v>
          </cell>
        </row>
        <row r="5092">
          <cell r="A5092">
            <v>43747</v>
          </cell>
        </row>
        <row r="5093">
          <cell r="A5093">
            <v>43858</v>
          </cell>
        </row>
        <row r="5094">
          <cell r="A5094">
            <v>43271</v>
          </cell>
        </row>
        <row r="5095">
          <cell r="A5095">
            <v>43450</v>
          </cell>
        </row>
        <row r="5096">
          <cell r="A5096">
            <v>43763</v>
          </cell>
        </row>
        <row r="5097">
          <cell r="A5097">
            <v>43797</v>
          </cell>
        </row>
        <row r="5098">
          <cell r="A5098">
            <v>43658</v>
          </cell>
        </row>
        <row r="5099">
          <cell r="A5099">
            <v>43614</v>
          </cell>
        </row>
        <row r="5100">
          <cell r="A5100">
            <v>43887</v>
          </cell>
        </row>
        <row r="5101">
          <cell r="A5101">
            <v>43114</v>
          </cell>
        </row>
        <row r="5102">
          <cell r="A5102">
            <v>43850</v>
          </cell>
        </row>
        <row r="5103">
          <cell r="A5103">
            <v>43283</v>
          </cell>
        </row>
        <row r="5104">
          <cell r="A5104">
            <v>43894</v>
          </cell>
        </row>
        <row r="5105">
          <cell r="A5105">
            <v>43510</v>
          </cell>
        </row>
        <row r="5106">
          <cell r="A5106">
            <v>43350</v>
          </cell>
        </row>
        <row r="5107">
          <cell r="A5107">
            <v>43467</v>
          </cell>
        </row>
        <row r="5108">
          <cell r="A5108">
            <v>43346</v>
          </cell>
        </row>
        <row r="5109">
          <cell r="A5109">
            <v>43220</v>
          </cell>
        </row>
        <row r="5110">
          <cell r="A5110">
            <v>43607</v>
          </cell>
        </row>
        <row r="5111">
          <cell r="A5111">
            <v>43920</v>
          </cell>
        </row>
        <row r="5112">
          <cell r="A5112">
            <v>43258</v>
          </cell>
        </row>
        <row r="5113">
          <cell r="A5113">
            <v>43807</v>
          </cell>
        </row>
        <row r="5114">
          <cell r="A5114">
            <v>43667</v>
          </cell>
        </row>
        <row r="5115">
          <cell r="A5115">
            <v>43755</v>
          </cell>
        </row>
        <row r="5116">
          <cell r="A5116">
            <v>43306</v>
          </cell>
        </row>
        <row r="5117">
          <cell r="A5117">
            <v>43757</v>
          </cell>
        </row>
        <row r="5118">
          <cell r="A5118">
            <v>43364</v>
          </cell>
        </row>
        <row r="5119">
          <cell r="A5119">
            <v>43251</v>
          </cell>
        </row>
        <row r="5120">
          <cell r="A5120">
            <v>43785</v>
          </cell>
        </row>
        <row r="5121">
          <cell r="A5121">
            <v>43213</v>
          </cell>
        </row>
        <row r="5122">
          <cell r="A5122">
            <v>43916</v>
          </cell>
        </row>
        <row r="5123">
          <cell r="A5123">
            <v>43430</v>
          </cell>
        </row>
        <row r="5124">
          <cell r="A5124">
            <v>43437</v>
          </cell>
        </row>
        <row r="5125">
          <cell r="A5125">
            <v>43105</v>
          </cell>
        </row>
        <row r="5126">
          <cell r="A5126">
            <v>43904</v>
          </cell>
        </row>
        <row r="5127">
          <cell r="A5127">
            <v>43206</v>
          </cell>
        </row>
        <row r="5128">
          <cell r="A5128">
            <v>43504</v>
          </cell>
        </row>
        <row r="5129">
          <cell r="A5129">
            <v>43625</v>
          </cell>
        </row>
        <row r="5130">
          <cell r="A5130">
            <v>43411</v>
          </cell>
        </row>
        <row r="5131">
          <cell r="A5131">
            <v>43896</v>
          </cell>
        </row>
        <row r="5132">
          <cell r="A5132">
            <v>43164</v>
          </cell>
        </row>
        <row r="5133">
          <cell r="A5133">
            <v>43754</v>
          </cell>
        </row>
        <row r="5134">
          <cell r="A5134">
            <v>43648</v>
          </cell>
        </row>
        <row r="5135">
          <cell r="A5135">
            <v>43855</v>
          </cell>
        </row>
        <row r="5136">
          <cell r="A5136">
            <v>43594</v>
          </cell>
        </row>
        <row r="5137">
          <cell r="A5137">
            <v>43869</v>
          </cell>
        </row>
        <row r="5138">
          <cell r="A5138">
            <v>43256</v>
          </cell>
        </row>
        <row r="5139">
          <cell r="A5139">
            <v>43834</v>
          </cell>
        </row>
        <row r="5140">
          <cell r="A5140">
            <v>43804</v>
          </cell>
        </row>
        <row r="5141">
          <cell r="A5141">
            <v>43605</v>
          </cell>
        </row>
        <row r="5142">
          <cell r="A5142">
            <v>43800</v>
          </cell>
        </row>
        <row r="5143">
          <cell r="A5143">
            <v>43837</v>
          </cell>
        </row>
        <row r="5144">
          <cell r="A5144">
            <v>43558</v>
          </cell>
        </row>
        <row r="5145">
          <cell r="A5145">
            <v>43903</v>
          </cell>
        </row>
        <row r="5146">
          <cell r="A5146">
            <v>43488</v>
          </cell>
        </row>
        <row r="5147">
          <cell r="A5147">
            <v>43171</v>
          </cell>
        </row>
        <row r="5148">
          <cell r="A5148">
            <v>43368</v>
          </cell>
        </row>
        <row r="5149">
          <cell r="A5149">
            <v>43422</v>
          </cell>
        </row>
        <row r="5150">
          <cell r="A5150">
            <v>43796</v>
          </cell>
        </row>
        <row r="5151">
          <cell r="A5151">
            <v>43413</v>
          </cell>
        </row>
        <row r="5152">
          <cell r="A5152">
            <v>43720</v>
          </cell>
        </row>
        <row r="5153">
          <cell r="A5153">
            <v>43776</v>
          </cell>
        </row>
        <row r="5154">
          <cell r="A5154">
            <v>43350</v>
          </cell>
        </row>
        <row r="5155">
          <cell r="A5155">
            <v>43743</v>
          </cell>
        </row>
        <row r="5156">
          <cell r="A5156">
            <v>43144</v>
          </cell>
        </row>
        <row r="5157">
          <cell r="A5157">
            <v>43323</v>
          </cell>
        </row>
        <row r="5158">
          <cell r="A5158">
            <v>43641</v>
          </cell>
        </row>
        <row r="5159">
          <cell r="A5159">
            <v>43833</v>
          </cell>
        </row>
        <row r="5160">
          <cell r="A5160">
            <v>43183</v>
          </cell>
        </row>
        <row r="5161">
          <cell r="A5161">
            <v>43853</v>
          </cell>
        </row>
        <row r="5162">
          <cell r="A5162">
            <v>43592</v>
          </cell>
        </row>
        <row r="5163">
          <cell r="A5163">
            <v>43728</v>
          </cell>
        </row>
        <row r="5164">
          <cell r="A5164">
            <v>43262</v>
          </cell>
        </row>
        <row r="5165">
          <cell r="A5165">
            <v>43483</v>
          </cell>
        </row>
        <row r="5166">
          <cell r="A5166">
            <v>43897</v>
          </cell>
        </row>
        <row r="5167">
          <cell r="A5167">
            <v>43448</v>
          </cell>
        </row>
        <row r="5168">
          <cell r="A5168">
            <v>43525</v>
          </cell>
        </row>
        <row r="5169">
          <cell r="A5169">
            <v>43181</v>
          </cell>
        </row>
        <row r="5170">
          <cell r="A5170">
            <v>43744</v>
          </cell>
        </row>
        <row r="5171">
          <cell r="A5171">
            <v>43657</v>
          </cell>
        </row>
        <row r="5172">
          <cell r="A5172">
            <v>43448</v>
          </cell>
        </row>
        <row r="5173">
          <cell r="A5173">
            <v>43589</v>
          </cell>
        </row>
        <row r="5174">
          <cell r="A5174">
            <v>43185</v>
          </cell>
        </row>
        <row r="5175">
          <cell r="A5175">
            <v>43787</v>
          </cell>
        </row>
        <row r="5176">
          <cell r="A5176">
            <v>43746</v>
          </cell>
        </row>
        <row r="5177">
          <cell r="A5177">
            <v>43905</v>
          </cell>
        </row>
        <row r="5178">
          <cell r="A5178">
            <v>43601</v>
          </cell>
        </row>
        <row r="5179">
          <cell r="A5179">
            <v>43890</v>
          </cell>
        </row>
        <row r="5180">
          <cell r="A5180">
            <v>43659</v>
          </cell>
        </row>
        <row r="5181">
          <cell r="A5181">
            <v>43256</v>
          </cell>
        </row>
        <row r="5182">
          <cell r="A5182">
            <v>43299</v>
          </cell>
        </row>
        <row r="5183">
          <cell r="A5183">
            <v>43239</v>
          </cell>
        </row>
        <row r="5184">
          <cell r="A5184">
            <v>43764</v>
          </cell>
        </row>
        <row r="5185">
          <cell r="A5185">
            <v>43119</v>
          </cell>
        </row>
        <row r="5186">
          <cell r="A5186">
            <v>43882</v>
          </cell>
        </row>
        <row r="5187">
          <cell r="A5187">
            <v>43405</v>
          </cell>
        </row>
        <row r="5188">
          <cell r="A5188">
            <v>43331</v>
          </cell>
        </row>
        <row r="5189">
          <cell r="A5189">
            <v>43350</v>
          </cell>
        </row>
        <row r="5190">
          <cell r="A5190">
            <v>43850</v>
          </cell>
        </row>
        <row r="5191">
          <cell r="A5191">
            <v>43346</v>
          </cell>
        </row>
        <row r="5192">
          <cell r="A5192">
            <v>43216</v>
          </cell>
        </row>
        <row r="5193">
          <cell r="A5193">
            <v>43729</v>
          </cell>
        </row>
        <row r="5194">
          <cell r="A5194">
            <v>43541</v>
          </cell>
        </row>
        <row r="5195">
          <cell r="A5195">
            <v>43240</v>
          </cell>
        </row>
        <row r="5196">
          <cell r="A5196">
            <v>43645</v>
          </cell>
        </row>
        <row r="5197">
          <cell r="A5197">
            <v>43788</v>
          </cell>
        </row>
        <row r="5198">
          <cell r="A5198">
            <v>43732</v>
          </cell>
        </row>
        <row r="5199">
          <cell r="A5199">
            <v>43202</v>
          </cell>
        </row>
        <row r="5200">
          <cell r="A5200">
            <v>43260</v>
          </cell>
        </row>
        <row r="5201">
          <cell r="A5201">
            <v>43108</v>
          </cell>
        </row>
        <row r="5202">
          <cell r="A5202">
            <v>43804</v>
          </cell>
        </row>
        <row r="5203">
          <cell r="A5203">
            <v>43454</v>
          </cell>
        </row>
        <row r="5204">
          <cell r="A5204">
            <v>43633</v>
          </cell>
        </row>
        <row r="5205">
          <cell r="A5205">
            <v>43418</v>
          </cell>
        </row>
        <row r="5206">
          <cell r="A5206">
            <v>43755</v>
          </cell>
        </row>
        <row r="5207">
          <cell r="A5207">
            <v>43107</v>
          </cell>
        </row>
        <row r="5208">
          <cell r="A5208">
            <v>43204</v>
          </cell>
        </row>
        <row r="5209">
          <cell r="A5209">
            <v>43710</v>
          </cell>
        </row>
        <row r="5210">
          <cell r="A5210">
            <v>43283</v>
          </cell>
        </row>
        <row r="5211">
          <cell r="A5211">
            <v>43875</v>
          </cell>
        </row>
        <row r="5212">
          <cell r="A5212">
            <v>43829</v>
          </cell>
        </row>
        <row r="5213">
          <cell r="A5213">
            <v>43179</v>
          </cell>
        </row>
        <row r="5214">
          <cell r="A5214">
            <v>43127</v>
          </cell>
        </row>
        <row r="5215">
          <cell r="A5215">
            <v>43171</v>
          </cell>
        </row>
        <row r="5216">
          <cell r="A5216">
            <v>43283</v>
          </cell>
        </row>
        <row r="5217">
          <cell r="A5217">
            <v>43544</v>
          </cell>
        </row>
        <row r="5218">
          <cell r="A5218">
            <v>43146</v>
          </cell>
        </row>
        <row r="5219">
          <cell r="A5219">
            <v>43477</v>
          </cell>
        </row>
        <row r="5220">
          <cell r="A5220">
            <v>43301</v>
          </cell>
        </row>
        <row r="5221">
          <cell r="A5221">
            <v>43479</v>
          </cell>
        </row>
        <row r="5222">
          <cell r="A5222">
            <v>43867</v>
          </cell>
        </row>
        <row r="5223">
          <cell r="A5223">
            <v>43434</v>
          </cell>
        </row>
        <row r="5224">
          <cell r="A5224">
            <v>43374</v>
          </cell>
        </row>
        <row r="5225">
          <cell r="A5225">
            <v>43407</v>
          </cell>
        </row>
        <row r="5226">
          <cell r="A5226">
            <v>43107</v>
          </cell>
        </row>
        <row r="5227">
          <cell r="A5227">
            <v>43510</v>
          </cell>
        </row>
        <row r="5228">
          <cell r="A5228">
            <v>43905</v>
          </cell>
        </row>
        <row r="5229">
          <cell r="A5229">
            <v>43328</v>
          </cell>
        </row>
        <row r="5230">
          <cell r="A5230">
            <v>43274</v>
          </cell>
        </row>
        <row r="5231">
          <cell r="A5231">
            <v>43802</v>
          </cell>
        </row>
        <row r="5232">
          <cell r="A5232">
            <v>43355</v>
          </cell>
        </row>
        <row r="5233">
          <cell r="A5233">
            <v>43875</v>
          </cell>
        </row>
        <row r="5234">
          <cell r="A5234">
            <v>43549</v>
          </cell>
        </row>
        <row r="5235">
          <cell r="A5235">
            <v>43766</v>
          </cell>
        </row>
        <row r="5236">
          <cell r="A5236">
            <v>43240</v>
          </cell>
        </row>
        <row r="5237">
          <cell r="A5237">
            <v>43486</v>
          </cell>
        </row>
        <row r="5238">
          <cell r="A5238">
            <v>43138</v>
          </cell>
        </row>
        <row r="5239">
          <cell r="A5239">
            <v>43306</v>
          </cell>
        </row>
        <row r="5240">
          <cell r="A5240">
            <v>43916</v>
          </cell>
        </row>
        <row r="5241">
          <cell r="A5241">
            <v>43453</v>
          </cell>
        </row>
        <row r="5242">
          <cell r="A5242">
            <v>43449</v>
          </cell>
        </row>
        <row r="5243">
          <cell r="A5243">
            <v>43802</v>
          </cell>
        </row>
        <row r="5244">
          <cell r="A5244">
            <v>43753</v>
          </cell>
        </row>
        <row r="5245">
          <cell r="A5245">
            <v>43574</v>
          </cell>
        </row>
        <row r="5246">
          <cell r="A5246">
            <v>43612</v>
          </cell>
        </row>
        <row r="5247">
          <cell r="A5247">
            <v>43242</v>
          </cell>
        </row>
        <row r="5248">
          <cell r="A5248">
            <v>43699</v>
          </cell>
        </row>
        <row r="5249">
          <cell r="A5249">
            <v>43178</v>
          </cell>
        </row>
        <row r="5250">
          <cell r="A5250">
            <v>43374</v>
          </cell>
        </row>
        <row r="5251">
          <cell r="A5251">
            <v>43656</v>
          </cell>
        </row>
        <row r="5252">
          <cell r="A5252">
            <v>43182</v>
          </cell>
        </row>
        <row r="5253">
          <cell r="A5253">
            <v>43853</v>
          </cell>
        </row>
        <row r="5254">
          <cell r="A5254">
            <v>43186</v>
          </cell>
        </row>
        <row r="5255">
          <cell r="A5255">
            <v>43500</v>
          </cell>
        </row>
        <row r="5256">
          <cell r="A5256">
            <v>43895</v>
          </cell>
        </row>
        <row r="5257">
          <cell r="A5257">
            <v>43867</v>
          </cell>
        </row>
        <row r="5258">
          <cell r="A5258">
            <v>43804</v>
          </cell>
        </row>
        <row r="5259">
          <cell r="A5259">
            <v>43340</v>
          </cell>
        </row>
        <row r="5260">
          <cell r="A5260">
            <v>43298</v>
          </cell>
        </row>
        <row r="5261">
          <cell r="A5261">
            <v>43444</v>
          </cell>
        </row>
        <row r="5262">
          <cell r="A5262">
            <v>43283</v>
          </cell>
        </row>
        <row r="5263">
          <cell r="A5263">
            <v>43767</v>
          </cell>
        </row>
        <row r="5264">
          <cell r="A5264">
            <v>43652</v>
          </cell>
        </row>
        <row r="5265">
          <cell r="A5265">
            <v>43613</v>
          </cell>
        </row>
        <row r="5266">
          <cell r="A5266">
            <v>43336</v>
          </cell>
        </row>
        <row r="5267">
          <cell r="A5267">
            <v>43169</v>
          </cell>
        </row>
        <row r="5268">
          <cell r="A5268">
            <v>43912</v>
          </cell>
        </row>
        <row r="5269">
          <cell r="A5269">
            <v>43908</v>
          </cell>
        </row>
        <row r="5270">
          <cell r="A5270">
            <v>43890</v>
          </cell>
        </row>
        <row r="5271">
          <cell r="A5271">
            <v>43795</v>
          </cell>
        </row>
        <row r="5272">
          <cell r="A5272">
            <v>43406</v>
          </cell>
        </row>
        <row r="5273">
          <cell r="A5273">
            <v>43251</v>
          </cell>
        </row>
        <row r="5274">
          <cell r="A5274">
            <v>43454</v>
          </cell>
        </row>
        <row r="5275">
          <cell r="A5275">
            <v>43713</v>
          </cell>
        </row>
        <row r="5276">
          <cell r="A5276">
            <v>43311</v>
          </cell>
        </row>
        <row r="5277">
          <cell r="A5277">
            <v>43599</v>
          </cell>
        </row>
        <row r="5278">
          <cell r="A5278">
            <v>43645</v>
          </cell>
        </row>
        <row r="5279">
          <cell r="A5279">
            <v>43785</v>
          </cell>
        </row>
        <row r="5280">
          <cell r="A5280">
            <v>43513</v>
          </cell>
        </row>
        <row r="5281">
          <cell r="A5281">
            <v>43826</v>
          </cell>
        </row>
        <row r="5282">
          <cell r="A5282">
            <v>43155</v>
          </cell>
        </row>
        <row r="5283">
          <cell r="A5283">
            <v>43512</v>
          </cell>
        </row>
        <row r="5284">
          <cell r="A5284">
            <v>43409</v>
          </cell>
        </row>
        <row r="5285">
          <cell r="A5285">
            <v>43766</v>
          </cell>
        </row>
        <row r="5286">
          <cell r="A5286">
            <v>43647</v>
          </cell>
        </row>
        <row r="5287">
          <cell r="A5287">
            <v>43544</v>
          </cell>
        </row>
        <row r="5288">
          <cell r="A5288">
            <v>43148</v>
          </cell>
        </row>
        <row r="5289">
          <cell r="A5289">
            <v>43855</v>
          </cell>
        </row>
        <row r="5290">
          <cell r="A5290">
            <v>43685</v>
          </cell>
        </row>
        <row r="5291">
          <cell r="A5291">
            <v>43418</v>
          </cell>
        </row>
        <row r="5292">
          <cell r="A5292">
            <v>43822</v>
          </cell>
        </row>
        <row r="5293">
          <cell r="A5293">
            <v>43789</v>
          </cell>
        </row>
        <row r="5294">
          <cell r="A5294">
            <v>43150</v>
          </cell>
        </row>
        <row r="5295">
          <cell r="A5295">
            <v>43694</v>
          </cell>
        </row>
        <row r="5296">
          <cell r="A5296">
            <v>43183</v>
          </cell>
        </row>
        <row r="5297">
          <cell r="A5297">
            <v>43312</v>
          </cell>
        </row>
        <row r="5298">
          <cell r="A5298">
            <v>43778</v>
          </cell>
        </row>
        <row r="5299">
          <cell r="A5299">
            <v>43334</v>
          </cell>
        </row>
        <row r="5300">
          <cell r="A5300">
            <v>43847</v>
          </cell>
        </row>
        <row r="5301">
          <cell r="A5301">
            <v>43374</v>
          </cell>
        </row>
        <row r="5302">
          <cell r="A5302">
            <v>43540</v>
          </cell>
        </row>
        <row r="5303">
          <cell r="A5303">
            <v>43162</v>
          </cell>
        </row>
        <row r="5304">
          <cell r="A5304">
            <v>43220</v>
          </cell>
        </row>
        <row r="5305">
          <cell r="A5305">
            <v>43869</v>
          </cell>
        </row>
        <row r="5306">
          <cell r="A5306">
            <v>43409</v>
          </cell>
        </row>
        <row r="5307">
          <cell r="A5307">
            <v>43523</v>
          </cell>
        </row>
        <row r="5308">
          <cell r="A5308">
            <v>43545</v>
          </cell>
        </row>
        <row r="5309">
          <cell r="A5309">
            <v>43719</v>
          </cell>
        </row>
        <row r="5310">
          <cell r="A5310">
            <v>43695</v>
          </cell>
        </row>
        <row r="5311">
          <cell r="A5311">
            <v>43703</v>
          </cell>
        </row>
        <row r="5312">
          <cell r="A5312">
            <v>43230</v>
          </cell>
        </row>
        <row r="5313">
          <cell r="A5313">
            <v>43332</v>
          </cell>
        </row>
        <row r="5314">
          <cell r="A5314">
            <v>43225</v>
          </cell>
        </row>
        <row r="5315">
          <cell r="A5315">
            <v>43151</v>
          </cell>
        </row>
        <row r="5316">
          <cell r="A5316">
            <v>43861</v>
          </cell>
        </row>
        <row r="5317">
          <cell r="A5317">
            <v>43108</v>
          </cell>
        </row>
        <row r="5318">
          <cell r="A5318">
            <v>43601</v>
          </cell>
        </row>
        <row r="5319">
          <cell r="A5319">
            <v>43283</v>
          </cell>
        </row>
        <row r="5320">
          <cell r="A5320">
            <v>43888</v>
          </cell>
        </row>
        <row r="5321">
          <cell r="A5321">
            <v>43156</v>
          </cell>
        </row>
        <row r="5322">
          <cell r="A5322">
            <v>43694</v>
          </cell>
        </row>
        <row r="5323">
          <cell r="A5323">
            <v>43369</v>
          </cell>
        </row>
        <row r="5324">
          <cell r="A5324">
            <v>43466</v>
          </cell>
        </row>
        <row r="5325">
          <cell r="A5325">
            <v>43847</v>
          </cell>
        </row>
        <row r="5326">
          <cell r="A5326">
            <v>43298</v>
          </cell>
        </row>
        <row r="5327">
          <cell r="A5327">
            <v>43770</v>
          </cell>
        </row>
        <row r="5328">
          <cell r="A5328">
            <v>43369</v>
          </cell>
        </row>
        <row r="5329">
          <cell r="A5329">
            <v>43228</v>
          </cell>
        </row>
        <row r="5330">
          <cell r="A5330">
            <v>43317</v>
          </cell>
        </row>
        <row r="5331">
          <cell r="A5331">
            <v>43539</v>
          </cell>
        </row>
        <row r="5332">
          <cell r="A5332">
            <v>43806</v>
          </cell>
        </row>
        <row r="5333">
          <cell r="A5333">
            <v>43524</v>
          </cell>
        </row>
        <row r="5334">
          <cell r="A5334">
            <v>43794</v>
          </cell>
        </row>
        <row r="5335">
          <cell r="A5335">
            <v>43541</v>
          </cell>
        </row>
        <row r="5336">
          <cell r="A5336">
            <v>43360</v>
          </cell>
        </row>
        <row r="5337">
          <cell r="A5337">
            <v>43543</v>
          </cell>
        </row>
        <row r="5338">
          <cell r="A5338">
            <v>43399</v>
          </cell>
        </row>
        <row r="5339">
          <cell r="A5339">
            <v>43346</v>
          </cell>
        </row>
        <row r="5340">
          <cell r="A5340">
            <v>43730</v>
          </cell>
        </row>
        <row r="5341">
          <cell r="A5341">
            <v>43124</v>
          </cell>
        </row>
        <row r="5342">
          <cell r="A5342">
            <v>43632</v>
          </cell>
        </row>
        <row r="5343">
          <cell r="A5343">
            <v>43882</v>
          </cell>
        </row>
        <row r="5344">
          <cell r="A5344">
            <v>43623</v>
          </cell>
        </row>
        <row r="5345">
          <cell r="A5345">
            <v>43821</v>
          </cell>
        </row>
        <row r="5346">
          <cell r="A5346">
            <v>43422</v>
          </cell>
        </row>
        <row r="5347">
          <cell r="A5347">
            <v>43413</v>
          </cell>
        </row>
        <row r="5348">
          <cell r="A5348">
            <v>43403</v>
          </cell>
        </row>
        <row r="5349">
          <cell r="A5349">
            <v>43466</v>
          </cell>
        </row>
        <row r="5350">
          <cell r="A5350">
            <v>43101</v>
          </cell>
        </row>
        <row r="5351">
          <cell r="A5351">
            <v>43574</v>
          </cell>
        </row>
        <row r="5352">
          <cell r="A5352">
            <v>43125</v>
          </cell>
        </row>
        <row r="5353">
          <cell r="A5353">
            <v>43678</v>
          </cell>
        </row>
        <row r="5354">
          <cell r="A5354">
            <v>43417</v>
          </cell>
        </row>
        <row r="5355">
          <cell r="A5355">
            <v>43497</v>
          </cell>
        </row>
        <row r="5356">
          <cell r="A5356">
            <v>43468</v>
          </cell>
        </row>
        <row r="5357">
          <cell r="A5357">
            <v>43257</v>
          </cell>
        </row>
        <row r="5358">
          <cell r="A5358">
            <v>43562</v>
          </cell>
        </row>
        <row r="5359">
          <cell r="A5359">
            <v>43208</v>
          </cell>
        </row>
        <row r="5360">
          <cell r="A5360">
            <v>43658</v>
          </cell>
        </row>
        <row r="5361">
          <cell r="A5361">
            <v>43611</v>
          </cell>
        </row>
        <row r="5362">
          <cell r="A5362">
            <v>43307</v>
          </cell>
        </row>
        <row r="5363">
          <cell r="A5363">
            <v>43788</v>
          </cell>
        </row>
        <row r="5364">
          <cell r="A5364">
            <v>43764</v>
          </cell>
        </row>
        <row r="5365">
          <cell r="A5365">
            <v>43773</v>
          </cell>
        </row>
        <row r="5366">
          <cell r="A5366">
            <v>43395</v>
          </cell>
        </row>
        <row r="5367">
          <cell r="A5367">
            <v>43663</v>
          </cell>
        </row>
        <row r="5368">
          <cell r="A5368">
            <v>43194</v>
          </cell>
        </row>
        <row r="5369">
          <cell r="A5369">
            <v>43640</v>
          </cell>
        </row>
        <row r="5370">
          <cell r="A5370">
            <v>43805</v>
          </cell>
        </row>
        <row r="5371">
          <cell r="A5371">
            <v>43543</v>
          </cell>
        </row>
        <row r="5372">
          <cell r="A5372">
            <v>43758</v>
          </cell>
        </row>
        <row r="5373">
          <cell r="A5373">
            <v>43197</v>
          </cell>
        </row>
        <row r="5374">
          <cell r="A5374">
            <v>43511</v>
          </cell>
        </row>
        <row r="5375">
          <cell r="A5375">
            <v>43180</v>
          </cell>
        </row>
        <row r="5376">
          <cell r="A5376">
            <v>43744</v>
          </cell>
        </row>
        <row r="5377">
          <cell r="A5377">
            <v>43373</v>
          </cell>
        </row>
        <row r="5378">
          <cell r="A5378">
            <v>43221</v>
          </cell>
        </row>
        <row r="5379">
          <cell r="A5379">
            <v>43304</v>
          </cell>
        </row>
        <row r="5380">
          <cell r="A5380">
            <v>43628</v>
          </cell>
        </row>
        <row r="5381">
          <cell r="A5381">
            <v>43548</v>
          </cell>
        </row>
        <row r="5382">
          <cell r="A5382">
            <v>43919</v>
          </cell>
        </row>
        <row r="5383">
          <cell r="A5383">
            <v>43648</v>
          </cell>
        </row>
        <row r="5384">
          <cell r="A5384">
            <v>43358</v>
          </cell>
        </row>
        <row r="5385">
          <cell r="A5385">
            <v>43593</v>
          </cell>
        </row>
        <row r="5386">
          <cell r="A5386">
            <v>43283</v>
          </cell>
        </row>
        <row r="5387">
          <cell r="A5387">
            <v>43614</v>
          </cell>
        </row>
        <row r="5388">
          <cell r="A5388">
            <v>43781</v>
          </cell>
        </row>
        <row r="5389">
          <cell r="A5389">
            <v>43781</v>
          </cell>
        </row>
        <row r="5390">
          <cell r="A5390">
            <v>43147</v>
          </cell>
        </row>
        <row r="5391">
          <cell r="A5391">
            <v>43441</v>
          </cell>
        </row>
        <row r="5392">
          <cell r="A5392">
            <v>43719</v>
          </cell>
        </row>
        <row r="5393">
          <cell r="A5393">
            <v>43627</v>
          </cell>
        </row>
        <row r="5394">
          <cell r="A5394">
            <v>43205</v>
          </cell>
        </row>
        <row r="5395">
          <cell r="A5395">
            <v>43294</v>
          </cell>
        </row>
        <row r="5396">
          <cell r="A5396">
            <v>43688</v>
          </cell>
        </row>
        <row r="5397">
          <cell r="A5397">
            <v>43340</v>
          </cell>
        </row>
        <row r="5398">
          <cell r="A5398">
            <v>43151</v>
          </cell>
        </row>
        <row r="5399">
          <cell r="A5399">
            <v>43345</v>
          </cell>
        </row>
        <row r="5400">
          <cell r="A5400">
            <v>43808</v>
          </cell>
        </row>
        <row r="5401">
          <cell r="A5401">
            <v>43433</v>
          </cell>
        </row>
        <row r="5402">
          <cell r="A5402">
            <v>43867</v>
          </cell>
        </row>
        <row r="5403">
          <cell r="A5403">
            <v>43910</v>
          </cell>
        </row>
        <row r="5404">
          <cell r="A5404">
            <v>43349</v>
          </cell>
        </row>
        <row r="5405">
          <cell r="A5405">
            <v>43411</v>
          </cell>
        </row>
        <row r="5406">
          <cell r="A5406">
            <v>43149</v>
          </cell>
        </row>
        <row r="5407">
          <cell r="A5407">
            <v>43216</v>
          </cell>
        </row>
        <row r="5408">
          <cell r="A5408">
            <v>43394</v>
          </cell>
        </row>
        <row r="5409">
          <cell r="A5409">
            <v>43501</v>
          </cell>
        </row>
        <row r="5410">
          <cell r="A5410">
            <v>43562</v>
          </cell>
        </row>
        <row r="5411">
          <cell r="A5411">
            <v>43418</v>
          </cell>
        </row>
        <row r="5412">
          <cell r="A5412">
            <v>43561</v>
          </cell>
        </row>
        <row r="5413">
          <cell r="A5413">
            <v>43772</v>
          </cell>
        </row>
        <row r="5414">
          <cell r="A5414">
            <v>43211</v>
          </cell>
        </row>
        <row r="5415">
          <cell r="A5415">
            <v>43525</v>
          </cell>
        </row>
        <row r="5416">
          <cell r="A5416">
            <v>43775</v>
          </cell>
        </row>
        <row r="5417">
          <cell r="A5417">
            <v>43190</v>
          </cell>
        </row>
        <row r="5418">
          <cell r="A5418">
            <v>43530</v>
          </cell>
        </row>
        <row r="5419">
          <cell r="A5419">
            <v>43749</v>
          </cell>
        </row>
        <row r="5420">
          <cell r="A5420">
            <v>43601</v>
          </cell>
        </row>
        <row r="5421">
          <cell r="A5421">
            <v>43220</v>
          </cell>
        </row>
        <row r="5422">
          <cell r="A5422">
            <v>43839</v>
          </cell>
        </row>
        <row r="5423">
          <cell r="A5423">
            <v>43166</v>
          </cell>
        </row>
        <row r="5424">
          <cell r="A5424">
            <v>43560</v>
          </cell>
        </row>
        <row r="5425">
          <cell r="A5425">
            <v>43813</v>
          </cell>
        </row>
        <row r="5426">
          <cell r="A5426">
            <v>43436</v>
          </cell>
        </row>
        <row r="5427">
          <cell r="A5427">
            <v>43614</v>
          </cell>
        </row>
        <row r="5428">
          <cell r="A5428">
            <v>43234</v>
          </cell>
        </row>
        <row r="5429">
          <cell r="A5429">
            <v>43697</v>
          </cell>
        </row>
        <row r="5430">
          <cell r="A5430">
            <v>43762</v>
          </cell>
        </row>
        <row r="5431">
          <cell r="A5431">
            <v>43608</v>
          </cell>
        </row>
        <row r="5432">
          <cell r="A5432">
            <v>43557</v>
          </cell>
        </row>
        <row r="5433">
          <cell r="A5433">
            <v>43572</v>
          </cell>
        </row>
        <row r="5434">
          <cell r="A5434">
            <v>43288</v>
          </cell>
        </row>
        <row r="5435">
          <cell r="A5435">
            <v>43348</v>
          </cell>
        </row>
        <row r="5436">
          <cell r="A5436">
            <v>43451</v>
          </cell>
        </row>
        <row r="5437">
          <cell r="A5437">
            <v>43812</v>
          </cell>
        </row>
        <row r="5438">
          <cell r="A5438">
            <v>43209</v>
          </cell>
        </row>
        <row r="5439">
          <cell r="A5439">
            <v>43574</v>
          </cell>
        </row>
        <row r="5440">
          <cell r="A5440">
            <v>43214</v>
          </cell>
        </row>
        <row r="5441">
          <cell r="A5441">
            <v>43796</v>
          </cell>
        </row>
        <row r="5442">
          <cell r="A5442">
            <v>43760</v>
          </cell>
        </row>
        <row r="5443">
          <cell r="A5443">
            <v>43690</v>
          </cell>
        </row>
        <row r="5444">
          <cell r="A5444">
            <v>43400</v>
          </cell>
        </row>
        <row r="5445">
          <cell r="A5445">
            <v>43918</v>
          </cell>
        </row>
        <row r="5446">
          <cell r="A5446">
            <v>43897</v>
          </cell>
        </row>
        <row r="5447">
          <cell r="A5447">
            <v>43648</v>
          </cell>
        </row>
        <row r="5448">
          <cell r="A5448">
            <v>43792</v>
          </cell>
        </row>
        <row r="5449">
          <cell r="A5449">
            <v>43499</v>
          </cell>
        </row>
        <row r="5450">
          <cell r="A5450">
            <v>43410</v>
          </cell>
        </row>
        <row r="5451">
          <cell r="A5451">
            <v>43789</v>
          </cell>
        </row>
        <row r="5452">
          <cell r="A5452">
            <v>43873</v>
          </cell>
        </row>
        <row r="5453">
          <cell r="A5453">
            <v>43556</v>
          </cell>
        </row>
        <row r="5454">
          <cell r="A5454">
            <v>43132</v>
          </cell>
        </row>
        <row r="5455">
          <cell r="A5455">
            <v>43480</v>
          </cell>
        </row>
        <row r="5456">
          <cell r="A5456">
            <v>43802</v>
          </cell>
        </row>
        <row r="5457">
          <cell r="A5457">
            <v>43650</v>
          </cell>
        </row>
        <row r="5458">
          <cell r="A5458">
            <v>43754</v>
          </cell>
        </row>
        <row r="5459">
          <cell r="A5459">
            <v>43916</v>
          </cell>
        </row>
        <row r="5460">
          <cell r="A5460">
            <v>43916</v>
          </cell>
        </row>
        <row r="5461">
          <cell r="A5461">
            <v>43639</v>
          </cell>
        </row>
        <row r="5462">
          <cell r="A5462">
            <v>43920</v>
          </cell>
        </row>
        <row r="5463">
          <cell r="A5463">
            <v>43624</v>
          </cell>
        </row>
        <row r="5464">
          <cell r="A5464">
            <v>43871</v>
          </cell>
        </row>
        <row r="5465">
          <cell r="A5465">
            <v>43351</v>
          </cell>
        </row>
        <row r="5466">
          <cell r="A5466">
            <v>43402</v>
          </cell>
        </row>
        <row r="5467">
          <cell r="A5467">
            <v>43691</v>
          </cell>
        </row>
        <row r="5468">
          <cell r="A5468">
            <v>43154</v>
          </cell>
        </row>
        <row r="5469">
          <cell r="A5469">
            <v>43466</v>
          </cell>
        </row>
        <row r="5470">
          <cell r="A5470">
            <v>43436</v>
          </cell>
        </row>
        <row r="5471">
          <cell r="A5471">
            <v>43747</v>
          </cell>
        </row>
        <row r="5472">
          <cell r="A5472">
            <v>43544</v>
          </cell>
        </row>
        <row r="5473">
          <cell r="A5473">
            <v>43221</v>
          </cell>
        </row>
        <row r="5474">
          <cell r="A5474">
            <v>43186</v>
          </cell>
        </row>
        <row r="5475">
          <cell r="A5475">
            <v>43649</v>
          </cell>
        </row>
        <row r="5476">
          <cell r="A5476">
            <v>43239</v>
          </cell>
        </row>
        <row r="5477">
          <cell r="A5477">
            <v>43303</v>
          </cell>
        </row>
        <row r="5478">
          <cell r="A5478">
            <v>43854</v>
          </cell>
        </row>
        <row r="5479">
          <cell r="A5479">
            <v>43106</v>
          </cell>
        </row>
        <row r="5480">
          <cell r="A5480">
            <v>43387</v>
          </cell>
        </row>
        <row r="5481">
          <cell r="A5481">
            <v>43774</v>
          </cell>
        </row>
        <row r="5482">
          <cell r="A5482">
            <v>43561</v>
          </cell>
        </row>
        <row r="5483">
          <cell r="A5483">
            <v>43806</v>
          </cell>
        </row>
        <row r="5484">
          <cell r="A5484">
            <v>43566</v>
          </cell>
        </row>
        <row r="5485">
          <cell r="A5485">
            <v>43487</v>
          </cell>
        </row>
        <row r="5486">
          <cell r="A5486">
            <v>43287</v>
          </cell>
        </row>
        <row r="5487">
          <cell r="A5487">
            <v>43229</v>
          </cell>
        </row>
        <row r="5488">
          <cell r="A5488">
            <v>43390</v>
          </cell>
        </row>
        <row r="5489">
          <cell r="A5489">
            <v>43656</v>
          </cell>
        </row>
        <row r="5490">
          <cell r="A5490">
            <v>43272</v>
          </cell>
        </row>
        <row r="5491">
          <cell r="A5491">
            <v>43245</v>
          </cell>
        </row>
        <row r="5492">
          <cell r="A5492">
            <v>43458</v>
          </cell>
        </row>
        <row r="5493">
          <cell r="A5493">
            <v>43245</v>
          </cell>
        </row>
        <row r="5494">
          <cell r="A5494">
            <v>43113</v>
          </cell>
        </row>
        <row r="5495">
          <cell r="A5495">
            <v>43395</v>
          </cell>
        </row>
        <row r="5496">
          <cell r="A5496">
            <v>43622</v>
          </cell>
        </row>
        <row r="5497">
          <cell r="A5497">
            <v>43805</v>
          </cell>
        </row>
        <row r="5498">
          <cell r="A5498">
            <v>43157</v>
          </cell>
        </row>
        <row r="5499">
          <cell r="A5499">
            <v>43862</v>
          </cell>
        </row>
        <row r="5500">
          <cell r="A5500">
            <v>43626</v>
          </cell>
        </row>
        <row r="5501">
          <cell r="A5501">
            <v>43413</v>
          </cell>
        </row>
        <row r="5502">
          <cell r="A5502">
            <v>43138</v>
          </cell>
        </row>
        <row r="5503">
          <cell r="A5503">
            <v>43305</v>
          </cell>
        </row>
        <row r="5504">
          <cell r="A5504">
            <v>43588</v>
          </cell>
        </row>
        <row r="5505">
          <cell r="A5505">
            <v>43510</v>
          </cell>
        </row>
        <row r="5506">
          <cell r="A5506">
            <v>43437</v>
          </cell>
        </row>
        <row r="5507">
          <cell r="A5507">
            <v>43440</v>
          </cell>
        </row>
        <row r="5508">
          <cell r="A5508">
            <v>43691</v>
          </cell>
        </row>
        <row r="5509">
          <cell r="A5509">
            <v>43311</v>
          </cell>
        </row>
        <row r="5510">
          <cell r="A5510">
            <v>43157</v>
          </cell>
        </row>
        <row r="5511">
          <cell r="A5511">
            <v>43545</v>
          </cell>
        </row>
        <row r="5512">
          <cell r="A5512">
            <v>43505</v>
          </cell>
        </row>
        <row r="5513">
          <cell r="A5513">
            <v>43366</v>
          </cell>
        </row>
        <row r="5514">
          <cell r="A5514">
            <v>43709</v>
          </cell>
        </row>
        <row r="5515">
          <cell r="A5515">
            <v>43147</v>
          </cell>
        </row>
        <row r="5516">
          <cell r="A5516">
            <v>43617</v>
          </cell>
        </row>
        <row r="5517">
          <cell r="A5517">
            <v>43246</v>
          </cell>
        </row>
        <row r="5518">
          <cell r="A5518">
            <v>43708</v>
          </cell>
        </row>
        <row r="5519">
          <cell r="A5519">
            <v>43889</v>
          </cell>
        </row>
        <row r="5520">
          <cell r="A5520">
            <v>43435</v>
          </cell>
        </row>
        <row r="5521">
          <cell r="A5521">
            <v>43866</v>
          </cell>
        </row>
        <row r="5522">
          <cell r="A5522">
            <v>43826</v>
          </cell>
        </row>
        <row r="5523">
          <cell r="A5523">
            <v>43611</v>
          </cell>
        </row>
        <row r="5524">
          <cell r="A5524">
            <v>43408</v>
          </cell>
        </row>
        <row r="5525">
          <cell r="A5525">
            <v>43173</v>
          </cell>
        </row>
        <row r="5526">
          <cell r="A5526">
            <v>43230</v>
          </cell>
        </row>
        <row r="5527">
          <cell r="A5527">
            <v>43915</v>
          </cell>
        </row>
        <row r="5528">
          <cell r="A5528">
            <v>43234</v>
          </cell>
        </row>
        <row r="5529">
          <cell r="A5529">
            <v>43728</v>
          </cell>
        </row>
        <row r="5530">
          <cell r="A5530">
            <v>43666</v>
          </cell>
        </row>
        <row r="5531">
          <cell r="A5531">
            <v>43871</v>
          </cell>
        </row>
        <row r="5532">
          <cell r="A5532">
            <v>43359</v>
          </cell>
        </row>
        <row r="5533">
          <cell r="A5533">
            <v>43406</v>
          </cell>
        </row>
        <row r="5534">
          <cell r="A5534">
            <v>43863</v>
          </cell>
        </row>
        <row r="5535">
          <cell r="A5535">
            <v>43828</v>
          </cell>
        </row>
        <row r="5536">
          <cell r="A5536">
            <v>43755</v>
          </cell>
        </row>
        <row r="5537">
          <cell r="A5537">
            <v>43414</v>
          </cell>
        </row>
        <row r="5538">
          <cell r="A5538">
            <v>43208</v>
          </cell>
        </row>
        <row r="5539">
          <cell r="A5539">
            <v>43396</v>
          </cell>
        </row>
        <row r="5540">
          <cell r="A5540">
            <v>43528</v>
          </cell>
        </row>
        <row r="5541">
          <cell r="A5541">
            <v>43904</v>
          </cell>
        </row>
        <row r="5542">
          <cell r="A5542">
            <v>43425</v>
          </cell>
        </row>
        <row r="5543">
          <cell r="A5543">
            <v>43896</v>
          </cell>
        </row>
        <row r="5544">
          <cell r="A5544">
            <v>43572</v>
          </cell>
        </row>
        <row r="5545">
          <cell r="A5545">
            <v>43207</v>
          </cell>
        </row>
        <row r="5546">
          <cell r="A5546">
            <v>43279</v>
          </cell>
        </row>
        <row r="5547">
          <cell r="A5547">
            <v>43687</v>
          </cell>
        </row>
        <row r="5548">
          <cell r="A5548">
            <v>43618</v>
          </cell>
        </row>
        <row r="5549">
          <cell r="A5549">
            <v>43659</v>
          </cell>
        </row>
        <row r="5550">
          <cell r="A5550">
            <v>43362</v>
          </cell>
        </row>
        <row r="5551">
          <cell r="A5551">
            <v>43356</v>
          </cell>
        </row>
        <row r="5552">
          <cell r="A5552">
            <v>43603</v>
          </cell>
        </row>
        <row r="5553">
          <cell r="A5553">
            <v>43763</v>
          </cell>
        </row>
        <row r="5554">
          <cell r="A5554">
            <v>43102</v>
          </cell>
        </row>
        <row r="5555">
          <cell r="A5555">
            <v>43656</v>
          </cell>
        </row>
        <row r="5556">
          <cell r="A5556">
            <v>43118</v>
          </cell>
        </row>
        <row r="5557">
          <cell r="A5557">
            <v>43533</v>
          </cell>
        </row>
        <row r="5558">
          <cell r="A5558">
            <v>43138</v>
          </cell>
        </row>
        <row r="5559">
          <cell r="A5559">
            <v>43563</v>
          </cell>
        </row>
        <row r="5560">
          <cell r="A5560">
            <v>43831</v>
          </cell>
        </row>
        <row r="5561">
          <cell r="A5561">
            <v>43561</v>
          </cell>
        </row>
        <row r="5562">
          <cell r="A5562">
            <v>43526</v>
          </cell>
        </row>
        <row r="5563">
          <cell r="A5563">
            <v>43158</v>
          </cell>
        </row>
        <row r="5564">
          <cell r="A5564">
            <v>43258</v>
          </cell>
        </row>
        <row r="5565">
          <cell r="A5565">
            <v>43571</v>
          </cell>
        </row>
        <row r="5566">
          <cell r="A5566">
            <v>43323</v>
          </cell>
        </row>
        <row r="5567">
          <cell r="A5567">
            <v>43762</v>
          </cell>
        </row>
        <row r="5568">
          <cell r="A5568">
            <v>43592</v>
          </cell>
        </row>
        <row r="5569">
          <cell r="A5569">
            <v>43800</v>
          </cell>
        </row>
        <row r="5570">
          <cell r="A5570">
            <v>43816</v>
          </cell>
        </row>
        <row r="5571">
          <cell r="A5571">
            <v>43525</v>
          </cell>
        </row>
        <row r="5572">
          <cell r="A5572">
            <v>43907</v>
          </cell>
        </row>
        <row r="5573">
          <cell r="A5573">
            <v>43118</v>
          </cell>
        </row>
        <row r="5574">
          <cell r="A5574">
            <v>43888</v>
          </cell>
        </row>
        <row r="5575">
          <cell r="A5575">
            <v>43169</v>
          </cell>
        </row>
        <row r="5576">
          <cell r="A5576">
            <v>43746</v>
          </cell>
        </row>
        <row r="5577">
          <cell r="A5577">
            <v>43921</v>
          </cell>
        </row>
        <row r="5578">
          <cell r="A5578">
            <v>43374</v>
          </cell>
        </row>
        <row r="5579">
          <cell r="A5579">
            <v>43686</v>
          </cell>
        </row>
        <row r="5580">
          <cell r="A5580">
            <v>43501</v>
          </cell>
        </row>
        <row r="5581">
          <cell r="A5581">
            <v>43510</v>
          </cell>
        </row>
        <row r="5582">
          <cell r="A5582">
            <v>43539</v>
          </cell>
        </row>
        <row r="5583">
          <cell r="A5583">
            <v>43709</v>
          </cell>
        </row>
        <row r="5584">
          <cell r="A5584">
            <v>43628</v>
          </cell>
        </row>
        <row r="5585">
          <cell r="A5585">
            <v>43655</v>
          </cell>
        </row>
        <row r="5586">
          <cell r="A5586">
            <v>43338</v>
          </cell>
        </row>
        <row r="5587">
          <cell r="A5587">
            <v>43375</v>
          </cell>
        </row>
        <row r="5588">
          <cell r="A5588">
            <v>43444</v>
          </cell>
        </row>
        <row r="5589">
          <cell r="A5589">
            <v>43649</v>
          </cell>
        </row>
        <row r="5590">
          <cell r="A5590">
            <v>43253</v>
          </cell>
        </row>
        <row r="5591">
          <cell r="A5591">
            <v>43826</v>
          </cell>
        </row>
        <row r="5592">
          <cell r="A5592">
            <v>43633</v>
          </cell>
        </row>
        <row r="5593">
          <cell r="A5593">
            <v>43172</v>
          </cell>
        </row>
        <row r="5594">
          <cell r="A5594">
            <v>43527</v>
          </cell>
        </row>
        <row r="5595">
          <cell r="A5595">
            <v>43560</v>
          </cell>
        </row>
        <row r="5596">
          <cell r="A5596">
            <v>43689</v>
          </cell>
        </row>
        <row r="5597">
          <cell r="A5597">
            <v>43268</v>
          </cell>
        </row>
        <row r="5598">
          <cell r="A5598">
            <v>43255</v>
          </cell>
        </row>
        <row r="5599">
          <cell r="A5599">
            <v>43142</v>
          </cell>
        </row>
        <row r="5600">
          <cell r="A5600">
            <v>43708</v>
          </cell>
        </row>
        <row r="5601">
          <cell r="A5601">
            <v>43628</v>
          </cell>
        </row>
        <row r="5602">
          <cell r="A5602">
            <v>43387</v>
          </cell>
        </row>
        <row r="5603">
          <cell r="A5603">
            <v>43331</v>
          </cell>
        </row>
        <row r="5604">
          <cell r="A5604">
            <v>43901</v>
          </cell>
        </row>
        <row r="5605">
          <cell r="A5605">
            <v>43163</v>
          </cell>
        </row>
        <row r="5606">
          <cell r="A5606">
            <v>43219</v>
          </cell>
        </row>
        <row r="5607">
          <cell r="A5607">
            <v>43878</v>
          </cell>
        </row>
        <row r="5608">
          <cell r="A5608">
            <v>43610</v>
          </cell>
        </row>
        <row r="5609">
          <cell r="A5609">
            <v>43603</v>
          </cell>
        </row>
        <row r="5610">
          <cell r="A5610">
            <v>43374</v>
          </cell>
        </row>
        <row r="5611">
          <cell r="A5611">
            <v>43252</v>
          </cell>
        </row>
        <row r="5612">
          <cell r="A5612">
            <v>43723</v>
          </cell>
        </row>
        <row r="5613">
          <cell r="A5613">
            <v>43495</v>
          </cell>
        </row>
        <row r="5614">
          <cell r="A5614">
            <v>43258</v>
          </cell>
        </row>
        <row r="5615">
          <cell r="A5615">
            <v>43362</v>
          </cell>
        </row>
        <row r="5616">
          <cell r="A5616">
            <v>43110</v>
          </cell>
        </row>
        <row r="5617">
          <cell r="A5617">
            <v>43154</v>
          </cell>
        </row>
        <row r="5618">
          <cell r="A5618">
            <v>43781</v>
          </cell>
        </row>
        <row r="5619">
          <cell r="A5619">
            <v>43185</v>
          </cell>
        </row>
        <row r="5620">
          <cell r="A5620">
            <v>43275</v>
          </cell>
        </row>
        <row r="5621">
          <cell r="A5621">
            <v>43125</v>
          </cell>
        </row>
        <row r="5622">
          <cell r="A5622">
            <v>43354</v>
          </cell>
        </row>
        <row r="5623">
          <cell r="A5623">
            <v>43312</v>
          </cell>
        </row>
        <row r="5624">
          <cell r="A5624">
            <v>43740</v>
          </cell>
        </row>
        <row r="5625">
          <cell r="A5625">
            <v>43821</v>
          </cell>
        </row>
        <row r="5626">
          <cell r="A5626">
            <v>43512</v>
          </cell>
        </row>
        <row r="5627">
          <cell r="A5627">
            <v>43366</v>
          </cell>
        </row>
        <row r="5628">
          <cell r="A5628">
            <v>43378</v>
          </cell>
        </row>
        <row r="5629">
          <cell r="A5629">
            <v>43753</v>
          </cell>
        </row>
        <row r="5630">
          <cell r="A5630">
            <v>43790</v>
          </cell>
        </row>
        <row r="5631">
          <cell r="A5631">
            <v>43691</v>
          </cell>
        </row>
        <row r="5632">
          <cell r="A5632">
            <v>43807</v>
          </cell>
        </row>
        <row r="5633">
          <cell r="A5633">
            <v>43222</v>
          </cell>
        </row>
        <row r="5634">
          <cell r="A5634">
            <v>43451</v>
          </cell>
        </row>
        <row r="5635">
          <cell r="A5635">
            <v>43358</v>
          </cell>
        </row>
        <row r="5636">
          <cell r="A5636">
            <v>43498</v>
          </cell>
        </row>
        <row r="5637">
          <cell r="A5637">
            <v>43213</v>
          </cell>
        </row>
        <row r="5638">
          <cell r="A5638">
            <v>43333</v>
          </cell>
        </row>
        <row r="5639">
          <cell r="A5639">
            <v>43266</v>
          </cell>
        </row>
        <row r="5640">
          <cell r="A5640">
            <v>43496</v>
          </cell>
        </row>
        <row r="5641">
          <cell r="A5641">
            <v>43365</v>
          </cell>
        </row>
        <row r="5642">
          <cell r="A5642">
            <v>43913</v>
          </cell>
        </row>
        <row r="5643">
          <cell r="A5643">
            <v>43743</v>
          </cell>
        </row>
        <row r="5644">
          <cell r="A5644">
            <v>43415</v>
          </cell>
        </row>
        <row r="5645">
          <cell r="A5645">
            <v>43837</v>
          </cell>
        </row>
        <row r="5646">
          <cell r="A5646">
            <v>43333</v>
          </cell>
        </row>
        <row r="5647">
          <cell r="A5647">
            <v>43195</v>
          </cell>
        </row>
        <row r="5648">
          <cell r="A5648">
            <v>43399</v>
          </cell>
        </row>
        <row r="5649">
          <cell r="A5649">
            <v>43247</v>
          </cell>
        </row>
        <row r="5650">
          <cell r="A5650">
            <v>43602</v>
          </cell>
        </row>
        <row r="5651">
          <cell r="A5651">
            <v>43466</v>
          </cell>
        </row>
        <row r="5652">
          <cell r="A5652">
            <v>43814</v>
          </cell>
        </row>
        <row r="5653">
          <cell r="A5653">
            <v>43261</v>
          </cell>
        </row>
        <row r="5654">
          <cell r="A5654">
            <v>43111</v>
          </cell>
        </row>
        <row r="5655">
          <cell r="A5655">
            <v>43586</v>
          </cell>
        </row>
        <row r="5656">
          <cell r="A5656">
            <v>43623</v>
          </cell>
        </row>
        <row r="5657">
          <cell r="A5657">
            <v>43145</v>
          </cell>
        </row>
        <row r="5658">
          <cell r="A5658">
            <v>43300</v>
          </cell>
        </row>
        <row r="5659">
          <cell r="A5659">
            <v>43510</v>
          </cell>
        </row>
        <row r="5660">
          <cell r="A5660">
            <v>43113</v>
          </cell>
        </row>
        <row r="5661">
          <cell r="A5661">
            <v>43805</v>
          </cell>
        </row>
        <row r="5662">
          <cell r="A5662">
            <v>43536</v>
          </cell>
        </row>
        <row r="5663">
          <cell r="A5663">
            <v>43210</v>
          </cell>
        </row>
        <row r="5664">
          <cell r="A5664">
            <v>43390</v>
          </cell>
        </row>
        <row r="5665">
          <cell r="A5665">
            <v>43758</v>
          </cell>
        </row>
        <row r="5666">
          <cell r="A5666">
            <v>43726</v>
          </cell>
        </row>
        <row r="5667">
          <cell r="A5667">
            <v>43484</v>
          </cell>
        </row>
        <row r="5668">
          <cell r="A5668">
            <v>43421</v>
          </cell>
        </row>
        <row r="5669">
          <cell r="A5669">
            <v>43138</v>
          </cell>
        </row>
        <row r="5670">
          <cell r="A5670">
            <v>43750</v>
          </cell>
        </row>
        <row r="5671">
          <cell r="A5671">
            <v>43520</v>
          </cell>
        </row>
        <row r="5672">
          <cell r="A5672">
            <v>43279</v>
          </cell>
        </row>
        <row r="5673">
          <cell r="A5673">
            <v>43209</v>
          </cell>
        </row>
        <row r="5674">
          <cell r="A5674">
            <v>43800</v>
          </cell>
        </row>
        <row r="5675">
          <cell r="A5675">
            <v>43715</v>
          </cell>
        </row>
        <row r="5676">
          <cell r="A5676">
            <v>43578</v>
          </cell>
        </row>
        <row r="5677">
          <cell r="A5677">
            <v>43813</v>
          </cell>
        </row>
        <row r="5678">
          <cell r="A5678">
            <v>43188</v>
          </cell>
        </row>
        <row r="5679">
          <cell r="A5679">
            <v>43616</v>
          </cell>
        </row>
        <row r="5680">
          <cell r="A5680">
            <v>43704</v>
          </cell>
        </row>
        <row r="5681">
          <cell r="A5681">
            <v>43741</v>
          </cell>
        </row>
        <row r="5682">
          <cell r="A5682">
            <v>43361</v>
          </cell>
        </row>
        <row r="5683">
          <cell r="A5683">
            <v>43793</v>
          </cell>
        </row>
        <row r="5684">
          <cell r="A5684">
            <v>43279</v>
          </cell>
        </row>
        <row r="5685">
          <cell r="A5685">
            <v>43448</v>
          </cell>
        </row>
        <row r="5686">
          <cell r="A5686">
            <v>43359</v>
          </cell>
        </row>
        <row r="5687">
          <cell r="A5687">
            <v>43444</v>
          </cell>
        </row>
        <row r="5688">
          <cell r="A5688">
            <v>43126</v>
          </cell>
        </row>
        <row r="5689">
          <cell r="A5689">
            <v>43193</v>
          </cell>
        </row>
        <row r="5690">
          <cell r="A5690">
            <v>43475</v>
          </cell>
        </row>
        <row r="5691">
          <cell r="A5691">
            <v>43727</v>
          </cell>
        </row>
        <row r="5692">
          <cell r="A5692">
            <v>43431</v>
          </cell>
        </row>
        <row r="5693">
          <cell r="A5693">
            <v>43301</v>
          </cell>
        </row>
        <row r="5694">
          <cell r="A5694">
            <v>43189</v>
          </cell>
        </row>
        <row r="5695">
          <cell r="A5695">
            <v>43734</v>
          </cell>
        </row>
        <row r="5696">
          <cell r="A5696">
            <v>43413</v>
          </cell>
        </row>
        <row r="5697">
          <cell r="A5697">
            <v>43298</v>
          </cell>
        </row>
        <row r="5698">
          <cell r="A5698">
            <v>43608</v>
          </cell>
        </row>
        <row r="5699">
          <cell r="A5699">
            <v>43365</v>
          </cell>
        </row>
        <row r="5700">
          <cell r="A5700">
            <v>43179</v>
          </cell>
        </row>
        <row r="5701">
          <cell r="A5701">
            <v>43192</v>
          </cell>
        </row>
        <row r="5702">
          <cell r="A5702">
            <v>43360</v>
          </cell>
        </row>
        <row r="5703">
          <cell r="A5703">
            <v>43361</v>
          </cell>
        </row>
        <row r="5704">
          <cell r="A5704">
            <v>43640</v>
          </cell>
        </row>
        <row r="5705">
          <cell r="A5705">
            <v>43169</v>
          </cell>
        </row>
        <row r="5706">
          <cell r="A5706">
            <v>43581</v>
          </cell>
        </row>
        <row r="5707">
          <cell r="A5707">
            <v>43160</v>
          </cell>
        </row>
        <row r="5708">
          <cell r="A5708">
            <v>43313</v>
          </cell>
        </row>
        <row r="5709">
          <cell r="A5709">
            <v>43377</v>
          </cell>
        </row>
        <row r="5710">
          <cell r="A5710">
            <v>43218</v>
          </cell>
        </row>
        <row r="5711">
          <cell r="A5711">
            <v>43892</v>
          </cell>
        </row>
        <row r="5712">
          <cell r="A5712">
            <v>43281</v>
          </cell>
        </row>
        <row r="5713">
          <cell r="A5713">
            <v>43437</v>
          </cell>
        </row>
        <row r="5714">
          <cell r="A5714">
            <v>43904</v>
          </cell>
        </row>
        <row r="5715">
          <cell r="A5715">
            <v>43804</v>
          </cell>
        </row>
        <row r="5716">
          <cell r="A5716">
            <v>43616</v>
          </cell>
        </row>
        <row r="5717">
          <cell r="A5717">
            <v>43324</v>
          </cell>
        </row>
        <row r="5718">
          <cell r="A5718">
            <v>43144</v>
          </cell>
        </row>
        <row r="5719">
          <cell r="A5719">
            <v>43642</v>
          </cell>
        </row>
        <row r="5720">
          <cell r="A5720">
            <v>43863</v>
          </cell>
        </row>
        <row r="5721">
          <cell r="A5721">
            <v>43233</v>
          </cell>
        </row>
        <row r="5722">
          <cell r="A5722">
            <v>43766</v>
          </cell>
        </row>
        <row r="5723">
          <cell r="A5723">
            <v>43780</v>
          </cell>
        </row>
        <row r="5724">
          <cell r="A5724">
            <v>43544</v>
          </cell>
        </row>
        <row r="5725">
          <cell r="A5725">
            <v>43279</v>
          </cell>
        </row>
        <row r="5726">
          <cell r="A5726">
            <v>43413</v>
          </cell>
        </row>
        <row r="5727">
          <cell r="A5727">
            <v>43283</v>
          </cell>
        </row>
        <row r="5728">
          <cell r="A5728">
            <v>43765</v>
          </cell>
        </row>
        <row r="5729">
          <cell r="A5729">
            <v>43221</v>
          </cell>
        </row>
        <row r="5730">
          <cell r="A5730">
            <v>43835</v>
          </cell>
        </row>
        <row r="5731">
          <cell r="A5731">
            <v>43311</v>
          </cell>
        </row>
        <row r="5732">
          <cell r="A5732">
            <v>43330</v>
          </cell>
        </row>
        <row r="5733">
          <cell r="A5733">
            <v>43775</v>
          </cell>
        </row>
        <row r="5734">
          <cell r="A5734">
            <v>43802</v>
          </cell>
        </row>
        <row r="5735">
          <cell r="A5735">
            <v>43406</v>
          </cell>
        </row>
        <row r="5736">
          <cell r="A5736">
            <v>43889</v>
          </cell>
        </row>
        <row r="5737">
          <cell r="A5737">
            <v>43287</v>
          </cell>
        </row>
        <row r="5738">
          <cell r="A5738">
            <v>43802</v>
          </cell>
        </row>
        <row r="5739">
          <cell r="A5739">
            <v>43412</v>
          </cell>
        </row>
        <row r="5740">
          <cell r="A5740">
            <v>43562</v>
          </cell>
        </row>
        <row r="5741">
          <cell r="A5741">
            <v>43294</v>
          </cell>
        </row>
        <row r="5742">
          <cell r="A5742">
            <v>43333</v>
          </cell>
        </row>
        <row r="5743">
          <cell r="A5743">
            <v>43913</v>
          </cell>
        </row>
        <row r="5744">
          <cell r="A5744">
            <v>43732</v>
          </cell>
        </row>
        <row r="5745">
          <cell r="A5745">
            <v>43419</v>
          </cell>
        </row>
        <row r="5746">
          <cell r="A5746">
            <v>43716</v>
          </cell>
        </row>
        <row r="5747">
          <cell r="A5747">
            <v>43737</v>
          </cell>
        </row>
        <row r="5748">
          <cell r="A5748">
            <v>43726</v>
          </cell>
        </row>
        <row r="5749">
          <cell r="A5749">
            <v>43184</v>
          </cell>
        </row>
        <row r="5750">
          <cell r="A5750">
            <v>43491</v>
          </cell>
        </row>
        <row r="5751">
          <cell r="A5751">
            <v>43882</v>
          </cell>
        </row>
        <row r="5752">
          <cell r="A5752">
            <v>43642</v>
          </cell>
        </row>
        <row r="5753">
          <cell r="A5753">
            <v>43559</v>
          </cell>
        </row>
        <row r="5754">
          <cell r="A5754">
            <v>43157</v>
          </cell>
        </row>
        <row r="5755">
          <cell r="A5755">
            <v>43432</v>
          </cell>
        </row>
        <row r="5756">
          <cell r="A5756">
            <v>43718</v>
          </cell>
        </row>
        <row r="5757">
          <cell r="A5757">
            <v>43649</v>
          </cell>
        </row>
        <row r="5758">
          <cell r="A5758">
            <v>43454</v>
          </cell>
        </row>
        <row r="5759">
          <cell r="A5759">
            <v>43349</v>
          </cell>
        </row>
        <row r="5760">
          <cell r="A5760">
            <v>43452</v>
          </cell>
        </row>
        <row r="5761">
          <cell r="A5761">
            <v>43727</v>
          </cell>
        </row>
        <row r="5762">
          <cell r="A5762">
            <v>43456</v>
          </cell>
        </row>
        <row r="5763">
          <cell r="A5763">
            <v>43869</v>
          </cell>
        </row>
        <row r="5764">
          <cell r="A5764">
            <v>43878</v>
          </cell>
        </row>
        <row r="5765">
          <cell r="A5765">
            <v>43456</v>
          </cell>
        </row>
        <row r="5766">
          <cell r="A5766">
            <v>43497</v>
          </cell>
        </row>
        <row r="5767">
          <cell r="A5767">
            <v>43157</v>
          </cell>
        </row>
        <row r="5768">
          <cell r="A5768">
            <v>43757</v>
          </cell>
        </row>
        <row r="5769">
          <cell r="A5769">
            <v>43888</v>
          </cell>
        </row>
        <row r="5770">
          <cell r="A5770">
            <v>43191</v>
          </cell>
        </row>
        <row r="5771">
          <cell r="A5771">
            <v>43906</v>
          </cell>
        </row>
        <row r="5772">
          <cell r="A5772">
            <v>43253</v>
          </cell>
        </row>
        <row r="5773">
          <cell r="A5773">
            <v>43722</v>
          </cell>
        </row>
        <row r="5774">
          <cell r="A5774">
            <v>43241</v>
          </cell>
        </row>
        <row r="5775">
          <cell r="A5775">
            <v>43899</v>
          </cell>
        </row>
        <row r="5776">
          <cell r="A5776">
            <v>43131</v>
          </cell>
        </row>
        <row r="5777">
          <cell r="A5777">
            <v>43373</v>
          </cell>
        </row>
        <row r="5778">
          <cell r="A5778">
            <v>43371</v>
          </cell>
        </row>
        <row r="5779">
          <cell r="A5779">
            <v>43334</v>
          </cell>
        </row>
        <row r="5780">
          <cell r="A5780">
            <v>43244</v>
          </cell>
        </row>
        <row r="5781">
          <cell r="A5781">
            <v>43580</v>
          </cell>
        </row>
        <row r="5782">
          <cell r="A5782">
            <v>43743</v>
          </cell>
        </row>
        <row r="5783">
          <cell r="A5783">
            <v>43498</v>
          </cell>
        </row>
        <row r="5784">
          <cell r="A5784">
            <v>43840</v>
          </cell>
        </row>
        <row r="5785">
          <cell r="A5785">
            <v>43369</v>
          </cell>
        </row>
        <row r="5786">
          <cell r="A5786">
            <v>43787</v>
          </cell>
        </row>
        <row r="5787">
          <cell r="A5787">
            <v>43277</v>
          </cell>
        </row>
        <row r="5788">
          <cell r="A5788">
            <v>43885</v>
          </cell>
        </row>
        <row r="5789">
          <cell r="A5789">
            <v>43609</v>
          </cell>
        </row>
        <row r="5790">
          <cell r="A5790">
            <v>43592</v>
          </cell>
        </row>
        <row r="5791">
          <cell r="A5791">
            <v>43518</v>
          </cell>
        </row>
        <row r="5792">
          <cell r="A5792">
            <v>43145</v>
          </cell>
        </row>
        <row r="5793">
          <cell r="A5793">
            <v>43373</v>
          </cell>
        </row>
        <row r="5794">
          <cell r="A5794">
            <v>43644</v>
          </cell>
        </row>
        <row r="5795">
          <cell r="A5795">
            <v>43341</v>
          </cell>
        </row>
        <row r="5796">
          <cell r="A5796">
            <v>43194</v>
          </cell>
        </row>
        <row r="5797">
          <cell r="A5797">
            <v>43504</v>
          </cell>
        </row>
        <row r="5798">
          <cell r="A5798">
            <v>43199</v>
          </cell>
        </row>
        <row r="5799">
          <cell r="A5799">
            <v>43801</v>
          </cell>
        </row>
        <row r="5800">
          <cell r="A5800">
            <v>43365</v>
          </cell>
        </row>
        <row r="5801">
          <cell r="A5801">
            <v>43638</v>
          </cell>
        </row>
        <row r="5802">
          <cell r="A5802">
            <v>43763</v>
          </cell>
        </row>
        <row r="5803">
          <cell r="A5803">
            <v>43125</v>
          </cell>
        </row>
        <row r="5804">
          <cell r="A5804">
            <v>43193</v>
          </cell>
        </row>
        <row r="5805">
          <cell r="A5805">
            <v>43120</v>
          </cell>
        </row>
        <row r="5806">
          <cell r="A5806">
            <v>43285</v>
          </cell>
        </row>
        <row r="5807">
          <cell r="A5807">
            <v>43678</v>
          </cell>
        </row>
        <row r="5808">
          <cell r="A5808">
            <v>43309</v>
          </cell>
        </row>
        <row r="5809">
          <cell r="A5809">
            <v>43377</v>
          </cell>
        </row>
        <row r="5810">
          <cell r="A5810">
            <v>43199</v>
          </cell>
        </row>
        <row r="5811">
          <cell r="A5811">
            <v>43756</v>
          </cell>
        </row>
        <row r="5812">
          <cell r="A5812">
            <v>43560</v>
          </cell>
        </row>
        <row r="5813">
          <cell r="A5813">
            <v>43649</v>
          </cell>
        </row>
        <row r="5814">
          <cell r="A5814">
            <v>43599</v>
          </cell>
        </row>
        <row r="5815">
          <cell r="A5815">
            <v>43478</v>
          </cell>
        </row>
        <row r="5816">
          <cell r="A5816">
            <v>43240</v>
          </cell>
        </row>
        <row r="5817">
          <cell r="A5817">
            <v>43862</v>
          </cell>
        </row>
        <row r="5818">
          <cell r="A5818">
            <v>43630</v>
          </cell>
        </row>
        <row r="5819">
          <cell r="A5819">
            <v>43911</v>
          </cell>
        </row>
        <row r="5820">
          <cell r="A5820">
            <v>43777</v>
          </cell>
        </row>
        <row r="5821">
          <cell r="A5821">
            <v>43902</v>
          </cell>
        </row>
        <row r="5822">
          <cell r="A5822">
            <v>43780</v>
          </cell>
        </row>
        <row r="5823">
          <cell r="A5823">
            <v>43656</v>
          </cell>
        </row>
        <row r="5824">
          <cell r="A5824">
            <v>43383</v>
          </cell>
        </row>
        <row r="5825">
          <cell r="A5825">
            <v>43413</v>
          </cell>
        </row>
        <row r="5826">
          <cell r="A5826">
            <v>43485</v>
          </cell>
        </row>
        <row r="5827">
          <cell r="A5827">
            <v>43628</v>
          </cell>
        </row>
        <row r="5828">
          <cell r="A5828">
            <v>43476</v>
          </cell>
        </row>
        <row r="5829">
          <cell r="A5829">
            <v>43434</v>
          </cell>
        </row>
        <row r="5830">
          <cell r="A5830">
            <v>43155</v>
          </cell>
        </row>
        <row r="5831">
          <cell r="A5831">
            <v>43802</v>
          </cell>
        </row>
        <row r="5832">
          <cell r="A5832">
            <v>43544</v>
          </cell>
        </row>
        <row r="5833">
          <cell r="A5833">
            <v>43803</v>
          </cell>
        </row>
        <row r="5834">
          <cell r="A5834">
            <v>43271</v>
          </cell>
        </row>
        <row r="5835">
          <cell r="A5835">
            <v>43336</v>
          </cell>
        </row>
        <row r="5836">
          <cell r="A5836">
            <v>43361</v>
          </cell>
        </row>
        <row r="5837">
          <cell r="A5837">
            <v>43229</v>
          </cell>
        </row>
        <row r="5838">
          <cell r="A5838">
            <v>43592</v>
          </cell>
        </row>
        <row r="5839">
          <cell r="A5839">
            <v>43494</v>
          </cell>
        </row>
        <row r="5840">
          <cell r="A5840">
            <v>43600</v>
          </cell>
        </row>
        <row r="5841">
          <cell r="A5841">
            <v>43208</v>
          </cell>
        </row>
        <row r="5842">
          <cell r="A5842">
            <v>43124</v>
          </cell>
        </row>
        <row r="5843">
          <cell r="A5843">
            <v>43716</v>
          </cell>
        </row>
        <row r="5844">
          <cell r="A5844">
            <v>43174</v>
          </cell>
        </row>
        <row r="5845">
          <cell r="A5845">
            <v>43172</v>
          </cell>
        </row>
        <row r="5846">
          <cell r="A5846">
            <v>43826</v>
          </cell>
        </row>
        <row r="5847">
          <cell r="A5847">
            <v>43895</v>
          </cell>
        </row>
        <row r="5848">
          <cell r="A5848">
            <v>43375</v>
          </cell>
        </row>
        <row r="5849">
          <cell r="A5849">
            <v>43677</v>
          </cell>
        </row>
        <row r="5850">
          <cell r="A5850">
            <v>43730</v>
          </cell>
        </row>
        <row r="5851">
          <cell r="A5851">
            <v>43298</v>
          </cell>
        </row>
        <row r="5852">
          <cell r="A5852">
            <v>43644</v>
          </cell>
        </row>
        <row r="5853">
          <cell r="A5853">
            <v>43233</v>
          </cell>
        </row>
        <row r="5854">
          <cell r="A5854">
            <v>43425</v>
          </cell>
        </row>
        <row r="5855">
          <cell r="A5855">
            <v>43608</v>
          </cell>
        </row>
        <row r="5856">
          <cell r="A5856">
            <v>43746</v>
          </cell>
        </row>
        <row r="5857">
          <cell r="A5857">
            <v>43673</v>
          </cell>
        </row>
        <row r="5858">
          <cell r="A5858">
            <v>43319</v>
          </cell>
        </row>
        <row r="5859">
          <cell r="A5859">
            <v>43203</v>
          </cell>
        </row>
        <row r="5860">
          <cell r="A5860">
            <v>43321</v>
          </cell>
        </row>
        <row r="5861">
          <cell r="A5861">
            <v>43144</v>
          </cell>
        </row>
        <row r="5862">
          <cell r="A5862">
            <v>43417</v>
          </cell>
        </row>
        <row r="5863">
          <cell r="A5863">
            <v>43222</v>
          </cell>
        </row>
        <row r="5864">
          <cell r="A5864">
            <v>43751</v>
          </cell>
        </row>
        <row r="5865">
          <cell r="A5865">
            <v>43133</v>
          </cell>
        </row>
        <row r="5866">
          <cell r="A5866">
            <v>43173</v>
          </cell>
        </row>
        <row r="5867">
          <cell r="A5867">
            <v>43353</v>
          </cell>
        </row>
        <row r="5868">
          <cell r="A5868">
            <v>43881</v>
          </cell>
        </row>
        <row r="5869">
          <cell r="A5869">
            <v>43702</v>
          </cell>
        </row>
        <row r="5870">
          <cell r="A5870">
            <v>43144</v>
          </cell>
        </row>
        <row r="5871">
          <cell r="A5871">
            <v>43217</v>
          </cell>
        </row>
        <row r="5872">
          <cell r="A5872">
            <v>43913</v>
          </cell>
        </row>
        <row r="5873">
          <cell r="A5873">
            <v>43815</v>
          </cell>
        </row>
        <row r="5874">
          <cell r="A5874">
            <v>43103</v>
          </cell>
        </row>
        <row r="5875">
          <cell r="A5875">
            <v>43119</v>
          </cell>
        </row>
        <row r="5876">
          <cell r="A5876">
            <v>43473</v>
          </cell>
        </row>
        <row r="5877">
          <cell r="A5877">
            <v>43569</v>
          </cell>
        </row>
        <row r="5878">
          <cell r="A5878">
            <v>43615</v>
          </cell>
        </row>
        <row r="5879">
          <cell r="A5879">
            <v>43745</v>
          </cell>
        </row>
        <row r="5880">
          <cell r="A5880">
            <v>43471</v>
          </cell>
        </row>
        <row r="5881">
          <cell r="A5881">
            <v>43145</v>
          </cell>
        </row>
        <row r="5882">
          <cell r="A5882">
            <v>43103</v>
          </cell>
        </row>
        <row r="5883">
          <cell r="A5883">
            <v>43103</v>
          </cell>
        </row>
        <row r="5884">
          <cell r="A5884">
            <v>43797</v>
          </cell>
        </row>
        <row r="5885">
          <cell r="A5885">
            <v>43866</v>
          </cell>
        </row>
        <row r="5886">
          <cell r="A5886">
            <v>43686</v>
          </cell>
        </row>
        <row r="5887">
          <cell r="A5887">
            <v>43309</v>
          </cell>
        </row>
        <row r="5888">
          <cell r="A5888">
            <v>43415</v>
          </cell>
        </row>
        <row r="5889">
          <cell r="A5889">
            <v>43424</v>
          </cell>
        </row>
        <row r="5890">
          <cell r="A5890">
            <v>43881</v>
          </cell>
        </row>
        <row r="5891">
          <cell r="A5891">
            <v>43835</v>
          </cell>
        </row>
        <row r="5892">
          <cell r="A5892">
            <v>43428</v>
          </cell>
        </row>
        <row r="5893">
          <cell r="A5893">
            <v>43411</v>
          </cell>
        </row>
        <row r="5894">
          <cell r="A5894">
            <v>43897</v>
          </cell>
        </row>
        <row r="5895">
          <cell r="A5895">
            <v>43546</v>
          </cell>
        </row>
        <row r="5896">
          <cell r="A5896">
            <v>43233</v>
          </cell>
        </row>
        <row r="5897">
          <cell r="A5897">
            <v>43524</v>
          </cell>
        </row>
        <row r="5898">
          <cell r="A5898">
            <v>43806</v>
          </cell>
        </row>
        <row r="5899">
          <cell r="A5899">
            <v>43305</v>
          </cell>
        </row>
        <row r="5900">
          <cell r="A5900">
            <v>43256</v>
          </cell>
        </row>
        <row r="5901">
          <cell r="A5901">
            <v>43387</v>
          </cell>
        </row>
        <row r="5902">
          <cell r="A5902">
            <v>43537</v>
          </cell>
        </row>
        <row r="5903">
          <cell r="A5903">
            <v>43888</v>
          </cell>
        </row>
        <row r="5904">
          <cell r="A5904">
            <v>43589</v>
          </cell>
        </row>
        <row r="5905">
          <cell r="A5905">
            <v>43137</v>
          </cell>
        </row>
        <row r="5906">
          <cell r="A5906">
            <v>43845</v>
          </cell>
        </row>
        <row r="5907">
          <cell r="A5907">
            <v>43636</v>
          </cell>
        </row>
        <row r="5908">
          <cell r="A5908">
            <v>43459</v>
          </cell>
        </row>
        <row r="5909">
          <cell r="A5909">
            <v>43624</v>
          </cell>
        </row>
        <row r="5910">
          <cell r="A5910">
            <v>43521</v>
          </cell>
        </row>
        <row r="5911">
          <cell r="A5911">
            <v>43245</v>
          </cell>
        </row>
        <row r="5912">
          <cell r="A5912">
            <v>43502</v>
          </cell>
        </row>
        <row r="5913">
          <cell r="A5913">
            <v>43265</v>
          </cell>
        </row>
        <row r="5914">
          <cell r="A5914">
            <v>43751</v>
          </cell>
        </row>
        <row r="5915">
          <cell r="A5915">
            <v>43764</v>
          </cell>
        </row>
        <row r="5916">
          <cell r="A5916">
            <v>43211</v>
          </cell>
        </row>
        <row r="5917">
          <cell r="A5917">
            <v>43758</v>
          </cell>
        </row>
        <row r="5918">
          <cell r="A5918">
            <v>43851</v>
          </cell>
        </row>
        <row r="5919">
          <cell r="A5919">
            <v>43207</v>
          </cell>
        </row>
        <row r="5920">
          <cell r="A5920">
            <v>43499</v>
          </cell>
        </row>
        <row r="5921">
          <cell r="A5921">
            <v>43366</v>
          </cell>
        </row>
        <row r="5922">
          <cell r="A5922">
            <v>43420</v>
          </cell>
        </row>
        <row r="5923">
          <cell r="A5923">
            <v>43548</v>
          </cell>
        </row>
        <row r="5924">
          <cell r="A5924">
            <v>43387</v>
          </cell>
        </row>
        <row r="5925">
          <cell r="A5925">
            <v>43338</v>
          </cell>
        </row>
        <row r="5926">
          <cell r="A5926">
            <v>43863</v>
          </cell>
        </row>
        <row r="5927">
          <cell r="A5927">
            <v>43545</v>
          </cell>
        </row>
        <row r="5928">
          <cell r="A5928">
            <v>43605</v>
          </cell>
        </row>
        <row r="5929">
          <cell r="A5929">
            <v>43529</v>
          </cell>
        </row>
        <row r="5930">
          <cell r="A5930">
            <v>43643</v>
          </cell>
        </row>
        <row r="5931">
          <cell r="A5931">
            <v>43518</v>
          </cell>
        </row>
        <row r="5932">
          <cell r="A5932">
            <v>43480</v>
          </cell>
        </row>
        <row r="5933">
          <cell r="A5933">
            <v>43454</v>
          </cell>
        </row>
        <row r="5934">
          <cell r="A5934">
            <v>43745</v>
          </cell>
        </row>
        <row r="5935">
          <cell r="A5935">
            <v>43657</v>
          </cell>
        </row>
        <row r="5936">
          <cell r="A5936">
            <v>43390</v>
          </cell>
        </row>
        <row r="5937">
          <cell r="A5937">
            <v>43283</v>
          </cell>
        </row>
        <row r="5938">
          <cell r="A5938">
            <v>43844</v>
          </cell>
        </row>
        <row r="5939">
          <cell r="A5939">
            <v>43280</v>
          </cell>
        </row>
        <row r="5940">
          <cell r="A5940">
            <v>43613</v>
          </cell>
        </row>
        <row r="5941">
          <cell r="A5941">
            <v>43191</v>
          </cell>
        </row>
        <row r="5942">
          <cell r="A5942">
            <v>43501</v>
          </cell>
        </row>
        <row r="5943">
          <cell r="A5943">
            <v>43123</v>
          </cell>
        </row>
        <row r="5944">
          <cell r="A5944">
            <v>43432</v>
          </cell>
        </row>
        <row r="5945">
          <cell r="A5945">
            <v>43657</v>
          </cell>
        </row>
        <row r="5946">
          <cell r="A5946">
            <v>43326</v>
          </cell>
        </row>
        <row r="5947">
          <cell r="A5947">
            <v>43702</v>
          </cell>
        </row>
        <row r="5948">
          <cell r="A5948">
            <v>43236</v>
          </cell>
        </row>
        <row r="5949">
          <cell r="A5949">
            <v>43130</v>
          </cell>
        </row>
        <row r="5950">
          <cell r="A5950">
            <v>43263</v>
          </cell>
        </row>
        <row r="5951">
          <cell r="A5951">
            <v>43403</v>
          </cell>
        </row>
        <row r="5952">
          <cell r="A5952">
            <v>43274</v>
          </cell>
        </row>
        <row r="5953">
          <cell r="A5953">
            <v>43128</v>
          </cell>
        </row>
        <row r="5954">
          <cell r="A5954">
            <v>43494</v>
          </cell>
        </row>
        <row r="5955">
          <cell r="A5955">
            <v>43849</v>
          </cell>
        </row>
        <row r="5956">
          <cell r="A5956">
            <v>43585</v>
          </cell>
        </row>
        <row r="5957">
          <cell r="A5957">
            <v>43193</v>
          </cell>
        </row>
        <row r="5958">
          <cell r="A5958">
            <v>43469</v>
          </cell>
        </row>
        <row r="5959">
          <cell r="A5959">
            <v>43871</v>
          </cell>
        </row>
        <row r="5960">
          <cell r="A5960">
            <v>43802</v>
          </cell>
        </row>
        <row r="5961">
          <cell r="A5961">
            <v>43580</v>
          </cell>
        </row>
        <row r="5962">
          <cell r="A5962">
            <v>43583</v>
          </cell>
        </row>
        <row r="5963">
          <cell r="A5963">
            <v>43223</v>
          </cell>
        </row>
        <row r="5964">
          <cell r="A5964">
            <v>43257</v>
          </cell>
        </row>
        <row r="5965">
          <cell r="A5965">
            <v>43881</v>
          </cell>
        </row>
        <row r="5966">
          <cell r="A5966">
            <v>43162</v>
          </cell>
        </row>
        <row r="5967">
          <cell r="A5967">
            <v>43483</v>
          </cell>
        </row>
        <row r="5968">
          <cell r="A5968">
            <v>43529</v>
          </cell>
        </row>
        <row r="5969">
          <cell r="A5969">
            <v>43418</v>
          </cell>
        </row>
        <row r="5970">
          <cell r="A5970">
            <v>43548</v>
          </cell>
        </row>
        <row r="5971">
          <cell r="A5971">
            <v>43367</v>
          </cell>
        </row>
        <row r="5972">
          <cell r="A5972">
            <v>43904</v>
          </cell>
        </row>
        <row r="5973">
          <cell r="A5973">
            <v>43587</v>
          </cell>
        </row>
        <row r="5974">
          <cell r="A5974">
            <v>43523</v>
          </cell>
        </row>
        <row r="5975">
          <cell r="A5975">
            <v>43829</v>
          </cell>
        </row>
        <row r="5976">
          <cell r="A5976">
            <v>43309</v>
          </cell>
        </row>
        <row r="5977">
          <cell r="A5977">
            <v>43286</v>
          </cell>
        </row>
        <row r="5978">
          <cell r="A5978">
            <v>43822</v>
          </cell>
        </row>
        <row r="5979">
          <cell r="A5979">
            <v>43826</v>
          </cell>
        </row>
        <row r="5980">
          <cell r="A5980">
            <v>43119</v>
          </cell>
        </row>
        <row r="5981">
          <cell r="A5981">
            <v>43118</v>
          </cell>
        </row>
        <row r="5982">
          <cell r="A5982">
            <v>43511</v>
          </cell>
        </row>
        <row r="5983">
          <cell r="A5983">
            <v>43105</v>
          </cell>
        </row>
        <row r="5984">
          <cell r="A5984">
            <v>43156</v>
          </cell>
        </row>
        <row r="5985">
          <cell r="A5985">
            <v>43263</v>
          </cell>
        </row>
        <row r="5986">
          <cell r="A5986">
            <v>43417</v>
          </cell>
        </row>
        <row r="5987">
          <cell r="A5987">
            <v>43458</v>
          </cell>
        </row>
        <row r="5988">
          <cell r="A5988">
            <v>43562</v>
          </cell>
        </row>
        <row r="5989">
          <cell r="A5989">
            <v>43699</v>
          </cell>
        </row>
        <row r="5990">
          <cell r="A5990">
            <v>43334</v>
          </cell>
        </row>
        <row r="5991">
          <cell r="A5991">
            <v>43745</v>
          </cell>
        </row>
        <row r="5992">
          <cell r="A5992">
            <v>43156</v>
          </cell>
        </row>
        <row r="5993">
          <cell r="A5993">
            <v>43609</v>
          </cell>
        </row>
        <row r="5994">
          <cell r="A5994">
            <v>43706</v>
          </cell>
        </row>
        <row r="5995">
          <cell r="A5995">
            <v>43204</v>
          </cell>
        </row>
        <row r="5996">
          <cell r="A5996">
            <v>43374</v>
          </cell>
        </row>
        <row r="5997">
          <cell r="A5997">
            <v>43257</v>
          </cell>
        </row>
        <row r="5998">
          <cell r="A5998">
            <v>43763</v>
          </cell>
        </row>
        <row r="5999">
          <cell r="A5999">
            <v>43682</v>
          </cell>
        </row>
        <row r="6000">
          <cell r="A6000">
            <v>43878</v>
          </cell>
        </row>
        <row r="6001">
          <cell r="A6001">
            <v>43280</v>
          </cell>
        </row>
        <row r="6002">
          <cell r="A6002">
            <v>43153</v>
          </cell>
        </row>
        <row r="6003">
          <cell r="A6003">
            <v>43115</v>
          </cell>
        </row>
        <row r="6004">
          <cell r="A6004">
            <v>43576</v>
          </cell>
        </row>
        <row r="6005">
          <cell r="A6005">
            <v>43293</v>
          </cell>
        </row>
        <row r="6006">
          <cell r="A6006">
            <v>43805</v>
          </cell>
        </row>
        <row r="6007">
          <cell r="A6007">
            <v>43617</v>
          </cell>
        </row>
        <row r="6008">
          <cell r="A6008">
            <v>43811</v>
          </cell>
        </row>
        <row r="6009">
          <cell r="A6009">
            <v>43236</v>
          </cell>
        </row>
        <row r="6010">
          <cell r="A6010">
            <v>43120</v>
          </cell>
        </row>
        <row r="6011">
          <cell r="A6011">
            <v>43810</v>
          </cell>
        </row>
        <row r="6012">
          <cell r="A6012">
            <v>43486</v>
          </cell>
        </row>
        <row r="6013">
          <cell r="A6013">
            <v>43118</v>
          </cell>
        </row>
        <row r="6014">
          <cell r="A6014">
            <v>43657</v>
          </cell>
        </row>
        <row r="6015">
          <cell r="A6015">
            <v>43338</v>
          </cell>
        </row>
        <row r="6016">
          <cell r="A6016">
            <v>43723</v>
          </cell>
        </row>
        <row r="6017">
          <cell r="A6017">
            <v>43444</v>
          </cell>
        </row>
        <row r="6018">
          <cell r="A6018">
            <v>43728</v>
          </cell>
        </row>
        <row r="6019">
          <cell r="A6019">
            <v>43503</v>
          </cell>
        </row>
        <row r="6020">
          <cell r="A6020">
            <v>43164</v>
          </cell>
        </row>
        <row r="6021">
          <cell r="A6021">
            <v>43849</v>
          </cell>
        </row>
        <row r="6022">
          <cell r="A6022">
            <v>43344</v>
          </cell>
        </row>
        <row r="6023">
          <cell r="A6023">
            <v>43312</v>
          </cell>
        </row>
        <row r="6024">
          <cell r="A6024">
            <v>43683</v>
          </cell>
        </row>
        <row r="6025">
          <cell r="A6025">
            <v>43748</v>
          </cell>
        </row>
        <row r="6026">
          <cell r="A6026">
            <v>43178</v>
          </cell>
        </row>
        <row r="6027">
          <cell r="A6027">
            <v>43601</v>
          </cell>
        </row>
        <row r="6028">
          <cell r="A6028">
            <v>43150</v>
          </cell>
        </row>
        <row r="6029">
          <cell r="A6029">
            <v>43731</v>
          </cell>
        </row>
        <row r="6030">
          <cell r="A6030">
            <v>43720</v>
          </cell>
        </row>
        <row r="6031">
          <cell r="A6031">
            <v>43380</v>
          </cell>
        </row>
        <row r="6032">
          <cell r="A6032">
            <v>43811</v>
          </cell>
        </row>
        <row r="6033">
          <cell r="A6033">
            <v>43298</v>
          </cell>
        </row>
        <row r="6034">
          <cell r="A6034">
            <v>43644</v>
          </cell>
        </row>
        <row r="6035">
          <cell r="A6035">
            <v>43269</v>
          </cell>
        </row>
        <row r="6036">
          <cell r="A6036">
            <v>43308</v>
          </cell>
        </row>
        <row r="6037">
          <cell r="A6037">
            <v>43686</v>
          </cell>
        </row>
        <row r="6038">
          <cell r="A6038">
            <v>43369</v>
          </cell>
        </row>
        <row r="6039">
          <cell r="A6039">
            <v>43786</v>
          </cell>
        </row>
        <row r="6040">
          <cell r="A6040">
            <v>43546</v>
          </cell>
        </row>
        <row r="6041">
          <cell r="A6041">
            <v>43183</v>
          </cell>
        </row>
        <row r="6042">
          <cell r="A6042">
            <v>43571</v>
          </cell>
        </row>
        <row r="6043">
          <cell r="A6043">
            <v>43413</v>
          </cell>
        </row>
        <row r="6044">
          <cell r="A6044">
            <v>43696</v>
          </cell>
        </row>
        <row r="6045">
          <cell r="A6045">
            <v>43274</v>
          </cell>
        </row>
        <row r="6046">
          <cell r="A6046">
            <v>43896</v>
          </cell>
        </row>
        <row r="6047">
          <cell r="A6047">
            <v>43614</v>
          </cell>
        </row>
        <row r="6048">
          <cell r="A6048">
            <v>43636</v>
          </cell>
        </row>
        <row r="6049">
          <cell r="A6049">
            <v>43816</v>
          </cell>
        </row>
        <row r="6050">
          <cell r="A6050">
            <v>43150</v>
          </cell>
        </row>
        <row r="6051">
          <cell r="A6051">
            <v>43690</v>
          </cell>
        </row>
        <row r="6052">
          <cell r="A6052">
            <v>43176</v>
          </cell>
        </row>
        <row r="6053">
          <cell r="A6053">
            <v>43722</v>
          </cell>
        </row>
        <row r="6054">
          <cell r="A6054">
            <v>43400</v>
          </cell>
        </row>
        <row r="6055">
          <cell r="A6055">
            <v>43872</v>
          </cell>
        </row>
        <row r="6056">
          <cell r="A6056">
            <v>43607</v>
          </cell>
        </row>
        <row r="6057">
          <cell r="A6057">
            <v>43341</v>
          </cell>
        </row>
        <row r="6058">
          <cell r="A6058">
            <v>43651</v>
          </cell>
        </row>
        <row r="6059">
          <cell r="A6059">
            <v>43255</v>
          </cell>
        </row>
        <row r="6060">
          <cell r="A6060">
            <v>43228</v>
          </cell>
        </row>
        <row r="6061">
          <cell r="A6061">
            <v>43662</v>
          </cell>
        </row>
        <row r="6062">
          <cell r="A6062">
            <v>43246</v>
          </cell>
        </row>
        <row r="6063">
          <cell r="A6063">
            <v>43246</v>
          </cell>
        </row>
        <row r="6064">
          <cell r="A6064">
            <v>43547</v>
          </cell>
        </row>
        <row r="6065">
          <cell r="A6065">
            <v>43504</v>
          </cell>
        </row>
        <row r="6066">
          <cell r="A6066">
            <v>43163</v>
          </cell>
        </row>
        <row r="6067">
          <cell r="A6067">
            <v>43827</v>
          </cell>
        </row>
        <row r="6068">
          <cell r="A6068">
            <v>43784</v>
          </cell>
        </row>
        <row r="6069">
          <cell r="A6069">
            <v>43689</v>
          </cell>
        </row>
        <row r="6070">
          <cell r="A6070">
            <v>43428</v>
          </cell>
        </row>
        <row r="6071">
          <cell r="A6071">
            <v>43410</v>
          </cell>
        </row>
        <row r="6072">
          <cell r="A6072">
            <v>43260</v>
          </cell>
        </row>
        <row r="6073">
          <cell r="A6073">
            <v>43884</v>
          </cell>
        </row>
        <row r="6074">
          <cell r="A6074">
            <v>43813</v>
          </cell>
        </row>
        <row r="6075">
          <cell r="A6075">
            <v>43808</v>
          </cell>
        </row>
        <row r="6076">
          <cell r="A6076">
            <v>43453</v>
          </cell>
        </row>
        <row r="6077">
          <cell r="A6077">
            <v>43873</v>
          </cell>
        </row>
        <row r="6078">
          <cell r="A6078">
            <v>43437</v>
          </cell>
        </row>
        <row r="6079">
          <cell r="A6079">
            <v>43613</v>
          </cell>
        </row>
        <row r="6080">
          <cell r="A6080">
            <v>43271</v>
          </cell>
        </row>
        <row r="6081">
          <cell r="A6081">
            <v>43591</v>
          </cell>
        </row>
        <row r="6082">
          <cell r="A6082">
            <v>43617</v>
          </cell>
        </row>
        <row r="6083">
          <cell r="A6083">
            <v>43761</v>
          </cell>
        </row>
        <row r="6084">
          <cell r="A6084">
            <v>43159</v>
          </cell>
        </row>
        <row r="6085">
          <cell r="A6085">
            <v>43876</v>
          </cell>
        </row>
        <row r="6086">
          <cell r="A6086">
            <v>43208</v>
          </cell>
        </row>
        <row r="6087">
          <cell r="A6087">
            <v>43568</v>
          </cell>
        </row>
        <row r="6088">
          <cell r="A6088">
            <v>43374</v>
          </cell>
        </row>
        <row r="6089">
          <cell r="A6089">
            <v>43751</v>
          </cell>
        </row>
        <row r="6090">
          <cell r="A6090">
            <v>43703</v>
          </cell>
        </row>
        <row r="6091">
          <cell r="A6091">
            <v>43543</v>
          </cell>
        </row>
        <row r="6092">
          <cell r="A6092">
            <v>43309</v>
          </cell>
        </row>
        <row r="6093">
          <cell r="A6093">
            <v>43769</v>
          </cell>
        </row>
        <row r="6094">
          <cell r="A6094">
            <v>43252</v>
          </cell>
        </row>
        <row r="6095">
          <cell r="A6095">
            <v>43875</v>
          </cell>
        </row>
        <row r="6096">
          <cell r="A6096">
            <v>43273</v>
          </cell>
        </row>
        <row r="6097">
          <cell r="A6097">
            <v>43438</v>
          </cell>
        </row>
        <row r="6098">
          <cell r="A6098">
            <v>43201</v>
          </cell>
        </row>
        <row r="6099">
          <cell r="A6099">
            <v>43739</v>
          </cell>
        </row>
        <row r="6100">
          <cell r="A6100">
            <v>43893</v>
          </cell>
        </row>
        <row r="6101">
          <cell r="A6101">
            <v>43360</v>
          </cell>
        </row>
        <row r="6102">
          <cell r="A6102">
            <v>43215</v>
          </cell>
        </row>
        <row r="6103">
          <cell r="A6103">
            <v>43141</v>
          </cell>
        </row>
        <row r="6104">
          <cell r="A6104">
            <v>43315</v>
          </cell>
        </row>
        <row r="6105">
          <cell r="A6105">
            <v>43651</v>
          </cell>
        </row>
        <row r="6106">
          <cell r="A6106">
            <v>43146</v>
          </cell>
        </row>
        <row r="6107">
          <cell r="A6107">
            <v>43430</v>
          </cell>
        </row>
        <row r="6108">
          <cell r="A6108">
            <v>43527</v>
          </cell>
        </row>
        <row r="6109">
          <cell r="A6109">
            <v>43170</v>
          </cell>
        </row>
        <row r="6110">
          <cell r="A6110">
            <v>43901</v>
          </cell>
        </row>
        <row r="6111">
          <cell r="A6111">
            <v>43145</v>
          </cell>
        </row>
        <row r="6112">
          <cell r="A6112">
            <v>43147</v>
          </cell>
        </row>
        <row r="6113">
          <cell r="A6113">
            <v>43630</v>
          </cell>
        </row>
        <row r="6114">
          <cell r="A6114">
            <v>43764</v>
          </cell>
        </row>
        <row r="6115">
          <cell r="A6115">
            <v>43302</v>
          </cell>
        </row>
        <row r="6116">
          <cell r="A6116">
            <v>43275</v>
          </cell>
        </row>
        <row r="6117">
          <cell r="A6117">
            <v>43728</v>
          </cell>
        </row>
        <row r="6118">
          <cell r="A6118">
            <v>43638</v>
          </cell>
        </row>
        <row r="6119">
          <cell r="A6119">
            <v>43546</v>
          </cell>
        </row>
        <row r="6120">
          <cell r="A6120">
            <v>43367</v>
          </cell>
        </row>
        <row r="6121">
          <cell r="A6121">
            <v>43283</v>
          </cell>
        </row>
        <row r="6122">
          <cell r="A6122">
            <v>43485</v>
          </cell>
        </row>
        <row r="6123">
          <cell r="A6123">
            <v>43680</v>
          </cell>
        </row>
        <row r="6124">
          <cell r="A6124">
            <v>43267</v>
          </cell>
        </row>
        <row r="6125">
          <cell r="A6125">
            <v>43328</v>
          </cell>
        </row>
        <row r="6126">
          <cell r="A6126">
            <v>43163</v>
          </cell>
        </row>
        <row r="6127">
          <cell r="A6127">
            <v>43913</v>
          </cell>
        </row>
        <row r="6128">
          <cell r="A6128">
            <v>43201</v>
          </cell>
        </row>
        <row r="6129">
          <cell r="A6129">
            <v>43605</v>
          </cell>
        </row>
        <row r="6130">
          <cell r="A6130">
            <v>43584</v>
          </cell>
        </row>
        <row r="6131">
          <cell r="A6131">
            <v>43555</v>
          </cell>
        </row>
        <row r="6132">
          <cell r="A6132">
            <v>43499</v>
          </cell>
        </row>
        <row r="6133">
          <cell r="A6133">
            <v>43608</v>
          </cell>
        </row>
        <row r="6134">
          <cell r="A6134">
            <v>43831</v>
          </cell>
        </row>
        <row r="6135">
          <cell r="A6135">
            <v>43454</v>
          </cell>
        </row>
        <row r="6136">
          <cell r="A6136">
            <v>43506</v>
          </cell>
        </row>
        <row r="6137">
          <cell r="A6137">
            <v>43725</v>
          </cell>
        </row>
        <row r="6138">
          <cell r="A6138">
            <v>43440</v>
          </cell>
        </row>
        <row r="6139">
          <cell r="A6139">
            <v>43797</v>
          </cell>
        </row>
        <row r="6140">
          <cell r="A6140">
            <v>43457</v>
          </cell>
        </row>
        <row r="6141">
          <cell r="A6141">
            <v>43556</v>
          </cell>
        </row>
        <row r="6142">
          <cell r="A6142">
            <v>43562</v>
          </cell>
        </row>
        <row r="6143">
          <cell r="A6143">
            <v>43163</v>
          </cell>
        </row>
        <row r="6144">
          <cell r="A6144">
            <v>43695</v>
          </cell>
        </row>
        <row r="6145">
          <cell r="A6145">
            <v>43379</v>
          </cell>
        </row>
        <row r="6146">
          <cell r="A6146">
            <v>43497</v>
          </cell>
        </row>
        <row r="6147">
          <cell r="A6147">
            <v>43327</v>
          </cell>
        </row>
        <row r="6148">
          <cell r="A6148">
            <v>43457</v>
          </cell>
        </row>
        <row r="6149">
          <cell r="A6149">
            <v>43674</v>
          </cell>
        </row>
        <row r="6150">
          <cell r="A6150">
            <v>43774</v>
          </cell>
        </row>
        <row r="6151">
          <cell r="A6151">
            <v>43688</v>
          </cell>
        </row>
        <row r="6152">
          <cell r="A6152">
            <v>43249</v>
          </cell>
        </row>
        <row r="6153">
          <cell r="A6153">
            <v>43836</v>
          </cell>
        </row>
        <row r="6154">
          <cell r="A6154">
            <v>43815</v>
          </cell>
        </row>
        <row r="6155">
          <cell r="A6155">
            <v>43133</v>
          </cell>
        </row>
        <row r="6156">
          <cell r="A6156">
            <v>43908</v>
          </cell>
        </row>
        <row r="6157">
          <cell r="A6157">
            <v>43760</v>
          </cell>
        </row>
        <row r="6158">
          <cell r="A6158">
            <v>43577</v>
          </cell>
        </row>
        <row r="6159">
          <cell r="A6159">
            <v>43684</v>
          </cell>
        </row>
        <row r="6160">
          <cell r="A6160">
            <v>43858</v>
          </cell>
        </row>
        <row r="6161">
          <cell r="A6161">
            <v>43458</v>
          </cell>
        </row>
        <row r="6162">
          <cell r="A6162">
            <v>43803</v>
          </cell>
        </row>
        <row r="6163">
          <cell r="A6163">
            <v>43773</v>
          </cell>
        </row>
        <row r="6164">
          <cell r="A6164">
            <v>43657</v>
          </cell>
        </row>
        <row r="6165">
          <cell r="A6165">
            <v>43642</v>
          </cell>
        </row>
        <row r="6166">
          <cell r="A6166">
            <v>43721</v>
          </cell>
        </row>
        <row r="6167">
          <cell r="A6167">
            <v>43593</v>
          </cell>
        </row>
        <row r="6168">
          <cell r="A6168">
            <v>43882</v>
          </cell>
        </row>
        <row r="6169">
          <cell r="A6169">
            <v>43514</v>
          </cell>
        </row>
        <row r="6170">
          <cell r="A6170">
            <v>43366</v>
          </cell>
        </row>
        <row r="6171">
          <cell r="A6171">
            <v>43155</v>
          </cell>
        </row>
        <row r="6172">
          <cell r="A6172">
            <v>43341</v>
          </cell>
        </row>
        <row r="6173">
          <cell r="A6173">
            <v>43674</v>
          </cell>
        </row>
        <row r="6174">
          <cell r="A6174">
            <v>43351</v>
          </cell>
        </row>
        <row r="6175">
          <cell r="A6175">
            <v>43562</v>
          </cell>
        </row>
        <row r="6176">
          <cell r="A6176">
            <v>43811</v>
          </cell>
        </row>
        <row r="6177">
          <cell r="A6177">
            <v>43371</v>
          </cell>
        </row>
        <row r="6178">
          <cell r="A6178">
            <v>43599</v>
          </cell>
        </row>
        <row r="6179">
          <cell r="A6179">
            <v>43418</v>
          </cell>
        </row>
        <row r="6180">
          <cell r="A6180">
            <v>43217</v>
          </cell>
        </row>
        <row r="6181">
          <cell r="A6181">
            <v>43677</v>
          </cell>
        </row>
        <row r="6182">
          <cell r="A6182">
            <v>43495</v>
          </cell>
        </row>
        <row r="6183">
          <cell r="A6183">
            <v>43141</v>
          </cell>
        </row>
        <row r="6184">
          <cell r="A6184">
            <v>43522</v>
          </cell>
        </row>
        <row r="6185">
          <cell r="A6185">
            <v>43437</v>
          </cell>
        </row>
        <row r="6186">
          <cell r="A6186">
            <v>43155</v>
          </cell>
        </row>
        <row r="6187">
          <cell r="A6187">
            <v>43318</v>
          </cell>
        </row>
        <row r="6188">
          <cell r="A6188">
            <v>43867</v>
          </cell>
        </row>
        <row r="6189">
          <cell r="A6189">
            <v>43906</v>
          </cell>
        </row>
        <row r="6190">
          <cell r="A6190">
            <v>43540</v>
          </cell>
        </row>
        <row r="6191">
          <cell r="A6191">
            <v>43638</v>
          </cell>
        </row>
        <row r="6192">
          <cell r="A6192">
            <v>43694</v>
          </cell>
        </row>
        <row r="6193">
          <cell r="A6193">
            <v>43498</v>
          </cell>
        </row>
        <row r="6194">
          <cell r="A6194">
            <v>43913</v>
          </cell>
        </row>
        <row r="6195">
          <cell r="A6195">
            <v>43141</v>
          </cell>
        </row>
        <row r="6196">
          <cell r="A6196">
            <v>43318</v>
          </cell>
        </row>
        <row r="6197">
          <cell r="A6197">
            <v>43728</v>
          </cell>
        </row>
        <row r="6198">
          <cell r="A6198">
            <v>43741</v>
          </cell>
        </row>
        <row r="6199">
          <cell r="A6199">
            <v>43443</v>
          </cell>
        </row>
        <row r="6200">
          <cell r="A6200">
            <v>43255</v>
          </cell>
        </row>
        <row r="6201">
          <cell r="A6201">
            <v>43871</v>
          </cell>
        </row>
        <row r="6202">
          <cell r="A6202">
            <v>43261</v>
          </cell>
        </row>
        <row r="6203">
          <cell r="A6203">
            <v>43409</v>
          </cell>
        </row>
        <row r="6204">
          <cell r="A6204">
            <v>43424</v>
          </cell>
        </row>
        <row r="6205">
          <cell r="A6205">
            <v>43239</v>
          </cell>
        </row>
        <row r="6206">
          <cell r="A6206">
            <v>43522</v>
          </cell>
        </row>
        <row r="6207">
          <cell r="A6207">
            <v>43284</v>
          </cell>
        </row>
        <row r="6208">
          <cell r="A6208">
            <v>43170</v>
          </cell>
        </row>
        <row r="6209">
          <cell r="A6209">
            <v>43218</v>
          </cell>
        </row>
        <row r="6210">
          <cell r="A6210">
            <v>43172</v>
          </cell>
        </row>
        <row r="6211">
          <cell r="A6211">
            <v>43199</v>
          </cell>
        </row>
        <row r="6212">
          <cell r="A6212">
            <v>43481</v>
          </cell>
        </row>
        <row r="6213">
          <cell r="A6213">
            <v>43722</v>
          </cell>
        </row>
        <row r="6214">
          <cell r="A6214">
            <v>43710</v>
          </cell>
        </row>
        <row r="6215">
          <cell r="A6215">
            <v>43259</v>
          </cell>
        </row>
        <row r="6216">
          <cell r="A6216">
            <v>43487</v>
          </cell>
        </row>
        <row r="6217">
          <cell r="A6217">
            <v>43182</v>
          </cell>
        </row>
        <row r="6218">
          <cell r="A6218">
            <v>43273</v>
          </cell>
        </row>
        <row r="6219">
          <cell r="A6219">
            <v>43761</v>
          </cell>
        </row>
        <row r="6220">
          <cell r="A6220">
            <v>43183</v>
          </cell>
        </row>
        <row r="6221">
          <cell r="A6221">
            <v>43634</v>
          </cell>
        </row>
        <row r="6222">
          <cell r="A6222">
            <v>43789</v>
          </cell>
        </row>
        <row r="6223">
          <cell r="A6223">
            <v>43495</v>
          </cell>
        </row>
        <row r="6224">
          <cell r="A6224">
            <v>43441</v>
          </cell>
        </row>
        <row r="6225">
          <cell r="A6225">
            <v>43816</v>
          </cell>
        </row>
        <row r="6226">
          <cell r="A6226">
            <v>43274</v>
          </cell>
        </row>
        <row r="6227">
          <cell r="A6227">
            <v>43839</v>
          </cell>
        </row>
        <row r="6228">
          <cell r="A6228">
            <v>43526</v>
          </cell>
        </row>
        <row r="6229">
          <cell r="A6229">
            <v>43918</v>
          </cell>
        </row>
        <row r="6230">
          <cell r="A6230">
            <v>43275</v>
          </cell>
        </row>
        <row r="6231">
          <cell r="A6231">
            <v>43193</v>
          </cell>
        </row>
        <row r="6232">
          <cell r="A6232">
            <v>43775</v>
          </cell>
        </row>
        <row r="6233">
          <cell r="A6233">
            <v>43238</v>
          </cell>
        </row>
        <row r="6234">
          <cell r="A6234">
            <v>43345</v>
          </cell>
        </row>
        <row r="6235">
          <cell r="A6235">
            <v>43450</v>
          </cell>
        </row>
        <row r="6236">
          <cell r="A6236">
            <v>43629</v>
          </cell>
        </row>
        <row r="6237">
          <cell r="A6237">
            <v>43191</v>
          </cell>
        </row>
        <row r="6238">
          <cell r="A6238">
            <v>43517</v>
          </cell>
        </row>
        <row r="6239">
          <cell r="A6239">
            <v>43678</v>
          </cell>
        </row>
        <row r="6240">
          <cell r="A6240">
            <v>43790</v>
          </cell>
        </row>
        <row r="6241">
          <cell r="A6241">
            <v>43727</v>
          </cell>
        </row>
        <row r="6242">
          <cell r="A6242">
            <v>43851</v>
          </cell>
        </row>
        <row r="6243">
          <cell r="A6243">
            <v>43298</v>
          </cell>
        </row>
        <row r="6244">
          <cell r="A6244">
            <v>43186</v>
          </cell>
        </row>
        <row r="6245">
          <cell r="A6245">
            <v>43403</v>
          </cell>
        </row>
        <row r="6246">
          <cell r="A6246">
            <v>43649</v>
          </cell>
        </row>
        <row r="6247">
          <cell r="A6247">
            <v>43478</v>
          </cell>
        </row>
        <row r="6248">
          <cell r="A6248">
            <v>43344</v>
          </cell>
        </row>
        <row r="6249">
          <cell r="A6249">
            <v>43838</v>
          </cell>
        </row>
        <row r="6250">
          <cell r="A6250">
            <v>43869</v>
          </cell>
        </row>
        <row r="6251">
          <cell r="A6251">
            <v>43656</v>
          </cell>
        </row>
        <row r="6252">
          <cell r="A6252">
            <v>43276</v>
          </cell>
        </row>
        <row r="6253">
          <cell r="A6253">
            <v>43549</v>
          </cell>
        </row>
        <row r="6254">
          <cell r="A6254">
            <v>43476</v>
          </cell>
        </row>
        <row r="6255">
          <cell r="A6255">
            <v>43574</v>
          </cell>
        </row>
        <row r="6256">
          <cell r="A6256">
            <v>43873</v>
          </cell>
        </row>
        <row r="6257">
          <cell r="A6257">
            <v>43809</v>
          </cell>
        </row>
        <row r="6258">
          <cell r="A6258">
            <v>43628</v>
          </cell>
        </row>
        <row r="6259">
          <cell r="A6259">
            <v>43831</v>
          </cell>
        </row>
        <row r="6260">
          <cell r="A6260">
            <v>43921</v>
          </cell>
        </row>
        <row r="6261">
          <cell r="A6261">
            <v>43330</v>
          </cell>
        </row>
        <row r="6262">
          <cell r="A6262">
            <v>43450</v>
          </cell>
        </row>
        <row r="6263">
          <cell r="A6263">
            <v>43755</v>
          </cell>
        </row>
        <row r="6264">
          <cell r="A6264">
            <v>43904</v>
          </cell>
        </row>
        <row r="6265">
          <cell r="A6265">
            <v>43341</v>
          </cell>
        </row>
        <row r="6266">
          <cell r="A6266">
            <v>43660</v>
          </cell>
        </row>
        <row r="6267">
          <cell r="A6267">
            <v>43327</v>
          </cell>
        </row>
        <row r="6268">
          <cell r="A6268">
            <v>43616</v>
          </cell>
        </row>
        <row r="6269">
          <cell r="A6269">
            <v>43388</v>
          </cell>
        </row>
        <row r="6270">
          <cell r="A6270">
            <v>43368</v>
          </cell>
        </row>
        <row r="6271">
          <cell r="A6271">
            <v>43144</v>
          </cell>
        </row>
        <row r="6272">
          <cell r="A6272">
            <v>43121</v>
          </cell>
        </row>
        <row r="6273">
          <cell r="A6273">
            <v>43888</v>
          </cell>
        </row>
        <row r="6274">
          <cell r="A6274">
            <v>43904</v>
          </cell>
        </row>
        <row r="6275">
          <cell r="A6275">
            <v>43550</v>
          </cell>
        </row>
        <row r="6276">
          <cell r="A6276">
            <v>43221</v>
          </cell>
        </row>
        <row r="6277">
          <cell r="A6277">
            <v>43921</v>
          </cell>
        </row>
        <row r="6278">
          <cell r="A6278">
            <v>43833</v>
          </cell>
        </row>
        <row r="6279">
          <cell r="A6279">
            <v>43634</v>
          </cell>
        </row>
        <row r="6280">
          <cell r="A6280">
            <v>43349</v>
          </cell>
        </row>
        <row r="6281">
          <cell r="A6281">
            <v>43575</v>
          </cell>
        </row>
        <row r="6282">
          <cell r="A6282">
            <v>43108</v>
          </cell>
        </row>
        <row r="6283">
          <cell r="A6283">
            <v>43880</v>
          </cell>
        </row>
        <row r="6284">
          <cell r="A6284">
            <v>43129</v>
          </cell>
        </row>
        <row r="6285">
          <cell r="A6285">
            <v>43303</v>
          </cell>
        </row>
        <row r="6286">
          <cell r="A6286">
            <v>43647</v>
          </cell>
        </row>
        <row r="6287">
          <cell r="A6287">
            <v>43252</v>
          </cell>
        </row>
        <row r="6288">
          <cell r="A6288">
            <v>43803</v>
          </cell>
        </row>
        <row r="6289">
          <cell r="A6289">
            <v>43359</v>
          </cell>
        </row>
        <row r="6290">
          <cell r="A6290">
            <v>43689</v>
          </cell>
        </row>
        <row r="6291">
          <cell r="A6291">
            <v>43522</v>
          </cell>
        </row>
        <row r="6292">
          <cell r="A6292">
            <v>43713</v>
          </cell>
        </row>
        <row r="6293">
          <cell r="A6293">
            <v>43812</v>
          </cell>
        </row>
        <row r="6294">
          <cell r="A6294">
            <v>43355</v>
          </cell>
        </row>
        <row r="6295">
          <cell r="A6295">
            <v>43808</v>
          </cell>
        </row>
        <row r="6296">
          <cell r="A6296">
            <v>43717</v>
          </cell>
        </row>
        <row r="6297">
          <cell r="A6297">
            <v>43509</v>
          </cell>
        </row>
        <row r="6298">
          <cell r="A6298">
            <v>43514</v>
          </cell>
        </row>
        <row r="6299">
          <cell r="A6299">
            <v>43347</v>
          </cell>
        </row>
        <row r="6300">
          <cell r="A6300">
            <v>43812</v>
          </cell>
        </row>
        <row r="6301">
          <cell r="A6301">
            <v>43763</v>
          </cell>
        </row>
        <row r="6302">
          <cell r="A6302">
            <v>43292</v>
          </cell>
        </row>
        <row r="6303">
          <cell r="A6303">
            <v>43499</v>
          </cell>
        </row>
        <row r="6304">
          <cell r="A6304">
            <v>43788</v>
          </cell>
        </row>
        <row r="6305">
          <cell r="A6305">
            <v>43877</v>
          </cell>
        </row>
        <row r="6306">
          <cell r="A6306">
            <v>43501</v>
          </cell>
        </row>
        <row r="6307">
          <cell r="A6307">
            <v>43585</v>
          </cell>
        </row>
        <row r="6308">
          <cell r="A6308">
            <v>43437</v>
          </cell>
        </row>
        <row r="6309">
          <cell r="A6309">
            <v>43823</v>
          </cell>
        </row>
        <row r="6310">
          <cell r="A6310">
            <v>43616</v>
          </cell>
        </row>
        <row r="6311">
          <cell r="A6311">
            <v>43147</v>
          </cell>
        </row>
        <row r="6312">
          <cell r="A6312">
            <v>43430</v>
          </cell>
        </row>
        <row r="6313">
          <cell r="A6313">
            <v>43780</v>
          </cell>
        </row>
        <row r="6314">
          <cell r="A6314">
            <v>43777</v>
          </cell>
        </row>
        <row r="6315">
          <cell r="A6315">
            <v>43921</v>
          </cell>
        </row>
        <row r="6316">
          <cell r="A6316">
            <v>43838</v>
          </cell>
        </row>
        <row r="6317">
          <cell r="A6317">
            <v>43490</v>
          </cell>
        </row>
        <row r="6318">
          <cell r="A6318">
            <v>43167</v>
          </cell>
        </row>
        <row r="6319">
          <cell r="A6319">
            <v>43578</v>
          </cell>
        </row>
        <row r="6320">
          <cell r="A6320">
            <v>43272</v>
          </cell>
        </row>
        <row r="6321">
          <cell r="A6321">
            <v>43468</v>
          </cell>
        </row>
        <row r="6322">
          <cell r="A6322">
            <v>43201</v>
          </cell>
        </row>
        <row r="6323">
          <cell r="A6323">
            <v>43345</v>
          </cell>
        </row>
        <row r="6324">
          <cell r="A6324">
            <v>43152</v>
          </cell>
        </row>
        <row r="6325">
          <cell r="A6325">
            <v>43206</v>
          </cell>
        </row>
        <row r="6326">
          <cell r="A6326">
            <v>43880</v>
          </cell>
        </row>
        <row r="6327">
          <cell r="A6327">
            <v>43507</v>
          </cell>
        </row>
        <row r="6328">
          <cell r="A6328">
            <v>43140</v>
          </cell>
        </row>
        <row r="6329">
          <cell r="A6329">
            <v>43903</v>
          </cell>
        </row>
        <row r="6330">
          <cell r="A6330">
            <v>43625</v>
          </cell>
        </row>
        <row r="6331">
          <cell r="A6331">
            <v>43110</v>
          </cell>
        </row>
        <row r="6332">
          <cell r="A6332">
            <v>43238</v>
          </cell>
        </row>
        <row r="6333">
          <cell r="A6333">
            <v>43546</v>
          </cell>
        </row>
        <row r="6334">
          <cell r="A6334">
            <v>43321</v>
          </cell>
        </row>
        <row r="6335">
          <cell r="A6335">
            <v>43690</v>
          </cell>
        </row>
        <row r="6336">
          <cell r="A6336">
            <v>43599</v>
          </cell>
        </row>
        <row r="6337">
          <cell r="A6337">
            <v>43223</v>
          </cell>
        </row>
        <row r="6338">
          <cell r="A6338">
            <v>43840</v>
          </cell>
        </row>
        <row r="6339">
          <cell r="A6339">
            <v>43683</v>
          </cell>
        </row>
        <row r="6340">
          <cell r="A6340">
            <v>43218</v>
          </cell>
        </row>
        <row r="6341">
          <cell r="A6341">
            <v>43458</v>
          </cell>
        </row>
        <row r="6342">
          <cell r="A6342">
            <v>43400</v>
          </cell>
        </row>
        <row r="6343">
          <cell r="A6343">
            <v>43496</v>
          </cell>
        </row>
        <row r="6344">
          <cell r="A6344">
            <v>43570</v>
          </cell>
        </row>
        <row r="6345">
          <cell r="A6345">
            <v>43390</v>
          </cell>
        </row>
        <row r="6346">
          <cell r="A6346">
            <v>43251</v>
          </cell>
        </row>
        <row r="6347">
          <cell r="A6347">
            <v>43879</v>
          </cell>
        </row>
        <row r="6348">
          <cell r="A6348">
            <v>43254</v>
          </cell>
        </row>
        <row r="6349">
          <cell r="A6349">
            <v>43272</v>
          </cell>
        </row>
        <row r="6350">
          <cell r="A6350">
            <v>43247</v>
          </cell>
        </row>
        <row r="6351">
          <cell r="A6351">
            <v>43264</v>
          </cell>
        </row>
        <row r="6352">
          <cell r="A6352">
            <v>43826</v>
          </cell>
        </row>
        <row r="6353">
          <cell r="A6353">
            <v>43103</v>
          </cell>
        </row>
        <row r="6354">
          <cell r="A6354">
            <v>43584</v>
          </cell>
        </row>
        <row r="6355">
          <cell r="A6355">
            <v>43595</v>
          </cell>
        </row>
        <row r="6356">
          <cell r="A6356">
            <v>43733</v>
          </cell>
        </row>
        <row r="6357">
          <cell r="A6357">
            <v>43475</v>
          </cell>
        </row>
        <row r="6358">
          <cell r="A6358">
            <v>43488</v>
          </cell>
        </row>
        <row r="6359">
          <cell r="A6359">
            <v>43118</v>
          </cell>
        </row>
        <row r="6360">
          <cell r="A6360">
            <v>43647</v>
          </cell>
        </row>
        <row r="6361">
          <cell r="A6361">
            <v>43132</v>
          </cell>
        </row>
        <row r="6362">
          <cell r="A6362">
            <v>43334</v>
          </cell>
        </row>
        <row r="6363">
          <cell r="A6363">
            <v>43155</v>
          </cell>
        </row>
        <row r="6364">
          <cell r="A6364">
            <v>43294</v>
          </cell>
        </row>
        <row r="6365">
          <cell r="A6365">
            <v>43900</v>
          </cell>
        </row>
        <row r="6366">
          <cell r="A6366">
            <v>43876</v>
          </cell>
        </row>
        <row r="6367">
          <cell r="A6367">
            <v>43412</v>
          </cell>
        </row>
        <row r="6368">
          <cell r="A6368">
            <v>43207</v>
          </cell>
        </row>
        <row r="6369">
          <cell r="A6369">
            <v>43901</v>
          </cell>
        </row>
        <row r="6370">
          <cell r="A6370">
            <v>43258</v>
          </cell>
        </row>
        <row r="6371">
          <cell r="A6371">
            <v>43509</v>
          </cell>
        </row>
        <row r="6372">
          <cell r="A6372">
            <v>43205</v>
          </cell>
        </row>
        <row r="6373">
          <cell r="A6373">
            <v>43657</v>
          </cell>
        </row>
        <row r="6374">
          <cell r="A6374">
            <v>43684</v>
          </cell>
        </row>
        <row r="6375">
          <cell r="A6375">
            <v>43175</v>
          </cell>
        </row>
        <row r="6376">
          <cell r="A6376">
            <v>43713</v>
          </cell>
        </row>
        <row r="6377">
          <cell r="A6377">
            <v>43458</v>
          </cell>
        </row>
        <row r="6378">
          <cell r="A6378">
            <v>43443</v>
          </cell>
        </row>
        <row r="6379">
          <cell r="A6379">
            <v>43826</v>
          </cell>
        </row>
        <row r="6380">
          <cell r="A6380">
            <v>43393</v>
          </cell>
        </row>
        <row r="6381">
          <cell r="A6381">
            <v>43340</v>
          </cell>
        </row>
        <row r="6382">
          <cell r="A6382">
            <v>43411</v>
          </cell>
        </row>
        <row r="6383">
          <cell r="A6383">
            <v>43723</v>
          </cell>
        </row>
        <row r="6384">
          <cell r="A6384">
            <v>43731</v>
          </cell>
        </row>
        <row r="6385">
          <cell r="A6385">
            <v>43334</v>
          </cell>
        </row>
        <row r="6386">
          <cell r="A6386">
            <v>43717</v>
          </cell>
        </row>
        <row r="6387">
          <cell r="A6387">
            <v>43488</v>
          </cell>
        </row>
        <row r="6388">
          <cell r="A6388">
            <v>43110</v>
          </cell>
        </row>
        <row r="6389">
          <cell r="A6389">
            <v>43352</v>
          </cell>
        </row>
        <row r="6390">
          <cell r="A6390">
            <v>43511</v>
          </cell>
        </row>
        <row r="6391">
          <cell r="A6391">
            <v>43568</v>
          </cell>
        </row>
        <row r="6392">
          <cell r="A6392">
            <v>43851</v>
          </cell>
        </row>
        <row r="6393">
          <cell r="A6393">
            <v>43115</v>
          </cell>
        </row>
        <row r="6394">
          <cell r="A6394">
            <v>43832</v>
          </cell>
        </row>
        <row r="6395">
          <cell r="A6395">
            <v>43466</v>
          </cell>
        </row>
        <row r="6396">
          <cell r="A6396">
            <v>43198</v>
          </cell>
        </row>
        <row r="6397">
          <cell r="A6397">
            <v>43367</v>
          </cell>
        </row>
        <row r="6398">
          <cell r="A6398">
            <v>43440</v>
          </cell>
        </row>
        <row r="6399">
          <cell r="A6399">
            <v>43278</v>
          </cell>
        </row>
        <row r="6400">
          <cell r="A6400">
            <v>43741</v>
          </cell>
        </row>
        <row r="6401">
          <cell r="A6401">
            <v>43468</v>
          </cell>
        </row>
        <row r="6402">
          <cell r="A6402">
            <v>43271</v>
          </cell>
        </row>
        <row r="6403">
          <cell r="A6403">
            <v>43682</v>
          </cell>
        </row>
        <row r="6404">
          <cell r="A6404">
            <v>43217</v>
          </cell>
        </row>
        <row r="6405">
          <cell r="A6405">
            <v>43871</v>
          </cell>
        </row>
        <row r="6406">
          <cell r="A6406">
            <v>43459</v>
          </cell>
        </row>
        <row r="6407">
          <cell r="A6407">
            <v>43493</v>
          </cell>
        </row>
        <row r="6408">
          <cell r="A6408">
            <v>43619</v>
          </cell>
        </row>
        <row r="6409">
          <cell r="A6409">
            <v>43436</v>
          </cell>
        </row>
        <row r="6410">
          <cell r="A6410">
            <v>43185</v>
          </cell>
        </row>
        <row r="6411">
          <cell r="A6411">
            <v>43104</v>
          </cell>
        </row>
        <row r="6412">
          <cell r="A6412">
            <v>43648</v>
          </cell>
        </row>
        <row r="6413">
          <cell r="A6413">
            <v>43704</v>
          </cell>
        </row>
        <row r="6414">
          <cell r="A6414">
            <v>43147</v>
          </cell>
        </row>
        <row r="6415">
          <cell r="A6415">
            <v>43874</v>
          </cell>
        </row>
        <row r="6416">
          <cell r="A6416">
            <v>43463</v>
          </cell>
        </row>
        <row r="6417">
          <cell r="A6417">
            <v>43712</v>
          </cell>
        </row>
        <row r="6418">
          <cell r="A6418">
            <v>43681</v>
          </cell>
        </row>
        <row r="6419">
          <cell r="A6419">
            <v>43330</v>
          </cell>
        </row>
        <row r="6420">
          <cell r="A6420">
            <v>43105</v>
          </cell>
        </row>
        <row r="6421">
          <cell r="A6421">
            <v>43393</v>
          </cell>
        </row>
        <row r="6422">
          <cell r="A6422">
            <v>43682</v>
          </cell>
        </row>
        <row r="6423">
          <cell r="A6423">
            <v>43903</v>
          </cell>
        </row>
        <row r="6424">
          <cell r="A6424">
            <v>43316</v>
          </cell>
        </row>
        <row r="6425">
          <cell r="A6425">
            <v>43325</v>
          </cell>
        </row>
        <row r="6426">
          <cell r="A6426">
            <v>43632</v>
          </cell>
        </row>
        <row r="6427">
          <cell r="A6427">
            <v>43376</v>
          </cell>
        </row>
        <row r="6428">
          <cell r="A6428">
            <v>43245</v>
          </cell>
        </row>
        <row r="6429">
          <cell r="A6429">
            <v>43667</v>
          </cell>
        </row>
        <row r="6430">
          <cell r="A6430">
            <v>43213</v>
          </cell>
        </row>
        <row r="6431">
          <cell r="A6431">
            <v>43122</v>
          </cell>
        </row>
        <row r="6432">
          <cell r="A6432">
            <v>43860</v>
          </cell>
        </row>
        <row r="6433">
          <cell r="A6433">
            <v>43452</v>
          </cell>
        </row>
        <row r="6434">
          <cell r="A6434">
            <v>43613</v>
          </cell>
        </row>
        <row r="6435">
          <cell r="A6435">
            <v>43315</v>
          </cell>
        </row>
        <row r="6436">
          <cell r="A6436">
            <v>43657</v>
          </cell>
        </row>
        <row r="6437">
          <cell r="A6437">
            <v>43358</v>
          </cell>
        </row>
        <row r="6438">
          <cell r="A6438">
            <v>43531</v>
          </cell>
        </row>
        <row r="6439">
          <cell r="A6439">
            <v>43901</v>
          </cell>
        </row>
        <row r="6440">
          <cell r="A6440">
            <v>43768</v>
          </cell>
        </row>
        <row r="6441">
          <cell r="A6441">
            <v>43106</v>
          </cell>
        </row>
        <row r="6442">
          <cell r="A6442">
            <v>43172</v>
          </cell>
        </row>
        <row r="6443">
          <cell r="A6443">
            <v>43285</v>
          </cell>
        </row>
        <row r="6444">
          <cell r="A6444">
            <v>43531</v>
          </cell>
        </row>
        <row r="6445">
          <cell r="A6445">
            <v>43686</v>
          </cell>
        </row>
        <row r="6446">
          <cell r="A6446">
            <v>43730</v>
          </cell>
        </row>
        <row r="6447">
          <cell r="A6447">
            <v>43701</v>
          </cell>
        </row>
        <row r="6448">
          <cell r="A6448">
            <v>43186</v>
          </cell>
        </row>
        <row r="6449">
          <cell r="A6449">
            <v>43837</v>
          </cell>
        </row>
        <row r="6450">
          <cell r="A6450">
            <v>43421</v>
          </cell>
        </row>
        <row r="6451">
          <cell r="A6451">
            <v>43508</v>
          </cell>
        </row>
        <row r="6452">
          <cell r="A6452">
            <v>43211</v>
          </cell>
        </row>
        <row r="6453">
          <cell r="A6453">
            <v>43183</v>
          </cell>
        </row>
        <row r="6454">
          <cell r="A6454">
            <v>43809</v>
          </cell>
        </row>
        <row r="6455">
          <cell r="A6455">
            <v>43386</v>
          </cell>
        </row>
        <row r="6456">
          <cell r="A6456">
            <v>43487</v>
          </cell>
        </row>
        <row r="6457">
          <cell r="A6457">
            <v>43673</v>
          </cell>
        </row>
        <row r="6458">
          <cell r="A6458">
            <v>43264</v>
          </cell>
        </row>
        <row r="6459">
          <cell r="A6459">
            <v>43110</v>
          </cell>
        </row>
        <row r="6460">
          <cell r="A6460">
            <v>43492</v>
          </cell>
        </row>
        <row r="6461">
          <cell r="A6461">
            <v>43118</v>
          </cell>
        </row>
        <row r="6462">
          <cell r="A6462">
            <v>43542</v>
          </cell>
        </row>
        <row r="6463">
          <cell r="A6463">
            <v>43573</v>
          </cell>
        </row>
        <row r="6464">
          <cell r="A6464">
            <v>43482</v>
          </cell>
        </row>
        <row r="6465">
          <cell r="A6465">
            <v>43558</v>
          </cell>
        </row>
        <row r="6466">
          <cell r="A6466">
            <v>43121</v>
          </cell>
        </row>
        <row r="6467">
          <cell r="A6467">
            <v>43661</v>
          </cell>
        </row>
        <row r="6468">
          <cell r="A6468">
            <v>43220</v>
          </cell>
        </row>
        <row r="6469">
          <cell r="A6469">
            <v>43229</v>
          </cell>
        </row>
        <row r="6470">
          <cell r="A6470">
            <v>43861</v>
          </cell>
        </row>
        <row r="6471">
          <cell r="A6471">
            <v>43534</v>
          </cell>
        </row>
        <row r="6472">
          <cell r="A6472">
            <v>43812</v>
          </cell>
        </row>
        <row r="6473">
          <cell r="A6473">
            <v>43206</v>
          </cell>
        </row>
        <row r="6474">
          <cell r="A6474">
            <v>43756</v>
          </cell>
        </row>
        <row r="6475">
          <cell r="A6475">
            <v>43181</v>
          </cell>
        </row>
        <row r="6476">
          <cell r="A6476">
            <v>43171</v>
          </cell>
        </row>
        <row r="6477">
          <cell r="A6477">
            <v>43410</v>
          </cell>
        </row>
        <row r="6478">
          <cell r="A6478">
            <v>43876</v>
          </cell>
        </row>
        <row r="6479">
          <cell r="A6479">
            <v>43155</v>
          </cell>
        </row>
        <row r="6480">
          <cell r="A6480">
            <v>43109</v>
          </cell>
        </row>
        <row r="6481">
          <cell r="A6481">
            <v>43270</v>
          </cell>
        </row>
        <row r="6482">
          <cell r="A6482">
            <v>43294</v>
          </cell>
        </row>
        <row r="6483">
          <cell r="A6483">
            <v>43297</v>
          </cell>
        </row>
        <row r="6484">
          <cell r="A6484">
            <v>43673</v>
          </cell>
        </row>
        <row r="6485">
          <cell r="A6485">
            <v>43666</v>
          </cell>
        </row>
        <row r="6486">
          <cell r="A6486">
            <v>43717</v>
          </cell>
        </row>
        <row r="6487">
          <cell r="A6487">
            <v>43823</v>
          </cell>
        </row>
        <row r="6488">
          <cell r="A6488">
            <v>43129</v>
          </cell>
        </row>
        <row r="6489">
          <cell r="A6489">
            <v>43592</v>
          </cell>
        </row>
        <row r="6490">
          <cell r="A6490">
            <v>43472</v>
          </cell>
        </row>
        <row r="6491">
          <cell r="A6491">
            <v>43414</v>
          </cell>
        </row>
        <row r="6492">
          <cell r="A6492">
            <v>43452</v>
          </cell>
        </row>
        <row r="6493">
          <cell r="A6493">
            <v>43594</v>
          </cell>
        </row>
        <row r="6494">
          <cell r="A6494">
            <v>43692</v>
          </cell>
        </row>
        <row r="6495">
          <cell r="A6495">
            <v>43562</v>
          </cell>
        </row>
        <row r="6496">
          <cell r="A6496">
            <v>43686</v>
          </cell>
        </row>
        <row r="6497">
          <cell r="A6497">
            <v>43899</v>
          </cell>
        </row>
        <row r="6498">
          <cell r="A6498">
            <v>43119</v>
          </cell>
        </row>
        <row r="6499">
          <cell r="A6499">
            <v>43527</v>
          </cell>
        </row>
        <row r="6500">
          <cell r="A6500">
            <v>43215</v>
          </cell>
        </row>
        <row r="6501">
          <cell r="A6501">
            <v>43342</v>
          </cell>
        </row>
        <row r="6502">
          <cell r="A6502">
            <v>43129</v>
          </cell>
        </row>
        <row r="6503">
          <cell r="A6503">
            <v>43511</v>
          </cell>
        </row>
        <row r="6504">
          <cell r="A6504">
            <v>43535</v>
          </cell>
        </row>
        <row r="6505">
          <cell r="A6505">
            <v>43892</v>
          </cell>
        </row>
        <row r="6506">
          <cell r="A6506">
            <v>43557</v>
          </cell>
        </row>
        <row r="6507">
          <cell r="A6507">
            <v>43289</v>
          </cell>
        </row>
        <row r="6508">
          <cell r="A6508">
            <v>43214</v>
          </cell>
        </row>
        <row r="6509">
          <cell r="A6509">
            <v>43605</v>
          </cell>
        </row>
        <row r="6510">
          <cell r="A6510">
            <v>43838</v>
          </cell>
        </row>
        <row r="6511">
          <cell r="A6511">
            <v>43309</v>
          </cell>
        </row>
        <row r="6512">
          <cell r="A6512">
            <v>43428</v>
          </cell>
        </row>
        <row r="6513">
          <cell r="A6513">
            <v>43346</v>
          </cell>
        </row>
        <row r="6514">
          <cell r="A6514">
            <v>43579</v>
          </cell>
        </row>
        <row r="6515">
          <cell r="A6515">
            <v>43322</v>
          </cell>
        </row>
        <row r="6516">
          <cell r="A6516">
            <v>43176</v>
          </cell>
        </row>
        <row r="6517">
          <cell r="A6517">
            <v>43595</v>
          </cell>
        </row>
        <row r="6518">
          <cell r="A6518">
            <v>43111</v>
          </cell>
        </row>
        <row r="6519">
          <cell r="A6519">
            <v>43910</v>
          </cell>
        </row>
        <row r="6520">
          <cell r="A6520">
            <v>43663</v>
          </cell>
        </row>
        <row r="6521">
          <cell r="A6521">
            <v>43780</v>
          </cell>
        </row>
        <row r="6522">
          <cell r="A6522">
            <v>43696</v>
          </cell>
        </row>
        <row r="6523">
          <cell r="A6523">
            <v>43730</v>
          </cell>
        </row>
        <row r="6524">
          <cell r="A6524">
            <v>43849</v>
          </cell>
        </row>
        <row r="6525">
          <cell r="A6525">
            <v>43685</v>
          </cell>
        </row>
        <row r="6526">
          <cell r="A6526">
            <v>43399</v>
          </cell>
        </row>
        <row r="6527">
          <cell r="A6527">
            <v>43717</v>
          </cell>
        </row>
        <row r="6528">
          <cell r="A6528">
            <v>43644</v>
          </cell>
        </row>
        <row r="6529">
          <cell r="A6529">
            <v>43808</v>
          </cell>
        </row>
        <row r="6530">
          <cell r="A6530">
            <v>43703</v>
          </cell>
        </row>
        <row r="6531">
          <cell r="A6531">
            <v>43614</v>
          </cell>
        </row>
        <row r="6532">
          <cell r="A6532">
            <v>43328</v>
          </cell>
        </row>
        <row r="6533">
          <cell r="A6533">
            <v>43703</v>
          </cell>
        </row>
        <row r="6534">
          <cell r="A6534">
            <v>43586</v>
          </cell>
        </row>
        <row r="6535">
          <cell r="A6535">
            <v>43757</v>
          </cell>
        </row>
        <row r="6536">
          <cell r="A6536">
            <v>43525</v>
          </cell>
        </row>
        <row r="6537">
          <cell r="A6537">
            <v>43528</v>
          </cell>
        </row>
        <row r="6538">
          <cell r="A6538">
            <v>43919</v>
          </cell>
        </row>
        <row r="6539">
          <cell r="A6539">
            <v>43129</v>
          </cell>
        </row>
        <row r="6540">
          <cell r="A6540">
            <v>43864</v>
          </cell>
        </row>
        <row r="6541">
          <cell r="A6541">
            <v>43539</v>
          </cell>
        </row>
        <row r="6542">
          <cell r="A6542">
            <v>43864</v>
          </cell>
        </row>
        <row r="6543">
          <cell r="A6543">
            <v>43268</v>
          </cell>
        </row>
        <row r="6544">
          <cell r="A6544">
            <v>43260</v>
          </cell>
        </row>
        <row r="6545">
          <cell r="A6545">
            <v>43604</v>
          </cell>
        </row>
        <row r="6546">
          <cell r="A6546">
            <v>43159</v>
          </cell>
        </row>
        <row r="6547">
          <cell r="A6547">
            <v>43575</v>
          </cell>
        </row>
        <row r="6548">
          <cell r="A6548">
            <v>43272</v>
          </cell>
        </row>
        <row r="6549">
          <cell r="A6549">
            <v>43901</v>
          </cell>
        </row>
        <row r="6550">
          <cell r="A6550">
            <v>43811</v>
          </cell>
        </row>
        <row r="6551">
          <cell r="A6551">
            <v>43234</v>
          </cell>
        </row>
        <row r="6552">
          <cell r="A6552">
            <v>43234</v>
          </cell>
        </row>
        <row r="6553">
          <cell r="A6553">
            <v>43815</v>
          </cell>
        </row>
        <row r="6554">
          <cell r="A6554">
            <v>43199</v>
          </cell>
        </row>
        <row r="6555">
          <cell r="A6555">
            <v>43564</v>
          </cell>
        </row>
        <row r="6556">
          <cell r="A6556">
            <v>43117</v>
          </cell>
        </row>
        <row r="6557">
          <cell r="A6557">
            <v>43226</v>
          </cell>
        </row>
        <row r="6558">
          <cell r="A6558">
            <v>43598</v>
          </cell>
        </row>
        <row r="6559">
          <cell r="A6559">
            <v>43895</v>
          </cell>
        </row>
        <row r="6560">
          <cell r="A6560">
            <v>43174</v>
          </cell>
        </row>
        <row r="6561">
          <cell r="A6561">
            <v>43572</v>
          </cell>
        </row>
        <row r="6562">
          <cell r="A6562">
            <v>43784</v>
          </cell>
        </row>
        <row r="6563">
          <cell r="A6563">
            <v>43870</v>
          </cell>
        </row>
        <row r="6564">
          <cell r="A6564">
            <v>43796</v>
          </cell>
        </row>
        <row r="6565">
          <cell r="A6565">
            <v>43455</v>
          </cell>
        </row>
        <row r="6566">
          <cell r="A6566">
            <v>43556</v>
          </cell>
        </row>
        <row r="6567">
          <cell r="A6567">
            <v>43215</v>
          </cell>
        </row>
        <row r="6568">
          <cell r="A6568">
            <v>43372</v>
          </cell>
        </row>
        <row r="6569">
          <cell r="A6569">
            <v>43265</v>
          </cell>
        </row>
        <row r="6570">
          <cell r="A6570">
            <v>43739</v>
          </cell>
        </row>
        <row r="6571">
          <cell r="A6571">
            <v>43777</v>
          </cell>
        </row>
        <row r="6572">
          <cell r="A6572">
            <v>43506</v>
          </cell>
        </row>
        <row r="6573">
          <cell r="A6573">
            <v>43904</v>
          </cell>
        </row>
        <row r="6574">
          <cell r="A6574">
            <v>43192</v>
          </cell>
        </row>
        <row r="6575">
          <cell r="A6575">
            <v>43120</v>
          </cell>
        </row>
        <row r="6576">
          <cell r="A6576">
            <v>43681</v>
          </cell>
        </row>
        <row r="6577">
          <cell r="A6577">
            <v>43903</v>
          </cell>
        </row>
        <row r="6578">
          <cell r="A6578">
            <v>43300</v>
          </cell>
        </row>
        <row r="6579">
          <cell r="A6579">
            <v>43808</v>
          </cell>
        </row>
        <row r="6580">
          <cell r="A6580">
            <v>43259</v>
          </cell>
        </row>
        <row r="6581">
          <cell r="A6581">
            <v>43890</v>
          </cell>
        </row>
        <row r="6582">
          <cell r="A6582">
            <v>43742</v>
          </cell>
        </row>
        <row r="6583">
          <cell r="A6583">
            <v>43604</v>
          </cell>
        </row>
        <row r="6584">
          <cell r="A6584">
            <v>43609</v>
          </cell>
        </row>
        <row r="6585">
          <cell r="A6585">
            <v>43620</v>
          </cell>
        </row>
        <row r="6586">
          <cell r="A6586">
            <v>43206</v>
          </cell>
        </row>
        <row r="6587">
          <cell r="A6587">
            <v>43665</v>
          </cell>
        </row>
        <row r="6588">
          <cell r="A6588">
            <v>43477</v>
          </cell>
        </row>
        <row r="6589">
          <cell r="A6589">
            <v>43226</v>
          </cell>
        </row>
        <row r="6590">
          <cell r="A6590">
            <v>43876</v>
          </cell>
        </row>
        <row r="6591">
          <cell r="A6591">
            <v>43280</v>
          </cell>
        </row>
        <row r="6592">
          <cell r="A6592">
            <v>43243</v>
          </cell>
        </row>
        <row r="6593">
          <cell r="A6593">
            <v>43559</v>
          </cell>
        </row>
        <row r="6594">
          <cell r="A6594">
            <v>43778</v>
          </cell>
        </row>
        <row r="6595">
          <cell r="A6595">
            <v>43608</v>
          </cell>
        </row>
        <row r="6596">
          <cell r="A6596">
            <v>43152</v>
          </cell>
        </row>
        <row r="6597">
          <cell r="A6597">
            <v>43885</v>
          </cell>
        </row>
        <row r="6598">
          <cell r="A6598">
            <v>43341</v>
          </cell>
        </row>
        <row r="6599">
          <cell r="A6599">
            <v>43254</v>
          </cell>
        </row>
        <row r="6600">
          <cell r="A6600">
            <v>43654</v>
          </cell>
        </row>
        <row r="6601">
          <cell r="A6601">
            <v>43493</v>
          </cell>
        </row>
        <row r="6602">
          <cell r="A6602">
            <v>43129</v>
          </cell>
        </row>
        <row r="6603">
          <cell r="A6603">
            <v>43128</v>
          </cell>
        </row>
        <row r="6604">
          <cell r="A6604">
            <v>43862</v>
          </cell>
        </row>
        <row r="6605">
          <cell r="A6605">
            <v>43813</v>
          </cell>
        </row>
        <row r="6606">
          <cell r="A6606">
            <v>43433</v>
          </cell>
        </row>
        <row r="6607">
          <cell r="A6607">
            <v>43887</v>
          </cell>
        </row>
        <row r="6608">
          <cell r="A6608">
            <v>43500</v>
          </cell>
        </row>
        <row r="6609">
          <cell r="A6609">
            <v>43758</v>
          </cell>
        </row>
        <row r="6610">
          <cell r="A6610">
            <v>43762</v>
          </cell>
        </row>
        <row r="6611">
          <cell r="A6611">
            <v>43628</v>
          </cell>
        </row>
        <row r="6612">
          <cell r="A6612">
            <v>43836</v>
          </cell>
        </row>
        <row r="6613">
          <cell r="A6613">
            <v>43473</v>
          </cell>
        </row>
        <row r="6614">
          <cell r="A6614">
            <v>43699</v>
          </cell>
        </row>
        <row r="6615">
          <cell r="A6615">
            <v>43576</v>
          </cell>
        </row>
        <row r="6616">
          <cell r="A6616">
            <v>43263</v>
          </cell>
        </row>
        <row r="6617">
          <cell r="A6617">
            <v>43319</v>
          </cell>
        </row>
        <row r="6618">
          <cell r="A6618">
            <v>43589</v>
          </cell>
        </row>
        <row r="6619">
          <cell r="A6619">
            <v>43477</v>
          </cell>
        </row>
        <row r="6620">
          <cell r="A6620">
            <v>43710</v>
          </cell>
        </row>
        <row r="6621">
          <cell r="A6621">
            <v>43835</v>
          </cell>
        </row>
        <row r="6622">
          <cell r="A6622">
            <v>43125</v>
          </cell>
        </row>
        <row r="6623">
          <cell r="A6623">
            <v>43135</v>
          </cell>
        </row>
        <row r="6624">
          <cell r="A6624">
            <v>43722</v>
          </cell>
        </row>
        <row r="6625">
          <cell r="A6625">
            <v>43452</v>
          </cell>
        </row>
        <row r="6626">
          <cell r="A6626">
            <v>43783</v>
          </cell>
        </row>
        <row r="6627">
          <cell r="A6627">
            <v>43237</v>
          </cell>
        </row>
        <row r="6628">
          <cell r="A6628">
            <v>43659</v>
          </cell>
        </row>
        <row r="6629">
          <cell r="A6629">
            <v>43794</v>
          </cell>
        </row>
        <row r="6630">
          <cell r="A6630">
            <v>43807</v>
          </cell>
        </row>
        <row r="6631">
          <cell r="A6631">
            <v>43171</v>
          </cell>
        </row>
        <row r="6632">
          <cell r="A6632">
            <v>43575</v>
          </cell>
        </row>
        <row r="6633">
          <cell r="A6633">
            <v>43694</v>
          </cell>
        </row>
        <row r="6634">
          <cell r="A6634">
            <v>43727</v>
          </cell>
        </row>
        <row r="6635">
          <cell r="A6635">
            <v>43129</v>
          </cell>
        </row>
        <row r="6636">
          <cell r="A6636">
            <v>43843</v>
          </cell>
        </row>
        <row r="6637">
          <cell r="A6637">
            <v>43475</v>
          </cell>
        </row>
        <row r="6638">
          <cell r="A6638">
            <v>43740</v>
          </cell>
        </row>
        <row r="6639">
          <cell r="A6639">
            <v>43371</v>
          </cell>
        </row>
        <row r="6640">
          <cell r="A6640">
            <v>43398</v>
          </cell>
        </row>
        <row r="6641">
          <cell r="A6641">
            <v>43530</v>
          </cell>
        </row>
        <row r="6642">
          <cell r="A6642">
            <v>43638</v>
          </cell>
        </row>
        <row r="6643">
          <cell r="A6643">
            <v>43168</v>
          </cell>
        </row>
        <row r="6644">
          <cell r="A6644">
            <v>43291</v>
          </cell>
        </row>
        <row r="6645">
          <cell r="A6645">
            <v>43215</v>
          </cell>
        </row>
        <row r="6646">
          <cell r="A6646">
            <v>43208</v>
          </cell>
        </row>
        <row r="6647">
          <cell r="A6647">
            <v>43901</v>
          </cell>
        </row>
        <row r="6648">
          <cell r="A6648">
            <v>43262</v>
          </cell>
        </row>
        <row r="6649">
          <cell r="A6649">
            <v>43677</v>
          </cell>
        </row>
        <row r="6650">
          <cell r="A6650">
            <v>43444</v>
          </cell>
        </row>
        <row r="6651">
          <cell r="A6651">
            <v>43486</v>
          </cell>
        </row>
        <row r="6652">
          <cell r="A6652">
            <v>43802</v>
          </cell>
        </row>
        <row r="6653">
          <cell r="A6653">
            <v>43864</v>
          </cell>
        </row>
        <row r="6654">
          <cell r="A6654">
            <v>43803</v>
          </cell>
        </row>
        <row r="6655">
          <cell r="A6655">
            <v>43474</v>
          </cell>
        </row>
        <row r="6656">
          <cell r="A6656">
            <v>43829</v>
          </cell>
        </row>
        <row r="6657">
          <cell r="A6657">
            <v>43397</v>
          </cell>
        </row>
        <row r="6658">
          <cell r="A6658">
            <v>43809</v>
          </cell>
        </row>
        <row r="6659">
          <cell r="A6659">
            <v>43750</v>
          </cell>
        </row>
        <row r="6660">
          <cell r="A6660">
            <v>43339</v>
          </cell>
        </row>
        <row r="6661">
          <cell r="A6661">
            <v>43342</v>
          </cell>
        </row>
        <row r="6662">
          <cell r="A6662">
            <v>43266</v>
          </cell>
        </row>
        <row r="6663">
          <cell r="A6663">
            <v>43777</v>
          </cell>
        </row>
        <row r="6664">
          <cell r="A6664">
            <v>43184</v>
          </cell>
        </row>
        <row r="6665">
          <cell r="A6665">
            <v>43650</v>
          </cell>
        </row>
        <row r="6666">
          <cell r="A6666">
            <v>43505</v>
          </cell>
        </row>
        <row r="6667">
          <cell r="A6667">
            <v>43440</v>
          </cell>
        </row>
        <row r="6668">
          <cell r="A6668">
            <v>43666</v>
          </cell>
        </row>
        <row r="6669">
          <cell r="A6669">
            <v>43915</v>
          </cell>
        </row>
        <row r="6670">
          <cell r="A6670">
            <v>43142</v>
          </cell>
        </row>
        <row r="6671">
          <cell r="A6671">
            <v>43709</v>
          </cell>
        </row>
        <row r="6672">
          <cell r="A6672">
            <v>43443</v>
          </cell>
        </row>
        <row r="6673">
          <cell r="A6673">
            <v>43492</v>
          </cell>
        </row>
        <row r="6674">
          <cell r="A6674">
            <v>43103</v>
          </cell>
        </row>
        <row r="6675">
          <cell r="A6675">
            <v>43151</v>
          </cell>
        </row>
        <row r="6676">
          <cell r="A6676">
            <v>43311</v>
          </cell>
        </row>
        <row r="6677">
          <cell r="A6677">
            <v>43780</v>
          </cell>
        </row>
        <row r="6678">
          <cell r="A6678">
            <v>43896</v>
          </cell>
        </row>
        <row r="6679">
          <cell r="A6679">
            <v>43476</v>
          </cell>
        </row>
        <row r="6680">
          <cell r="A6680">
            <v>43178</v>
          </cell>
        </row>
        <row r="6681">
          <cell r="A6681">
            <v>43287</v>
          </cell>
        </row>
        <row r="6682">
          <cell r="A6682">
            <v>43457</v>
          </cell>
        </row>
        <row r="6683">
          <cell r="A6683">
            <v>43713</v>
          </cell>
        </row>
        <row r="6684">
          <cell r="A6684">
            <v>43586</v>
          </cell>
        </row>
        <row r="6685">
          <cell r="A6685">
            <v>43624</v>
          </cell>
        </row>
        <row r="6686">
          <cell r="A6686">
            <v>43701</v>
          </cell>
        </row>
        <row r="6687">
          <cell r="A6687">
            <v>43765</v>
          </cell>
        </row>
        <row r="6688">
          <cell r="A6688">
            <v>43140</v>
          </cell>
        </row>
        <row r="6689">
          <cell r="A6689">
            <v>43543</v>
          </cell>
        </row>
        <row r="6690">
          <cell r="A6690">
            <v>43377</v>
          </cell>
        </row>
        <row r="6691">
          <cell r="A6691">
            <v>43616</v>
          </cell>
        </row>
        <row r="6692">
          <cell r="A6692">
            <v>43198</v>
          </cell>
        </row>
        <row r="6693">
          <cell r="A6693">
            <v>43302</v>
          </cell>
        </row>
        <row r="6694">
          <cell r="A6694">
            <v>43303</v>
          </cell>
        </row>
        <row r="6695">
          <cell r="A6695">
            <v>43487</v>
          </cell>
        </row>
        <row r="6696">
          <cell r="A6696">
            <v>43917</v>
          </cell>
        </row>
        <row r="6697">
          <cell r="A6697">
            <v>43459</v>
          </cell>
        </row>
        <row r="6698">
          <cell r="A6698">
            <v>43435</v>
          </cell>
        </row>
        <row r="6699">
          <cell r="A6699">
            <v>43542</v>
          </cell>
        </row>
        <row r="6700">
          <cell r="A6700">
            <v>43320</v>
          </cell>
        </row>
        <row r="6701">
          <cell r="A6701">
            <v>43591</v>
          </cell>
        </row>
        <row r="6702">
          <cell r="A6702">
            <v>43338</v>
          </cell>
        </row>
        <row r="6703">
          <cell r="A6703">
            <v>43675</v>
          </cell>
        </row>
        <row r="6704">
          <cell r="A6704">
            <v>43330</v>
          </cell>
        </row>
        <row r="6705">
          <cell r="A6705">
            <v>43107</v>
          </cell>
        </row>
        <row r="6706">
          <cell r="A6706">
            <v>43126</v>
          </cell>
        </row>
        <row r="6707">
          <cell r="A6707">
            <v>43128</v>
          </cell>
        </row>
        <row r="6708">
          <cell r="A6708">
            <v>43854</v>
          </cell>
        </row>
        <row r="6709">
          <cell r="A6709">
            <v>43269</v>
          </cell>
        </row>
        <row r="6710">
          <cell r="A6710">
            <v>43357</v>
          </cell>
        </row>
        <row r="6711">
          <cell r="A6711">
            <v>43237</v>
          </cell>
        </row>
        <row r="6712">
          <cell r="A6712">
            <v>43418</v>
          </cell>
        </row>
        <row r="6713">
          <cell r="A6713">
            <v>43860</v>
          </cell>
        </row>
        <row r="6714">
          <cell r="A6714">
            <v>43858</v>
          </cell>
        </row>
        <row r="6715">
          <cell r="A6715">
            <v>43790</v>
          </cell>
        </row>
        <row r="6716">
          <cell r="A6716">
            <v>43421</v>
          </cell>
        </row>
        <row r="6717">
          <cell r="A6717">
            <v>43683</v>
          </cell>
        </row>
        <row r="6718">
          <cell r="A6718">
            <v>43434</v>
          </cell>
        </row>
        <row r="6719">
          <cell r="A6719">
            <v>43383</v>
          </cell>
        </row>
        <row r="6720">
          <cell r="A6720">
            <v>43894</v>
          </cell>
        </row>
        <row r="6721">
          <cell r="A6721">
            <v>43635</v>
          </cell>
        </row>
        <row r="6722">
          <cell r="A6722">
            <v>43106</v>
          </cell>
        </row>
        <row r="6723">
          <cell r="A6723">
            <v>43465</v>
          </cell>
        </row>
        <row r="6724">
          <cell r="A6724">
            <v>43783</v>
          </cell>
        </row>
        <row r="6725">
          <cell r="A6725">
            <v>43418</v>
          </cell>
        </row>
        <row r="6726">
          <cell r="A6726">
            <v>43694</v>
          </cell>
        </row>
        <row r="6727">
          <cell r="A6727">
            <v>43449</v>
          </cell>
        </row>
        <row r="6728">
          <cell r="A6728">
            <v>43708</v>
          </cell>
        </row>
        <row r="6729">
          <cell r="A6729">
            <v>43728</v>
          </cell>
        </row>
        <row r="6730">
          <cell r="A6730">
            <v>43333</v>
          </cell>
        </row>
        <row r="6731">
          <cell r="A6731">
            <v>43317</v>
          </cell>
        </row>
        <row r="6732">
          <cell r="A6732">
            <v>43166</v>
          </cell>
        </row>
        <row r="6733">
          <cell r="A6733">
            <v>43514</v>
          </cell>
        </row>
        <row r="6734">
          <cell r="A6734">
            <v>43660</v>
          </cell>
        </row>
        <row r="6735">
          <cell r="A6735">
            <v>43570</v>
          </cell>
        </row>
        <row r="6736">
          <cell r="A6736">
            <v>43763</v>
          </cell>
        </row>
        <row r="6737">
          <cell r="A6737">
            <v>43719</v>
          </cell>
        </row>
        <row r="6738">
          <cell r="A6738">
            <v>43813</v>
          </cell>
        </row>
        <row r="6739">
          <cell r="A6739">
            <v>43431</v>
          </cell>
        </row>
        <row r="6740">
          <cell r="A6740">
            <v>43184</v>
          </cell>
        </row>
        <row r="6741">
          <cell r="A6741">
            <v>43237</v>
          </cell>
        </row>
        <row r="6742">
          <cell r="A6742">
            <v>43183</v>
          </cell>
        </row>
        <row r="6743">
          <cell r="A6743">
            <v>43723</v>
          </cell>
        </row>
        <row r="6744">
          <cell r="A6744">
            <v>43893</v>
          </cell>
        </row>
        <row r="6745">
          <cell r="A6745">
            <v>43912</v>
          </cell>
        </row>
        <row r="6746">
          <cell r="A6746">
            <v>43178</v>
          </cell>
        </row>
        <row r="6747">
          <cell r="A6747">
            <v>43369</v>
          </cell>
        </row>
        <row r="6748">
          <cell r="A6748">
            <v>43299</v>
          </cell>
        </row>
        <row r="6749">
          <cell r="A6749">
            <v>43566</v>
          </cell>
        </row>
        <row r="6750">
          <cell r="A6750">
            <v>43289</v>
          </cell>
        </row>
        <row r="6751">
          <cell r="A6751">
            <v>43677</v>
          </cell>
        </row>
        <row r="6752">
          <cell r="A6752">
            <v>43578</v>
          </cell>
        </row>
        <row r="6753">
          <cell r="A6753">
            <v>43144</v>
          </cell>
        </row>
        <row r="6754">
          <cell r="A6754">
            <v>43470</v>
          </cell>
        </row>
        <row r="6755">
          <cell r="A6755">
            <v>43668</v>
          </cell>
        </row>
        <row r="6756">
          <cell r="A6756">
            <v>43516</v>
          </cell>
        </row>
        <row r="6757">
          <cell r="A6757">
            <v>43499</v>
          </cell>
        </row>
        <row r="6758">
          <cell r="A6758">
            <v>43374</v>
          </cell>
        </row>
        <row r="6759">
          <cell r="A6759">
            <v>43641</v>
          </cell>
        </row>
        <row r="6760">
          <cell r="A6760">
            <v>43305</v>
          </cell>
        </row>
        <row r="6761">
          <cell r="A6761">
            <v>43809</v>
          </cell>
        </row>
        <row r="6762">
          <cell r="A6762">
            <v>43879</v>
          </cell>
        </row>
        <row r="6763">
          <cell r="A6763">
            <v>43282</v>
          </cell>
        </row>
        <row r="6764">
          <cell r="A6764">
            <v>43430</v>
          </cell>
        </row>
        <row r="6765">
          <cell r="A6765">
            <v>43573</v>
          </cell>
        </row>
        <row r="6766">
          <cell r="A6766">
            <v>43151</v>
          </cell>
        </row>
        <row r="6767">
          <cell r="A6767">
            <v>43356</v>
          </cell>
        </row>
        <row r="6768">
          <cell r="A6768">
            <v>43352</v>
          </cell>
        </row>
        <row r="6769">
          <cell r="A6769">
            <v>43635</v>
          </cell>
        </row>
        <row r="6770">
          <cell r="A6770">
            <v>43343</v>
          </cell>
        </row>
        <row r="6771">
          <cell r="A6771">
            <v>43732</v>
          </cell>
        </row>
        <row r="6772">
          <cell r="A6772">
            <v>43318</v>
          </cell>
        </row>
        <row r="6773">
          <cell r="A6773">
            <v>43586</v>
          </cell>
        </row>
        <row r="6774">
          <cell r="A6774">
            <v>43873</v>
          </cell>
        </row>
        <row r="6775">
          <cell r="A6775">
            <v>43308</v>
          </cell>
        </row>
        <row r="6776">
          <cell r="A6776">
            <v>43170</v>
          </cell>
        </row>
        <row r="6777">
          <cell r="A6777">
            <v>43869</v>
          </cell>
        </row>
        <row r="6778">
          <cell r="A6778">
            <v>43311</v>
          </cell>
        </row>
        <row r="6779">
          <cell r="A6779">
            <v>43863</v>
          </cell>
        </row>
        <row r="6780">
          <cell r="A6780">
            <v>43777</v>
          </cell>
        </row>
        <row r="6781">
          <cell r="A6781">
            <v>43749</v>
          </cell>
        </row>
        <row r="6782">
          <cell r="A6782">
            <v>43493</v>
          </cell>
        </row>
        <row r="6783">
          <cell r="A6783">
            <v>43416</v>
          </cell>
        </row>
        <row r="6784">
          <cell r="A6784">
            <v>43214</v>
          </cell>
        </row>
        <row r="6785">
          <cell r="A6785">
            <v>43811</v>
          </cell>
        </row>
        <row r="6786">
          <cell r="A6786">
            <v>43422</v>
          </cell>
        </row>
        <row r="6787">
          <cell r="A6787">
            <v>43431</v>
          </cell>
        </row>
        <row r="6788">
          <cell r="A6788">
            <v>43120</v>
          </cell>
        </row>
        <row r="6789">
          <cell r="A6789">
            <v>43726</v>
          </cell>
        </row>
        <row r="6790">
          <cell r="A6790">
            <v>43453</v>
          </cell>
        </row>
        <row r="6791">
          <cell r="A6791">
            <v>43749</v>
          </cell>
        </row>
        <row r="6792">
          <cell r="A6792">
            <v>43556</v>
          </cell>
        </row>
        <row r="6793">
          <cell r="A6793">
            <v>43659</v>
          </cell>
        </row>
        <row r="6794">
          <cell r="A6794">
            <v>43792</v>
          </cell>
        </row>
        <row r="6795">
          <cell r="A6795">
            <v>43568</v>
          </cell>
        </row>
        <row r="6796">
          <cell r="A6796">
            <v>43346</v>
          </cell>
        </row>
        <row r="6797">
          <cell r="A6797">
            <v>43864</v>
          </cell>
        </row>
        <row r="6798">
          <cell r="A6798">
            <v>43324</v>
          </cell>
        </row>
        <row r="6799">
          <cell r="A6799">
            <v>43447</v>
          </cell>
        </row>
        <row r="6800">
          <cell r="A6800">
            <v>43847</v>
          </cell>
        </row>
        <row r="6801">
          <cell r="A6801">
            <v>43705</v>
          </cell>
        </row>
        <row r="6802">
          <cell r="A6802">
            <v>43639</v>
          </cell>
        </row>
        <row r="6803">
          <cell r="A6803">
            <v>43111</v>
          </cell>
        </row>
        <row r="6804">
          <cell r="A6804">
            <v>43575</v>
          </cell>
        </row>
        <row r="6805">
          <cell r="A6805">
            <v>43535</v>
          </cell>
        </row>
        <row r="6806">
          <cell r="A6806">
            <v>43610</v>
          </cell>
        </row>
        <row r="6807">
          <cell r="A6807">
            <v>43233</v>
          </cell>
        </row>
        <row r="6808">
          <cell r="A6808">
            <v>43629</v>
          </cell>
        </row>
        <row r="6809">
          <cell r="A6809">
            <v>43918</v>
          </cell>
        </row>
        <row r="6810">
          <cell r="A6810">
            <v>43128</v>
          </cell>
        </row>
        <row r="6811">
          <cell r="A6811">
            <v>43655</v>
          </cell>
        </row>
        <row r="6812">
          <cell r="A6812">
            <v>43241</v>
          </cell>
        </row>
        <row r="6813">
          <cell r="A6813">
            <v>43428</v>
          </cell>
        </row>
        <row r="6814">
          <cell r="A6814">
            <v>43371</v>
          </cell>
        </row>
        <row r="6815">
          <cell r="A6815">
            <v>43786</v>
          </cell>
        </row>
        <row r="6816">
          <cell r="A6816">
            <v>43795</v>
          </cell>
        </row>
        <row r="6817">
          <cell r="A6817">
            <v>43186</v>
          </cell>
        </row>
        <row r="6818">
          <cell r="A6818">
            <v>43645</v>
          </cell>
        </row>
        <row r="6819">
          <cell r="A6819">
            <v>43273</v>
          </cell>
        </row>
        <row r="6820">
          <cell r="A6820">
            <v>43424</v>
          </cell>
        </row>
        <row r="6821">
          <cell r="A6821">
            <v>43211</v>
          </cell>
        </row>
        <row r="6822">
          <cell r="A6822">
            <v>43120</v>
          </cell>
        </row>
        <row r="6823">
          <cell r="A6823">
            <v>43401</v>
          </cell>
        </row>
        <row r="6824">
          <cell r="A6824">
            <v>43502</v>
          </cell>
        </row>
        <row r="6825">
          <cell r="A6825">
            <v>43444</v>
          </cell>
        </row>
        <row r="6826">
          <cell r="A6826">
            <v>43807</v>
          </cell>
        </row>
        <row r="6827">
          <cell r="A6827">
            <v>43695</v>
          </cell>
        </row>
        <row r="6828">
          <cell r="A6828">
            <v>43665</v>
          </cell>
        </row>
        <row r="6829">
          <cell r="A6829">
            <v>43329</v>
          </cell>
        </row>
        <row r="6830">
          <cell r="A6830">
            <v>43474</v>
          </cell>
        </row>
        <row r="6831">
          <cell r="A6831">
            <v>43239</v>
          </cell>
        </row>
        <row r="6832">
          <cell r="A6832">
            <v>43536</v>
          </cell>
        </row>
        <row r="6833">
          <cell r="A6833">
            <v>43757</v>
          </cell>
        </row>
        <row r="6834">
          <cell r="A6834">
            <v>43530</v>
          </cell>
        </row>
        <row r="6835">
          <cell r="A6835">
            <v>43639</v>
          </cell>
        </row>
        <row r="6836">
          <cell r="A6836">
            <v>43800</v>
          </cell>
        </row>
        <row r="6837">
          <cell r="A6837">
            <v>43793</v>
          </cell>
        </row>
        <row r="6838">
          <cell r="A6838">
            <v>43872</v>
          </cell>
        </row>
        <row r="6839">
          <cell r="A6839">
            <v>43897</v>
          </cell>
        </row>
        <row r="6840">
          <cell r="A6840">
            <v>43876</v>
          </cell>
        </row>
        <row r="6841">
          <cell r="A6841">
            <v>43132</v>
          </cell>
        </row>
        <row r="6842">
          <cell r="A6842">
            <v>43860</v>
          </cell>
        </row>
        <row r="6843">
          <cell r="A6843">
            <v>43409</v>
          </cell>
        </row>
        <row r="6844">
          <cell r="A6844">
            <v>43252</v>
          </cell>
        </row>
        <row r="6845">
          <cell r="A6845">
            <v>43109</v>
          </cell>
        </row>
        <row r="6846">
          <cell r="A6846">
            <v>43751</v>
          </cell>
        </row>
        <row r="6847">
          <cell r="A6847">
            <v>43758</v>
          </cell>
        </row>
        <row r="6848">
          <cell r="A6848">
            <v>43118</v>
          </cell>
        </row>
        <row r="6849">
          <cell r="A6849">
            <v>43166</v>
          </cell>
        </row>
        <row r="6850">
          <cell r="A6850">
            <v>43141</v>
          </cell>
        </row>
        <row r="6851">
          <cell r="A6851">
            <v>43543</v>
          </cell>
        </row>
        <row r="6852">
          <cell r="A6852">
            <v>43837</v>
          </cell>
        </row>
        <row r="6853">
          <cell r="A6853">
            <v>43652</v>
          </cell>
        </row>
        <row r="6854">
          <cell r="A6854">
            <v>43796</v>
          </cell>
        </row>
        <row r="6855">
          <cell r="A6855">
            <v>43587</v>
          </cell>
        </row>
        <row r="6856">
          <cell r="A6856">
            <v>43217</v>
          </cell>
        </row>
        <row r="6857">
          <cell r="A6857">
            <v>43278</v>
          </cell>
        </row>
        <row r="6858">
          <cell r="A6858">
            <v>43490</v>
          </cell>
        </row>
        <row r="6859">
          <cell r="A6859">
            <v>43136</v>
          </cell>
        </row>
        <row r="6860">
          <cell r="A6860">
            <v>43446</v>
          </cell>
        </row>
        <row r="6861">
          <cell r="A6861">
            <v>43414</v>
          </cell>
        </row>
        <row r="6862">
          <cell r="A6862">
            <v>43110</v>
          </cell>
        </row>
        <row r="6863">
          <cell r="A6863">
            <v>43263</v>
          </cell>
        </row>
        <row r="6864">
          <cell r="A6864">
            <v>43854</v>
          </cell>
        </row>
        <row r="6865">
          <cell r="A6865">
            <v>43659</v>
          </cell>
        </row>
        <row r="6866">
          <cell r="A6866">
            <v>43268</v>
          </cell>
        </row>
        <row r="6867">
          <cell r="A6867">
            <v>43106</v>
          </cell>
        </row>
        <row r="6868">
          <cell r="A6868">
            <v>43470</v>
          </cell>
        </row>
        <row r="6869">
          <cell r="A6869">
            <v>43300</v>
          </cell>
        </row>
        <row r="6870">
          <cell r="A6870">
            <v>43513</v>
          </cell>
        </row>
        <row r="6871">
          <cell r="A6871">
            <v>43555</v>
          </cell>
        </row>
        <row r="6872">
          <cell r="A6872">
            <v>43539</v>
          </cell>
        </row>
        <row r="6873">
          <cell r="A6873">
            <v>43764</v>
          </cell>
        </row>
        <row r="6874">
          <cell r="A6874">
            <v>43672</v>
          </cell>
        </row>
        <row r="6875">
          <cell r="A6875">
            <v>43380</v>
          </cell>
        </row>
        <row r="6876">
          <cell r="A6876">
            <v>43855</v>
          </cell>
        </row>
        <row r="6877">
          <cell r="A6877">
            <v>43405</v>
          </cell>
        </row>
        <row r="6878">
          <cell r="A6878">
            <v>43316</v>
          </cell>
        </row>
        <row r="6879">
          <cell r="A6879">
            <v>43831</v>
          </cell>
        </row>
        <row r="6880">
          <cell r="A6880">
            <v>43657</v>
          </cell>
        </row>
        <row r="6881">
          <cell r="A6881">
            <v>43808</v>
          </cell>
        </row>
        <row r="6882">
          <cell r="A6882">
            <v>43290</v>
          </cell>
        </row>
        <row r="6883">
          <cell r="A6883">
            <v>43668</v>
          </cell>
        </row>
        <row r="6884">
          <cell r="A6884">
            <v>43317</v>
          </cell>
        </row>
        <row r="6885">
          <cell r="A6885">
            <v>43627</v>
          </cell>
        </row>
        <row r="6886">
          <cell r="A6886">
            <v>43386</v>
          </cell>
        </row>
        <row r="6887">
          <cell r="A6887">
            <v>43828</v>
          </cell>
        </row>
        <row r="6888">
          <cell r="A6888">
            <v>43621</v>
          </cell>
        </row>
        <row r="6889">
          <cell r="A6889">
            <v>43145</v>
          </cell>
        </row>
        <row r="6890">
          <cell r="A6890">
            <v>43431</v>
          </cell>
        </row>
        <row r="6891">
          <cell r="A6891">
            <v>43769</v>
          </cell>
        </row>
        <row r="6892">
          <cell r="A6892">
            <v>43868</v>
          </cell>
        </row>
        <row r="6893">
          <cell r="A6893">
            <v>43318</v>
          </cell>
        </row>
        <row r="6894">
          <cell r="A6894">
            <v>43232</v>
          </cell>
        </row>
        <row r="6895">
          <cell r="A6895">
            <v>43251</v>
          </cell>
        </row>
        <row r="6896">
          <cell r="A6896">
            <v>43577</v>
          </cell>
        </row>
        <row r="6897">
          <cell r="A6897">
            <v>43472</v>
          </cell>
        </row>
        <row r="6898">
          <cell r="A6898">
            <v>43256</v>
          </cell>
        </row>
        <row r="6899">
          <cell r="A6899">
            <v>43258</v>
          </cell>
        </row>
        <row r="6900">
          <cell r="A6900">
            <v>43340</v>
          </cell>
        </row>
        <row r="6901">
          <cell r="A6901">
            <v>43705</v>
          </cell>
        </row>
        <row r="6902">
          <cell r="A6902">
            <v>43658</v>
          </cell>
        </row>
        <row r="6903">
          <cell r="A6903">
            <v>43514</v>
          </cell>
        </row>
        <row r="6904">
          <cell r="A6904">
            <v>43225</v>
          </cell>
        </row>
        <row r="6905">
          <cell r="A6905">
            <v>43911</v>
          </cell>
        </row>
        <row r="6906">
          <cell r="A6906">
            <v>43106</v>
          </cell>
        </row>
        <row r="6907">
          <cell r="A6907">
            <v>43477</v>
          </cell>
        </row>
        <row r="6908">
          <cell r="A6908">
            <v>43911</v>
          </cell>
        </row>
        <row r="6909">
          <cell r="A6909">
            <v>43206</v>
          </cell>
        </row>
        <row r="6910">
          <cell r="A6910">
            <v>43520</v>
          </cell>
        </row>
        <row r="6911">
          <cell r="A6911">
            <v>43438</v>
          </cell>
        </row>
        <row r="6912">
          <cell r="A6912">
            <v>43880</v>
          </cell>
        </row>
        <row r="6913">
          <cell r="A6913">
            <v>43348</v>
          </cell>
        </row>
        <row r="6914">
          <cell r="A6914">
            <v>43791</v>
          </cell>
        </row>
        <row r="6915">
          <cell r="A6915">
            <v>43374</v>
          </cell>
        </row>
        <row r="6916">
          <cell r="A6916">
            <v>43720</v>
          </cell>
        </row>
        <row r="6917">
          <cell r="A6917">
            <v>43138</v>
          </cell>
        </row>
        <row r="6918">
          <cell r="A6918">
            <v>43103</v>
          </cell>
        </row>
        <row r="6919">
          <cell r="A6919">
            <v>43554</v>
          </cell>
        </row>
        <row r="6920">
          <cell r="A6920">
            <v>43145</v>
          </cell>
        </row>
        <row r="6921">
          <cell r="A6921">
            <v>43874</v>
          </cell>
        </row>
        <row r="6922">
          <cell r="A6922">
            <v>43532</v>
          </cell>
        </row>
        <row r="6923">
          <cell r="A6923">
            <v>43905</v>
          </cell>
        </row>
        <row r="6924">
          <cell r="A6924">
            <v>43672</v>
          </cell>
        </row>
        <row r="6925">
          <cell r="A6925">
            <v>43596</v>
          </cell>
        </row>
        <row r="6926">
          <cell r="A6926">
            <v>43383</v>
          </cell>
        </row>
        <row r="6927">
          <cell r="A6927">
            <v>43906</v>
          </cell>
        </row>
        <row r="6928">
          <cell r="A6928">
            <v>43552</v>
          </cell>
        </row>
        <row r="6929">
          <cell r="A6929">
            <v>43224</v>
          </cell>
        </row>
        <row r="6930">
          <cell r="A6930">
            <v>43487</v>
          </cell>
        </row>
        <row r="6931">
          <cell r="A6931">
            <v>43580</v>
          </cell>
        </row>
        <row r="6932">
          <cell r="A6932">
            <v>43919</v>
          </cell>
        </row>
        <row r="6933">
          <cell r="A6933">
            <v>43889</v>
          </cell>
        </row>
        <row r="6934">
          <cell r="A6934">
            <v>43135</v>
          </cell>
        </row>
        <row r="6935">
          <cell r="A6935">
            <v>43703</v>
          </cell>
        </row>
        <row r="6936">
          <cell r="A6936">
            <v>43764</v>
          </cell>
        </row>
        <row r="6937">
          <cell r="A6937">
            <v>43536</v>
          </cell>
        </row>
        <row r="6938">
          <cell r="A6938">
            <v>43189</v>
          </cell>
        </row>
        <row r="6939">
          <cell r="A6939">
            <v>43663</v>
          </cell>
        </row>
        <row r="6940">
          <cell r="A6940">
            <v>43617</v>
          </cell>
        </row>
        <row r="6941">
          <cell r="A6941">
            <v>43119</v>
          </cell>
        </row>
        <row r="6942">
          <cell r="A6942">
            <v>43220</v>
          </cell>
        </row>
        <row r="6943">
          <cell r="A6943">
            <v>43794</v>
          </cell>
        </row>
        <row r="6944">
          <cell r="A6944">
            <v>43722</v>
          </cell>
        </row>
        <row r="6945">
          <cell r="A6945">
            <v>43447</v>
          </cell>
        </row>
        <row r="6946">
          <cell r="A6946">
            <v>43706</v>
          </cell>
        </row>
        <row r="6947">
          <cell r="A6947">
            <v>43363</v>
          </cell>
        </row>
        <row r="6948">
          <cell r="A6948">
            <v>43885</v>
          </cell>
        </row>
        <row r="6949">
          <cell r="A6949">
            <v>43853</v>
          </cell>
        </row>
        <row r="6950">
          <cell r="A6950">
            <v>43187</v>
          </cell>
        </row>
        <row r="6951">
          <cell r="A6951">
            <v>43846</v>
          </cell>
        </row>
        <row r="6952">
          <cell r="A6952">
            <v>43788</v>
          </cell>
        </row>
        <row r="6953">
          <cell r="A6953">
            <v>43105</v>
          </cell>
        </row>
        <row r="6954">
          <cell r="A6954">
            <v>43233</v>
          </cell>
        </row>
        <row r="6955">
          <cell r="A6955">
            <v>43290</v>
          </cell>
        </row>
        <row r="6956">
          <cell r="A6956">
            <v>43395</v>
          </cell>
        </row>
        <row r="6957">
          <cell r="A6957">
            <v>43328</v>
          </cell>
        </row>
        <row r="6958">
          <cell r="A6958">
            <v>43582</v>
          </cell>
        </row>
        <row r="6959">
          <cell r="A6959">
            <v>43343</v>
          </cell>
        </row>
        <row r="6960">
          <cell r="A6960">
            <v>43767</v>
          </cell>
        </row>
        <row r="6961">
          <cell r="A6961">
            <v>43492</v>
          </cell>
        </row>
        <row r="6962">
          <cell r="A6962">
            <v>43383</v>
          </cell>
        </row>
        <row r="6963">
          <cell r="A6963">
            <v>43501</v>
          </cell>
        </row>
        <row r="6964">
          <cell r="A6964">
            <v>43394</v>
          </cell>
        </row>
        <row r="6965">
          <cell r="A6965">
            <v>43888</v>
          </cell>
        </row>
        <row r="6966">
          <cell r="A6966">
            <v>43330</v>
          </cell>
        </row>
        <row r="6967">
          <cell r="A6967">
            <v>43240</v>
          </cell>
        </row>
        <row r="6968">
          <cell r="A6968">
            <v>43723</v>
          </cell>
        </row>
        <row r="6969">
          <cell r="A6969">
            <v>43468</v>
          </cell>
        </row>
        <row r="6970">
          <cell r="A6970">
            <v>43189</v>
          </cell>
        </row>
        <row r="6971">
          <cell r="A6971">
            <v>43884</v>
          </cell>
        </row>
        <row r="6972">
          <cell r="A6972">
            <v>43688</v>
          </cell>
        </row>
        <row r="6973">
          <cell r="A6973">
            <v>43757</v>
          </cell>
        </row>
        <row r="6974">
          <cell r="A6974">
            <v>43864</v>
          </cell>
        </row>
        <row r="6975">
          <cell r="A6975">
            <v>43408</v>
          </cell>
        </row>
        <row r="6976">
          <cell r="A6976">
            <v>43835</v>
          </cell>
        </row>
        <row r="6977">
          <cell r="A6977">
            <v>43208</v>
          </cell>
        </row>
        <row r="6978">
          <cell r="A6978">
            <v>43883</v>
          </cell>
        </row>
        <row r="6979">
          <cell r="A6979">
            <v>43313</v>
          </cell>
        </row>
        <row r="6980">
          <cell r="A6980">
            <v>43142</v>
          </cell>
        </row>
        <row r="6981">
          <cell r="A6981">
            <v>43663</v>
          </cell>
        </row>
        <row r="6982">
          <cell r="A6982">
            <v>43636</v>
          </cell>
        </row>
        <row r="6983">
          <cell r="A6983">
            <v>43673</v>
          </cell>
        </row>
        <row r="6984">
          <cell r="A6984">
            <v>43549</v>
          </cell>
        </row>
        <row r="6985">
          <cell r="A6985">
            <v>43542</v>
          </cell>
        </row>
        <row r="6986">
          <cell r="A6986">
            <v>43830</v>
          </cell>
        </row>
        <row r="6987">
          <cell r="A6987">
            <v>43115</v>
          </cell>
        </row>
        <row r="6988">
          <cell r="A6988">
            <v>43102</v>
          </cell>
        </row>
        <row r="6989">
          <cell r="A6989">
            <v>43189</v>
          </cell>
        </row>
        <row r="6990">
          <cell r="A6990">
            <v>43220</v>
          </cell>
        </row>
        <row r="6991">
          <cell r="A6991">
            <v>43596</v>
          </cell>
        </row>
        <row r="6992">
          <cell r="A6992">
            <v>43897</v>
          </cell>
        </row>
        <row r="6993">
          <cell r="A6993">
            <v>43901</v>
          </cell>
        </row>
        <row r="6994">
          <cell r="A6994">
            <v>43401</v>
          </cell>
        </row>
        <row r="6995">
          <cell r="A6995">
            <v>43257</v>
          </cell>
        </row>
        <row r="6996">
          <cell r="A6996">
            <v>43744</v>
          </cell>
        </row>
        <row r="6997">
          <cell r="A6997">
            <v>43101</v>
          </cell>
        </row>
        <row r="6998">
          <cell r="A6998">
            <v>43594</v>
          </cell>
        </row>
        <row r="6999">
          <cell r="A6999">
            <v>43637</v>
          </cell>
        </row>
        <row r="7000">
          <cell r="A7000">
            <v>43578</v>
          </cell>
        </row>
        <row r="7001">
          <cell r="A7001">
            <v>43884</v>
          </cell>
        </row>
        <row r="7002">
          <cell r="A7002">
            <v>43538</v>
          </cell>
        </row>
        <row r="7003">
          <cell r="A7003">
            <v>43482</v>
          </cell>
        </row>
        <row r="7004">
          <cell r="A7004">
            <v>43446</v>
          </cell>
        </row>
        <row r="7005">
          <cell r="A7005">
            <v>43438</v>
          </cell>
        </row>
        <row r="7006">
          <cell r="A7006">
            <v>43483</v>
          </cell>
        </row>
        <row r="7007">
          <cell r="A7007">
            <v>43631</v>
          </cell>
        </row>
        <row r="7008">
          <cell r="A7008">
            <v>43762</v>
          </cell>
        </row>
        <row r="7009">
          <cell r="A7009">
            <v>43554</v>
          </cell>
        </row>
        <row r="7010">
          <cell r="A7010">
            <v>43404</v>
          </cell>
        </row>
        <row r="7011">
          <cell r="A7011">
            <v>43489</v>
          </cell>
        </row>
        <row r="7012">
          <cell r="A7012">
            <v>43148</v>
          </cell>
        </row>
        <row r="7013">
          <cell r="A7013">
            <v>43614</v>
          </cell>
        </row>
        <row r="7014">
          <cell r="A7014">
            <v>43830</v>
          </cell>
        </row>
        <row r="7015">
          <cell r="A7015">
            <v>43527</v>
          </cell>
        </row>
        <row r="7016">
          <cell r="A7016">
            <v>43192</v>
          </cell>
        </row>
        <row r="7017">
          <cell r="A7017">
            <v>43525</v>
          </cell>
        </row>
        <row r="7018">
          <cell r="A7018">
            <v>43467</v>
          </cell>
        </row>
        <row r="7019">
          <cell r="A7019">
            <v>43409</v>
          </cell>
        </row>
        <row r="7020">
          <cell r="A7020">
            <v>43235</v>
          </cell>
        </row>
        <row r="7021">
          <cell r="A7021">
            <v>43241</v>
          </cell>
        </row>
        <row r="7022">
          <cell r="A7022">
            <v>43570</v>
          </cell>
        </row>
        <row r="7023">
          <cell r="A7023">
            <v>43774</v>
          </cell>
        </row>
        <row r="7024">
          <cell r="A7024">
            <v>43699</v>
          </cell>
        </row>
        <row r="7025">
          <cell r="A7025">
            <v>43596</v>
          </cell>
        </row>
        <row r="7026">
          <cell r="A7026">
            <v>43335</v>
          </cell>
        </row>
        <row r="7027">
          <cell r="A7027">
            <v>43127</v>
          </cell>
        </row>
        <row r="7028">
          <cell r="A7028">
            <v>43899</v>
          </cell>
        </row>
        <row r="7029">
          <cell r="A7029">
            <v>43790</v>
          </cell>
        </row>
        <row r="7030">
          <cell r="A7030">
            <v>43370</v>
          </cell>
        </row>
        <row r="7031">
          <cell r="A7031">
            <v>43621</v>
          </cell>
        </row>
        <row r="7032">
          <cell r="A7032">
            <v>43901</v>
          </cell>
        </row>
        <row r="7033">
          <cell r="A7033">
            <v>43389</v>
          </cell>
        </row>
        <row r="7034">
          <cell r="A7034">
            <v>43854</v>
          </cell>
        </row>
        <row r="7035">
          <cell r="A7035">
            <v>43543</v>
          </cell>
        </row>
        <row r="7036">
          <cell r="A7036">
            <v>43864</v>
          </cell>
        </row>
        <row r="7037">
          <cell r="A7037">
            <v>43630</v>
          </cell>
        </row>
        <row r="7038">
          <cell r="A7038">
            <v>43294</v>
          </cell>
        </row>
        <row r="7039">
          <cell r="A7039">
            <v>43696</v>
          </cell>
        </row>
        <row r="7040">
          <cell r="A7040">
            <v>43576</v>
          </cell>
        </row>
        <row r="7041">
          <cell r="A7041">
            <v>43556</v>
          </cell>
        </row>
        <row r="7042">
          <cell r="A7042">
            <v>43145</v>
          </cell>
        </row>
        <row r="7043">
          <cell r="A7043">
            <v>43474</v>
          </cell>
        </row>
        <row r="7044">
          <cell r="A7044">
            <v>43552</v>
          </cell>
        </row>
        <row r="7045">
          <cell r="A7045">
            <v>43623</v>
          </cell>
        </row>
        <row r="7046">
          <cell r="A7046">
            <v>43860</v>
          </cell>
        </row>
        <row r="7047">
          <cell r="A7047">
            <v>43234</v>
          </cell>
        </row>
        <row r="7048">
          <cell r="A7048">
            <v>43341</v>
          </cell>
        </row>
        <row r="7049">
          <cell r="A7049">
            <v>43860</v>
          </cell>
        </row>
        <row r="7050">
          <cell r="A7050">
            <v>43285</v>
          </cell>
        </row>
        <row r="7051">
          <cell r="A7051">
            <v>43599</v>
          </cell>
        </row>
        <row r="7052">
          <cell r="A7052">
            <v>43761</v>
          </cell>
        </row>
        <row r="7053">
          <cell r="A7053">
            <v>43753</v>
          </cell>
        </row>
        <row r="7054">
          <cell r="A7054">
            <v>43667</v>
          </cell>
        </row>
        <row r="7055">
          <cell r="A7055">
            <v>43618</v>
          </cell>
        </row>
        <row r="7056">
          <cell r="A7056">
            <v>43479</v>
          </cell>
        </row>
        <row r="7057">
          <cell r="A7057">
            <v>43738</v>
          </cell>
        </row>
        <row r="7058">
          <cell r="A7058">
            <v>43119</v>
          </cell>
        </row>
        <row r="7059">
          <cell r="A7059">
            <v>43468</v>
          </cell>
        </row>
        <row r="7060">
          <cell r="A7060">
            <v>43763</v>
          </cell>
        </row>
        <row r="7061">
          <cell r="A7061">
            <v>43422</v>
          </cell>
        </row>
        <row r="7062">
          <cell r="A7062">
            <v>43274</v>
          </cell>
        </row>
        <row r="7063">
          <cell r="A7063">
            <v>43897</v>
          </cell>
        </row>
        <row r="7064">
          <cell r="A7064">
            <v>43673</v>
          </cell>
        </row>
        <row r="7065">
          <cell r="A7065">
            <v>43129</v>
          </cell>
        </row>
        <row r="7066">
          <cell r="A7066">
            <v>43268</v>
          </cell>
        </row>
        <row r="7067">
          <cell r="A7067">
            <v>43122</v>
          </cell>
        </row>
        <row r="7068">
          <cell r="A7068">
            <v>43750</v>
          </cell>
        </row>
        <row r="7069">
          <cell r="A7069">
            <v>43795</v>
          </cell>
        </row>
        <row r="7070">
          <cell r="A7070">
            <v>43901</v>
          </cell>
        </row>
        <row r="7071">
          <cell r="A7071">
            <v>43589</v>
          </cell>
        </row>
        <row r="7072">
          <cell r="A7072">
            <v>43717</v>
          </cell>
        </row>
        <row r="7073">
          <cell r="A7073">
            <v>43759</v>
          </cell>
        </row>
        <row r="7074">
          <cell r="A7074">
            <v>43225</v>
          </cell>
        </row>
        <row r="7075">
          <cell r="A7075">
            <v>43407</v>
          </cell>
        </row>
        <row r="7076">
          <cell r="A7076">
            <v>43575</v>
          </cell>
        </row>
        <row r="7077">
          <cell r="A7077">
            <v>43211</v>
          </cell>
        </row>
        <row r="7078">
          <cell r="A7078">
            <v>43224</v>
          </cell>
        </row>
        <row r="7079">
          <cell r="A7079">
            <v>43784</v>
          </cell>
        </row>
        <row r="7080">
          <cell r="A7080">
            <v>43915</v>
          </cell>
        </row>
        <row r="7081">
          <cell r="A7081">
            <v>43256</v>
          </cell>
        </row>
        <row r="7082">
          <cell r="A7082">
            <v>43464</v>
          </cell>
        </row>
        <row r="7083">
          <cell r="A7083">
            <v>43401</v>
          </cell>
        </row>
        <row r="7084">
          <cell r="A7084">
            <v>43410</v>
          </cell>
        </row>
        <row r="7085">
          <cell r="A7085">
            <v>43856</v>
          </cell>
        </row>
        <row r="7086">
          <cell r="A7086">
            <v>43650</v>
          </cell>
        </row>
        <row r="7087">
          <cell r="A7087">
            <v>43458</v>
          </cell>
        </row>
        <row r="7088">
          <cell r="A7088">
            <v>43562</v>
          </cell>
        </row>
        <row r="7089">
          <cell r="A7089">
            <v>43565</v>
          </cell>
        </row>
        <row r="7090">
          <cell r="A7090">
            <v>43639</v>
          </cell>
        </row>
        <row r="7091">
          <cell r="A7091">
            <v>43168</v>
          </cell>
        </row>
        <row r="7092">
          <cell r="A7092">
            <v>43378</v>
          </cell>
        </row>
        <row r="7093">
          <cell r="A7093">
            <v>43684</v>
          </cell>
        </row>
        <row r="7094">
          <cell r="A7094">
            <v>43804</v>
          </cell>
        </row>
        <row r="7095">
          <cell r="A7095">
            <v>43271</v>
          </cell>
        </row>
        <row r="7096">
          <cell r="A7096">
            <v>43834</v>
          </cell>
        </row>
        <row r="7097">
          <cell r="A7097">
            <v>43212</v>
          </cell>
        </row>
        <row r="7098">
          <cell r="A7098">
            <v>43106</v>
          </cell>
        </row>
        <row r="7099">
          <cell r="A7099">
            <v>43401</v>
          </cell>
        </row>
        <row r="7100">
          <cell r="A7100">
            <v>43670</v>
          </cell>
        </row>
        <row r="7101">
          <cell r="A7101">
            <v>43127</v>
          </cell>
        </row>
        <row r="7102">
          <cell r="A7102">
            <v>43856</v>
          </cell>
        </row>
        <row r="7103">
          <cell r="A7103">
            <v>43577</v>
          </cell>
        </row>
        <row r="7104">
          <cell r="A7104">
            <v>43650</v>
          </cell>
        </row>
        <row r="7105">
          <cell r="A7105">
            <v>43210</v>
          </cell>
        </row>
        <row r="7106">
          <cell r="A7106">
            <v>43306</v>
          </cell>
        </row>
        <row r="7107">
          <cell r="A7107">
            <v>43915</v>
          </cell>
        </row>
        <row r="7108">
          <cell r="A7108">
            <v>43667</v>
          </cell>
        </row>
        <row r="7109">
          <cell r="A7109">
            <v>43232</v>
          </cell>
        </row>
        <row r="7110">
          <cell r="A7110">
            <v>43224</v>
          </cell>
        </row>
        <row r="7111">
          <cell r="A7111">
            <v>43380</v>
          </cell>
        </row>
        <row r="7112">
          <cell r="A7112">
            <v>43827</v>
          </cell>
        </row>
        <row r="7113">
          <cell r="A7113">
            <v>43177</v>
          </cell>
        </row>
        <row r="7114">
          <cell r="A7114">
            <v>43396</v>
          </cell>
        </row>
        <row r="7115">
          <cell r="A7115">
            <v>43370</v>
          </cell>
        </row>
        <row r="7116">
          <cell r="A7116">
            <v>43515</v>
          </cell>
        </row>
        <row r="7117">
          <cell r="A7117">
            <v>43325</v>
          </cell>
        </row>
        <row r="7118">
          <cell r="A7118">
            <v>43325</v>
          </cell>
        </row>
        <row r="7119">
          <cell r="A7119">
            <v>43632</v>
          </cell>
        </row>
        <row r="7120">
          <cell r="A7120">
            <v>43459</v>
          </cell>
        </row>
        <row r="7121">
          <cell r="A7121">
            <v>43407</v>
          </cell>
        </row>
        <row r="7122">
          <cell r="A7122">
            <v>43222</v>
          </cell>
        </row>
        <row r="7123">
          <cell r="A7123">
            <v>43262</v>
          </cell>
        </row>
        <row r="7124">
          <cell r="A7124">
            <v>43913</v>
          </cell>
        </row>
        <row r="7125">
          <cell r="A7125">
            <v>43298</v>
          </cell>
        </row>
        <row r="7126">
          <cell r="A7126">
            <v>43520</v>
          </cell>
        </row>
        <row r="7127">
          <cell r="A7127">
            <v>43115</v>
          </cell>
        </row>
        <row r="7128">
          <cell r="A7128">
            <v>43853</v>
          </cell>
        </row>
        <row r="7129">
          <cell r="A7129">
            <v>43740</v>
          </cell>
        </row>
        <row r="7130">
          <cell r="A7130">
            <v>43122</v>
          </cell>
        </row>
        <row r="7131">
          <cell r="A7131">
            <v>43797</v>
          </cell>
        </row>
        <row r="7132">
          <cell r="A7132">
            <v>43920</v>
          </cell>
        </row>
        <row r="7133">
          <cell r="A7133">
            <v>43781</v>
          </cell>
        </row>
        <row r="7134">
          <cell r="A7134">
            <v>43275</v>
          </cell>
        </row>
        <row r="7135">
          <cell r="A7135">
            <v>43749</v>
          </cell>
        </row>
        <row r="7136">
          <cell r="A7136">
            <v>43227</v>
          </cell>
        </row>
        <row r="7137">
          <cell r="A7137">
            <v>43427</v>
          </cell>
        </row>
        <row r="7138">
          <cell r="A7138">
            <v>43149</v>
          </cell>
        </row>
        <row r="7139">
          <cell r="A7139">
            <v>43516</v>
          </cell>
        </row>
        <row r="7140">
          <cell r="A7140">
            <v>43172</v>
          </cell>
        </row>
        <row r="7141">
          <cell r="A7141">
            <v>43395</v>
          </cell>
        </row>
        <row r="7142">
          <cell r="A7142">
            <v>43791</v>
          </cell>
        </row>
        <row r="7143">
          <cell r="A7143">
            <v>43139</v>
          </cell>
        </row>
        <row r="7144">
          <cell r="A7144">
            <v>43439</v>
          </cell>
        </row>
        <row r="7145">
          <cell r="A7145">
            <v>43107</v>
          </cell>
        </row>
        <row r="7146">
          <cell r="A7146">
            <v>43817</v>
          </cell>
        </row>
        <row r="7147">
          <cell r="A7147">
            <v>43783</v>
          </cell>
        </row>
        <row r="7148">
          <cell r="A7148">
            <v>43344</v>
          </cell>
        </row>
        <row r="7149">
          <cell r="A7149">
            <v>43166</v>
          </cell>
        </row>
        <row r="7150">
          <cell r="A7150">
            <v>43339</v>
          </cell>
        </row>
        <row r="7151">
          <cell r="A7151">
            <v>43571</v>
          </cell>
        </row>
        <row r="7152">
          <cell r="A7152">
            <v>43812</v>
          </cell>
        </row>
        <row r="7153">
          <cell r="A7153">
            <v>43452</v>
          </cell>
        </row>
        <row r="7154">
          <cell r="A7154">
            <v>43690</v>
          </cell>
        </row>
        <row r="7155">
          <cell r="A7155">
            <v>43914</v>
          </cell>
        </row>
        <row r="7156">
          <cell r="A7156">
            <v>43376</v>
          </cell>
        </row>
        <row r="7157">
          <cell r="A7157">
            <v>43915</v>
          </cell>
        </row>
        <row r="7158">
          <cell r="A7158">
            <v>43812</v>
          </cell>
        </row>
        <row r="7159">
          <cell r="A7159">
            <v>43269</v>
          </cell>
        </row>
        <row r="7160">
          <cell r="A7160">
            <v>43129</v>
          </cell>
        </row>
        <row r="7161">
          <cell r="A7161">
            <v>43624</v>
          </cell>
        </row>
        <row r="7162">
          <cell r="A7162">
            <v>43211</v>
          </cell>
        </row>
        <row r="7163">
          <cell r="A7163">
            <v>43438</v>
          </cell>
        </row>
        <row r="7164">
          <cell r="A7164">
            <v>43294</v>
          </cell>
        </row>
        <row r="7165">
          <cell r="A7165">
            <v>43200</v>
          </cell>
        </row>
        <row r="7166">
          <cell r="A7166">
            <v>43403</v>
          </cell>
        </row>
        <row r="7167">
          <cell r="A7167">
            <v>43141</v>
          </cell>
        </row>
        <row r="7168">
          <cell r="A7168">
            <v>43562</v>
          </cell>
        </row>
        <row r="7169">
          <cell r="A7169">
            <v>43256</v>
          </cell>
        </row>
        <row r="7170">
          <cell r="A7170">
            <v>43705</v>
          </cell>
        </row>
        <row r="7171">
          <cell r="A7171">
            <v>43814</v>
          </cell>
        </row>
        <row r="7172">
          <cell r="A7172">
            <v>43343</v>
          </cell>
        </row>
        <row r="7173">
          <cell r="A7173">
            <v>43254</v>
          </cell>
        </row>
        <row r="7174">
          <cell r="A7174">
            <v>43906</v>
          </cell>
        </row>
        <row r="7175">
          <cell r="A7175">
            <v>43337</v>
          </cell>
        </row>
        <row r="7176">
          <cell r="A7176">
            <v>43716</v>
          </cell>
        </row>
        <row r="7177">
          <cell r="A7177">
            <v>43869</v>
          </cell>
        </row>
        <row r="7178">
          <cell r="A7178">
            <v>43630</v>
          </cell>
        </row>
        <row r="7179">
          <cell r="A7179">
            <v>43379</v>
          </cell>
        </row>
        <row r="7180">
          <cell r="A7180">
            <v>43628</v>
          </cell>
        </row>
        <row r="7181">
          <cell r="A7181">
            <v>43795</v>
          </cell>
        </row>
        <row r="7182">
          <cell r="A7182">
            <v>43178</v>
          </cell>
        </row>
        <row r="7183">
          <cell r="A7183">
            <v>43168</v>
          </cell>
        </row>
        <row r="7184">
          <cell r="A7184">
            <v>43790</v>
          </cell>
        </row>
        <row r="7185">
          <cell r="A7185">
            <v>43120</v>
          </cell>
        </row>
        <row r="7186">
          <cell r="A7186">
            <v>43829</v>
          </cell>
        </row>
        <row r="7187">
          <cell r="A7187">
            <v>43825</v>
          </cell>
        </row>
        <row r="7188">
          <cell r="A7188">
            <v>43655</v>
          </cell>
        </row>
        <row r="7189">
          <cell r="A7189">
            <v>43908</v>
          </cell>
        </row>
        <row r="7190">
          <cell r="A7190">
            <v>43465</v>
          </cell>
        </row>
        <row r="7191">
          <cell r="A7191">
            <v>43893</v>
          </cell>
        </row>
        <row r="7192">
          <cell r="A7192">
            <v>43366</v>
          </cell>
        </row>
        <row r="7193">
          <cell r="A7193">
            <v>43509</v>
          </cell>
        </row>
        <row r="7194">
          <cell r="A7194">
            <v>43573</v>
          </cell>
        </row>
        <row r="7195">
          <cell r="A7195">
            <v>43151</v>
          </cell>
        </row>
        <row r="7196">
          <cell r="A7196">
            <v>43475</v>
          </cell>
        </row>
        <row r="7197">
          <cell r="A7197">
            <v>43652</v>
          </cell>
        </row>
        <row r="7198">
          <cell r="A7198">
            <v>43157</v>
          </cell>
        </row>
        <row r="7199">
          <cell r="A7199">
            <v>43774</v>
          </cell>
        </row>
        <row r="7200">
          <cell r="A7200">
            <v>43389</v>
          </cell>
        </row>
        <row r="7201">
          <cell r="A7201">
            <v>43167</v>
          </cell>
        </row>
        <row r="7202">
          <cell r="A7202">
            <v>43249</v>
          </cell>
        </row>
        <row r="7203">
          <cell r="A7203">
            <v>43624</v>
          </cell>
        </row>
        <row r="7204">
          <cell r="A7204">
            <v>43534</v>
          </cell>
        </row>
        <row r="7205">
          <cell r="A7205">
            <v>43746</v>
          </cell>
        </row>
        <row r="7206">
          <cell r="A7206">
            <v>43654</v>
          </cell>
        </row>
        <row r="7207">
          <cell r="A7207">
            <v>43298</v>
          </cell>
        </row>
        <row r="7208">
          <cell r="A7208">
            <v>43182</v>
          </cell>
        </row>
        <row r="7209">
          <cell r="A7209">
            <v>43119</v>
          </cell>
        </row>
        <row r="7210">
          <cell r="A7210">
            <v>43901</v>
          </cell>
        </row>
        <row r="7211">
          <cell r="A7211">
            <v>43783</v>
          </cell>
        </row>
        <row r="7212">
          <cell r="A7212">
            <v>43270</v>
          </cell>
        </row>
        <row r="7213">
          <cell r="A7213">
            <v>43878</v>
          </cell>
        </row>
        <row r="7214">
          <cell r="A7214">
            <v>43423</v>
          </cell>
        </row>
        <row r="7215">
          <cell r="A7215">
            <v>43812</v>
          </cell>
        </row>
        <row r="7216">
          <cell r="A7216">
            <v>43765</v>
          </cell>
        </row>
        <row r="7217">
          <cell r="A7217">
            <v>43906</v>
          </cell>
        </row>
        <row r="7218">
          <cell r="A7218">
            <v>43532</v>
          </cell>
        </row>
        <row r="7219">
          <cell r="A7219">
            <v>43294</v>
          </cell>
        </row>
        <row r="7220">
          <cell r="A7220">
            <v>43800</v>
          </cell>
        </row>
        <row r="7221">
          <cell r="A7221">
            <v>43901</v>
          </cell>
        </row>
        <row r="7222">
          <cell r="A7222">
            <v>43646</v>
          </cell>
        </row>
        <row r="7223">
          <cell r="A7223">
            <v>43809</v>
          </cell>
        </row>
        <row r="7224">
          <cell r="A7224">
            <v>43884</v>
          </cell>
        </row>
        <row r="7225">
          <cell r="A7225">
            <v>43883</v>
          </cell>
        </row>
        <row r="7226">
          <cell r="A7226">
            <v>43528</v>
          </cell>
        </row>
        <row r="7227">
          <cell r="A7227">
            <v>43372</v>
          </cell>
        </row>
        <row r="7228">
          <cell r="A7228">
            <v>43648</v>
          </cell>
        </row>
        <row r="7229">
          <cell r="A7229">
            <v>43705</v>
          </cell>
        </row>
        <row r="7230">
          <cell r="A7230">
            <v>43870</v>
          </cell>
        </row>
        <row r="7231">
          <cell r="A7231">
            <v>43415</v>
          </cell>
        </row>
        <row r="7232">
          <cell r="A7232">
            <v>43914</v>
          </cell>
        </row>
        <row r="7233">
          <cell r="A7233">
            <v>43147</v>
          </cell>
        </row>
        <row r="7234">
          <cell r="A7234">
            <v>43823</v>
          </cell>
        </row>
        <row r="7235">
          <cell r="A7235">
            <v>43269</v>
          </cell>
        </row>
        <row r="7236">
          <cell r="A7236">
            <v>43223</v>
          </cell>
        </row>
        <row r="7237">
          <cell r="A7237">
            <v>43798</v>
          </cell>
        </row>
        <row r="7238">
          <cell r="A7238">
            <v>43399</v>
          </cell>
        </row>
        <row r="7239">
          <cell r="A7239">
            <v>43622</v>
          </cell>
        </row>
        <row r="7240">
          <cell r="A7240">
            <v>43474</v>
          </cell>
        </row>
        <row r="7241">
          <cell r="A7241">
            <v>43723</v>
          </cell>
        </row>
        <row r="7242">
          <cell r="A7242">
            <v>43845</v>
          </cell>
        </row>
        <row r="7243">
          <cell r="A7243">
            <v>43681</v>
          </cell>
        </row>
        <row r="7244">
          <cell r="A7244">
            <v>43102</v>
          </cell>
        </row>
        <row r="7245">
          <cell r="A7245">
            <v>43496</v>
          </cell>
        </row>
        <row r="7246">
          <cell r="A7246">
            <v>43724</v>
          </cell>
        </row>
        <row r="7247">
          <cell r="A7247">
            <v>43249</v>
          </cell>
        </row>
        <row r="7248">
          <cell r="A7248">
            <v>43200</v>
          </cell>
        </row>
        <row r="7249">
          <cell r="A7249">
            <v>43459</v>
          </cell>
        </row>
        <row r="7250">
          <cell r="A7250">
            <v>43762</v>
          </cell>
        </row>
        <row r="7251">
          <cell r="A7251">
            <v>43516</v>
          </cell>
        </row>
        <row r="7252">
          <cell r="A7252">
            <v>43512</v>
          </cell>
        </row>
        <row r="7253">
          <cell r="A7253">
            <v>43788</v>
          </cell>
        </row>
        <row r="7254">
          <cell r="A7254">
            <v>43786</v>
          </cell>
        </row>
        <row r="7255">
          <cell r="A7255">
            <v>43746</v>
          </cell>
        </row>
        <row r="7256">
          <cell r="A7256">
            <v>43401</v>
          </cell>
        </row>
        <row r="7257">
          <cell r="A7257">
            <v>43268</v>
          </cell>
        </row>
        <row r="7258">
          <cell r="A7258">
            <v>43278</v>
          </cell>
        </row>
        <row r="7259">
          <cell r="A7259">
            <v>43826</v>
          </cell>
        </row>
        <row r="7260">
          <cell r="A7260">
            <v>43901</v>
          </cell>
        </row>
        <row r="7261">
          <cell r="A7261">
            <v>43619</v>
          </cell>
        </row>
        <row r="7262">
          <cell r="A7262">
            <v>43494</v>
          </cell>
        </row>
        <row r="7263">
          <cell r="A7263">
            <v>43344</v>
          </cell>
        </row>
        <row r="7264">
          <cell r="A7264">
            <v>43476</v>
          </cell>
        </row>
        <row r="7265">
          <cell r="A7265">
            <v>43486</v>
          </cell>
        </row>
        <row r="7266">
          <cell r="A7266">
            <v>43751</v>
          </cell>
        </row>
        <row r="7267">
          <cell r="A7267">
            <v>43145</v>
          </cell>
        </row>
        <row r="7268">
          <cell r="A7268">
            <v>43334</v>
          </cell>
        </row>
        <row r="7269">
          <cell r="A7269">
            <v>43462</v>
          </cell>
        </row>
        <row r="7270">
          <cell r="A7270">
            <v>43676</v>
          </cell>
        </row>
        <row r="7271">
          <cell r="A7271">
            <v>43320</v>
          </cell>
        </row>
        <row r="7272">
          <cell r="A7272">
            <v>43711</v>
          </cell>
        </row>
        <row r="7273">
          <cell r="A7273">
            <v>43847</v>
          </cell>
        </row>
        <row r="7274">
          <cell r="A7274">
            <v>43430</v>
          </cell>
        </row>
        <row r="7275">
          <cell r="A7275">
            <v>43610</v>
          </cell>
        </row>
        <row r="7276">
          <cell r="A7276">
            <v>43348</v>
          </cell>
        </row>
        <row r="7277">
          <cell r="A7277">
            <v>43338</v>
          </cell>
        </row>
        <row r="7278">
          <cell r="A7278">
            <v>43838</v>
          </cell>
        </row>
        <row r="7279">
          <cell r="A7279">
            <v>43404</v>
          </cell>
        </row>
        <row r="7280">
          <cell r="A7280">
            <v>43277</v>
          </cell>
        </row>
        <row r="7281">
          <cell r="A7281">
            <v>43910</v>
          </cell>
        </row>
        <row r="7282">
          <cell r="A7282">
            <v>43883</v>
          </cell>
        </row>
        <row r="7283">
          <cell r="A7283">
            <v>43185</v>
          </cell>
        </row>
        <row r="7284">
          <cell r="A7284">
            <v>43527</v>
          </cell>
        </row>
        <row r="7285">
          <cell r="A7285">
            <v>43697</v>
          </cell>
        </row>
        <row r="7286">
          <cell r="A7286">
            <v>43539</v>
          </cell>
        </row>
        <row r="7287">
          <cell r="A7287">
            <v>43318</v>
          </cell>
        </row>
        <row r="7288">
          <cell r="A7288">
            <v>43611</v>
          </cell>
        </row>
        <row r="7289">
          <cell r="A7289">
            <v>43364</v>
          </cell>
        </row>
        <row r="7290">
          <cell r="A7290">
            <v>43587</v>
          </cell>
        </row>
        <row r="7291">
          <cell r="A7291">
            <v>43582</v>
          </cell>
        </row>
        <row r="7292">
          <cell r="A7292">
            <v>43631</v>
          </cell>
        </row>
        <row r="7293">
          <cell r="A7293">
            <v>43859</v>
          </cell>
        </row>
        <row r="7294">
          <cell r="A7294">
            <v>43234</v>
          </cell>
        </row>
        <row r="7295">
          <cell r="A7295">
            <v>43783</v>
          </cell>
        </row>
        <row r="7296">
          <cell r="A7296">
            <v>43680</v>
          </cell>
        </row>
        <row r="7297">
          <cell r="A7297">
            <v>43137</v>
          </cell>
        </row>
        <row r="7298">
          <cell r="A7298">
            <v>43167</v>
          </cell>
        </row>
        <row r="7299">
          <cell r="A7299">
            <v>43532</v>
          </cell>
        </row>
        <row r="7300">
          <cell r="A7300">
            <v>43334</v>
          </cell>
        </row>
        <row r="7301">
          <cell r="A7301">
            <v>43349</v>
          </cell>
        </row>
        <row r="7302">
          <cell r="A7302">
            <v>43721</v>
          </cell>
        </row>
        <row r="7303">
          <cell r="A7303">
            <v>43459</v>
          </cell>
        </row>
        <row r="7304">
          <cell r="A7304">
            <v>43749</v>
          </cell>
        </row>
        <row r="7305">
          <cell r="A7305">
            <v>43505</v>
          </cell>
        </row>
        <row r="7306">
          <cell r="A7306">
            <v>43568</v>
          </cell>
        </row>
        <row r="7307">
          <cell r="A7307">
            <v>43858</v>
          </cell>
        </row>
        <row r="7308">
          <cell r="A7308">
            <v>43657</v>
          </cell>
        </row>
        <row r="7309">
          <cell r="A7309">
            <v>43202</v>
          </cell>
        </row>
        <row r="7310">
          <cell r="A7310">
            <v>43147</v>
          </cell>
        </row>
        <row r="7311">
          <cell r="A7311">
            <v>43440</v>
          </cell>
        </row>
        <row r="7312">
          <cell r="A7312">
            <v>43506</v>
          </cell>
        </row>
        <row r="7313">
          <cell r="A7313">
            <v>43122</v>
          </cell>
        </row>
        <row r="7314">
          <cell r="A7314">
            <v>43657</v>
          </cell>
        </row>
        <row r="7315">
          <cell r="A7315">
            <v>43114</v>
          </cell>
        </row>
        <row r="7316">
          <cell r="A7316">
            <v>43114</v>
          </cell>
        </row>
        <row r="7317">
          <cell r="A7317">
            <v>43755</v>
          </cell>
        </row>
        <row r="7318">
          <cell r="A7318">
            <v>43257</v>
          </cell>
        </row>
        <row r="7319">
          <cell r="A7319">
            <v>43287</v>
          </cell>
        </row>
        <row r="7320">
          <cell r="A7320">
            <v>43538</v>
          </cell>
        </row>
        <row r="7321">
          <cell r="A7321">
            <v>43682</v>
          </cell>
        </row>
        <row r="7322">
          <cell r="A7322">
            <v>43779</v>
          </cell>
        </row>
        <row r="7323">
          <cell r="A7323">
            <v>43345</v>
          </cell>
        </row>
        <row r="7324">
          <cell r="A7324">
            <v>43803</v>
          </cell>
        </row>
        <row r="7325">
          <cell r="A7325">
            <v>43577</v>
          </cell>
        </row>
        <row r="7326">
          <cell r="A7326">
            <v>43175</v>
          </cell>
        </row>
        <row r="7327">
          <cell r="A7327">
            <v>43778</v>
          </cell>
        </row>
        <row r="7328">
          <cell r="A7328">
            <v>43255</v>
          </cell>
        </row>
        <row r="7329">
          <cell r="A7329">
            <v>43434</v>
          </cell>
        </row>
        <row r="7330">
          <cell r="A7330">
            <v>43463</v>
          </cell>
        </row>
        <row r="7331">
          <cell r="A7331">
            <v>43542</v>
          </cell>
        </row>
        <row r="7332">
          <cell r="A7332">
            <v>43408</v>
          </cell>
        </row>
        <row r="7333">
          <cell r="A7333">
            <v>43139</v>
          </cell>
        </row>
        <row r="7334">
          <cell r="A7334">
            <v>43105</v>
          </cell>
        </row>
        <row r="7335">
          <cell r="A7335">
            <v>43800</v>
          </cell>
        </row>
        <row r="7336">
          <cell r="A7336">
            <v>43661</v>
          </cell>
        </row>
        <row r="7337">
          <cell r="A7337">
            <v>43160</v>
          </cell>
        </row>
        <row r="7338">
          <cell r="A7338">
            <v>43720</v>
          </cell>
        </row>
        <row r="7339">
          <cell r="A7339">
            <v>43525</v>
          </cell>
        </row>
        <row r="7340">
          <cell r="A7340">
            <v>43543</v>
          </cell>
        </row>
        <row r="7341">
          <cell r="A7341">
            <v>43755</v>
          </cell>
        </row>
        <row r="7342">
          <cell r="A7342">
            <v>43890</v>
          </cell>
        </row>
        <row r="7343">
          <cell r="A7343">
            <v>43908</v>
          </cell>
        </row>
        <row r="7344">
          <cell r="A7344">
            <v>43740</v>
          </cell>
        </row>
        <row r="7345">
          <cell r="A7345">
            <v>43651</v>
          </cell>
        </row>
        <row r="7346">
          <cell r="A7346">
            <v>43260</v>
          </cell>
        </row>
        <row r="7347">
          <cell r="A7347">
            <v>43530</v>
          </cell>
        </row>
        <row r="7348">
          <cell r="A7348">
            <v>43703</v>
          </cell>
        </row>
        <row r="7349">
          <cell r="A7349">
            <v>43656</v>
          </cell>
        </row>
        <row r="7350">
          <cell r="A7350">
            <v>43375</v>
          </cell>
        </row>
        <row r="7351">
          <cell r="A7351">
            <v>43829</v>
          </cell>
        </row>
        <row r="7352">
          <cell r="A7352">
            <v>43666</v>
          </cell>
        </row>
        <row r="7353">
          <cell r="A7353">
            <v>43533</v>
          </cell>
        </row>
        <row r="7354">
          <cell r="A7354">
            <v>43609</v>
          </cell>
        </row>
        <row r="7355">
          <cell r="A7355">
            <v>43814</v>
          </cell>
        </row>
        <row r="7356">
          <cell r="A7356">
            <v>43310</v>
          </cell>
        </row>
        <row r="7357">
          <cell r="A7357">
            <v>43604</v>
          </cell>
        </row>
        <row r="7358">
          <cell r="A7358">
            <v>43255</v>
          </cell>
        </row>
        <row r="7359">
          <cell r="A7359">
            <v>43583</v>
          </cell>
        </row>
        <row r="7360">
          <cell r="A7360">
            <v>43130</v>
          </cell>
        </row>
        <row r="7361">
          <cell r="A7361">
            <v>43704</v>
          </cell>
        </row>
        <row r="7362">
          <cell r="A7362">
            <v>43481</v>
          </cell>
        </row>
        <row r="7363">
          <cell r="A7363">
            <v>43573</v>
          </cell>
        </row>
        <row r="7364">
          <cell r="A7364">
            <v>43691</v>
          </cell>
        </row>
        <row r="7365">
          <cell r="A7365">
            <v>43858</v>
          </cell>
        </row>
        <row r="7366">
          <cell r="A7366">
            <v>43432</v>
          </cell>
        </row>
        <row r="7367">
          <cell r="A7367">
            <v>43451</v>
          </cell>
        </row>
        <row r="7368">
          <cell r="A7368">
            <v>43463</v>
          </cell>
        </row>
        <row r="7369">
          <cell r="A7369">
            <v>43752</v>
          </cell>
        </row>
        <row r="7370">
          <cell r="A7370">
            <v>43636</v>
          </cell>
        </row>
        <row r="7371">
          <cell r="A7371">
            <v>43894</v>
          </cell>
        </row>
        <row r="7372">
          <cell r="A7372">
            <v>43574</v>
          </cell>
        </row>
        <row r="7373">
          <cell r="A7373">
            <v>43391</v>
          </cell>
        </row>
        <row r="7374">
          <cell r="A7374">
            <v>43104</v>
          </cell>
        </row>
        <row r="7375">
          <cell r="A7375">
            <v>43738</v>
          </cell>
        </row>
        <row r="7376">
          <cell r="A7376">
            <v>43650</v>
          </cell>
        </row>
        <row r="7377">
          <cell r="A7377">
            <v>43294</v>
          </cell>
        </row>
        <row r="7378">
          <cell r="A7378">
            <v>43428</v>
          </cell>
        </row>
        <row r="7379">
          <cell r="A7379">
            <v>43277</v>
          </cell>
        </row>
        <row r="7380">
          <cell r="A7380">
            <v>43480</v>
          </cell>
        </row>
        <row r="7381">
          <cell r="A7381">
            <v>43241</v>
          </cell>
        </row>
        <row r="7382">
          <cell r="A7382">
            <v>43795</v>
          </cell>
        </row>
        <row r="7383">
          <cell r="A7383">
            <v>43801</v>
          </cell>
        </row>
        <row r="7384">
          <cell r="A7384">
            <v>43628</v>
          </cell>
        </row>
        <row r="7385">
          <cell r="A7385">
            <v>43438</v>
          </cell>
        </row>
        <row r="7386">
          <cell r="A7386">
            <v>43806</v>
          </cell>
        </row>
        <row r="7387">
          <cell r="A7387">
            <v>43300</v>
          </cell>
        </row>
        <row r="7388">
          <cell r="A7388">
            <v>43264</v>
          </cell>
        </row>
        <row r="7389">
          <cell r="A7389">
            <v>43151</v>
          </cell>
        </row>
        <row r="7390">
          <cell r="A7390">
            <v>43171</v>
          </cell>
        </row>
        <row r="7391">
          <cell r="A7391">
            <v>43503</v>
          </cell>
        </row>
        <row r="7392">
          <cell r="A7392">
            <v>43463</v>
          </cell>
        </row>
        <row r="7393">
          <cell r="A7393">
            <v>43277</v>
          </cell>
        </row>
        <row r="7394">
          <cell r="A7394">
            <v>43552</v>
          </cell>
        </row>
        <row r="7395">
          <cell r="A7395">
            <v>43614</v>
          </cell>
        </row>
        <row r="7396">
          <cell r="A7396">
            <v>43417</v>
          </cell>
        </row>
        <row r="7397">
          <cell r="A7397">
            <v>43632</v>
          </cell>
        </row>
        <row r="7398">
          <cell r="A7398">
            <v>43867</v>
          </cell>
        </row>
        <row r="7399">
          <cell r="A7399">
            <v>43544</v>
          </cell>
        </row>
        <row r="7400">
          <cell r="A7400">
            <v>43479</v>
          </cell>
        </row>
        <row r="7401">
          <cell r="A7401">
            <v>43618</v>
          </cell>
        </row>
        <row r="7402">
          <cell r="A7402">
            <v>43315</v>
          </cell>
        </row>
        <row r="7403">
          <cell r="A7403">
            <v>43413</v>
          </cell>
        </row>
        <row r="7404">
          <cell r="A7404">
            <v>43506</v>
          </cell>
        </row>
        <row r="7405">
          <cell r="A7405">
            <v>43505</v>
          </cell>
        </row>
        <row r="7406">
          <cell r="A7406">
            <v>43578</v>
          </cell>
        </row>
        <row r="7407">
          <cell r="A7407">
            <v>43362</v>
          </cell>
        </row>
        <row r="7408">
          <cell r="A7408">
            <v>43919</v>
          </cell>
        </row>
        <row r="7409">
          <cell r="A7409">
            <v>43906</v>
          </cell>
        </row>
        <row r="7410">
          <cell r="A7410">
            <v>43852</v>
          </cell>
        </row>
        <row r="7411">
          <cell r="A7411">
            <v>43215</v>
          </cell>
        </row>
        <row r="7412">
          <cell r="A7412">
            <v>43404</v>
          </cell>
        </row>
        <row r="7413">
          <cell r="A7413">
            <v>43472</v>
          </cell>
        </row>
        <row r="7414">
          <cell r="A7414">
            <v>43444</v>
          </cell>
        </row>
        <row r="7415">
          <cell r="A7415">
            <v>43257</v>
          </cell>
        </row>
        <row r="7416">
          <cell r="A7416">
            <v>43131</v>
          </cell>
        </row>
        <row r="7417">
          <cell r="A7417">
            <v>43376</v>
          </cell>
        </row>
        <row r="7418">
          <cell r="A7418">
            <v>43454</v>
          </cell>
        </row>
        <row r="7419">
          <cell r="A7419">
            <v>43889</v>
          </cell>
        </row>
        <row r="7420">
          <cell r="A7420">
            <v>43149</v>
          </cell>
        </row>
        <row r="7421">
          <cell r="A7421">
            <v>43895</v>
          </cell>
        </row>
        <row r="7422">
          <cell r="A7422">
            <v>43620</v>
          </cell>
        </row>
        <row r="7423">
          <cell r="A7423">
            <v>43901</v>
          </cell>
        </row>
        <row r="7424">
          <cell r="A7424">
            <v>43459</v>
          </cell>
        </row>
        <row r="7425">
          <cell r="A7425">
            <v>43187</v>
          </cell>
        </row>
        <row r="7426">
          <cell r="A7426">
            <v>43731</v>
          </cell>
        </row>
        <row r="7427">
          <cell r="A7427">
            <v>43858</v>
          </cell>
        </row>
        <row r="7428">
          <cell r="A7428">
            <v>43907</v>
          </cell>
        </row>
        <row r="7429">
          <cell r="A7429">
            <v>43869</v>
          </cell>
        </row>
        <row r="7430">
          <cell r="A7430">
            <v>43467</v>
          </cell>
        </row>
        <row r="7431">
          <cell r="A7431">
            <v>43153</v>
          </cell>
        </row>
        <row r="7432">
          <cell r="A7432">
            <v>43829</v>
          </cell>
        </row>
        <row r="7433">
          <cell r="A7433">
            <v>43910</v>
          </cell>
        </row>
        <row r="7434">
          <cell r="A7434">
            <v>43432</v>
          </cell>
        </row>
        <row r="7435">
          <cell r="A7435">
            <v>43631</v>
          </cell>
        </row>
        <row r="7436">
          <cell r="A7436">
            <v>43137</v>
          </cell>
        </row>
        <row r="7437">
          <cell r="A7437">
            <v>43555</v>
          </cell>
        </row>
        <row r="7438">
          <cell r="A7438">
            <v>43381</v>
          </cell>
        </row>
        <row r="7439">
          <cell r="A7439">
            <v>43858</v>
          </cell>
        </row>
        <row r="7440">
          <cell r="A7440">
            <v>43605</v>
          </cell>
        </row>
        <row r="7441">
          <cell r="A7441">
            <v>43287</v>
          </cell>
        </row>
        <row r="7442">
          <cell r="A7442">
            <v>43482</v>
          </cell>
        </row>
        <row r="7443">
          <cell r="A7443">
            <v>43162</v>
          </cell>
        </row>
        <row r="7444">
          <cell r="A7444">
            <v>43424</v>
          </cell>
        </row>
        <row r="7445">
          <cell r="A7445">
            <v>43633</v>
          </cell>
        </row>
        <row r="7446">
          <cell r="A7446">
            <v>43816</v>
          </cell>
        </row>
        <row r="7447">
          <cell r="A7447">
            <v>43352</v>
          </cell>
        </row>
        <row r="7448">
          <cell r="A7448">
            <v>43254</v>
          </cell>
        </row>
        <row r="7449">
          <cell r="A7449">
            <v>43496</v>
          </cell>
        </row>
        <row r="7450">
          <cell r="A7450">
            <v>43150</v>
          </cell>
        </row>
        <row r="7451">
          <cell r="A7451">
            <v>43404</v>
          </cell>
        </row>
        <row r="7452">
          <cell r="A7452">
            <v>43501</v>
          </cell>
        </row>
        <row r="7453">
          <cell r="A7453">
            <v>43900</v>
          </cell>
        </row>
        <row r="7454">
          <cell r="A7454">
            <v>43507</v>
          </cell>
        </row>
        <row r="7455">
          <cell r="A7455">
            <v>43591</v>
          </cell>
        </row>
        <row r="7456">
          <cell r="A7456">
            <v>43730</v>
          </cell>
        </row>
        <row r="7457">
          <cell r="A7457">
            <v>43305</v>
          </cell>
        </row>
        <row r="7458">
          <cell r="A7458">
            <v>43496</v>
          </cell>
        </row>
        <row r="7459">
          <cell r="A7459">
            <v>43495</v>
          </cell>
        </row>
        <row r="7460">
          <cell r="A7460">
            <v>43119</v>
          </cell>
        </row>
        <row r="7461">
          <cell r="A7461">
            <v>43183</v>
          </cell>
        </row>
        <row r="7462">
          <cell r="A7462">
            <v>43447</v>
          </cell>
        </row>
        <row r="7463">
          <cell r="A7463">
            <v>43792</v>
          </cell>
        </row>
        <row r="7464">
          <cell r="A7464">
            <v>43786</v>
          </cell>
        </row>
        <row r="7465">
          <cell r="A7465">
            <v>43341</v>
          </cell>
        </row>
        <row r="7466">
          <cell r="A7466">
            <v>43181</v>
          </cell>
        </row>
        <row r="7467">
          <cell r="A7467">
            <v>43793</v>
          </cell>
        </row>
        <row r="7468">
          <cell r="A7468">
            <v>43760</v>
          </cell>
        </row>
        <row r="7469">
          <cell r="A7469">
            <v>43205</v>
          </cell>
        </row>
        <row r="7470">
          <cell r="A7470">
            <v>43692</v>
          </cell>
        </row>
        <row r="7471">
          <cell r="A7471">
            <v>43533</v>
          </cell>
        </row>
        <row r="7472">
          <cell r="A7472">
            <v>43196</v>
          </cell>
        </row>
        <row r="7473">
          <cell r="A7473">
            <v>43883</v>
          </cell>
        </row>
        <row r="7474">
          <cell r="A7474">
            <v>43143</v>
          </cell>
        </row>
        <row r="7475">
          <cell r="A7475">
            <v>43248</v>
          </cell>
        </row>
        <row r="7476">
          <cell r="A7476">
            <v>43731</v>
          </cell>
        </row>
        <row r="7477">
          <cell r="A7477">
            <v>43904</v>
          </cell>
        </row>
        <row r="7478">
          <cell r="A7478">
            <v>43719</v>
          </cell>
        </row>
        <row r="7479">
          <cell r="A7479">
            <v>43525</v>
          </cell>
        </row>
        <row r="7480">
          <cell r="A7480">
            <v>43645</v>
          </cell>
        </row>
        <row r="7481">
          <cell r="A7481">
            <v>43584</v>
          </cell>
        </row>
        <row r="7482">
          <cell r="A7482">
            <v>43357</v>
          </cell>
        </row>
        <row r="7483">
          <cell r="A7483">
            <v>43517</v>
          </cell>
        </row>
        <row r="7484">
          <cell r="A7484">
            <v>43222</v>
          </cell>
        </row>
        <row r="7485">
          <cell r="A7485">
            <v>43497</v>
          </cell>
        </row>
        <row r="7486">
          <cell r="A7486">
            <v>43154</v>
          </cell>
        </row>
        <row r="7487">
          <cell r="A7487">
            <v>43789</v>
          </cell>
        </row>
        <row r="7488">
          <cell r="A7488">
            <v>43561</v>
          </cell>
        </row>
        <row r="7489">
          <cell r="A7489">
            <v>43374</v>
          </cell>
        </row>
        <row r="7490">
          <cell r="A7490">
            <v>43531</v>
          </cell>
        </row>
        <row r="7491">
          <cell r="A7491">
            <v>43628</v>
          </cell>
        </row>
        <row r="7492">
          <cell r="A7492">
            <v>43117</v>
          </cell>
        </row>
        <row r="7493">
          <cell r="A7493">
            <v>43389</v>
          </cell>
        </row>
        <row r="7494">
          <cell r="A7494">
            <v>43376</v>
          </cell>
        </row>
        <row r="7495">
          <cell r="A7495">
            <v>43889</v>
          </cell>
        </row>
        <row r="7496">
          <cell r="A7496">
            <v>43127</v>
          </cell>
        </row>
        <row r="7497">
          <cell r="A7497">
            <v>43295</v>
          </cell>
        </row>
        <row r="7498">
          <cell r="A7498">
            <v>43914</v>
          </cell>
        </row>
        <row r="7499">
          <cell r="A7499">
            <v>43334</v>
          </cell>
        </row>
        <row r="7500">
          <cell r="A7500">
            <v>43510</v>
          </cell>
        </row>
        <row r="7501">
          <cell r="A7501">
            <v>43250</v>
          </cell>
        </row>
        <row r="7502">
          <cell r="A7502">
            <v>43334</v>
          </cell>
        </row>
        <row r="7503">
          <cell r="A7503">
            <v>43106</v>
          </cell>
        </row>
        <row r="7504">
          <cell r="A7504">
            <v>43119</v>
          </cell>
        </row>
        <row r="7505">
          <cell r="A7505">
            <v>43272</v>
          </cell>
        </row>
        <row r="7506">
          <cell r="A7506">
            <v>43621</v>
          </cell>
        </row>
        <row r="7507">
          <cell r="A7507">
            <v>43557</v>
          </cell>
        </row>
        <row r="7508">
          <cell r="A7508">
            <v>43606</v>
          </cell>
        </row>
        <row r="7509">
          <cell r="A7509">
            <v>43617</v>
          </cell>
        </row>
        <row r="7510">
          <cell r="A7510">
            <v>43872</v>
          </cell>
        </row>
        <row r="7511">
          <cell r="A7511">
            <v>43425</v>
          </cell>
        </row>
        <row r="7512">
          <cell r="A7512">
            <v>43152</v>
          </cell>
        </row>
        <row r="7513">
          <cell r="A7513">
            <v>43313</v>
          </cell>
        </row>
        <row r="7514">
          <cell r="A7514">
            <v>43253</v>
          </cell>
        </row>
        <row r="7515">
          <cell r="A7515">
            <v>43797</v>
          </cell>
        </row>
        <row r="7516">
          <cell r="A7516">
            <v>43275</v>
          </cell>
        </row>
        <row r="7517">
          <cell r="A7517">
            <v>43728</v>
          </cell>
        </row>
        <row r="7518">
          <cell r="A7518">
            <v>43315</v>
          </cell>
        </row>
        <row r="7519">
          <cell r="A7519">
            <v>43559</v>
          </cell>
        </row>
        <row r="7520">
          <cell r="A7520">
            <v>43736</v>
          </cell>
        </row>
        <row r="7521">
          <cell r="A7521">
            <v>43723</v>
          </cell>
        </row>
        <row r="7522">
          <cell r="A7522">
            <v>43627</v>
          </cell>
        </row>
        <row r="7523">
          <cell r="A7523">
            <v>43614</v>
          </cell>
        </row>
        <row r="7524">
          <cell r="A7524">
            <v>43325</v>
          </cell>
        </row>
        <row r="7525">
          <cell r="A7525">
            <v>43207</v>
          </cell>
        </row>
        <row r="7526">
          <cell r="A7526">
            <v>43533</v>
          </cell>
        </row>
        <row r="7527">
          <cell r="A7527">
            <v>43772</v>
          </cell>
        </row>
        <row r="7528">
          <cell r="A7528">
            <v>43500</v>
          </cell>
        </row>
        <row r="7529">
          <cell r="A7529">
            <v>43233</v>
          </cell>
        </row>
        <row r="7530">
          <cell r="A7530">
            <v>43140</v>
          </cell>
        </row>
        <row r="7531">
          <cell r="A7531">
            <v>43365</v>
          </cell>
        </row>
        <row r="7532">
          <cell r="A7532">
            <v>43727</v>
          </cell>
        </row>
        <row r="7533">
          <cell r="A7533">
            <v>43219</v>
          </cell>
        </row>
        <row r="7534">
          <cell r="A7534">
            <v>43702</v>
          </cell>
        </row>
        <row r="7535">
          <cell r="A7535">
            <v>43756</v>
          </cell>
        </row>
        <row r="7536">
          <cell r="A7536">
            <v>43917</v>
          </cell>
        </row>
        <row r="7537">
          <cell r="A7537">
            <v>43872</v>
          </cell>
        </row>
        <row r="7538">
          <cell r="A7538">
            <v>43521</v>
          </cell>
        </row>
        <row r="7539">
          <cell r="A7539">
            <v>43279</v>
          </cell>
        </row>
        <row r="7540">
          <cell r="A7540">
            <v>43514</v>
          </cell>
        </row>
        <row r="7541">
          <cell r="A7541">
            <v>43543</v>
          </cell>
        </row>
        <row r="7542">
          <cell r="A7542">
            <v>43230</v>
          </cell>
        </row>
        <row r="7543">
          <cell r="A7543">
            <v>43523</v>
          </cell>
        </row>
        <row r="7544">
          <cell r="A7544">
            <v>43814</v>
          </cell>
        </row>
        <row r="7545">
          <cell r="A7545">
            <v>43208</v>
          </cell>
        </row>
        <row r="7546">
          <cell r="A7546">
            <v>43717</v>
          </cell>
        </row>
        <row r="7547">
          <cell r="A7547">
            <v>43197</v>
          </cell>
        </row>
        <row r="7548">
          <cell r="A7548">
            <v>43167</v>
          </cell>
        </row>
        <row r="7549">
          <cell r="A7549">
            <v>43468</v>
          </cell>
        </row>
        <row r="7550">
          <cell r="A7550">
            <v>43471</v>
          </cell>
        </row>
        <row r="7551">
          <cell r="A7551">
            <v>43407</v>
          </cell>
        </row>
        <row r="7552">
          <cell r="A7552">
            <v>43807</v>
          </cell>
        </row>
        <row r="7553">
          <cell r="A7553">
            <v>43727</v>
          </cell>
        </row>
        <row r="7554">
          <cell r="A7554">
            <v>43482</v>
          </cell>
        </row>
        <row r="7555">
          <cell r="A7555">
            <v>43743</v>
          </cell>
        </row>
        <row r="7556">
          <cell r="A7556">
            <v>43799</v>
          </cell>
        </row>
        <row r="7557">
          <cell r="A7557">
            <v>43372</v>
          </cell>
        </row>
        <row r="7558">
          <cell r="A7558">
            <v>43734</v>
          </cell>
        </row>
        <row r="7559">
          <cell r="A7559">
            <v>43789</v>
          </cell>
        </row>
        <row r="7560">
          <cell r="A7560">
            <v>43136</v>
          </cell>
        </row>
        <row r="7561">
          <cell r="A7561">
            <v>43675</v>
          </cell>
        </row>
        <row r="7562">
          <cell r="A7562">
            <v>43235</v>
          </cell>
        </row>
        <row r="7563">
          <cell r="A7563">
            <v>43656</v>
          </cell>
        </row>
        <row r="7564">
          <cell r="A7564">
            <v>43493</v>
          </cell>
        </row>
        <row r="7565">
          <cell r="A7565">
            <v>43834</v>
          </cell>
        </row>
        <row r="7566">
          <cell r="A7566">
            <v>43633</v>
          </cell>
        </row>
        <row r="7567">
          <cell r="A7567">
            <v>43647</v>
          </cell>
        </row>
        <row r="7568">
          <cell r="A7568">
            <v>43566</v>
          </cell>
        </row>
        <row r="7569">
          <cell r="A7569">
            <v>43315</v>
          </cell>
        </row>
        <row r="7570">
          <cell r="A7570">
            <v>43777</v>
          </cell>
        </row>
        <row r="7571">
          <cell r="A7571">
            <v>43633</v>
          </cell>
        </row>
        <row r="7572">
          <cell r="A7572">
            <v>43474</v>
          </cell>
        </row>
        <row r="7573">
          <cell r="A7573">
            <v>43489</v>
          </cell>
        </row>
        <row r="7574">
          <cell r="A7574">
            <v>43714</v>
          </cell>
        </row>
        <row r="7575">
          <cell r="A7575">
            <v>43874</v>
          </cell>
        </row>
        <row r="7576">
          <cell r="A7576">
            <v>43640</v>
          </cell>
        </row>
        <row r="7577">
          <cell r="A7577">
            <v>43709</v>
          </cell>
        </row>
        <row r="7578">
          <cell r="A7578">
            <v>43645</v>
          </cell>
        </row>
        <row r="7579">
          <cell r="A7579">
            <v>43204</v>
          </cell>
        </row>
        <row r="7580">
          <cell r="A7580">
            <v>43527</v>
          </cell>
        </row>
        <row r="7581">
          <cell r="A7581">
            <v>43374</v>
          </cell>
        </row>
        <row r="7582">
          <cell r="A7582">
            <v>43513</v>
          </cell>
        </row>
        <row r="7583">
          <cell r="A7583">
            <v>43603</v>
          </cell>
        </row>
        <row r="7584">
          <cell r="A7584">
            <v>43880</v>
          </cell>
        </row>
        <row r="7585">
          <cell r="A7585">
            <v>43225</v>
          </cell>
        </row>
        <row r="7586">
          <cell r="A7586">
            <v>43528</v>
          </cell>
        </row>
        <row r="7587">
          <cell r="A7587">
            <v>43246</v>
          </cell>
        </row>
        <row r="7588">
          <cell r="A7588">
            <v>43233</v>
          </cell>
        </row>
        <row r="7589">
          <cell r="A7589">
            <v>43907</v>
          </cell>
        </row>
        <row r="7590">
          <cell r="A7590">
            <v>43469</v>
          </cell>
        </row>
        <row r="7591">
          <cell r="A7591">
            <v>43542</v>
          </cell>
        </row>
        <row r="7592">
          <cell r="A7592">
            <v>43146</v>
          </cell>
        </row>
        <row r="7593">
          <cell r="A7593">
            <v>43345</v>
          </cell>
        </row>
        <row r="7594">
          <cell r="A7594">
            <v>43770</v>
          </cell>
        </row>
        <row r="7595">
          <cell r="A7595">
            <v>43121</v>
          </cell>
        </row>
        <row r="7596">
          <cell r="A7596">
            <v>43684</v>
          </cell>
        </row>
        <row r="7597">
          <cell r="A7597">
            <v>43594</v>
          </cell>
        </row>
        <row r="7598">
          <cell r="A7598">
            <v>43813</v>
          </cell>
        </row>
        <row r="7599">
          <cell r="A7599">
            <v>43474</v>
          </cell>
        </row>
        <row r="7600">
          <cell r="A7600">
            <v>43119</v>
          </cell>
        </row>
        <row r="7601">
          <cell r="A7601">
            <v>43905</v>
          </cell>
        </row>
        <row r="7602">
          <cell r="A7602">
            <v>43134</v>
          </cell>
        </row>
        <row r="7603">
          <cell r="A7603">
            <v>43738</v>
          </cell>
        </row>
        <row r="7604">
          <cell r="A7604">
            <v>43703</v>
          </cell>
        </row>
        <row r="7605">
          <cell r="A7605">
            <v>43471</v>
          </cell>
        </row>
        <row r="7606">
          <cell r="A7606">
            <v>43637</v>
          </cell>
        </row>
        <row r="7607">
          <cell r="A7607">
            <v>43308</v>
          </cell>
        </row>
        <row r="7608">
          <cell r="A7608">
            <v>43177</v>
          </cell>
        </row>
        <row r="7609">
          <cell r="A7609">
            <v>43886</v>
          </cell>
        </row>
        <row r="7610">
          <cell r="A7610">
            <v>43857</v>
          </cell>
        </row>
        <row r="7611">
          <cell r="A7611">
            <v>43807</v>
          </cell>
        </row>
        <row r="7612">
          <cell r="A7612">
            <v>43192</v>
          </cell>
        </row>
        <row r="7613">
          <cell r="A7613">
            <v>43580</v>
          </cell>
        </row>
        <row r="7614">
          <cell r="A7614">
            <v>43313</v>
          </cell>
        </row>
        <row r="7615">
          <cell r="A7615">
            <v>43195</v>
          </cell>
        </row>
        <row r="7616">
          <cell r="A7616">
            <v>43890</v>
          </cell>
        </row>
        <row r="7617">
          <cell r="A7617">
            <v>43146</v>
          </cell>
        </row>
        <row r="7618">
          <cell r="A7618">
            <v>43455</v>
          </cell>
        </row>
        <row r="7619">
          <cell r="A7619">
            <v>43436</v>
          </cell>
        </row>
        <row r="7620">
          <cell r="A7620">
            <v>43101</v>
          </cell>
        </row>
        <row r="7621">
          <cell r="A7621">
            <v>43655</v>
          </cell>
        </row>
        <row r="7622">
          <cell r="A7622">
            <v>43695</v>
          </cell>
        </row>
        <row r="7623">
          <cell r="A7623">
            <v>43487</v>
          </cell>
        </row>
        <row r="7624">
          <cell r="A7624">
            <v>43378</v>
          </cell>
        </row>
        <row r="7625">
          <cell r="A7625">
            <v>43751</v>
          </cell>
        </row>
        <row r="7626">
          <cell r="A7626">
            <v>43730</v>
          </cell>
        </row>
        <row r="7627">
          <cell r="A7627">
            <v>43653</v>
          </cell>
        </row>
        <row r="7628">
          <cell r="A7628">
            <v>43411</v>
          </cell>
        </row>
        <row r="7629">
          <cell r="A7629">
            <v>43226</v>
          </cell>
        </row>
        <row r="7630">
          <cell r="A7630">
            <v>43673</v>
          </cell>
        </row>
        <row r="7631">
          <cell r="A7631">
            <v>43278</v>
          </cell>
        </row>
        <row r="7632">
          <cell r="A7632">
            <v>43886</v>
          </cell>
        </row>
        <row r="7633">
          <cell r="A7633">
            <v>43710</v>
          </cell>
        </row>
        <row r="7634">
          <cell r="A7634">
            <v>43662</v>
          </cell>
        </row>
        <row r="7635">
          <cell r="A7635">
            <v>43499</v>
          </cell>
        </row>
        <row r="7636">
          <cell r="A7636">
            <v>43660</v>
          </cell>
        </row>
        <row r="7637">
          <cell r="A7637">
            <v>43393</v>
          </cell>
        </row>
        <row r="7638">
          <cell r="A7638">
            <v>43451</v>
          </cell>
        </row>
        <row r="7639">
          <cell r="A7639">
            <v>43677</v>
          </cell>
        </row>
        <row r="7640">
          <cell r="A7640">
            <v>43257</v>
          </cell>
        </row>
        <row r="7641">
          <cell r="A7641">
            <v>43889</v>
          </cell>
        </row>
        <row r="7642">
          <cell r="A7642">
            <v>43600</v>
          </cell>
        </row>
        <row r="7643">
          <cell r="A7643">
            <v>43816</v>
          </cell>
        </row>
        <row r="7644">
          <cell r="A7644">
            <v>43786</v>
          </cell>
        </row>
        <row r="7645">
          <cell r="A7645">
            <v>43223</v>
          </cell>
        </row>
        <row r="7646">
          <cell r="A7646">
            <v>43213</v>
          </cell>
        </row>
        <row r="7647">
          <cell r="A7647">
            <v>43915</v>
          </cell>
        </row>
        <row r="7648">
          <cell r="A7648">
            <v>43824</v>
          </cell>
        </row>
        <row r="7649">
          <cell r="A7649">
            <v>43568</v>
          </cell>
        </row>
        <row r="7650">
          <cell r="A7650">
            <v>43900</v>
          </cell>
        </row>
        <row r="7651">
          <cell r="A7651">
            <v>43785</v>
          </cell>
        </row>
        <row r="7652">
          <cell r="A7652">
            <v>43322</v>
          </cell>
        </row>
        <row r="7653">
          <cell r="A7653">
            <v>43457</v>
          </cell>
        </row>
        <row r="7654">
          <cell r="A7654">
            <v>43840</v>
          </cell>
        </row>
        <row r="7655">
          <cell r="A7655">
            <v>43872</v>
          </cell>
        </row>
        <row r="7656">
          <cell r="A7656">
            <v>43220</v>
          </cell>
        </row>
        <row r="7657">
          <cell r="A7657">
            <v>43649</v>
          </cell>
        </row>
        <row r="7658">
          <cell r="A7658">
            <v>43680</v>
          </cell>
        </row>
        <row r="7659">
          <cell r="A7659">
            <v>43274</v>
          </cell>
        </row>
        <row r="7660">
          <cell r="A7660">
            <v>43537</v>
          </cell>
        </row>
        <row r="7661">
          <cell r="A7661">
            <v>43234</v>
          </cell>
        </row>
        <row r="7662">
          <cell r="A7662">
            <v>43646</v>
          </cell>
        </row>
        <row r="7663">
          <cell r="A7663">
            <v>43141</v>
          </cell>
        </row>
        <row r="7664">
          <cell r="A7664">
            <v>43892</v>
          </cell>
        </row>
        <row r="7665">
          <cell r="A7665">
            <v>43398</v>
          </cell>
        </row>
        <row r="7666">
          <cell r="A7666">
            <v>43408</v>
          </cell>
        </row>
        <row r="7667">
          <cell r="A7667">
            <v>43510</v>
          </cell>
        </row>
        <row r="7668">
          <cell r="A7668">
            <v>43393</v>
          </cell>
        </row>
        <row r="7669">
          <cell r="A7669">
            <v>43830</v>
          </cell>
        </row>
        <row r="7670">
          <cell r="A7670">
            <v>43296</v>
          </cell>
        </row>
        <row r="7671">
          <cell r="A7671">
            <v>43160</v>
          </cell>
        </row>
        <row r="7672">
          <cell r="A7672">
            <v>43149</v>
          </cell>
        </row>
        <row r="7673">
          <cell r="A7673">
            <v>43451</v>
          </cell>
        </row>
        <row r="7674">
          <cell r="A7674">
            <v>43185</v>
          </cell>
        </row>
        <row r="7675">
          <cell r="A7675">
            <v>43309</v>
          </cell>
        </row>
        <row r="7676">
          <cell r="A7676">
            <v>43558</v>
          </cell>
        </row>
        <row r="7677">
          <cell r="A7677">
            <v>43451</v>
          </cell>
        </row>
        <row r="7678">
          <cell r="A7678">
            <v>43834</v>
          </cell>
        </row>
        <row r="7679">
          <cell r="A7679">
            <v>43334</v>
          </cell>
        </row>
        <row r="7680">
          <cell r="A7680">
            <v>43371</v>
          </cell>
        </row>
        <row r="7681">
          <cell r="A7681">
            <v>43614</v>
          </cell>
        </row>
        <row r="7682">
          <cell r="A7682">
            <v>43547</v>
          </cell>
        </row>
        <row r="7683">
          <cell r="A7683">
            <v>43284</v>
          </cell>
        </row>
        <row r="7684">
          <cell r="A7684">
            <v>43883</v>
          </cell>
        </row>
        <row r="7685">
          <cell r="A7685">
            <v>43757</v>
          </cell>
        </row>
        <row r="7686">
          <cell r="A7686">
            <v>43442</v>
          </cell>
        </row>
        <row r="7687">
          <cell r="A7687">
            <v>43511</v>
          </cell>
        </row>
        <row r="7688">
          <cell r="A7688">
            <v>43306</v>
          </cell>
        </row>
        <row r="7689">
          <cell r="A7689">
            <v>43427</v>
          </cell>
        </row>
        <row r="7690">
          <cell r="A7690">
            <v>43324</v>
          </cell>
        </row>
        <row r="7691">
          <cell r="A7691">
            <v>43797</v>
          </cell>
        </row>
        <row r="7692">
          <cell r="A7692">
            <v>43823</v>
          </cell>
        </row>
        <row r="7693">
          <cell r="A7693">
            <v>43553</v>
          </cell>
        </row>
        <row r="7694">
          <cell r="A7694">
            <v>43562</v>
          </cell>
        </row>
        <row r="7695">
          <cell r="A7695">
            <v>43219</v>
          </cell>
        </row>
        <row r="7696">
          <cell r="A7696">
            <v>43537</v>
          </cell>
        </row>
        <row r="7697">
          <cell r="A7697">
            <v>43194</v>
          </cell>
        </row>
        <row r="7698">
          <cell r="A7698">
            <v>43649</v>
          </cell>
        </row>
        <row r="7699">
          <cell r="A7699">
            <v>43608</v>
          </cell>
        </row>
        <row r="7700">
          <cell r="A7700">
            <v>43468</v>
          </cell>
        </row>
        <row r="7701">
          <cell r="A7701">
            <v>43648</v>
          </cell>
        </row>
        <row r="7702">
          <cell r="A7702">
            <v>43900</v>
          </cell>
        </row>
        <row r="7703">
          <cell r="A7703">
            <v>43370</v>
          </cell>
        </row>
        <row r="7704">
          <cell r="A7704">
            <v>43708</v>
          </cell>
        </row>
        <row r="7705">
          <cell r="A7705">
            <v>43114</v>
          </cell>
        </row>
        <row r="7706">
          <cell r="A7706">
            <v>43897</v>
          </cell>
        </row>
        <row r="7707">
          <cell r="A7707">
            <v>43111</v>
          </cell>
        </row>
        <row r="7708">
          <cell r="A7708">
            <v>43707</v>
          </cell>
        </row>
        <row r="7709">
          <cell r="A7709">
            <v>43697</v>
          </cell>
        </row>
        <row r="7710">
          <cell r="A7710">
            <v>43507</v>
          </cell>
        </row>
        <row r="7711">
          <cell r="A7711">
            <v>43588</v>
          </cell>
        </row>
        <row r="7712">
          <cell r="A7712">
            <v>43312</v>
          </cell>
        </row>
        <row r="7713">
          <cell r="A7713">
            <v>43405</v>
          </cell>
        </row>
        <row r="7714">
          <cell r="A7714">
            <v>43436</v>
          </cell>
        </row>
        <row r="7715">
          <cell r="A7715">
            <v>43906</v>
          </cell>
        </row>
        <row r="7716">
          <cell r="A7716">
            <v>43515</v>
          </cell>
        </row>
        <row r="7717">
          <cell r="A7717">
            <v>43656</v>
          </cell>
        </row>
        <row r="7718">
          <cell r="A7718">
            <v>43195</v>
          </cell>
        </row>
        <row r="7719">
          <cell r="A7719">
            <v>43580</v>
          </cell>
        </row>
        <row r="7720">
          <cell r="A7720">
            <v>43512</v>
          </cell>
        </row>
        <row r="7721">
          <cell r="A7721">
            <v>43573</v>
          </cell>
        </row>
        <row r="7722">
          <cell r="A7722">
            <v>43723</v>
          </cell>
        </row>
        <row r="7723">
          <cell r="A7723">
            <v>43476</v>
          </cell>
        </row>
        <row r="7724">
          <cell r="A7724">
            <v>43182</v>
          </cell>
        </row>
        <row r="7725">
          <cell r="A7725">
            <v>43246</v>
          </cell>
        </row>
        <row r="7726">
          <cell r="A7726">
            <v>43181</v>
          </cell>
        </row>
        <row r="7727">
          <cell r="A7727">
            <v>43675</v>
          </cell>
        </row>
        <row r="7728">
          <cell r="A7728">
            <v>43545</v>
          </cell>
        </row>
        <row r="7729">
          <cell r="A7729">
            <v>43366</v>
          </cell>
        </row>
        <row r="7730">
          <cell r="A7730">
            <v>43364</v>
          </cell>
        </row>
        <row r="7731">
          <cell r="A7731">
            <v>43915</v>
          </cell>
        </row>
        <row r="7732">
          <cell r="A7732">
            <v>43335</v>
          </cell>
        </row>
        <row r="7733">
          <cell r="A7733">
            <v>43140</v>
          </cell>
        </row>
        <row r="7734">
          <cell r="A7734">
            <v>43900</v>
          </cell>
        </row>
        <row r="7735">
          <cell r="A7735">
            <v>43160</v>
          </cell>
        </row>
        <row r="7736">
          <cell r="A7736">
            <v>43162</v>
          </cell>
        </row>
        <row r="7737">
          <cell r="A7737">
            <v>43180</v>
          </cell>
        </row>
        <row r="7738">
          <cell r="A7738">
            <v>43599</v>
          </cell>
        </row>
        <row r="7739">
          <cell r="A7739">
            <v>43890</v>
          </cell>
        </row>
        <row r="7740">
          <cell r="A7740">
            <v>43437</v>
          </cell>
        </row>
        <row r="7741">
          <cell r="A7741">
            <v>43854</v>
          </cell>
        </row>
        <row r="7742">
          <cell r="A7742">
            <v>43493</v>
          </cell>
        </row>
        <row r="7743">
          <cell r="A7743">
            <v>43547</v>
          </cell>
        </row>
        <row r="7744">
          <cell r="A7744">
            <v>43693</v>
          </cell>
        </row>
        <row r="7745">
          <cell r="A7745">
            <v>43312</v>
          </cell>
        </row>
        <row r="7746">
          <cell r="A7746">
            <v>43337</v>
          </cell>
        </row>
        <row r="7747">
          <cell r="A7747">
            <v>43723</v>
          </cell>
        </row>
        <row r="7748">
          <cell r="A7748">
            <v>43506</v>
          </cell>
        </row>
        <row r="7749">
          <cell r="A7749">
            <v>43301</v>
          </cell>
        </row>
        <row r="7750">
          <cell r="A7750">
            <v>43806</v>
          </cell>
        </row>
        <row r="7751">
          <cell r="A7751">
            <v>43850</v>
          </cell>
        </row>
        <row r="7752">
          <cell r="A7752">
            <v>43586</v>
          </cell>
        </row>
        <row r="7753">
          <cell r="A7753">
            <v>43669</v>
          </cell>
        </row>
        <row r="7754">
          <cell r="A7754">
            <v>43880</v>
          </cell>
        </row>
        <row r="7755">
          <cell r="A7755">
            <v>43577</v>
          </cell>
        </row>
        <row r="7756">
          <cell r="A7756">
            <v>43703</v>
          </cell>
        </row>
        <row r="7757">
          <cell r="A7757">
            <v>43242</v>
          </cell>
        </row>
        <row r="7758">
          <cell r="A7758">
            <v>43312</v>
          </cell>
        </row>
        <row r="7759">
          <cell r="A7759">
            <v>43808</v>
          </cell>
        </row>
        <row r="7760">
          <cell r="A7760">
            <v>43617</v>
          </cell>
        </row>
        <row r="7761">
          <cell r="A7761">
            <v>43557</v>
          </cell>
        </row>
        <row r="7762">
          <cell r="A7762">
            <v>43748</v>
          </cell>
        </row>
        <row r="7763">
          <cell r="A7763">
            <v>43555</v>
          </cell>
        </row>
        <row r="7764">
          <cell r="A7764">
            <v>43590</v>
          </cell>
        </row>
        <row r="7765">
          <cell r="A7765">
            <v>43491</v>
          </cell>
        </row>
        <row r="7766">
          <cell r="A7766">
            <v>43410</v>
          </cell>
        </row>
        <row r="7767">
          <cell r="A7767">
            <v>43362</v>
          </cell>
        </row>
        <row r="7768">
          <cell r="A7768">
            <v>43693</v>
          </cell>
        </row>
        <row r="7769">
          <cell r="A7769">
            <v>43378</v>
          </cell>
        </row>
        <row r="7770">
          <cell r="A7770">
            <v>43228</v>
          </cell>
        </row>
        <row r="7771">
          <cell r="A7771">
            <v>43537</v>
          </cell>
        </row>
        <row r="7772">
          <cell r="A7772">
            <v>43732</v>
          </cell>
        </row>
        <row r="7773">
          <cell r="A7773">
            <v>43844</v>
          </cell>
        </row>
        <row r="7774">
          <cell r="A7774">
            <v>43703</v>
          </cell>
        </row>
        <row r="7775">
          <cell r="A7775">
            <v>43584</v>
          </cell>
        </row>
        <row r="7776">
          <cell r="A7776">
            <v>43460</v>
          </cell>
        </row>
        <row r="7777">
          <cell r="A7777">
            <v>43130</v>
          </cell>
        </row>
        <row r="7778">
          <cell r="A7778">
            <v>43289</v>
          </cell>
        </row>
        <row r="7779">
          <cell r="A7779">
            <v>43844</v>
          </cell>
        </row>
        <row r="7780">
          <cell r="A7780">
            <v>43393</v>
          </cell>
        </row>
        <row r="7781">
          <cell r="A7781">
            <v>43115</v>
          </cell>
        </row>
        <row r="7782">
          <cell r="A7782">
            <v>43218</v>
          </cell>
        </row>
        <row r="7783">
          <cell r="A7783">
            <v>43593</v>
          </cell>
        </row>
        <row r="7784">
          <cell r="A7784">
            <v>43249</v>
          </cell>
        </row>
        <row r="7785">
          <cell r="A7785">
            <v>43592</v>
          </cell>
        </row>
        <row r="7786">
          <cell r="A7786">
            <v>43644</v>
          </cell>
        </row>
        <row r="7787">
          <cell r="A7787">
            <v>43146</v>
          </cell>
        </row>
        <row r="7788">
          <cell r="A7788">
            <v>43296</v>
          </cell>
        </row>
        <row r="7789">
          <cell r="A7789">
            <v>43796</v>
          </cell>
        </row>
        <row r="7790">
          <cell r="A7790">
            <v>43751</v>
          </cell>
        </row>
        <row r="7791">
          <cell r="A7791">
            <v>43414</v>
          </cell>
        </row>
        <row r="7792">
          <cell r="A7792">
            <v>43287</v>
          </cell>
        </row>
        <row r="7793">
          <cell r="A7793">
            <v>43545</v>
          </cell>
        </row>
        <row r="7794">
          <cell r="A7794">
            <v>43891</v>
          </cell>
        </row>
        <row r="7795">
          <cell r="A7795">
            <v>43295</v>
          </cell>
        </row>
        <row r="7796">
          <cell r="A7796">
            <v>43672</v>
          </cell>
        </row>
        <row r="7797">
          <cell r="A7797">
            <v>43405</v>
          </cell>
        </row>
        <row r="7798">
          <cell r="A7798">
            <v>43567</v>
          </cell>
        </row>
        <row r="7799">
          <cell r="A7799">
            <v>43734</v>
          </cell>
        </row>
        <row r="7800">
          <cell r="A7800">
            <v>43147</v>
          </cell>
        </row>
        <row r="7801">
          <cell r="A7801">
            <v>43575</v>
          </cell>
        </row>
        <row r="7802">
          <cell r="A7802">
            <v>43540</v>
          </cell>
        </row>
        <row r="7803">
          <cell r="A7803">
            <v>43689</v>
          </cell>
        </row>
        <row r="7804">
          <cell r="A7804">
            <v>43767</v>
          </cell>
        </row>
        <row r="7805">
          <cell r="A7805">
            <v>43271</v>
          </cell>
        </row>
        <row r="7806">
          <cell r="A7806">
            <v>43348</v>
          </cell>
        </row>
        <row r="7807">
          <cell r="A7807">
            <v>43204</v>
          </cell>
        </row>
        <row r="7808">
          <cell r="A7808">
            <v>43257</v>
          </cell>
        </row>
        <row r="7809">
          <cell r="A7809">
            <v>43650</v>
          </cell>
        </row>
        <row r="7810">
          <cell r="A7810">
            <v>43116</v>
          </cell>
        </row>
        <row r="7811">
          <cell r="A7811">
            <v>43454</v>
          </cell>
        </row>
        <row r="7812">
          <cell r="A7812">
            <v>43142</v>
          </cell>
        </row>
        <row r="7813">
          <cell r="A7813">
            <v>43154</v>
          </cell>
        </row>
        <row r="7814">
          <cell r="A7814">
            <v>43152</v>
          </cell>
        </row>
        <row r="7815">
          <cell r="A7815">
            <v>43493</v>
          </cell>
        </row>
        <row r="7816">
          <cell r="A7816">
            <v>43747</v>
          </cell>
        </row>
        <row r="7817">
          <cell r="A7817">
            <v>43583</v>
          </cell>
        </row>
        <row r="7818">
          <cell r="A7818">
            <v>43476</v>
          </cell>
        </row>
        <row r="7819">
          <cell r="A7819">
            <v>43736</v>
          </cell>
        </row>
        <row r="7820">
          <cell r="A7820">
            <v>43374</v>
          </cell>
        </row>
        <row r="7821">
          <cell r="A7821">
            <v>43108</v>
          </cell>
        </row>
        <row r="7822">
          <cell r="A7822">
            <v>43691</v>
          </cell>
        </row>
        <row r="7823">
          <cell r="A7823">
            <v>43291</v>
          </cell>
        </row>
        <row r="7824">
          <cell r="A7824">
            <v>43607</v>
          </cell>
        </row>
        <row r="7825">
          <cell r="A7825">
            <v>43670</v>
          </cell>
        </row>
        <row r="7826">
          <cell r="A7826">
            <v>43360</v>
          </cell>
        </row>
        <row r="7827">
          <cell r="A7827">
            <v>43288</v>
          </cell>
        </row>
        <row r="7828">
          <cell r="A7828">
            <v>43145</v>
          </cell>
        </row>
        <row r="7829">
          <cell r="A7829">
            <v>43864</v>
          </cell>
        </row>
        <row r="7830">
          <cell r="A7830">
            <v>43776</v>
          </cell>
        </row>
        <row r="7831">
          <cell r="A7831">
            <v>43257</v>
          </cell>
        </row>
        <row r="7832">
          <cell r="A7832">
            <v>43736</v>
          </cell>
        </row>
        <row r="7833">
          <cell r="A7833">
            <v>43546</v>
          </cell>
        </row>
        <row r="7834">
          <cell r="A7834">
            <v>43132</v>
          </cell>
        </row>
        <row r="7835">
          <cell r="A7835">
            <v>43516</v>
          </cell>
        </row>
        <row r="7836">
          <cell r="A7836">
            <v>43232</v>
          </cell>
        </row>
        <row r="7837">
          <cell r="A7837">
            <v>43158</v>
          </cell>
        </row>
        <row r="7838">
          <cell r="A7838">
            <v>43560</v>
          </cell>
        </row>
        <row r="7839">
          <cell r="A7839">
            <v>43678</v>
          </cell>
        </row>
        <row r="7840">
          <cell r="A7840">
            <v>43275</v>
          </cell>
        </row>
        <row r="7841">
          <cell r="A7841">
            <v>43581</v>
          </cell>
        </row>
        <row r="7842">
          <cell r="A7842">
            <v>43541</v>
          </cell>
        </row>
        <row r="7843">
          <cell r="A7843">
            <v>43356</v>
          </cell>
        </row>
        <row r="7844">
          <cell r="A7844">
            <v>43766</v>
          </cell>
        </row>
        <row r="7845">
          <cell r="A7845">
            <v>43177</v>
          </cell>
        </row>
        <row r="7846">
          <cell r="A7846">
            <v>43627</v>
          </cell>
        </row>
        <row r="7847">
          <cell r="A7847">
            <v>43834</v>
          </cell>
        </row>
        <row r="7848">
          <cell r="A7848">
            <v>43440</v>
          </cell>
        </row>
        <row r="7849">
          <cell r="A7849">
            <v>43432</v>
          </cell>
        </row>
        <row r="7850">
          <cell r="A7850">
            <v>43868</v>
          </cell>
        </row>
        <row r="7851">
          <cell r="A7851">
            <v>43515</v>
          </cell>
        </row>
        <row r="7852">
          <cell r="A7852">
            <v>43881</v>
          </cell>
        </row>
        <row r="7853">
          <cell r="A7853">
            <v>43163</v>
          </cell>
        </row>
        <row r="7854">
          <cell r="A7854">
            <v>43615</v>
          </cell>
        </row>
        <row r="7855">
          <cell r="A7855">
            <v>43693</v>
          </cell>
        </row>
        <row r="7856">
          <cell r="A7856">
            <v>43902</v>
          </cell>
        </row>
        <row r="7857">
          <cell r="A7857">
            <v>43631</v>
          </cell>
        </row>
        <row r="7858">
          <cell r="A7858">
            <v>43528</v>
          </cell>
        </row>
        <row r="7859">
          <cell r="A7859">
            <v>43885</v>
          </cell>
        </row>
        <row r="7860">
          <cell r="A7860">
            <v>43658</v>
          </cell>
        </row>
        <row r="7861">
          <cell r="A7861">
            <v>43188</v>
          </cell>
        </row>
        <row r="7862">
          <cell r="A7862">
            <v>43896</v>
          </cell>
        </row>
        <row r="7863">
          <cell r="A7863">
            <v>43723</v>
          </cell>
        </row>
        <row r="7864">
          <cell r="A7864">
            <v>43869</v>
          </cell>
        </row>
        <row r="7865">
          <cell r="A7865">
            <v>43521</v>
          </cell>
        </row>
        <row r="7866">
          <cell r="A7866">
            <v>43430</v>
          </cell>
        </row>
        <row r="7867">
          <cell r="A7867">
            <v>43143</v>
          </cell>
        </row>
        <row r="7868">
          <cell r="A7868">
            <v>43707</v>
          </cell>
        </row>
        <row r="7869">
          <cell r="A7869">
            <v>43760</v>
          </cell>
        </row>
        <row r="7870">
          <cell r="A7870">
            <v>43761</v>
          </cell>
        </row>
        <row r="7871">
          <cell r="A7871">
            <v>43194</v>
          </cell>
        </row>
        <row r="7872">
          <cell r="A7872">
            <v>43715</v>
          </cell>
        </row>
        <row r="7873">
          <cell r="A7873">
            <v>43516</v>
          </cell>
        </row>
        <row r="7874">
          <cell r="A7874">
            <v>43459</v>
          </cell>
        </row>
        <row r="7875">
          <cell r="A7875">
            <v>43641</v>
          </cell>
        </row>
        <row r="7876">
          <cell r="A7876">
            <v>43209</v>
          </cell>
        </row>
        <row r="7877">
          <cell r="A7877">
            <v>43790</v>
          </cell>
        </row>
        <row r="7878">
          <cell r="A7878">
            <v>43489</v>
          </cell>
        </row>
        <row r="7879">
          <cell r="A7879">
            <v>43114</v>
          </cell>
        </row>
        <row r="7880">
          <cell r="A7880">
            <v>43580</v>
          </cell>
        </row>
        <row r="7881">
          <cell r="A7881">
            <v>43528</v>
          </cell>
        </row>
        <row r="7882">
          <cell r="A7882">
            <v>43651</v>
          </cell>
        </row>
        <row r="7883">
          <cell r="A7883">
            <v>43677</v>
          </cell>
        </row>
        <row r="7884">
          <cell r="A7884">
            <v>43395</v>
          </cell>
        </row>
        <row r="7885">
          <cell r="A7885">
            <v>43336</v>
          </cell>
        </row>
        <row r="7886">
          <cell r="A7886">
            <v>43526</v>
          </cell>
        </row>
        <row r="7887">
          <cell r="A7887">
            <v>43760</v>
          </cell>
        </row>
        <row r="7888">
          <cell r="A7888">
            <v>43321</v>
          </cell>
        </row>
        <row r="7889">
          <cell r="A7889">
            <v>43400</v>
          </cell>
        </row>
        <row r="7890">
          <cell r="A7890">
            <v>43373</v>
          </cell>
        </row>
        <row r="7891">
          <cell r="A7891">
            <v>43242</v>
          </cell>
        </row>
        <row r="7892">
          <cell r="A7892">
            <v>43898</v>
          </cell>
        </row>
        <row r="7893">
          <cell r="A7893">
            <v>43188</v>
          </cell>
        </row>
        <row r="7894">
          <cell r="A7894">
            <v>43270</v>
          </cell>
        </row>
        <row r="7895">
          <cell r="A7895">
            <v>43819</v>
          </cell>
        </row>
        <row r="7896">
          <cell r="A7896">
            <v>43674</v>
          </cell>
        </row>
        <row r="7897">
          <cell r="A7897">
            <v>43750</v>
          </cell>
        </row>
        <row r="7898">
          <cell r="A7898">
            <v>43345</v>
          </cell>
        </row>
        <row r="7899">
          <cell r="A7899">
            <v>43644</v>
          </cell>
        </row>
        <row r="7900">
          <cell r="A7900">
            <v>43350</v>
          </cell>
        </row>
        <row r="7901">
          <cell r="A7901">
            <v>43149</v>
          </cell>
        </row>
        <row r="7902">
          <cell r="A7902">
            <v>43877</v>
          </cell>
        </row>
        <row r="7903">
          <cell r="A7903">
            <v>43839</v>
          </cell>
        </row>
        <row r="7904">
          <cell r="A7904">
            <v>43150</v>
          </cell>
        </row>
        <row r="7905">
          <cell r="A7905">
            <v>43155</v>
          </cell>
        </row>
        <row r="7906">
          <cell r="A7906">
            <v>43682</v>
          </cell>
        </row>
        <row r="7907">
          <cell r="A7907">
            <v>43584</v>
          </cell>
        </row>
        <row r="7908">
          <cell r="A7908">
            <v>43598</v>
          </cell>
        </row>
        <row r="7909">
          <cell r="A7909">
            <v>43814</v>
          </cell>
        </row>
        <row r="7910">
          <cell r="A7910">
            <v>43719</v>
          </cell>
        </row>
        <row r="7911">
          <cell r="A7911">
            <v>43920</v>
          </cell>
        </row>
        <row r="7912">
          <cell r="A7912">
            <v>43573</v>
          </cell>
        </row>
        <row r="7913">
          <cell r="A7913">
            <v>43639</v>
          </cell>
        </row>
        <row r="7914">
          <cell r="A7914">
            <v>43251</v>
          </cell>
        </row>
        <row r="7915">
          <cell r="A7915">
            <v>43601</v>
          </cell>
        </row>
        <row r="7916">
          <cell r="A7916">
            <v>43511</v>
          </cell>
        </row>
        <row r="7917">
          <cell r="A7917">
            <v>43151</v>
          </cell>
        </row>
        <row r="7918">
          <cell r="A7918">
            <v>43533</v>
          </cell>
        </row>
        <row r="7919">
          <cell r="A7919">
            <v>43165</v>
          </cell>
        </row>
        <row r="7920">
          <cell r="A7920">
            <v>43187</v>
          </cell>
        </row>
        <row r="7921">
          <cell r="A7921">
            <v>43879</v>
          </cell>
        </row>
        <row r="7922">
          <cell r="A7922">
            <v>43914</v>
          </cell>
        </row>
        <row r="7923">
          <cell r="A7923">
            <v>43291</v>
          </cell>
        </row>
        <row r="7924">
          <cell r="A7924">
            <v>43839</v>
          </cell>
        </row>
        <row r="7925">
          <cell r="A7925">
            <v>43690</v>
          </cell>
        </row>
        <row r="7926">
          <cell r="A7926">
            <v>43513</v>
          </cell>
        </row>
        <row r="7927">
          <cell r="A7927">
            <v>43656</v>
          </cell>
        </row>
        <row r="7928">
          <cell r="A7928">
            <v>43261</v>
          </cell>
        </row>
        <row r="7929">
          <cell r="A7929">
            <v>43670</v>
          </cell>
        </row>
        <row r="7930">
          <cell r="A7930">
            <v>43888</v>
          </cell>
        </row>
        <row r="7931">
          <cell r="A7931">
            <v>43526</v>
          </cell>
        </row>
        <row r="7932">
          <cell r="A7932">
            <v>43415</v>
          </cell>
        </row>
        <row r="7933">
          <cell r="A7933">
            <v>43745</v>
          </cell>
        </row>
        <row r="7934">
          <cell r="A7934">
            <v>43123</v>
          </cell>
        </row>
        <row r="7935">
          <cell r="A7935">
            <v>43460</v>
          </cell>
        </row>
        <row r="7936">
          <cell r="A7936">
            <v>43882</v>
          </cell>
        </row>
        <row r="7937">
          <cell r="A7937">
            <v>43802</v>
          </cell>
        </row>
        <row r="7938">
          <cell r="A7938">
            <v>43314</v>
          </cell>
        </row>
        <row r="7939">
          <cell r="A7939">
            <v>43115</v>
          </cell>
        </row>
        <row r="7940">
          <cell r="A7940">
            <v>43299</v>
          </cell>
        </row>
        <row r="7941">
          <cell r="A7941">
            <v>43781</v>
          </cell>
        </row>
        <row r="7942">
          <cell r="A7942">
            <v>43852</v>
          </cell>
        </row>
        <row r="7943">
          <cell r="A7943">
            <v>43194</v>
          </cell>
        </row>
        <row r="7944">
          <cell r="A7944">
            <v>43772</v>
          </cell>
        </row>
        <row r="7945">
          <cell r="A7945">
            <v>43793</v>
          </cell>
        </row>
        <row r="7946">
          <cell r="A7946">
            <v>43394</v>
          </cell>
        </row>
        <row r="7947">
          <cell r="A7947">
            <v>43755</v>
          </cell>
        </row>
        <row r="7948">
          <cell r="A7948">
            <v>43760</v>
          </cell>
        </row>
        <row r="7949">
          <cell r="A7949">
            <v>43145</v>
          </cell>
        </row>
        <row r="7950">
          <cell r="A7950">
            <v>43423</v>
          </cell>
        </row>
        <row r="7951">
          <cell r="A7951">
            <v>43496</v>
          </cell>
        </row>
        <row r="7952">
          <cell r="A7952">
            <v>43803</v>
          </cell>
        </row>
        <row r="7953">
          <cell r="A7953">
            <v>43531</v>
          </cell>
        </row>
        <row r="7954">
          <cell r="A7954">
            <v>43348</v>
          </cell>
        </row>
        <row r="7955">
          <cell r="A7955">
            <v>43539</v>
          </cell>
        </row>
        <row r="7956">
          <cell r="A7956">
            <v>43177</v>
          </cell>
        </row>
        <row r="7957">
          <cell r="A7957">
            <v>43432</v>
          </cell>
        </row>
        <row r="7958">
          <cell r="A7958">
            <v>43826</v>
          </cell>
        </row>
        <row r="7959">
          <cell r="A7959">
            <v>43187</v>
          </cell>
        </row>
        <row r="7960">
          <cell r="A7960">
            <v>43461</v>
          </cell>
        </row>
        <row r="7961">
          <cell r="A7961">
            <v>43743</v>
          </cell>
        </row>
        <row r="7962">
          <cell r="A7962">
            <v>43275</v>
          </cell>
        </row>
        <row r="7963">
          <cell r="A7963">
            <v>43381</v>
          </cell>
        </row>
        <row r="7964">
          <cell r="A7964">
            <v>43434</v>
          </cell>
        </row>
        <row r="7965">
          <cell r="A7965">
            <v>43501</v>
          </cell>
        </row>
        <row r="7966">
          <cell r="A7966">
            <v>43224</v>
          </cell>
        </row>
        <row r="7967">
          <cell r="A7967">
            <v>43671</v>
          </cell>
        </row>
        <row r="7968">
          <cell r="A7968">
            <v>43216</v>
          </cell>
        </row>
        <row r="7969">
          <cell r="A7969">
            <v>43285</v>
          </cell>
        </row>
        <row r="7970">
          <cell r="A7970">
            <v>43768</v>
          </cell>
        </row>
        <row r="7971">
          <cell r="A7971">
            <v>43276</v>
          </cell>
        </row>
        <row r="7972">
          <cell r="A7972">
            <v>43551</v>
          </cell>
        </row>
        <row r="7973">
          <cell r="A7973">
            <v>43696</v>
          </cell>
        </row>
        <row r="7974">
          <cell r="A7974">
            <v>43693</v>
          </cell>
        </row>
        <row r="7975">
          <cell r="A7975">
            <v>43443</v>
          </cell>
        </row>
        <row r="7976">
          <cell r="A7976">
            <v>43787</v>
          </cell>
        </row>
        <row r="7977">
          <cell r="A7977">
            <v>43575</v>
          </cell>
        </row>
        <row r="7978">
          <cell r="A7978">
            <v>43616</v>
          </cell>
        </row>
        <row r="7979">
          <cell r="A7979">
            <v>43171</v>
          </cell>
        </row>
        <row r="7980">
          <cell r="A7980">
            <v>43296</v>
          </cell>
        </row>
        <row r="7981">
          <cell r="A7981">
            <v>43741</v>
          </cell>
        </row>
        <row r="7982">
          <cell r="A7982">
            <v>43635</v>
          </cell>
        </row>
        <row r="7983">
          <cell r="A7983">
            <v>43901</v>
          </cell>
        </row>
        <row r="7984">
          <cell r="A7984">
            <v>43840</v>
          </cell>
        </row>
        <row r="7985">
          <cell r="A7985">
            <v>43887</v>
          </cell>
        </row>
        <row r="7986">
          <cell r="A7986">
            <v>43892</v>
          </cell>
        </row>
        <row r="7987">
          <cell r="A7987">
            <v>43905</v>
          </cell>
        </row>
        <row r="7988">
          <cell r="A7988">
            <v>43605</v>
          </cell>
        </row>
        <row r="7989">
          <cell r="A7989">
            <v>43208</v>
          </cell>
        </row>
        <row r="7990">
          <cell r="A7990">
            <v>43515</v>
          </cell>
        </row>
        <row r="7991">
          <cell r="A7991">
            <v>43904</v>
          </cell>
        </row>
        <row r="7992">
          <cell r="A7992">
            <v>43129</v>
          </cell>
        </row>
        <row r="7993">
          <cell r="A7993">
            <v>43391</v>
          </cell>
        </row>
        <row r="7994">
          <cell r="A7994">
            <v>43342</v>
          </cell>
        </row>
        <row r="7995">
          <cell r="A7995">
            <v>43881</v>
          </cell>
        </row>
        <row r="7996">
          <cell r="A7996">
            <v>43792</v>
          </cell>
        </row>
        <row r="7997">
          <cell r="A7997">
            <v>43228</v>
          </cell>
        </row>
        <row r="7998">
          <cell r="A7998">
            <v>43398</v>
          </cell>
        </row>
        <row r="7999">
          <cell r="A7999">
            <v>43507</v>
          </cell>
        </row>
        <row r="8000">
          <cell r="A8000">
            <v>43829</v>
          </cell>
        </row>
        <row r="8001">
          <cell r="A8001">
            <v>43632</v>
          </cell>
        </row>
        <row r="8002">
          <cell r="A8002">
            <v>43284</v>
          </cell>
        </row>
        <row r="8003">
          <cell r="A8003">
            <v>43190</v>
          </cell>
        </row>
        <row r="8004">
          <cell r="A8004">
            <v>43362</v>
          </cell>
        </row>
        <row r="8005">
          <cell r="A8005">
            <v>43358</v>
          </cell>
        </row>
        <row r="8006">
          <cell r="A8006">
            <v>43108</v>
          </cell>
        </row>
        <row r="8007">
          <cell r="A8007">
            <v>43821</v>
          </cell>
        </row>
        <row r="8008">
          <cell r="A8008">
            <v>43616</v>
          </cell>
        </row>
        <row r="8009">
          <cell r="A8009">
            <v>43679</v>
          </cell>
        </row>
        <row r="8010">
          <cell r="A8010">
            <v>43770</v>
          </cell>
        </row>
        <row r="8011">
          <cell r="A8011">
            <v>43514</v>
          </cell>
        </row>
        <row r="8012">
          <cell r="A8012">
            <v>43835</v>
          </cell>
        </row>
        <row r="8013">
          <cell r="A8013">
            <v>43596</v>
          </cell>
        </row>
        <row r="8014">
          <cell r="A8014">
            <v>43359</v>
          </cell>
        </row>
        <row r="8015">
          <cell r="A8015">
            <v>43690</v>
          </cell>
        </row>
        <row r="8016">
          <cell r="A8016">
            <v>43273</v>
          </cell>
        </row>
        <row r="8017">
          <cell r="A8017">
            <v>43416</v>
          </cell>
        </row>
        <row r="8018">
          <cell r="A8018">
            <v>43683</v>
          </cell>
        </row>
        <row r="8019">
          <cell r="A8019">
            <v>43473</v>
          </cell>
        </row>
        <row r="8020">
          <cell r="A8020">
            <v>43280</v>
          </cell>
        </row>
        <row r="8021">
          <cell r="A8021">
            <v>43818</v>
          </cell>
        </row>
        <row r="8022">
          <cell r="A8022">
            <v>43371</v>
          </cell>
        </row>
        <row r="8023">
          <cell r="A8023">
            <v>43462</v>
          </cell>
        </row>
        <row r="8024">
          <cell r="A8024">
            <v>43604</v>
          </cell>
        </row>
        <row r="8025">
          <cell r="A8025">
            <v>43832</v>
          </cell>
        </row>
        <row r="8026">
          <cell r="A8026">
            <v>43805</v>
          </cell>
        </row>
        <row r="8027">
          <cell r="A8027">
            <v>43602</v>
          </cell>
        </row>
        <row r="8028">
          <cell r="A8028">
            <v>43111</v>
          </cell>
        </row>
        <row r="8029">
          <cell r="A8029">
            <v>43628</v>
          </cell>
        </row>
        <row r="8030">
          <cell r="A8030">
            <v>43520</v>
          </cell>
        </row>
        <row r="8031">
          <cell r="A8031">
            <v>43637</v>
          </cell>
        </row>
        <row r="8032">
          <cell r="A8032">
            <v>43462</v>
          </cell>
        </row>
        <row r="8033">
          <cell r="A8033">
            <v>43293</v>
          </cell>
        </row>
        <row r="8034">
          <cell r="A8034">
            <v>43195</v>
          </cell>
        </row>
        <row r="8035">
          <cell r="A8035">
            <v>43493</v>
          </cell>
        </row>
        <row r="8036">
          <cell r="A8036">
            <v>43288</v>
          </cell>
        </row>
        <row r="8037">
          <cell r="A8037">
            <v>43133</v>
          </cell>
        </row>
        <row r="8038">
          <cell r="A8038">
            <v>43827</v>
          </cell>
        </row>
        <row r="8039">
          <cell r="A8039">
            <v>43189</v>
          </cell>
        </row>
        <row r="8040">
          <cell r="A8040">
            <v>43897</v>
          </cell>
        </row>
        <row r="8041">
          <cell r="A8041">
            <v>43610</v>
          </cell>
        </row>
        <row r="8042">
          <cell r="A8042">
            <v>43141</v>
          </cell>
        </row>
        <row r="8043">
          <cell r="A8043">
            <v>43713</v>
          </cell>
        </row>
        <row r="8044">
          <cell r="A8044">
            <v>43431</v>
          </cell>
        </row>
        <row r="8045">
          <cell r="A8045">
            <v>43435</v>
          </cell>
        </row>
        <row r="8046">
          <cell r="A8046">
            <v>43112</v>
          </cell>
        </row>
        <row r="8047">
          <cell r="A8047">
            <v>43765</v>
          </cell>
        </row>
        <row r="8048">
          <cell r="A8048">
            <v>43337</v>
          </cell>
        </row>
        <row r="8049">
          <cell r="A8049">
            <v>43402</v>
          </cell>
        </row>
        <row r="8050">
          <cell r="A8050">
            <v>43451</v>
          </cell>
        </row>
        <row r="8051">
          <cell r="A8051">
            <v>43645</v>
          </cell>
        </row>
        <row r="8052">
          <cell r="A8052">
            <v>43241</v>
          </cell>
        </row>
        <row r="8053">
          <cell r="A8053">
            <v>43186</v>
          </cell>
        </row>
        <row r="8054">
          <cell r="A8054">
            <v>43730</v>
          </cell>
        </row>
        <row r="8055">
          <cell r="A8055">
            <v>43423</v>
          </cell>
        </row>
        <row r="8056">
          <cell r="A8056">
            <v>43653</v>
          </cell>
        </row>
        <row r="8057">
          <cell r="A8057">
            <v>43825</v>
          </cell>
        </row>
        <row r="8058">
          <cell r="A8058">
            <v>43271</v>
          </cell>
        </row>
        <row r="8059">
          <cell r="A8059">
            <v>43521</v>
          </cell>
        </row>
        <row r="8060">
          <cell r="A8060">
            <v>43442</v>
          </cell>
        </row>
        <row r="8061">
          <cell r="A8061">
            <v>43684</v>
          </cell>
        </row>
        <row r="8062">
          <cell r="A8062">
            <v>43396</v>
          </cell>
        </row>
        <row r="8063">
          <cell r="A8063">
            <v>43744</v>
          </cell>
        </row>
        <row r="8064">
          <cell r="A8064">
            <v>43681</v>
          </cell>
        </row>
        <row r="8065">
          <cell r="A8065">
            <v>43471</v>
          </cell>
        </row>
        <row r="8066">
          <cell r="A8066">
            <v>43680</v>
          </cell>
        </row>
        <row r="8067">
          <cell r="A8067">
            <v>43636</v>
          </cell>
        </row>
        <row r="8068">
          <cell r="A8068">
            <v>43504</v>
          </cell>
        </row>
        <row r="8069">
          <cell r="A8069">
            <v>43163</v>
          </cell>
        </row>
        <row r="8070">
          <cell r="A8070">
            <v>43896</v>
          </cell>
        </row>
        <row r="8071">
          <cell r="A8071">
            <v>43497</v>
          </cell>
        </row>
        <row r="8072">
          <cell r="A8072">
            <v>43274</v>
          </cell>
        </row>
        <row r="8073">
          <cell r="A8073">
            <v>43274</v>
          </cell>
        </row>
        <row r="8074">
          <cell r="A8074">
            <v>43506</v>
          </cell>
        </row>
        <row r="8075">
          <cell r="A8075">
            <v>43865</v>
          </cell>
        </row>
        <row r="8076">
          <cell r="A8076">
            <v>43165</v>
          </cell>
        </row>
        <row r="8077">
          <cell r="A8077">
            <v>43254</v>
          </cell>
        </row>
        <row r="8078">
          <cell r="A8078">
            <v>43137</v>
          </cell>
        </row>
        <row r="8079">
          <cell r="A8079">
            <v>43787</v>
          </cell>
        </row>
        <row r="8080">
          <cell r="A8080">
            <v>43443</v>
          </cell>
        </row>
        <row r="8081">
          <cell r="A8081">
            <v>43128</v>
          </cell>
        </row>
        <row r="8082">
          <cell r="A8082">
            <v>43109</v>
          </cell>
        </row>
        <row r="8083">
          <cell r="A8083">
            <v>43628</v>
          </cell>
        </row>
        <row r="8084">
          <cell r="A8084">
            <v>43750</v>
          </cell>
        </row>
        <row r="8085">
          <cell r="A8085">
            <v>43675</v>
          </cell>
        </row>
        <row r="8086">
          <cell r="A8086">
            <v>43424</v>
          </cell>
        </row>
        <row r="8087">
          <cell r="A8087">
            <v>43767</v>
          </cell>
        </row>
        <row r="8088">
          <cell r="A8088">
            <v>43902</v>
          </cell>
        </row>
        <row r="8089">
          <cell r="A8089">
            <v>43443</v>
          </cell>
        </row>
        <row r="8090">
          <cell r="A8090">
            <v>43149</v>
          </cell>
        </row>
        <row r="8091">
          <cell r="A8091">
            <v>43698</v>
          </cell>
        </row>
        <row r="8092">
          <cell r="A8092">
            <v>43774</v>
          </cell>
        </row>
        <row r="8093">
          <cell r="A8093">
            <v>43867</v>
          </cell>
        </row>
        <row r="8094">
          <cell r="A8094">
            <v>43666</v>
          </cell>
        </row>
        <row r="8095">
          <cell r="A8095">
            <v>43432</v>
          </cell>
        </row>
        <row r="8096">
          <cell r="A8096">
            <v>43642</v>
          </cell>
        </row>
        <row r="8097">
          <cell r="A8097">
            <v>43775</v>
          </cell>
        </row>
        <row r="8098">
          <cell r="A8098">
            <v>43251</v>
          </cell>
        </row>
        <row r="8099">
          <cell r="A8099">
            <v>43287</v>
          </cell>
        </row>
        <row r="8100">
          <cell r="A8100">
            <v>43835</v>
          </cell>
        </row>
        <row r="8101">
          <cell r="A8101">
            <v>43644</v>
          </cell>
        </row>
        <row r="8102">
          <cell r="A8102">
            <v>43394</v>
          </cell>
        </row>
        <row r="8103">
          <cell r="A8103">
            <v>43908</v>
          </cell>
        </row>
        <row r="8104">
          <cell r="A8104">
            <v>43141</v>
          </cell>
        </row>
        <row r="8105">
          <cell r="A8105">
            <v>43206</v>
          </cell>
        </row>
        <row r="8106">
          <cell r="A8106">
            <v>43697</v>
          </cell>
        </row>
        <row r="8107">
          <cell r="A8107">
            <v>43518</v>
          </cell>
        </row>
        <row r="8108">
          <cell r="A8108">
            <v>43562</v>
          </cell>
        </row>
        <row r="8109">
          <cell r="A8109">
            <v>43519</v>
          </cell>
        </row>
        <row r="8110">
          <cell r="A8110">
            <v>43825</v>
          </cell>
        </row>
        <row r="8111">
          <cell r="A8111">
            <v>43569</v>
          </cell>
        </row>
        <row r="8112">
          <cell r="A8112">
            <v>43708</v>
          </cell>
        </row>
        <row r="8113">
          <cell r="A8113">
            <v>43821</v>
          </cell>
        </row>
        <row r="8114">
          <cell r="A8114">
            <v>43200</v>
          </cell>
        </row>
        <row r="8115">
          <cell r="A8115">
            <v>43202</v>
          </cell>
        </row>
        <row r="8116">
          <cell r="A8116">
            <v>43846</v>
          </cell>
        </row>
        <row r="8117">
          <cell r="A8117">
            <v>43230</v>
          </cell>
        </row>
        <row r="8118">
          <cell r="A8118">
            <v>43787</v>
          </cell>
        </row>
        <row r="8119">
          <cell r="A8119">
            <v>43444</v>
          </cell>
        </row>
        <row r="8120">
          <cell r="A8120">
            <v>43734</v>
          </cell>
        </row>
        <row r="8121">
          <cell r="A8121">
            <v>43399</v>
          </cell>
        </row>
        <row r="8122">
          <cell r="A8122">
            <v>43428</v>
          </cell>
        </row>
        <row r="8123">
          <cell r="A8123">
            <v>43316</v>
          </cell>
        </row>
        <row r="8124">
          <cell r="A8124">
            <v>43886</v>
          </cell>
        </row>
        <row r="8125">
          <cell r="A8125">
            <v>43210</v>
          </cell>
        </row>
        <row r="8126">
          <cell r="A8126">
            <v>43231</v>
          </cell>
        </row>
        <row r="8127">
          <cell r="A8127">
            <v>43704</v>
          </cell>
        </row>
        <row r="8128">
          <cell r="A8128">
            <v>43865</v>
          </cell>
        </row>
        <row r="8129">
          <cell r="A8129">
            <v>43136</v>
          </cell>
        </row>
        <row r="8130">
          <cell r="A8130">
            <v>43323</v>
          </cell>
        </row>
        <row r="8131">
          <cell r="A8131">
            <v>43259</v>
          </cell>
        </row>
        <row r="8132">
          <cell r="A8132">
            <v>43767</v>
          </cell>
        </row>
        <row r="8133">
          <cell r="A8133">
            <v>43642</v>
          </cell>
        </row>
        <row r="8134">
          <cell r="A8134">
            <v>43302</v>
          </cell>
        </row>
        <row r="8135">
          <cell r="A8135">
            <v>43438</v>
          </cell>
        </row>
        <row r="8136">
          <cell r="A8136">
            <v>43458</v>
          </cell>
        </row>
        <row r="8137">
          <cell r="A8137">
            <v>43599</v>
          </cell>
        </row>
        <row r="8138">
          <cell r="A8138">
            <v>43823</v>
          </cell>
        </row>
        <row r="8139">
          <cell r="A8139">
            <v>43206</v>
          </cell>
        </row>
        <row r="8140">
          <cell r="A8140">
            <v>43725</v>
          </cell>
        </row>
        <row r="8141">
          <cell r="A8141">
            <v>43895</v>
          </cell>
        </row>
        <row r="8142">
          <cell r="A8142">
            <v>43570</v>
          </cell>
        </row>
        <row r="8143">
          <cell r="A8143">
            <v>43126</v>
          </cell>
        </row>
        <row r="8144">
          <cell r="A8144">
            <v>43390</v>
          </cell>
        </row>
        <row r="8145">
          <cell r="A8145">
            <v>43397</v>
          </cell>
        </row>
        <row r="8146">
          <cell r="A8146">
            <v>43220</v>
          </cell>
        </row>
        <row r="8147">
          <cell r="A8147">
            <v>43894</v>
          </cell>
        </row>
        <row r="8148">
          <cell r="A8148">
            <v>43615</v>
          </cell>
        </row>
        <row r="8149">
          <cell r="A8149">
            <v>43688</v>
          </cell>
        </row>
        <row r="8150">
          <cell r="A8150">
            <v>43729</v>
          </cell>
        </row>
        <row r="8151">
          <cell r="A8151">
            <v>43151</v>
          </cell>
        </row>
        <row r="8152">
          <cell r="A8152">
            <v>43691</v>
          </cell>
        </row>
        <row r="8153">
          <cell r="A8153">
            <v>43150</v>
          </cell>
        </row>
        <row r="8154">
          <cell r="A8154">
            <v>43166</v>
          </cell>
        </row>
        <row r="8155">
          <cell r="A8155">
            <v>43336</v>
          </cell>
        </row>
        <row r="8156">
          <cell r="A8156">
            <v>43387</v>
          </cell>
        </row>
        <row r="8157">
          <cell r="A8157">
            <v>43506</v>
          </cell>
        </row>
        <row r="8158">
          <cell r="A8158">
            <v>43495</v>
          </cell>
        </row>
        <row r="8159">
          <cell r="A8159">
            <v>43490</v>
          </cell>
        </row>
        <row r="8160">
          <cell r="A8160">
            <v>43779</v>
          </cell>
        </row>
        <row r="8161">
          <cell r="A8161">
            <v>43190</v>
          </cell>
        </row>
        <row r="8162">
          <cell r="A8162">
            <v>43408</v>
          </cell>
        </row>
        <row r="8163">
          <cell r="A8163">
            <v>43718</v>
          </cell>
        </row>
        <row r="8164">
          <cell r="A8164">
            <v>43526</v>
          </cell>
        </row>
        <row r="8165">
          <cell r="A8165">
            <v>43610</v>
          </cell>
        </row>
        <row r="8166">
          <cell r="A8166">
            <v>43282</v>
          </cell>
        </row>
        <row r="8167">
          <cell r="A8167">
            <v>43750</v>
          </cell>
        </row>
        <row r="8168">
          <cell r="A8168">
            <v>43383</v>
          </cell>
        </row>
        <row r="8169">
          <cell r="A8169">
            <v>43352</v>
          </cell>
        </row>
        <row r="8170">
          <cell r="A8170">
            <v>43104</v>
          </cell>
        </row>
        <row r="8171">
          <cell r="A8171">
            <v>43911</v>
          </cell>
        </row>
        <row r="8172">
          <cell r="A8172">
            <v>43226</v>
          </cell>
        </row>
        <row r="8173">
          <cell r="A8173">
            <v>43860</v>
          </cell>
        </row>
        <row r="8174">
          <cell r="A8174">
            <v>43210</v>
          </cell>
        </row>
        <row r="8175">
          <cell r="A8175">
            <v>43871</v>
          </cell>
        </row>
        <row r="8176">
          <cell r="A8176">
            <v>43216</v>
          </cell>
        </row>
        <row r="8177">
          <cell r="A8177">
            <v>43445</v>
          </cell>
        </row>
        <row r="8178">
          <cell r="A8178">
            <v>43647</v>
          </cell>
        </row>
        <row r="8179">
          <cell r="A8179">
            <v>43649</v>
          </cell>
        </row>
        <row r="8180">
          <cell r="A8180">
            <v>43548</v>
          </cell>
        </row>
        <row r="8181">
          <cell r="A8181">
            <v>43488</v>
          </cell>
        </row>
        <row r="8182">
          <cell r="A8182">
            <v>43383</v>
          </cell>
        </row>
        <row r="8183">
          <cell r="A8183">
            <v>43506</v>
          </cell>
        </row>
        <row r="8184">
          <cell r="A8184">
            <v>43692</v>
          </cell>
        </row>
        <row r="8185">
          <cell r="A8185">
            <v>43756</v>
          </cell>
        </row>
        <row r="8186">
          <cell r="A8186">
            <v>43579</v>
          </cell>
        </row>
        <row r="8187">
          <cell r="A8187">
            <v>43261</v>
          </cell>
        </row>
        <row r="8188">
          <cell r="A8188">
            <v>43644</v>
          </cell>
        </row>
        <row r="8189">
          <cell r="A8189">
            <v>43782</v>
          </cell>
        </row>
        <row r="8190">
          <cell r="A8190">
            <v>43255</v>
          </cell>
        </row>
        <row r="8191">
          <cell r="A8191">
            <v>43507</v>
          </cell>
        </row>
        <row r="8192">
          <cell r="A8192">
            <v>43447</v>
          </cell>
        </row>
        <row r="8193">
          <cell r="A8193">
            <v>43467</v>
          </cell>
        </row>
        <row r="8194">
          <cell r="A8194">
            <v>43741</v>
          </cell>
        </row>
        <row r="8195">
          <cell r="A8195">
            <v>43138</v>
          </cell>
        </row>
        <row r="8196">
          <cell r="A8196">
            <v>43419</v>
          </cell>
        </row>
        <row r="8197">
          <cell r="A8197">
            <v>43489</v>
          </cell>
        </row>
        <row r="8198">
          <cell r="A8198">
            <v>43400</v>
          </cell>
        </row>
        <row r="8199">
          <cell r="A8199">
            <v>43874</v>
          </cell>
        </row>
        <row r="8200">
          <cell r="A8200">
            <v>43286</v>
          </cell>
        </row>
        <row r="8201">
          <cell r="A8201">
            <v>43894</v>
          </cell>
        </row>
        <row r="8202">
          <cell r="A8202">
            <v>43327</v>
          </cell>
        </row>
        <row r="8203">
          <cell r="A8203">
            <v>43157</v>
          </cell>
        </row>
        <row r="8204">
          <cell r="A8204">
            <v>43134</v>
          </cell>
        </row>
        <row r="8205">
          <cell r="A8205">
            <v>43105</v>
          </cell>
        </row>
        <row r="8206">
          <cell r="A8206">
            <v>43515</v>
          </cell>
        </row>
        <row r="8207">
          <cell r="A8207">
            <v>43415</v>
          </cell>
        </row>
        <row r="8208">
          <cell r="A8208">
            <v>43727</v>
          </cell>
        </row>
        <row r="8209">
          <cell r="A8209">
            <v>43625</v>
          </cell>
        </row>
        <row r="8210">
          <cell r="A8210">
            <v>43710</v>
          </cell>
        </row>
        <row r="8211">
          <cell r="A8211">
            <v>43695</v>
          </cell>
        </row>
        <row r="8212">
          <cell r="A8212">
            <v>43356</v>
          </cell>
        </row>
        <row r="8213">
          <cell r="A8213">
            <v>43731</v>
          </cell>
        </row>
        <row r="8214">
          <cell r="A8214">
            <v>43739</v>
          </cell>
        </row>
        <row r="8215">
          <cell r="A8215">
            <v>43484</v>
          </cell>
        </row>
        <row r="8216">
          <cell r="A8216">
            <v>43910</v>
          </cell>
        </row>
        <row r="8217">
          <cell r="A8217">
            <v>43870</v>
          </cell>
        </row>
        <row r="8218">
          <cell r="A8218">
            <v>43831</v>
          </cell>
        </row>
        <row r="8219">
          <cell r="A8219">
            <v>43571</v>
          </cell>
        </row>
        <row r="8220">
          <cell r="A8220">
            <v>43682</v>
          </cell>
        </row>
        <row r="8221">
          <cell r="A8221">
            <v>43802</v>
          </cell>
        </row>
        <row r="8222">
          <cell r="A8222">
            <v>43764</v>
          </cell>
        </row>
        <row r="8223">
          <cell r="A8223">
            <v>43222</v>
          </cell>
        </row>
        <row r="8224">
          <cell r="A8224">
            <v>43323</v>
          </cell>
        </row>
        <row r="8225">
          <cell r="A8225">
            <v>43684</v>
          </cell>
        </row>
        <row r="8226">
          <cell r="A8226">
            <v>43184</v>
          </cell>
        </row>
        <row r="8227">
          <cell r="A8227">
            <v>43167</v>
          </cell>
        </row>
        <row r="8228">
          <cell r="A8228">
            <v>43156</v>
          </cell>
        </row>
        <row r="8229">
          <cell r="A8229">
            <v>43284</v>
          </cell>
        </row>
        <row r="8230">
          <cell r="A8230">
            <v>43191</v>
          </cell>
        </row>
        <row r="8231">
          <cell r="A8231">
            <v>43143</v>
          </cell>
        </row>
        <row r="8232">
          <cell r="A8232">
            <v>43115</v>
          </cell>
        </row>
        <row r="8233">
          <cell r="A8233">
            <v>43115</v>
          </cell>
        </row>
        <row r="8234">
          <cell r="A8234">
            <v>43393</v>
          </cell>
        </row>
        <row r="8235">
          <cell r="A8235">
            <v>43493</v>
          </cell>
        </row>
        <row r="8236">
          <cell r="A8236">
            <v>43583</v>
          </cell>
        </row>
        <row r="8237">
          <cell r="A8237">
            <v>43732</v>
          </cell>
        </row>
        <row r="8238">
          <cell r="A8238">
            <v>43399</v>
          </cell>
        </row>
        <row r="8239">
          <cell r="A8239">
            <v>43503</v>
          </cell>
        </row>
        <row r="8240">
          <cell r="A8240">
            <v>43784</v>
          </cell>
        </row>
        <row r="8241">
          <cell r="A8241">
            <v>43855</v>
          </cell>
        </row>
        <row r="8242">
          <cell r="A8242">
            <v>43559</v>
          </cell>
        </row>
        <row r="8243">
          <cell r="A8243">
            <v>43715</v>
          </cell>
        </row>
        <row r="8244">
          <cell r="A8244">
            <v>43475</v>
          </cell>
        </row>
        <row r="8245">
          <cell r="A8245">
            <v>43527</v>
          </cell>
        </row>
        <row r="8246">
          <cell r="A8246">
            <v>43471</v>
          </cell>
        </row>
        <row r="8247">
          <cell r="A8247">
            <v>43796</v>
          </cell>
        </row>
        <row r="8248">
          <cell r="A8248">
            <v>43876</v>
          </cell>
        </row>
        <row r="8249">
          <cell r="A8249">
            <v>43125</v>
          </cell>
        </row>
        <row r="8250">
          <cell r="A8250">
            <v>43667</v>
          </cell>
        </row>
        <row r="8251">
          <cell r="A8251">
            <v>43667</v>
          </cell>
        </row>
        <row r="8252">
          <cell r="A8252">
            <v>43646</v>
          </cell>
        </row>
        <row r="8253">
          <cell r="A8253">
            <v>43631</v>
          </cell>
        </row>
        <row r="8254">
          <cell r="A8254">
            <v>43452</v>
          </cell>
        </row>
        <row r="8255">
          <cell r="A8255">
            <v>43111</v>
          </cell>
        </row>
        <row r="8256">
          <cell r="A8256">
            <v>43120</v>
          </cell>
        </row>
        <row r="8257">
          <cell r="A8257">
            <v>43890</v>
          </cell>
        </row>
        <row r="8258">
          <cell r="A8258">
            <v>43904</v>
          </cell>
        </row>
        <row r="8259">
          <cell r="A8259">
            <v>43581</v>
          </cell>
        </row>
        <row r="8260">
          <cell r="A8260">
            <v>43392</v>
          </cell>
        </row>
        <row r="8261">
          <cell r="A8261">
            <v>43817</v>
          </cell>
        </row>
        <row r="8262">
          <cell r="A8262">
            <v>43141</v>
          </cell>
        </row>
        <row r="8263">
          <cell r="A8263">
            <v>43215</v>
          </cell>
        </row>
        <row r="8264">
          <cell r="A8264">
            <v>43340</v>
          </cell>
        </row>
        <row r="8265">
          <cell r="A8265">
            <v>43391</v>
          </cell>
        </row>
        <row r="8266">
          <cell r="A8266">
            <v>43653</v>
          </cell>
        </row>
        <row r="8267">
          <cell r="A8267">
            <v>43803</v>
          </cell>
        </row>
        <row r="8268">
          <cell r="A8268">
            <v>43730</v>
          </cell>
        </row>
        <row r="8269">
          <cell r="A8269">
            <v>43390</v>
          </cell>
        </row>
        <row r="8270">
          <cell r="A8270">
            <v>43563</v>
          </cell>
        </row>
        <row r="8271">
          <cell r="A8271">
            <v>43129</v>
          </cell>
        </row>
        <row r="8272">
          <cell r="A8272">
            <v>43636</v>
          </cell>
        </row>
        <row r="8273">
          <cell r="A8273">
            <v>43245</v>
          </cell>
        </row>
        <row r="8274">
          <cell r="A8274">
            <v>43690</v>
          </cell>
        </row>
        <row r="8275">
          <cell r="A8275">
            <v>43721</v>
          </cell>
        </row>
        <row r="8276">
          <cell r="A8276">
            <v>43883</v>
          </cell>
        </row>
        <row r="8277">
          <cell r="A8277">
            <v>43535</v>
          </cell>
        </row>
        <row r="8278">
          <cell r="A8278">
            <v>43198</v>
          </cell>
        </row>
        <row r="8279">
          <cell r="A8279">
            <v>43543</v>
          </cell>
        </row>
        <row r="8280">
          <cell r="A8280">
            <v>43556</v>
          </cell>
        </row>
        <row r="8281">
          <cell r="A8281">
            <v>43307</v>
          </cell>
        </row>
        <row r="8282">
          <cell r="A8282">
            <v>43655</v>
          </cell>
        </row>
        <row r="8283">
          <cell r="A8283">
            <v>43405</v>
          </cell>
        </row>
        <row r="8284">
          <cell r="A8284">
            <v>43624</v>
          </cell>
        </row>
        <row r="8285">
          <cell r="A8285">
            <v>43586</v>
          </cell>
        </row>
        <row r="8286">
          <cell r="A8286">
            <v>43894</v>
          </cell>
        </row>
        <row r="8287">
          <cell r="A8287">
            <v>43331</v>
          </cell>
        </row>
        <row r="8288">
          <cell r="A8288">
            <v>43390</v>
          </cell>
        </row>
        <row r="8289">
          <cell r="A8289">
            <v>43365</v>
          </cell>
        </row>
        <row r="8290">
          <cell r="A8290">
            <v>43136</v>
          </cell>
        </row>
        <row r="8291">
          <cell r="A8291">
            <v>43288</v>
          </cell>
        </row>
        <row r="8292">
          <cell r="A8292">
            <v>43589</v>
          </cell>
        </row>
        <row r="8293">
          <cell r="A8293">
            <v>43170</v>
          </cell>
        </row>
        <row r="8294">
          <cell r="A8294">
            <v>43561</v>
          </cell>
        </row>
        <row r="8295">
          <cell r="A8295">
            <v>43438</v>
          </cell>
        </row>
        <row r="8296">
          <cell r="A8296">
            <v>43196</v>
          </cell>
        </row>
        <row r="8297">
          <cell r="A8297">
            <v>43218</v>
          </cell>
        </row>
        <row r="8298">
          <cell r="A8298">
            <v>43433</v>
          </cell>
        </row>
        <row r="8299">
          <cell r="A8299">
            <v>43569</v>
          </cell>
        </row>
        <row r="8300">
          <cell r="A8300">
            <v>43597</v>
          </cell>
        </row>
        <row r="8301">
          <cell r="A8301">
            <v>43635</v>
          </cell>
        </row>
        <row r="8302">
          <cell r="A8302">
            <v>43226</v>
          </cell>
        </row>
        <row r="8303">
          <cell r="A8303">
            <v>43315</v>
          </cell>
        </row>
        <row r="8304">
          <cell r="A8304">
            <v>43822</v>
          </cell>
        </row>
        <row r="8305">
          <cell r="A8305">
            <v>43151</v>
          </cell>
        </row>
        <row r="8306">
          <cell r="A8306">
            <v>43597</v>
          </cell>
        </row>
        <row r="8307">
          <cell r="A8307">
            <v>43685</v>
          </cell>
        </row>
        <row r="8308">
          <cell r="A8308">
            <v>43125</v>
          </cell>
        </row>
        <row r="8309">
          <cell r="A8309">
            <v>43818</v>
          </cell>
        </row>
        <row r="8310">
          <cell r="A8310">
            <v>43704</v>
          </cell>
        </row>
        <row r="8311">
          <cell r="A8311">
            <v>43564</v>
          </cell>
        </row>
        <row r="8312">
          <cell r="A8312">
            <v>43665</v>
          </cell>
        </row>
        <row r="8313">
          <cell r="A8313">
            <v>43163</v>
          </cell>
        </row>
        <row r="8314">
          <cell r="A8314">
            <v>43203</v>
          </cell>
        </row>
        <row r="8315">
          <cell r="A8315">
            <v>43495</v>
          </cell>
        </row>
        <row r="8316">
          <cell r="A8316">
            <v>43272</v>
          </cell>
        </row>
        <row r="8317">
          <cell r="A8317">
            <v>43632</v>
          </cell>
        </row>
        <row r="8318">
          <cell r="A8318">
            <v>43256</v>
          </cell>
        </row>
        <row r="8319">
          <cell r="A8319">
            <v>43358</v>
          </cell>
        </row>
        <row r="8320">
          <cell r="A8320">
            <v>43856</v>
          </cell>
        </row>
        <row r="8321">
          <cell r="A8321">
            <v>43689</v>
          </cell>
        </row>
        <row r="8322">
          <cell r="A8322">
            <v>43865</v>
          </cell>
        </row>
        <row r="8323">
          <cell r="A8323">
            <v>43586</v>
          </cell>
        </row>
        <row r="8324">
          <cell r="A8324">
            <v>43585</v>
          </cell>
        </row>
        <row r="8325">
          <cell r="A8325">
            <v>43764</v>
          </cell>
        </row>
        <row r="8326">
          <cell r="A8326">
            <v>43816</v>
          </cell>
        </row>
        <row r="8327">
          <cell r="A8327">
            <v>43298</v>
          </cell>
        </row>
        <row r="8328">
          <cell r="A8328">
            <v>43733</v>
          </cell>
        </row>
        <row r="8329">
          <cell r="A8329">
            <v>43784</v>
          </cell>
        </row>
        <row r="8330">
          <cell r="A8330">
            <v>43307</v>
          </cell>
        </row>
        <row r="8331">
          <cell r="A8331">
            <v>43806</v>
          </cell>
        </row>
        <row r="8332">
          <cell r="A8332">
            <v>43643</v>
          </cell>
        </row>
        <row r="8333">
          <cell r="A8333">
            <v>43138</v>
          </cell>
        </row>
        <row r="8334">
          <cell r="A8334">
            <v>43784</v>
          </cell>
        </row>
        <row r="8335">
          <cell r="A8335">
            <v>43506</v>
          </cell>
        </row>
        <row r="8336">
          <cell r="A8336">
            <v>43564</v>
          </cell>
        </row>
        <row r="8337">
          <cell r="A8337">
            <v>43262</v>
          </cell>
        </row>
        <row r="8338">
          <cell r="A8338">
            <v>43524</v>
          </cell>
        </row>
        <row r="8339">
          <cell r="A8339">
            <v>43357</v>
          </cell>
        </row>
        <row r="8340">
          <cell r="A8340">
            <v>43747</v>
          </cell>
        </row>
        <row r="8341">
          <cell r="A8341">
            <v>43548</v>
          </cell>
        </row>
        <row r="8342">
          <cell r="A8342">
            <v>43853</v>
          </cell>
        </row>
        <row r="8343">
          <cell r="A8343">
            <v>43778</v>
          </cell>
        </row>
        <row r="8344">
          <cell r="A8344">
            <v>43238</v>
          </cell>
        </row>
        <row r="8345">
          <cell r="A8345">
            <v>43769</v>
          </cell>
        </row>
        <row r="8346">
          <cell r="A8346">
            <v>43467</v>
          </cell>
        </row>
        <row r="8347">
          <cell r="A8347">
            <v>43554</v>
          </cell>
        </row>
        <row r="8348">
          <cell r="A8348">
            <v>43852</v>
          </cell>
        </row>
        <row r="8349">
          <cell r="A8349">
            <v>43250</v>
          </cell>
        </row>
        <row r="8350">
          <cell r="A8350">
            <v>43644</v>
          </cell>
        </row>
        <row r="8351">
          <cell r="A8351">
            <v>43444</v>
          </cell>
        </row>
        <row r="8352">
          <cell r="A8352">
            <v>43465</v>
          </cell>
        </row>
        <row r="8353">
          <cell r="A8353">
            <v>43545</v>
          </cell>
        </row>
        <row r="8354">
          <cell r="A8354">
            <v>43145</v>
          </cell>
        </row>
        <row r="8355">
          <cell r="A8355">
            <v>43454</v>
          </cell>
        </row>
        <row r="8356">
          <cell r="A8356">
            <v>43575</v>
          </cell>
        </row>
        <row r="8357">
          <cell r="A8357">
            <v>43647</v>
          </cell>
        </row>
        <row r="8358">
          <cell r="A8358">
            <v>43361</v>
          </cell>
        </row>
        <row r="8359">
          <cell r="A8359">
            <v>43553</v>
          </cell>
        </row>
        <row r="8360">
          <cell r="A8360">
            <v>43565</v>
          </cell>
        </row>
        <row r="8361">
          <cell r="A8361">
            <v>43445</v>
          </cell>
        </row>
        <row r="8362">
          <cell r="A8362">
            <v>43163</v>
          </cell>
        </row>
        <row r="8363">
          <cell r="A8363">
            <v>43722</v>
          </cell>
        </row>
        <row r="8364">
          <cell r="A8364">
            <v>43337</v>
          </cell>
        </row>
        <row r="8365">
          <cell r="A8365">
            <v>43665</v>
          </cell>
        </row>
        <row r="8366">
          <cell r="A8366">
            <v>43134</v>
          </cell>
        </row>
        <row r="8367">
          <cell r="A8367">
            <v>43849</v>
          </cell>
        </row>
        <row r="8368">
          <cell r="A8368">
            <v>43536</v>
          </cell>
        </row>
        <row r="8369">
          <cell r="A8369">
            <v>43162</v>
          </cell>
        </row>
        <row r="8370">
          <cell r="A8370">
            <v>43652</v>
          </cell>
        </row>
        <row r="8371">
          <cell r="A8371">
            <v>43749</v>
          </cell>
        </row>
        <row r="8372">
          <cell r="A8372">
            <v>43294</v>
          </cell>
        </row>
        <row r="8373">
          <cell r="A8373">
            <v>43585</v>
          </cell>
        </row>
        <row r="8374">
          <cell r="A8374">
            <v>43540</v>
          </cell>
        </row>
        <row r="8375">
          <cell r="A8375">
            <v>43771</v>
          </cell>
        </row>
        <row r="8376">
          <cell r="A8376">
            <v>43276</v>
          </cell>
        </row>
        <row r="8377">
          <cell r="A8377">
            <v>43785</v>
          </cell>
        </row>
        <row r="8378">
          <cell r="A8378">
            <v>43282</v>
          </cell>
        </row>
        <row r="8379">
          <cell r="A8379">
            <v>43694</v>
          </cell>
        </row>
        <row r="8380">
          <cell r="A8380">
            <v>43512</v>
          </cell>
        </row>
        <row r="8381">
          <cell r="A8381">
            <v>43755</v>
          </cell>
        </row>
        <row r="8382">
          <cell r="A8382">
            <v>43573</v>
          </cell>
        </row>
        <row r="8383">
          <cell r="A8383">
            <v>43420</v>
          </cell>
        </row>
        <row r="8384">
          <cell r="A8384">
            <v>43674</v>
          </cell>
        </row>
        <row r="8385">
          <cell r="A8385">
            <v>43153</v>
          </cell>
        </row>
        <row r="8386">
          <cell r="A8386">
            <v>43568</v>
          </cell>
        </row>
        <row r="8387">
          <cell r="A8387">
            <v>43903</v>
          </cell>
        </row>
        <row r="8388">
          <cell r="A8388">
            <v>43655</v>
          </cell>
        </row>
        <row r="8389">
          <cell r="A8389">
            <v>43623</v>
          </cell>
        </row>
        <row r="8390">
          <cell r="A8390">
            <v>43231</v>
          </cell>
        </row>
        <row r="8391">
          <cell r="A8391">
            <v>43334</v>
          </cell>
        </row>
        <row r="8392">
          <cell r="A8392">
            <v>43351</v>
          </cell>
        </row>
        <row r="8393">
          <cell r="A8393">
            <v>43788</v>
          </cell>
        </row>
        <row r="8394">
          <cell r="A8394">
            <v>43126</v>
          </cell>
        </row>
        <row r="8395">
          <cell r="A8395">
            <v>43550</v>
          </cell>
        </row>
        <row r="8396">
          <cell r="A8396">
            <v>43878</v>
          </cell>
        </row>
        <row r="8397">
          <cell r="A8397">
            <v>43613</v>
          </cell>
        </row>
        <row r="8398">
          <cell r="A8398">
            <v>43174</v>
          </cell>
        </row>
        <row r="8399">
          <cell r="A8399">
            <v>43388</v>
          </cell>
        </row>
        <row r="8400">
          <cell r="A8400">
            <v>43734</v>
          </cell>
        </row>
        <row r="8401">
          <cell r="A8401">
            <v>43222</v>
          </cell>
        </row>
        <row r="8402">
          <cell r="A8402">
            <v>43730</v>
          </cell>
        </row>
        <row r="8403">
          <cell r="A8403">
            <v>43353</v>
          </cell>
        </row>
        <row r="8404">
          <cell r="A8404">
            <v>43188</v>
          </cell>
        </row>
        <row r="8405">
          <cell r="A8405">
            <v>43319</v>
          </cell>
        </row>
        <row r="8406">
          <cell r="A8406">
            <v>43438</v>
          </cell>
        </row>
        <row r="8407">
          <cell r="A8407">
            <v>43236</v>
          </cell>
        </row>
        <row r="8408">
          <cell r="A8408">
            <v>43612</v>
          </cell>
        </row>
        <row r="8409">
          <cell r="A8409">
            <v>43473</v>
          </cell>
        </row>
        <row r="8410">
          <cell r="A8410">
            <v>43209</v>
          </cell>
        </row>
        <row r="8411">
          <cell r="A8411">
            <v>43126</v>
          </cell>
        </row>
        <row r="8412">
          <cell r="A8412">
            <v>43483</v>
          </cell>
        </row>
        <row r="8413">
          <cell r="A8413">
            <v>43271</v>
          </cell>
        </row>
        <row r="8414">
          <cell r="A8414">
            <v>43367</v>
          </cell>
        </row>
        <row r="8415">
          <cell r="A8415">
            <v>43146</v>
          </cell>
        </row>
        <row r="8416">
          <cell r="A8416">
            <v>43755</v>
          </cell>
        </row>
        <row r="8417">
          <cell r="A8417">
            <v>43568</v>
          </cell>
        </row>
        <row r="8418">
          <cell r="A8418">
            <v>43898</v>
          </cell>
        </row>
        <row r="8419">
          <cell r="A8419">
            <v>43721</v>
          </cell>
        </row>
        <row r="8420">
          <cell r="A8420">
            <v>43548</v>
          </cell>
        </row>
        <row r="8421">
          <cell r="A8421">
            <v>43333</v>
          </cell>
        </row>
        <row r="8422">
          <cell r="A8422">
            <v>43611</v>
          </cell>
        </row>
        <row r="8423">
          <cell r="A8423">
            <v>43687</v>
          </cell>
        </row>
        <row r="8424">
          <cell r="A8424">
            <v>43701</v>
          </cell>
        </row>
        <row r="8425">
          <cell r="A8425">
            <v>43156</v>
          </cell>
        </row>
        <row r="8426">
          <cell r="A8426">
            <v>43735</v>
          </cell>
        </row>
        <row r="8427">
          <cell r="A8427">
            <v>43441</v>
          </cell>
        </row>
        <row r="8428">
          <cell r="A8428">
            <v>43776</v>
          </cell>
        </row>
        <row r="8429">
          <cell r="A8429">
            <v>43526</v>
          </cell>
        </row>
        <row r="8430">
          <cell r="A8430">
            <v>43430</v>
          </cell>
        </row>
        <row r="8431">
          <cell r="A8431">
            <v>43882</v>
          </cell>
        </row>
        <row r="8432">
          <cell r="A8432">
            <v>43786</v>
          </cell>
        </row>
        <row r="8433">
          <cell r="A8433">
            <v>43651</v>
          </cell>
        </row>
        <row r="8434">
          <cell r="A8434">
            <v>43247</v>
          </cell>
        </row>
        <row r="8435">
          <cell r="A8435">
            <v>43550</v>
          </cell>
        </row>
        <row r="8436">
          <cell r="A8436">
            <v>43294</v>
          </cell>
        </row>
        <row r="8437">
          <cell r="A8437">
            <v>43859</v>
          </cell>
        </row>
        <row r="8438">
          <cell r="A8438">
            <v>43516</v>
          </cell>
        </row>
        <row r="8439">
          <cell r="A8439">
            <v>43764</v>
          </cell>
        </row>
        <row r="8440">
          <cell r="A8440">
            <v>43590</v>
          </cell>
        </row>
        <row r="8441">
          <cell r="A8441">
            <v>43351</v>
          </cell>
        </row>
        <row r="8442">
          <cell r="A8442">
            <v>43249</v>
          </cell>
        </row>
        <row r="8443">
          <cell r="A8443">
            <v>43544</v>
          </cell>
        </row>
        <row r="8444">
          <cell r="A8444">
            <v>43911</v>
          </cell>
        </row>
        <row r="8445">
          <cell r="A8445">
            <v>43903</v>
          </cell>
        </row>
        <row r="8446">
          <cell r="A8446">
            <v>43360</v>
          </cell>
        </row>
        <row r="8447">
          <cell r="A8447">
            <v>43196</v>
          </cell>
        </row>
        <row r="8448">
          <cell r="A8448">
            <v>43609</v>
          </cell>
        </row>
        <row r="8449">
          <cell r="A8449">
            <v>43397</v>
          </cell>
        </row>
        <row r="8450">
          <cell r="A8450">
            <v>43564</v>
          </cell>
        </row>
        <row r="8451">
          <cell r="A8451">
            <v>43281</v>
          </cell>
        </row>
        <row r="8452">
          <cell r="A8452">
            <v>43892</v>
          </cell>
        </row>
        <row r="8453">
          <cell r="A8453">
            <v>43627</v>
          </cell>
        </row>
        <row r="8454">
          <cell r="A8454">
            <v>43772</v>
          </cell>
        </row>
        <row r="8455">
          <cell r="A8455">
            <v>43408</v>
          </cell>
        </row>
        <row r="8456">
          <cell r="A8456">
            <v>43908</v>
          </cell>
        </row>
        <row r="8457">
          <cell r="A8457">
            <v>43536</v>
          </cell>
        </row>
        <row r="8458">
          <cell r="A8458">
            <v>43195</v>
          </cell>
        </row>
        <row r="8459">
          <cell r="A8459">
            <v>43289</v>
          </cell>
        </row>
        <row r="8460">
          <cell r="A8460">
            <v>43131</v>
          </cell>
        </row>
        <row r="8461">
          <cell r="A8461">
            <v>43689</v>
          </cell>
        </row>
        <row r="8462">
          <cell r="A8462">
            <v>43297</v>
          </cell>
        </row>
        <row r="8463">
          <cell r="A8463">
            <v>43170</v>
          </cell>
        </row>
        <row r="8464">
          <cell r="A8464">
            <v>43238</v>
          </cell>
        </row>
        <row r="8465">
          <cell r="A8465">
            <v>43111</v>
          </cell>
        </row>
        <row r="8466">
          <cell r="A8466">
            <v>43551</v>
          </cell>
        </row>
        <row r="8467">
          <cell r="A8467">
            <v>43257</v>
          </cell>
        </row>
        <row r="8468">
          <cell r="A8468">
            <v>43167</v>
          </cell>
        </row>
        <row r="8469">
          <cell r="A8469">
            <v>43701</v>
          </cell>
        </row>
        <row r="8470">
          <cell r="A8470">
            <v>43750</v>
          </cell>
        </row>
        <row r="8471">
          <cell r="A8471">
            <v>43761</v>
          </cell>
        </row>
        <row r="8472">
          <cell r="A8472">
            <v>43687</v>
          </cell>
        </row>
        <row r="8473">
          <cell r="A8473">
            <v>43284</v>
          </cell>
        </row>
        <row r="8474">
          <cell r="A8474">
            <v>43436</v>
          </cell>
        </row>
        <row r="8475">
          <cell r="A8475">
            <v>43183</v>
          </cell>
        </row>
        <row r="8476">
          <cell r="A8476">
            <v>43324</v>
          </cell>
        </row>
        <row r="8477">
          <cell r="A8477">
            <v>43614</v>
          </cell>
        </row>
        <row r="8478">
          <cell r="A8478">
            <v>43387</v>
          </cell>
        </row>
        <row r="8479">
          <cell r="A8479">
            <v>43553</v>
          </cell>
        </row>
        <row r="8480">
          <cell r="A8480">
            <v>43809</v>
          </cell>
        </row>
        <row r="8481">
          <cell r="A8481">
            <v>43857</v>
          </cell>
        </row>
        <row r="8482">
          <cell r="A8482">
            <v>43264</v>
          </cell>
        </row>
        <row r="8483">
          <cell r="A8483">
            <v>43425</v>
          </cell>
        </row>
        <row r="8484">
          <cell r="A8484">
            <v>43410</v>
          </cell>
        </row>
        <row r="8485">
          <cell r="A8485">
            <v>43238</v>
          </cell>
        </row>
        <row r="8486">
          <cell r="A8486">
            <v>43353</v>
          </cell>
        </row>
        <row r="8487">
          <cell r="A8487">
            <v>43180</v>
          </cell>
        </row>
        <row r="8488">
          <cell r="A8488">
            <v>43483</v>
          </cell>
        </row>
        <row r="8489">
          <cell r="A8489">
            <v>43903</v>
          </cell>
        </row>
        <row r="8490">
          <cell r="A8490">
            <v>43361</v>
          </cell>
        </row>
        <row r="8491">
          <cell r="A8491">
            <v>43250</v>
          </cell>
        </row>
        <row r="8492">
          <cell r="A8492">
            <v>43741</v>
          </cell>
        </row>
        <row r="8493">
          <cell r="A8493">
            <v>43616</v>
          </cell>
        </row>
        <row r="8494">
          <cell r="A8494">
            <v>43316</v>
          </cell>
        </row>
        <row r="8495">
          <cell r="A8495">
            <v>43147</v>
          </cell>
        </row>
        <row r="8496">
          <cell r="A8496">
            <v>43508</v>
          </cell>
        </row>
        <row r="8497">
          <cell r="A8497">
            <v>43557</v>
          </cell>
        </row>
        <row r="8498">
          <cell r="A8498">
            <v>43830</v>
          </cell>
        </row>
        <row r="8499">
          <cell r="A8499">
            <v>43709</v>
          </cell>
        </row>
        <row r="8500">
          <cell r="A8500">
            <v>43729</v>
          </cell>
        </row>
        <row r="8501">
          <cell r="A8501">
            <v>43437</v>
          </cell>
        </row>
        <row r="8502">
          <cell r="A8502">
            <v>43288</v>
          </cell>
        </row>
        <row r="8503">
          <cell r="A8503">
            <v>43234</v>
          </cell>
        </row>
        <row r="8504">
          <cell r="A8504">
            <v>43507</v>
          </cell>
        </row>
        <row r="8505">
          <cell r="A8505">
            <v>43846</v>
          </cell>
        </row>
        <row r="8506">
          <cell r="A8506">
            <v>43787</v>
          </cell>
        </row>
        <row r="8507">
          <cell r="A8507">
            <v>43781</v>
          </cell>
        </row>
        <row r="8508">
          <cell r="A8508">
            <v>43619</v>
          </cell>
        </row>
        <row r="8509">
          <cell r="A8509">
            <v>43760</v>
          </cell>
        </row>
        <row r="8510">
          <cell r="A8510">
            <v>43380</v>
          </cell>
        </row>
        <row r="8511">
          <cell r="A8511">
            <v>43656</v>
          </cell>
        </row>
        <row r="8512">
          <cell r="A8512">
            <v>43424</v>
          </cell>
        </row>
        <row r="8513">
          <cell r="A8513">
            <v>43665</v>
          </cell>
        </row>
        <row r="8514">
          <cell r="A8514">
            <v>43786</v>
          </cell>
        </row>
        <row r="8515">
          <cell r="A8515">
            <v>43265</v>
          </cell>
        </row>
        <row r="8516">
          <cell r="A8516">
            <v>43663</v>
          </cell>
        </row>
        <row r="8517">
          <cell r="A8517">
            <v>43339</v>
          </cell>
        </row>
        <row r="8518">
          <cell r="A8518">
            <v>43159</v>
          </cell>
        </row>
        <row r="8519">
          <cell r="A8519">
            <v>43665</v>
          </cell>
        </row>
        <row r="8520">
          <cell r="A8520">
            <v>43210</v>
          </cell>
        </row>
        <row r="8521">
          <cell r="A8521">
            <v>43120</v>
          </cell>
        </row>
        <row r="8522">
          <cell r="A8522">
            <v>43461</v>
          </cell>
        </row>
        <row r="8523">
          <cell r="A8523">
            <v>43526</v>
          </cell>
        </row>
        <row r="8524">
          <cell r="A8524">
            <v>43824</v>
          </cell>
        </row>
        <row r="8525">
          <cell r="A8525">
            <v>43127</v>
          </cell>
        </row>
        <row r="8526">
          <cell r="A8526">
            <v>43125</v>
          </cell>
        </row>
        <row r="8527">
          <cell r="A8527">
            <v>43713</v>
          </cell>
        </row>
        <row r="8528">
          <cell r="A8528">
            <v>43706</v>
          </cell>
        </row>
        <row r="8529">
          <cell r="A8529">
            <v>43549</v>
          </cell>
        </row>
        <row r="8530">
          <cell r="A8530">
            <v>43228</v>
          </cell>
        </row>
        <row r="8531">
          <cell r="A8531">
            <v>43583</v>
          </cell>
        </row>
        <row r="8532">
          <cell r="A8532">
            <v>43392</v>
          </cell>
        </row>
        <row r="8533">
          <cell r="A8533">
            <v>43726</v>
          </cell>
        </row>
        <row r="8534">
          <cell r="A8534">
            <v>43407</v>
          </cell>
        </row>
        <row r="8535">
          <cell r="A8535">
            <v>43672</v>
          </cell>
        </row>
        <row r="8536">
          <cell r="A8536">
            <v>43263</v>
          </cell>
        </row>
        <row r="8537">
          <cell r="A8537">
            <v>43103</v>
          </cell>
        </row>
        <row r="8538">
          <cell r="A8538">
            <v>43555</v>
          </cell>
        </row>
        <row r="8539">
          <cell r="A8539">
            <v>43117</v>
          </cell>
        </row>
        <row r="8540">
          <cell r="A8540">
            <v>43839</v>
          </cell>
        </row>
        <row r="8541">
          <cell r="A8541">
            <v>43605</v>
          </cell>
        </row>
        <row r="8542">
          <cell r="A8542">
            <v>43271</v>
          </cell>
        </row>
        <row r="8543">
          <cell r="A8543">
            <v>43137</v>
          </cell>
        </row>
        <row r="8544">
          <cell r="A8544">
            <v>43908</v>
          </cell>
        </row>
        <row r="8545">
          <cell r="A8545">
            <v>43236</v>
          </cell>
        </row>
        <row r="8546">
          <cell r="A8546">
            <v>43258</v>
          </cell>
        </row>
        <row r="8547">
          <cell r="A8547">
            <v>43249</v>
          </cell>
        </row>
        <row r="8548">
          <cell r="A8548">
            <v>43398</v>
          </cell>
        </row>
        <row r="8549">
          <cell r="A8549">
            <v>43232</v>
          </cell>
        </row>
        <row r="8550">
          <cell r="A8550">
            <v>43118</v>
          </cell>
        </row>
        <row r="8551">
          <cell r="A8551">
            <v>43860</v>
          </cell>
        </row>
        <row r="8552">
          <cell r="A8552">
            <v>43601</v>
          </cell>
        </row>
        <row r="8553">
          <cell r="A8553">
            <v>43777</v>
          </cell>
        </row>
        <row r="8554">
          <cell r="A8554">
            <v>43278</v>
          </cell>
        </row>
        <row r="8555">
          <cell r="A8555">
            <v>43251</v>
          </cell>
        </row>
        <row r="8556">
          <cell r="A8556">
            <v>43377</v>
          </cell>
        </row>
        <row r="8557">
          <cell r="A8557">
            <v>43420</v>
          </cell>
        </row>
        <row r="8558">
          <cell r="A8558">
            <v>43337</v>
          </cell>
        </row>
        <row r="8559">
          <cell r="A8559">
            <v>43107</v>
          </cell>
        </row>
        <row r="8560">
          <cell r="A8560">
            <v>43837</v>
          </cell>
        </row>
        <row r="8561">
          <cell r="A8561">
            <v>43363</v>
          </cell>
        </row>
        <row r="8562">
          <cell r="A8562">
            <v>43323</v>
          </cell>
        </row>
        <row r="8563">
          <cell r="A8563">
            <v>43302</v>
          </cell>
        </row>
        <row r="8564">
          <cell r="A8564">
            <v>43355</v>
          </cell>
        </row>
        <row r="8565">
          <cell r="A8565">
            <v>43773</v>
          </cell>
        </row>
        <row r="8566">
          <cell r="A8566">
            <v>43650</v>
          </cell>
        </row>
        <row r="8567">
          <cell r="A8567">
            <v>43841</v>
          </cell>
        </row>
        <row r="8568">
          <cell r="A8568">
            <v>43467</v>
          </cell>
        </row>
        <row r="8569">
          <cell r="A8569">
            <v>43640</v>
          </cell>
        </row>
        <row r="8570">
          <cell r="A8570">
            <v>43711</v>
          </cell>
        </row>
        <row r="8571">
          <cell r="A8571">
            <v>43571</v>
          </cell>
        </row>
        <row r="8572">
          <cell r="A8572">
            <v>43515</v>
          </cell>
        </row>
        <row r="8573">
          <cell r="A8573">
            <v>43832</v>
          </cell>
        </row>
        <row r="8574">
          <cell r="A8574">
            <v>43120</v>
          </cell>
        </row>
        <row r="8575">
          <cell r="A8575">
            <v>43180</v>
          </cell>
        </row>
        <row r="8576">
          <cell r="A8576">
            <v>43600</v>
          </cell>
        </row>
        <row r="8577">
          <cell r="A8577">
            <v>43519</v>
          </cell>
        </row>
        <row r="8578">
          <cell r="A8578">
            <v>43356</v>
          </cell>
        </row>
        <row r="8579">
          <cell r="A8579">
            <v>43805</v>
          </cell>
        </row>
        <row r="8580">
          <cell r="A8580">
            <v>43153</v>
          </cell>
        </row>
        <row r="8581">
          <cell r="A8581">
            <v>43756</v>
          </cell>
        </row>
        <row r="8582">
          <cell r="A8582">
            <v>43531</v>
          </cell>
        </row>
        <row r="8583">
          <cell r="A8583">
            <v>43231</v>
          </cell>
        </row>
        <row r="8584">
          <cell r="A8584">
            <v>43833</v>
          </cell>
        </row>
        <row r="8585">
          <cell r="A8585">
            <v>43856</v>
          </cell>
        </row>
        <row r="8586">
          <cell r="A8586">
            <v>43787</v>
          </cell>
        </row>
        <row r="8587">
          <cell r="A8587">
            <v>43693</v>
          </cell>
        </row>
        <row r="8588">
          <cell r="A8588">
            <v>43420</v>
          </cell>
        </row>
        <row r="8589">
          <cell r="A8589">
            <v>43492</v>
          </cell>
        </row>
        <row r="8590">
          <cell r="A8590">
            <v>43143</v>
          </cell>
        </row>
        <row r="8591">
          <cell r="A8591">
            <v>43826</v>
          </cell>
        </row>
        <row r="8592">
          <cell r="A8592">
            <v>43863</v>
          </cell>
        </row>
        <row r="8593">
          <cell r="A8593">
            <v>43743</v>
          </cell>
        </row>
        <row r="8594">
          <cell r="A8594">
            <v>43490</v>
          </cell>
        </row>
        <row r="8595">
          <cell r="A8595">
            <v>43238</v>
          </cell>
        </row>
        <row r="8596">
          <cell r="A8596">
            <v>43334</v>
          </cell>
        </row>
        <row r="8597">
          <cell r="A8597">
            <v>43857</v>
          </cell>
        </row>
        <row r="8598">
          <cell r="A8598">
            <v>43865</v>
          </cell>
        </row>
        <row r="8599">
          <cell r="A8599">
            <v>43715</v>
          </cell>
        </row>
        <row r="8600">
          <cell r="A8600">
            <v>43448</v>
          </cell>
        </row>
        <row r="8601">
          <cell r="A8601">
            <v>43357</v>
          </cell>
        </row>
        <row r="8602">
          <cell r="A8602">
            <v>43225</v>
          </cell>
        </row>
        <row r="8603">
          <cell r="A8603">
            <v>43914</v>
          </cell>
        </row>
        <row r="8604">
          <cell r="A8604">
            <v>43535</v>
          </cell>
        </row>
        <row r="8605">
          <cell r="A8605">
            <v>43671</v>
          </cell>
        </row>
        <row r="8606">
          <cell r="A8606">
            <v>43342</v>
          </cell>
        </row>
        <row r="8607">
          <cell r="A8607">
            <v>43397</v>
          </cell>
        </row>
        <row r="8608">
          <cell r="A8608">
            <v>43711</v>
          </cell>
        </row>
        <row r="8609">
          <cell r="A8609">
            <v>43474</v>
          </cell>
        </row>
        <row r="8610">
          <cell r="A8610">
            <v>43352</v>
          </cell>
        </row>
        <row r="8611">
          <cell r="A8611">
            <v>43775</v>
          </cell>
        </row>
        <row r="8612">
          <cell r="A8612">
            <v>43690</v>
          </cell>
        </row>
        <row r="8613">
          <cell r="A8613">
            <v>43119</v>
          </cell>
        </row>
        <row r="8614">
          <cell r="A8614">
            <v>43262</v>
          </cell>
        </row>
        <row r="8615">
          <cell r="A8615">
            <v>43656</v>
          </cell>
        </row>
        <row r="8616">
          <cell r="A8616">
            <v>43366</v>
          </cell>
        </row>
        <row r="8617">
          <cell r="A8617">
            <v>43119</v>
          </cell>
        </row>
        <row r="8618">
          <cell r="A8618">
            <v>43900</v>
          </cell>
        </row>
        <row r="8619">
          <cell r="A8619">
            <v>43898</v>
          </cell>
        </row>
        <row r="8620">
          <cell r="A8620">
            <v>43263</v>
          </cell>
        </row>
        <row r="8621">
          <cell r="A8621">
            <v>43183</v>
          </cell>
        </row>
        <row r="8622">
          <cell r="A8622">
            <v>43842</v>
          </cell>
        </row>
        <row r="8623">
          <cell r="A8623">
            <v>43455</v>
          </cell>
        </row>
        <row r="8624">
          <cell r="A8624">
            <v>43851</v>
          </cell>
        </row>
        <row r="8625">
          <cell r="A8625">
            <v>43478</v>
          </cell>
        </row>
        <row r="8626">
          <cell r="A8626">
            <v>43577</v>
          </cell>
        </row>
        <row r="8627">
          <cell r="A8627">
            <v>43648</v>
          </cell>
        </row>
        <row r="8628">
          <cell r="A8628">
            <v>43892</v>
          </cell>
        </row>
        <row r="8629">
          <cell r="A8629">
            <v>43183</v>
          </cell>
        </row>
        <row r="8630">
          <cell r="A8630">
            <v>43419</v>
          </cell>
        </row>
        <row r="8631">
          <cell r="A8631">
            <v>43160</v>
          </cell>
        </row>
        <row r="8632">
          <cell r="A8632">
            <v>43858</v>
          </cell>
        </row>
        <row r="8633">
          <cell r="A8633">
            <v>43163</v>
          </cell>
        </row>
        <row r="8634">
          <cell r="A8634">
            <v>43518</v>
          </cell>
        </row>
        <row r="8635">
          <cell r="A8635">
            <v>43142</v>
          </cell>
        </row>
        <row r="8636">
          <cell r="A8636">
            <v>43904</v>
          </cell>
        </row>
        <row r="8637">
          <cell r="A8637">
            <v>43219</v>
          </cell>
        </row>
        <row r="8638">
          <cell r="A8638">
            <v>43439</v>
          </cell>
        </row>
        <row r="8639">
          <cell r="A8639">
            <v>43207</v>
          </cell>
        </row>
        <row r="8640">
          <cell r="A8640">
            <v>43198</v>
          </cell>
        </row>
        <row r="8641">
          <cell r="A8641">
            <v>43515</v>
          </cell>
        </row>
        <row r="8642">
          <cell r="A8642">
            <v>43811</v>
          </cell>
        </row>
        <row r="8643">
          <cell r="A8643">
            <v>43550</v>
          </cell>
        </row>
        <row r="8644">
          <cell r="A8644">
            <v>43229</v>
          </cell>
        </row>
        <row r="8645">
          <cell r="A8645">
            <v>43864</v>
          </cell>
        </row>
        <row r="8646">
          <cell r="A8646">
            <v>43113</v>
          </cell>
        </row>
        <row r="8647">
          <cell r="A8647">
            <v>43665</v>
          </cell>
        </row>
        <row r="8648">
          <cell r="A8648">
            <v>43713</v>
          </cell>
        </row>
        <row r="8649">
          <cell r="A8649">
            <v>43598</v>
          </cell>
        </row>
        <row r="8650">
          <cell r="A8650">
            <v>43712</v>
          </cell>
        </row>
        <row r="8651">
          <cell r="A8651">
            <v>43159</v>
          </cell>
        </row>
        <row r="8652">
          <cell r="A8652">
            <v>43154</v>
          </cell>
        </row>
        <row r="8653">
          <cell r="A8653">
            <v>43218</v>
          </cell>
        </row>
        <row r="8654">
          <cell r="A8654">
            <v>43809</v>
          </cell>
        </row>
        <row r="8655">
          <cell r="A8655">
            <v>43272</v>
          </cell>
        </row>
        <row r="8656">
          <cell r="A8656">
            <v>43746</v>
          </cell>
        </row>
        <row r="8657">
          <cell r="A8657">
            <v>43462</v>
          </cell>
        </row>
        <row r="8658">
          <cell r="A8658">
            <v>43183</v>
          </cell>
        </row>
        <row r="8659">
          <cell r="A8659">
            <v>43338</v>
          </cell>
        </row>
        <row r="8660">
          <cell r="A8660">
            <v>43759</v>
          </cell>
        </row>
        <row r="8661">
          <cell r="A8661">
            <v>43488</v>
          </cell>
        </row>
        <row r="8662">
          <cell r="A8662">
            <v>43269</v>
          </cell>
        </row>
        <row r="8663">
          <cell r="A8663">
            <v>43486</v>
          </cell>
        </row>
        <row r="8664">
          <cell r="A8664">
            <v>43878</v>
          </cell>
        </row>
        <row r="8665">
          <cell r="A8665">
            <v>43297</v>
          </cell>
        </row>
        <row r="8666">
          <cell r="A8666">
            <v>43860</v>
          </cell>
        </row>
        <row r="8667">
          <cell r="A8667">
            <v>43637</v>
          </cell>
        </row>
        <row r="8668">
          <cell r="A8668">
            <v>43565</v>
          </cell>
        </row>
        <row r="8669">
          <cell r="A8669">
            <v>43777</v>
          </cell>
        </row>
        <row r="8670">
          <cell r="A8670">
            <v>43191</v>
          </cell>
        </row>
        <row r="8671">
          <cell r="A8671">
            <v>43205</v>
          </cell>
        </row>
        <row r="8672">
          <cell r="A8672">
            <v>43371</v>
          </cell>
        </row>
        <row r="8673">
          <cell r="A8673">
            <v>43512</v>
          </cell>
        </row>
        <row r="8674">
          <cell r="A8674">
            <v>43119</v>
          </cell>
        </row>
        <row r="8675">
          <cell r="A8675">
            <v>43177</v>
          </cell>
        </row>
        <row r="8676">
          <cell r="A8676">
            <v>43467</v>
          </cell>
        </row>
        <row r="8677">
          <cell r="A8677">
            <v>43325</v>
          </cell>
        </row>
        <row r="8678">
          <cell r="A8678">
            <v>43401</v>
          </cell>
        </row>
        <row r="8679">
          <cell r="A8679">
            <v>43846</v>
          </cell>
        </row>
        <row r="8680">
          <cell r="A8680">
            <v>43275</v>
          </cell>
        </row>
        <row r="8681">
          <cell r="A8681">
            <v>43177</v>
          </cell>
        </row>
        <row r="8682">
          <cell r="A8682">
            <v>43523</v>
          </cell>
        </row>
        <row r="8683">
          <cell r="A8683">
            <v>43346</v>
          </cell>
        </row>
        <row r="8684">
          <cell r="A8684">
            <v>43835</v>
          </cell>
        </row>
        <row r="8685">
          <cell r="A8685">
            <v>43770</v>
          </cell>
        </row>
        <row r="8686">
          <cell r="A8686">
            <v>43486</v>
          </cell>
        </row>
        <row r="8687">
          <cell r="A8687">
            <v>43676</v>
          </cell>
        </row>
        <row r="8688">
          <cell r="A8688">
            <v>43743</v>
          </cell>
        </row>
        <row r="8689">
          <cell r="A8689">
            <v>43432</v>
          </cell>
        </row>
        <row r="8690">
          <cell r="A8690">
            <v>43379</v>
          </cell>
        </row>
        <row r="8691">
          <cell r="A8691">
            <v>43460</v>
          </cell>
        </row>
        <row r="8692">
          <cell r="A8692">
            <v>43736</v>
          </cell>
        </row>
        <row r="8693">
          <cell r="A8693">
            <v>43890</v>
          </cell>
        </row>
        <row r="8694">
          <cell r="A8694">
            <v>43509</v>
          </cell>
        </row>
        <row r="8695">
          <cell r="A8695">
            <v>43105</v>
          </cell>
        </row>
        <row r="8696">
          <cell r="A8696">
            <v>43907</v>
          </cell>
        </row>
        <row r="8697">
          <cell r="A8697">
            <v>43617</v>
          </cell>
        </row>
        <row r="8698">
          <cell r="A8698">
            <v>43375</v>
          </cell>
        </row>
        <row r="8699">
          <cell r="A8699">
            <v>43341</v>
          </cell>
        </row>
        <row r="8700">
          <cell r="A8700">
            <v>43448</v>
          </cell>
        </row>
        <row r="8701">
          <cell r="A8701">
            <v>43287</v>
          </cell>
        </row>
        <row r="8702">
          <cell r="A8702">
            <v>43410</v>
          </cell>
        </row>
        <row r="8703">
          <cell r="A8703">
            <v>43700</v>
          </cell>
        </row>
        <row r="8704">
          <cell r="A8704">
            <v>43329</v>
          </cell>
        </row>
        <row r="8705">
          <cell r="A8705">
            <v>43850</v>
          </cell>
        </row>
        <row r="8706">
          <cell r="A8706">
            <v>43744</v>
          </cell>
        </row>
        <row r="8707">
          <cell r="A8707">
            <v>43500</v>
          </cell>
        </row>
        <row r="8708">
          <cell r="A8708">
            <v>43538</v>
          </cell>
        </row>
        <row r="8709">
          <cell r="A8709">
            <v>43532</v>
          </cell>
        </row>
        <row r="8710">
          <cell r="A8710">
            <v>43426</v>
          </cell>
        </row>
        <row r="8711">
          <cell r="A8711">
            <v>43306</v>
          </cell>
        </row>
        <row r="8712">
          <cell r="A8712">
            <v>43352</v>
          </cell>
        </row>
        <row r="8713">
          <cell r="A8713">
            <v>43640</v>
          </cell>
        </row>
        <row r="8714">
          <cell r="A8714">
            <v>43230</v>
          </cell>
        </row>
        <row r="8715">
          <cell r="A8715">
            <v>43180</v>
          </cell>
        </row>
        <row r="8716">
          <cell r="A8716">
            <v>43143</v>
          </cell>
        </row>
        <row r="8717">
          <cell r="A8717">
            <v>43836</v>
          </cell>
        </row>
        <row r="8718">
          <cell r="A8718">
            <v>43408</v>
          </cell>
        </row>
        <row r="8719">
          <cell r="A8719">
            <v>43183</v>
          </cell>
        </row>
        <row r="8720">
          <cell r="A8720">
            <v>43825</v>
          </cell>
        </row>
        <row r="8721">
          <cell r="A8721">
            <v>43506</v>
          </cell>
        </row>
        <row r="8722">
          <cell r="A8722">
            <v>43557</v>
          </cell>
        </row>
        <row r="8723">
          <cell r="A8723">
            <v>43880</v>
          </cell>
        </row>
        <row r="8724">
          <cell r="A8724">
            <v>43523</v>
          </cell>
        </row>
        <row r="8725">
          <cell r="A8725">
            <v>43346</v>
          </cell>
        </row>
        <row r="8726">
          <cell r="A8726">
            <v>43276</v>
          </cell>
        </row>
        <row r="8727">
          <cell r="A8727">
            <v>43171</v>
          </cell>
        </row>
        <row r="8728">
          <cell r="A8728">
            <v>43731</v>
          </cell>
        </row>
        <row r="8729">
          <cell r="A8729">
            <v>43247</v>
          </cell>
        </row>
        <row r="8730">
          <cell r="A8730">
            <v>43736</v>
          </cell>
        </row>
        <row r="8731">
          <cell r="A8731">
            <v>43142</v>
          </cell>
        </row>
        <row r="8732">
          <cell r="A8732">
            <v>43481</v>
          </cell>
        </row>
        <row r="8733">
          <cell r="A8733">
            <v>43702</v>
          </cell>
        </row>
        <row r="8734">
          <cell r="A8734">
            <v>43330</v>
          </cell>
        </row>
        <row r="8735">
          <cell r="A8735">
            <v>43739</v>
          </cell>
        </row>
        <row r="8736">
          <cell r="A8736">
            <v>43745</v>
          </cell>
        </row>
        <row r="8737">
          <cell r="A8737">
            <v>43756</v>
          </cell>
        </row>
        <row r="8738">
          <cell r="A8738">
            <v>43107</v>
          </cell>
        </row>
        <row r="8739">
          <cell r="A8739">
            <v>43558</v>
          </cell>
        </row>
        <row r="8740">
          <cell r="A8740">
            <v>43553</v>
          </cell>
        </row>
        <row r="8741">
          <cell r="A8741">
            <v>43797</v>
          </cell>
        </row>
        <row r="8742">
          <cell r="A8742">
            <v>43530</v>
          </cell>
        </row>
        <row r="8743">
          <cell r="A8743">
            <v>43226</v>
          </cell>
        </row>
        <row r="8744">
          <cell r="A8744">
            <v>43280</v>
          </cell>
        </row>
        <row r="8745">
          <cell r="A8745">
            <v>43225</v>
          </cell>
        </row>
        <row r="8746">
          <cell r="A8746">
            <v>43703</v>
          </cell>
        </row>
        <row r="8747">
          <cell r="A8747">
            <v>43312</v>
          </cell>
        </row>
        <row r="8748">
          <cell r="A8748">
            <v>43812</v>
          </cell>
        </row>
        <row r="8749">
          <cell r="A8749">
            <v>43651</v>
          </cell>
        </row>
        <row r="8750">
          <cell r="A8750">
            <v>43658</v>
          </cell>
        </row>
        <row r="8751">
          <cell r="A8751">
            <v>43388</v>
          </cell>
        </row>
        <row r="8752">
          <cell r="A8752">
            <v>43623</v>
          </cell>
        </row>
        <row r="8753">
          <cell r="A8753">
            <v>43643</v>
          </cell>
        </row>
        <row r="8754">
          <cell r="A8754">
            <v>43109</v>
          </cell>
        </row>
        <row r="8755">
          <cell r="A8755">
            <v>43741</v>
          </cell>
        </row>
        <row r="8756">
          <cell r="A8756">
            <v>43265</v>
          </cell>
        </row>
        <row r="8757">
          <cell r="A8757">
            <v>43871</v>
          </cell>
        </row>
        <row r="8758">
          <cell r="A8758">
            <v>43480</v>
          </cell>
        </row>
        <row r="8759">
          <cell r="A8759">
            <v>43752</v>
          </cell>
        </row>
        <row r="8760">
          <cell r="A8760">
            <v>43163</v>
          </cell>
        </row>
        <row r="8761">
          <cell r="A8761">
            <v>43570</v>
          </cell>
        </row>
        <row r="8762">
          <cell r="A8762">
            <v>43185</v>
          </cell>
        </row>
        <row r="8763">
          <cell r="A8763">
            <v>43255</v>
          </cell>
        </row>
        <row r="8764">
          <cell r="A8764">
            <v>43432</v>
          </cell>
        </row>
        <row r="8765">
          <cell r="A8765">
            <v>43413</v>
          </cell>
        </row>
        <row r="8766">
          <cell r="A8766">
            <v>43645</v>
          </cell>
        </row>
        <row r="8767">
          <cell r="A8767">
            <v>43215</v>
          </cell>
        </row>
        <row r="8768">
          <cell r="A8768">
            <v>43237</v>
          </cell>
        </row>
        <row r="8769">
          <cell r="A8769">
            <v>43849</v>
          </cell>
        </row>
        <row r="8770">
          <cell r="A8770">
            <v>43170</v>
          </cell>
        </row>
        <row r="8771">
          <cell r="A8771">
            <v>43332</v>
          </cell>
        </row>
        <row r="8772">
          <cell r="A8772">
            <v>43706</v>
          </cell>
        </row>
        <row r="8773">
          <cell r="A8773">
            <v>43387</v>
          </cell>
        </row>
        <row r="8774">
          <cell r="A8774">
            <v>43821</v>
          </cell>
        </row>
        <row r="8775">
          <cell r="A8775">
            <v>43322</v>
          </cell>
        </row>
        <row r="8776">
          <cell r="A8776">
            <v>43732</v>
          </cell>
        </row>
        <row r="8777">
          <cell r="A8777">
            <v>43848</v>
          </cell>
        </row>
        <row r="8778">
          <cell r="A8778">
            <v>43826</v>
          </cell>
        </row>
        <row r="8779">
          <cell r="A8779">
            <v>43322</v>
          </cell>
        </row>
        <row r="8780">
          <cell r="A8780">
            <v>43302</v>
          </cell>
        </row>
        <row r="8781">
          <cell r="A8781">
            <v>43833</v>
          </cell>
        </row>
        <row r="8782">
          <cell r="A8782">
            <v>43741</v>
          </cell>
        </row>
        <row r="8783">
          <cell r="A8783">
            <v>43739</v>
          </cell>
        </row>
        <row r="8784">
          <cell r="A8784">
            <v>43797</v>
          </cell>
        </row>
        <row r="8785">
          <cell r="A8785">
            <v>43377</v>
          </cell>
        </row>
        <row r="8786">
          <cell r="A8786">
            <v>43204</v>
          </cell>
        </row>
        <row r="8787">
          <cell r="A8787">
            <v>43618</v>
          </cell>
        </row>
        <row r="8788">
          <cell r="A8788">
            <v>43225</v>
          </cell>
        </row>
        <row r="8789">
          <cell r="A8789">
            <v>43400</v>
          </cell>
        </row>
        <row r="8790">
          <cell r="A8790">
            <v>43409</v>
          </cell>
        </row>
        <row r="8791">
          <cell r="A8791">
            <v>43151</v>
          </cell>
        </row>
        <row r="8792">
          <cell r="A8792">
            <v>43715</v>
          </cell>
        </row>
        <row r="8793">
          <cell r="A8793">
            <v>43532</v>
          </cell>
        </row>
        <row r="8794">
          <cell r="A8794">
            <v>43802</v>
          </cell>
        </row>
        <row r="8795">
          <cell r="A8795">
            <v>43831</v>
          </cell>
        </row>
        <row r="8796">
          <cell r="A8796">
            <v>43464</v>
          </cell>
        </row>
        <row r="8797">
          <cell r="A8797">
            <v>43663</v>
          </cell>
        </row>
        <row r="8798">
          <cell r="A8798">
            <v>43788</v>
          </cell>
        </row>
        <row r="8799">
          <cell r="A8799">
            <v>43260</v>
          </cell>
        </row>
        <row r="8800">
          <cell r="A8800">
            <v>43403</v>
          </cell>
        </row>
        <row r="8801">
          <cell r="A8801">
            <v>43473</v>
          </cell>
        </row>
        <row r="8802">
          <cell r="A8802">
            <v>43272</v>
          </cell>
        </row>
        <row r="8803">
          <cell r="A8803">
            <v>43346</v>
          </cell>
        </row>
        <row r="8804">
          <cell r="A8804">
            <v>43709</v>
          </cell>
        </row>
        <row r="8805">
          <cell r="A8805">
            <v>43190</v>
          </cell>
        </row>
        <row r="8806">
          <cell r="A8806">
            <v>43698</v>
          </cell>
        </row>
        <row r="8807">
          <cell r="A8807">
            <v>43433</v>
          </cell>
        </row>
        <row r="8808">
          <cell r="A8808">
            <v>43171</v>
          </cell>
        </row>
        <row r="8809">
          <cell r="A8809">
            <v>43739</v>
          </cell>
        </row>
        <row r="8810">
          <cell r="A8810">
            <v>43386</v>
          </cell>
        </row>
        <row r="8811">
          <cell r="A8811">
            <v>43453</v>
          </cell>
        </row>
        <row r="8812">
          <cell r="A8812">
            <v>43202</v>
          </cell>
        </row>
        <row r="8813">
          <cell r="A8813">
            <v>43234</v>
          </cell>
        </row>
        <row r="8814">
          <cell r="A8814">
            <v>43555</v>
          </cell>
        </row>
        <row r="8815">
          <cell r="A8815">
            <v>43318</v>
          </cell>
        </row>
        <row r="8816">
          <cell r="A8816">
            <v>43564</v>
          </cell>
        </row>
        <row r="8817">
          <cell r="A8817">
            <v>43499</v>
          </cell>
        </row>
        <row r="8818">
          <cell r="A8818">
            <v>43618</v>
          </cell>
        </row>
        <row r="8819">
          <cell r="A8819">
            <v>43795</v>
          </cell>
        </row>
        <row r="8820">
          <cell r="A8820">
            <v>43885</v>
          </cell>
        </row>
        <row r="8821">
          <cell r="A8821">
            <v>43644</v>
          </cell>
        </row>
        <row r="8822">
          <cell r="A8822">
            <v>43346</v>
          </cell>
        </row>
        <row r="8823">
          <cell r="A8823">
            <v>43342</v>
          </cell>
        </row>
        <row r="8824">
          <cell r="A8824">
            <v>43501</v>
          </cell>
        </row>
        <row r="8825">
          <cell r="A8825">
            <v>43914</v>
          </cell>
        </row>
        <row r="8826">
          <cell r="A8826">
            <v>43639</v>
          </cell>
        </row>
        <row r="8827">
          <cell r="A8827">
            <v>43157</v>
          </cell>
        </row>
        <row r="8828">
          <cell r="A8828">
            <v>43128</v>
          </cell>
        </row>
        <row r="8829">
          <cell r="A8829">
            <v>43870</v>
          </cell>
        </row>
        <row r="8830">
          <cell r="A8830">
            <v>43733</v>
          </cell>
        </row>
        <row r="8831">
          <cell r="A8831">
            <v>43698</v>
          </cell>
        </row>
        <row r="8832">
          <cell r="A8832">
            <v>43891</v>
          </cell>
        </row>
        <row r="8833">
          <cell r="A8833">
            <v>43512</v>
          </cell>
        </row>
        <row r="8834">
          <cell r="A8834">
            <v>43713</v>
          </cell>
        </row>
        <row r="8835">
          <cell r="A8835">
            <v>43190</v>
          </cell>
        </row>
        <row r="8836">
          <cell r="A8836">
            <v>43737</v>
          </cell>
        </row>
        <row r="8837">
          <cell r="A8837">
            <v>43449</v>
          </cell>
        </row>
        <row r="8838">
          <cell r="A8838">
            <v>43300</v>
          </cell>
        </row>
        <row r="8839">
          <cell r="A8839">
            <v>43842</v>
          </cell>
        </row>
        <row r="8840">
          <cell r="A8840">
            <v>43613</v>
          </cell>
        </row>
        <row r="8841">
          <cell r="A8841">
            <v>43158</v>
          </cell>
        </row>
        <row r="8842">
          <cell r="A8842">
            <v>43887</v>
          </cell>
        </row>
        <row r="8843">
          <cell r="A8843">
            <v>43353</v>
          </cell>
        </row>
        <row r="8844">
          <cell r="A8844">
            <v>43897</v>
          </cell>
        </row>
        <row r="8845">
          <cell r="A8845">
            <v>43894</v>
          </cell>
        </row>
        <row r="8846">
          <cell r="A8846">
            <v>43822</v>
          </cell>
        </row>
        <row r="8847">
          <cell r="A8847">
            <v>43363</v>
          </cell>
        </row>
        <row r="8848">
          <cell r="A8848">
            <v>43875</v>
          </cell>
        </row>
        <row r="8849">
          <cell r="A8849">
            <v>43505</v>
          </cell>
        </row>
        <row r="8850">
          <cell r="A8850">
            <v>43254</v>
          </cell>
        </row>
        <row r="8851">
          <cell r="A8851">
            <v>43462</v>
          </cell>
        </row>
        <row r="8852">
          <cell r="A8852">
            <v>43586</v>
          </cell>
        </row>
        <row r="8853">
          <cell r="A8853">
            <v>43654</v>
          </cell>
        </row>
        <row r="8854">
          <cell r="A8854">
            <v>43295</v>
          </cell>
        </row>
        <row r="8855">
          <cell r="A8855">
            <v>43777</v>
          </cell>
        </row>
        <row r="8856">
          <cell r="A8856">
            <v>43585</v>
          </cell>
        </row>
        <row r="8857">
          <cell r="A8857">
            <v>43442</v>
          </cell>
        </row>
        <row r="8858">
          <cell r="A8858">
            <v>43145</v>
          </cell>
        </row>
        <row r="8859">
          <cell r="A8859">
            <v>43552</v>
          </cell>
        </row>
        <row r="8860">
          <cell r="A8860">
            <v>43577</v>
          </cell>
        </row>
        <row r="8861">
          <cell r="A8861">
            <v>43136</v>
          </cell>
        </row>
        <row r="8862">
          <cell r="A8862">
            <v>43215</v>
          </cell>
        </row>
        <row r="8863">
          <cell r="A8863">
            <v>43668</v>
          </cell>
        </row>
        <row r="8864">
          <cell r="A8864">
            <v>43717</v>
          </cell>
        </row>
        <row r="8865">
          <cell r="A8865">
            <v>43140</v>
          </cell>
        </row>
        <row r="8866">
          <cell r="A8866">
            <v>43881</v>
          </cell>
        </row>
        <row r="8867">
          <cell r="A8867">
            <v>43743</v>
          </cell>
        </row>
        <row r="8868">
          <cell r="A8868">
            <v>43315</v>
          </cell>
        </row>
        <row r="8869">
          <cell r="A8869">
            <v>43475</v>
          </cell>
        </row>
        <row r="8870">
          <cell r="A8870">
            <v>43886</v>
          </cell>
        </row>
        <row r="8871">
          <cell r="A8871">
            <v>43885</v>
          </cell>
        </row>
        <row r="8872">
          <cell r="A8872">
            <v>43310</v>
          </cell>
        </row>
        <row r="8873">
          <cell r="A8873">
            <v>43154</v>
          </cell>
        </row>
        <row r="8874">
          <cell r="A8874">
            <v>43143</v>
          </cell>
        </row>
        <row r="8875">
          <cell r="A8875">
            <v>43879</v>
          </cell>
        </row>
        <row r="8876">
          <cell r="A8876">
            <v>43537</v>
          </cell>
        </row>
        <row r="8877">
          <cell r="A8877">
            <v>43906</v>
          </cell>
        </row>
        <row r="8878">
          <cell r="A8878">
            <v>43483</v>
          </cell>
        </row>
        <row r="8879">
          <cell r="A8879">
            <v>43345</v>
          </cell>
        </row>
        <row r="8880">
          <cell r="A8880">
            <v>43587</v>
          </cell>
        </row>
        <row r="8881">
          <cell r="A8881">
            <v>43614</v>
          </cell>
        </row>
        <row r="8882">
          <cell r="A8882">
            <v>43231</v>
          </cell>
        </row>
        <row r="8883">
          <cell r="A8883">
            <v>43351</v>
          </cell>
        </row>
        <row r="8884">
          <cell r="A8884">
            <v>43189</v>
          </cell>
        </row>
        <row r="8885">
          <cell r="A8885">
            <v>43418</v>
          </cell>
        </row>
        <row r="8886">
          <cell r="A8886">
            <v>43711</v>
          </cell>
        </row>
        <row r="8887">
          <cell r="A8887">
            <v>43389</v>
          </cell>
        </row>
        <row r="8888">
          <cell r="A8888">
            <v>43316</v>
          </cell>
        </row>
        <row r="8889">
          <cell r="A8889">
            <v>43879</v>
          </cell>
        </row>
        <row r="8890">
          <cell r="A8890">
            <v>43232</v>
          </cell>
        </row>
        <row r="8891">
          <cell r="A8891">
            <v>43240</v>
          </cell>
        </row>
        <row r="8892">
          <cell r="A8892">
            <v>43834</v>
          </cell>
        </row>
        <row r="8893">
          <cell r="A8893">
            <v>43387</v>
          </cell>
        </row>
        <row r="8894">
          <cell r="A8894">
            <v>43322</v>
          </cell>
        </row>
        <row r="8895">
          <cell r="A8895">
            <v>43365</v>
          </cell>
        </row>
        <row r="8896">
          <cell r="A8896">
            <v>43463</v>
          </cell>
        </row>
        <row r="8897">
          <cell r="A8897">
            <v>43131</v>
          </cell>
        </row>
        <row r="8898">
          <cell r="A8898">
            <v>43817</v>
          </cell>
        </row>
        <row r="8899">
          <cell r="A8899">
            <v>43783</v>
          </cell>
        </row>
        <row r="8900">
          <cell r="A8900">
            <v>43142</v>
          </cell>
        </row>
        <row r="8901">
          <cell r="A8901">
            <v>43666</v>
          </cell>
        </row>
        <row r="8902">
          <cell r="A8902">
            <v>43213</v>
          </cell>
        </row>
        <row r="8903">
          <cell r="A8903">
            <v>43261</v>
          </cell>
        </row>
        <row r="8904">
          <cell r="A8904">
            <v>43911</v>
          </cell>
        </row>
        <row r="8905">
          <cell r="A8905">
            <v>43797</v>
          </cell>
        </row>
        <row r="8906">
          <cell r="A8906">
            <v>43696</v>
          </cell>
        </row>
        <row r="8907">
          <cell r="A8907">
            <v>43212</v>
          </cell>
        </row>
        <row r="8908">
          <cell r="A8908">
            <v>43744</v>
          </cell>
        </row>
        <row r="8909">
          <cell r="A8909">
            <v>43500</v>
          </cell>
        </row>
        <row r="8910">
          <cell r="A8910">
            <v>43133</v>
          </cell>
        </row>
        <row r="8911">
          <cell r="A8911">
            <v>43513</v>
          </cell>
        </row>
        <row r="8912">
          <cell r="A8912">
            <v>43876</v>
          </cell>
        </row>
        <row r="8913">
          <cell r="A8913">
            <v>43200</v>
          </cell>
        </row>
        <row r="8914">
          <cell r="A8914">
            <v>43592</v>
          </cell>
        </row>
        <row r="8915">
          <cell r="A8915">
            <v>43477</v>
          </cell>
        </row>
        <row r="8916">
          <cell r="A8916">
            <v>43754</v>
          </cell>
        </row>
        <row r="8917">
          <cell r="A8917">
            <v>43713</v>
          </cell>
        </row>
        <row r="8918">
          <cell r="A8918">
            <v>43408</v>
          </cell>
        </row>
        <row r="8919">
          <cell r="A8919">
            <v>43438</v>
          </cell>
        </row>
        <row r="8920">
          <cell r="A8920">
            <v>43873</v>
          </cell>
        </row>
        <row r="8921">
          <cell r="A8921">
            <v>43263</v>
          </cell>
        </row>
        <row r="8922">
          <cell r="A8922">
            <v>43582</v>
          </cell>
        </row>
        <row r="8923">
          <cell r="A8923">
            <v>43775</v>
          </cell>
        </row>
        <row r="8924">
          <cell r="A8924">
            <v>43681</v>
          </cell>
        </row>
        <row r="8925">
          <cell r="A8925">
            <v>43191</v>
          </cell>
        </row>
        <row r="8926">
          <cell r="A8926">
            <v>43138</v>
          </cell>
        </row>
        <row r="8927">
          <cell r="A8927">
            <v>43187</v>
          </cell>
        </row>
        <row r="8928">
          <cell r="A8928">
            <v>43366</v>
          </cell>
        </row>
        <row r="8929">
          <cell r="A8929">
            <v>43109</v>
          </cell>
        </row>
        <row r="8930">
          <cell r="A8930">
            <v>43798</v>
          </cell>
        </row>
        <row r="8931">
          <cell r="A8931">
            <v>43757</v>
          </cell>
        </row>
        <row r="8932">
          <cell r="A8932">
            <v>43656</v>
          </cell>
        </row>
        <row r="8933">
          <cell r="A8933">
            <v>43321</v>
          </cell>
        </row>
        <row r="8934">
          <cell r="A8934">
            <v>43567</v>
          </cell>
        </row>
        <row r="8935">
          <cell r="A8935">
            <v>43299</v>
          </cell>
        </row>
        <row r="8936">
          <cell r="A8936">
            <v>43655</v>
          </cell>
        </row>
        <row r="8937">
          <cell r="A8937">
            <v>43312</v>
          </cell>
        </row>
        <row r="8938">
          <cell r="A8938">
            <v>43857</v>
          </cell>
        </row>
        <row r="8939">
          <cell r="A8939">
            <v>43177</v>
          </cell>
        </row>
        <row r="8940">
          <cell r="A8940">
            <v>43303</v>
          </cell>
        </row>
        <row r="8941">
          <cell r="A8941">
            <v>43480</v>
          </cell>
        </row>
        <row r="8942">
          <cell r="A8942">
            <v>43497</v>
          </cell>
        </row>
        <row r="8943">
          <cell r="A8943">
            <v>43845</v>
          </cell>
        </row>
        <row r="8944">
          <cell r="A8944">
            <v>43231</v>
          </cell>
        </row>
        <row r="8945">
          <cell r="A8945">
            <v>43155</v>
          </cell>
        </row>
        <row r="8946">
          <cell r="A8946">
            <v>43784</v>
          </cell>
        </row>
        <row r="8947">
          <cell r="A8947">
            <v>43219</v>
          </cell>
        </row>
        <row r="8948">
          <cell r="A8948">
            <v>43555</v>
          </cell>
        </row>
        <row r="8949">
          <cell r="A8949">
            <v>43263</v>
          </cell>
        </row>
        <row r="8950">
          <cell r="A8950">
            <v>43159</v>
          </cell>
        </row>
        <row r="8951">
          <cell r="A8951">
            <v>43804</v>
          </cell>
        </row>
        <row r="8952">
          <cell r="A8952">
            <v>43650</v>
          </cell>
        </row>
        <row r="8953">
          <cell r="A8953">
            <v>43635</v>
          </cell>
        </row>
        <row r="8954">
          <cell r="A8954">
            <v>43916</v>
          </cell>
        </row>
        <row r="8955">
          <cell r="A8955">
            <v>43757</v>
          </cell>
        </row>
        <row r="8956">
          <cell r="A8956">
            <v>43288</v>
          </cell>
        </row>
        <row r="8957">
          <cell r="A8957">
            <v>43392</v>
          </cell>
        </row>
        <row r="8958">
          <cell r="A8958">
            <v>43512</v>
          </cell>
        </row>
        <row r="8959">
          <cell r="A8959">
            <v>43471</v>
          </cell>
        </row>
        <row r="8960">
          <cell r="A8960">
            <v>43779</v>
          </cell>
        </row>
        <row r="8961">
          <cell r="A8961">
            <v>43112</v>
          </cell>
        </row>
        <row r="8962">
          <cell r="A8962">
            <v>43612</v>
          </cell>
        </row>
        <row r="8963">
          <cell r="A8963">
            <v>43504</v>
          </cell>
        </row>
        <row r="8964">
          <cell r="A8964">
            <v>43368</v>
          </cell>
        </row>
        <row r="8965">
          <cell r="A8965">
            <v>43221</v>
          </cell>
        </row>
        <row r="8966">
          <cell r="A8966">
            <v>43776</v>
          </cell>
        </row>
        <row r="8967">
          <cell r="A8967">
            <v>43524</v>
          </cell>
        </row>
        <row r="8968">
          <cell r="A8968">
            <v>43165</v>
          </cell>
        </row>
        <row r="8969">
          <cell r="A8969">
            <v>43517</v>
          </cell>
        </row>
        <row r="8970">
          <cell r="A8970">
            <v>43273</v>
          </cell>
        </row>
        <row r="8971">
          <cell r="A8971">
            <v>43114</v>
          </cell>
        </row>
        <row r="8972">
          <cell r="A8972">
            <v>43591</v>
          </cell>
        </row>
        <row r="8973">
          <cell r="A8973">
            <v>43865</v>
          </cell>
        </row>
        <row r="8974">
          <cell r="A8974">
            <v>43136</v>
          </cell>
        </row>
        <row r="8975">
          <cell r="A8975">
            <v>43261</v>
          </cell>
        </row>
        <row r="8976">
          <cell r="A8976">
            <v>43571</v>
          </cell>
        </row>
        <row r="8977">
          <cell r="A8977">
            <v>43828</v>
          </cell>
        </row>
        <row r="8978">
          <cell r="A8978">
            <v>43147</v>
          </cell>
        </row>
        <row r="8979">
          <cell r="A8979">
            <v>43549</v>
          </cell>
        </row>
        <row r="8980">
          <cell r="A8980">
            <v>43855</v>
          </cell>
        </row>
        <row r="8981">
          <cell r="A8981">
            <v>43383</v>
          </cell>
        </row>
        <row r="8982">
          <cell r="A8982">
            <v>43365</v>
          </cell>
        </row>
        <row r="8983">
          <cell r="A8983">
            <v>43753</v>
          </cell>
        </row>
        <row r="8984">
          <cell r="A8984">
            <v>43492</v>
          </cell>
        </row>
        <row r="8985">
          <cell r="A8985">
            <v>43862</v>
          </cell>
        </row>
        <row r="8986">
          <cell r="A8986">
            <v>43429</v>
          </cell>
        </row>
        <row r="8987">
          <cell r="A8987">
            <v>43910</v>
          </cell>
        </row>
        <row r="8988">
          <cell r="A8988">
            <v>43271</v>
          </cell>
        </row>
        <row r="8989">
          <cell r="A8989">
            <v>43304</v>
          </cell>
        </row>
        <row r="8990">
          <cell r="A8990">
            <v>43500</v>
          </cell>
        </row>
        <row r="8991">
          <cell r="A8991">
            <v>43781</v>
          </cell>
        </row>
        <row r="8992">
          <cell r="A8992">
            <v>43730</v>
          </cell>
        </row>
        <row r="8993">
          <cell r="A8993">
            <v>43891</v>
          </cell>
        </row>
        <row r="8994">
          <cell r="A8994">
            <v>43595</v>
          </cell>
        </row>
        <row r="8995">
          <cell r="A8995">
            <v>43784</v>
          </cell>
        </row>
        <row r="8996">
          <cell r="A8996">
            <v>43269</v>
          </cell>
        </row>
        <row r="8997">
          <cell r="A8997">
            <v>43844</v>
          </cell>
        </row>
        <row r="8998">
          <cell r="A8998">
            <v>43895</v>
          </cell>
        </row>
        <row r="8999">
          <cell r="A8999">
            <v>43572</v>
          </cell>
        </row>
        <row r="9000">
          <cell r="A9000">
            <v>43654</v>
          </cell>
        </row>
        <row r="9001">
          <cell r="A9001">
            <v>43231</v>
          </cell>
        </row>
        <row r="9002">
          <cell r="A9002">
            <v>43637</v>
          </cell>
        </row>
        <row r="9003">
          <cell r="A9003">
            <v>43874</v>
          </cell>
        </row>
        <row r="9004">
          <cell r="A9004">
            <v>43216</v>
          </cell>
        </row>
        <row r="9005">
          <cell r="A9005">
            <v>43121</v>
          </cell>
        </row>
        <row r="9006">
          <cell r="A9006">
            <v>43775</v>
          </cell>
        </row>
        <row r="9007">
          <cell r="A9007">
            <v>43208</v>
          </cell>
        </row>
        <row r="9008">
          <cell r="A9008">
            <v>43757</v>
          </cell>
        </row>
        <row r="9009">
          <cell r="A9009">
            <v>43647</v>
          </cell>
        </row>
        <row r="9010">
          <cell r="A9010">
            <v>43134</v>
          </cell>
        </row>
        <row r="9011">
          <cell r="A9011">
            <v>43131</v>
          </cell>
        </row>
        <row r="9012">
          <cell r="A9012">
            <v>43157</v>
          </cell>
        </row>
        <row r="9013">
          <cell r="A9013">
            <v>43173</v>
          </cell>
        </row>
        <row r="9014">
          <cell r="A9014">
            <v>43919</v>
          </cell>
        </row>
        <row r="9015">
          <cell r="A9015">
            <v>43706</v>
          </cell>
        </row>
        <row r="9016">
          <cell r="A9016">
            <v>43429</v>
          </cell>
        </row>
        <row r="9017">
          <cell r="A9017">
            <v>43691</v>
          </cell>
        </row>
        <row r="9018">
          <cell r="A9018">
            <v>43394</v>
          </cell>
        </row>
        <row r="9019">
          <cell r="A9019">
            <v>43244</v>
          </cell>
        </row>
        <row r="9020">
          <cell r="A9020">
            <v>43778</v>
          </cell>
        </row>
        <row r="9021">
          <cell r="A9021">
            <v>43837</v>
          </cell>
        </row>
        <row r="9022">
          <cell r="A9022">
            <v>43338</v>
          </cell>
        </row>
        <row r="9023">
          <cell r="A9023">
            <v>43499</v>
          </cell>
        </row>
        <row r="9024">
          <cell r="A9024">
            <v>43422</v>
          </cell>
        </row>
        <row r="9025">
          <cell r="A9025">
            <v>43822</v>
          </cell>
        </row>
        <row r="9026">
          <cell r="A9026">
            <v>43900</v>
          </cell>
        </row>
        <row r="9027">
          <cell r="A9027">
            <v>43266</v>
          </cell>
        </row>
        <row r="9028">
          <cell r="A9028">
            <v>43910</v>
          </cell>
        </row>
        <row r="9029">
          <cell r="A9029">
            <v>43281</v>
          </cell>
        </row>
        <row r="9030">
          <cell r="A9030">
            <v>43233</v>
          </cell>
        </row>
        <row r="9031">
          <cell r="A9031">
            <v>43424</v>
          </cell>
        </row>
        <row r="9032">
          <cell r="A9032">
            <v>43221</v>
          </cell>
        </row>
        <row r="9033">
          <cell r="A9033">
            <v>43873</v>
          </cell>
        </row>
        <row r="9034">
          <cell r="A9034">
            <v>43881</v>
          </cell>
        </row>
        <row r="9035">
          <cell r="A9035">
            <v>43707</v>
          </cell>
        </row>
        <row r="9036">
          <cell r="A9036">
            <v>43157</v>
          </cell>
        </row>
        <row r="9037">
          <cell r="A9037">
            <v>43193</v>
          </cell>
        </row>
        <row r="9038">
          <cell r="A9038">
            <v>43359</v>
          </cell>
        </row>
        <row r="9039">
          <cell r="A9039">
            <v>43325</v>
          </cell>
        </row>
        <row r="9040">
          <cell r="A9040">
            <v>43495</v>
          </cell>
        </row>
        <row r="9041">
          <cell r="A9041">
            <v>43497</v>
          </cell>
        </row>
        <row r="9042">
          <cell r="A9042">
            <v>43459</v>
          </cell>
        </row>
        <row r="9043">
          <cell r="A9043">
            <v>43896</v>
          </cell>
        </row>
        <row r="9044">
          <cell r="A9044">
            <v>43211</v>
          </cell>
        </row>
        <row r="9045">
          <cell r="A9045">
            <v>43513</v>
          </cell>
        </row>
        <row r="9046">
          <cell r="A9046">
            <v>43106</v>
          </cell>
        </row>
        <row r="9047">
          <cell r="A9047">
            <v>43444</v>
          </cell>
        </row>
        <row r="9048">
          <cell r="A9048">
            <v>43317</v>
          </cell>
        </row>
        <row r="9049">
          <cell r="A9049">
            <v>43618</v>
          </cell>
        </row>
        <row r="9050">
          <cell r="A9050">
            <v>43740</v>
          </cell>
        </row>
        <row r="9051">
          <cell r="A9051">
            <v>43646</v>
          </cell>
        </row>
        <row r="9052">
          <cell r="A9052">
            <v>43731</v>
          </cell>
        </row>
        <row r="9053">
          <cell r="A9053">
            <v>43186</v>
          </cell>
        </row>
        <row r="9054">
          <cell r="A9054">
            <v>43557</v>
          </cell>
        </row>
        <row r="9055">
          <cell r="A9055">
            <v>43388</v>
          </cell>
        </row>
        <row r="9056">
          <cell r="A9056">
            <v>43328</v>
          </cell>
        </row>
        <row r="9057">
          <cell r="A9057">
            <v>43279</v>
          </cell>
        </row>
        <row r="9058">
          <cell r="A9058">
            <v>43799</v>
          </cell>
        </row>
        <row r="9059">
          <cell r="A9059">
            <v>43755</v>
          </cell>
        </row>
        <row r="9060">
          <cell r="A9060">
            <v>43438</v>
          </cell>
        </row>
        <row r="9061">
          <cell r="A9061">
            <v>43861</v>
          </cell>
        </row>
        <row r="9062">
          <cell r="A9062">
            <v>43858</v>
          </cell>
        </row>
        <row r="9063">
          <cell r="A9063">
            <v>43575</v>
          </cell>
        </row>
        <row r="9064">
          <cell r="A9064">
            <v>43716</v>
          </cell>
        </row>
        <row r="9065">
          <cell r="A9065">
            <v>43886</v>
          </cell>
        </row>
        <row r="9066">
          <cell r="A9066">
            <v>43123</v>
          </cell>
        </row>
        <row r="9067">
          <cell r="A9067">
            <v>43368</v>
          </cell>
        </row>
        <row r="9068">
          <cell r="A9068">
            <v>43677</v>
          </cell>
        </row>
        <row r="9069">
          <cell r="A9069">
            <v>43145</v>
          </cell>
        </row>
        <row r="9070">
          <cell r="A9070">
            <v>43521</v>
          </cell>
        </row>
        <row r="9071">
          <cell r="A9071">
            <v>43825</v>
          </cell>
        </row>
        <row r="9072">
          <cell r="A9072">
            <v>43612</v>
          </cell>
        </row>
        <row r="9073">
          <cell r="A9073">
            <v>43498</v>
          </cell>
        </row>
        <row r="9074">
          <cell r="A9074">
            <v>43851</v>
          </cell>
        </row>
        <row r="9075">
          <cell r="A9075">
            <v>43212</v>
          </cell>
        </row>
        <row r="9076">
          <cell r="A9076">
            <v>43395</v>
          </cell>
        </row>
        <row r="9077">
          <cell r="A9077">
            <v>43330</v>
          </cell>
        </row>
        <row r="9078">
          <cell r="A9078">
            <v>43815</v>
          </cell>
        </row>
        <row r="9079">
          <cell r="A9079">
            <v>43232</v>
          </cell>
        </row>
        <row r="9080">
          <cell r="A9080">
            <v>43587</v>
          </cell>
        </row>
        <row r="9081">
          <cell r="A9081">
            <v>43613</v>
          </cell>
        </row>
        <row r="9082">
          <cell r="A9082">
            <v>43155</v>
          </cell>
        </row>
        <row r="9083">
          <cell r="A9083">
            <v>43412</v>
          </cell>
        </row>
        <row r="9084">
          <cell r="A9084">
            <v>43329</v>
          </cell>
        </row>
        <row r="9085">
          <cell r="A9085">
            <v>43721</v>
          </cell>
        </row>
        <row r="9086">
          <cell r="A9086">
            <v>43234</v>
          </cell>
        </row>
        <row r="9087">
          <cell r="A9087">
            <v>43686</v>
          </cell>
        </row>
        <row r="9088">
          <cell r="A9088">
            <v>43904</v>
          </cell>
        </row>
        <row r="9089">
          <cell r="A9089">
            <v>43585</v>
          </cell>
        </row>
        <row r="9090">
          <cell r="A9090">
            <v>43410</v>
          </cell>
        </row>
        <row r="9091">
          <cell r="A9091">
            <v>43660</v>
          </cell>
        </row>
        <row r="9092">
          <cell r="A9092">
            <v>43280</v>
          </cell>
        </row>
        <row r="9093">
          <cell r="A9093">
            <v>43250</v>
          </cell>
        </row>
        <row r="9094">
          <cell r="A9094">
            <v>43137</v>
          </cell>
        </row>
        <row r="9095">
          <cell r="A9095">
            <v>43668</v>
          </cell>
        </row>
        <row r="9096">
          <cell r="A9096">
            <v>43492</v>
          </cell>
        </row>
        <row r="9097">
          <cell r="A9097">
            <v>43382</v>
          </cell>
        </row>
        <row r="9098">
          <cell r="A9098">
            <v>43853</v>
          </cell>
        </row>
        <row r="9099">
          <cell r="A9099">
            <v>43194</v>
          </cell>
        </row>
        <row r="9100">
          <cell r="A9100">
            <v>43611</v>
          </cell>
        </row>
        <row r="9101">
          <cell r="A9101">
            <v>43206</v>
          </cell>
        </row>
        <row r="9102">
          <cell r="A9102">
            <v>43569</v>
          </cell>
        </row>
        <row r="9103">
          <cell r="A9103">
            <v>43574</v>
          </cell>
        </row>
        <row r="9104">
          <cell r="A9104">
            <v>43786</v>
          </cell>
        </row>
        <row r="9105">
          <cell r="A9105">
            <v>43285</v>
          </cell>
        </row>
        <row r="9106">
          <cell r="A9106">
            <v>43331</v>
          </cell>
        </row>
        <row r="9107">
          <cell r="A9107">
            <v>43890</v>
          </cell>
        </row>
        <row r="9108">
          <cell r="A9108">
            <v>43897</v>
          </cell>
        </row>
        <row r="9109">
          <cell r="A9109">
            <v>43539</v>
          </cell>
        </row>
        <row r="9110">
          <cell r="A9110">
            <v>43106</v>
          </cell>
        </row>
        <row r="9111">
          <cell r="A9111">
            <v>43660</v>
          </cell>
        </row>
        <row r="9112">
          <cell r="A9112">
            <v>43776</v>
          </cell>
        </row>
        <row r="9113">
          <cell r="A9113">
            <v>43879</v>
          </cell>
        </row>
        <row r="9114">
          <cell r="A9114">
            <v>43641</v>
          </cell>
        </row>
        <row r="9115">
          <cell r="A9115">
            <v>43323</v>
          </cell>
        </row>
        <row r="9116">
          <cell r="A9116">
            <v>43365</v>
          </cell>
        </row>
        <row r="9117">
          <cell r="A9117">
            <v>43459</v>
          </cell>
        </row>
        <row r="9118">
          <cell r="A9118">
            <v>43832</v>
          </cell>
        </row>
        <row r="9119">
          <cell r="A9119">
            <v>43883</v>
          </cell>
        </row>
        <row r="9120">
          <cell r="A9120">
            <v>43353</v>
          </cell>
        </row>
        <row r="9121">
          <cell r="A9121">
            <v>43278</v>
          </cell>
        </row>
        <row r="9122">
          <cell r="A9122">
            <v>43349</v>
          </cell>
        </row>
        <row r="9123">
          <cell r="A9123">
            <v>43424</v>
          </cell>
        </row>
        <row r="9124">
          <cell r="A9124">
            <v>43500</v>
          </cell>
        </row>
        <row r="9125">
          <cell r="A9125">
            <v>43321</v>
          </cell>
        </row>
        <row r="9126">
          <cell r="A9126">
            <v>43867</v>
          </cell>
        </row>
        <row r="9127">
          <cell r="A9127">
            <v>43800</v>
          </cell>
        </row>
        <row r="9128">
          <cell r="A9128">
            <v>43755</v>
          </cell>
        </row>
        <row r="9129">
          <cell r="A9129">
            <v>43640</v>
          </cell>
        </row>
        <row r="9130">
          <cell r="A9130">
            <v>43780</v>
          </cell>
        </row>
        <row r="9131">
          <cell r="A9131">
            <v>43502</v>
          </cell>
        </row>
        <row r="9132">
          <cell r="A9132">
            <v>43438</v>
          </cell>
        </row>
        <row r="9133">
          <cell r="A9133">
            <v>43691</v>
          </cell>
        </row>
        <row r="9134">
          <cell r="A9134">
            <v>43722</v>
          </cell>
        </row>
        <row r="9135">
          <cell r="A9135">
            <v>43814</v>
          </cell>
        </row>
        <row r="9136">
          <cell r="A9136">
            <v>43518</v>
          </cell>
        </row>
        <row r="9137">
          <cell r="A9137">
            <v>43868</v>
          </cell>
        </row>
        <row r="9138">
          <cell r="A9138">
            <v>43428</v>
          </cell>
        </row>
        <row r="9139">
          <cell r="A9139">
            <v>43680</v>
          </cell>
        </row>
        <row r="9140">
          <cell r="A9140">
            <v>43132</v>
          </cell>
        </row>
        <row r="9141">
          <cell r="A9141">
            <v>43107</v>
          </cell>
        </row>
        <row r="9142">
          <cell r="A9142">
            <v>43140</v>
          </cell>
        </row>
        <row r="9143">
          <cell r="A9143">
            <v>43542</v>
          </cell>
        </row>
        <row r="9144">
          <cell r="A9144">
            <v>43142</v>
          </cell>
        </row>
        <row r="9145">
          <cell r="A9145">
            <v>43147</v>
          </cell>
        </row>
        <row r="9146">
          <cell r="A9146">
            <v>43418</v>
          </cell>
        </row>
        <row r="9147">
          <cell r="A9147">
            <v>43648</v>
          </cell>
        </row>
        <row r="9148">
          <cell r="A9148">
            <v>43921</v>
          </cell>
        </row>
        <row r="9149">
          <cell r="A9149">
            <v>43912</v>
          </cell>
        </row>
        <row r="9150">
          <cell r="A9150">
            <v>43578</v>
          </cell>
        </row>
        <row r="9151">
          <cell r="A9151">
            <v>43129</v>
          </cell>
        </row>
        <row r="9152">
          <cell r="A9152">
            <v>43664</v>
          </cell>
        </row>
        <row r="9153">
          <cell r="A9153">
            <v>43799</v>
          </cell>
        </row>
        <row r="9154">
          <cell r="A9154">
            <v>43698</v>
          </cell>
        </row>
        <row r="9155">
          <cell r="A9155">
            <v>43405</v>
          </cell>
        </row>
        <row r="9156">
          <cell r="A9156">
            <v>43278</v>
          </cell>
        </row>
        <row r="9157">
          <cell r="A9157">
            <v>43388</v>
          </cell>
        </row>
        <row r="9158">
          <cell r="A9158">
            <v>43177</v>
          </cell>
        </row>
        <row r="9159">
          <cell r="A9159">
            <v>43274</v>
          </cell>
        </row>
        <row r="9160">
          <cell r="A9160">
            <v>43407</v>
          </cell>
        </row>
        <row r="9161">
          <cell r="A9161">
            <v>43628</v>
          </cell>
        </row>
        <row r="9162">
          <cell r="A9162">
            <v>43899</v>
          </cell>
        </row>
        <row r="9163">
          <cell r="A9163">
            <v>43671</v>
          </cell>
        </row>
        <row r="9164">
          <cell r="A9164">
            <v>43471</v>
          </cell>
        </row>
        <row r="9165">
          <cell r="A9165">
            <v>43505</v>
          </cell>
        </row>
        <row r="9166">
          <cell r="A9166">
            <v>43200</v>
          </cell>
        </row>
        <row r="9167">
          <cell r="A9167">
            <v>43568</v>
          </cell>
        </row>
        <row r="9168">
          <cell r="A9168">
            <v>43451</v>
          </cell>
        </row>
        <row r="9169">
          <cell r="A9169">
            <v>43360</v>
          </cell>
        </row>
        <row r="9170">
          <cell r="A9170">
            <v>43133</v>
          </cell>
        </row>
        <row r="9171">
          <cell r="A9171">
            <v>43228</v>
          </cell>
        </row>
        <row r="9172">
          <cell r="A9172">
            <v>43577</v>
          </cell>
        </row>
        <row r="9173">
          <cell r="A9173">
            <v>43123</v>
          </cell>
        </row>
        <row r="9174">
          <cell r="A9174">
            <v>43628</v>
          </cell>
        </row>
        <row r="9175">
          <cell r="A9175">
            <v>43304</v>
          </cell>
        </row>
        <row r="9176">
          <cell r="A9176">
            <v>43899</v>
          </cell>
        </row>
        <row r="9177">
          <cell r="A9177">
            <v>43357</v>
          </cell>
        </row>
        <row r="9178">
          <cell r="A9178">
            <v>43453</v>
          </cell>
        </row>
        <row r="9179">
          <cell r="A9179">
            <v>43531</v>
          </cell>
        </row>
        <row r="9180">
          <cell r="A9180">
            <v>43457</v>
          </cell>
        </row>
        <row r="9181">
          <cell r="A9181">
            <v>43164</v>
          </cell>
        </row>
        <row r="9182">
          <cell r="A9182">
            <v>43490</v>
          </cell>
        </row>
        <row r="9183">
          <cell r="A9183">
            <v>43278</v>
          </cell>
        </row>
        <row r="9184">
          <cell r="A9184">
            <v>43569</v>
          </cell>
        </row>
        <row r="9185">
          <cell r="A9185">
            <v>43521</v>
          </cell>
        </row>
        <row r="9186">
          <cell r="A9186">
            <v>43539</v>
          </cell>
        </row>
        <row r="9187">
          <cell r="A9187">
            <v>43137</v>
          </cell>
        </row>
        <row r="9188">
          <cell r="A9188">
            <v>43891</v>
          </cell>
        </row>
        <row r="9189">
          <cell r="A9189">
            <v>43841</v>
          </cell>
        </row>
        <row r="9190">
          <cell r="A9190">
            <v>43442</v>
          </cell>
        </row>
        <row r="9191">
          <cell r="A9191">
            <v>43921</v>
          </cell>
        </row>
        <row r="9192">
          <cell r="A9192">
            <v>43447</v>
          </cell>
        </row>
        <row r="9193">
          <cell r="A9193">
            <v>43835</v>
          </cell>
        </row>
        <row r="9194">
          <cell r="A9194">
            <v>43145</v>
          </cell>
        </row>
        <row r="9195">
          <cell r="A9195">
            <v>43503</v>
          </cell>
        </row>
        <row r="9196">
          <cell r="A9196">
            <v>43685</v>
          </cell>
        </row>
        <row r="9197">
          <cell r="A9197">
            <v>43110</v>
          </cell>
        </row>
        <row r="9198">
          <cell r="A9198">
            <v>43353</v>
          </cell>
        </row>
        <row r="9199">
          <cell r="A9199">
            <v>43661</v>
          </cell>
        </row>
        <row r="9200">
          <cell r="A9200">
            <v>43842</v>
          </cell>
        </row>
        <row r="9201">
          <cell r="A9201">
            <v>43244</v>
          </cell>
        </row>
        <row r="9202">
          <cell r="A9202">
            <v>43709</v>
          </cell>
        </row>
        <row r="9203">
          <cell r="A9203">
            <v>43217</v>
          </cell>
        </row>
        <row r="9204">
          <cell r="A9204">
            <v>43830</v>
          </cell>
        </row>
        <row r="9205">
          <cell r="A9205">
            <v>43277</v>
          </cell>
        </row>
        <row r="9206">
          <cell r="A9206">
            <v>43649</v>
          </cell>
        </row>
        <row r="9207">
          <cell r="A9207">
            <v>43639</v>
          </cell>
        </row>
        <row r="9208">
          <cell r="A9208">
            <v>43661</v>
          </cell>
        </row>
        <row r="9209">
          <cell r="A9209">
            <v>43464</v>
          </cell>
        </row>
        <row r="9210">
          <cell r="A9210">
            <v>43570</v>
          </cell>
        </row>
        <row r="9211">
          <cell r="A9211">
            <v>43723</v>
          </cell>
        </row>
        <row r="9212">
          <cell r="A9212">
            <v>43864</v>
          </cell>
        </row>
        <row r="9213">
          <cell r="A9213">
            <v>43249</v>
          </cell>
        </row>
        <row r="9214">
          <cell r="A9214">
            <v>43220</v>
          </cell>
        </row>
        <row r="9215">
          <cell r="A9215">
            <v>43482</v>
          </cell>
        </row>
        <row r="9216">
          <cell r="A9216">
            <v>43900</v>
          </cell>
        </row>
        <row r="9217">
          <cell r="A9217">
            <v>43725</v>
          </cell>
        </row>
        <row r="9218">
          <cell r="A9218">
            <v>43153</v>
          </cell>
        </row>
        <row r="9219">
          <cell r="A9219">
            <v>43185</v>
          </cell>
        </row>
        <row r="9220">
          <cell r="A9220">
            <v>43873</v>
          </cell>
        </row>
        <row r="9221">
          <cell r="A9221">
            <v>43280</v>
          </cell>
        </row>
        <row r="9222">
          <cell r="A9222">
            <v>43904</v>
          </cell>
        </row>
        <row r="9223">
          <cell r="A9223">
            <v>43670</v>
          </cell>
        </row>
        <row r="9224">
          <cell r="A9224">
            <v>43333</v>
          </cell>
        </row>
        <row r="9225">
          <cell r="A9225">
            <v>43475</v>
          </cell>
        </row>
        <row r="9226">
          <cell r="A9226">
            <v>43640</v>
          </cell>
        </row>
        <row r="9227">
          <cell r="A9227">
            <v>43336</v>
          </cell>
        </row>
        <row r="9228">
          <cell r="A9228">
            <v>43881</v>
          </cell>
        </row>
        <row r="9229">
          <cell r="A9229">
            <v>43860</v>
          </cell>
        </row>
        <row r="9230">
          <cell r="A9230">
            <v>43322</v>
          </cell>
        </row>
        <row r="9231">
          <cell r="A9231">
            <v>43203</v>
          </cell>
        </row>
        <row r="9232">
          <cell r="A9232">
            <v>43491</v>
          </cell>
        </row>
        <row r="9233">
          <cell r="A9233">
            <v>43729</v>
          </cell>
        </row>
        <row r="9234">
          <cell r="A9234">
            <v>43808</v>
          </cell>
        </row>
        <row r="9235">
          <cell r="A9235">
            <v>43704</v>
          </cell>
        </row>
        <row r="9236">
          <cell r="A9236">
            <v>43577</v>
          </cell>
        </row>
        <row r="9237">
          <cell r="A9237">
            <v>43642</v>
          </cell>
        </row>
        <row r="9238">
          <cell r="A9238">
            <v>43740</v>
          </cell>
        </row>
        <row r="9239">
          <cell r="A9239">
            <v>43767</v>
          </cell>
        </row>
        <row r="9240">
          <cell r="A9240">
            <v>43829</v>
          </cell>
        </row>
        <row r="9241">
          <cell r="A9241">
            <v>43605</v>
          </cell>
        </row>
        <row r="9242">
          <cell r="A9242">
            <v>43888</v>
          </cell>
        </row>
        <row r="9243">
          <cell r="A9243">
            <v>43683</v>
          </cell>
        </row>
        <row r="9244">
          <cell r="A9244">
            <v>43615</v>
          </cell>
        </row>
        <row r="9245">
          <cell r="A9245">
            <v>43553</v>
          </cell>
        </row>
        <row r="9246">
          <cell r="A9246">
            <v>43728</v>
          </cell>
        </row>
        <row r="9247">
          <cell r="A9247">
            <v>43826</v>
          </cell>
        </row>
        <row r="9248">
          <cell r="A9248">
            <v>43268</v>
          </cell>
        </row>
        <row r="9249">
          <cell r="A9249">
            <v>43800</v>
          </cell>
        </row>
        <row r="9250">
          <cell r="A9250">
            <v>43799</v>
          </cell>
        </row>
        <row r="9251">
          <cell r="A9251">
            <v>43355</v>
          </cell>
        </row>
        <row r="9252">
          <cell r="A9252">
            <v>43307</v>
          </cell>
        </row>
        <row r="9253">
          <cell r="A9253">
            <v>43716</v>
          </cell>
        </row>
        <row r="9254">
          <cell r="A9254">
            <v>43920</v>
          </cell>
        </row>
        <row r="9255">
          <cell r="A9255">
            <v>43439</v>
          </cell>
        </row>
        <row r="9256">
          <cell r="A9256">
            <v>43839</v>
          </cell>
        </row>
        <row r="9257">
          <cell r="A9257">
            <v>43876</v>
          </cell>
        </row>
        <row r="9258">
          <cell r="A9258">
            <v>43322</v>
          </cell>
        </row>
        <row r="9259">
          <cell r="A9259">
            <v>43434</v>
          </cell>
        </row>
        <row r="9260">
          <cell r="A9260">
            <v>43894</v>
          </cell>
        </row>
        <row r="9261">
          <cell r="A9261">
            <v>43740</v>
          </cell>
        </row>
        <row r="9262">
          <cell r="A9262">
            <v>43292</v>
          </cell>
        </row>
        <row r="9263">
          <cell r="A9263">
            <v>43914</v>
          </cell>
        </row>
        <row r="9264">
          <cell r="A9264">
            <v>43142</v>
          </cell>
        </row>
        <row r="9265">
          <cell r="A9265">
            <v>43810</v>
          </cell>
        </row>
        <row r="9266">
          <cell r="A9266">
            <v>43556</v>
          </cell>
        </row>
        <row r="9267">
          <cell r="A9267">
            <v>43526</v>
          </cell>
        </row>
        <row r="9268">
          <cell r="A9268">
            <v>43530</v>
          </cell>
        </row>
        <row r="9269">
          <cell r="A9269">
            <v>43216</v>
          </cell>
        </row>
        <row r="9270">
          <cell r="A9270">
            <v>43635</v>
          </cell>
        </row>
        <row r="9271">
          <cell r="A9271">
            <v>43289</v>
          </cell>
        </row>
        <row r="9272">
          <cell r="A9272">
            <v>43381</v>
          </cell>
        </row>
        <row r="9273">
          <cell r="A9273">
            <v>43195</v>
          </cell>
        </row>
        <row r="9274">
          <cell r="A9274">
            <v>43735</v>
          </cell>
        </row>
        <row r="9275">
          <cell r="A9275">
            <v>43175</v>
          </cell>
        </row>
        <row r="9276">
          <cell r="A9276">
            <v>43596</v>
          </cell>
        </row>
        <row r="9277">
          <cell r="A9277">
            <v>43286</v>
          </cell>
        </row>
        <row r="9278">
          <cell r="A9278">
            <v>43489</v>
          </cell>
        </row>
        <row r="9279">
          <cell r="A9279">
            <v>43884</v>
          </cell>
        </row>
        <row r="9280">
          <cell r="A9280">
            <v>43827</v>
          </cell>
        </row>
        <row r="9281">
          <cell r="A9281">
            <v>43487</v>
          </cell>
        </row>
        <row r="9282">
          <cell r="A9282">
            <v>43320</v>
          </cell>
        </row>
        <row r="9283">
          <cell r="A9283">
            <v>43341</v>
          </cell>
        </row>
        <row r="9284">
          <cell r="A9284">
            <v>43188</v>
          </cell>
        </row>
        <row r="9285">
          <cell r="A9285">
            <v>43591</v>
          </cell>
        </row>
        <row r="9286">
          <cell r="A9286">
            <v>43801</v>
          </cell>
        </row>
        <row r="9287">
          <cell r="A9287">
            <v>43228</v>
          </cell>
        </row>
        <row r="9288">
          <cell r="A9288">
            <v>43484</v>
          </cell>
        </row>
        <row r="9289">
          <cell r="A9289">
            <v>43618</v>
          </cell>
        </row>
        <row r="9290">
          <cell r="A9290">
            <v>43141</v>
          </cell>
        </row>
        <row r="9291">
          <cell r="A9291">
            <v>43549</v>
          </cell>
        </row>
        <row r="9292">
          <cell r="A9292">
            <v>43476</v>
          </cell>
        </row>
        <row r="9293">
          <cell r="A9293">
            <v>43428</v>
          </cell>
        </row>
        <row r="9294">
          <cell r="A9294">
            <v>43335</v>
          </cell>
        </row>
        <row r="9295">
          <cell r="A9295">
            <v>43561</v>
          </cell>
        </row>
        <row r="9296">
          <cell r="A9296">
            <v>43889</v>
          </cell>
        </row>
        <row r="9297">
          <cell r="A9297">
            <v>43336</v>
          </cell>
        </row>
        <row r="9298">
          <cell r="A9298">
            <v>43878</v>
          </cell>
        </row>
        <row r="9299">
          <cell r="A9299">
            <v>43795</v>
          </cell>
        </row>
        <row r="9300">
          <cell r="A9300">
            <v>43477</v>
          </cell>
        </row>
        <row r="9301">
          <cell r="A9301">
            <v>43576</v>
          </cell>
        </row>
        <row r="9302">
          <cell r="A9302">
            <v>43846</v>
          </cell>
        </row>
        <row r="9303">
          <cell r="A9303">
            <v>43228</v>
          </cell>
        </row>
        <row r="9304">
          <cell r="A9304">
            <v>43140</v>
          </cell>
        </row>
        <row r="9305">
          <cell r="A9305">
            <v>43714</v>
          </cell>
        </row>
        <row r="9306">
          <cell r="A9306">
            <v>43832</v>
          </cell>
        </row>
        <row r="9307">
          <cell r="A9307">
            <v>43401</v>
          </cell>
        </row>
        <row r="9308">
          <cell r="A9308">
            <v>43177</v>
          </cell>
        </row>
        <row r="9309">
          <cell r="A9309">
            <v>43200</v>
          </cell>
        </row>
        <row r="9310">
          <cell r="A9310">
            <v>43210</v>
          </cell>
        </row>
        <row r="9311">
          <cell r="A9311">
            <v>43352</v>
          </cell>
        </row>
        <row r="9312">
          <cell r="A9312">
            <v>43503</v>
          </cell>
        </row>
        <row r="9313">
          <cell r="A9313">
            <v>43660</v>
          </cell>
        </row>
        <row r="9314">
          <cell r="A9314">
            <v>43898</v>
          </cell>
        </row>
        <row r="9315">
          <cell r="A9315">
            <v>43525</v>
          </cell>
        </row>
        <row r="9316">
          <cell r="A9316">
            <v>43784</v>
          </cell>
        </row>
        <row r="9317">
          <cell r="A9317">
            <v>43325</v>
          </cell>
        </row>
        <row r="9318">
          <cell r="A9318">
            <v>43663</v>
          </cell>
        </row>
        <row r="9319">
          <cell r="A9319">
            <v>43204</v>
          </cell>
        </row>
        <row r="9320">
          <cell r="A9320">
            <v>43899</v>
          </cell>
        </row>
        <row r="9321">
          <cell r="A9321">
            <v>43139</v>
          </cell>
        </row>
        <row r="9322">
          <cell r="A9322">
            <v>43157</v>
          </cell>
        </row>
        <row r="9323">
          <cell r="A9323">
            <v>43481</v>
          </cell>
        </row>
        <row r="9324">
          <cell r="A9324">
            <v>43281</v>
          </cell>
        </row>
        <row r="9325">
          <cell r="A9325">
            <v>43792</v>
          </cell>
        </row>
        <row r="9326">
          <cell r="A9326">
            <v>43756</v>
          </cell>
        </row>
        <row r="9327">
          <cell r="A9327">
            <v>43864</v>
          </cell>
        </row>
        <row r="9328">
          <cell r="A9328">
            <v>43657</v>
          </cell>
        </row>
        <row r="9329">
          <cell r="A9329">
            <v>43123</v>
          </cell>
        </row>
        <row r="9330">
          <cell r="A9330">
            <v>43104</v>
          </cell>
        </row>
        <row r="9331">
          <cell r="A9331">
            <v>43452</v>
          </cell>
        </row>
        <row r="9332">
          <cell r="A9332">
            <v>43786</v>
          </cell>
        </row>
        <row r="9333">
          <cell r="A9333">
            <v>43643</v>
          </cell>
        </row>
        <row r="9334">
          <cell r="A9334">
            <v>43633</v>
          </cell>
        </row>
        <row r="9335">
          <cell r="A9335">
            <v>43852</v>
          </cell>
        </row>
        <row r="9336">
          <cell r="A9336">
            <v>43663</v>
          </cell>
        </row>
        <row r="9337">
          <cell r="A9337">
            <v>43461</v>
          </cell>
        </row>
        <row r="9338">
          <cell r="A9338">
            <v>43815</v>
          </cell>
        </row>
        <row r="9339">
          <cell r="A9339">
            <v>43699</v>
          </cell>
        </row>
        <row r="9340">
          <cell r="A9340">
            <v>43112</v>
          </cell>
        </row>
        <row r="9341">
          <cell r="A9341">
            <v>43682</v>
          </cell>
        </row>
        <row r="9342">
          <cell r="A9342">
            <v>43910</v>
          </cell>
        </row>
        <row r="9343">
          <cell r="A9343">
            <v>43908</v>
          </cell>
        </row>
        <row r="9344">
          <cell r="A9344">
            <v>43247</v>
          </cell>
        </row>
        <row r="9345">
          <cell r="A9345">
            <v>43600</v>
          </cell>
        </row>
        <row r="9346">
          <cell r="A9346">
            <v>43679</v>
          </cell>
        </row>
        <row r="9347">
          <cell r="A9347">
            <v>43749</v>
          </cell>
        </row>
        <row r="9348">
          <cell r="A9348">
            <v>43875</v>
          </cell>
        </row>
        <row r="9349">
          <cell r="A9349">
            <v>43781</v>
          </cell>
        </row>
        <row r="9350">
          <cell r="A9350">
            <v>43206</v>
          </cell>
        </row>
        <row r="9351">
          <cell r="A9351">
            <v>43147</v>
          </cell>
        </row>
        <row r="9352">
          <cell r="A9352">
            <v>43741</v>
          </cell>
        </row>
        <row r="9353">
          <cell r="A9353">
            <v>43615</v>
          </cell>
        </row>
        <row r="9354">
          <cell r="A9354">
            <v>43832</v>
          </cell>
        </row>
        <row r="9355">
          <cell r="A9355">
            <v>43748</v>
          </cell>
        </row>
        <row r="9356">
          <cell r="A9356">
            <v>43816</v>
          </cell>
        </row>
        <row r="9357">
          <cell r="A9357">
            <v>43263</v>
          </cell>
        </row>
        <row r="9358">
          <cell r="A9358">
            <v>43654</v>
          </cell>
        </row>
        <row r="9359">
          <cell r="A9359">
            <v>43720</v>
          </cell>
        </row>
        <row r="9360">
          <cell r="A9360">
            <v>43893</v>
          </cell>
        </row>
        <row r="9361">
          <cell r="A9361">
            <v>43607</v>
          </cell>
        </row>
        <row r="9362">
          <cell r="A9362">
            <v>43344</v>
          </cell>
        </row>
        <row r="9363">
          <cell r="A9363">
            <v>43714</v>
          </cell>
        </row>
        <row r="9364">
          <cell r="A9364">
            <v>43909</v>
          </cell>
        </row>
        <row r="9365">
          <cell r="A9365">
            <v>43318</v>
          </cell>
        </row>
        <row r="9366">
          <cell r="A9366">
            <v>43912</v>
          </cell>
        </row>
        <row r="9367">
          <cell r="A9367">
            <v>43874</v>
          </cell>
        </row>
        <row r="9368">
          <cell r="A9368">
            <v>43745</v>
          </cell>
        </row>
        <row r="9369">
          <cell r="A9369">
            <v>43119</v>
          </cell>
        </row>
        <row r="9370">
          <cell r="A9370">
            <v>43893</v>
          </cell>
        </row>
        <row r="9371">
          <cell r="A9371">
            <v>43772</v>
          </cell>
        </row>
        <row r="9372">
          <cell r="A9372">
            <v>43166</v>
          </cell>
        </row>
        <row r="9373">
          <cell r="A9373">
            <v>43173</v>
          </cell>
        </row>
        <row r="9374">
          <cell r="A9374">
            <v>43285</v>
          </cell>
        </row>
        <row r="9375">
          <cell r="A9375">
            <v>43212</v>
          </cell>
        </row>
        <row r="9376">
          <cell r="A9376">
            <v>43152</v>
          </cell>
        </row>
        <row r="9377">
          <cell r="A9377">
            <v>43244</v>
          </cell>
        </row>
        <row r="9378">
          <cell r="A9378">
            <v>43140</v>
          </cell>
        </row>
        <row r="9379">
          <cell r="A9379">
            <v>43297</v>
          </cell>
        </row>
        <row r="9380">
          <cell r="A9380">
            <v>43135</v>
          </cell>
        </row>
        <row r="9381">
          <cell r="A9381">
            <v>43425</v>
          </cell>
        </row>
        <row r="9382">
          <cell r="A9382">
            <v>43190</v>
          </cell>
        </row>
        <row r="9383">
          <cell r="A9383">
            <v>43477</v>
          </cell>
        </row>
        <row r="9384">
          <cell r="A9384">
            <v>43442</v>
          </cell>
        </row>
        <row r="9385">
          <cell r="A9385">
            <v>43709</v>
          </cell>
        </row>
        <row r="9386">
          <cell r="A9386">
            <v>43485</v>
          </cell>
        </row>
        <row r="9387">
          <cell r="A9387">
            <v>43287</v>
          </cell>
        </row>
        <row r="9388">
          <cell r="A9388">
            <v>43242</v>
          </cell>
        </row>
        <row r="9389">
          <cell r="A9389">
            <v>43573</v>
          </cell>
        </row>
        <row r="9390">
          <cell r="A9390">
            <v>43265</v>
          </cell>
        </row>
        <row r="9391">
          <cell r="A9391">
            <v>43467</v>
          </cell>
        </row>
        <row r="9392">
          <cell r="A9392">
            <v>43814</v>
          </cell>
        </row>
        <row r="9393">
          <cell r="A9393">
            <v>43295</v>
          </cell>
        </row>
        <row r="9394">
          <cell r="A9394">
            <v>43145</v>
          </cell>
        </row>
        <row r="9395">
          <cell r="A9395">
            <v>43205</v>
          </cell>
        </row>
        <row r="9396">
          <cell r="A9396">
            <v>43400</v>
          </cell>
        </row>
        <row r="9397">
          <cell r="A9397">
            <v>43479</v>
          </cell>
        </row>
        <row r="9398">
          <cell r="A9398">
            <v>43542</v>
          </cell>
        </row>
        <row r="9399">
          <cell r="A9399">
            <v>43438</v>
          </cell>
        </row>
        <row r="9400">
          <cell r="A9400">
            <v>43704</v>
          </cell>
        </row>
        <row r="9401">
          <cell r="A9401">
            <v>43217</v>
          </cell>
        </row>
        <row r="9402">
          <cell r="A9402">
            <v>43893</v>
          </cell>
        </row>
        <row r="9403">
          <cell r="A9403">
            <v>43304</v>
          </cell>
        </row>
        <row r="9404">
          <cell r="A9404">
            <v>43706</v>
          </cell>
        </row>
        <row r="9405">
          <cell r="A9405">
            <v>43890</v>
          </cell>
        </row>
        <row r="9406">
          <cell r="A9406">
            <v>43258</v>
          </cell>
        </row>
        <row r="9407">
          <cell r="A9407">
            <v>43241</v>
          </cell>
        </row>
        <row r="9408">
          <cell r="A9408">
            <v>43295</v>
          </cell>
        </row>
        <row r="9409">
          <cell r="A9409">
            <v>43866</v>
          </cell>
        </row>
        <row r="9410">
          <cell r="A9410">
            <v>43582</v>
          </cell>
        </row>
        <row r="9411">
          <cell r="A9411">
            <v>43565</v>
          </cell>
        </row>
        <row r="9412">
          <cell r="A9412">
            <v>43619</v>
          </cell>
        </row>
        <row r="9413">
          <cell r="A9413">
            <v>43145</v>
          </cell>
        </row>
        <row r="9414">
          <cell r="A9414">
            <v>43365</v>
          </cell>
        </row>
        <row r="9415">
          <cell r="A9415">
            <v>43132</v>
          </cell>
        </row>
        <row r="9416">
          <cell r="A9416">
            <v>43331</v>
          </cell>
        </row>
        <row r="9417">
          <cell r="A9417">
            <v>43516</v>
          </cell>
        </row>
        <row r="9418">
          <cell r="A9418">
            <v>43589</v>
          </cell>
        </row>
        <row r="9419">
          <cell r="A9419">
            <v>43117</v>
          </cell>
        </row>
        <row r="9420">
          <cell r="A9420">
            <v>43311</v>
          </cell>
        </row>
        <row r="9421">
          <cell r="A9421">
            <v>43709</v>
          </cell>
        </row>
        <row r="9422">
          <cell r="A9422">
            <v>43856</v>
          </cell>
        </row>
        <row r="9423">
          <cell r="A9423">
            <v>43280</v>
          </cell>
        </row>
        <row r="9424">
          <cell r="A9424">
            <v>43511</v>
          </cell>
        </row>
        <row r="9425">
          <cell r="A9425">
            <v>43800</v>
          </cell>
        </row>
        <row r="9426">
          <cell r="A9426">
            <v>43161</v>
          </cell>
        </row>
        <row r="9427">
          <cell r="A9427">
            <v>43327</v>
          </cell>
        </row>
        <row r="9428">
          <cell r="A9428">
            <v>43156</v>
          </cell>
        </row>
        <row r="9429">
          <cell r="A9429">
            <v>43310</v>
          </cell>
        </row>
        <row r="9430">
          <cell r="A9430">
            <v>43472</v>
          </cell>
        </row>
        <row r="9431">
          <cell r="A9431">
            <v>43278</v>
          </cell>
        </row>
        <row r="9432">
          <cell r="A9432">
            <v>43144</v>
          </cell>
        </row>
        <row r="9433">
          <cell r="A9433">
            <v>43278</v>
          </cell>
        </row>
        <row r="9434">
          <cell r="A9434">
            <v>43506</v>
          </cell>
        </row>
        <row r="9435">
          <cell r="A9435">
            <v>43600</v>
          </cell>
        </row>
        <row r="9436">
          <cell r="A9436">
            <v>43296</v>
          </cell>
        </row>
        <row r="9437">
          <cell r="A9437">
            <v>43426</v>
          </cell>
        </row>
        <row r="9438">
          <cell r="A9438">
            <v>43326</v>
          </cell>
        </row>
        <row r="9439">
          <cell r="A9439">
            <v>43766</v>
          </cell>
        </row>
        <row r="9440">
          <cell r="A9440">
            <v>43605</v>
          </cell>
        </row>
        <row r="9441">
          <cell r="A9441">
            <v>43920</v>
          </cell>
        </row>
        <row r="9442">
          <cell r="A9442">
            <v>43866</v>
          </cell>
        </row>
        <row r="9443">
          <cell r="A9443">
            <v>43504</v>
          </cell>
        </row>
        <row r="9444">
          <cell r="A9444">
            <v>43897</v>
          </cell>
        </row>
        <row r="9445">
          <cell r="A9445">
            <v>43296</v>
          </cell>
        </row>
        <row r="9446">
          <cell r="A9446">
            <v>43760</v>
          </cell>
        </row>
        <row r="9447">
          <cell r="A9447">
            <v>43783</v>
          </cell>
        </row>
        <row r="9448">
          <cell r="A9448">
            <v>43447</v>
          </cell>
        </row>
        <row r="9449">
          <cell r="A9449">
            <v>43581</v>
          </cell>
        </row>
        <row r="9450">
          <cell r="A9450">
            <v>43921</v>
          </cell>
        </row>
        <row r="9451">
          <cell r="A9451">
            <v>43378</v>
          </cell>
        </row>
        <row r="9452">
          <cell r="A9452">
            <v>43251</v>
          </cell>
        </row>
        <row r="9453">
          <cell r="A9453">
            <v>43894</v>
          </cell>
        </row>
        <row r="9454">
          <cell r="A9454">
            <v>43199</v>
          </cell>
        </row>
        <row r="9455">
          <cell r="A9455">
            <v>43105</v>
          </cell>
        </row>
        <row r="9456">
          <cell r="A9456">
            <v>43687</v>
          </cell>
        </row>
        <row r="9457">
          <cell r="A9457">
            <v>43185</v>
          </cell>
        </row>
        <row r="9458">
          <cell r="A9458">
            <v>43266</v>
          </cell>
        </row>
        <row r="9459">
          <cell r="A9459">
            <v>43788</v>
          </cell>
        </row>
        <row r="9460">
          <cell r="A9460">
            <v>43388</v>
          </cell>
        </row>
        <row r="9461">
          <cell r="A9461">
            <v>43615</v>
          </cell>
        </row>
        <row r="9462">
          <cell r="A9462">
            <v>43810</v>
          </cell>
        </row>
        <row r="9463">
          <cell r="A9463">
            <v>43766</v>
          </cell>
        </row>
        <row r="9464">
          <cell r="A9464">
            <v>43343</v>
          </cell>
        </row>
        <row r="9465">
          <cell r="A9465">
            <v>43537</v>
          </cell>
        </row>
        <row r="9466">
          <cell r="A9466">
            <v>43201</v>
          </cell>
        </row>
        <row r="9467">
          <cell r="A9467">
            <v>43342</v>
          </cell>
        </row>
        <row r="9468">
          <cell r="A9468">
            <v>43117</v>
          </cell>
        </row>
        <row r="9469">
          <cell r="A9469">
            <v>43626</v>
          </cell>
        </row>
        <row r="9470">
          <cell r="A9470">
            <v>43261</v>
          </cell>
        </row>
        <row r="9471">
          <cell r="A9471">
            <v>43443</v>
          </cell>
        </row>
        <row r="9472">
          <cell r="A9472">
            <v>43257</v>
          </cell>
        </row>
        <row r="9473">
          <cell r="A9473">
            <v>43896</v>
          </cell>
        </row>
        <row r="9474">
          <cell r="A9474">
            <v>43504</v>
          </cell>
        </row>
        <row r="9475">
          <cell r="A9475">
            <v>43271</v>
          </cell>
        </row>
        <row r="9476">
          <cell r="A9476">
            <v>43473</v>
          </cell>
        </row>
        <row r="9477">
          <cell r="A9477">
            <v>43293</v>
          </cell>
        </row>
        <row r="9478">
          <cell r="A9478">
            <v>43514</v>
          </cell>
        </row>
        <row r="9479">
          <cell r="A9479">
            <v>43732</v>
          </cell>
        </row>
        <row r="9480">
          <cell r="A9480">
            <v>43329</v>
          </cell>
        </row>
        <row r="9481">
          <cell r="A9481">
            <v>43829</v>
          </cell>
        </row>
        <row r="9482">
          <cell r="A9482">
            <v>43178</v>
          </cell>
        </row>
        <row r="9483">
          <cell r="A9483">
            <v>43530</v>
          </cell>
        </row>
        <row r="9484">
          <cell r="A9484">
            <v>43864</v>
          </cell>
        </row>
        <row r="9485">
          <cell r="A9485">
            <v>43673</v>
          </cell>
        </row>
        <row r="9486">
          <cell r="A9486">
            <v>43890</v>
          </cell>
        </row>
        <row r="9487">
          <cell r="A9487">
            <v>43263</v>
          </cell>
        </row>
        <row r="9488">
          <cell r="A9488">
            <v>43676</v>
          </cell>
        </row>
        <row r="9489">
          <cell r="A9489">
            <v>43506</v>
          </cell>
        </row>
        <row r="9490">
          <cell r="A9490">
            <v>43814</v>
          </cell>
        </row>
        <row r="9491">
          <cell r="A9491">
            <v>43336</v>
          </cell>
        </row>
        <row r="9492">
          <cell r="A9492">
            <v>43285</v>
          </cell>
        </row>
        <row r="9493">
          <cell r="A9493">
            <v>43657</v>
          </cell>
        </row>
        <row r="9494">
          <cell r="A9494">
            <v>43462</v>
          </cell>
        </row>
        <row r="9495">
          <cell r="A9495">
            <v>43567</v>
          </cell>
        </row>
        <row r="9496">
          <cell r="A9496">
            <v>43242</v>
          </cell>
        </row>
        <row r="9497">
          <cell r="A9497">
            <v>43146</v>
          </cell>
        </row>
        <row r="9498">
          <cell r="A9498">
            <v>43693</v>
          </cell>
        </row>
        <row r="9499">
          <cell r="A9499">
            <v>43461</v>
          </cell>
        </row>
        <row r="9500">
          <cell r="A9500">
            <v>43675</v>
          </cell>
        </row>
        <row r="9501">
          <cell r="A9501">
            <v>43451</v>
          </cell>
        </row>
        <row r="9502">
          <cell r="A9502">
            <v>43205</v>
          </cell>
        </row>
        <row r="9503">
          <cell r="A9503">
            <v>43387</v>
          </cell>
        </row>
        <row r="9504">
          <cell r="A9504">
            <v>43161</v>
          </cell>
        </row>
        <row r="9505">
          <cell r="A9505">
            <v>43603</v>
          </cell>
        </row>
        <row r="9506">
          <cell r="A9506">
            <v>43189</v>
          </cell>
        </row>
        <row r="9507">
          <cell r="A9507">
            <v>43118</v>
          </cell>
        </row>
        <row r="9508">
          <cell r="A9508">
            <v>43688</v>
          </cell>
        </row>
        <row r="9509">
          <cell r="A9509">
            <v>43715</v>
          </cell>
        </row>
        <row r="9510">
          <cell r="A9510">
            <v>43252</v>
          </cell>
        </row>
        <row r="9511">
          <cell r="A9511">
            <v>43669</v>
          </cell>
        </row>
        <row r="9512">
          <cell r="A9512">
            <v>43840</v>
          </cell>
        </row>
        <row r="9513">
          <cell r="A9513">
            <v>43112</v>
          </cell>
        </row>
        <row r="9514">
          <cell r="A9514">
            <v>43126</v>
          </cell>
        </row>
        <row r="9515">
          <cell r="A9515">
            <v>43920</v>
          </cell>
        </row>
        <row r="9516">
          <cell r="A9516">
            <v>43628</v>
          </cell>
        </row>
        <row r="9517">
          <cell r="A9517">
            <v>43446</v>
          </cell>
        </row>
        <row r="9518">
          <cell r="A9518">
            <v>43178</v>
          </cell>
        </row>
        <row r="9519">
          <cell r="A9519">
            <v>43705</v>
          </cell>
        </row>
        <row r="9520">
          <cell r="A9520">
            <v>43691</v>
          </cell>
        </row>
        <row r="9521">
          <cell r="A9521">
            <v>43229</v>
          </cell>
        </row>
        <row r="9522">
          <cell r="A9522">
            <v>43674</v>
          </cell>
        </row>
        <row r="9523">
          <cell r="A9523">
            <v>43497</v>
          </cell>
        </row>
        <row r="9524">
          <cell r="A9524">
            <v>43116</v>
          </cell>
        </row>
        <row r="9525">
          <cell r="A9525">
            <v>43747</v>
          </cell>
        </row>
        <row r="9526">
          <cell r="A9526">
            <v>43216</v>
          </cell>
        </row>
        <row r="9527">
          <cell r="A9527">
            <v>43914</v>
          </cell>
        </row>
        <row r="9528">
          <cell r="A9528">
            <v>43234</v>
          </cell>
        </row>
        <row r="9529">
          <cell r="A9529">
            <v>43353</v>
          </cell>
        </row>
        <row r="9530">
          <cell r="A9530">
            <v>43501</v>
          </cell>
        </row>
        <row r="9531">
          <cell r="A9531">
            <v>43470</v>
          </cell>
        </row>
        <row r="9532">
          <cell r="A9532">
            <v>43480</v>
          </cell>
        </row>
        <row r="9533">
          <cell r="A9533">
            <v>43102</v>
          </cell>
        </row>
        <row r="9534">
          <cell r="A9534">
            <v>43307</v>
          </cell>
        </row>
        <row r="9535">
          <cell r="A9535">
            <v>43238</v>
          </cell>
        </row>
        <row r="9536">
          <cell r="A9536">
            <v>43297</v>
          </cell>
        </row>
        <row r="9537">
          <cell r="A9537">
            <v>43895</v>
          </cell>
        </row>
        <row r="9538">
          <cell r="A9538">
            <v>43333</v>
          </cell>
        </row>
        <row r="9539">
          <cell r="A9539">
            <v>43412</v>
          </cell>
        </row>
        <row r="9540">
          <cell r="A9540">
            <v>43323</v>
          </cell>
        </row>
        <row r="9541">
          <cell r="A9541">
            <v>43703</v>
          </cell>
        </row>
        <row r="9542">
          <cell r="A9542">
            <v>43673</v>
          </cell>
        </row>
        <row r="9543">
          <cell r="A9543">
            <v>43574</v>
          </cell>
        </row>
        <row r="9544">
          <cell r="A9544">
            <v>43554</v>
          </cell>
        </row>
        <row r="9545">
          <cell r="A9545">
            <v>43149</v>
          </cell>
        </row>
        <row r="9546">
          <cell r="A9546">
            <v>43340</v>
          </cell>
        </row>
        <row r="9547">
          <cell r="A9547">
            <v>43495</v>
          </cell>
        </row>
        <row r="9548">
          <cell r="A9548">
            <v>43539</v>
          </cell>
        </row>
        <row r="9549">
          <cell r="A9549">
            <v>43751</v>
          </cell>
        </row>
        <row r="9550">
          <cell r="A9550">
            <v>43707</v>
          </cell>
        </row>
        <row r="9551">
          <cell r="A9551">
            <v>43430</v>
          </cell>
        </row>
        <row r="9552">
          <cell r="A9552">
            <v>43186</v>
          </cell>
        </row>
        <row r="9553">
          <cell r="A9553">
            <v>43910</v>
          </cell>
        </row>
        <row r="9554">
          <cell r="A9554">
            <v>43620</v>
          </cell>
        </row>
        <row r="9555">
          <cell r="A9555">
            <v>43326</v>
          </cell>
        </row>
        <row r="9556">
          <cell r="A9556">
            <v>43852</v>
          </cell>
        </row>
        <row r="9557">
          <cell r="A9557">
            <v>43800</v>
          </cell>
        </row>
        <row r="9558">
          <cell r="A9558">
            <v>43127</v>
          </cell>
        </row>
        <row r="9559">
          <cell r="A9559">
            <v>43215</v>
          </cell>
        </row>
        <row r="9560">
          <cell r="A9560">
            <v>43120</v>
          </cell>
        </row>
        <row r="9561">
          <cell r="A9561">
            <v>43601</v>
          </cell>
        </row>
        <row r="9562">
          <cell r="A9562">
            <v>43839</v>
          </cell>
        </row>
        <row r="9563">
          <cell r="A9563">
            <v>43920</v>
          </cell>
        </row>
        <row r="9564">
          <cell r="A9564">
            <v>43197</v>
          </cell>
        </row>
        <row r="9565">
          <cell r="A9565">
            <v>43605</v>
          </cell>
        </row>
        <row r="9566">
          <cell r="A9566">
            <v>43431</v>
          </cell>
        </row>
        <row r="9567">
          <cell r="A9567">
            <v>43415</v>
          </cell>
        </row>
        <row r="9568">
          <cell r="A9568">
            <v>43821</v>
          </cell>
        </row>
        <row r="9569">
          <cell r="A9569">
            <v>43309</v>
          </cell>
        </row>
        <row r="9570">
          <cell r="A9570">
            <v>43307</v>
          </cell>
        </row>
        <row r="9571">
          <cell r="A9571">
            <v>43161</v>
          </cell>
        </row>
        <row r="9572">
          <cell r="A9572">
            <v>43846</v>
          </cell>
        </row>
        <row r="9573">
          <cell r="A9573">
            <v>43369</v>
          </cell>
        </row>
        <row r="9574">
          <cell r="A9574">
            <v>43511</v>
          </cell>
        </row>
        <row r="9575">
          <cell r="A9575">
            <v>43481</v>
          </cell>
        </row>
        <row r="9576">
          <cell r="A9576">
            <v>43331</v>
          </cell>
        </row>
        <row r="9577">
          <cell r="A9577">
            <v>43507</v>
          </cell>
        </row>
        <row r="9578">
          <cell r="A9578">
            <v>43551</v>
          </cell>
        </row>
        <row r="9579">
          <cell r="A9579">
            <v>43412</v>
          </cell>
        </row>
        <row r="9580">
          <cell r="A9580">
            <v>43862</v>
          </cell>
        </row>
        <row r="9581">
          <cell r="A9581">
            <v>43877</v>
          </cell>
        </row>
        <row r="9582">
          <cell r="A9582">
            <v>43319</v>
          </cell>
        </row>
        <row r="9583">
          <cell r="A9583">
            <v>43697</v>
          </cell>
        </row>
        <row r="9584">
          <cell r="A9584">
            <v>43698</v>
          </cell>
        </row>
        <row r="9585">
          <cell r="A9585">
            <v>43705</v>
          </cell>
        </row>
        <row r="9586">
          <cell r="A9586">
            <v>43197</v>
          </cell>
        </row>
        <row r="9587">
          <cell r="A9587">
            <v>43596</v>
          </cell>
        </row>
        <row r="9588">
          <cell r="A9588">
            <v>43541</v>
          </cell>
        </row>
        <row r="9589">
          <cell r="A9589">
            <v>43141</v>
          </cell>
        </row>
        <row r="9590">
          <cell r="A9590">
            <v>43348</v>
          </cell>
        </row>
        <row r="9591">
          <cell r="A9591">
            <v>43647</v>
          </cell>
        </row>
        <row r="9592">
          <cell r="A9592">
            <v>43788</v>
          </cell>
        </row>
        <row r="9593">
          <cell r="A9593">
            <v>43691</v>
          </cell>
        </row>
        <row r="9594">
          <cell r="A9594">
            <v>43165</v>
          </cell>
        </row>
        <row r="9595">
          <cell r="A9595">
            <v>43463</v>
          </cell>
        </row>
        <row r="9596">
          <cell r="A9596">
            <v>43125</v>
          </cell>
        </row>
        <row r="9597">
          <cell r="A9597">
            <v>43735</v>
          </cell>
        </row>
        <row r="9598">
          <cell r="A9598">
            <v>43713</v>
          </cell>
        </row>
        <row r="9599">
          <cell r="A9599">
            <v>43332</v>
          </cell>
        </row>
        <row r="9600">
          <cell r="A9600">
            <v>43771</v>
          </cell>
        </row>
        <row r="9601">
          <cell r="A9601">
            <v>43601</v>
          </cell>
        </row>
        <row r="9602">
          <cell r="A9602">
            <v>43151</v>
          </cell>
        </row>
        <row r="9603">
          <cell r="A9603">
            <v>43668</v>
          </cell>
        </row>
        <row r="9604">
          <cell r="A9604">
            <v>43347</v>
          </cell>
        </row>
        <row r="9605">
          <cell r="A9605">
            <v>43768</v>
          </cell>
        </row>
        <row r="9606">
          <cell r="A9606">
            <v>43723</v>
          </cell>
        </row>
        <row r="9607">
          <cell r="A9607">
            <v>43466</v>
          </cell>
        </row>
        <row r="9608">
          <cell r="A9608">
            <v>43237</v>
          </cell>
        </row>
        <row r="9609">
          <cell r="A9609">
            <v>43223</v>
          </cell>
        </row>
        <row r="9610">
          <cell r="A9610">
            <v>43244</v>
          </cell>
        </row>
        <row r="9611">
          <cell r="A9611">
            <v>43207</v>
          </cell>
        </row>
        <row r="9612">
          <cell r="A9612">
            <v>43105</v>
          </cell>
        </row>
        <row r="9613">
          <cell r="A9613">
            <v>43694</v>
          </cell>
        </row>
        <row r="9614">
          <cell r="A9614">
            <v>43332</v>
          </cell>
        </row>
        <row r="9615">
          <cell r="A9615">
            <v>43250</v>
          </cell>
        </row>
        <row r="9616">
          <cell r="A9616">
            <v>43256</v>
          </cell>
        </row>
        <row r="9617">
          <cell r="A9617">
            <v>43824</v>
          </cell>
        </row>
        <row r="9618">
          <cell r="A9618">
            <v>43397</v>
          </cell>
        </row>
        <row r="9619">
          <cell r="A9619">
            <v>43913</v>
          </cell>
        </row>
        <row r="9620">
          <cell r="A9620">
            <v>43779</v>
          </cell>
        </row>
        <row r="9621">
          <cell r="A9621">
            <v>43723</v>
          </cell>
        </row>
        <row r="9622">
          <cell r="A9622">
            <v>43159</v>
          </cell>
        </row>
        <row r="9623">
          <cell r="A9623">
            <v>43118</v>
          </cell>
        </row>
        <row r="9624">
          <cell r="A9624">
            <v>43606</v>
          </cell>
        </row>
        <row r="9625">
          <cell r="A9625">
            <v>43836</v>
          </cell>
        </row>
        <row r="9626">
          <cell r="A9626">
            <v>43617</v>
          </cell>
        </row>
        <row r="9627">
          <cell r="A9627">
            <v>43166</v>
          </cell>
        </row>
        <row r="9628">
          <cell r="A9628">
            <v>43478</v>
          </cell>
        </row>
        <row r="9629">
          <cell r="A9629">
            <v>43919</v>
          </cell>
        </row>
        <row r="9630">
          <cell r="A9630">
            <v>43244</v>
          </cell>
        </row>
        <row r="9631">
          <cell r="A9631">
            <v>43244</v>
          </cell>
        </row>
        <row r="9632">
          <cell r="A9632">
            <v>43208</v>
          </cell>
        </row>
        <row r="9633">
          <cell r="A9633">
            <v>43701</v>
          </cell>
        </row>
        <row r="9634">
          <cell r="A9634">
            <v>43515</v>
          </cell>
        </row>
        <row r="9635">
          <cell r="A9635">
            <v>43338</v>
          </cell>
        </row>
        <row r="9636">
          <cell r="A9636">
            <v>43303</v>
          </cell>
        </row>
        <row r="9637">
          <cell r="A9637">
            <v>43761</v>
          </cell>
        </row>
        <row r="9638">
          <cell r="A9638">
            <v>43815</v>
          </cell>
        </row>
        <row r="9639">
          <cell r="A9639">
            <v>43364</v>
          </cell>
        </row>
        <row r="9640">
          <cell r="A9640">
            <v>43263</v>
          </cell>
        </row>
        <row r="9641">
          <cell r="A9641">
            <v>43525</v>
          </cell>
        </row>
        <row r="9642">
          <cell r="A9642">
            <v>43854</v>
          </cell>
        </row>
        <row r="9643">
          <cell r="A9643">
            <v>43328</v>
          </cell>
        </row>
        <row r="9644">
          <cell r="A9644">
            <v>43152</v>
          </cell>
        </row>
        <row r="9645">
          <cell r="A9645">
            <v>43747</v>
          </cell>
        </row>
        <row r="9646">
          <cell r="A9646">
            <v>43807</v>
          </cell>
        </row>
        <row r="9647">
          <cell r="A9647">
            <v>43703</v>
          </cell>
        </row>
        <row r="9648">
          <cell r="A9648">
            <v>43213</v>
          </cell>
        </row>
        <row r="9649">
          <cell r="A9649">
            <v>43167</v>
          </cell>
        </row>
        <row r="9650">
          <cell r="A9650">
            <v>43363</v>
          </cell>
        </row>
        <row r="9651">
          <cell r="A9651">
            <v>43655</v>
          </cell>
        </row>
        <row r="9652">
          <cell r="A9652">
            <v>43409</v>
          </cell>
        </row>
        <row r="9653">
          <cell r="A9653">
            <v>43763</v>
          </cell>
        </row>
        <row r="9654">
          <cell r="A9654">
            <v>43513</v>
          </cell>
        </row>
        <row r="9655">
          <cell r="A9655">
            <v>43646</v>
          </cell>
        </row>
        <row r="9656">
          <cell r="A9656">
            <v>43463</v>
          </cell>
        </row>
        <row r="9657">
          <cell r="A9657">
            <v>43689</v>
          </cell>
        </row>
        <row r="9658">
          <cell r="A9658">
            <v>43758</v>
          </cell>
        </row>
        <row r="9659">
          <cell r="A9659">
            <v>43827</v>
          </cell>
        </row>
        <row r="9660">
          <cell r="A9660">
            <v>43661</v>
          </cell>
        </row>
        <row r="9661">
          <cell r="A9661">
            <v>43810</v>
          </cell>
        </row>
        <row r="9662">
          <cell r="A9662">
            <v>43619</v>
          </cell>
        </row>
        <row r="9663">
          <cell r="A9663">
            <v>43171</v>
          </cell>
        </row>
        <row r="9664">
          <cell r="A9664">
            <v>43573</v>
          </cell>
        </row>
        <row r="9665">
          <cell r="A9665">
            <v>43708</v>
          </cell>
        </row>
        <row r="9666">
          <cell r="A9666">
            <v>43149</v>
          </cell>
        </row>
        <row r="9667">
          <cell r="A9667">
            <v>43554</v>
          </cell>
        </row>
        <row r="9668">
          <cell r="A9668">
            <v>43835</v>
          </cell>
        </row>
        <row r="9669">
          <cell r="A9669">
            <v>43472</v>
          </cell>
        </row>
        <row r="9670">
          <cell r="A9670">
            <v>43131</v>
          </cell>
        </row>
        <row r="9671">
          <cell r="A9671">
            <v>43523</v>
          </cell>
        </row>
        <row r="9672">
          <cell r="A9672">
            <v>43836</v>
          </cell>
        </row>
        <row r="9673">
          <cell r="A9673">
            <v>43767</v>
          </cell>
        </row>
        <row r="9674">
          <cell r="A9674">
            <v>43196</v>
          </cell>
        </row>
        <row r="9675">
          <cell r="A9675">
            <v>43410</v>
          </cell>
        </row>
        <row r="9676">
          <cell r="A9676">
            <v>43219</v>
          </cell>
        </row>
        <row r="9677">
          <cell r="A9677">
            <v>43430</v>
          </cell>
        </row>
        <row r="9678">
          <cell r="A9678">
            <v>43131</v>
          </cell>
        </row>
        <row r="9679">
          <cell r="A9679">
            <v>43704</v>
          </cell>
        </row>
        <row r="9680">
          <cell r="A9680">
            <v>43490</v>
          </cell>
        </row>
        <row r="9681">
          <cell r="A9681">
            <v>43366</v>
          </cell>
        </row>
        <row r="9682">
          <cell r="A9682">
            <v>43811</v>
          </cell>
        </row>
        <row r="9683">
          <cell r="A9683">
            <v>43686</v>
          </cell>
        </row>
        <row r="9684">
          <cell r="A9684">
            <v>43265</v>
          </cell>
        </row>
        <row r="9685">
          <cell r="A9685">
            <v>43678</v>
          </cell>
        </row>
        <row r="9686">
          <cell r="A9686">
            <v>43280</v>
          </cell>
        </row>
        <row r="9687">
          <cell r="A9687">
            <v>43409</v>
          </cell>
        </row>
        <row r="9688">
          <cell r="A9688">
            <v>43146</v>
          </cell>
        </row>
        <row r="9689">
          <cell r="A9689">
            <v>43816</v>
          </cell>
        </row>
        <row r="9690">
          <cell r="A9690">
            <v>43208</v>
          </cell>
        </row>
        <row r="9691">
          <cell r="A9691">
            <v>43168</v>
          </cell>
        </row>
        <row r="9692">
          <cell r="A9692">
            <v>43556</v>
          </cell>
        </row>
        <row r="9693">
          <cell r="A9693">
            <v>43208</v>
          </cell>
        </row>
        <row r="9694">
          <cell r="A9694">
            <v>43286</v>
          </cell>
        </row>
        <row r="9695">
          <cell r="A9695">
            <v>43489</v>
          </cell>
        </row>
        <row r="9696">
          <cell r="A9696">
            <v>43636</v>
          </cell>
        </row>
        <row r="9697">
          <cell r="A9697">
            <v>43593</v>
          </cell>
        </row>
        <row r="9698">
          <cell r="A9698">
            <v>43717</v>
          </cell>
        </row>
        <row r="9699">
          <cell r="A9699">
            <v>43101</v>
          </cell>
        </row>
        <row r="9700">
          <cell r="A9700">
            <v>43432</v>
          </cell>
        </row>
        <row r="9701">
          <cell r="A9701">
            <v>43752</v>
          </cell>
        </row>
        <row r="9702">
          <cell r="A9702">
            <v>43434</v>
          </cell>
        </row>
        <row r="9703">
          <cell r="A9703">
            <v>43225</v>
          </cell>
        </row>
        <row r="9704">
          <cell r="A9704">
            <v>43289</v>
          </cell>
        </row>
        <row r="9705">
          <cell r="A9705">
            <v>43509</v>
          </cell>
        </row>
        <row r="9706">
          <cell r="A9706">
            <v>43886</v>
          </cell>
        </row>
        <row r="9707">
          <cell r="A9707">
            <v>43192</v>
          </cell>
        </row>
        <row r="9708">
          <cell r="A9708">
            <v>43516</v>
          </cell>
        </row>
        <row r="9709">
          <cell r="A9709">
            <v>43500</v>
          </cell>
        </row>
        <row r="9710">
          <cell r="A9710">
            <v>43147</v>
          </cell>
        </row>
        <row r="9711">
          <cell r="A9711">
            <v>43680</v>
          </cell>
        </row>
        <row r="9712">
          <cell r="A9712">
            <v>43765</v>
          </cell>
        </row>
        <row r="9713">
          <cell r="A9713">
            <v>43278</v>
          </cell>
        </row>
        <row r="9714">
          <cell r="A9714">
            <v>43484</v>
          </cell>
        </row>
        <row r="9715">
          <cell r="A9715">
            <v>43600</v>
          </cell>
        </row>
        <row r="9716">
          <cell r="A9716">
            <v>43435</v>
          </cell>
        </row>
        <row r="9717">
          <cell r="A9717">
            <v>43461</v>
          </cell>
        </row>
        <row r="9718">
          <cell r="A9718">
            <v>43538</v>
          </cell>
        </row>
        <row r="9719">
          <cell r="A9719">
            <v>43621</v>
          </cell>
        </row>
        <row r="9720">
          <cell r="A9720">
            <v>43870</v>
          </cell>
        </row>
        <row r="9721">
          <cell r="A9721">
            <v>43915</v>
          </cell>
        </row>
        <row r="9722">
          <cell r="A9722">
            <v>43478</v>
          </cell>
        </row>
        <row r="9723">
          <cell r="A9723">
            <v>43840</v>
          </cell>
        </row>
        <row r="9724">
          <cell r="A9724">
            <v>43847</v>
          </cell>
        </row>
        <row r="9725">
          <cell r="A9725">
            <v>43794</v>
          </cell>
        </row>
        <row r="9726">
          <cell r="A9726">
            <v>43737</v>
          </cell>
        </row>
        <row r="9727">
          <cell r="A9727">
            <v>43667</v>
          </cell>
        </row>
        <row r="9728">
          <cell r="A9728">
            <v>43467</v>
          </cell>
        </row>
        <row r="9729">
          <cell r="A9729">
            <v>43368</v>
          </cell>
        </row>
        <row r="9730">
          <cell r="A9730">
            <v>43340</v>
          </cell>
        </row>
        <row r="9731">
          <cell r="A9731">
            <v>43799</v>
          </cell>
        </row>
        <row r="9732">
          <cell r="A9732">
            <v>43297</v>
          </cell>
        </row>
        <row r="9733">
          <cell r="A9733">
            <v>43734</v>
          </cell>
        </row>
        <row r="9734">
          <cell r="A9734">
            <v>43592</v>
          </cell>
        </row>
        <row r="9735">
          <cell r="A9735">
            <v>43680</v>
          </cell>
        </row>
        <row r="9736">
          <cell r="A9736">
            <v>43152</v>
          </cell>
        </row>
        <row r="9737">
          <cell r="A9737">
            <v>43602</v>
          </cell>
        </row>
        <row r="9738">
          <cell r="A9738">
            <v>43854</v>
          </cell>
        </row>
        <row r="9739">
          <cell r="A9739">
            <v>43179</v>
          </cell>
        </row>
        <row r="9740">
          <cell r="A9740">
            <v>43601</v>
          </cell>
        </row>
        <row r="9741">
          <cell r="A9741">
            <v>43121</v>
          </cell>
        </row>
        <row r="9742">
          <cell r="A9742">
            <v>43250</v>
          </cell>
        </row>
        <row r="9743">
          <cell r="A9743">
            <v>43544</v>
          </cell>
        </row>
        <row r="9744">
          <cell r="A9744">
            <v>43655</v>
          </cell>
        </row>
        <row r="9745">
          <cell r="A9745">
            <v>43660</v>
          </cell>
        </row>
        <row r="9746">
          <cell r="A9746">
            <v>43691</v>
          </cell>
        </row>
        <row r="9747">
          <cell r="A9747">
            <v>43765</v>
          </cell>
        </row>
        <row r="9748">
          <cell r="A9748">
            <v>43324</v>
          </cell>
        </row>
        <row r="9749">
          <cell r="A9749">
            <v>43905</v>
          </cell>
        </row>
        <row r="9750">
          <cell r="A9750">
            <v>43621</v>
          </cell>
        </row>
        <row r="9751">
          <cell r="A9751">
            <v>43883</v>
          </cell>
        </row>
        <row r="9752">
          <cell r="A9752">
            <v>43652</v>
          </cell>
        </row>
        <row r="9753">
          <cell r="A9753">
            <v>43440</v>
          </cell>
        </row>
        <row r="9754">
          <cell r="A9754">
            <v>43105</v>
          </cell>
        </row>
        <row r="9755">
          <cell r="A9755">
            <v>43665</v>
          </cell>
        </row>
        <row r="9756">
          <cell r="A9756">
            <v>43702</v>
          </cell>
        </row>
        <row r="9757">
          <cell r="A9757">
            <v>43161</v>
          </cell>
        </row>
        <row r="9758">
          <cell r="A9758">
            <v>43577</v>
          </cell>
        </row>
        <row r="9759">
          <cell r="A9759">
            <v>43723</v>
          </cell>
        </row>
        <row r="9760">
          <cell r="A9760">
            <v>43562</v>
          </cell>
        </row>
        <row r="9761">
          <cell r="A9761">
            <v>43492</v>
          </cell>
        </row>
        <row r="9762">
          <cell r="A9762">
            <v>43428</v>
          </cell>
        </row>
        <row r="9763">
          <cell r="A9763">
            <v>43645</v>
          </cell>
        </row>
        <row r="9764">
          <cell r="A9764">
            <v>43482</v>
          </cell>
        </row>
        <row r="9765">
          <cell r="A9765">
            <v>43777</v>
          </cell>
        </row>
        <row r="9766">
          <cell r="A9766">
            <v>43525</v>
          </cell>
        </row>
        <row r="9767">
          <cell r="A9767">
            <v>43444</v>
          </cell>
        </row>
        <row r="9768">
          <cell r="A9768">
            <v>43612</v>
          </cell>
        </row>
        <row r="9769">
          <cell r="A9769">
            <v>43530</v>
          </cell>
        </row>
        <row r="9770">
          <cell r="A9770">
            <v>43239</v>
          </cell>
        </row>
        <row r="9771">
          <cell r="A9771">
            <v>43451</v>
          </cell>
        </row>
        <row r="9772">
          <cell r="A9772">
            <v>43574</v>
          </cell>
        </row>
        <row r="9773">
          <cell r="A9773">
            <v>43534</v>
          </cell>
        </row>
        <row r="9774">
          <cell r="A9774">
            <v>43467</v>
          </cell>
        </row>
        <row r="9775">
          <cell r="A9775">
            <v>43775</v>
          </cell>
        </row>
        <row r="9776">
          <cell r="A9776">
            <v>43739</v>
          </cell>
        </row>
        <row r="9777">
          <cell r="A9777">
            <v>43699</v>
          </cell>
        </row>
        <row r="9778">
          <cell r="A9778">
            <v>43464</v>
          </cell>
        </row>
        <row r="9779">
          <cell r="A9779">
            <v>43874</v>
          </cell>
        </row>
        <row r="9780">
          <cell r="A9780">
            <v>43327</v>
          </cell>
        </row>
        <row r="9781">
          <cell r="A9781">
            <v>43868</v>
          </cell>
        </row>
        <row r="9782">
          <cell r="A9782">
            <v>43624</v>
          </cell>
        </row>
        <row r="9783">
          <cell r="A9783">
            <v>43175</v>
          </cell>
        </row>
        <row r="9784">
          <cell r="A9784">
            <v>43192</v>
          </cell>
        </row>
        <row r="9785">
          <cell r="A9785">
            <v>43206</v>
          </cell>
        </row>
        <row r="9786">
          <cell r="A9786">
            <v>43103</v>
          </cell>
        </row>
        <row r="9787">
          <cell r="A9787">
            <v>43352</v>
          </cell>
        </row>
        <row r="9788">
          <cell r="A9788">
            <v>43269</v>
          </cell>
        </row>
        <row r="9789">
          <cell r="A9789">
            <v>43563</v>
          </cell>
        </row>
        <row r="9790">
          <cell r="A9790">
            <v>43209</v>
          </cell>
        </row>
        <row r="9791">
          <cell r="A9791">
            <v>43177</v>
          </cell>
        </row>
        <row r="9792">
          <cell r="A9792">
            <v>43836</v>
          </cell>
        </row>
        <row r="9793">
          <cell r="A9793">
            <v>43110</v>
          </cell>
        </row>
        <row r="9794">
          <cell r="A9794">
            <v>43561</v>
          </cell>
        </row>
        <row r="9795">
          <cell r="A9795">
            <v>43284</v>
          </cell>
        </row>
        <row r="9796">
          <cell r="A9796">
            <v>43188</v>
          </cell>
        </row>
        <row r="9797">
          <cell r="A9797">
            <v>43570</v>
          </cell>
        </row>
        <row r="9798">
          <cell r="A9798">
            <v>43393</v>
          </cell>
        </row>
        <row r="9799">
          <cell r="A9799">
            <v>43221</v>
          </cell>
        </row>
        <row r="9800">
          <cell r="A9800">
            <v>43443</v>
          </cell>
        </row>
        <row r="9801">
          <cell r="A9801">
            <v>43263</v>
          </cell>
        </row>
        <row r="9802">
          <cell r="A9802">
            <v>43622</v>
          </cell>
        </row>
        <row r="9803">
          <cell r="A9803">
            <v>43105</v>
          </cell>
        </row>
        <row r="9804">
          <cell r="A9804">
            <v>43399</v>
          </cell>
        </row>
        <row r="9805">
          <cell r="A9805">
            <v>43675</v>
          </cell>
        </row>
        <row r="9806">
          <cell r="A9806">
            <v>43747</v>
          </cell>
        </row>
        <row r="9807">
          <cell r="A9807">
            <v>43772</v>
          </cell>
        </row>
        <row r="9808">
          <cell r="A9808">
            <v>43908</v>
          </cell>
        </row>
        <row r="9809">
          <cell r="A9809">
            <v>43363</v>
          </cell>
        </row>
        <row r="9810">
          <cell r="A9810">
            <v>43674</v>
          </cell>
        </row>
        <row r="9811">
          <cell r="A9811">
            <v>43208</v>
          </cell>
        </row>
        <row r="9812">
          <cell r="A9812">
            <v>43429</v>
          </cell>
        </row>
        <row r="9813">
          <cell r="A9813">
            <v>43288</v>
          </cell>
        </row>
        <row r="9814">
          <cell r="A9814">
            <v>43332</v>
          </cell>
        </row>
        <row r="9815">
          <cell r="A9815">
            <v>43531</v>
          </cell>
        </row>
        <row r="9816">
          <cell r="A9816">
            <v>43718</v>
          </cell>
        </row>
        <row r="9817">
          <cell r="A9817">
            <v>43256</v>
          </cell>
        </row>
        <row r="9818">
          <cell r="A9818">
            <v>43587</v>
          </cell>
        </row>
        <row r="9819">
          <cell r="A9819">
            <v>43210</v>
          </cell>
        </row>
        <row r="9820">
          <cell r="A9820">
            <v>43469</v>
          </cell>
        </row>
        <row r="9821">
          <cell r="A9821">
            <v>43884</v>
          </cell>
        </row>
        <row r="9822">
          <cell r="A9822">
            <v>43709</v>
          </cell>
        </row>
        <row r="9823">
          <cell r="A9823">
            <v>43332</v>
          </cell>
        </row>
        <row r="9824">
          <cell r="A9824">
            <v>43648</v>
          </cell>
        </row>
        <row r="9825">
          <cell r="A9825">
            <v>43584</v>
          </cell>
        </row>
        <row r="9826">
          <cell r="A9826">
            <v>43841</v>
          </cell>
        </row>
        <row r="9827">
          <cell r="A9827">
            <v>43538</v>
          </cell>
        </row>
        <row r="9828">
          <cell r="A9828">
            <v>43921</v>
          </cell>
        </row>
        <row r="9829">
          <cell r="A9829">
            <v>43726</v>
          </cell>
        </row>
        <row r="9830">
          <cell r="A9830">
            <v>43231</v>
          </cell>
        </row>
        <row r="9831">
          <cell r="A9831">
            <v>43667</v>
          </cell>
        </row>
        <row r="9832">
          <cell r="A9832">
            <v>43790</v>
          </cell>
        </row>
        <row r="9833">
          <cell r="A9833">
            <v>43667</v>
          </cell>
        </row>
        <row r="9834">
          <cell r="A9834">
            <v>43507</v>
          </cell>
        </row>
        <row r="9835">
          <cell r="A9835">
            <v>43618</v>
          </cell>
        </row>
        <row r="9836">
          <cell r="A9836">
            <v>43818</v>
          </cell>
        </row>
        <row r="9837">
          <cell r="A9837">
            <v>43135</v>
          </cell>
        </row>
        <row r="9838">
          <cell r="A9838">
            <v>43182</v>
          </cell>
        </row>
        <row r="9839">
          <cell r="A9839">
            <v>43210</v>
          </cell>
        </row>
        <row r="9840">
          <cell r="A9840">
            <v>43888</v>
          </cell>
        </row>
        <row r="9841">
          <cell r="A9841">
            <v>43592</v>
          </cell>
        </row>
        <row r="9842">
          <cell r="A9842">
            <v>43588</v>
          </cell>
        </row>
        <row r="9843">
          <cell r="A9843">
            <v>43583</v>
          </cell>
        </row>
        <row r="9844">
          <cell r="A9844">
            <v>43416</v>
          </cell>
        </row>
        <row r="9845">
          <cell r="A9845">
            <v>43193</v>
          </cell>
        </row>
        <row r="9846">
          <cell r="A9846">
            <v>43299</v>
          </cell>
        </row>
        <row r="9847">
          <cell r="A9847">
            <v>43904</v>
          </cell>
        </row>
        <row r="9848">
          <cell r="A9848">
            <v>43134</v>
          </cell>
        </row>
        <row r="9849">
          <cell r="A9849">
            <v>43257</v>
          </cell>
        </row>
        <row r="9850">
          <cell r="A9850">
            <v>43676</v>
          </cell>
        </row>
        <row r="9851">
          <cell r="A9851">
            <v>43895</v>
          </cell>
        </row>
        <row r="9852">
          <cell r="A9852">
            <v>43325</v>
          </cell>
        </row>
        <row r="9853">
          <cell r="A9853">
            <v>43158</v>
          </cell>
        </row>
        <row r="9854">
          <cell r="A9854">
            <v>43800</v>
          </cell>
        </row>
        <row r="9855">
          <cell r="A9855">
            <v>43279</v>
          </cell>
        </row>
        <row r="9856">
          <cell r="A9856">
            <v>43105</v>
          </cell>
        </row>
        <row r="9857">
          <cell r="A9857">
            <v>43146</v>
          </cell>
        </row>
        <row r="9858">
          <cell r="A9858">
            <v>43364</v>
          </cell>
        </row>
        <row r="9859">
          <cell r="A9859">
            <v>43350</v>
          </cell>
        </row>
        <row r="9860">
          <cell r="A9860">
            <v>43191</v>
          </cell>
        </row>
        <row r="9861">
          <cell r="A9861">
            <v>43872</v>
          </cell>
        </row>
        <row r="9862">
          <cell r="A9862">
            <v>43620</v>
          </cell>
        </row>
        <row r="9863">
          <cell r="A9863">
            <v>43310</v>
          </cell>
        </row>
        <row r="9864">
          <cell r="A9864">
            <v>43889</v>
          </cell>
        </row>
        <row r="9865">
          <cell r="A9865">
            <v>43903</v>
          </cell>
        </row>
        <row r="9866">
          <cell r="A9866">
            <v>43824</v>
          </cell>
        </row>
        <row r="9867">
          <cell r="A9867">
            <v>43486</v>
          </cell>
        </row>
        <row r="9868">
          <cell r="A9868">
            <v>43610</v>
          </cell>
        </row>
        <row r="9869">
          <cell r="A9869">
            <v>43774</v>
          </cell>
        </row>
        <row r="9870">
          <cell r="A9870">
            <v>43807</v>
          </cell>
        </row>
        <row r="9871">
          <cell r="A9871">
            <v>43885</v>
          </cell>
        </row>
        <row r="9872">
          <cell r="A9872">
            <v>43306</v>
          </cell>
        </row>
        <row r="9873">
          <cell r="A9873">
            <v>43208</v>
          </cell>
        </row>
        <row r="9874">
          <cell r="A9874">
            <v>43779</v>
          </cell>
        </row>
        <row r="9875">
          <cell r="A9875">
            <v>43290</v>
          </cell>
        </row>
        <row r="9876">
          <cell r="A9876">
            <v>43248</v>
          </cell>
        </row>
        <row r="9877">
          <cell r="A9877">
            <v>43312</v>
          </cell>
        </row>
        <row r="9878">
          <cell r="A9878">
            <v>43159</v>
          </cell>
        </row>
        <row r="9879">
          <cell r="A9879">
            <v>43912</v>
          </cell>
        </row>
        <row r="9880">
          <cell r="A9880">
            <v>43260</v>
          </cell>
        </row>
        <row r="9881">
          <cell r="A9881">
            <v>43903</v>
          </cell>
        </row>
        <row r="9882">
          <cell r="A9882">
            <v>43745</v>
          </cell>
        </row>
        <row r="9883">
          <cell r="A9883">
            <v>43175</v>
          </cell>
        </row>
        <row r="9884">
          <cell r="A9884">
            <v>43765</v>
          </cell>
        </row>
        <row r="9885">
          <cell r="A9885">
            <v>43418</v>
          </cell>
        </row>
        <row r="9886">
          <cell r="A9886">
            <v>43315</v>
          </cell>
        </row>
        <row r="9887">
          <cell r="A9887">
            <v>43551</v>
          </cell>
        </row>
        <row r="9888">
          <cell r="A9888">
            <v>43490</v>
          </cell>
        </row>
        <row r="9889">
          <cell r="A9889">
            <v>43803</v>
          </cell>
        </row>
        <row r="9890">
          <cell r="A9890">
            <v>43374</v>
          </cell>
        </row>
        <row r="9891">
          <cell r="A9891">
            <v>43251</v>
          </cell>
        </row>
        <row r="9892">
          <cell r="A9892">
            <v>43441</v>
          </cell>
        </row>
        <row r="9893">
          <cell r="A9893">
            <v>43610</v>
          </cell>
        </row>
        <row r="9894">
          <cell r="A9894">
            <v>43531</v>
          </cell>
        </row>
        <row r="9895">
          <cell r="A9895">
            <v>43311</v>
          </cell>
        </row>
        <row r="9896">
          <cell r="A9896">
            <v>43242</v>
          </cell>
        </row>
        <row r="9897">
          <cell r="A9897">
            <v>43158</v>
          </cell>
        </row>
        <row r="9898">
          <cell r="A9898">
            <v>43656</v>
          </cell>
        </row>
        <row r="9899">
          <cell r="A9899">
            <v>43496</v>
          </cell>
        </row>
        <row r="9900">
          <cell r="A9900">
            <v>43871</v>
          </cell>
        </row>
        <row r="9901">
          <cell r="A9901">
            <v>43816</v>
          </cell>
        </row>
        <row r="9902">
          <cell r="A9902">
            <v>43845</v>
          </cell>
        </row>
        <row r="9903">
          <cell r="A9903">
            <v>43530</v>
          </cell>
        </row>
        <row r="9904">
          <cell r="A9904">
            <v>43887</v>
          </cell>
        </row>
        <row r="9905">
          <cell r="A9905">
            <v>43791</v>
          </cell>
        </row>
        <row r="9906">
          <cell r="A9906">
            <v>43239</v>
          </cell>
        </row>
        <row r="9907">
          <cell r="A9907">
            <v>43180</v>
          </cell>
        </row>
        <row r="9908">
          <cell r="A9908">
            <v>43377</v>
          </cell>
        </row>
        <row r="9909">
          <cell r="A9909">
            <v>43904</v>
          </cell>
        </row>
        <row r="9910">
          <cell r="A9910">
            <v>43149</v>
          </cell>
        </row>
        <row r="9911">
          <cell r="A9911">
            <v>43873</v>
          </cell>
        </row>
        <row r="9912">
          <cell r="A9912">
            <v>43673</v>
          </cell>
        </row>
        <row r="9913">
          <cell r="A9913">
            <v>43649</v>
          </cell>
        </row>
        <row r="9914">
          <cell r="A9914">
            <v>43779</v>
          </cell>
        </row>
        <row r="9915">
          <cell r="A9915">
            <v>43917</v>
          </cell>
        </row>
        <row r="9916">
          <cell r="A9916">
            <v>43436</v>
          </cell>
        </row>
        <row r="9917">
          <cell r="A9917">
            <v>43599</v>
          </cell>
        </row>
        <row r="9918">
          <cell r="A9918">
            <v>43648</v>
          </cell>
        </row>
        <row r="9919">
          <cell r="A9919">
            <v>43132</v>
          </cell>
        </row>
        <row r="9920">
          <cell r="A9920">
            <v>43616</v>
          </cell>
        </row>
        <row r="9921">
          <cell r="A9921">
            <v>43917</v>
          </cell>
        </row>
        <row r="9922">
          <cell r="A9922">
            <v>43608</v>
          </cell>
        </row>
        <row r="9923">
          <cell r="A9923">
            <v>43113</v>
          </cell>
        </row>
        <row r="9924">
          <cell r="A9924">
            <v>43344</v>
          </cell>
        </row>
        <row r="9925">
          <cell r="A9925">
            <v>43506</v>
          </cell>
        </row>
        <row r="9926">
          <cell r="A9926">
            <v>43797</v>
          </cell>
        </row>
        <row r="9927">
          <cell r="A9927">
            <v>43843</v>
          </cell>
        </row>
        <row r="9928">
          <cell r="A9928">
            <v>43160</v>
          </cell>
        </row>
        <row r="9929">
          <cell r="A9929">
            <v>43104</v>
          </cell>
        </row>
        <row r="9930">
          <cell r="A9930">
            <v>43883</v>
          </cell>
        </row>
        <row r="9931">
          <cell r="A9931">
            <v>43117</v>
          </cell>
        </row>
        <row r="9932">
          <cell r="A9932">
            <v>43607</v>
          </cell>
        </row>
        <row r="9933">
          <cell r="A9933">
            <v>43917</v>
          </cell>
        </row>
        <row r="9934">
          <cell r="A9934">
            <v>43822</v>
          </cell>
        </row>
        <row r="9935">
          <cell r="A9935">
            <v>43150</v>
          </cell>
        </row>
        <row r="9936">
          <cell r="A9936">
            <v>43873</v>
          </cell>
        </row>
        <row r="9937">
          <cell r="A9937">
            <v>43495</v>
          </cell>
        </row>
        <row r="9938">
          <cell r="A9938">
            <v>43226</v>
          </cell>
        </row>
        <row r="9939">
          <cell r="A9939">
            <v>43283</v>
          </cell>
        </row>
        <row r="9940">
          <cell r="A9940">
            <v>43799</v>
          </cell>
        </row>
        <row r="9941">
          <cell r="A9941">
            <v>43336</v>
          </cell>
        </row>
        <row r="9942">
          <cell r="A9942">
            <v>43393</v>
          </cell>
        </row>
        <row r="9943">
          <cell r="A9943">
            <v>43903</v>
          </cell>
        </row>
        <row r="9944">
          <cell r="A9944">
            <v>43912</v>
          </cell>
        </row>
        <row r="9945">
          <cell r="A9945">
            <v>43102</v>
          </cell>
        </row>
        <row r="9946">
          <cell r="A9946">
            <v>43388</v>
          </cell>
        </row>
        <row r="9947">
          <cell r="A9947">
            <v>43501</v>
          </cell>
        </row>
        <row r="9948">
          <cell r="A9948">
            <v>43874</v>
          </cell>
        </row>
        <row r="9949">
          <cell r="A9949">
            <v>43738</v>
          </cell>
        </row>
        <row r="9950">
          <cell r="A9950">
            <v>43481</v>
          </cell>
        </row>
        <row r="9951">
          <cell r="A9951">
            <v>43232</v>
          </cell>
        </row>
        <row r="9952">
          <cell r="A9952">
            <v>43213</v>
          </cell>
        </row>
        <row r="9953">
          <cell r="A9953">
            <v>43747</v>
          </cell>
        </row>
        <row r="9954">
          <cell r="A9954">
            <v>43591</v>
          </cell>
        </row>
        <row r="9955">
          <cell r="A9955">
            <v>43834</v>
          </cell>
        </row>
        <row r="9956">
          <cell r="A9956">
            <v>43911</v>
          </cell>
        </row>
        <row r="9957">
          <cell r="A9957">
            <v>43309</v>
          </cell>
        </row>
        <row r="9958">
          <cell r="A9958">
            <v>43346</v>
          </cell>
        </row>
        <row r="9959">
          <cell r="A9959">
            <v>43251</v>
          </cell>
        </row>
        <row r="9960">
          <cell r="A9960">
            <v>43659</v>
          </cell>
        </row>
        <row r="9961">
          <cell r="A9961">
            <v>43441</v>
          </cell>
        </row>
        <row r="9962">
          <cell r="A9962">
            <v>43335</v>
          </cell>
        </row>
        <row r="9963">
          <cell r="A9963">
            <v>43830</v>
          </cell>
        </row>
        <row r="9964">
          <cell r="A9964">
            <v>43228</v>
          </cell>
        </row>
        <row r="9965">
          <cell r="A9965">
            <v>43122</v>
          </cell>
        </row>
        <row r="9966">
          <cell r="A9966">
            <v>43503</v>
          </cell>
        </row>
        <row r="9967">
          <cell r="A9967">
            <v>43798</v>
          </cell>
        </row>
        <row r="9968">
          <cell r="A9968">
            <v>43914</v>
          </cell>
        </row>
        <row r="9969">
          <cell r="A9969">
            <v>43373</v>
          </cell>
        </row>
        <row r="9970">
          <cell r="A9970">
            <v>43428</v>
          </cell>
        </row>
        <row r="9971">
          <cell r="A9971">
            <v>43802</v>
          </cell>
        </row>
        <row r="9972">
          <cell r="A9972">
            <v>43117</v>
          </cell>
        </row>
        <row r="9973">
          <cell r="A9973">
            <v>43479</v>
          </cell>
        </row>
        <row r="9974">
          <cell r="A9974">
            <v>43525</v>
          </cell>
        </row>
        <row r="9975">
          <cell r="A9975">
            <v>43309</v>
          </cell>
        </row>
        <row r="9976">
          <cell r="A9976">
            <v>43226</v>
          </cell>
        </row>
        <row r="9977">
          <cell r="A9977">
            <v>43559</v>
          </cell>
        </row>
        <row r="9978">
          <cell r="A9978">
            <v>43594</v>
          </cell>
        </row>
        <row r="9979">
          <cell r="A9979">
            <v>43845</v>
          </cell>
        </row>
        <row r="9980">
          <cell r="A9980">
            <v>43832</v>
          </cell>
        </row>
        <row r="9981">
          <cell r="A9981">
            <v>43590</v>
          </cell>
        </row>
        <row r="9982">
          <cell r="A9982">
            <v>43349</v>
          </cell>
        </row>
        <row r="9983">
          <cell r="A9983">
            <v>43670</v>
          </cell>
        </row>
        <row r="9984">
          <cell r="A9984">
            <v>43324</v>
          </cell>
        </row>
        <row r="9985">
          <cell r="A9985">
            <v>43822</v>
          </cell>
        </row>
        <row r="9986">
          <cell r="A9986">
            <v>43565</v>
          </cell>
        </row>
        <row r="9987">
          <cell r="A9987">
            <v>43220</v>
          </cell>
        </row>
        <row r="9988">
          <cell r="A9988">
            <v>43273</v>
          </cell>
        </row>
        <row r="9989">
          <cell r="A9989">
            <v>43293</v>
          </cell>
        </row>
        <row r="9990">
          <cell r="A9990">
            <v>43512</v>
          </cell>
        </row>
        <row r="9991">
          <cell r="A9991">
            <v>43789</v>
          </cell>
        </row>
        <row r="9992">
          <cell r="A9992">
            <v>43603</v>
          </cell>
        </row>
        <row r="9993">
          <cell r="A9993">
            <v>43341</v>
          </cell>
        </row>
        <row r="9994">
          <cell r="A9994">
            <v>43880</v>
          </cell>
        </row>
        <row r="9995">
          <cell r="A9995">
            <v>43858</v>
          </cell>
        </row>
        <row r="9996">
          <cell r="A9996">
            <v>43210</v>
          </cell>
        </row>
        <row r="9997">
          <cell r="A9997">
            <v>43370</v>
          </cell>
        </row>
        <row r="9998">
          <cell r="A9998">
            <v>43870</v>
          </cell>
        </row>
        <row r="9999">
          <cell r="A9999">
            <v>43467</v>
          </cell>
        </row>
        <row r="10000">
          <cell r="A10000">
            <v>43662</v>
          </cell>
        </row>
        <row r="10001">
          <cell r="A10001">
            <v>43477</v>
          </cell>
        </row>
        <row r="10002">
          <cell r="A10002">
            <v>43606</v>
          </cell>
        </row>
        <row r="10003">
          <cell r="A10003">
            <v>43640</v>
          </cell>
        </row>
        <row r="10004">
          <cell r="A10004">
            <v>43426</v>
          </cell>
        </row>
        <row r="10005">
          <cell r="A10005">
            <v>43661</v>
          </cell>
        </row>
        <row r="10006">
          <cell r="A10006">
            <v>43590</v>
          </cell>
        </row>
        <row r="10007">
          <cell r="A10007">
            <v>43457</v>
          </cell>
        </row>
        <row r="10008">
          <cell r="A10008">
            <v>43609</v>
          </cell>
        </row>
        <row r="10009">
          <cell r="A10009">
            <v>43226</v>
          </cell>
        </row>
        <row r="10010">
          <cell r="A10010">
            <v>43788</v>
          </cell>
        </row>
        <row r="10011">
          <cell r="A10011">
            <v>43271</v>
          </cell>
        </row>
        <row r="10012">
          <cell r="A10012">
            <v>43442</v>
          </cell>
        </row>
        <row r="10013">
          <cell r="A10013">
            <v>43874</v>
          </cell>
        </row>
        <row r="10014">
          <cell r="A10014">
            <v>43341</v>
          </cell>
        </row>
        <row r="10015">
          <cell r="A10015">
            <v>43628</v>
          </cell>
        </row>
        <row r="10016">
          <cell r="A10016">
            <v>43918</v>
          </cell>
        </row>
        <row r="10017">
          <cell r="A10017">
            <v>43333</v>
          </cell>
        </row>
        <row r="10018">
          <cell r="A10018">
            <v>43464</v>
          </cell>
        </row>
        <row r="10019">
          <cell r="A10019">
            <v>43695</v>
          </cell>
        </row>
        <row r="10020">
          <cell r="A10020">
            <v>43471</v>
          </cell>
        </row>
        <row r="10021">
          <cell r="A10021">
            <v>43402</v>
          </cell>
        </row>
        <row r="10022">
          <cell r="A10022">
            <v>43810</v>
          </cell>
        </row>
        <row r="10023">
          <cell r="A10023">
            <v>43631</v>
          </cell>
        </row>
        <row r="10024">
          <cell r="A10024">
            <v>43334</v>
          </cell>
        </row>
        <row r="10025">
          <cell r="A10025">
            <v>43312</v>
          </cell>
        </row>
        <row r="10026">
          <cell r="A10026">
            <v>43116</v>
          </cell>
        </row>
        <row r="10027">
          <cell r="A10027">
            <v>43736</v>
          </cell>
        </row>
        <row r="10028">
          <cell r="A10028">
            <v>43826</v>
          </cell>
        </row>
        <row r="10029">
          <cell r="A10029">
            <v>43635</v>
          </cell>
        </row>
        <row r="10030">
          <cell r="A10030">
            <v>43802</v>
          </cell>
        </row>
        <row r="10031">
          <cell r="A10031">
            <v>43138</v>
          </cell>
        </row>
        <row r="10032">
          <cell r="A10032">
            <v>43139</v>
          </cell>
        </row>
        <row r="10033">
          <cell r="A10033">
            <v>43396</v>
          </cell>
        </row>
        <row r="10034">
          <cell r="A10034">
            <v>43267</v>
          </cell>
        </row>
        <row r="10035">
          <cell r="A10035">
            <v>43349</v>
          </cell>
        </row>
        <row r="10036">
          <cell r="A10036">
            <v>43303</v>
          </cell>
        </row>
        <row r="10037">
          <cell r="A10037">
            <v>43841</v>
          </cell>
        </row>
        <row r="10038">
          <cell r="A10038">
            <v>43348</v>
          </cell>
        </row>
        <row r="10039">
          <cell r="A10039">
            <v>43276</v>
          </cell>
        </row>
        <row r="10040">
          <cell r="A10040">
            <v>43523</v>
          </cell>
        </row>
        <row r="10041">
          <cell r="A10041">
            <v>43643</v>
          </cell>
        </row>
        <row r="10042">
          <cell r="A10042">
            <v>43517</v>
          </cell>
        </row>
        <row r="10043">
          <cell r="A10043">
            <v>43846</v>
          </cell>
        </row>
        <row r="10044">
          <cell r="A10044">
            <v>43775</v>
          </cell>
        </row>
        <row r="10045">
          <cell r="A10045">
            <v>43727</v>
          </cell>
        </row>
        <row r="10046">
          <cell r="A10046">
            <v>43486</v>
          </cell>
        </row>
        <row r="10047">
          <cell r="A10047">
            <v>43482</v>
          </cell>
        </row>
        <row r="10048">
          <cell r="A10048">
            <v>43308</v>
          </cell>
        </row>
        <row r="10049">
          <cell r="A10049">
            <v>43559</v>
          </cell>
        </row>
        <row r="10050">
          <cell r="A10050">
            <v>43120</v>
          </cell>
        </row>
        <row r="10051">
          <cell r="A10051">
            <v>43628</v>
          </cell>
        </row>
        <row r="10052">
          <cell r="A10052">
            <v>43592</v>
          </cell>
        </row>
        <row r="10053">
          <cell r="A10053">
            <v>43429</v>
          </cell>
        </row>
        <row r="10054">
          <cell r="A10054">
            <v>43732</v>
          </cell>
        </row>
        <row r="10055">
          <cell r="A10055">
            <v>43641</v>
          </cell>
        </row>
        <row r="10056">
          <cell r="A10056">
            <v>43114</v>
          </cell>
        </row>
        <row r="10057">
          <cell r="A10057">
            <v>43194</v>
          </cell>
        </row>
        <row r="10058">
          <cell r="A10058">
            <v>43898</v>
          </cell>
        </row>
        <row r="10059">
          <cell r="A10059">
            <v>43126</v>
          </cell>
        </row>
        <row r="10060">
          <cell r="A10060">
            <v>43782</v>
          </cell>
        </row>
        <row r="10061">
          <cell r="A10061">
            <v>43751</v>
          </cell>
        </row>
        <row r="10062">
          <cell r="A10062">
            <v>43495</v>
          </cell>
        </row>
        <row r="10063">
          <cell r="A10063">
            <v>43595</v>
          </cell>
        </row>
        <row r="10064">
          <cell r="A10064">
            <v>43564</v>
          </cell>
        </row>
        <row r="10065">
          <cell r="A10065">
            <v>43640</v>
          </cell>
        </row>
        <row r="10066">
          <cell r="A10066">
            <v>43543</v>
          </cell>
        </row>
        <row r="10067">
          <cell r="A10067">
            <v>43330</v>
          </cell>
        </row>
        <row r="10068">
          <cell r="A10068">
            <v>43325</v>
          </cell>
        </row>
        <row r="10069">
          <cell r="A10069">
            <v>43185</v>
          </cell>
        </row>
        <row r="10070">
          <cell r="A10070">
            <v>43543</v>
          </cell>
        </row>
        <row r="10071">
          <cell r="A10071">
            <v>43484</v>
          </cell>
        </row>
        <row r="10072">
          <cell r="A10072">
            <v>43590</v>
          </cell>
        </row>
        <row r="10073">
          <cell r="A10073">
            <v>43344</v>
          </cell>
        </row>
        <row r="10074">
          <cell r="A10074">
            <v>43828</v>
          </cell>
        </row>
        <row r="10075">
          <cell r="A10075">
            <v>43674</v>
          </cell>
        </row>
        <row r="10076">
          <cell r="A10076">
            <v>43811</v>
          </cell>
        </row>
        <row r="10077">
          <cell r="A10077">
            <v>43549</v>
          </cell>
        </row>
        <row r="10078">
          <cell r="A10078">
            <v>43107</v>
          </cell>
        </row>
        <row r="10079">
          <cell r="A10079">
            <v>43768</v>
          </cell>
        </row>
        <row r="10080">
          <cell r="A10080">
            <v>43596</v>
          </cell>
        </row>
        <row r="10081">
          <cell r="A10081">
            <v>43915</v>
          </cell>
        </row>
        <row r="10082">
          <cell r="A10082">
            <v>43794</v>
          </cell>
        </row>
        <row r="10083">
          <cell r="A10083">
            <v>43338</v>
          </cell>
        </row>
        <row r="10084">
          <cell r="A10084">
            <v>43562</v>
          </cell>
        </row>
        <row r="10085">
          <cell r="A10085">
            <v>43419</v>
          </cell>
        </row>
        <row r="10086">
          <cell r="A10086">
            <v>43164</v>
          </cell>
        </row>
        <row r="10087">
          <cell r="A10087">
            <v>43477</v>
          </cell>
        </row>
        <row r="10088">
          <cell r="A10088">
            <v>43481</v>
          </cell>
        </row>
        <row r="10089">
          <cell r="A10089">
            <v>43748</v>
          </cell>
        </row>
        <row r="10090">
          <cell r="A10090">
            <v>43249</v>
          </cell>
        </row>
        <row r="10091">
          <cell r="A10091">
            <v>43776</v>
          </cell>
        </row>
        <row r="10092">
          <cell r="A10092">
            <v>43331</v>
          </cell>
        </row>
        <row r="10093">
          <cell r="A10093">
            <v>43684</v>
          </cell>
        </row>
        <row r="10094">
          <cell r="A10094">
            <v>43682</v>
          </cell>
        </row>
        <row r="10095">
          <cell r="A10095">
            <v>43870</v>
          </cell>
        </row>
        <row r="10096">
          <cell r="A10096">
            <v>43262</v>
          </cell>
        </row>
        <row r="10097">
          <cell r="A10097">
            <v>43370</v>
          </cell>
        </row>
        <row r="10098">
          <cell r="A10098">
            <v>43342</v>
          </cell>
        </row>
        <row r="10099">
          <cell r="A10099">
            <v>43808</v>
          </cell>
        </row>
        <row r="10100">
          <cell r="A10100">
            <v>43743</v>
          </cell>
        </row>
        <row r="10101">
          <cell r="A10101">
            <v>43902</v>
          </cell>
        </row>
        <row r="10102">
          <cell r="A10102">
            <v>43432</v>
          </cell>
        </row>
        <row r="10103">
          <cell r="A10103">
            <v>43210</v>
          </cell>
        </row>
        <row r="10104">
          <cell r="A10104">
            <v>43607</v>
          </cell>
        </row>
        <row r="10105">
          <cell r="A10105">
            <v>43507</v>
          </cell>
        </row>
        <row r="10106">
          <cell r="A10106">
            <v>43304</v>
          </cell>
        </row>
        <row r="10107">
          <cell r="A10107">
            <v>43873</v>
          </cell>
        </row>
        <row r="10108">
          <cell r="A10108">
            <v>43586</v>
          </cell>
        </row>
        <row r="10109">
          <cell r="A10109">
            <v>43912</v>
          </cell>
        </row>
        <row r="10110">
          <cell r="A10110">
            <v>43541</v>
          </cell>
        </row>
        <row r="10111">
          <cell r="A10111">
            <v>43330</v>
          </cell>
        </row>
        <row r="10112">
          <cell r="A10112">
            <v>43267</v>
          </cell>
        </row>
        <row r="10113">
          <cell r="A10113">
            <v>43544</v>
          </cell>
        </row>
        <row r="10114">
          <cell r="A10114">
            <v>43381</v>
          </cell>
        </row>
        <row r="10115">
          <cell r="A10115">
            <v>43746</v>
          </cell>
        </row>
        <row r="10116">
          <cell r="A10116">
            <v>43782</v>
          </cell>
        </row>
        <row r="10117">
          <cell r="A10117">
            <v>43890</v>
          </cell>
        </row>
        <row r="10118">
          <cell r="A10118">
            <v>43559</v>
          </cell>
        </row>
        <row r="10119">
          <cell r="A10119">
            <v>43814</v>
          </cell>
        </row>
        <row r="10120">
          <cell r="A10120">
            <v>43630</v>
          </cell>
        </row>
        <row r="10121">
          <cell r="A10121">
            <v>43856</v>
          </cell>
        </row>
        <row r="10122">
          <cell r="A10122">
            <v>43889</v>
          </cell>
        </row>
        <row r="10123">
          <cell r="A10123">
            <v>43106</v>
          </cell>
        </row>
        <row r="10124">
          <cell r="A10124">
            <v>43680</v>
          </cell>
        </row>
        <row r="10125">
          <cell r="A10125">
            <v>43388</v>
          </cell>
        </row>
        <row r="10126">
          <cell r="A10126">
            <v>43893</v>
          </cell>
        </row>
        <row r="10127">
          <cell r="A10127">
            <v>43710</v>
          </cell>
        </row>
        <row r="10128">
          <cell r="A10128">
            <v>43421</v>
          </cell>
        </row>
        <row r="10129">
          <cell r="A10129">
            <v>43785</v>
          </cell>
        </row>
        <row r="10130">
          <cell r="A10130">
            <v>43706</v>
          </cell>
        </row>
        <row r="10131">
          <cell r="A10131">
            <v>43747</v>
          </cell>
        </row>
        <row r="10132">
          <cell r="A10132">
            <v>43724</v>
          </cell>
        </row>
        <row r="10133">
          <cell r="A10133">
            <v>43127</v>
          </cell>
        </row>
        <row r="10134">
          <cell r="A10134">
            <v>43385</v>
          </cell>
        </row>
        <row r="10135">
          <cell r="A10135">
            <v>43868</v>
          </cell>
        </row>
        <row r="10136">
          <cell r="A10136">
            <v>43162</v>
          </cell>
        </row>
        <row r="10137">
          <cell r="A10137">
            <v>43695</v>
          </cell>
        </row>
        <row r="10138">
          <cell r="A10138">
            <v>43494</v>
          </cell>
        </row>
        <row r="10139">
          <cell r="A10139">
            <v>43777</v>
          </cell>
        </row>
        <row r="10140">
          <cell r="A10140">
            <v>43539</v>
          </cell>
        </row>
        <row r="10141">
          <cell r="A10141">
            <v>43327</v>
          </cell>
        </row>
        <row r="10142">
          <cell r="A10142">
            <v>43395</v>
          </cell>
        </row>
        <row r="10143">
          <cell r="A10143">
            <v>43791</v>
          </cell>
        </row>
        <row r="10144">
          <cell r="A10144">
            <v>43135</v>
          </cell>
        </row>
        <row r="10145">
          <cell r="A10145">
            <v>43154</v>
          </cell>
        </row>
        <row r="10146">
          <cell r="A10146">
            <v>43218</v>
          </cell>
        </row>
        <row r="10147">
          <cell r="A10147">
            <v>43522</v>
          </cell>
        </row>
        <row r="10148">
          <cell r="A10148">
            <v>43209</v>
          </cell>
        </row>
        <row r="10149">
          <cell r="A10149">
            <v>43847</v>
          </cell>
        </row>
        <row r="10150">
          <cell r="A10150">
            <v>43503</v>
          </cell>
        </row>
        <row r="10151">
          <cell r="A10151">
            <v>43754</v>
          </cell>
        </row>
        <row r="10152">
          <cell r="A10152">
            <v>43659</v>
          </cell>
        </row>
        <row r="10153">
          <cell r="A10153">
            <v>43528</v>
          </cell>
        </row>
        <row r="10154">
          <cell r="A10154">
            <v>43344</v>
          </cell>
        </row>
        <row r="10155">
          <cell r="A10155">
            <v>43222</v>
          </cell>
        </row>
        <row r="10156">
          <cell r="A10156">
            <v>43118</v>
          </cell>
        </row>
        <row r="10157">
          <cell r="A10157">
            <v>43812</v>
          </cell>
        </row>
        <row r="10158">
          <cell r="A10158">
            <v>43840</v>
          </cell>
        </row>
        <row r="10159">
          <cell r="A10159">
            <v>43813</v>
          </cell>
        </row>
        <row r="10160">
          <cell r="A10160">
            <v>43546</v>
          </cell>
        </row>
        <row r="10161">
          <cell r="A10161">
            <v>43171</v>
          </cell>
        </row>
        <row r="10162">
          <cell r="A10162">
            <v>43307</v>
          </cell>
        </row>
        <row r="10163">
          <cell r="A10163">
            <v>43876</v>
          </cell>
        </row>
        <row r="10164">
          <cell r="A10164">
            <v>43325</v>
          </cell>
        </row>
        <row r="10165">
          <cell r="A10165">
            <v>43639</v>
          </cell>
        </row>
        <row r="10166">
          <cell r="A10166">
            <v>43391</v>
          </cell>
        </row>
        <row r="10167">
          <cell r="A10167">
            <v>43364</v>
          </cell>
        </row>
        <row r="10168">
          <cell r="A10168">
            <v>43828</v>
          </cell>
        </row>
        <row r="10169">
          <cell r="A10169">
            <v>43257</v>
          </cell>
        </row>
        <row r="10170">
          <cell r="A10170">
            <v>43549</v>
          </cell>
        </row>
        <row r="10171">
          <cell r="A10171">
            <v>43103</v>
          </cell>
        </row>
        <row r="10172">
          <cell r="A10172">
            <v>43136</v>
          </cell>
        </row>
        <row r="10173">
          <cell r="A10173">
            <v>43133</v>
          </cell>
        </row>
        <row r="10174">
          <cell r="A10174">
            <v>43136</v>
          </cell>
        </row>
        <row r="10175">
          <cell r="A10175">
            <v>43195</v>
          </cell>
        </row>
        <row r="10176">
          <cell r="A10176">
            <v>43157</v>
          </cell>
        </row>
        <row r="10177">
          <cell r="A10177">
            <v>43823</v>
          </cell>
        </row>
        <row r="10178">
          <cell r="A10178">
            <v>43153</v>
          </cell>
        </row>
        <row r="10179">
          <cell r="A10179">
            <v>43858</v>
          </cell>
        </row>
        <row r="10180">
          <cell r="A10180">
            <v>43196</v>
          </cell>
        </row>
        <row r="10181">
          <cell r="A10181">
            <v>43480</v>
          </cell>
        </row>
        <row r="10182">
          <cell r="A10182">
            <v>43259</v>
          </cell>
        </row>
        <row r="10183">
          <cell r="A10183">
            <v>43917</v>
          </cell>
        </row>
        <row r="10184">
          <cell r="A10184">
            <v>43666</v>
          </cell>
        </row>
        <row r="10185">
          <cell r="A10185">
            <v>43620</v>
          </cell>
        </row>
        <row r="10186">
          <cell r="A10186">
            <v>43812</v>
          </cell>
        </row>
        <row r="10187">
          <cell r="A10187">
            <v>43303</v>
          </cell>
        </row>
        <row r="10188">
          <cell r="A10188">
            <v>43616</v>
          </cell>
        </row>
        <row r="10189">
          <cell r="A10189">
            <v>43680</v>
          </cell>
        </row>
        <row r="10190">
          <cell r="A10190">
            <v>43310</v>
          </cell>
        </row>
        <row r="10191">
          <cell r="A10191">
            <v>43885</v>
          </cell>
        </row>
        <row r="10192">
          <cell r="A10192">
            <v>43566</v>
          </cell>
        </row>
        <row r="10193">
          <cell r="A10193">
            <v>43389</v>
          </cell>
        </row>
        <row r="10194">
          <cell r="A10194">
            <v>43782</v>
          </cell>
        </row>
        <row r="10195">
          <cell r="A10195">
            <v>43113</v>
          </cell>
        </row>
        <row r="10196">
          <cell r="A10196">
            <v>43515</v>
          </cell>
        </row>
        <row r="10197">
          <cell r="A10197">
            <v>43399</v>
          </cell>
        </row>
        <row r="10198">
          <cell r="A10198">
            <v>43744</v>
          </cell>
        </row>
        <row r="10199">
          <cell r="A10199">
            <v>43349</v>
          </cell>
        </row>
        <row r="10200">
          <cell r="A10200">
            <v>43732</v>
          </cell>
        </row>
        <row r="10201">
          <cell r="A10201">
            <v>43502</v>
          </cell>
        </row>
        <row r="10202">
          <cell r="A10202">
            <v>43812</v>
          </cell>
        </row>
        <row r="10203">
          <cell r="A10203">
            <v>43828</v>
          </cell>
        </row>
        <row r="10204">
          <cell r="A10204">
            <v>43571</v>
          </cell>
        </row>
        <row r="10205">
          <cell r="A10205">
            <v>43604</v>
          </cell>
        </row>
        <row r="10206">
          <cell r="A10206">
            <v>43416</v>
          </cell>
        </row>
        <row r="10207">
          <cell r="A10207">
            <v>43785</v>
          </cell>
        </row>
        <row r="10208">
          <cell r="A10208">
            <v>43711</v>
          </cell>
        </row>
        <row r="10209">
          <cell r="A10209">
            <v>43132</v>
          </cell>
        </row>
        <row r="10210">
          <cell r="A10210">
            <v>43864</v>
          </cell>
        </row>
        <row r="10211">
          <cell r="A10211">
            <v>43345</v>
          </cell>
        </row>
        <row r="10212">
          <cell r="A10212">
            <v>43420</v>
          </cell>
        </row>
        <row r="10213">
          <cell r="A10213">
            <v>43267</v>
          </cell>
        </row>
        <row r="10214">
          <cell r="A10214">
            <v>43177</v>
          </cell>
        </row>
        <row r="10215">
          <cell r="A10215">
            <v>43859</v>
          </cell>
        </row>
        <row r="10216">
          <cell r="A10216">
            <v>43750</v>
          </cell>
        </row>
        <row r="10217">
          <cell r="A10217">
            <v>43312</v>
          </cell>
        </row>
        <row r="10218">
          <cell r="A10218">
            <v>43436</v>
          </cell>
        </row>
        <row r="10219">
          <cell r="A10219">
            <v>43296</v>
          </cell>
        </row>
        <row r="10220">
          <cell r="A10220">
            <v>43784</v>
          </cell>
        </row>
        <row r="10221">
          <cell r="A10221">
            <v>43279</v>
          </cell>
        </row>
        <row r="10222">
          <cell r="A10222">
            <v>43366</v>
          </cell>
        </row>
        <row r="10223">
          <cell r="A10223">
            <v>43375</v>
          </cell>
        </row>
        <row r="10224">
          <cell r="A10224">
            <v>43121</v>
          </cell>
        </row>
        <row r="10225">
          <cell r="A10225">
            <v>43205</v>
          </cell>
        </row>
        <row r="10226">
          <cell r="A10226">
            <v>43237</v>
          </cell>
        </row>
        <row r="10227">
          <cell r="A10227">
            <v>43728</v>
          </cell>
        </row>
        <row r="10228">
          <cell r="A10228">
            <v>43434</v>
          </cell>
        </row>
        <row r="10229">
          <cell r="A10229">
            <v>43556</v>
          </cell>
        </row>
        <row r="10230">
          <cell r="A10230">
            <v>43809</v>
          </cell>
        </row>
        <row r="10231">
          <cell r="A10231">
            <v>43527</v>
          </cell>
        </row>
        <row r="10232">
          <cell r="A10232">
            <v>43525</v>
          </cell>
        </row>
        <row r="10233">
          <cell r="A10233">
            <v>43191</v>
          </cell>
        </row>
        <row r="10234">
          <cell r="A10234">
            <v>43793</v>
          </cell>
        </row>
        <row r="10235">
          <cell r="A10235">
            <v>43676</v>
          </cell>
        </row>
        <row r="10236">
          <cell r="A10236">
            <v>43417</v>
          </cell>
        </row>
        <row r="10237">
          <cell r="A10237">
            <v>43307</v>
          </cell>
        </row>
        <row r="10238">
          <cell r="A10238">
            <v>43156</v>
          </cell>
        </row>
        <row r="10239">
          <cell r="A10239">
            <v>43586</v>
          </cell>
        </row>
        <row r="10240">
          <cell r="A10240">
            <v>43591</v>
          </cell>
        </row>
        <row r="10241">
          <cell r="A10241">
            <v>43640</v>
          </cell>
        </row>
        <row r="10242">
          <cell r="A10242">
            <v>43410</v>
          </cell>
        </row>
        <row r="10243">
          <cell r="A10243">
            <v>43920</v>
          </cell>
        </row>
        <row r="10244">
          <cell r="A10244">
            <v>43838</v>
          </cell>
        </row>
        <row r="10245">
          <cell r="A10245">
            <v>43617</v>
          </cell>
        </row>
        <row r="10246">
          <cell r="A10246">
            <v>43773</v>
          </cell>
        </row>
        <row r="10247">
          <cell r="A10247">
            <v>43332</v>
          </cell>
        </row>
        <row r="10248">
          <cell r="A10248">
            <v>43326</v>
          </cell>
        </row>
        <row r="10249">
          <cell r="A10249">
            <v>43534</v>
          </cell>
        </row>
        <row r="10250">
          <cell r="A10250">
            <v>43801</v>
          </cell>
        </row>
        <row r="10251">
          <cell r="A10251">
            <v>43668</v>
          </cell>
        </row>
        <row r="10252">
          <cell r="A10252">
            <v>43693</v>
          </cell>
        </row>
        <row r="10253">
          <cell r="A10253">
            <v>43193</v>
          </cell>
        </row>
        <row r="10254">
          <cell r="A10254">
            <v>43805</v>
          </cell>
        </row>
        <row r="10255">
          <cell r="A10255">
            <v>43251</v>
          </cell>
        </row>
        <row r="10256">
          <cell r="A10256">
            <v>43782</v>
          </cell>
        </row>
        <row r="10257">
          <cell r="A10257">
            <v>43825</v>
          </cell>
        </row>
        <row r="10258">
          <cell r="A10258">
            <v>43791</v>
          </cell>
        </row>
        <row r="10259">
          <cell r="A10259">
            <v>43445</v>
          </cell>
        </row>
        <row r="10260">
          <cell r="A10260">
            <v>43632</v>
          </cell>
        </row>
        <row r="10261">
          <cell r="A10261">
            <v>43485</v>
          </cell>
        </row>
        <row r="10262">
          <cell r="A10262">
            <v>43350</v>
          </cell>
        </row>
        <row r="10263">
          <cell r="A10263">
            <v>43367</v>
          </cell>
        </row>
        <row r="10264">
          <cell r="A10264">
            <v>43167</v>
          </cell>
        </row>
        <row r="10265">
          <cell r="A10265">
            <v>43549</v>
          </cell>
        </row>
        <row r="10266">
          <cell r="A10266">
            <v>43573</v>
          </cell>
        </row>
        <row r="10267">
          <cell r="A10267">
            <v>43103</v>
          </cell>
        </row>
        <row r="10268">
          <cell r="A10268">
            <v>43320</v>
          </cell>
        </row>
        <row r="10269">
          <cell r="A10269">
            <v>43559</v>
          </cell>
        </row>
        <row r="10270">
          <cell r="A10270">
            <v>43677</v>
          </cell>
        </row>
        <row r="10271">
          <cell r="A10271">
            <v>43829</v>
          </cell>
        </row>
        <row r="10272">
          <cell r="A10272">
            <v>43473</v>
          </cell>
        </row>
        <row r="10273">
          <cell r="A10273">
            <v>43178</v>
          </cell>
        </row>
        <row r="10274">
          <cell r="A10274">
            <v>43735</v>
          </cell>
        </row>
        <row r="10275">
          <cell r="A10275">
            <v>43726</v>
          </cell>
        </row>
        <row r="10276">
          <cell r="A10276">
            <v>43229</v>
          </cell>
        </row>
        <row r="10277">
          <cell r="A10277">
            <v>43149</v>
          </cell>
        </row>
        <row r="10278">
          <cell r="A10278">
            <v>43275</v>
          </cell>
        </row>
        <row r="10279">
          <cell r="A10279">
            <v>43513</v>
          </cell>
        </row>
        <row r="10280">
          <cell r="A10280">
            <v>43181</v>
          </cell>
        </row>
        <row r="10281">
          <cell r="A10281">
            <v>43601</v>
          </cell>
        </row>
        <row r="10282">
          <cell r="A10282">
            <v>43134</v>
          </cell>
        </row>
        <row r="10283">
          <cell r="A10283">
            <v>43405</v>
          </cell>
        </row>
        <row r="10284">
          <cell r="A10284">
            <v>43507</v>
          </cell>
        </row>
        <row r="10285">
          <cell r="A10285">
            <v>43385</v>
          </cell>
        </row>
        <row r="10286">
          <cell r="A10286">
            <v>43574</v>
          </cell>
        </row>
        <row r="10287">
          <cell r="A10287">
            <v>43828</v>
          </cell>
        </row>
        <row r="10288">
          <cell r="A10288">
            <v>43252</v>
          </cell>
        </row>
        <row r="10289">
          <cell r="A10289">
            <v>43653</v>
          </cell>
        </row>
        <row r="10290">
          <cell r="A10290">
            <v>43814</v>
          </cell>
        </row>
        <row r="10291">
          <cell r="A10291">
            <v>43646</v>
          </cell>
        </row>
        <row r="10292">
          <cell r="A10292">
            <v>43575</v>
          </cell>
        </row>
        <row r="10293">
          <cell r="A10293">
            <v>43449</v>
          </cell>
        </row>
        <row r="10294">
          <cell r="A10294">
            <v>43571</v>
          </cell>
        </row>
        <row r="10295">
          <cell r="A10295">
            <v>43744</v>
          </cell>
        </row>
        <row r="10296">
          <cell r="A10296">
            <v>43164</v>
          </cell>
        </row>
        <row r="10297">
          <cell r="A10297">
            <v>43487</v>
          </cell>
        </row>
        <row r="10298">
          <cell r="A10298">
            <v>43701</v>
          </cell>
        </row>
        <row r="10299">
          <cell r="A10299">
            <v>43860</v>
          </cell>
        </row>
        <row r="10300">
          <cell r="A10300">
            <v>43229</v>
          </cell>
        </row>
        <row r="10301">
          <cell r="A10301">
            <v>43109</v>
          </cell>
        </row>
        <row r="10302">
          <cell r="A10302">
            <v>43903</v>
          </cell>
        </row>
        <row r="10303">
          <cell r="A10303">
            <v>43169</v>
          </cell>
        </row>
        <row r="10304">
          <cell r="A10304">
            <v>43843</v>
          </cell>
        </row>
        <row r="10305">
          <cell r="A10305">
            <v>43518</v>
          </cell>
        </row>
        <row r="10306">
          <cell r="A10306">
            <v>43329</v>
          </cell>
        </row>
        <row r="10307">
          <cell r="A10307">
            <v>43646</v>
          </cell>
        </row>
        <row r="10308">
          <cell r="A10308">
            <v>43299</v>
          </cell>
        </row>
        <row r="10309">
          <cell r="A10309">
            <v>43385</v>
          </cell>
        </row>
        <row r="10310">
          <cell r="A10310">
            <v>43326</v>
          </cell>
        </row>
        <row r="10311">
          <cell r="A10311">
            <v>43877</v>
          </cell>
        </row>
        <row r="10312">
          <cell r="A10312">
            <v>43268</v>
          </cell>
        </row>
        <row r="10313">
          <cell r="A10313">
            <v>43545</v>
          </cell>
        </row>
        <row r="10314">
          <cell r="A10314">
            <v>43658</v>
          </cell>
        </row>
        <row r="10315">
          <cell r="A10315">
            <v>43328</v>
          </cell>
        </row>
        <row r="10316">
          <cell r="A10316">
            <v>43561</v>
          </cell>
        </row>
        <row r="10317">
          <cell r="A10317">
            <v>43547</v>
          </cell>
        </row>
        <row r="10318">
          <cell r="A10318">
            <v>43660</v>
          </cell>
        </row>
        <row r="10319">
          <cell r="A10319">
            <v>43586</v>
          </cell>
        </row>
        <row r="10320">
          <cell r="A10320">
            <v>43363</v>
          </cell>
        </row>
        <row r="10321">
          <cell r="A10321">
            <v>43476</v>
          </cell>
        </row>
        <row r="10322">
          <cell r="A10322">
            <v>43345</v>
          </cell>
        </row>
        <row r="10323">
          <cell r="A10323">
            <v>43803</v>
          </cell>
        </row>
        <row r="10324">
          <cell r="A10324">
            <v>43402</v>
          </cell>
        </row>
        <row r="10325">
          <cell r="A10325">
            <v>43405</v>
          </cell>
        </row>
        <row r="10326">
          <cell r="A10326">
            <v>43270</v>
          </cell>
        </row>
        <row r="10327">
          <cell r="A10327">
            <v>43819</v>
          </cell>
        </row>
        <row r="10328">
          <cell r="A10328">
            <v>43738</v>
          </cell>
        </row>
        <row r="10329">
          <cell r="A10329">
            <v>43450</v>
          </cell>
        </row>
        <row r="10330">
          <cell r="A10330">
            <v>43246</v>
          </cell>
        </row>
        <row r="10331">
          <cell r="A10331">
            <v>43428</v>
          </cell>
        </row>
        <row r="10332">
          <cell r="A10332">
            <v>43423</v>
          </cell>
        </row>
        <row r="10333">
          <cell r="A10333">
            <v>43713</v>
          </cell>
        </row>
        <row r="10334">
          <cell r="A10334">
            <v>43795</v>
          </cell>
        </row>
        <row r="10335">
          <cell r="A10335">
            <v>43701</v>
          </cell>
        </row>
        <row r="10336">
          <cell r="A10336">
            <v>43883</v>
          </cell>
        </row>
        <row r="10337">
          <cell r="A10337">
            <v>43409</v>
          </cell>
        </row>
        <row r="10338">
          <cell r="A10338">
            <v>43154</v>
          </cell>
        </row>
        <row r="10339">
          <cell r="A10339">
            <v>43667</v>
          </cell>
        </row>
        <row r="10340">
          <cell r="A10340">
            <v>43704</v>
          </cell>
        </row>
        <row r="10341">
          <cell r="A10341">
            <v>43903</v>
          </cell>
        </row>
        <row r="10342">
          <cell r="A10342">
            <v>43646</v>
          </cell>
        </row>
        <row r="10343">
          <cell r="A10343">
            <v>43560</v>
          </cell>
        </row>
        <row r="10344">
          <cell r="A10344">
            <v>43329</v>
          </cell>
        </row>
        <row r="10345">
          <cell r="A10345">
            <v>43619</v>
          </cell>
        </row>
        <row r="10346">
          <cell r="A10346">
            <v>43475</v>
          </cell>
        </row>
        <row r="10347">
          <cell r="A10347">
            <v>43717</v>
          </cell>
        </row>
        <row r="10348">
          <cell r="A10348">
            <v>43845</v>
          </cell>
        </row>
        <row r="10349">
          <cell r="A10349">
            <v>43399</v>
          </cell>
        </row>
        <row r="10350">
          <cell r="A10350">
            <v>43573</v>
          </cell>
        </row>
        <row r="10351">
          <cell r="A10351">
            <v>43529</v>
          </cell>
        </row>
        <row r="10352">
          <cell r="A10352">
            <v>43917</v>
          </cell>
        </row>
        <row r="10353">
          <cell r="A10353">
            <v>43502</v>
          </cell>
        </row>
        <row r="10354">
          <cell r="A10354">
            <v>43598</v>
          </cell>
        </row>
        <row r="10355">
          <cell r="A10355">
            <v>43561</v>
          </cell>
        </row>
        <row r="10356">
          <cell r="A10356">
            <v>43507</v>
          </cell>
        </row>
        <row r="10357">
          <cell r="A10357">
            <v>43343</v>
          </cell>
        </row>
        <row r="10358">
          <cell r="A10358">
            <v>43441</v>
          </cell>
        </row>
        <row r="10359">
          <cell r="A10359">
            <v>43109</v>
          </cell>
        </row>
        <row r="10360">
          <cell r="A10360">
            <v>43905</v>
          </cell>
        </row>
        <row r="10361">
          <cell r="A10361">
            <v>43400</v>
          </cell>
        </row>
        <row r="10362">
          <cell r="A10362">
            <v>43416</v>
          </cell>
        </row>
        <row r="10363">
          <cell r="A10363">
            <v>43142</v>
          </cell>
        </row>
        <row r="10364">
          <cell r="A10364">
            <v>43562</v>
          </cell>
        </row>
        <row r="10365">
          <cell r="A10365">
            <v>43117</v>
          </cell>
        </row>
        <row r="10366">
          <cell r="A10366">
            <v>43392</v>
          </cell>
        </row>
        <row r="10367">
          <cell r="A10367">
            <v>43465</v>
          </cell>
        </row>
        <row r="10368">
          <cell r="A10368">
            <v>43882</v>
          </cell>
        </row>
        <row r="10369">
          <cell r="A10369">
            <v>43367</v>
          </cell>
        </row>
        <row r="10370">
          <cell r="A10370">
            <v>43229</v>
          </cell>
        </row>
        <row r="10371">
          <cell r="A10371">
            <v>43503</v>
          </cell>
        </row>
        <row r="10372">
          <cell r="A10372">
            <v>43508</v>
          </cell>
        </row>
        <row r="10373">
          <cell r="A10373">
            <v>43514</v>
          </cell>
        </row>
        <row r="10374">
          <cell r="A10374">
            <v>43176</v>
          </cell>
        </row>
        <row r="10375">
          <cell r="A10375">
            <v>43726</v>
          </cell>
        </row>
        <row r="10376">
          <cell r="A10376">
            <v>43612</v>
          </cell>
        </row>
        <row r="10377">
          <cell r="A10377">
            <v>43408</v>
          </cell>
        </row>
        <row r="10378">
          <cell r="A10378">
            <v>43793</v>
          </cell>
        </row>
        <row r="10379">
          <cell r="A10379">
            <v>43530</v>
          </cell>
        </row>
        <row r="10380">
          <cell r="A10380">
            <v>43386</v>
          </cell>
        </row>
        <row r="10381">
          <cell r="A10381">
            <v>43140</v>
          </cell>
        </row>
        <row r="10382">
          <cell r="A10382">
            <v>43792</v>
          </cell>
        </row>
        <row r="10383">
          <cell r="A10383">
            <v>43404</v>
          </cell>
        </row>
        <row r="10384">
          <cell r="A10384">
            <v>43350</v>
          </cell>
        </row>
        <row r="10385">
          <cell r="A10385">
            <v>43657</v>
          </cell>
        </row>
        <row r="10386">
          <cell r="A10386">
            <v>43862</v>
          </cell>
        </row>
        <row r="10387">
          <cell r="A10387">
            <v>43321</v>
          </cell>
        </row>
        <row r="10388">
          <cell r="A10388">
            <v>43759</v>
          </cell>
        </row>
        <row r="10389">
          <cell r="A10389">
            <v>43747</v>
          </cell>
        </row>
        <row r="10390">
          <cell r="A10390">
            <v>43738</v>
          </cell>
        </row>
        <row r="10391">
          <cell r="A10391">
            <v>43852</v>
          </cell>
        </row>
        <row r="10392">
          <cell r="A10392">
            <v>43615</v>
          </cell>
        </row>
        <row r="10393">
          <cell r="A10393">
            <v>43258</v>
          </cell>
        </row>
        <row r="10394">
          <cell r="A10394">
            <v>43109</v>
          </cell>
        </row>
        <row r="10395">
          <cell r="A10395">
            <v>43420</v>
          </cell>
        </row>
        <row r="10396">
          <cell r="A10396">
            <v>43352</v>
          </cell>
        </row>
        <row r="10397">
          <cell r="A10397">
            <v>43389</v>
          </cell>
        </row>
        <row r="10398">
          <cell r="A10398">
            <v>43810</v>
          </cell>
        </row>
        <row r="10399">
          <cell r="A10399">
            <v>43416</v>
          </cell>
        </row>
        <row r="10400">
          <cell r="A10400">
            <v>43122</v>
          </cell>
        </row>
        <row r="10401">
          <cell r="A10401">
            <v>43303</v>
          </cell>
        </row>
        <row r="10402">
          <cell r="A10402">
            <v>43173</v>
          </cell>
        </row>
        <row r="10403">
          <cell r="A10403">
            <v>43567</v>
          </cell>
        </row>
        <row r="10404">
          <cell r="A10404">
            <v>43338</v>
          </cell>
        </row>
        <row r="10405">
          <cell r="A10405">
            <v>43908</v>
          </cell>
        </row>
        <row r="10406">
          <cell r="A10406">
            <v>43574</v>
          </cell>
        </row>
        <row r="10407">
          <cell r="A10407">
            <v>43710</v>
          </cell>
        </row>
        <row r="10408">
          <cell r="A10408">
            <v>43809</v>
          </cell>
        </row>
        <row r="10409">
          <cell r="A10409">
            <v>43378</v>
          </cell>
        </row>
        <row r="10410">
          <cell r="A10410">
            <v>43257</v>
          </cell>
        </row>
        <row r="10411">
          <cell r="A10411">
            <v>43174</v>
          </cell>
        </row>
        <row r="10412">
          <cell r="A10412">
            <v>43503</v>
          </cell>
        </row>
        <row r="10413">
          <cell r="A10413">
            <v>43716</v>
          </cell>
        </row>
        <row r="10414">
          <cell r="A10414">
            <v>43363</v>
          </cell>
        </row>
        <row r="10415">
          <cell r="A10415">
            <v>43297</v>
          </cell>
        </row>
        <row r="10416">
          <cell r="A10416">
            <v>43419</v>
          </cell>
        </row>
        <row r="10417">
          <cell r="A10417">
            <v>43658</v>
          </cell>
        </row>
        <row r="10418">
          <cell r="A10418">
            <v>43908</v>
          </cell>
        </row>
        <row r="10419">
          <cell r="A10419">
            <v>43498</v>
          </cell>
        </row>
        <row r="10420">
          <cell r="A10420">
            <v>43136</v>
          </cell>
        </row>
        <row r="10421">
          <cell r="A10421">
            <v>43919</v>
          </cell>
        </row>
        <row r="10422">
          <cell r="A10422">
            <v>43607</v>
          </cell>
        </row>
        <row r="10423">
          <cell r="A10423">
            <v>43115</v>
          </cell>
        </row>
        <row r="10424">
          <cell r="A10424">
            <v>43753</v>
          </cell>
        </row>
        <row r="10425">
          <cell r="A10425">
            <v>43809</v>
          </cell>
        </row>
        <row r="10426">
          <cell r="A10426">
            <v>43431</v>
          </cell>
        </row>
        <row r="10427">
          <cell r="A10427">
            <v>43710</v>
          </cell>
        </row>
        <row r="10428">
          <cell r="A10428">
            <v>43275</v>
          </cell>
        </row>
        <row r="10429">
          <cell r="A10429">
            <v>43667</v>
          </cell>
        </row>
        <row r="10430">
          <cell r="A10430">
            <v>43204</v>
          </cell>
        </row>
        <row r="10431">
          <cell r="A10431">
            <v>43295</v>
          </cell>
        </row>
        <row r="10432">
          <cell r="A10432">
            <v>43389</v>
          </cell>
        </row>
        <row r="10433">
          <cell r="A10433">
            <v>43275</v>
          </cell>
        </row>
        <row r="10434">
          <cell r="A10434">
            <v>43583</v>
          </cell>
        </row>
        <row r="10435">
          <cell r="A10435">
            <v>43592</v>
          </cell>
        </row>
        <row r="10436">
          <cell r="A10436">
            <v>43891</v>
          </cell>
        </row>
        <row r="10437">
          <cell r="A10437">
            <v>43758</v>
          </cell>
        </row>
        <row r="10438">
          <cell r="A10438">
            <v>43455</v>
          </cell>
        </row>
        <row r="10439">
          <cell r="A10439">
            <v>43842</v>
          </cell>
        </row>
        <row r="10440">
          <cell r="A10440">
            <v>43401</v>
          </cell>
        </row>
        <row r="10441">
          <cell r="A10441">
            <v>43425</v>
          </cell>
        </row>
        <row r="10442">
          <cell r="A10442">
            <v>43232</v>
          </cell>
        </row>
        <row r="10443">
          <cell r="A10443">
            <v>43452</v>
          </cell>
        </row>
        <row r="10444">
          <cell r="A10444">
            <v>43608</v>
          </cell>
        </row>
        <row r="10445">
          <cell r="A10445">
            <v>43214</v>
          </cell>
        </row>
        <row r="10446">
          <cell r="A10446">
            <v>43357</v>
          </cell>
        </row>
        <row r="10447">
          <cell r="A10447">
            <v>43221</v>
          </cell>
        </row>
        <row r="10448">
          <cell r="A10448">
            <v>43354</v>
          </cell>
        </row>
        <row r="10449">
          <cell r="A10449">
            <v>43242</v>
          </cell>
        </row>
        <row r="10450">
          <cell r="A10450">
            <v>43265</v>
          </cell>
        </row>
        <row r="10451">
          <cell r="A10451">
            <v>43267</v>
          </cell>
        </row>
        <row r="10452">
          <cell r="A10452">
            <v>43838</v>
          </cell>
        </row>
        <row r="10453">
          <cell r="A10453">
            <v>43353</v>
          </cell>
        </row>
        <row r="10454">
          <cell r="A10454">
            <v>43280</v>
          </cell>
        </row>
        <row r="10455">
          <cell r="A10455">
            <v>43870</v>
          </cell>
        </row>
        <row r="10456">
          <cell r="A10456">
            <v>43456</v>
          </cell>
        </row>
        <row r="10457">
          <cell r="A10457">
            <v>43839</v>
          </cell>
        </row>
        <row r="10458">
          <cell r="A10458">
            <v>43511</v>
          </cell>
        </row>
        <row r="10459">
          <cell r="A10459">
            <v>43499</v>
          </cell>
        </row>
        <row r="10460">
          <cell r="A10460">
            <v>43347</v>
          </cell>
        </row>
        <row r="10461">
          <cell r="A10461">
            <v>43147</v>
          </cell>
        </row>
        <row r="10462">
          <cell r="A10462">
            <v>43671</v>
          </cell>
        </row>
        <row r="10463">
          <cell r="A10463">
            <v>43406</v>
          </cell>
        </row>
        <row r="10464">
          <cell r="A10464">
            <v>43650</v>
          </cell>
        </row>
        <row r="10465">
          <cell r="A10465">
            <v>43436</v>
          </cell>
        </row>
        <row r="10466">
          <cell r="A10466">
            <v>43686</v>
          </cell>
        </row>
        <row r="10467">
          <cell r="A10467">
            <v>43141</v>
          </cell>
        </row>
        <row r="10468">
          <cell r="A10468">
            <v>43356</v>
          </cell>
        </row>
        <row r="10469">
          <cell r="A10469">
            <v>43161</v>
          </cell>
        </row>
        <row r="10470">
          <cell r="A10470">
            <v>43687</v>
          </cell>
        </row>
        <row r="10471">
          <cell r="A10471">
            <v>43442</v>
          </cell>
        </row>
        <row r="10472">
          <cell r="A10472">
            <v>43607</v>
          </cell>
        </row>
        <row r="10473">
          <cell r="A10473">
            <v>43217</v>
          </cell>
        </row>
        <row r="10474">
          <cell r="A10474">
            <v>43480</v>
          </cell>
        </row>
        <row r="10475">
          <cell r="A10475">
            <v>43498</v>
          </cell>
        </row>
        <row r="10476">
          <cell r="A10476">
            <v>43797</v>
          </cell>
        </row>
        <row r="10477">
          <cell r="A10477">
            <v>43608</v>
          </cell>
        </row>
        <row r="10478">
          <cell r="A10478">
            <v>43707</v>
          </cell>
        </row>
        <row r="10479">
          <cell r="A10479">
            <v>43260</v>
          </cell>
        </row>
        <row r="10480">
          <cell r="A10480">
            <v>43798</v>
          </cell>
        </row>
        <row r="10481">
          <cell r="A10481">
            <v>43214</v>
          </cell>
        </row>
        <row r="10482">
          <cell r="A10482">
            <v>43787</v>
          </cell>
        </row>
        <row r="10483">
          <cell r="A10483">
            <v>43462</v>
          </cell>
        </row>
        <row r="10484">
          <cell r="A10484">
            <v>43347</v>
          </cell>
        </row>
        <row r="10485">
          <cell r="A10485">
            <v>43243</v>
          </cell>
        </row>
        <row r="10486">
          <cell r="A10486">
            <v>43177</v>
          </cell>
        </row>
        <row r="10487">
          <cell r="A10487">
            <v>43748</v>
          </cell>
        </row>
        <row r="10488">
          <cell r="A10488">
            <v>43470</v>
          </cell>
        </row>
        <row r="10489">
          <cell r="A10489">
            <v>43533</v>
          </cell>
        </row>
        <row r="10490">
          <cell r="A10490">
            <v>43557</v>
          </cell>
        </row>
        <row r="10491">
          <cell r="A10491">
            <v>43302</v>
          </cell>
        </row>
        <row r="10492">
          <cell r="A10492">
            <v>43428</v>
          </cell>
        </row>
        <row r="10493">
          <cell r="A10493">
            <v>43759</v>
          </cell>
        </row>
        <row r="10494">
          <cell r="A10494">
            <v>43870</v>
          </cell>
        </row>
        <row r="10495">
          <cell r="A10495">
            <v>43763</v>
          </cell>
        </row>
        <row r="10496">
          <cell r="A10496">
            <v>43842</v>
          </cell>
        </row>
        <row r="10497">
          <cell r="A10497">
            <v>43249</v>
          </cell>
        </row>
        <row r="10498">
          <cell r="A10498">
            <v>43807</v>
          </cell>
        </row>
        <row r="10499">
          <cell r="A10499">
            <v>43891</v>
          </cell>
        </row>
        <row r="10500">
          <cell r="A10500">
            <v>43906</v>
          </cell>
        </row>
        <row r="10501">
          <cell r="A10501">
            <v>43472</v>
          </cell>
        </row>
        <row r="10502">
          <cell r="A10502">
            <v>43903</v>
          </cell>
        </row>
        <row r="10503">
          <cell r="A10503">
            <v>43563</v>
          </cell>
        </row>
        <row r="10504">
          <cell r="A10504">
            <v>43128</v>
          </cell>
        </row>
        <row r="10505">
          <cell r="A10505">
            <v>43217</v>
          </cell>
        </row>
        <row r="10506">
          <cell r="A10506">
            <v>43440</v>
          </cell>
        </row>
        <row r="10507">
          <cell r="A10507">
            <v>43747</v>
          </cell>
        </row>
        <row r="10508">
          <cell r="A10508">
            <v>43538</v>
          </cell>
        </row>
        <row r="10509">
          <cell r="A10509">
            <v>43833</v>
          </cell>
        </row>
        <row r="10510">
          <cell r="A10510">
            <v>43220</v>
          </cell>
        </row>
        <row r="10511">
          <cell r="A10511">
            <v>43491</v>
          </cell>
        </row>
        <row r="10512">
          <cell r="A10512">
            <v>43797</v>
          </cell>
        </row>
        <row r="10513">
          <cell r="A10513">
            <v>43267</v>
          </cell>
        </row>
        <row r="10514">
          <cell r="A10514">
            <v>43795</v>
          </cell>
        </row>
        <row r="10515">
          <cell r="A10515">
            <v>43577</v>
          </cell>
        </row>
        <row r="10516">
          <cell r="A10516">
            <v>43605</v>
          </cell>
        </row>
        <row r="10517">
          <cell r="A10517">
            <v>43581</v>
          </cell>
        </row>
        <row r="10518">
          <cell r="A10518">
            <v>43131</v>
          </cell>
        </row>
        <row r="10519">
          <cell r="A10519">
            <v>43259</v>
          </cell>
        </row>
        <row r="10520">
          <cell r="A10520">
            <v>43359</v>
          </cell>
        </row>
        <row r="10521">
          <cell r="A10521">
            <v>43921</v>
          </cell>
        </row>
        <row r="10522">
          <cell r="A10522">
            <v>43790</v>
          </cell>
        </row>
        <row r="10523">
          <cell r="A10523">
            <v>43628</v>
          </cell>
        </row>
        <row r="10524">
          <cell r="A10524">
            <v>43401</v>
          </cell>
        </row>
        <row r="10525">
          <cell r="A10525">
            <v>43232</v>
          </cell>
        </row>
        <row r="10526">
          <cell r="A10526">
            <v>43732</v>
          </cell>
        </row>
        <row r="10527">
          <cell r="A10527">
            <v>43542</v>
          </cell>
        </row>
        <row r="10528">
          <cell r="A10528">
            <v>43112</v>
          </cell>
        </row>
        <row r="10529">
          <cell r="A10529">
            <v>43127</v>
          </cell>
        </row>
        <row r="10530">
          <cell r="A10530">
            <v>43716</v>
          </cell>
        </row>
        <row r="10531">
          <cell r="A10531">
            <v>43246</v>
          </cell>
        </row>
        <row r="10532">
          <cell r="A10532">
            <v>43742</v>
          </cell>
        </row>
        <row r="10533">
          <cell r="A10533">
            <v>43380</v>
          </cell>
        </row>
        <row r="10534">
          <cell r="A10534">
            <v>43116</v>
          </cell>
        </row>
        <row r="10535">
          <cell r="A10535">
            <v>43868</v>
          </cell>
        </row>
        <row r="10536">
          <cell r="A10536">
            <v>43113</v>
          </cell>
        </row>
        <row r="10537">
          <cell r="A10537">
            <v>43568</v>
          </cell>
        </row>
        <row r="10538">
          <cell r="A10538">
            <v>43865</v>
          </cell>
        </row>
        <row r="10539">
          <cell r="A10539">
            <v>43792</v>
          </cell>
        </row>
        <row r="10540">
          <cell r="A10540">
            <v>43486</v>
          </cell>
        </row>
        <row r="10541">
          <cell r="A10541">
            <v>43322</v>
          </cell>
        </row>
        <row r="10542">
          <cell r="A10542">
            <v>43288</v>
          </cell>
        </row>
        <row r="10543">
          <cell r="A10543">
            <v>43351</v>
          </cell>
        </row>
        <row r="10544">
          <cell r="A10544">
            <v>43193</v>
          </cell>
        </row>
        <row r="10545">
          <cell r="A10545">
            <v>43678</v>
          </cell>
        </row>
        <row r="10546">
          <cell r="A10546">
            <v>43846</v>
          </cell>
        </row>
        <row r="10547">
          <cell r="A10547">
            <v>43445</v>
          </cell>
        </row>
        <row r="10548">
          <cell r="A10548">
            <v>43578</v>
          </cell>
        </row>
        <row r="10549">
          <cell r="A10549">
            <v>43556</v>
          </cell>
        </row>
        <row r="10550">
          <cell r="A10550">
            <v>43686</v>
          </cell>
        </row>
        <row r="10551">
          <cell r="A10551">
            <v>43693</v>
          </cell>
        </row>
        <row r="10552">
          <cell r="A10552">
            <v>43157</v>
          </cell>
        </row>
        <row r="10553">
          <cell r="A10553">
            <v>43460</v>
          </cell>
        </row>
        <row r="10554">
          <cell r="A10554">
            <v>43356</v>
          </cell>
        </row>
        <row r="10555">
          <cell r="A10555">
            <v>43375</v>
          </cell>
        </row>
        <row r="10556">
          <cell r="A10556">
            <v>43193</v>
          </cell>
        </row>
        <row r="10557">
          <cell r="A10557">
            <v>43878</v>
          </cell>
        </row>
        <row r="10558">
          <cell r="A10558">
            <v>43736</v>
          </cell>
        </row>
        <row r="10559">
          <cell r="A10559">
            <v>43540</v>
          </cell>
        </row>
        <row r="10560">
          <cell r="A10560">
            <v>43271</v>
          </cell>
        </row>
        <row r="10561">
          <cell r="A10561">
            <v>43836</v>
          </cell>
        </row>
        <row r="10562">
          <cell r="A10562">
            <v>43383</v>
          </cell>
        </row>
        <row r="10563">
          <cell r="A10563">
            <v>43411</v>
          </cell>
        </row>
        <row r="10564">
          <cell r="A10564">
            <v>43880</v>
          </cell>
        </row>
        <row r="10565">
          <cell r="A10565">
            <v>43365</v>
          </cell>
        </row>
        <row r="10566">
          <cell r="A10566">
            <v>43711</v>
          </cell>
        </row>
        <row r="10567">
          <cell r="A10567">
            <v>43739</v>
          </cell>
        </row>
        <row r="10568">
          <cell r="A10568">
            <v>43702</v>
          </cell>
        </row>
        <row r="10569">
          <cell r="A10569">
            <v>43483</v>
          </cell>
        </row>
        <row r="10570">
          <cell r="A10570">
            <v>43102</v>
          </cell>
        </row>
        <row r="10571">
          <cell r="A10571">
            <v>43233</v>
          </cell>
        </row>
        <row r="10572">
          <cell r="A10572">
            <v>43894</v>
          </cell>
        </row>
        <row r="10573">
          <cell r="A10573">
            <v>43502</v>
          </cell>
        </row>
        <row r="10574">
          <cell r="A10574">
            <v>43131</v>
          </cell>
        </row>
        <row r="10575">
          <cell r="A10575">
            <v>43721</v>
          </cell>
        </row>
        <row r="10576">
          <cell r="A10576">
            <v>43901</v>
          </cell>
        </row>
        <row r="10577">
          <cell r="A10577">
            <v>43892</v>
          </cell>
        </row>
        <row r="10578">
          <cell r="A10578">
            <v>43561</v>
          </cell>
        </row>
        <row r="10579">
          <cell r="A10579">
            <v>43582</v>
          </cell>
        </row>
        <row r="10580">
          <cell r="A10580">
            <v>43619</v>
          </cell>
        </row>
        <row r="10581">
          <cell r="A10581">
            <v>43862</v>
          </cell>
        </row>
        <row r="10582">
          <cell r="A10582">
            <v>43829</v>
          </cell>
        </row>
        <row r="10583">
          <cell r="A10583">
            <v>43275</v>
          </cell>
        </row>
        <row r="10584">
          <cell r="A10584">
            <v>43585</v>
          </cell>
        </row>
        <row r="10585">
          <cell r="A10585">
            <v>43886</v>
          </cell>
        </row>
        <row r="10586">
          <cell r="A10586">
            <v>43784</v>
          </cell>
        </row>
        <row r="10587">
          <cell r="A10587">
            <v>43377</v>
          </cell>
        </row>
        <row r="10588">
          <cell r="A10588">
            <v>43730</v>
          </cell>
        </row>
        <row r="10589">
          <cell r="A10589">
            <v>43382</v>
          </cell>
        </row>
        <row r="10590">
          <cell r="A10590">
            <v>43736</v>
          </cell>
        </row>
        <row r="10591">
          <cell r="A10591">
            <v>43762</v>
          </cell>
        </row>
        <row r="10592">
          <cell r="A10592">
            <v>43289</v>
          </cell>
        </row>
        <row r="10593">
          <cell r="A10593">
            <v>43547</v>
          </cell>
        </row>
        <row r="10594">
          <cell r="A10594">
            <v>43763</v>
          </cell>
        </row>
        <row r="10595">
          <cell r="A10595">
            <v>43615</v>
          </cell>
        </row>
        <row r="10596">
          <cell r="A10596">
            <v>43107</v>
          </cell>
        </row>
        <row r="10597">
          <cell r="A10597">
            <v>43301</v>
          </cell>
        </row>
        <row r="10598">
          <cell r="A10598">
            <v>43411</v>
          </cell>
        </row>
        <row r="10599">
          <cell r="A10599">
            <v>43706</v>
          </cell>
        </row>
        <row r="10600">
          <cell r="A10600">
            <v>43157</v>
          </cell>
        </row>
        <row r="10601">
          <cell r="A10601">
            <v>43861</v>
          </cell>
        </row>
        <row r="10602">
          <cell r="A10602">
            <v>43876</v>
          </cell>
        </row>
        <row r="10603">
          <cell r="A10603">
            <v>43365</v>
          </cell>
        </row>
        <row r="10604">
          <cell r="A10604">
            <v>43327</v>
          </cell>
        </row>
        <row r="10605">
          <cell r="A10605">
            <v>43428</v>
          </cell>
        </row>
        <row r="10606">
          <cell r="A10606">
            <v>43190</v>
          </cell>
        </row>
        <row r="10607">
          <cell r="A10607">
            <v>43652</v>
          </cell>
        </row>
        <row r="10608">
          <cell r="A10608">
            <v>43199</v>
          </cell>
        </row>
        <row r="10609">
          <cell r="A10609">
            <v>43452</v>
          </cell>
        </row>
        <row r="10610">
          <cell r="A10610">
            <v>43245</v>
          </cell>
        </row>
        <row r="10611">
          <cell r="A10611">
            <v>43763</v>
          </cell>
        </row>
        <row r="10612">
          <cell r="A10612">
            <v>43901</v>
          </cell>
        </row>
        <row r="10613">
          <cell r="A10613">
            <v>43547</v>
          </cell>
        </row>
        <row r="10614">
          <cell r="A10614">
            <v>43646</v>
          </cell>
        </row>
        <row r="10615">
          <cell r="A10615">
            <v>43404</v>
          </cell>
        </row>
        <row r="10616">
          <cell r="A10616">
            <v>43858</v>
          </cell>
        </row>
        <row r="10617">
          <cell r="A10617">
            <v>43805</v>
          </cell>
        </row>
        <row r="10618">
          <cell r="A10618">
            <v>43166</v>
          </cell>
        </row>
        <row r="10619">
          <cell r="A10619">
            <v>43809</v>
          </cell>
        </row>
        <row r="10620">
          <cell r="A10620">
            <v>43704</v>
          </cell>
        </row>
        <row r="10621">
          <cell r="A10621">
            <v>43525</v>
          </cell>
        </row>
        <row r="10622">
          <cell r="A10622">
            <v>43361</v>
          </cell>
        </row>
        <row r="10623">
          <cell r="A10623">
            <v>43101</v>
          </cell>
        </row>
        <row r="10624">
          <cell r="A10624">
            <v>43728</v>
          </cell>
        </row>
        <row r="10625">
          <cell r="A10625">
            <v>43228</v>
          </cell>
        </row>
        <row r="10626">
          <cell r="A10626">
            <v>43613</v>
          </cell>
        </row>
        <row r="10627">
          <cell r="A10627">
            <v>43387</v>
          </cell>
        </row>
        <row r="10628">
          <cell r="A10628">
            <v>43880</v>
          </cell>
        </row>
        <row r="10629">
          <cell r="A10629">
            <v>43570</v>
          </cell>
        </row>
        <row r="10630">
          <cell r="A10630">
            <v>43767</v>
          </cell>
        </row>
        <row r="10631">
          <cell r="A10631">
            <v>43212</v>
          </cell>
        </row>
        <row r="10632">
          <cell r="A10632">
            <v>43105</v>
          </cell>
        </row>
        <row r="10633">
          <cell r="A10633">
            <v>43909</v>
          </cell>
        </row>
        <row r="10634">
          <cell r="A10634">
            <v>43826</v>
          </cell>
        </row>
        <row r="10635">
          <cell r="A10635">
            <v>43198</v>
          </cell>
        </row>
        <row r="10636">
          <cell r="A10636">
            <v>43715</v>
          </cell>
        </row>
        <row r="10637">
          <cell r="A10637">
            <v>43750</v>
          </cell>
        </row>
        <row r="10638">
          <cell r="A10638">
            <v>43496</v>
          </cell>
        </row>
        <row r="10639">
          <cell r="A10639">
            <v>43916</v>
          </cell>
        </row>
        <row r="10640">
          <cell r="A10640">
            <v>43550</v>
          </cell>
        </row>
        <row r="10641">
          <cell r="A10641">
            <v>43311</v>
          </cell>
        </row>
        <row r="10642">
          <cell r="A10642">
            <v>43535</v>
          </cell>
        </row>
        <row r="10643">
          <cell r="A10643">
            <v>43350</v>
          </cell>
        </row>
        <row r="10644">
          <cell r="A10644">
            <v>43681</v>
          </cell>
        </row>
        <row r="10645">
          <cell r="A10645">
            <v>43834</v>
          </cell>
        </row>
        <row r="10646">
          <cell r="A10646">
            <v>43104</v>
          </cell>
        </row>
        <row r="10647">
          <cell r="A10647">
            <v>43371</v>
          </cell>
        </row>
        <row r="10648">
          <cell r="A10648">
            <v>43608</v>
          </cell>
        </row>
        <row r="10649">
          <cell r="A10649">
            <v>43846</v>
          </cell>
        </row>
        <row r="10650">
          <cell r="A10650">
            <v>43875</v>
          </cell>
        </row>
        <row r="10651">
          <cell r="A10651">
            <v>43872</v>
          </cell>
        </row>
        <row r="10652">
          <cell r="A10652">
            <v>43709</v>
          </cell>
        </row>
        <row r="10653">
          <cell r="A10653">
            <v>43628</v>
          </cell>
        </row>
        <row r="10654">
          <cell r="A10654">
            <v>43418</v>
          </cell>
        </row>
        <row r="10655">
          <cell r="A10655">
            <v>43411</v>
          </cell>
        </row>
        <row r="10656">
          <cell r="A10656">
            <v>43698</v>
          </cell>
        </row>
        <row r="10657">
          <cell r="A10657">
            <v>43256</v>
          </cell>
        </row>
        <row r="10658">
          <cell r="A10658">
            <v>43484</v>
          </cell>
        </row>
        <row r="10659">
          <cell r="A10659">
            <v>43844</v>
          </cell>
        </row>
        <row r="10660">
          <cell r="A10660">
            <v>43835</v>
          </cell>
        </row>
        <row r="10661">
          <cell r="A10661">
            <v>43421</v>
          </cell>
        </row>
        <row r="10662">
          <cell r="A10662">
            <v>43385</v>
          </cell>
        </row>
        <row r="10663">
          <cell r="A10663">
            <v>43420</v>
          </cell>
        </row>
        <row r="10664">
          <cell r="A10664">
            <v>43125</v>
          </cell>
        </row>
        <row r="10665">
          <cell r="A10665">
            <v>43487</v>
          </cell>
        </row>
        <row r="10666">
          <cell r="A10666">
            <v>43409</v>
          </cell>
        </row>
        <row r="10667">
          <cell r="A10667">
            <v>43440</v>
          </cell>
        </row>
        <row r="10668">
          <cell r="A10668">
            <v>43132</v>
          </cell>
        </row>
        <row r="10669">
          <cell r="A10669">
            <v>43819</v>
          </cell>
        </row>
        <row r="10670">
          <cell r="A10670">
            <v>43481</v>
          </cell>
        </row>
        <row r="10671">
          <cell r="A10671">
            <v>43790</v>
          </cell>
        </row>
        <row r="10672">
          <cell r="A10672">
            <v>43533</v>
          </cell>
        </row>
        <row r="10673">
          <cell r="A10673">
            <v>43443</v>
          </cell>
        </row>
        <row r="10674">
          <cell r="A10674">
            <v>43277</v>
          </cell>
        </row>
        <row r="10675">
          <cell r="A10675">
            <v>43123</v>
          </cell>
        </row>
        <row r="10676">
          <cell r="A10676">
            <v>43267</v>
          </cell>
        </row>
        <row r="10677">
          <cell r="A10677">
            <v>43498</v>
          </cell>
        </row>
        <row r="10678">
          <cell r="A10678">
            <v>43619</v>
          </cell>
        </row>
        <row r="10679">
          <cell r="A10679">
            <v>43736</v>
          </cell>
        </row>
        <row r="10680">
          <cell r="A10680">
            <v>43193</v>
          </cell>
        </row>
        <row r="10681">
          <cell r="A10681">
            <v>43479</v>
          </cell>
        </row>
        <row r="10682">
          <cell r="A10682">
            <v>43896</v>
          </cell>
        </row>
        <row r="10683">
          <cell r="A10683">
            <v>43175</v>
          </cell>
        </row>
        <row r="10684">
          <cell r="A10684">
            <v>43612</v>
          </cell>
        </row>
        <row r="10685">
          <cell r="A10685">
            <v>43313</v>
          </cell>
        </row>
        <row r="10686">
          <cell r="A10686">
            <v>43157</v>
          </cell>
        </row>
        <row r="10687">
          <cell r="A10687">
            <v>43714</v>
          </cell>
        </row>
        <row r="10688">
          <cell r="A10688">
            <v>43348</v>
          </cell>
        </row>
        <row r="10689">
          <cell r="A10689">
            <v>43284</v>
          </cell>
        </row>
        <row r="10690">
          <cell r="A10690">
            <v>43569</v>
          </cell>
        </row>
        <row r="10691">
          <cell r="A10691">
            <v>43750</v>
          </cell>
        </row>
        <row r="10692">
          <cell r="A10692">
            <v>43358</v>
          </cell>
        </row>
        <row r="10693">
          <cell r="A10693">
            <v>43186</v>
          </cell>
        </row>
        <row r="10694">
          <cell r="A10694">
            <v>43470</v>
          </cell>
        </row>
        <row r="10695">
          <cell r="A10695">
            <v>43898</v>
          </cell>
        </row>
        <row r="10696">
          <cell r="A10696">
            <v>43551</v>
          </cell>
        </row>
        <row r="10697">
          <cell r="A10697">
            <v>43865</v>
          </cell>
        </row>
        <row r="10698">
          <cell r="A10698">
            <v>43120</v>
          </cell>
        </row>
        <row r="10699">
          <cell r="A10699">
            <v>43438</v>
          </cell>
        </row>
        <row r="10700">
          <cell r="A10700">
            <v>43604</v>
          </cell>
        </row>
        <row r="10701">
          <cell r="A10701">
            <v>43693</v>
          </cell>
        </row>
        <row r="10702">
          <cell r="A10702">
            <v>43584</v>
          </cell>
        </row>
        <row r="10703">
          <cell r="A10703">
            <v>43587</v>
          </cell>
        </row>
        <row r="10704">
          <cell r="A10704">
            <v>43737</v>
          </cell>
        </row>
        <row r="10705">
          <cell r="A10705">
            <v>43697</v>
          </cell>
        </row>
        <row r="10706">
          <cell r="A10706">
            <v>43853</v>
          </cell>
        </row>
        <row r="10707">
          <cell r="A10707">
            <v>43593</v>
          </cell>
        </row>
        <row r="10708">
          <cell r="A10708">
            <v>43829</v>
          </cell>
        </row>
        <row r="10709">
          <cell r="A10709">
            <v>43872</v>
          </cell>
        </row>
        <row r="10710">
          <cell r="A10710">
            <v>43653</v>
          </cell>
        </row>
        <row r="10711">
          <cell r="A10711">
            <v>43545</v>
          </cell>
        </row>
        <row r="10712">
          <cell r="A10712">
            <v>43174</v>
          </cell>
        </row>
        <row r="10713">
          <cell r="A10713">
            <v>43103</v>
          </cell>
        </row>
        <row r="10714">
          <cell r="A10714">
            <v>43314</v>
          </cell>
        </row>
        <row r="10715">
          <cell r="A10715">
            <v>43283</v>
          </cell>
        </row>
        <row r="10716">
          <cell r="A10716">
            <v>43564</v>
          </cell>
        </row>
        <row r="10717">
          <cell r="A10717">
            <v>43664</v>
          </cell>
        </row>
        <row r="10718">
          <cell r="A10718">
            <v>43559</v>
          </cell>
        </row>
        <row r="10719">
          <cell r="A10719">
            <v>43811</v>
          </cell>
        </row>
        <row r="10720">
          <cell r="A10720">
            <v>43119</v>
          </cell>
        </row>
        <row r="10721">
          <cell r="A10721">
            <v>43101</v>
          </cell>
        </row>
        <row r="10722">
          <cell r="A10722">
            <v>43482</v>
          </cell>
        </row>
        <row r="10723">
          <cell r="A10723">
            <v>43362</v>
          </cell>
        </row>
        <row r="10724">
          <cell r="A10724">
            <v>43299</v>
          </cell>
        </row>
        <row r="10725">
          <cell r="A10725">
            <v>43369</v>
          </cell>
        </row>
        <row r="10726">
          <cell r="A10726">
            <v>43360</v>
          </cell>
        </row>
        <row r="10727">
          <cell r="A10727">
            <v>43530</v>
          </cell>
        </row>
        <row r="10728">
          <cell r="A10728">
            <v>43471</v>
          </cell>
        </row>
        <row r="10729">
          <cell r="A10729">
            <v>43460</v>
          </cell>
        </row>
        <row r="10730">
          <cell r="A10730">
            <v>43774</v>
          </cell>
        </row>
        <row r="10731">
          <cell r="A10731">
            <v>43480</v>
          </cell>
        </row>
        <row r="10732">
          <cell r="A10732">
            <v>43754</v>
          </cell>
        </row>
        <row r="10733">
          <cell r="A10733">
            <v>43701</v>
          </cell>
        </row>
        <row r="10734">
          <cell r="A10734">
            <v>43471</v>
          </cell>
        </row>
        <row r="10735">
          <cell r="A10735">
            <v>43917</v>
          </cell>
        </row>
        <row r="10736">
          <cell r="A10736">
            <v>43583</v>
          </cell>
        </row>
        <row r="10737">
          <cell r="A10737">
            <v>43718</v>
          </cell>
        </row>
        <row r="10738">
          <cell r="A10738">
            <v>43489</v>
          </cell>
        </row>
        <row r="10739">
          <cell r="A10739">
            <v>43402</v>
          </cell>
        </row>
        <row r="10740">
          <cell r="A10740">
            <v>43794</v>
          </cell>
        </row>
        <row r="10741">
          <cell r="A10741">
            <v>43331</v>
          </cell>
        </row>
        <row r="10742">
          <cell r="A10742">
            <v>43461</v>
          </cell>
        </row>
        <row r="10743">
          <cell r="A10743">
            <v>43269</v>
          </cell>
        </row>
        <row r="10744">
          <cell r="A10744">
            <v>43523</v>
          </cell>
        </row>
        <row r="10745">
          <cell r="A10745">
            <v>43870</v>
          </cell>
        </row>
        <row r="10746">
          <cell r="A10746">
            <v>43201</v>
          </cell>
        </row>
        <row r="10747">
          <cell r="A10747">
            <v>43539</v>
          </cell>
        </row>
        <row r="10748">
          <cell r="A10748">
            <v>43831</v>
          </cell>
        </row>
        <row r="10749">
          <cell r="A10749">
            <v>43646</v>
          </cell>
        </row>
        <row r="10750">
          <cell r="A10750">
            <v>43148</v>
          </cell>
        </row>
        <row r="10751">
          <cell r="A10751">
            <v>43920</v>
          </cell>
        </row>
        <row r="10752">
          <cell r="A10752">
            <v>43750</v>
          </cell>
        </row>
        <row r="10753">
          <cell r="A10753">
            <v>43775</v>
          </cell>
        </row>
        <row r="10754">
          <cell r="A10754">
            <v>43356</v>
          </cell>
        </row>
        <row r="10755">
          <cell r="A10755">
            <v>43910</v>
          </cell>
        </row>
        <row r="10756">
          <cell r="A10756">
            <v>43919</v>
          </cell>
        </row>
        <row r="10757">
          <cell r="A10757">
            <v>43806</v>
          </cell>
        </row>
        <row r="10758">
          <cell r="A10758">
            <v>43812</v>
          </cell>
        </row>
        <row r="10759">
          <cell r="A10759">
            <v>43697</v>
          </cell>
        </row>
        <row r="10760">
          <cell r="A10760">
            <v>43561</v>
          </cell>
        </row>
        <row r="10761">
          <cell r="A10761">
            <v>43550</v>
          </cell>
        </row>
        <row r="10762">
          <cell r="A10762">
            <v>43414</v>
          </cell>
        </row>
        <row r="10763">
          <cell r="A10763">
            <v>43488</v>
          </cell>
        </row>
        <row r="10764">
          <cell r="A10764">
            <v>43748</v>
          </cell>
        </row>
        <row r="10765">
          <cell r="A10765">
            <v>43224</v>
          </cell>
        </row>
        <row r="10766">
          <cell r="A10766">
            <v>43221</v>
          </cell>
        </row>
        <row r="10767">
          <cell r="A10767">
            <v>43129</v>
          </cell>
        </row>
        <row r="10768">
          <cell r="A10768">
            <v>43480</v>
          </cell>
        </row>
        <row r="10769">
          <cell r="A10769">
            <v>43826</v>
          </cell>
        </row>
        <row r="10770">
          <cell r="A10770">
            <v>43755</v>
          </cell>
        </row>
        <row r="10771">
          <cell r="A10771">
            <v>43669</v>
          </cell>
        </row>
        <row r="10772">
          <cell r="A10772">
            <v>43313</v>
          </cell>
        </row>
        <row r="10773">
          <cell r="A10773">
            <v>43732</v>
          </cell>
        </row>
        <row r="10774">
          <cell r="A10774">
            <v>43162</v>
          </cell>
        </row>
        <row r="10775">
          <cell r="A10775">
            <v>43249</v>
          </cell>
        </row>
        <row r="10776">
          <cell r="A10776">
            <v>43829</v>
          </cell>
        </row>
        <row r="10777">
          <cell r="A10777">
            <v>43193</v>
          </cell>
        </row>
        <row r="10778">
          <cell r="A10778">
            <v>43410</v>
          </cell>
        </row>
        <row r="10779">
          <cell r="A10779">
            <v>43328</v>
          </cell>
        </row>
        <row r="10780">
          <cell r="A10780">
            <v>43417</v>
          </cell>
        </row>
        <row r="10781">
          <cell r="A10781">
            <v>43882</v>
          </cell>
        </row>
        <row r="10782">
          <cell r="A10782">
            <v>43444</v>
          </cell>
        </row>
        <row r="10783">
          <cell r="A10783">
            <v>43246</v>
          </cell>
        </row>
        <row r="10784">
          <cell r="A10784">
            <v>43753</v>
          </cell>
        </row>
        <row r="10785">
          <cell r="A10785">
            <v>43653</v>
          </cell>
        </row>
        <row r="10786">
          <cell r="A10786">
            <v>43389</v>
          </cell>
        </row>
        <row r="10787">
          <cell r="A10787">
            <v>43578</v>
          </cell>
        </row>
        <row r="10788">
          <cell r="A10788">
            <v>43491</v>
          </cell>
        </row>
        <row r="10789">
          <cell r="A10789">
            <v>43424</v>
          </cell>
        </row>
        <row r="10790">
          <cell r="A10790">
            <v>43208</v>
          </cell>
        </row>
        <row r="10791">
          <cell r="A10791">
            <v>43506</v>
          </cell>
        </row>
        <row r="10792">
          <cell r="A10792">
            <v>43778</v>
          </cell>
        </row>
        <row r="10793">
          <cell r="A10793">
            <v>43733</v>
          </cell>
        </row>
        <row r="10794">
          <cell r="A10794">
            <v>43151</v>
          </cell>
        </row>
        <row r="10795">
          <cell r="A10795">
            <v>43706</v>
          </cell>
        </row>
        <row r="10796">
          <cell r="A10796">
            <v>43339</v>
          </cell>
        </row>
        <row r="10797">
          <cell r="A10797">
            <v>43356</v>
          </cell>
        </row>
        <row r="10798">
          <cell r="A10798">
            <v>43173</v>
          </cell>
        </row>
        <row r="10799">
          <cell r="A10799">
            <v>43514</v>
          </cell>
        </row>
        <row r="10800">
          <cell r="A10800">
            <v>43743</v>
          </cell>
        </row>
        <row r="10801">
          <cell r="A10801">
            <v>43895</v>
          </cell>
        </row>
        <row r="10802">
          <cell r="A10802">
            <v>43510</v>
          </cell>
        </row>
        <row r="10803">
          <cell r="A10803">
            <v>43239</v>
          </cell>
        </row>
        <row r="10804">
          <cell r="A10804">
            <v>43557</v>
          </cell>
        </row>
        <row r="10805">
          <cell r="A10805">
            <v>43845</v>
          </cell>
        </row>
        <row r="10806">
          <cell r="A10806">
            <v>43792</v>
          </cell>
        </row>
        <row r="10807">
          <cell r="A10807">
            <v>43527</v>
          </cell>
        </row>
        <row r="10808">
          <cell r="A10808">
            <v>43477</v>
          </cell>
        </row>
        <row r="10809">
          <cell r="A10809">
            <v>43138</v>
          </cell>
        </row>
        <row r="10810">
          <cell r="A10810">
            <v>43299</v>
          </cell>
        </row>
        <row r="10811">
          <cell r="A10811">
            <v>43413</v>
          </cell>
        </row>
        <row r="10812">
          <cell r="A10812">
            <v>43623</v>
          </cell>
        </row>
        <row r="10813">
          <cell r="A10813">
            <v>43292</v>
          </cell>
        </row>
        <row r="10814">
          <cell r="A10814">
            <v>43750</v>
          </cell>
        </row>
        <row r="10815">
          <cell r="A10815">
            <v>43636</v>
          </cell>
        </row>
        <row r="10816">
          <cell r="A10816">
            <v>43205</v>
          </cell>
        </row>
        <row r="10817">
          <cell r="A10817">
            <v>43364</v>
          </cell>
        </row>
        <row r="10818">
          <cell r="A10818">
            <v>43318</v>
          </cell>
        </row>
        <row r="10819">
          <cell r="A10819">
            <v>43343</v>
          </cell>
        </row>
        <row r="10820">
          <cell r="A10820">
            <v>43587</v>
          </cell>
        </row>
        <row r="10821">
          <cell r="A10821">
            <v>43681</v>
          </cell>
        </row>
        <row r="10822">
          <cell r="A10822">
            <v>43856</v>
          </cell>
        </row>
        <row r="10823">
          <cell r="A10823">
            <v>43590</v>
          </cell>
        </row>
        <row r="10824">
          <cell r="A10824">
            <v>43501</v>
          </cell>
        </row>
        <row r="10825">
          <cell r="A10825">
            <v>43813</v>
          </cell>
        </row>
        <row r="10826">
          <cell r="A10826">
            <v>43645</v>
          </cell>
        </row>
        <row r="10827">
          <cell r="A10827">
            <v>43811</v>
          </cell>
        </row>
        <row r="10828">
          <cell r="A10828">
            <v>43675</v>
          </cell>
        </row>
        <row r="10829">
          <cell r="A10829">
            <v>43155</v>
          </cell>
        </row>
        <row r="10830">
          <cell r="A10830">
            <v>43237</v>
          </cell>
        </row>
        <row r="10831">
          <cell r="A10831">
            <v>43684</v>
          </cell>
        </row>
        <row r="10832">
          <cell r="A10832">
            <v>43487</v>
          </cell>
        </row>
        <row r="10833">
          <cell r="A10833">
            <v>43807</v>
          </cell>
        </row>
        <row r="10834">
          <cell r="A10834">
            <v>43859</v>
          </cell>
        </row>
        <row r="10835">
          <cell r="A10835">
            <v>43122</v>
          </cell>
        </row>
        <row r="10836">
          <cell r="A10836">
            <v>43541</v>
          </cell>
        </row>
        <row r="10837">
          <cell r="A10837">
            <v>43347</v>
          </cell>
        </row>
        <row r="10838">
          <cell r="A10838">
            <v>43333</v>
          </cell>
        </row>
        <row r="10839">
          <cell r="A10839">
            <v>43746</v>
          </cell>
        </row>
        <row r="10840">
          <cell r="A10840">
            <v>43540</v>
          </cell>
        </row>
        <row r="10841">
          <cell r="A10841">
            <v>43516</v>
          </cell>
        </row>
        <row r="10842">
          <cell r="A10842">
            <v>43872</v>
          </cell>
        </row>
        <row r="10843">
          <cell r="A10843">
            <v>43911</v>
          </cell>
        </row>
        <row r="10844">
          <cell r="A10844">
            <v>43161</v>
          </cell>
        </row>
        <row r="10845">
          <cell r="A10845">
            <v>43815</v>
          </cell>
        </row>
        <row r="10846">
          <cell r="A10846">
            <v>43865</v>
          </cell>
        </row>
        <row r="10847">
          <cell r="A10847">
            <v>43400</v>
          </cell>
        </row>
        <row r="10848">
          <cell r="A10848">
            <v>43303</v>
          </cell>
        </row>
        <row r="10849">
          <cell r="A10849">
            <v>43805</v>
          </cell>
        </row>
        <row r="10850">
          <cell r="A10850">
            <v>43653</v>
          </cell>
        </row>
        <row r="10851">
          <cell r="A10851">
            <v>43274</v>
          </cell>
        </row>
        <row r="10852">
          <cell r="A10852">
            <v>43516</v>
          </cell>
        </row>
        <row r="10853">
          <cell r="A10853">
            <v>43728</v>
          </cell>
        </row>
        <row r="10854">
          <cell r="A10854">
            <v>43104</v>
          </cell>
        </row>
        <row r="10855">
          <cell r="A10855">
            <v>43437</v>
          </cell>
        </row>
        <row r="10856">
          <cell r="A10856">
            <v>43593</v>
          </cell>
        </row>
        <row r="10857">
          <cell r="A10857">
            <v>43296</v>
          </cell>
        </row>
        <row r="10858">
          <cell r="A10858">
            <v>43322</v>
          </cell>
        </row>
        <row r="10859">
          <cell r="A10859">
            <v>43300</v>
          </cell>
        </row>
        <row r="10860">
          <cell r="A10860">
            <v>43365</v>
          </cell>
        </row>
        <row r="10861">
          <cell r="A10861">
            <v>43638</v>
          </cell>
        </row>
        <row r="10862">
          <cell r="A10862">
            <v>43620</v>
          </cell>
        </row>
        <row r="10863">
          <cell r="A10863">
            <v>43780</v>
          </cell>
        </row>
        <row r="10864">
          <cell r="A10864">
            <v>43767</v>
          </cell>
        </row>
        <row r="10865">
          <cell r="A10865">
            <v>43665</v>
          </cell>
        </row>
        <row r="10866">
          <cell r="A10866">
            <v>43389</v>
          </cell>
        </row>
        <row r="10867">
          <cell r="A10867">
            <v>43588</v>
          </cell>
        </row>
        <row r="10868">
          <cell r="A10868">
            <v>43893</v>
          </cell>
        </row>
        <row r="10869">
          <cell r="A10869">
            <v>43749</v>
          </cell>
        </row>
        <row r="10870">
          <cell r="A10870">
            <v>43661</v>
          </cell>
        </row>
        <row r="10871">
          <cell r="A10871">
            <v>43665</v>
          </cell>
        </row>
        <row r="10872">
          <cell r="A10872">
            <v>43832</v>
          </cell>
        </row>
        <row r="10873">
          <cell r="A10873">
            <v>43641</v>
          </cell>
        </row>
        <row r="10874">
          <cell r="A10874">
            <v>43899</v>
          </cell>
        </row>
        <row r="10875">
          <cell r="A10875">
            <v>43506</v>
          </cell>
        </row>
        <row r="10876">
          <cell r="A10876">
            <v>43338</v>
          </cell>
        </row>
        <row r="10877">
          <cell r="A10877">
            <v>43509</v>
          </cell>
        </row>
        <row r="10878">
          <cell r="A10878">
            <v>43161</v>
          </cell>
        </row>
        <row r="10879">
          <cell r="A10879">
            <v>43480</v>
          </cell>
        </row>
        <row r="10880">
          <cell r="A10880">
            <v>43835</v>
          </cell>
        </row>
        <row r="10881">
          <cell r="A10881">
            <v>43801</v>
          </cell>
        </row>
        <row r="10882">
          <cell r="A10882">
            <v>43858</v>
          </cell>
        </row>
        <row r="10883">
          <cell r="A10883">
            <v>43264</v>
          </cell>
        </row>
        <row r="10884">
          <cell r="A10884">
            <v>43604</v>
          </cell>
        </row>
        <row r="10885">
          <cell r="A10885">
            <v>43134</v>
          </cell>
        </row>
        <row r="10886">
          <cell r="A10886">
            <v>43352</v>
          </cell>
        </row>
        <row r="10887">
          <cell r="A10887">
            <v>43908</v>
          </cell>
        </row>
        <row r="10888">
          <cell r="A10888">
            <v>43108</v>
          </cell>
        </row>
        <row r="10889">
          <cell r="A10889">
            <v>43856</v>
          </cell>
        </row>
        <row r="10890">
          <cell r="A10890">
            <v>43123</v>
          </cell>
        </row>
        <row r="10891">
          <cell r="A10891">
            <v>43587</v>
          </cell>
        </row>
        <row r="10892">
          <cell r="A10892">
            <v>43643</v>
          </cell>
        </row>
        <row r="10893">
          <cell r="A10893">
            <v>43345</v>
          </cell>
        </row>
        <row r="10894">
          <cell r="A10894">
            <v>43281</v>
          </cell>
        </row>
        <row r="10895">
          <cell r="A10895">
            <v>43109</v>
          </cell>
        </row>
        <row r="10896">
          <cell r="A10896">
            <v>43765</v>
          </cell>
        </row>
        <row r="10897">
          <cell r="A10897">
            <v>43130</v>
          </cell>
        </row>
        <row r="10898">
          <cell r="A10898">
            <v>43794</v>
          </cell>
        </row>
        <row r="10899">
          <cell r="A10899">
            <v>43855</v>
          </cell>
        </row>
        <row r="10900">
          <cell r="A10900">
            <v>43757</v>
          </cell>
        </row>
        <row r="10901">
          <cell r="A10901">
            <v>43447</v>
          </cell>
        </row>
        <row r="10902">
          <cell r="A10902">
            <v>43232</v>
          </cell>
        </row>
        <row r="10903">
          <cell r="A10903">
            <v>43613</v>
          </cell>
        </row>
        <row r="10904">
          <cell r="A10904">
            <v>43182</v>
          </cell>
        </row>
        <row r="10905">
          <cell r="A10905">
            <v>43736</v>
          </cell>
        </row>
        <row r="10906">
          <cell r="A10906">
            <v>43385</v>
          </cell>
        </row>
        <row r="10907">
          <cell r="A10907">
            <v>43423</v>
          </cell>
        </row>
        <row r="10908">
          <cell r="A10908">
            <v>43534</v>
          </cell>
        </row>
        <row r="10909">
          <cell r="A10909">
            <v>43638</v>
          </cell>
        </row>
        <row r="10910">
          <cell r="A10910">
            <v>43231</v>
          </cell>
        </row>
        <row r="10911">
          <cell r="A10911">
            <v>43617</v>
          </cell>
        </row>
        <row r="10912">
          <cell r="A10912">
            <v>43868</v>
          </cell>
        </row>
        <row r="10913">
          <cell r="A10913">
            <v>43585</v>
          </cell>
        </row>
        <row r="10914">
          <cell r="A10914">
            <v>43169</v>
          </cell>
        </row>
        <row r="10915">
          <cell r="A10915">
            <v>43642</v>
          </cell>
        </row>
        <row r="10916">
          <cell r="A10916">
            <v>43681</v>
          </cell>
        </row>
        <row r="10917">
          <cell r="A10917">
            <v>43249</v>
          </cell>
        </row>
        <row r="10918">
          <cell r="A10918">
            <v>43488</v>
          </cell>
        </row>
        <row r="10919">
          <cell r="A10919">
            <v>43462</v>
          </cell>
        </row>
        <row r="10920">
          <cell r="A10920">
            <v>43868</v>
          </cell>
        </row>
        <row r="10921">
          <cell r="A10921">
            <v>43716</v>
          </cell>
        </row>
        <row r="10922">
          <cell r="A10922">
            <v>43895</v>
          </cell>
        </row>
        <row r="10923">
          <cell r="A10923">
            <v>43209</v>
          </cell>
        </row>
        <row r="10924">
          <cell r="A10924">
            <v>43564</v>
          </cell>
        </row>
        <row r="10925">
          <cell r="A10925">
            <v>43181</v>
          </cell>
        </row>
        <row r="10926">
          <cell r="A10926">
            <v>43681</v>
          </cell>
        </row>
        <row r="10927">
          <cell r="A10927">
            <v>43744</v>
          </cell>
        </row>
        <row r="10928">
          <cell r="A10928">
            <v>43325</v>
          </cell>
        </row>
        <row r="10929">
          <cell r="A10929">
            <v>43880</v>
          </cell>
        </row>
        <row r="10930">
          <cell r="A10930">
            <v>43881</v>
          </cell>
        </row>
        <row r="10931">
          <cell r="A10931">
            <v>43502</v>
          </cell>
        </row>
        <row r="10932">
          <cell r="A10932">
            <v>43473</v>
          </cell>
        </row>
        <row r="10933">
          <cell r="A10933">
            <v>43534</v>
          </cell>
        </row>
        <row r="10934">
          <cell r="A10934">
            <v>43381</v>
          </cell>
        </row>
        <row r="10935">
          <cell r="A10935">
            <v>43698</v>
          </cell>
        </row>
        <row r="10936">
          <cell r="A10936">
            <v>43831</v>
          </cell>
        </row>
        <row r="10937">
          <cell r="A10937">
            <v>43326</v>
          </cell>
        </row>
        <row r="10938">
          <cell r="A10938">
            <v>43217</v>
          </cell>
        </row>
        <row r="10939">
          <cell r="A10939">
            <v>43677</v>
          </cell>
        </row>
        <row r="10940">
          <cell r="A10940">
            <v>43370</v>
          </cell>
        </row>
        <row r="10941">
          <cell r="A10941">
            <v>43729</v>
          </cell>
        </row>
        <row r="10942">
          <cell r="A10942">
            <v>43188</v>
          </cell>
        </row>
        <row r="10943">
          <cell r="A10943">
            <v>43489</v>
          </cell>
        </row>
        <row r="10944">
          <cell r="A10944">
            <v>43180</v>
          </cell>
        </row>
        <row r="10945">
          <cell r="A10945">
            <v>43674</v>
          </cell>
        </row>
        <row r="10946">
          <cell r="A10946">
            <v>43684</v>
          </cell>
        </row>
        <row r="10947">
          <cell r="A10947">
            <v>43693</v>
          </cell>
        </row>
        <row r="10948">
          <cell r="A10948">
            <v>43323</v>
          </cell>
        </row>
        <row r="10949">
          <cell r="A10949">
            <v>43130</v>
          </cell>
        </row>
        <row r="10950">
          <cell r="A10950">
            <v>43631</v>
          </cell>
        </row>
        <row r="10951">
          <cell r="A10951">
            <v>43692</v>
          </cell>
        </row>
        <row r="10952">
          <cell r="A10952">
            <v>43409</v>
          </cell>
        </row>
        <row r="10953">
          <cell r="A10953">
            <v>43127</v>
          </cell>
        </row>
        <row r="10954">
          <cell r="A10954">
            <v>43768</v>
          </cell>
        </row>
        <row r="10955">
          <cell r="A10955">
            <v>43154</v>
          </cell>
        </row>
        <row r="10956">
          <cell r="A10956">
            <v>43436</v>
          </cell>
        </row>
        <row r="10957">
          <cell r="A10957">
            <v>43436</v>
          </cell>
        </row>
        <row r="10958">
          <cell r="A10958">
            <v>43804</v>
          </cell>
        </row>
        <row r="10959">
          <cell r="A10959">
            <v>43893</v>
          </cell>
        </row>
        <row r="10960">
          <cell r="A10960">
            <v>43162</v>
          </cell>
        </row>
        <row r="10961">
          <cell r="A10961">
            <v>43613</v>
          </cell>
        </row>
        <row r="10962">
          <cell r="A10962">
            <v>43867</v>
          </cell>
        </row>
        <row r="10963">
          <cell r="A10963">
            <v>43392</v>
          </cell>
        </row>
        <row r="10964">
          <cell r="A10964">
            <v>43511</v>
          </cell>
        </row>
        <row r="10965">
          <cell r="A10965">
            <v>43653</v>
          </cell>
        </row>
        <row r="10966">
          <cell r="A10966">
            <v>43911</v>
          </cell>
        </row>
        <row r="10967">
          <cell r="A10967">
            <v>43866</v>
          </cell>
        </row>
        <row r="10968">
          <cell r="A10968">
            <v>43198</v>
          </cell>
        </row>
        <row r="10969">
          <cell r="A10969">
            <v>43766</v>
          </cell>
        </row>
        <row r="10970">
          <cell r="A10970">
            <v>43747</v>
          </cell>
        </row>
        <row r="10971">
          <cell r="A10971">
            <v>43697</v>
          </cell>
        </row>
        <row r="10972">
          <cell r="A10972">
            <v>43414</v>
          </cell>
        </row>
        <row r="10973">
          <cell r="A10973">
            <v>43158</v>
          </cell>
        </row>
        <row r="10974">
          <cell r="A10974">
            <v>43233</v>
          </cell>
        </row>
        <row r="10975">
          <cell r="A10975">
            <v>43288</v>
          </cell>
        </row>
        <row r="10976">
          <cell r="A10976">
            <v>43851</v>
          </cell>
        </row>
        <row r="10977">
          <cell r="A10977">
            <v>43338</v>
          </cell>
        </row>
        <row r="10978">
          <cell r="A10978">
            <v>43421</v>
          </cell>
        </row>
        <row r="10979">
          <cell r="A10979">
            <v>43549</v>
          </cell>
        </row>
        <row r="10980">
          <cell r="A10980">
            <v>43722</v>
          </cell>
        </row>
        <row r="10981">
          <cell r="A10981">
            <v>43651</v>
          </cell>
        </row>
        <row r="10982">
          <cell r="A10982">
            <v>43793</v>
          </cell>
        </row>
        <row r="10983">
          <cell r="A10983">
            <v>43603</v>
          </cell>
        </row>
        <row r="10984">
          <cell r="A10984">
            <v>43579</v>
          </cell>
        </row>
        <row r="10985">
          <cell r="A10985">
            <v>43256</v>
          </cell>
        </row>
        <row r="10986">
          <cell r="A10986">
            <v>43400</v>
          </cell>
        </row>
        <row r="10987">
          <cell r="A10987">
            <v>43772</v>
          </cell>
        </row>
        <row r="10988">
          <cell r="A10988">
            <v>43912</v>
          </cell>
        </row>
        <row r="10989">
          <cell r="A10989">
            <v>43303</v>
          </cell>
        </row>
        <row r="10990">
          <cell r="A10990">
            <v>43900</v>
          </cell>
        </row>
        <row r="10991">
          <cell r="A10991">
            <v>43411</v>
          </cell>
        </row>
        <row r="10992">
          <cell r="A10992">
            <v>43555</v>
          </cell>
        </row>
        <row r="10993">
          <cell r="A10993">
            <v>43547</v>
          </cell>
        </row>
        <row r="10994">
          <cell r="A10994">
            <v>43139</v>
          </cell>
        </row>
        <row r="10995">
          <cell r="A10995">
            <v>43457</v>
          </cell>
        </row>
        <row r="10996">
          <cell r="A10996">
            <v>43552</v>
          </cell>
        </row>
        <row r="10997">
          <cell r="A10997">
            <v>43546</v>
          </cell>
        </row>
        <row r="10998">
          <cell r="A10998">
            <v>43496</v>
          </cell>
        </row>
        <row r="10999">
          <cell r="A10999">
            <v>43918</v>
          </cell>
        </row>
        <row r="11000">
          <cell r="A11000">
            <v>43557</v>
          </cell>
        </row>
        <row r="11001">
          <cell r="A11001">
            <v>43762</v>
          </cell>
        </row>
        <row r="11002">
          <cell r="A11002">
            <v>43235</v>
          </cell>
        </row>
        <row r="11003">
          <cell r="A11003">
            <v>43512</v>
          </cell>
        </row>
        <row r="11004">
          <cell r="A11004">
            <v>43751</v>
          </cell>
        </row>
        <row r="11005">
          <cell r="A11005">
            <v>43868</v>
          </cell>
        </row>
        <row r="11006">
          <cell r="A11006">
            <v>43630</v>
          </cell>
        </row>
        <row r="11007">
          <cell r="A11007">
            <v>43856</v>
          </cell>
        </row>
        <row r="11008">
          <cell r="A11008">
            <v>43534</v>
          </cell>
        </row>
        <row r="11009">
          <cell r="A11009">
            <v>43586</v>
          </cell>
        </row>
        <row r="11010">
          <cell r="A11010">
            <v>43349</v>
          </cell>
        </row>
        <row r="11011">
          <cell r="A11011">
            <v>43602</v>
          </cell>
        </row>
        <row r="11012">
          <cell r="A11012">
            <v>43748</v>
          </cell>
        </row>
        <row r="11013">
          <cell r="A11013">
            <v>43235</v>
          </cell>
        </row>
        <row r="11014">
          <cell r="A11014">
            <v>43802</v>
          </cell>
        </row>
        <row r="11015">
          <cell r="A11015">
            <v>43816</v>
          </cell>
        </row>
        <row r="11016">
          <cell r="A11016">
            <v>43736</v>
          </cell>
        </row>
        <row r="11017">
          <cell r="A11017">
            <v>43115</v>
          </cell>
        </row>
        <row r="11018">
          <cell r="A11018">
            <v>43650</v>
          </cell>
        </row>
        <row r="11019">
          <cell r="A11019">
            <v>43271</v>
          </cell>
        </row>
        <row r="11020">
          <cell r="A11020">
            <v>43120</v>
          </cell>
        </row>
        <row r="11021">
          <cell r="A11021">
            <v>43404</v>
          </cell>
        </row>
        <row r="11022">
          <cell r="A11022">
            <v>43820</v>
          </cell>
        </row>
        <row r="11023">
          <cell r="A11023">
            <v>43308</v>
          </cell>
        </row>
        <row r="11024">
          <cell r="A11024">
            <v>43638</v>
          </cell>
        </row>
        <row r="11025">
          <cell r="A11025">
            <v>43379</v>
          </cell>
        </row>
        <row r="11026">
          <cell r="A11026">
            <v>43205</v>
          </cell>
        </row>
        <row r="11027">
          <cell r="A11027">
            <v>43598</v>
          </cell>
        </row>
        <row r="11028">
          <cell r="A11028">
            <v>43454</v>
          </cell>
        </row>
        <row r="11029">
          <cell r="A11029">
            <v>43309</v>
          </cell>
        </row>
        <row r="11030">
          <cell r="A11030">
            <v>43442</v>
          </cell>
        </row>
        <row r="11031">
          <cell r="A11031">
            <v>43680</v>
          </cell>
        </row>
        <row r="11032">
          <cell r="A11032">
            <v>43132</v>
          </cell>
        </row>
        <row r="11033">
          <cell r="A11033">
            <v>43759</v>
          </cell>
        </row>
        <row r="11034">
          <cell r="A11034">
            <v>43905</v>
          </cell>
        </row>
        <row r="11035">
          <cell r="A11035">
            <v>43329</v>
          </cell>
        </row>
        <row r="11036">
          <cell r="A11036">
            <v>43446</v>
          </cell>
        </row>
        <row r="11037">
          <cell r="A11037">
            <v>43842</v>
          </cell>
        </row>
        <row r="11038">
          <cell r="A11038">
            <v>43533</v>
          </cell>
        </row>
        <row r="11039">
          <cell r="A11039">
            <v>43500</v>
          </cell>
        </row>
        <row r="11040">
          <cell r="A11040">
            <v>43111</v>
          </cell>
        </row>
        <row r="11041">
          <cell r="A11041">
            <v>43673</v>
          </cell>
        </row>
        <row r="11042">
          <cell r="A11042">
            <v>43796</v>
          </cell>
        </row>
        <row r="11043">
          <cell r="A11043">
            <v>43349</v>
          </cell>
        </row>
        <row r="11044">
          <cell r="A11044">
            <v>43662</v>
          </cell>
        </row>
        <row r="11045">
          <cell r="A11045">
            <v>43344</v>
          </cell>
        </row>
        <row r="11046">
          <cell r="A11046">
            <v>43626</v>
          </cell>
        </row>
        <row r="11047">
          <cell r="A11047">
            <v>43757</v>
          </cell>
        </row>
        <row r="11048">
          <cell r="A11048">
            <v>43756</v>
          </cell>
        </row>
        <row r="11049">
          <cell r="A11049">
            <v>43878</v>
          </cell>
        </row>
        <row r="11050">
          <cell r="A11050">
            <v>43650</v>
          </cell>
        </row>
        <row r="11051">
          <cell r="A11051">
            <v>43204</v>
          </cell>
        </row>
        <row r="11052">
          <cell r="A11052">
            <v>43429</v>
          </cell>
        </row>
        <row r="11053">
          <cell r="A11053">
            <v>43153</v>
          </cell>
        </row>
        <row r="11054">
          <cell r="A11054">
            <v>43718</v>
          </cell>
        </row>
        <row r="11055">
          <cell r="A11055">
            <v>43138</v>
          </cell>
        </row>
        <row r="11056">
          <cell r="A11056">
            <v>43383</v>
          </cell>
        </row>
        <row r="11057">
          <cell r="A11057">
            <v>43766</v>
          </cell>
        </row>
        <row r="11058">
          <cell r="A11058">
            <v>43131</v>
          </cell>
        </row>
        <row r="11059">
          <cell r="A11059">
            <v>43240</v>
          </cell>
        </row>
        <row r="11060">
          <cell r="A11060">
            <v>43561</v>
          </cell>
        </row>
        <row r="11061">
          <cell r="A11061">
            <v>43889</v>
          </cell>
        </row>
        <row r="11062">
          <cell r="A11062">
            <v>43271</v>
          </cell>
        </row>
        <row r="11063">
          <cell r="A11063">
            <v>43440</v>
          </cell>
        </row>
        <row r="11064">
          <cell r="A11064">
            <v>43414</v>
          </cell>
        </row>
        <row r="11065">
          <cell r="A11065">
            <v>43629</v>
          </cell>
        </row>
        <row r="11066">
          <cell r="A11066">
            <v>43446</v>
          </cell>
        </row>
        <row r="11067">
          <cell r="A11067">
            <v>43139</v>
          </cell>
        </row>
        <row r="11068">
          <cell r="A11068">
            <v>43508</v>
          </cell>
        </row>
        <row r="11069">
          <cell r="A11069">
            <v>43281</v>
          </cell>
        </row>
        <row r="11070">
          <cell r="A11070">
            <v>43312</v>
          </cell>
        </row>
        <row r="11071">
          <cell r="A11071">
            <v>43305</v>
          </cell>
        </row>
        <row r="11072">
          <cell r="A11072">
            <v>43631</v>
          </cell>
        </row>
        <row r="11073">
          <cell r="A11073">
            <v>43734</v>
          </cell>
        </row>
        <row r="11074">
          <cell r="A11074">
            <v>43277</v>
          </cell>
        </row>
        <row r="11075">
          <cell r="A11075">
            <v>43324</v>
          </cell>
        </row>
        <row r="11076">
          <cell r="A11076">
            <v>43168</v>
          </cell>
        </row>
        <row r="11077">
          <cell r="A11077">
            <v>43421</v>
          </cell>
        </row>
        <row r="11078">
          <cell r="A11078">
            <v>43511</v>
          </cell>
        </row>
        <row r="11079">
          <cell r="A11079">
            <v>43536</v>
          </cell>
        </row>
        <row r="11080">
          <cell r="A11080">
            <v>43371</v>
          </cell>
        </row>
        <row r="11081">
          <cell r="A11081">
            <v>43219</v>
          </cell>
        </row>
        <row r="11082">
          <cell r="A11082">
            <v>43305</v>
          </cell>
        </row>
        <row r="11083">
          <cell r="A11083">
            <v>43707</v>
          </cell>
        </row>
        <row r="11084">
          <cell r="A11084">
            <v>43542</v>
          </cell>
        </row>
        <row r="11085">
          <cell r="A11085">
            <v>43601</v>
          </cell>
        </row>
        <row r="11086">
          <cell r="A11086">
            <v>43711</v>
          </cell>
        </row>
        <row r="11087">
          <cell r="A11087">
            <v>43432</v>
          </cell>
        </row>
        <row r="11088">
          <cell r="A11088">
            <v>43416</v>
          </cell>
        </row>
        <row r="11089">
          <cell r="A11089">
            <v>43345</v>
          </cell>
        </row>
        <row r="11090">
          <cell r="A11090">
            <v>43361</v>
          </cell>
        </row>
        <row r="11091">
          <cell r="A11091">
            <v>43788</v>
          </cell>
        </row>
        <row r="11092">
          <cell r="A11092">
            <v>43380</v>
          </cell>
        </row>
        <row r="11093">
          <cell r="A11093">
            <v>43816</v>
          </cell>
        </row>
        <row r="11094">
          <cell r="A11094">
            <v>43351</v>
          </cell>
        </row>
        <row r="11095">
          <cell r="A11095">
            <v>43160</v>
          </cell>
        </row>
        <row r="11096">
          <cell r="A11096">
            <v>43169</v>
          </cell>
        </row>
        <row r="11097">
          <cell r="A11097">
            <v>43159</v>
          </cell>
        </row>
        <row r="11098">
          <cell r="A11098">
            <v>43477</v>
          </cell>
        </row>
        <row r="11099">
          <cell r="A11099">
            <v>43632</v>
          </cell>
        </row>
        <row r="11100">
          <cell r="A11100">
            <v>43490</v>
          </cell>
        </row>
        <row r="11101">
          <cell r="A11101">
            <v>43124</v>
          </cell>
        </row>
        <row r="11102">
          <cell r="A11102">
            <v>43654</v>
          </cell>
        </row>
        <row r="11103">
          <cell r="A11103">
            <v>43549</v>
          </cell>
        </row>
        <row r="11104">
          <cell r="A11104">
            <v>43490</v>
          </cell>
        </row>
        <row r="11105">
          <cell r="A11105">
            <v>43531</v>
          </cell>
        </row>
        <row r="11106">
          <cell r="A11106">
            <v>43413</v>
          </cell>
        </row>
        <row r="11107">
          <cell r="A11107">
            <v>43512</v>
          </cell>
        </row>
        <row r="11108">
          <cell r="A11108">
            <v>43260</v>
          </cell>
        </row>
        <row r="11109">
          <cell r="A11109">
            <v>43459</v>
          </cell>
        </row>
        <row r="11110">
          <cell r="A11110">
            <v>43457</v>
          </cell>
        </row>
        <row r="11111">
          <cell r="A11111">
            <v>43637</v>
          </cell>
        </row>
        <row r="11112">
          <cell r="A11112">
            <v>43739</v>
          </cell>
        </row>
        <row r="11113">
          <cell r="A11113">
            <v>43882</v>
          </cell>
        </row>
        <row r="11114">
          <cell r="A11114">
            <v>43830</v>
          </cell>
        </row>
        <row r="11115">
          <cell r="A11115">
            <v>43308</v>
          </cell>
        </row>
        <row r="11116">
          <cell r="A11116">
            <v>43255</v>
          </cell>
        </row>
        <row r="11117">
          <cell r="A11117">
            <v>43454</v>
          </cell>
        </row>
        <row r="11118">
          <cell r="A11118">
            <v>43443</v>
          </cell>
        </row>
        <row r="11119">
          <cell r="A11119">
            <v>43909</v>
          </cell>
        </row>
        <row r="11120">
          <cell r="A11120">
            <v>43820</v>
          </cell>
        </row>
        <row r="11121">
          <cell r="A11121">
            <v>43488</v>
          </cell>
        </row>
        <row r="11122">
          <cell r="A11122">
            <v>43827</v>
          </cell>
        </row>
        <row r="11123">
          <cell r="A11123">
            <v>43463</v>
          </cell>
        </row>
        <row r="11124">
          <cell r="A11124">
            <v>43372</v>
          </cell>
        </row>
        <row r="11125">
          <cell r="A11125">
            <v>43864</v>
          </cell>
        </row>
        <row r="11126">
          <cell r="A11126">
            <v>43480</v>
          </cell>
        </row>
        <row r="11127">
          <cell r="A11127">
            <v>43519</v>
          </cell>
        </row>
        <row r="11128">
          <cell r="A11128">
            <v>43310</v>
          </cell>
        </row>
        <row r="11129">
          <cell r="A11129">
            <v>43618</v>
          </cell>
        </row>
        <row r="11130">
          <cell r="A11130">
            <v>43653</v>
          </cell>
        </row>
        <row r="11131">
          <cell r="A11131">
            <v>43868</v>
          </cell>
        </row>
        <row r="11132">
          <cell r="A11132">
            <v>43123</v>
          </cell>
        </row>
        <row r="11133">
          <cell r="A11133">
            <v>43476</v>
          </cell>
        </row>
        <row r="11134">
          <cell r="A11134">
            <v>43894</v>
          </cell>
        </row>
        <row r="11135">
          <cell r="A11135">
            <v>43255</v>
          </cell>
        </row>
        <row r="11136">
          <cell r="A11136">
            <v>43583</v>
          </cell>
        </row>
        <row r="11137">
          <cell r="A11137">
            <v>43205</v>
          </cell>
        </row>
        <row r="11138">
          <cell r="A11138">
            <v>43863</v>
          </cell>
        </row>
        <row r="11139">
          <cell r="A11139">
            <v>43893</v>
          </cell>
        </row>
        <row r="11140">
          <cell r="A11140">
            <v>43155</v>
          </cell>
        </row>
        <row r="11141">
          <cell r="A11141">
            <v>43454</v>
          </cell>
        </row>
        <row r="11142">
          <cell r="A11142">
            <v>43799</v>
          </cell>
        </row>
        <row r="11143">
          <cell r="A11143">
            <v>43128</v>
          </cell>
        </row>
        <row r="11144">
          <cell r="A11144">
            <v>43615</v>
          </cell>
        </row>
        <row r="11145">
          <cell r="A11145">
            <v>43782</v>
          </cell>
        </row>
        <row r="11146">
          <cell r="A11146">
            <v>43500</v>
          </cell>
        </row>
        <row r="11147">
          <cell r="A11147">
            <v>43777</v>
          </cell>
        </row>
        <row r="11148">
          <cell r="A11148">
            <v>43777</v>
          </cell>
        </row>
        <row r="11149">
          <cell r="A11149">
            <v>43786</v>
          </cell>
        </row>
        <row r="11150">
          <cell r="A11150">
            <v>43843</v>
          </cell>
        </row>
        <row r="11151">
          <cell r="A11151">
            <v>43837</v>
          </cell>
        </row>
        <row r="11152">
          <cell r="A11152">
            <v>43199</v>
          </cell>
        </row>
        <row r="11153">
          <cell r="A11153">
            <v>43796</v>
          </cell>
        </row>
        <row r="11154">
          <cell r="A11154">
            <v>43867</v>
          </cell>
        </row>
        <row r="11155">
          <cell r="A11155">
            <v>43629</v>
          </cell>
        </row>
        <row r="11156">
          <cell r="A11156">
            <v>43494</v>
          </cell>
        </row>
        <row r="11157">
          <cell r="A11157">
            <v>43442</v>
          </cell>
        </row>
        <row r="11158">
          <cell r="A11158">
            <v>43395</v>
          </cell>
        </row>
        <row r="11159">
          <cell r="A11159">
            <v>43447</v>
          </cell>
        </row>
        <row r="11160">
          <cell r="A11160">
            <v>43588</v>
          </cell>
        </row>
        <row r="11161">
          <cell r="A11161">
            <v>43902</v>
          </cell>
        </row>
        <row r="11162">
          <cell r="A11162">
            <v>43334</v>
          </cell>
        </row>
        <row r="11163">
          <cell r="A11163">
            <v>43522</v>
          </cell>
        </row>
        <row r="11164">
          <cell r="A11164">
            <v>43390</v>
          </cell>
        </row>
        <row r="11165">
          <cell r="A11165">
            <v>43439</v>
          </cell>
        </row>
        <row r="11166">
          <cell r="A11166">
            <v>43285</v>
          </cell>
        </row>
        <row r="11167">
          <cell r="A11167">
            <v>43796</v>
          </cell>
        </row>
        <row r="11168">
          <cell r="A11168">
            <v>43384</v>
          </cell>
        </row>
        <row r="11169">
          <cell r="A11169">
            <v>43226</v>
          </cell>
        </row>
        <row r="11170">
          <cell r="A11170">
            <v>43571</v>
          </cell>
        </row>
        <row r="11171">
          <cell r="A11171">
            <v>43847</v>
          </cell>
        </row>
        <row r="11172">
          <cell r="A11172">
            <v>43643</v>
          </cell>
        </row>
        <row r="11173">
          <cell r="A11173">
            <v>43346</v>
          </cell>
        </row>
        <row r="11174">
          <cell r="A11174">
            <v>43417</v>
          </cell>
        </row>
        <row r="11175">
          <cell r="A11175">
            <v>43562</v>
          </cell>
        </row>
        <row r="11176">
          <cell r="A11176">
            <v>43790</v>
          </cell>
        </row>
        <row r="11177">
          <cell r="A11177">
            <v>43861</v>
          </cell>
        </row>
        <row r="11178">
          <cell r="A11178">
            <v>43738</v>
          </cell>
        </row>
        <row r="11179">
          <cell r="A11179">
            <v>43296</v>
          </cell>
        </row>
        <row r="11180">
          <cell r="A11180">
            <v>43478</v>
          </cell>
        </row>
        <row r="11181">
          <cell r="A11181">
            <v>43228</v>
          </cell>
        </row>
        <row r="11182">
          <cell r="A11182">
            <v>43167</v>
          </cell>
        </row>
        <row r="11183">
          <cell r="A11183">
            <v>43466</v>
          </cell>
        </row>
        <row r="11184">
          <cell r="A11184">
            <v>43524</v>
          </cell>
        </row>
        <row r="11185">
          <cell r="A11185">
            <v>43140</v>
          </cell>
        </row>
        <row r="11186">
          <cell r="A11186">
            <v>43450</v>
          </cell>
        </row>
        <row r="11187">
          <cell r="A11187">
            <v>43134</v>
          </cell>
        </row>
        <row r="11188">
          <cell r="A11188">
            <v>43748</v>
          </cell>
        </row>
        <row r="11189">
          <cell r="A11189">
            <v>43498</v>
          </cell>
        </row>
        <row r="11190">
          <cell r="A11190">
            <v>43111</v>
          </cell>
        </row>
        <row r="11191">
          <cell r="A11191">
            <v>43150</v>
          </cell>
        </row>
        <row r="11192">
          <cell r="A11192">
            <v>43433</v>
          </cell>
        </row>
        <row r="11193">
          <cell r="A11193">
            <v>43133</v>
          </cell>
        </row>
        <row r="11194">
          <cell r="A11194">
            <v>43617</v>
          </cell>
        </row>
        <row r="11195">
          <cell r="A11195">
            <v>43801</v>
          </cell>
        </row>
        <row r="11196">
          <cell r="A11196">
            <v>43361</v>
          </cell>
        </row>
        <row r="11197">
          <cell r="A11197">
            <v>43508</v>
          </cell>
        </row>
        <row r="11198">
          <cell r="A11198">
            <v>43350</v>
          </cell>
        </row>
        <row r="11199">
          <cell r="A11199">
            <v>43829</v>
          </cell>
        </row>
        <row r="11200">
          <cell r="A11200">
            <v>43431</v>
          </cell>
        </row>
        <row r="11201">
          <cell r="A11201">
            <v>43861</v>
          </cell>
        </row>
        <row r="11202">
          <cell r="A11202">
            <v>43812</v>
          </cell>
        </row>
        <row r="11203">
          <cell r="A11203">
            <v>43662</v>
          </cell>
        </row>
        <row r="11204">
          <cell r="A11204">
            <v>43845</v>
          </cell>
        </row>
        <row r="11205">
          <cell r="A11205">
            <v>43730</v>
          </cell>
        </row>
        <row r="11206">
          <cell r="A11206">
            <v>43141</v>
          </cell>
        </row>
        <row r="11207">
          <cell r="A11207">
            <v>43790</v>
          </cell>
        </row>
        <row r="11208">
          <cell r="A11208">
            <v>43436</v>
          </cell>
        </row>
        <row r="11209">
          <cell r="A11209">
            <v>43778</v>
          </cell>
        </row>
        <row r="11210">
          <cell r="A11210">
            <v>43183</v>
          </cell>
        </row>
        <row r="11211">
          <cell r="A11211">
            <v>43249</v>
          </cell>
        </row>
        <row r="11212">
          <cell r="A11212">
            <v>43128</v>
          </cell>
        </row>
        <row r="11213">
          <cell r="A11213">
            <v>43239</v>
          </cell>
        </row>
        <row r="11214">
          <cell r="A11214">
            <v>43588</v>
          </cell>
        </row>
        <row r="11215">
          <cell r="A11215">
            <v>43615</v>
          </cell>
        </row>
        <row r="11216">
          <cell r="A11216">
            <v>43189</v>
          </cell>
        </row>
        <row r="11217">
          <cell r="A11217">
            <v>43146</v>
          </cell>
        </row>
        <row r="11218">
          <cell r="A11218">
            <v>43146</v>
          </cell>
        </row>
        <row r="11219">
          <cell r="A11219">
            <v>43788</v>
          </cell>
        </row>
        <row r="11220">
          <cell r="A11220">
            <v>43909</v>
          </cell>
        </row>
        <row r="11221">
          <cell r="A11221">
            <v>43293</v>
          </cell>
        </row>
        <row r="11222">
          <cell r="A11222">
            <v>43774</v>
          </cell>
        </row>
        <row r="11223">
          <cell r="A11223">
            <v>43321</v>
          </cell>
        </row>
        <row r="11224">
          <cell r="A11224">
            <v>43518</v>
          </cell>
        </row>
        <row r="11225">
          <cell r="A11225">
            <v>43584</v>
          </cell>
        </row>
        <row r="11226">
          <cell r="A11226">
            <v>43330</v>
          </cell>
        </row>
        <row r="11227">
          <cell r="A11227">
            <v>43261</v>
          </cell>
        </row>
        <row r="11228">
          <cell r="A11228">
            <v>43707</v>
          </cell>
        </row>
        <row r="11229">
          <cell r="A11229">
            <v>43427</v>
          </cell>
        </row>
        <row r="11230">
          <cell r="A11230">
            <v>43104</v>
          </cell>
        </row>
        <row r="11231">
          <cell r="A11231">
            <v>43154</v>
          </cell>
        </row>
        <row r="11232">
          <cell r="A11232">
            <v>43454</v>
          </cell>
        </row>
        <row r="11233">
          <cell r="A11233">
            <v>43521</v>
          </cell>
        </row>
        <row r="11234">
          <cell r="A11234">
            <v>43820</v>
          </cell>
        </row>
        <row r="11235">
          <cell r="A11235">
            <v>43847</v>
          </cell>
        </row>
        <row r="11236">
          <cell r="A11236">
            <v>43235</v>
          </cell>
        </row>
        <row r="11237">
          <cell r="A11237">
            <v>43535</v>
          </cell>
        </row>
        <row r="11238">
          <cell r="A11238">
            <v>43564</v>
          </cell>
        </row>
        <row r="11239">
          <cell r="A11239">
            <v>43851</v>
          </cell>
        </row>
        <row r="11240">
          <cell r="A11240">
            <v>43310</v>
          </cell>
        </row>
        <row r="11241">
          <cell r="A11241">
            <v>43359</v>
          </cell>
        </row>
        <row r="11242">
          <cell r="A11242">
            <v>43900</v>
          </cell>
        </row>
        <row r="11243">
          <cell r="A11243">
            <v>43607</v>
          </cell>
        </row>
        <row r="11244">
          <cell r="A11244">
            <v>43276</v>
          </cell>
        </row>
        <row r="11245">
          <cell r="A11245">
            <v>43166</v>
          </cell>
        </row>
        <row r="11246">
          <cell r="A11246">
            <v>43281</v>
          </cell>
        </row>
        <row r="11247">
          <cell r="A11247">
            <v>43883</v>
          </cell>
        </row>
        <row r="11248">
          <cell r="A11248">
            <v>43770</v>
          </cell>
        </row>
        <row r="11249">
          <cell r="A11249">
            <v>43207</v>
          </cell>
        </row>
        <row r="11250">
          <cell r="A11250">
            <v>43626</v>
          </cell>
        </row>
        <row r="11251">
          <cell r="A11251">
            <v>43332</v>
          </cell>
        </row>
        <row r="11252">
          <cell r="A11252">
            <v>43854</v>
          </cell>
        </row>
        <row r="11253">
          <cell r="A11253">
            <v>43188</v>
          </cell>
        </row>
        <row r="11254">
          <cell r="A11254">
            <v>43292</v>
          </cell>
        </row>
        <row r="11255">
          <cell r="A11255">
            <v>43236</v>
          </cell>
        </row>
        <row r="11256">
          <cell r="A11256">
            <v>43226</v>
          </cell>
        </row>
        <row r="11257">
          <cell r="A11257">
            <v>43677</v>
          </cell>
        </row>
        <row r="11258">
          <cell r="A11258">
            <v>43482</v>
          </cell>
        </row>
        <row r="11259">
          <cell r="A11259">
            <v>43837</v>
          </cell>
        </row>
        <row r="11260">
          <cell r="A11260">
            <v>43668</v>
          </cell>
        </row>
        <row r="11261">
          <cell r="A11261">
            <v>43384</v>
          </cell>
        </row>
        <row r="11262">
          <cell r="A11262">
            <v>43521</v>
          </cell>
        </row>
        <row r="11263">
          <cell r="A11263">
            <v>43544</v>
          </cell>
        </row>
        <row r="11264">
          <cell r="A11264">
            <v>43827</v>
          </cell>
        </row>
        <row r="11265">
          <cell r="A11265">
            <v>43903</v>
          </cell>
        </row>
        <row r="11266">
          <cell r="A11266">
            <v>43818</v>
          </cell>
        </row>
        <row r="11267">
          <cell r="A11267">
            <v>43704</v>
          </cell>
        </row>
        <row r="11268">
          <cell r="A11268">
            <v>43871</v>
          </cell>
        </row>
        <row r="11269">
          <cell r="A11269">
            <v>43681</v>
          </cell>
        </row>
        <row r="11270">
          <cell r="A11270">
            <v>43255</v>
          </cell>
        </row>
        <row r="11271">
          <cell r="A11271">
            <v>43283</v>
          </cell>
        </row>
        <row r="11272">
          <cell r="A11272">
            <v>43870</v>
          </cell>
        </row>
        <row r="11273">
          <cell r="A11273">
            <v>43360</v>
          </cell>
        </row>
        <row r="11274">
          <cell r="A11274">
            <v>43305</v>
          </cell>
        </row>
        <row r="11275">
          <cell r="A11275">
            <v>43453</v>
          </cell>
        </row>
        <row r="11276">
          <cell r="A11276">
            <v>43778</v>
          </cell>
        </row>
        <row r="11277">
          <cell r="A11277">
            <v>43128</v>
          </cell>
        </row>
        <row r="11278">
          <cell r="A11278">
            <v>43543</v>
          </cell>
        </row>
        <row r="11279">
          <cell r="A11279">
            <v>43590</v>
          </cell>
        </row>
        <row r="11280">
          <cell r="A11280">
            <v>43312</v>
          </cell>
        </row>
        <row r="11281">
          <cell r="A11281">
            <v>43296</v>
          </cell>
        </row>
        <row r="11282">
          <cell r="A11282">
            <v>43696</v>
          </cell>
        </row>
        <row r="11283">
          <cell r="A11283">
            <v>43311</v>
          </cell>
        </row>
        <row r="11284">
          <cell r="A11284">
            <v>43817</v>
          </cell>
        </row>
        <row r="11285">
          <cell r="A11285">
            <v>43451</v>
          </cell>
        </row>
        <row r="11286">
          <cell r="A11286">
            <v>43384</v>
          </cell>
        </row>
        <row r="11287">
          <cell r="A11287">
            <v>43128</v>
          </cell>
        </row>
        <row r="11288">
          <cell r="A11288">
            <v>43264</v>
          </cell>
        </row>
        <row r="11289">
          <cell r="A11289">
            <v>43361</v>
          </cell>
        </row>
        <row r="11290">
          <cell r="A11290">
            <v>43507</v>
          </cell>
        </row>
        <row r="11291">
          <cell r="A11291">
            <v>43820</v>
          </cell>
        </row>
        <row r="11292">
          <cell r="A11292">
            <v>43610</v>
          </cell>
        </row>
        <row r="11293">
          <cell r="A11293">
            <v>43738</v>
          </cell>
        </row>
        <row r="11294">
          <cell r="A11294">
            <v>43434</v>
          </cell>
        </row>
        <row r="11295">
          <cell r="A11295">
            <v>43817</v>
          </cell>
        </row>
        <row r="11296">
          <cell r="A11296">
            <v>43730</v>
          </cell>
        </row>
        <row r="11297">
          <cell r="A11297">
            <v>43658</v>
          </cell>
        </row>
        <row r="11298">
          <cell r="A11298">
            <v>43367</v>
          </cell>
        </row>
        <row r="11299">
          <cell r="A11299">
            <v>43836</v>
          </cell>
        </row>
        <row r="11300">
          <cell r="A11300">
            <v>43525</v>
          </cell>
        </row>
        <row r="11301">
          <cell r="A11301">
            <v>43917</v>
          </cell>
        </row>
        <row r="11302">
          <cell r="A11302">
            <v>43356</v>
          </cell>
        </row>
        <row r="11303">
          <cell r="A11303">
            <v>43564</v>
          </cell>
        </row>
        <row r="11304">
          <cell r="A11304">
            <v>43742</v>
          </cell>
        </row>
        <row r="11305">
          <cell r="A11305">
            <v>43524</v>
          </cell>
        </row>
        <row r="11306">
          <cell r="A11306">
            <v>43638</v>
          </cell>
        </row>
        <row r="11307">
          <cell r="A11307">
            <v>43510</v>
          </cell>
        </row>
        <row r="11308">
          <cell r="A11308">
            <v>43550</v>
          </cell>
        </row>
        <row r="11309">
          <cell r="A11309">
            <v>43612</v>
          </cell>
        </row>
        <row r="11310">
          <cell r="A11310">
            <v>43300</v>
          </cell>
        </row>
        <row r="11311">
          <cell r="A11311">
            <v>43858</v>
          </cell>
        </row>
        <row r="11312">
          <cell r="A11312">
            <v>43590</v>
          </cell>
        </row>
        <row r="11313">
          <cell r="A11313">
            <v>43597</v>
          </cell>
        </row>
        <row r="11314">
          <cell r="A11314">
            <v>43418</v>
          </cell>
        </row>
        <row r="11315">
          <cell r="A11315">
            <v>43908</v>
          </cell>
        </row>
        <row r="11316">
          <cell r="A11316">
            <v>43428</v>
          </cell>
        </row>
        <row r="11317">
          <cell r="A11317">
            <v>43679</v>
          </cell>
        </row>
        <row r="11318">
          <cell r="A11318">
            <v>43878</v>
          </cell>
        </row>
        <row r="11319">
          <cell r="A11319">
            <v>43874</v>
          </cell>
        </row>
        <row r="11320">
          <cell r="A11320">
            <v>43187</v>
          </cell>
        </row>
        <row r="11321">
          <cell r="A11321">
            <v>43331</v>
          </cell>
        </row>
        <row r="11322">
          <cell r="A11322">
            <v>43125</v>
          </cell>
        </row>
        <row r="11323">
          <cell r="A11323">
            <v>43828</v>
          </cell>
        </row>
        <row r="11324">
          <cell r="A11324">
            <v>43155</v>
          </cell>
        </row>
        <row r="11325">
          <cell r="A11325">
            <v>43654</v>
          </cell>
        </row>
        <row r="11326">
          <cell r="A11326">
            <v>43303</v>
          </cell>
        </row>
        <row r="11327">
          <cell r="A11327">
            <v>43745</v>
          </cell>
        </row>
        <row r="11328">
          <cell r="A11328">
            <v>43429</v>
          </cell>
        </row>
        <row r="11329">
          <cell r="A11329">
            <v>43770</v>
          </cell>
        </row>
        <row r="11330">
          <cell r="A11330">
            <v>43464</v>
          </cell>
        </row>
        <row r="11331">
          <cell r="A11331">
            <v>43630</v>
          </cell>
        </row>
        <row r="11332">
          <cell r="A11332">
            <v>43639</v>
          </cell>
        </row>
        <row r="11333">
          <cell r="A11333">
            <v>43661</v>
          </cell>
        </row>
        <row r="11334">
          <cell r="A11334">
            <v>43154</v>
          </cell>
        </row>
        <row r="11335">
          <cell r="A11335">
            <v>43136</v>
          </cell>
        </row>
        <row r="11336">
          <cell r="A11336">
            <v>43102</v>
          </cell>
        </row>
        <row r="11337">
          <cell r="A11337">
            <v>43244</v>
          </cell>
        </row>
        <row r="11338">
          <cell r="A11338">
            <v>43124</v>
          </cell>
        </row>
        <row r="11339">
          <cell r="A11339">
            <v>43365</v>
          </cell>
        </row>
        <row r="11340">
          <cell r="A11340">
            <v>43761</v>
          </cell>
        </row>
        <row r="11341">
          <cell r="A11341">
            <v>43168</v>
          </cell>
        </row>
        <row r="11342">
          <cell r="A11342">
            <v>43635</v>
          </cell>
        </row>
        <row r="11343">
          <cell r="A11343">
            <v>43144</v>
          </cell>
        </row>
        <row r="11344">
          <cell r="A11344">
            <v>43347</v>
          </cell>
        </row>
        <row r="11345">
          <cell r="A11345">
            <v>43531</v>
          </cell>
        </row>
        <row r="11346">
          <cell r="A11346">
            <v>43757</v>
          </cell>
        </row>
        <row r="11347">
          <cell r="A11347">
            <v>43399</v>
          </cell>
        </row>
        <row r="11348">
          <cell r="A11348">
            <v>43238</v>
          </cell>
        </row>
        <row r="11349">
          <cell r="A11349">
            <v>43367</v>
          </cell>
        </row>
        <row r="11350">
          <cell r="A11350">
            <v>43200</v>
          </cell>
        </row>
        <row r="11351">
          <cell r="A11351">
            <v>43654</v>
          </cell>
        </row>
        <row r="11352">
          <cell r="A11352">
            <v>43269</v>
          </cell>
        </row>
        <row r="11353">
          <cell r="A11353">
            <v>43178</v>
          </cell>
        </row>
        <row r="11354">
          <cell r="A11354">
            <v>43319</v>
          </cell>
        </row>
        <row r="11355">
          <cell r="A11355">
            <v>43845</v>
          </cell>
        </row>
        <row r="11356">
          <cell r="A11356">
            <v>43259</v>
          </cell>
        </row>
        <row r="11357">
          <cell r="A11357">
            <v>43633</v>
          </cell>
        </row>
        <row r="11358">
          <cell r="A11358">
            <v>43146</v>
          </cell>
        </row>
        <row r="11359">
          <cell r="A11359">
            <v>43149</v>
          </cell>
        </row>
        <row r="11360">
          <cell r="A11360">
            <v>43283</v>
          </cell>
        </row>
        <row r="11361">
          <cell r="A11361">
            <v>43129</v>
          </cell>
        </row>
        <row r="11362">
          <cell r="A11362">
            <v>43391</v>
          </cell>
        </row>
        <row r="11363">
          <cell r="A11363">
            <v>43357</v>
          </cell>
        </row>
        <row r="11364">
          <cell r="A11364">
            <v>43362</v>
          </cell>
        </row>
        <row r="11365">
          <cell r="A11365">
            <v>43759</v>
          </cell>
        </row>
        <row r="11366">
          <cell r="A11366">
            <v>43131</v>
          </cell>
        </row>
        <row r="11367">
          <cell r="A11367">
            <v>43648</v>
          </cell>
        </row>
        <row r="11368">
          <cell r="A11368">
            <v>43492</v>
          </cell>
        </row>
        <row r="11369">
          <cell r="A11369">
            <v>43685</v>
          </cell>
        </row>
        <row r="11370">
          <cell r="A11370">
            <v>43427</v>
          </cell>
        </row>
        <row r="11371">
          <cell r="A11371">
            <v>43506</v>
          </cell>
        </row>
        <row r="11372">
          <cell r="A11372">
            <v>43670</v>
          </cell>
        </row>
        <row r="11373">
          <cell r="A11373">
            <v>43469</v>
          </cell>
        </row>
        <row r="11374">
          <cell r="A11374">
            <v>43772</v>
          </cell>
        </row>
        <row r="11375">
          <cell r="A11375">
            <v>43144</v>
          </cell>
        </row>
        <row r="11376">
          <cell r="A11376">
            <v>43333</v>
          </cell>
        </row>
        <row r="11377">
          <cell r="A11377">
            <v>43132</v>
          </cell>
        </row>
        <row r="11378">
          <cell r="A11378">
            <v>43470</v>
          </cell>
        </row>
        <row r="11379">
          <cell r="A11379">
            <v>43632</v>
          </cell>
        </row>
        <row r="11380">
          <cell r="A11380">
            <v>43217</v>
          </cell>
        </row>
        <row r="11381">
          <cell r="A11381">
            <v>43660</v>
          </cell>
        </row>
        <row r="11382">
          <cell r="A11382">
            <v>43916</v>
          </cell>
        </row>
        <row r="11383">
          <cell r="A11383">
            <v>43390</v>
          </cell>
        </row>
        <row r="11384">
          <cell r="A11384">
            <v>43459</v>
          </cell>
        </row>
        <row r="11385">
          <cell r="A11385">
            <v>43561</v>
          </cell>
        </row>
        <row r="11386">
          <cell r="A11386">
            <v>43664</v>
          </cell>
        </row>
        <row r="11387">
          <cell r="A11387">
            <v>43397</v>
          </cell>
        </row>
        <row r="11388">
          <cell r="A11388">
            <v>43850</v>
          </cell>
        </row>
        <row r="11389">
          <cell r="A11389">
            <v>43750</v>
          </cell>
        </row>
        <row r="11390">
          <cell r="A11390">
            <v>43823</v>
          </cell>
        </row>
        <row r="11391">
          <cell r="A11391">
            <v>43258</v>
          </cell>
        </row>
        <row r="11392">
          <cell r="A11392">
            <v>43843</v>
          </cell>
        </row>
        <row r="11393">
          <cell r="A11393">
            <v>43215</v>
          </cell>
        </row>
        <row r="11394">
          <cell r="A11394">
            <v>43650</v>
          </cell>
        </row>
        <row r="11395">
          <cell r="A11395">
            <v>43346</v>
          </cell>
        </row>
        <row r="11396">
          <cell r="A11396">
            <v>43621</v>
          </cell>
        </row>
        <row r="11397">
          <cell r="A11397">
            <v>43286</v>
          </cell>
        </row>
        <row r="11398">
          <cell r="A11398">
            <v>43428</v>
          </cell>
        </row>
        <row r="11399">
          <cell r="A11399">
            <v>43231</v>
          </cell>
        </row>
        <row r="11400">
          <cell r="A11400">
            <v>43902</v>
          </cell>
        </row>
        <row r="11401">
          <cell r="A11401">
            <v>43807</v>
          </cell>
        </row>
        <row r="11402">
          <cell r="A11402">
            <v>43415</v>
          </cell>
        </row>
        <row r="11403">
          <cell r="A11403">
            <v>43592</v>
          </cell>
        </row>
        <row r="11404">
          <cell r="A11404">
            <v>43560</v>
          </cell>
        </row>
        <row r="11405">
          <cell r="A11405">
            <v>43193</v>
          </cell>
        </row>
        <row r="11406">
          <cell r="A11406">
            <v>43744</v>
          </cell>
        </row>
        <row r="11407">
          <cell r="A11407">
            <v>43195</v>
          </cell>
        </row>
        <row r="11408">
          <cell r="A11408">
            <v>43665</v>
          </cell>
        </row>
        <row r="11409">
          <cell r="A11409">
            <v>43419</v>
          </cell>
        </row>
        <row r="11410">
          <cell r="A11410">
            <v>43331</v>
          </cell>
        </row>
        <row r="11411">
          <cell r="A11411">
            <v>43919</v>
          </cell>
        </row>
        <row r="11412">
          <cell r="A11412">
            <v>43905</v>
          </cell>
        </row>
        <row r="11413">
          <cell r="A11413">
            <v>43539</v>
          </cell>
        </row>
        <row r="11414">
          <cell r="A11414">
            <v>43444</v>
          </cell>
        </row>
        <row r="11415">
          <cell r="A11415">
            <v>43455</v>
          </cell>
        </row>
        <row r="11416">
          <cell r="A11416">
            <v>43159</v>
          </cell>
        </row>
        <row r="11417">
          <cell r="A11417">
            <v>43806</v>
          </cell>
        </row>
        <row r="11418">
          <cell r="A11418">
            <v>43744</v>
          </cell>
        </row>
        <row r="11419">
          <cell r="A11419">
            <v>43576</v>
          </cell>
        </row>
        <row r="11420">
          <cell r="A11420">
            <v>43730</v>
          </cell>
        </row>
        <row r="11421">
          <cell r="A11421">
            <v>43523</v>
          </cell>
        </row>
        <row r="11422">
          <cell r="A11422">
            <v>43505</v>
          </cell>
        </row>
        <row r="11423">
          <cell r="A11423">
            <v>43734</v>
          </cell>
        </row>
        <row r="11424">
          <cell r="A11424">
            <v>43868</v>
          </cell>
        </row>
        <row r="11425">
          <cell r="A11425">
            <v>43166</v>
          </cell>
        </row>
        <row r="11426">
          <cell r="A11426">
            <v>43187</v>
          </cell>
        </row>
        <row r="11427">
          <cell r="A11427">
            <v>43380</v>
          </cell>
        </row>
        <row r="11428">
          <cell r="A11428">
            <v>43321</v>
          </cell>
        </row>
        <row r="11429">
          <cell r="A11429">
            <v>43734</v>
          </cell>
        </row>
        <row r="11430">
          <cell r="A11430">
            <v>43742</v>
          </cell>
        </row>
        <row r="11431">
          <cell r="A11431">
            <v>43154</v>
          </cell>
        </row>
        <row r="11432">
          <cell r="A11432">
            <v>43112</v>
          </cell>
        </row>
        <row r="11433">
          <cell r="A11433">
            <v>43471</v>
          </cell>
        </row>
        <row r="11434">
          <cell r="A11434">
            <v>43599</v>
          </cell>
        </row>
        <row r="11435">
          <cell r="A11435">
            <v>43366</v>
          </cell>
        </row>
        <row r="11436">
          <cell r="A11436">
            <v>43135</v>
          </cell>
        </row>
        <row r="11437">
          <cell r="A11437">
            <v>43472</v>
          </cell>
        </row>
        <row r="11438">
          <cell r="A11438">
            <v>43794</v>
          </cell>
        </row>
        <row r="11439">
          <cell r="A11439">
            <v>43744</v>
          </cell>
        </row>
        <row r="11440">
          <cell r="A11440">
            <v>43448</v>
          </cell>
        </row>
        <row r="11441">
          <cell r="A11441">
            <v>43326</v>
          </cell>
        </row>
        <row r="11442">
          <cell r="A11442">
            <v>43565</v>
          </cell>
        </row>
        <row r="11443">
          <cell r="A11443">
            <v>43734</v>
          </cell>
        </row>
        <row r="11444">
          <cell r="A11444">
            <v>43301</v>
          </cell>
        </row>
        <row r="11445">
          <cell r="A11445">
            <v>43475</v>
          </cell>
        </row>
        <row r="11446">
          <cell r="A11446">
            <v>43113</v>
          </cell>
        </row>
        <row r="11447">
          <cell r="A11447">
            <v>43912</v>
          </cell>
        </row>
        <row r="11448">
          <cell r="A11448">
            <v>43867</v>
          </cell>
        </row>
        <row r="11449">
          <cell r="A11449">
            <v>43202</v>
          </cell>
        </row>
        <row r="11450">
          <cell r="A11450">
            <v>43641</v>
          </cell>
        </row>
        <row r="11451">
          <cell r="A11451">
            <v>43424</v>
          </cell>
        </row>
        <row r="11452">
          <cell r="A11452">
            <v>43344</v>
          </cell>
        </row>
        <row r="11453">
          <cell r="A11453">
            <v>43472</v>
          </cell>
        </row>
        <row r="11454">
          <cell r="A11454">
            <v>43892</v>
          </cell>
        </row>
        <row r="11455">
          <cell r="A11455">
            <v>43534</v>
          </cell>
        </row>
        <row r="11456">
          <cell r="A11456">
            <v>43399</v>
          </cell>
        </row>
        <row r="11457">
          <cell r="A11457">
            <v>43564</v>
          </cell>
        </row>
        <row r="11458">
          <cell r="A11458">
            <v>43279</v>
          </cell>
        </row>
        <row r="11459">
          <cell r="A11459">
            <v>43655</v>
          </cell>
        </row>
        <row r="11460">
          <cell r="A11460">
            <v>43657</v>
          </cell>
        </row>
        <row r="11461">
          <cell r="A11461">
            <v>43378</v>
          </cell>
        </row>
        <row r="11462">
          <cell r="A11462">
            <v>43313</v>
          </cell>
        </row>
        <row r="11463">
          <cell r="A11463">
            <v>43801</v>
          </cell>
        </row>
        <row r="11464">
          <cell r="A11464">
            <v>43873</v>
          </cell>
        </row>
        <row r="11465">
          <cell r="A11465">
            <v>43836</v>
          </cell>
        </row>
        <row r="11466">
          <cell r="A11466">
            <v>43617</v>
          </cell>
        </row>
        <row r="11467">
          <cell r="A11467">
            <v>43651</v>
          </cell>
        </row>
        <row r="11468">
          <cell r="A11468">
            <v>43791</v>
          </cell>
        </row>
        <row r="11469">
          <cell r="A11469">
            <v>43255</v>
          </cell>
        </row>
        <row r="11470">
          <cell r="A11470">
            <v>43713</v>
          </cell>
        </row>
        <row r="11471">
          <cell r="A11471">
            <v>43631</v>
          </cell>
        </row>
        <row r="11472">
          <cell r="A11472">
            <v>43713</v>
          </cell>
        </row>
        <row r="11473">
          <cell r="A11473">
            <v>43530</v>
          </cell>
        </row>
        <row r="11474">
          <cell r="A11474">
            <v>43612</v>
          </cell>
        </row>
        <row r="11475">
          <cell r="A11475">
            <v>43123</v>
          </cell>
        </row>
        <row r="11476">
          <cell r="A11476">
            <v>43183</v>
          </cell>
        </row>
        <row r="11477">
          <cell r="A11477">
            <v>43553</v>
          </cell>
        </row>
        <row r="11478">
          <cell r="A11478">
            <v>43700</v>
          </cell>
        </row>
        <row r="11479">
          <cell r="A11479">
            <v>43804</v>
          </cell>
        </row>
        <row r="11480">
          <cell r="A11480">
            <v>43770</v>
          </cell>
        </row>
        <row r="11481">
          <cell r="A11481">
            <v>43809</v>
          </cell>
        </row>
        <row r="11482">
          <cell r="A11482">
            <v>43602</v>
          </cell>
        </row>
        <row r="11483">
          <cell r="A11483">
            <v>43255</v>
          </cell>
        </row>
        <row r="11484">
          <cell r="A11484">
            <v>43205</v>
          </cell>
        </row>
        <row r="11485">
          <cell r="A11485">
            <v>43423</v>
          </cell>
        </row>
        <row r="11486">
          <cell r="A11486">
            <v>43915</v>
          </cell>
        </row>
        <row r="11487">
          <cell r="A11487">
            <v>43168</v>
          </cell>
        </row>
        <row r="11488">
          <cell r="A11488">
            <v>43903</v>
          </cell>
        </row>
        <row r="11489">
          <cell r="A11489">
            <v>43721</v>
          </cell>
        </row>
        <row r="11490">
          <cell r="A11490">
            <v>43842</v>
          </cell>
        </row>
        <row r="11491">
          <cell r="A11491">
            <v>43279</v>
          </cell>
        </row>
        <row r="11492">
          <cell r="A11492">
            <v>43522</v>
          </cell>
        </row>
        <row r="11493">
          <cell r="A11493">
            <v>43761</v>
          </cell>
        </row>
        <row r="11494">
          <cell r="A11494">
            <v>43661</v>
          </cell>
        </row>
        <row r="11495">
          <cell r="A11495">
            <v>43836</v>
          </cell>
        </row>
        <row r="11496">
          <cell r="A11496">
            <v>43421</v>
          </cell>
        </row>
        <row r="11497">
          <cell r="A11497">
            <v>43363</v>
          </cell>
        </row>
        <row r="11498">
          <cell r="A11498">
            <v>43344</v>
          </cell>
        </row>
        <row r="11499">
          <cell r="A11499">
            <v>43900</v>
          </cell>
        </row>
        <row r="11500">
          <cell r="A11500">
            <v>43740</v>
          </cell>
        </row>
        <row r="11501">
          <cell r="A11501">
            <v>43631</v>
          </cell>
        </row>
        <row r="11502">
          <cell r="A11502">
            <v>43219</v>
          </cell>
        </row>
        <row r="11503">
          <cell r="A11503">
            <v>43728</v>
          </cell>
        </row>
        <row r="11504">
          <cell r="A11504">
            <v>43719</v>
          </cell>
        </row>
        <row r="11505">
          <cell r="A11505">
            <v>43835</v>
          </cell>
        </row>
        <row r="11506">
          <cell r="A11506">
            <v>43325</v>
          </cell>
        </row>
        <row r="11507">
          <cell r="A11507">
            <v>43261</v>
          </cell>
        </row>
        <row r="11508">
          <cell r="A11508">
            <v>43179</v>
          </cell>
        </row>
        <row r="11509">
          <cell r="A11509">
            <v>43201</v>
          </cell>
        </row>
        <row r="11510">
          <cell r="A11510">
            <v>43839</v>
          </cell>
        </row>
        <row r="11511">
          <cell r="A11511">
            <v>43493</v>
          </cell>
        </row>
        <row r="11512">
          <cell r="A11512">
            <v>43829</v>
          </cell>
        </row>
        <row r="11513">
          <cell r="A11513">
            <v>43817</v>
          </cell>
        </row>
        <row r="11514">
          <cell r="A11514">
            <v>43755</v>
          </cell>
        </row>
        <row r="11515">
          <cell r="A11515">
            <v>43352</v>
          </cell>
        </row>
        <row r="11516">
          <cell r="A11516">
            <v>43564</v>
          </cell>
        </row>
        <row r="11517">
          <cell r="A11517">
            <v>43231</v>
          </cell>
        </row>
        <row r="11518">
          <cell r="A11518">
            <v>43177</v>
          </cell>
        </row>
        <row r="11519">
          <cell r="A11519">
            <v>43766</v>
          </cell>
        </row>
        <row r="11520">
          <cell r="A11520">
            <v>43666</v>
          </cell>
        </row>
        <row r="11521">
          <cell r="A11521">
            <v>43574</v>
          </cell>
        </row>
        <row r="11522">
          <cell r="A11522">
            <v>43371</v>
          </cell>
        </row>
        <row r="11523">
          <cell r="A11523">
            <v>43577</v>
          </cell>
        </row>
        <row r="11524">
          <cell r="A11524">
            <v>43514</v>
          </cell>
        </row>
        <row r="11525">
          <cell r="A11525">
            <v>43576</v>
          </cell>
        </row>
        <row r="11526">
          <cell r="A11526">
            <v>43209</v>
          </cell>
        </row>
        <row r="11527">
          <cell r="A11527">
            <v>43621</v>
          </cell>
        </row>
        <row r="11528">
          <cell r="A11528">
            <v>43524</v>
          </cell>
        </row>
        <row r="11529">
          <cell r="A11529">
            <v>43336</v>
          </cell>
        </row>
        <row r="11530">
          <cell r="A11530">
            <v>43219</v>
          </cell>
        </row>
        <row r="11531">
          <cell r="A11531">
            <v>43168</v>
          </cell>
        </row>
        <row r="11532">
          <cell r="A11532">
            <v>43634</v>
          </cell>
        </row>
        <row r="11533">
          <cell r="A11533">
            <v>43451</v>
          </cell>
        </row>
        <row r="11534">
          <cell r="A11534">
            <v>43502</v>
          </cell>
        </row>
        <row r="11535">
          <cell r="A11535">
            <v>43574</v>
          </cell>
        </row>
        <row r="11536">
          <cell r="A11536">
            <v>43850</v>
          </cell>
        </row>
        <row r="11537">
          <cell r="A11537">
            <v>43811</v>
          </cell>
        </row>
        <row r="11538">
          <cell r="A11538">
            <v>43547</v>
          </cell>
        </row>
        <row r="11539">
          <cell r="A11539">
            <v>43381</v>
          </cell>
        </row>
        <row r="11540">
          <cell r="A11540">
            <v>43806</v>
          </cell>
        </row>
        <row r="11541">
          <cell r="A11541">
            <v>43235</v>
          </cell>
        </row>
        <row r="11542">
          <cell r="A11542">
            <v>43798</v>
          </cell>
        </row>
        <row r="11543">
          <cell r="A11543">
            <v>43400</v>
          </cell>
        </row>
        <row r="11544">
          <cell r="A11544">
            <v>43602</v>
          </cell>
        </row>
        <row r="11545">
          <cell r="A11545">
            <v>43672</v>
          </cell>
        </row>
        <row r="11546">
          <cell r="A11546">
            <v>43202</v>
          </cell>
        </row>
        <row r="11547">
          <cell r="A11547">
            <v>43168</v>
          </cell>
        </row>
        <row r="11548">
          <cell r="A11548">
            <v>43657</v>
          </cell>
        </row>
        <row r="11549">
          <cell r="A11549">
            <v>43875</v>
          </cell>
        </row>
        <row r="11550">
          <cell r="A11550">
            <v>43138</v>
          </cell>
        </row>
        <row r="11551">
          <cell r="A11551">
            <v>43306</v>
          </cell>
        </row>
        <row r="11552">
          <cell r="A11552">
            <v>43822</v>
          </cell>
        </row>
        <row r="11553">
          <cell r="A11553">
            <v>43531</v>
          </cell>
        </row>
        <row r="11554">
          <cell r="A11554">
            <v>43274</v>
          </cell>
        </row>
        <row r="11555">
          <cell r="A11555">
            <v>43524</v>
          </cell>
        </row>
        <row r="11556">
          <cell r="A11556">
            <v>43236</v>
          </cell>
        </row>
        <row r="11557">
          <cell r="A11557">
            <v>43451</v>
          </cell>
        </row>
        <row r="11558">
          <cell r="A11558">
            <v>43257</v>
          </cell>
        </row>
        <row r="11559">
          <cell r="A11559">
            <v>43727</v>
          </cell>
        </row>
        <row r="11560">
          <cell r="A11560">
            <v>43589</v>
          </cell>
        </row>
        <row r="11561">
          <cell r="A11561">
            <v>43258</v>
          </cell>
        </row>
        <row r="11562">
          <cell r="A11562">
            <v>43533</v>
          </cell>
        </row>
        <row r="11563">
          <cell r="A11563">
            <v>43257</v>
          </cell>
        </row>
        <row r="11564">
          <cell r="A11564">
            <v>43796</v>
          </cell>
        </row>
        <row r="11565">
          <cell r="A11565">
            <v>43682</v>
          </cell>
        </row>
        <row r="11566">
          <cell r="A11566">
            <v>43426</v>
          </cell>
        </row>
        <row r="11567">
          <cell r="A11567">
            <v>43607</v>
          </cell>
        </row>
        <row r="11568">
          <cell r="A11568">
            <v>43682</v>
          </cell>
        </row>
        <row r="11569">
          <cell r="A11569">
            <v>43825</v>
          </cell>
        </row>
        <row r="11570">
          <cell r="A11570">
            <v>43859</v>
          </cell>
        </row>
        <row r="11571">
          <cell r="A11571">
            <v>43373</v>
          </cell>
        </row>
        <row r="11572">
          <cell r="A11572">
            <v>43226</v>
          </cell>
        </row>
        <row r="11573">
          <cell r="A11573">
            <v>43270</v>
          </cell>
        </row>
        <row r="11574">
          <cell r="A11574">
            <v>43696</v>
          </cell>
        </row>
        <row r="11575">
          <cell r="A11575">
            <v>43547</v>
          </cell>
        </row>
        <row r="11576">
          <cell r="A11576">
            <v>43376</v>
          </cell>
        </row>
        <row r="11577">
          <cell r="A11577">
            <v>43660</v>
          </cell>
        </row>
        <row r="11578">
          <cell r="A11578">
            <v>43794</v>
          </cell>
        </row>
        <row r="11579">
          <cell r="A11579">
            <v>43784</v>
          </cell>
        </row>
        <row r="11580">
          <cell r="A11580">
            <v>43786</v>
          </cell>
        </row>
        <row r="11581">
          <cell r="A11581">
            <v>43801</v>
          </cell>
        </row>
        <row r="11582">
          <cell r="A11582">
            <v>43653</v>
          </cell>
        </row>
        <row r="11583">
          <cell r="A11583">
            <v>43412</v>
          </cell>
        </row>
        <row r="11584">
          <cell r="A11584">
            <v>43269</v>
          </cell>
        </row>
        <row r="11585">
          <cell r="A11585">
            <v>43246</v>
          </cell>
        </row>
        <row r="11586">
          <cell r="A11586">
            <v>43798</v>
          </cell>
        </row>
        <row r="11587">
          <cell r="A11587">
            <v>43593</v>
          </cell>
        </row>
        <row r="11588">
          <cell r="A11588">
            <v>43700</v>
          </cell>
        </row>
        <row r="11589">
          <cell r="A11589">
            <v>43129</v>
          </cell>
        </row>
        <row r="11590">
          <cell r="A11590">
            <v>43677</v>
          </cell>
        </row>
        <row r="11591">
          <cell r="A11591">
            <v>43106</v>
          </cell>
        </row>
        <row r="11592">
          <cell r="A11592">
            <v>43660</v>
          </cell>
        </row>
        <row r="11593">
          <cell r="A11593">
            <v>43686</v>
          </cell>
        </row>
        <row r="11594">
          <cell r="A11594">
            <v>43803</v>
          </cell>
        </row>
        <row r="11595">
          <cell r="A11595">
            <v>43874</v>
          </cell>
        </row>
        <row r="11596">
          <cell r="A11596">
            <v>43462</v>
          </cell>
        </row>
        <row r="11597">
          <cell r="A11597">
            <v>43254</v>
          </cell>
        </row>
        <row r="11598">
          <cell r="A11598">
            <v>43852</v>
          </cell>
        </row>
        <row r="11599">
          <cell r="A11599">
            <v>43234</v>
          </cell>
        </row>
        <row r="11600">
          <cell r="A11600">
            <v>43351</v>
          </cell>
        </row>
        <row r="11601">
          <cell r="A11601">
            <v>43557</v>
          </cell>
        </row>
        <row r="11602">
          <cell r="A11602">
            <v>43735</v>
          </cell>
        </row>
        <row r="11603">
          <cell r="A11603">
            <v>43776</v>
          </cell>
        </row>
        <row r="11604">
          <cell r="A11604">
            <v>43909</v>
          </cell>
        </row>
        <row r="11605">
          <cell r="A11605">
            <v>43402</v>
          </cell>
        </row>
        <row r="11606">
          <cell r="A11606">
            <v>43226</v>
          </cell>
        </row>
        <row r="11607">
          <cell r="A11607">
            <v>43692</v>
          </cell>
        </row>
        <row r="11608">
          <cell r="A11608">
            <v>43232</v>
          </cell>
        </row>
        <row r="11609">
          <cell r="A11609">
            <v>43423</v>
          </cell>
        </row>
        <row r="11610">
          <cell r="A11610">
            <v>43732</v>
          </cell>
        </row>
        <row r="11611">
          <cell r="A11611">
            <v>43491</v>
          </cell>
        </row>
        <row r="11612">
          <cell r="A11612">
            <v>43824</v>
          </cell>
        </row>
        <row r="11613">
          <cell r="A11613">
            <v>43595</v>
          </cell>
        </row>
        <row r="11614">
          <cell r="A11614">
            <v>43295</v>
          </cell>
        </row>
        <row r="11615">
          <cell r="A11615">
            <v>43116</v>
          </cell>
        </row>
        <row r="11616">
          <cell r="A11616">
            <v>43369</v>
          </cell>
        </row>
        <row r="11617">
          <cell r="A11617">
            <v>43341</v>
          </cell>
        </row>
        <row r="11618">
          <cell r="A11618">
            <v>43701</v>
          </cell>
        </row>
        <row r="11619">
          <cell r="A11619">
            <v>43241</v>
          </cell>
        </row>
        <row r="11620">
          <cell r="A11620">
            <v>43905</v>
          </cell>
        </row>
        <row r="11621">
          <cell r="A11621">
            <v>43901</v>
          </cell>
        </row>
        <row r="11622">
          <cell r="A11622">
            <v>43157</v>
          </cell>
        </row>
        <row r="11623">
          <cell r="A11623">
            <v>43911</v>
          </cell>
        </row>
        <row r="11624">
          <cell r="A11624">
            <v>43269</v>
          </cell>
        </row>
        <row r="11625">
          <cell r="A11625">
            <v>43598</v>
          </cell>
        </row>
        <row r="11626">
          <cell r="A11626">
            <v>43546</v>
          </cell>
        </row>
        <row r="11627">
          <cell r="A11627">
            <v>43225</v>
          </cell>
        </row>
        <row r="11628">
          <cell r="A11628">
            <v>43768</v>
          </cell>
        </row>
        <row r="11629">
          <cell r="A11629">
            <v>43486</v>
          </cell>
        </row>
        <row r="11630">
          <cell r="A11630">
            <v>43368</v>
          </cell>
        </row>
        <row r="11631">
          <cell r="A11631">
            <v>43519</v>
          </cell>
        </row>
        <row r="11632">
          <cell r="A11632">
            <v>43583</v>
          </cell>
        </row>
        <row r="11633">
          <cell r="A11633">
            <v>43110</v>
          </cell>
        </row>
        <row r="11634">
          <cell r="A11634">
            <v>43349</v>
          </cell>
        </row>
        <row r="11635">
          <cell r="A11635">
            <v>43301</v>
          </cell>
        </row>
        <row r="11636">
          <cell r="A11636">
            <v>43181</v>
          </cell>
        </row>
        <row r="11637">
          <cell r="A11637">
            <v>43308</v>
          </cell>
        </row>
        <row r="11638">
          <cell r="A11638">
            <v>43414</v>
          </cell>
        </row>
        <row r="11639">
          <cell r="A11639">
            <v>43224</v>
          </cell>
        </row>
        <row r="11640">
          <cell r="A11640">
            <v>43674</v>
          </cell>
        </row>
        <row r="11641">
          <cell r="A11641">
            <v>43434</v>
          </cell>
        </row>
        <row r="11642">
          <cell r="A11642">
            <v>43786</v>
          </cell>
        </row>
        <row r="11643">
          <cell r="A11643">
            <v>43269</v>
          </cell>
        </row>
        <row r="11644">
          <cell r="A11644">
            <v>43587</v>
          </cell>
        </row>
        <row r="11645">
          <cell r="A11645">
            <v>43585</v>
          </cell>
        </row>
        <row r="11646">
          <cell r="A11646">
            <v>43592</v>
          </cell>
        </row>
        <row r="11647">
          <cell r="A11647">
            <v>43309</v>
          </cell>
        </row>
        <row r="11648">
          <cell r="A11648">
            <v>43270</v>
          </cell>
        </row>
        <row r="11649">
          <cell r="A11649">
            <v>43340</v>
          </cell>
        </row>
        <row r="11650">
          <cell r="A11650">
            <v>43307</v>
          </cell>
        </row>
        <row r="11651">
          <cell r="A11651">
            <v>43718</v>
          </cell>
        </row>
        <row r="11652">
          <cell r="A11652">
            <v>43730</v>
          </cell>
        </row>
        <row r="11653">
          <cell r="A11653">
            <v>43304</v>
          </cell>
        </row>
        <row r="11654">
          <cell r="A11654">
            <v>43765</v>
          </cell>
        </row>
        <row r="11655">
          <cell r="A11655">
            <v>43405</v>
          </cell>
        </row>
        <row r="11656">
          <cell r="A11656">
            <v>43675</v>
          </cell>
        </row>
        <row r="11657">
          <cell r="A11657">
            <v>43284</v>
          </cell>
        </row>
        <row r="11658">
          <cell r="A11658">
            <v>43483</v>
          </cell>
        </row>
        <row r="11659">
          <cell r="A11659">
            <v>43442</v>
          </cell>
        </row>
        <row r="11660">
          <cell r="A11660">
            <v>43533</v>
          </cell>
        </row>
        <row r="11661">
          <cell r="A11661">
            <v>43507</v>
          </cell>
        </row>
        <row r="11662">
          <cell r="A11662">
            <v>43188</v>
          </cell>
        </row>
        <row r="11663">
          <cell r="A11663">
            <v>43202</v>
          </cell>
        </row>
        <row r="11664">
          <cell r="A11664">
            <v>43506</v>
          </cell>
        </row>
        <row r="11665">
          <cell r="A11665">
            <v>43891</v>
          </cell>
        </row>
        <row r="11666">
          <cell r="A11666">
            <v>43748</v>
          </cell>
        </row>
        <row r="11667">
          <cell r="A11667">
            <v>43238</v>
          </cell>
        </row>
        <row r="11668">
          <cell r="A11668">
            <v>43340</v>
          </cell>
        </row>
        <row r="11669">
          <cell r="A11669">
            <v>43440</v>
          </cell>
        </row>
        <row r="11670">
          <cell r="A11670">
            <v>43744</v>
          </cell>
        </row>
        <row r="11671">
          <cell r="A11671">
            <v>43198</v>
          </cell>
        </row>
        <row r="11672">
          <cell r="A11672">
            <v>43416</v>
          </cell>
        </row>
        <row r="11673">
          <cell r="A11673">
            <v>43827</v>
          </cell>
        </row>
        <row r="11674">
          <cell r="A11674">
            <v>43547</v>
          </cell>
        </row>
        <row r="11675">
          <cell r="A11675">
            <v>43900</v>
          </cell>
        </row>
        <row r="11676">
          <cell r="A11676">
            <v>43815</v>
          </cell>
        </row>
        <row r="11677">
          <cell r="A11677">
            <v>43128</v>
          </cell>
        </row>
        <row r="11678">
          <cell r="A11678">
            <v>43736</v>
          </cell>
        </row>
        <row r="11679">
          <cell r="A11679">
            <v>43665</v>
          </cell>
        </row>
        <row r="11680">
          <cell r="A11680">
            <v>43144</v>
          </cell>
        </row>
        <row r="11681">
          <cell r="A11681">
            <v>43754</v>
          </cell>
        </row>
        <row r="11682">
          <cell r="A11682">
            <v>43197</v>
          </cell>
        </row>
        <row r="11683">
          <cell r="A11683">
            <v>43701</v>
          </cell>
        </row>
        <row r="11684">
          <cell r="A11684">
            <v>43886</v>
          </cell>
        </row>
        <row r="11685">
          <cell r="A11685">
            <v>43119</v>
          </cell>
        </row>
        <row r="11686">
          <cell r="A11686">
            <v>43593</v>
          </cell>
        </row>
        <row r="11687">
          <cell r="A11687">
            <v>43813</v>
          </cell>
        </row>
        <row r="11688">
          <cell r="A11688">
            <v>43587</v>
          </cell>
        </row>
        <row r="11689">
          <cell r="A11689">
            <v>43810</v>
          </cell>
        </row>
        <row r="11690">
          <cell r="A11690">
            <v>43770</v>
          </cell>
        </row>
        <row r="11691">
          <cell r="A11691">
            <v>43447</v>
          </cell>
        </row>
        <row r="11692">
          <cell r="A11692">
            <v>43156</v>
          </cell>
        </row>
        <row r="11693">
          <cell r="A11693">
            <v>43189</v>
          </cell>
        </row>
        <row r="11694">
          <cell r="A11694">
            <v>43291</v>
          </cell>
        </row>
        <row r="11695">
          <cell r="A11695">
            <v>43224</v>
          </cell>
        </row>
        <row r="11696">
          <cell r="A11696">
            <v>43380</v>
          </cell>
        </row>
        <row r="11697">
          <cell r="A11697">
            <v>43322</v>
          </cell>
        </row>
        <row r="11698">
          <cell r="A11698">
            <v>43609</v>
          </cell>
        </row>
        <row r="11699">
          <cell r="A11699">
            <v>43369</v>
          </cell>
        </row>
        <row r="11700">
          <cell r="A11700">
            <v>43172</v>
          </cell>
        </row>
        <row r="11701">
          <cell r="A11701">
            <v>43663</v>
          </cell>
        </row>
        <row r="11702">
          <cell r="A11702">
            <v>43573</v>
          </cell>
        </row>
        <row r="11703">
          <cell r="A11703">
            <v>43391</v>
          </cell>
        </row>
        <row r="11704">
          <cell r="A11704">
            <v>43792</v>
          </cell>
        </row>
        <row r="11705">
          <cell r="A11705">
            <v>43132</v>
          </cell>
        </row>
        <row r="11706">
          <cell r="A11706">
            <v>43430</v>
          </cell>
        </row>
        <row r="11707">
          <cell r="A11707">
            <v>43182</v>
          </cell>
        </row>
        <row r="11708">
          <cell r="A11708">
            <v>43704</v>
          </cell>
        </row>
        <row r="11709">
          <cell r="A11709">
            <v>43467</v>
          </cell>
        </row>
        <row r="11710">
          <cell r="A11710">
            <v>43220</v>
          </cell>
        </row>
        <row r="11711">
          <cell r="A11711">
            <v>43557</v>
          </cell>
        </row>
        <row r="11712">
          <cell r="A11712">
            <v>43472</v>
          </cell>
        </row>
        <row r="11713">
          <cell r="A11713">
            <v>43819</v>
          </cell>
        </row>
        <row r="11714">
          <cell r="A11714">
            <v>43345</v>
          </cell>
        </row>
        <row r="11715">
          <cell r="A11715">
            <v>43598</v>
          </cell>
        </row>
        <row r="11716">
          <cell r="A11716">
            <v>43736</v>
          </cell>
        </row>
        <row r="11717">
          <cell r="A11717">
            <v>43416</v>
          </cell>
        </row>
        <row r="11718">
          <cell r="A11718">
            <v>43233</v>
          </cell>
        </row>
        <row r="11719">
          <cell r="A11719">
            <v>43918</v>
          </cell>
        </row>
        <row r="11720">
          <cell r="A11720">
            <v>43889</v>
          </cell>
        </row>
        <row r="11721">
          <cell r="A11721">
            <v>43629</v>
          </cell>
        </row>
        <row r="11722">
          <cell r="A11722">
            <v>43722</v>
          </cell>
        </row>
        <row r="11723">
          <cell r="A11723">
            <v>43176</v>
          </cell>
        </row>
        <row r="11724">
          <cell r="A11724">
            <v>43114</v>
          </cell>
        </row>
        <row r="11725">
          <cell r="A11725">
            <v>43206</v>
          </cell>
        </row>
        <row r="11726">
          <cell r="A11726">
            <v>43232</v>
          </cell>
        </row>
        <row r="11727">
          <cell r="A11727">
            <v>43340</v>
          </cell>
        </row>
        <row r="11728">
          <cell r="A11728">
            <v>43537</v>
          </cell>
        </row>
        <row r="11729">
          <cell r="A11729">
            <v>43372</v>
          </cell>
        </row>
        <row r="11730">
          <cell r="A11730">
            <v>43145</v>
          </cell>
        </row>
        <row r="11731">
          <cell r="A11731">
            <v>43130</v>
          </cell>
        </row>
        <row r="11732">
          <cell r="A11732">
            <v>43430</v>
          </cell>
        </row>
        <row r="11733">
          <cell r="A11733">
            <v>43260</v>
          </cell>
        </row>
        <row r="11734">
          <cell r="A11734">
            <v>43244</v>
          </cell>
        </row>
        <row r="11735">
          <cell r="A11735">
            <v>43358</v>
          </cell>
        </row>
        <row r="11736">
          <cell r="A11736">
            <v>43395</v>
          </cell>
        </row>
        <row r="11737">
          <cell r="A11737">
            <v>43644</v>
          </cell>
        </row>
        <row r="11738">
          <cell r="A11738">
            <v>43884</v>
          </cell>
        </row>
        <row r="11739">
          <cell r="A11739">
            <v>43371</v>
          </cell>
        </row>
        <row r="11740">
          <cell r="A11740">
            <v>43631</v>
          </cell>
        </row>
        <row r="11741">
          <cell r="A11741">
            <v>43281</v>
          </cell>
        </row>
        <row r="11742">
          <cell r="A11742">
            <v>43860</v>
          </cell>
        </row>
        <row r="11743">
          <cell r="A11743">
            <v>43886</v>
          </cell>
        </row>
        <row r="11744">
          <cell r="A11744">
            <v>43564</v>
          </cell>
        </row>
        <row r="11745">
          <cell r="A11745">
            <v>43120</v>
          </cell>
        </row>
        <row r="11746">
          <cell r="A11746">
            <v>43297</v>
          </cell>
        </row>
        <row r="11747">
          <cell r="A11747">
            <v>43755</v>
          </cell>
        </row>
        <row r="11748">
          <cell r="A11748">
            <v>43408</v>
          </cell>
        </row>
        <row r="11749">
          <cell r="A11749">
            <v>43399</v>
          </cell>
        </row>
        <row r="11750">
          <cell r="A11750">
            <v>43425</v>
          </cell>
        </row>
        <row r="11751">
          <cell r="A11751">
            <v>43328</v>
          </cell>
        </row>
        <row r="11752">
          <cell r="A11752">
            <v>43235</v>
          </cell>
        </row>
        <row r="11753">
          <cell r="A11753">
            <v>43824</v>
          </cell>
        </row>
        <row r="11754">
          <cell r="A11754">
            <v>43626</v>
          </cell>
        </row>
        <row r="11755">
          <cell r="A11755">
            <v>43432</v>
          </cell>
        </row>
        <row r="11756">
          <cell r="A11756">
            <v>43871</v>
          </cell>
        </row>
        <row r="11757">
          <cell r="A11757">
            <v>43109</v>
          </cell>
        </row>
        <row r="11758">
          <cell r="A11758">
            <v>43473</v>
          </cell>
        </row>
        <row r="11759">
          <cell r="A11759">
            <v>43620</v>
          </cell>
        </row>
        <row r="11760">
          <cell r="A11760">
            <v>43618</v>
          </cell>
        </row>
        <row r="11761">
          <cell r="A11761">
            <v>43831</v>
          </cell>
        </row>
        <row r="11762">
          <cell r="A11762">
            <v>43820</v>
          </cell>
        </row>
        <row r="11763">
          <cell r="A11763">
            <v>43823</v>
          </cell>
        </row>
        <row r="11764">
          <cell r="A11764">
            <v>43632</v>
          </cell>
        </row>
        <row r="11765">
          <cell r="A11765">
            <v>43516</v>
          </cell>
        </row>
        <row r="11766">
          <cell r="A11766">
            <v>43802</v>
          </cell>
        </row>
        <row r="11767">
          <cell r="A11767">
            <v>43201</v>
          </cell>
        </row>
        <row r="11768">
          <cell r="A11768">
            <v>43231</v>
          </cell>
        </row>
        <row r="11769">
          <cell r="A11769">
            <v>43620</v>
          </cell>
        </row>
        <row r="11770">
          <cell r="A11770">
            <v>43869</v>
          </cell>
        </row>
        <row r="11771">
          <cell r="A11771">
            <v>43186</v>
          </cell>
        </row>
        <row r="11772">
          <cell r="A11772">
            <v>43757</v>
          </cell>
        </row>
        <row r="11773">
          <cell r="A11773">
            <v>43404</v>
          </cell>
        </row>
        <row r="11774">
          <cell r="A11774">
            <v>43899</v>
          </cell>
        </row>
        <row r="11775">
          <cell r="A11775">
            <v>43181</v>
          </cell>
        </row>
        <row r="11776">
          <cell r="A11776">
            <v>43633</v>
          </cell>
        </row>
        <row r="11777">
          <cell r="A11777">
            <v>43388</v>
          </cell>
        </row>
        <row r="11778">
          <cell r="A11778">
            <v>43154</v>
          </cell>
        </row>
        <row r="11779">
          <cell r="A11779">
            <v>43548</v>
          </cell>
        </row>
        <row r="11780">
          <cell r="A11780">
            <v>43819</v>
          </cell>
        </row>
        <row r="11781">
          <cell r="A11781">
            <v>43158</v>
          </cell>
        </row>
        <row r="11782">
          <cell r="A11782">
            <v>43175</v>
          </cell>
        </row>
        <row r="11783">
          <cell r="A11783">
            <v>43394</v>
          </cell>
        </row>
        <row r="11784">
          <cell r="A11784">
            <v>43735</v>
          </cell>
        </row>
        <row r="11785">
          <cell r="A11785">
            <v>43617</v>
          </cell>
        </row>
        <row r="11786">
          <cell r="A11786">
            <v>43503</v>
          </cell>
        </row>
        <row r="11787">
          <cell r="A11787">
            <v>43374</v>
          </cell>
        </row>
        <row r="11788">
          <cell r="A11788">
            <v>43299</v>
          </cell>
        </row>
        <row r="11789">
          <cell r="A11789">
            <v>43500</v>
          </cell>
        </row>
        <row r="11790">
          <cell r="A11790">
            <v>43631</v>
          </cell>
        </row>
        <row r="11791">
          <cell r="A11791">
            <v>43398</v>
          </cell>
        </row>
        <row r="11792">
          <cell r="A11792">
            <v>43434</v>
          </cell>
        </row>
        <row r="11793">
          <cell r="A11793">
            <v>43608</v>
          </cell>
        </row>
        <row r="11794">
          <cell r="A11794">
            <v>43866</v>
          </cell>
        </row>
        <row r="11795">
          <cell r="A11795">
            <v>43700</v>
          </cell>
        </row>
        <row r="11796">
          <cell r="A11796">
            <v>43770</v>
          </cell>
        </row>
        <row r="11797">
          <cell r="A11797">
            <v>43603</v>
          </cell>
        </row>
        <row r="11798">
          <cell r="A11798">
            <v>43873</v>
          </cell>
        </row>
        <row r="11799">
          <cell r="A11799">
            <v>43617</v>
          </cell>
        </row>
        <row r="11800">
          <cell r="A11800">
            <v>43220</v>
          </cell>
        </row>
        <row r="11801">
          <cell r="A11801">
            <v>43539</v>
          </cell>
        </row>
        <row r="11802">
          <cell r="A11802">
            <v>43799</v>
          </cell>
        </row>
        <row r="11803">
          <cell r="A11803">
            <v>43725</v>
          </cell>
        </row>
        <row r="11804">
          <cell r="A11804">
            <v>43188</v>
          </cell>
        </row>
        <row r="11805">
          <cell r="A11805">
            <v>43261</v>
          </cell>
        </row>
        <row r="11806">
          <cell r="A11806">
            <v>43360</v>
          </cell>
        </row>
        <row r="11807">
          <cell r="A11807">
            <v>43869</v>
          </cell>
        </row>
        <row r="11808">
          <cell r="A11808">
            <v>43556</v>
          </cell>
        </row>
        <row r="11809">
          <cell r="A11809">
            <v>43453</v>
          </cell>
        </row>
        <row r="11810">
          <cell r="A11810">
            <v>43587</v>
          </cell>
        </row>
        <row r="11811">
          <cell r="A11811">
            <v>43200</v>
          </cell>
        </row>
        <row r="11812">
          <cell r="A11812">
            <v>43102</v>
          </cell>
        </row>
        <row r="11813">
          <cell r="A11813">
            <v>43843</v>
          </cell>
        </row>
        <row r="11814">
          <cell r="A11814">
            <v>43568</v>
          </cell>
        </row>
        <row r="11815">
          <cell r="A11815">
            <v>43359</v>
          </cell>
        </row>
        <row r="11816">
          <cell r="A11816">
            <v>43214</v>
          </cell>
        </row>
        <row r="11817">
          <cell r="A11817">
            <v>43136</v>
          </cell>
        </row>
        <row r="11818">
          <cell r="A11818">
            <v>43916</v>
          </cell>
        </row>
        <row r="11819">
          <cell r="A11819">
            <v>43520</v>
          </cell>
        </row>
        <row r="11820">
          <cell r="A11820">
            <v>43297</v>
          </cell>
        </row>
        <row r="11821">
          <cell r="A11821">
            <v>43458</v>
          </cell>
        </row>
        <row r="11822">
          <cell r="A11822">
            <v>43144</v>
          </cell>
        </row>
        <row r="11823">
          <cell r="A11823">
            <v>43549</v>
          </cell>
        </row>
        <row r="11824">
          <cell r="A11824">
            <v>43215</v>
          </cell>
        </row>
        <row r="11825">
          <cell r="A11825">
            <v>43905</v>
          </cell>
        </row>
        <row r="11826">
          <cell r="A11826">
            <v>43151</v>
          </cell>
        </row>
        <row r="11827">
          <cell r="A11827">
            <v>43707</v>
          </cell>
        </row>
        <row r="11828">
          <cell r="A11828">
            <v>43436</v>
          </cell>
        </row>
        <row r="11829">
          <cell r="A11829">
            <v>43368</v>
          </cell>
        </row>
        <row r="11830">
          <cell r="A11830">
            <v>43777</v>
          </cell>
        </row>
        <row r="11831">
          <cell r="A11831">
            <v>43765</v>
          </cell>
        </row>
        <row r="11832">
          <cell r="A11832">
            <v>43550</v>
          </cell>
        </row>
        <row r="11833">
          <cell r="A11833">
            <v>43596</v>
          </cell>
        </row>
        <row r="11834">
          <cell r="A11834">
            <v>43150</v>
          </cell>
        </row>
        <row r="11835">
          <cell r="A11835">
            <v>43234</v>
          </cell>
        </row>
        <row r="11836">
          <cell r="A11836">
            <v>43106</v>
          </cell>
        </row>
        <row r="11837">
          <cell r="A11837">
            <v>43609</v>
          </cell>
        </row>
        <row r="11838">
          <cell r="A11838">
            <v>43646</v>
          </cell>
        </row>
        <row r="11839">
          <cell r="A11839">
            <v>43691</v>
          </cell>
        </row>
        <row r="11840">
          <cell r="A11840">
            <v>43355</v>
          </cell>
        </row>
        <row r="11841">
          <cell r="A11841">
            <v>43859</v>
          </cell>
        </row>
        <row r="11842">
          <cell r="A11842">
            <v>43505</v>
          </cell>
        </row>
        <row r="11843">
          <cell r="A11843">
            <v>43358</v>
          </cell>
        </row>
        <row r="11844">
          <cell r="A11844">
            <v>43125</v>
          </cell>
        </row>
        <row r="11845">
          <cell r="A11845">
            <v>43610</v>
          </cell>
        </row>
        <row r="11846">
          <cell r="A11846">
            <v>43161</v>
          </cell>
        </row>
        <row r="11847">
          <cell r="A11847">
            <v>43806</v>
          </cell>
        </row>
        <row r="11848">
          <cell r="A11848">
            <v>43153</v>
          </cell>
        </row>
        <row r="11849">
          <cell r="A11849">
            <v>43247</v>
          </cell>
        </row>
        <row r="11850">
          <cell r="A11850">
            <v>43514</v>
          </cell>
        </row>
        <row r="11851">
          <cell r="A11851">
            <v>43118</v>
          </cell>
        </row>
        <row r="11852">
          <cell r="A11852">
            <v>43528</v>
          </cell>
        </row>
        <row r="11853">
          <cell r="A11853">
            <v>43863</v>
          </cell>
        </row>
        <row r="11854">
          <cell r="A11854">
            <v>43879</v>
          </cell>
        </row>
        <row r="11855">
          <cell r="A11855">
            <v>43227</v>
          </cell>
        </row>
        <row r="11856">
          <cell r="A11856">
            <v>43139</v>
          </cell>
        </row>
        <row r="11857">
          <cell r="A11857">
            <v>43487</v>
          </cell>
        </row>
        <row r="11858">
          <cell r="A11858">
            <v>43381</v>
          </cell>
        </row>
        <row r="11859">
          <cell r="A11859">
            <v>43698</v>
          </cell>
        </row>
        <row r="11860">
          <cell r="A11860">
            <v>43684</v>
          </cell>
        </row>
        <row r="11861">
          <cell r="A11861">
            <v>43212</v>
          </cell>
        </row>
        <row r="11862">
          <cell r="A11862">
            <v>43508</v>
          </cell>
        </row>
        <row r="11863">
          <cell r="A11863">
            <v>43859</v>
          </cell>
        </row>
        <row r="11864">
          <cell r="A11864">
            <v>43359</v>
          </cell>
        </row>
        <row r="11865">
          <cell r="A11865">
            <v>43536</v>
          </cell>
        </row>
        <row r="11866">
          <cell r="A11866">
            <v>43857</v>
          </cell>
        </row>
        <row r="11867">
          <cell r="A11867">
            <v>43519</v>
          </cell>
        </row>
        <row r="11868">
          <cell r="A11868">
            <v>43247</v>
          </cell>
        </row>
        <row r="11869">
          <cell r="A11869">
            <v>43104</v>
          </cell>
        </row>
        <row r="11870">
          <cell r="A11870">
            <v>43571</v>
          </cell>
        </row>
        <row r="11871">
          <cell r="A11871">
            <v>43592</v>
          </cell>
        </row>
        <row r="11872">
          <cell r="A11872">
            <v>43124</v>
          </cell>
        </row>
        <row r="11873">
          <cell r="A11873">
            <v>43832</v>
          </cell>
        </row>
        <row r="11874">
          <cell r="A11874">
            <v>43371</v>
          </cell>
        </row>
        <row r="11875">
          <cell r="A11875">
            <v>43761</v>
          </cell>
        </row>
        <row r="11876">
          <cell r="A11876">
            <v>43647</v>
          </cell>
        </row>
        <row r="11877">
          <cell r="A11877">
            <v>43827</v>
          </cell>
        </row>
        <row r="11878">
          <cell r="A11878">
            <v>43510</v>
          </cell>
        </row>
        <row r="11879">
          <cell r="A11879">
            <v>43486</v>
          </cell>
        </row>
        <row r="11880">
          <cell r="A11880">
            <v>43881</v>
          </cell>
        </row>
        <row r="11881">
          <cell r="A11881">
            <v>43759</v>
          </cell>
        </row>
        <row r="11882">
          <cell r="A11882">
            <v>43306</v>
          </cell>
        </row>
        <row r="11883">
          <cell r="A11883">
            <v>43774</v>
          </cell>
        </row>
        <row r="11884">
          <cell r="A11884">
            <v>43338</v>
          </cell>
        </row>
        <row r="11885">
          <cell r="A11885">
            <v>43809</v>
          </cell>
        </row>
        <row r="11886">
          <cell r="A11886">
            <v>43781</v>
          </cell>
        </row>
        <row r="11887">
          <cell r="A11887">
            <v>43273</v>
          </cell>
        </row>
        <row r="11888">
          <cell r="A11888">
            <v>43146</v>
          </cell>
        </row>
        <row r="11889">
          <cell r="A11889">
            <v>43608</v>
          </cell>
        </row>
        <row r="11890">
          <cell r="A11890">
            <v>43841</v>
          </cell>
        </row>
        <row r="11891">
          <cell r="A11891">
            <v>43810</v>
          </cell>
        </row>
        <row r="11892">
          <cell r="A11892">
            <v>43360</v>
          </cell>
        </row>
        <row r="11893">
          <cell r="A11893">
            <v>43775</v>
          </cell>
        </row>
        <row r="11894">
          <cell r="A11894">
            <v>43680</v>
          </cell>
        </row>
        <row r="11895">
          <cell r="A11895">
            <v>43140</v>
          </cell>
        </row>
        <row r="11896">
          <cell r="A11896">
            <v>43890</v>
          </cell>
        </row>
        <row r="11897">
          <cell r="A11897">
            <v>43846</v>
          </cell>
        </row>
        <row r="11898">
          <cell r="A11898">
            <v>43656</v>
          </cell>
        </row>
        <row r="11899">
          <cell r="A11899">
            <v>43138</v>
          </cell>
        </row>
        <row r="11900">
          <cell r="A11900">
            <v>43312</v>
          </cell>
        </row>
        <row r="11901">
          <cell r="A11901">
            <v>43148</v>
          </cell>
        </row>
        <row r="11902">
          <cell r="A11902">
            <v>43279</v>
          </cell>
        </row>
        <row r="11903">
          <cell r="A11903">
            <v>43623</v>
          </cell>
        </row>
        <row r="11904">
          <cell r="A11904">
            <v>43780</v>
          </cell>
        </row>
        <row r="11905">
          <cell r="A11905">
            <v>43537</v>
          </cell>
        </row>
        <row r="11906">
          <cell r="A11906">
            <v>43548</v>
          </cell>
        </row>
        <row r="11907">
          <cell r="A11907">
            <v>43632</v>
          </cell>
        </row>
        <row r="11908">
          <cell r="A11908">
            <v>43487</v>
          </cell>
        </row>
        <row r="11909">
          <cell r="A11909">
            <v>43497</v>
          </cell>
        </row>
        <row r="11910">
          <cell r="A11910">
            <v>43584</v>
          </cell>
        </row>
        <row r="11911">
          <cell r="A11911">
            <v>43597</v>
          </cell>
        </row>
        <row r="11912">
          <cell r="A11912">
            <v>43363</v>
          </cell>
        </row>
        <row r="11913">
          <cell r="A11913">
            <v>43881</v>
          </cell>
        </row>
        <row r="11914">
          <cell r="A11914">
            <v>43273</v>
          </cell>
        </row>
        <row r="11915">
          <cell r="A11915">
            <v>43129</v>
          </cell>
        </row>
        <row r="11916">
          <cell r="A11916">
            <v>43165</v>
          </cell>
        </row>
        <row r="11917">
          <cell r="A11917">
            <v>43241</v>
          </cell>
        </row>
        <row r="11918">
          <cell r="A11918">
            <v>43369</v>
          </cell>
        </row>
        <row r="11919">
          <cell r="A11919">
            <v>43889</v>
          </cell>
        </row>
        <row r="11920">
          <cell r="A11920">
            <v>43497</v>
          </cell>
        </row>
        <row r="11921">
          <cell r="A11921">
            <v>43269</v>
          </cell>
        </row>
        <row r="11922">
          <cell r="A11922">
            <v>43692</v>
          </cell>
        </row>
        <row r="11923">
          <cell r="A11923">
            <v>43474</v>
          </cell>
        </row>
        <row r="11924">
          <cell r="A11924">
            <v>43749</v>
          </cell>
        </row>
        <row r="11925">
          <cell r="A11925">
            <v>43144</v>
          </cell>
        </row>
        <row r="11926">
          <cell r="A11926">
            <v>43108</v>
          </cell>
        </row>
        <row r="11927">
          <cell r="A11927">
            <v>43569</v>
          </cell>
        </row>
        <row r="11928">
          <cell r="A11928">
            <v>43353</v>
          </cell>
        </row>
        <row r="11929">
          <cell r="A11929">
            <v>43327</v>
          </cell>
        </row>
        <row r="11930">
          <cell r="A11930">
            <v>43154</v>
          </cell>
        </row>
        <row r="11931">
          <cell r="A11931">
            <v>43260</v>
          </cell>
        </row>
        <row r="11932">
          <cell r="A11932">
            <v>43899</v>
          </cell>
        </row>
        <row r="11933">
          <cell r="A11933">
            <v>43222</v>
          </cell>
        </row>
        <row r="11934">
          <cell r="A11934">
            <v>43134</v>
          </cell>
        </row>
        <row r="11935">
          <cell r="A11935">
            <v>43511</v>
          </cell>
        </row>
        <row r="11936">
          <cell r="A11936">
            <v>43849</v>
          </cell>
        </row>
        <row r="11937">
          <cell r="A11937">
            <v>43570</v>
          </cell>
        </row>
        <row r="11938">
          <cell r="A11938">
            <v>43786</v>
          </cell>
        </row>
        <row r="11939">
          <cell r="A11939">
            <v>43250</v>
          </cell>
        </row>
        <row r="11940">
          <cell r="A11940">
            <v>43365</v>
          </cell>
        </row>
        <row r="11941">
          <cell r="A11941">
            <v>43230</v>
          </cell>
        </row>
        <row r="11942">
          <cell r="A11942">
            <v>43888</v>
          </cell>
        </row>
        <row r="11943">
          <cell r="A11943">
            <v>43808</v>
          </cell>
        </row>
        <row r="11944">
          <cell r="A11944">
            <v>43554</v>
          </cell>
        </row>
        <row r="11945">
          <cell r="A11945">
            <v>43152</v>
          </cell>
        </row>
        <row r="11946">
          <cell r="A11946">
            <v>43874</v>
          </cell>
        </row>
        <row r="11947">
          <cell r="A11947">
            <v>43464</v>
          </cell>
        </row>
        <row r="11948">
          <cell r="A11948">
            <v>43772</v>
          </cell>
        </row>
        <row r="11949">
          <cell r="A11949">
            <v>43715</v>
          </cell>
        </row>
        <row r="11950">
          <cell r="A11950">
            <v>43659</v>
          </cell>
        </row>
        <row r="11951">
          <cell r="A11951">
            <v>43739</v>
          </cell>
        </row>
        <row r="11952">
          <cell r="A11952">
            <v>43708</v>
          </cell>
        </row>
        <row r="11953">
          <cell r="A11953">
            <v>43314</v>
          </cell>
        </row>
        <row r="11954">
          <cell r="A11954">
            <v>43507</v>
          </cell>
        </row>
        <row r="11955">
          <cell r="A11955">
            <v>43908</v>
          </cell>
        </row>
        <row r="11956">
          <cell r="A11956">
            <v>43516</v>
          </cell>
        </row>
        <row r="11957">
          <cell r="A11957">
            <v>43505</v>
          </cell>
        </row>
        <row r="11958">
          <cell r="A11958">
            <v>43407</v>
          </cell>
        </row>
        <row r="11959">
          <cell r="A11959">
            <v>43897</v>
          </cell>
        </row>
        <row r="11960">
          <cell r="A11960">
            <v>43119</v>
          </cell>
        </row>
        <row r="11961">
          <cell r="A11961">
            <v>43418</v>
          </cell>
        </row>
        <row r="11962">
          <cell r="A11962">
            <v>43738</v>
          </cell>
        </row>
        <row r="11963">
          <cell r="A11963">
            <v>43763</v>
          </cell>
        </row>
        <row r="11964">
          <cell r="A11964">
            <v>43321</v>
          </cell>
        </row>
        <row r="11965">
          <cell r="A11965">
            <v>43775</v>
          </cell>
        </row>
        <row r="11966">
          <cell r="A11966">
            <v>43617</v>
          </cell>
        </row>
        <row r="11967">
          <cell r="A11967">
            <v>43664</v>
          </cell>
        </row>
        <row r="11968">
          <cell r="A11968">
            <v>43418</v>
          </cell>
        </row>
        <row r="11969">
          <cell r="A11969">
            <v>43454</v>
          </cell>
        </row>
        <row r="11970">
          <cell r="A11970">
            <v>43513</v>
          </cell>
        </row>
        <row r="11971">
          <cell r="A11971">
            <v>43722</v>
          </cell>
        </row>
        <row r="11972">
          <cell r="A11972">
            <v>43341</v>
          </cell>
        </row>
        <row r="11973">
          <cell r="A11973">
            <v>43228</v>
          </cell>
        </row>
        <row r="11974">
          <cell r="A11974">
            <v>43787</v>
          </cell>
        </row>
        <row r="11975">
          <cell r="A11975">
            <v>43375</v>
          </cell>
        </row>
        <row r="11976">
          <cell r="A11976">
            <v>43782</v>
          </cell>
        </row>
        <row r="11977">
          <cell r="A11977">
            <v>43878</v>
          </cell>
        </row>
        <row r="11978">
          <cell r="A11978">
            <v>43172</v>
          </cell>
        </row>
        <row r="11979">
          <cell r="A11979">
            <v>43655</v>
          </cell>
        </row>
        <row r="11980">
          <cell r="A11980">
            <v>43276</v>
          </cell>
        </row>
        <row r="11981">
          <cell r="A11981">
            <v>43319</v>
          </cell>
        </row>
        <row r="11982">
          <cell r="A11982">
            <v>43355</v>
          </cell>
        </row>
        <row r="11983">
          <cell r="A11983">
            <v>43784</v>
          </cell>
        </row>
        <row r="11984">
          <cell r="A11984">
            <v>43264</v>
          </cell>
        </row>
        <row r="11985">
          <cell r="A11985">
            <v>43168</v>
          </cell>
        </row>
        <row r="11986">
          <cell r="A11986">
            <v>43687</v>
          </cell>
        </row>
        <row r="11987">
          <cell r="A11987">
            <v>43207</v>
          </cell>
        </row>
        <row r="11988">
          <cell r="A11988">
            <v>43596</v>
          </cell>
        </row>
        <row r="11989">
          <cell r="A11989">
            <v>43579</v>
          </cell>
        </row>
        <row r="11990">
          <cell r="A11990">
            <v>43262</v>
          </cell>
        </row>
        <row r="11991">
          <cell r="A11991">
            <v>43560</v>
          </cell>
        </row>
        <row r="11992">
          <cell r="A11992">
            <v>43405</v>
          </cell>
        </row>
        <row r="11993">
          <cell r="A11993">
            <v>43890</v>
          </cell>
        </row>
        <row r="11994">
          <cell r="A11994">
            <v>43134</v>
          </cell>
        </row>
        <row r="11995">
          <cell r="A11995">
            <v>43626</v>
          </cell>
        </row>
        <row r="11996">
          <cell r="A11996">
            <v>43693</v>
          </cell>
        </row>
        <row r="11997">
          <cell r="A11997">
            <v>43350</v>
          </cell>
        </row>
        <row r="11998">
          <cell r="A11998">
            <v>43595</v>
          </cell>
        </row>
        <row r="11999">
          <cell r="A11999">
            <v>43782</v>
          </cell>
        </row>
        <row r="12000">
          <cell r="A12000">
            <v>43247</v>
          </cell>
        </row>
        <row r="12001">
          <cell r="A12001">
            <v>43339</v>
          </cell>
        </row>
        <row r="12002">
          <cell r="A12002">
            <v>43289</v>
          </cell>
        </row>
        <row r="12003">
          <cell r="A12003">
            <v>43706</v>
          </cell>
        </row>
        <row r="12004">
          <cell r="A12004">
            <v>43521</v>
          </cell>
        </row>
        <row r="12005">
          <cell r="A12005">
            <v>43448</v>
          </cell>
        </row>
        <row r="12006">
          <cell r="A12006">
            <v>43652</v>
          </cell>
        </row>
        <row r="12007">
          <cell r="A12007">
            <v>43313</v>
          </cell>
        </row>
        <row r="12008">
          <cell r="A12008">
            <v>43673</v>
          </cell>
        </row>
        <row r="12009">
          <cell r="A12009">
            <v>43895</v>
          </cell>
        </row>
        <row r="12010">
          <cell r="A12010">
            <v>43281</v>
          </cell>
        </row>
        <row r="12011">
          <cell r="A12011">
            <v>43202</v>
          </cell>
        </row>
        <row r="12012">
          <cell r="A12012">
            <v>43546</v>
          </cell>
        </row>
        <row r="12013">
          <cell r="A12013">
            <v>43339</v>
          </cell>
        </row>
        <row r="12014">
          <cell r="A12014">
            <v>43577</v>
          </cell>
        </row>
        <row r="12015">
          <cell r="A12015">
            <v>43515</v>
          </cell>
        </row>
        <row r="12016">
          <cell r="A12016">
            <v>43841</v>
          </cell>
        </row>
        <row r="12017">
          <cell r="A12017">
            <v>43722</v>
          </cell>
        </row>
        <row r="12018">
          <cell r="A12018">
            <v>43191</v>
          </cell>
        </row>
        <row r="12019">
          <cell r="A12019">
            <v>43491</v>
          </cell>
        </row>
        <row r="12020">
          <cell r="A12020">
            <v>43518</v>
          </cell>
        </row>
        <row r="12021">
          <cell r="A12021">
            <v>43877</v>
          </cell>
        </row>
        <row r="12022">
          <cell r="A12022">
            <v>43248</v>
          </cell>
        </row>
        <row r="12023">
          <cell r="A12023">
            <v>43459</v>
          </cell>
        </row>
        <row r="12024">
          <cell r="A12024">
            <v>43390</v>
          </cell>
        </row>
        <row r="12025">
          <cell r="A12025">
            <v>43496</v>
          </cell>
        </row>
        <row r="12026">
          <cell r="A12026">
            <v>43344</v>
          </cell>
        </row>
        <row r="12027">
          <cell r="A12027">
            <v>43230</v>
          </cell>
        </row>
        <row r="12028">
          <cell r="A12028">
            <v>43706</v>
          </cell>
        </row>
        <row r="12029">
          <cell r="A12029">
            <v>43823</v>
          </cell>
        </row>
        <row r="12030">
          <cell r="A12030">
            <v>43270</v>
          </cell>
        </row>
        <row r="12031">
          <cell r="A12031">
            <v>43703</v>
          </cell>
        </row>
        <row r="12032">
          <cell r="A12032">
            <v>43616</v>
          </cell>
        </row>
        <row r="12033">
          <cell r="A12033">
            <v>43744</v>
          </cell>
        </row>
        <row r="12034">
          <cell r="A12034">
            <v>43701</v>
          </cell>
        </row>
        <row r="12035">
          <cell r="A12035">
            <v>43358</v>
          </cell>
        </row>
        <row r="12036">
          <cell r="A12036">
            <v>43589</v>
          </cell>
        </row>
        <row r="12037">
          <cell r="A12037">
            <v>43619</v>
          </cell>
        </row>
        <row r="12038">
          <cell r="A12038">
            <v>43708</v>
          </cell>
        </row>
        <row r="12039">
          <cell r="A12039">
            <v>43888</v>
          </cell>
        </row>
        <row r="12040">
          <cell r="A12040">
            <v>43607</v>
          </cell>
        </row>
        <row r="12041">
          <cell r="A12041">
            <v>43769</v>
          </cell>
        </row>
        <row r="12042">
          <cell r="A12042">
            <v>43873</v>
          </cell>
        </row>
        <row r="12043">
          <cell r="A12043">
            <v>43867</v>
          </cell>
        </row>
        <row r="12044">
          <cell r="A12044">
            <v>43795</v>
          </cell>
        </row>
        <row r="12045">
          <cell r="A12045">
            <v>43804</v>
          </cell>
        </row>
        <row r="12046">
          <cell r="A12046">
            <v>43741</v>
          </cell>
        </row>
        <row r="12047">
          <cell r="A12047">
            <v>43598</v>
          </cell>
        </row>
        <row r="12048">
          <cell r="A12048">
            <v>43885</v>
          </cell>
        </row>
        <row r="12049">
          <cell r="A12049">
            <v>43624</v>
          </cell>
        </row>
        <row r="12050">
          <cell r="A12050">
            <v>43518</v>
          </cell>
        </row>
        <row r="12051">
          <cell r="A12051">
            <v>43682</v>
          </cell>
        </row>
        <row r="12052">
          <cell r="A12052">
            <v>43110</v>
          </cell>
        </row>
        <row r="12053">
          <cell r="A12053">
            <v>43628</v>
          </cell>
        </row>
        <row r="12054">
          <cell r="A12054">
            <v>43179</v>
          </cell>
        </row>
        <row r="12055">
          <cell r="A12055">
            <v>43359</v>
          </cell>
        </row>
        <row r="12056">
          <cell r="A12056">
            <v>43147</v>
          </cell>
        </row>
        <row r="12057">
          <cell r="A12057">
            <v>43309</v>
          </cell>
        </row>
        <row r="12058">
          <cell r="A12058">
            <v>43477</v>
          </cell>
        </row>
        <row r="12059">
          <cell r="A12059">
            <v>43840</v>
          </cell>
        </row>
        <row r="12060">
          <cell r="A12060">
            <v>43717</v>
          </cell>
        </row>
        <row r="12061">
          <cell r="A12061">
            <v>43568</v>
          </cell>
        </row>
        <row r="12062">
          <cell r="A12062">
            <v>43107</v>
          </cell>
        </row>
        <row r="12063">
          <cell r="A12063">
            <v>43509</v>
          </cell>
        </row>
        <row r="12064">
          <cell r="A12064">
            <v>43698</v>
          </cell>
        </row>
        <row r="12065">
          <cell r="A12065">
            <v>43668</v>
          </cell>
        </row>
        <row r="12066">
          <cell r="A12066">
            <v>43253</v>
          </cell>
        </row>
        <row r="12067">
          <cell r="A12067">
            <v>43459</v>
          </cell>
        </row>
        <row r="12068">
          <cell r="A12068">
            <v>43293</v>
          </cell>
        </row>
        <row r="12069">
          <cell r="A12069">
            <v>43670</v>
          </cell>
        </row>
        <row r="12070">
          <cell r="A12070">
            <v>43403</v>
          </cell>
        </row>
        <row r="12071">
          <cell r="A12071">
            <v>43534</v>
          </cell>
        </row>
        <row r="12072">
          <cell r="A12072">
            <v>43415</v>
          </cell>
        </row>
        <row r="12073">
          <cell r="A12073">
            <v>43842</v>
          </cell>
        </row>
        <row r="12074">
          <cell r="A12074">
            <v>43885</v>
          </cell>
        </row>
        <row r="12075">
          <cell r="A12075">
            <v>43767</v>
          </cell>
        </row>
        <row r="12076">
          <cell r="A12076">
            <v>43830</v>
          </cell>
        </row>
        <row r="12077">
          <cell r="A12077">
            <v>43752</v>
          </cell>
        </row>
        <row r="12078">
          <cell r="A12078">
            <v>43666</v>
          </cell>
        </row>
        <row r="12079">
          <cell r="A12079">
            <v>43908</v>
          </cell>
        </row>
        <row r="12080">
          <cell r="A12080">
            <v>43290</v>
          </cell>
        </row>
        <row r="12081">
          <cell r="A12081">
            <v>43768</v>
          </cell>
        </row>
        <row r="12082">
          <cell r="A12082">
            <v>43717</v>
          </cell>
        </row>
        <row r="12083">
          <cell r="A12083">
            <v>43501</v>
          </cell>
        </row>
        <row r="12084">
          <cell r="A12084">
            <v>43291</v>
          </cell>
        </row>
        <row r="12085">
          <cell r="A12085">
            <v>43520</v>
          </cell>
        </row>
        <row r="12086">
          <cell r="A12086">
            <v>43527</v>
          </cell>
        </row>
        <row r="12087">
          <cell r="A12087">
            <v>43605</v>
          </cell>
        </row>
        <row r="12088">
          <cell r="A12088">
            <v>43735</v>
          </cell>
        </row>
        <row r="12089">
          <cell r="A12089">
            <v>43334</v>
          </cell>
        </row>
        <row r="12090">
          <cell r="A12090">
            <v>43251</v>
          </cell>
        </row>
        <row r="12091">
          <cell r="A12091">
            <v>43152</v>
          </cell>
        </row>
        <row r="12092">
          <cell r="A12092">
            <v>43721</v>
          </cell>
        </row>
        <row r="12093">
          <cell r="A12093">
            <v>43286</v>
          </cell>
        </row>
        <row r="12094">
          <cell r="A12094">
            <v>43474</v>
          </cell>
        </row>
        <row r="12095">
          <cell r="A12095">
            <v>43834</v>
          </cell>
        </row>
        <row r="12096">
          <cell r="A12096">
            <v>43430</v>
          </cell>
        </row>
        <row r="12097">
          <cell r="A12097">
            <v>43135</v>
          </cell>
        </row>
        <row r="12098">
          <cell r="A12098">
            <v>43681</v>
          </cell>
        </row>
        <row r="12099">
          <cell r="A12099">
            <v>43532</v>
          </cell>
        </row>
        <row r="12100">
          <cell r="A12100">
            <v>43329</v>
          </cell>
        </row>
        <row r="12101">
          <cell r="A12101">
            <v>43500</v>
          </cell>
        </row>
        <row r="12102">
          <cell r="A12102">
            <v>43157</v>
          </cell>
        </row>
        <row r="12103">
          <cell r="A12103">
            <v>43336</v>
          </cell>
        </row>
        <row r="12104">
          <cell r="A12104">
            <v>43250</v>
          </cell>
        </row>
        <row r="12105">
          <cell r="A12105">
            <v>43588</v>
          </cell>
        </row>
        <row r="12106">
          <cell r="A12106">
            <v>43369</v>
          </cell>
        </row>
        <row r="12107">
          <cell r="A12107">
            <v>43368</v>
          </cell>
        </row>
        <row r="12108">
          <cell r="A12108">
            <v>43330</v>
          </cell>
        </row>
        <row r="12109">
          <cell r="A12109">
            <v>43143</v>
          </cell>
        </row>
        <row r="12110">
          <cell r="A12110">
            <v>43719</v>
          </cell>
        </row>
        <row r="12111">
          <cell r="A12111">
            <v>43270</v>
          </cell>
        </row>
        <row r="12112">
          <cell r="A12112">
            <v>43147</v>
          </cell>
        </row>
        <row r="12113">
          <cell r="A12113">
            <v>43437</v>
          </cell>
        </row>
        <row r="12114">
          <cell r="A12114">
            <v>43571</v>
          </cell>
        </row>
        <row r="12115">
          <cell r="A12115">
            <v>43301</v>
          </cell>
        </row>
        <row r="12116">
          <cell r="A12116">
            <v>43483</v>
          </cell>
        </row>
        <row r="12117">
          <cell r="A12117">
            <v>43148</v>
          </cell>
        </row>
        <row r="12118">
          <cell r="A12118">
            <v>43898</v>
          </cell>
        </row>
        <row r="12119">
          <cell r="A12119">
            <v>43413</v>
          </cell>
        </row>
        <row r="12120">
          <cell r="A12120">
            <v>43537</v>
          </cell>
        </row>
        <row r="12121">
          <cell r="A12121">
            <v>43910</v>
          </cell>
        </row>
        <row r="12122">
          <cell r="A12122">
            <v>43198</v>
          </cell>
        </row>
        <row r="12123">
          <cell r="A12123">
            <v>43240</v>
          </cell>
        </row>
        <row r="12124">
          <cell r="A12124">
            <v>43881</v>
          </cell>
        </row>
        <row r="12125">
          <cell r="A12125">
            <v>43718</v>
          </cell>
        </row>
        <row r="12126">
          <cell r="A12126">
            <v>43317</v>
          </cell>
        </row>
        <row r="12127">
          <cell r="A12127">
            <v>43474</v>
          </cell>
        </row>
        <row r="12128">
          <cell r="A12128">
            <v>43470</v>
          </cell>
        </row>
        <row r="12129">
          <cell r="A12129">
            <v>43842</v>
          </cell>
        </row>
        <row r="12130">
          <cell r="A12130">
            <v>43684</v>
          </cell>
        </row>
        <row r="12131">
          <cell r="A12131">
            <v>43259</v>
          </cell>
        </row>
        <row r="12132">
          <cell r="A12132">
            <v>43917</v>
          </cell>
        </row>
        <row r="12133">
          <cell r="A12133">
            <v>43771</v>
          </cell>
        </row>
        <row r="12134">
          <cell r="A12134">
            <v>43190</v>
          </cell>
        </row>
        <row r="12135">
          <cell r="A12135">
            <v>43278</v>
          </cell>
        </row>
        <row r="12136">
          <cell r="A12136">
            <v>43176</v>
          </cell>
        </row>
        <row r="12137">
          <cell r="A12137">
            <v>43458</v>
          </cell>
        </row>
        <row r="12138">
          <cell r="A12138">
            <v>43118</v>
          </cell>
        </row>
        <row r="12139">
          <cell r="A12139">
            <v>43195</v>
          </cell>
        </row>
        <row r="12140">
          <cell r="A12140">
            <v>43824</v>
          </cell>
        </row>
        <row r="12141">
          <cell r="A12141">
            <v>43750</v>
          </cell>
        </row>
        <row r="12142">
          <cell r="A12142">
            <v>43204</v>
          </cell>
        </row>
        <row r="12143">
          <cell r="A12143">
            <v>43305</v>
          </cell>
        </row>
        <row r="12144">
          <cell r="A12144">
            <v>43155</v>
          </cell>
        </row>
        <row r="12145">
          <cell r="A12145">
            <v>43626</v>
          </cell>
        </row>
        <row r="12146">
          <cell r="A12146">
            <v>43643</v>
          </cell>
        </row>
        <row r="12147">
          <cell r="A12147">
            <v>43879</v>
          </cell>
        </row>
        <row r="12148">
          <cell r="A12148">
            <v>43357</v>
          </cell>
        </row>
        <row r="12149">
          <cell r="A12149">
            <v>43438</v>
          </cell>
        </row>
        <row r="12150">
          <cell r="A12150">
            <v>43381</v>
          </cell>
        </row>
        <row r="12151">
          <cell r="A12151">
            <v>43297</v>
          </cell>
        </row>
        <row r="12152">
          <cell r="A12152">
            <v>43497</v>
          </cell>
        </row>
        <row r="12153">
          <cell r="A12153">
            <v>43384</v>
          </cell>
        </row>
        <row r="12154">
          <cell r="A12154">
            <v>43497</v>
          </cell>
        </row>
        <row r="12155">
          <cell r="A12155">
            <v>43548</v>
          </cell>
        </row>
        <row r="12156">
          <cell r="A12156">
            <v>43275</v>
          </cell>
        </row>
        <row r="12157">
          <cell r="A12157">
            <v>43283</v>
          </cell>
        </row>
        <row r="12158">
          <cell r="A12158">
            <v>43760</v>
          </cell>
        </row>
        <row r="12159">
          <cell r="A12159">
            <v>43335</v>
          </cell>
        </row>
        <row r="12160">
          <cell r="A12160">
            <v>43186</v>
          </cell>
        </row>
        <row r="12161">
          <cell r="A12161">
            <v>43850</v>
          </cell>
        </row>
        <row r="12162">
          <cell r="A12162">
            <v>43452</v>
          </cell>
        </row>
        <row r="12163">
          <cell r="A12163">
            <v>43431</v>
          </cell>
        </row>
        <row r="12164">
          <cell r="A12164">
            <v>43849</v>
          </cell>
        </row>
        <row r="12165">
          <cell r="A12165">
            <v>43558</v>
          </cell>
        </row>
        <row r="12166">
          <cell r="A12166">
            <v>43167</v>
          </cell>
        </row>
        <row r="12167">
          <cell r="A12167">
            <v>43771</v>
          </cell>
        </row>
        <row r="12168">
          <cell r="A12168">
            <v>43200</v>
          </cell>
        </row>
        <row r="12169">
          <cell r="A12169">
            <v>43127</v>
          </cell>
        </row>
        <row r="12170">
          <cell r="A12170">
            <v>43395</v>
          </cell>
        </row>
        <row r="12171">
          <cell r="A12171">
            <v>43710</v>
          </cell>
        </row>
        <row r="12172">
          <cell r="A12172">
            <v>43344</v>
          </cell>
        </row>
        <row r="12173">
          <cell r="A12173">
            <v>43751</v>
          </cell>
        </row>
        <row r="12174">
          <cell r="A12174">
            <v>43866</v>
          </cell>
        </row>
        <row r="12175">
          <cell r="A12175">
            <v>43111</v>
          </cell>
        </row>
        <row r="12176">
          <cell r="A12176">
            <v>43274</v>
          </cell>
        </row>
        <row r="12177">
          <cell r="A12177">
            <v>43627</v>
          </cell>
        </row>
        <row r="12178">
          <cell r="A12178">
            <v>43507</v>
          </cell>
        </row>
        <row r="12179">
          <cell r="A12179">
            <v>43232</v>
          </cell>
        </row>
        <row r="12180">
          <cell r="A12180">
            <v>43649</v>
          </cell>
        </row>
        <row r="12181">
          <cell r="A12181">
            <v>43253</v>
          </cell>
        </row>
        <row r="12182">
          <cell r="A12182">
            <v>43452</v>
          </cell>
        </row>
        <row r="12183">
          <cell r="A12183">
            <v>43691</v>
          </cell>
        </row>
        <row r="12184">
          <cell r="A12184">
            <v>43467</v>
          </cell>
        </row>
        <row r="12185">
          <cell r="A12185">
            <v>43739</v>
          </cell>
        </row>
        <row r="12186">
          <cell r="A12186">
            <v>43709</v>
          </cell>
        </row>
        <row r="12187">
          <cell r="A12187">
            <v>43322</v>
          </cell>
        </row>
        <row r="12188">
          <cell r="A12188">
            <v>43218</v>
          </cell>
        </row>
        <row r="12189">
          <cell r="A12189">
            <v>43515</v>
          </cell>
        </row>
        <row r="12190">
          <cell r="A12190">
            <v>43218</v>
          </cell>
        </row>
        <row r="12191">
          <cell r="A12191">
            <v>43208</v>
          </cell>
        </row>
        <row r="12192">
          <cell r="A12192">
            <v>43906</v>
          </cell>
        </row>
        <row r="12193">
          <cell r="A12193">
            <v>43521</v>
          </cell>
        </row>
        <row r="12194">
          <cell r="A12194">
            <v>43738</v>
          </cell>
        </row>
        <row r="12195">
          <cell r="A12195">
            <v>43796</v>
          </cell>
        </row>
        <row r="12196">
          <cell r="A12196">
            <v>43160</v>
          </cell>
        </row>
        <row r="12197">
          <cell r="A12197">
            <v>43310</v>
          </cell>
        </row>
        <row r="12198">
          <cell r="A12198">
            <v>43887</v>
          </cell>
        </row>
        <row r="12199">
          <cell r="A12199">
            <v>43846</v>
          </cell>
        </row>
        <row r="12200">
          <cell r="A12200">
            <v>43361</v>
          </cell>
        </row>
        <row r="12201">
          <cell r="A12201">
            <v>43492</v>
          </cell>
        </row>
        <row r="12202">
          <cell r="A12202">
            <v>43531</v>
          </cell>
        </row>
        <row r="12203">
          <cell r="A12203">
            <v>43223</v>
          </cell>
        </row>
        <row r="12204">
          <cell r="A12204">
            <v>43694</v>
          </cell>
        </row>
        <row r="12205">
          <cell r="A12205">
            <v>43574</v>
          </cell>
        </row>
        <row r="12206">
          <cell r="A12206">
            <v>43392</v>
          </cell>
        </row>
        <row r="12207">
          <cell r="A12207">
            <v>43630</v>
          </cell>
        </row>
        <row r="12208">
          <cell r="A12208">
            <v>43308</v>
          </cell>
        </row>
        <row r="12209">
          <cell r="A12209">
            <v>43751</v>
          </cell>
        </row>
        <row r="12210">
          <cell r="A12210">
            <v>43479</v>
          </cell>
        </row>
        <row r="12211">
          <cell r="A12211">
            <v>43605</v>
          </cell>
        </row>
        <row r="12212">
          <cell r="A12212">
            <v>43719</v>
          </cell>
        </row>
        <row r="12213">
          <cell r="A12213">
            <v>43679</v>
          </cell>
        </row>
        <row r="12214">
          <cell r="A12214">
            <v>43107</v>
          </cell>
        </row>
        <row r="12215">
          <cell r="A12215">
            <v>43382</v>
          </cell>
        </row>
        <row r="12216">
          <cell r="A12216">
            <v>43113</v>
          </cell>
        </row>
        <row r="12217">
          <cell r="A12217">
            <v>43592</v>
          </cell>
        </row>
        <row r="12218">
          <cell r="A12218">
            <v>43469</v>
          </cell>
        </row>
        <row r="12219">
          <cell r="A12219">
            <v>43708</v>
          </cell>
        </row>
        <row r="12220">
          <cell r="A12220">
            <v>43863</v>
          </cell>
        </row>
        <row r="12221">
          <cell r="A12221">
            <v>43411</v>
          </cell>
        </row>
        <row r="12222">
          <cell r="A12222">
            <v>43550</v>
          </cell>
        </row>
        <row r="12223">
          <cell r="A12223">
            <v>43212</v>
          </cell>
        </row>
        <row r="12224">
          <cell r="A12224">
            <v>43875</v>
          </cell>
        </row>
        <row r="12225">
          <cell r="A12225">
            <v>43873</v>
          </cell>
        </row>
        <row r="12226">
          <cell r="A12226">
            <v>43452</v>
          </cell>
        </row>
        <row r="12227">
          <cell r="A12227">
            <v>43371</v>
          </cell>
        </row>
        <row r="12228">
          <cell r="A12228">
            <v>43897</v>
          </cell>
        </row>
        <row r="12229">
          <cell r="A12229">
            <v>43344</v>
          </cell>
        </row>
        <row r="12230">
          <cell r="A12230">
            <v>43242</v>
          </cell>
        </row>
        <row r="12231">
          <cell r="A12231">
            <v>43232</v>
          </cell>
        </row>
        <row r="12232">
          <cell r="A12232">
            <v>43194</v>
          </cell>
        </row>
        <row r="12233">
          <cell r="A12233">
            <v>43477</v>
          </cell>
        </row>
        <row r="12234">
          <cell r="A12234">
            <v>43156</v>
          </cell>
        </row>
        <row r="12235">
          <cell r="A12235">
            <v>43473</v>
          </cell>
        </row>
        <row r="12236">
          <cell r="A12236">
            <v>43881</v>
          </cell>
        </row>
        <row r="12237">
          <cell r="A12237">
            <v>43252</v>
          </cell>
        </row>
        <row r="12238">
          <cell r="A12238">
            <v>43658</v>
          </cell>
        </row>
        <row r="12239">
          <cell r="A12239">
            <v>43454</v>
          </cell>
        </row>
        <row r="12240">
          <cell r="A12240">
            <v>43758</v>
          </cell>
        </row>
        <row r="12241">
          <cell r="A12241">
            <v>43131</v>
          </cell>
        </row>
        <row r="12242">
          <cell r="A12242">
            <v>43567</v>
          </cell>
        </row>
        <row r="12243">
          <cell r="A12243">
            <v>43172</v>
          </cell>
        </row>
        <row r="12244">
          <cell r="A12244">
            <v>43472</v>
          </cell>
        </row>
        <row r="12245">
          <cell r="A12245">
            <v>43795</v>
          </cell>
        </row>
        <row r="12246">
          <cell r="A12246">
            <v>43530</v>
          </cell>
        </row>
        <row r="12247">
          <cell r="A12247">
            <v>43506</v>
          </cell>
        </row>
        <row r="12248">
          <cell r="A12248">
            <v>43865</v>
          </cell>
        </row>
        <row r="12249">
          <cell r="A12249">
            <v>43450</v>
          </cell>
        </row>
        <row r="12250">
          <cell r="A12250">
            <v>43541</v>
          </cell>
        </row>
        <row r="12251">
          <cell r="A12251">
            <v>43557</v>
          </cell>
        </row>
        <row r="12252">
          <cell r="A12252">
            <v>43350</v>
          </cell>
        </row>
        <row r="12253">
          <cell r="A12253">
            <v>43873</v>
          </cell>
        </row>
        <row r="12254">
          <cell r="A12254">
            <v>43606</v>
          </cell>
        </row>
        <row r="12255">
          <cell r="A12255">
            <v>43357</v>
          </cell>
        </row>
        <row r="12256">
          <cell r="A12256">
            <v>43126</v>
          </cell>
        </row>
        <row r="12257">
          <cell r="A12257">
            <v>43632</v>
          </cell>
        </row>
        <row r="12258">
          <cell r="A12258">
            <v>43252</v>
          </cell>
        </row>
        <row r="12259">
          <cell r="A12259">
            <v>43738</v>
          </cell>
        </row>
        <row r="12260">
          <cell r="A12260">
            <v>43890</v>
          </cell>
        </row>
        <row r="12261">
          <cell r="A12261">
            <v>43338</v>
          </cell>
        </row>
        <row r="12262">
          <cell r="A12262">
            <v>43841</v>
          </cell>
        </row>
        <row r="12263">
          <cell r="A12263">
            <v>43750</v>
          </cell>
        </row>
        <row r="12264">
          <cell r="A12264">
            <v>43607</v>
          </cell>
        </row>
        <row r="12265">
          <cell r="A12265">
            <v>43793</v>
          </cell>
        </row>
        <row r="12266">
          <cell r="A12266">
            <v>43481</v>
          </cell>
        </row>
        <row r="12267">
          <cell r="A12267">
            <v>43333</v>
          </cell>
        </row>
        <row r="12268">
          <cell r="A12268">
            <v>43165</v>
          </cell>
        </row>
        <row r="12269">
          <cell r="A12269">
            <v>43597</v>
          </cell>
        </row>
        <row r="12270">
          <cell r="A12270">
            <v>43223</v>
          </cell>
        </row>
        <row r="12271">
          <cell r="A12271">
            <v>43459</v>
          </cell>
        </row>
        <row r="12272">
          <cell r="A12272">
            <v>43885</v>
          </cell>
        </row>
        <row r="12273">
          <cell r="A12273">
            <v>43351</v>
          </cell>
        </row>
        <row r="12274">
          <cell r="A12274">
            <v>43644</v>
          </cell>
        </row>
        <row r="12275">
          <cell r="A12275">
            <v>43713</v>
          </cell>
        </row>
        <row r="12276">
          <cell r="A12276">
            <v>43111</v>
          </cell>
        </row>
        <row r="12277">
          <cell r="A12277">
            <v>43195</v>
          </cell>
        </row>
        <row r="12278">
          <cell r="A12278">
            <v>43409</v>
          </cell>
        </row>
        <row r="12279">
          <cell r="A12279">
            <v>43752</v>
          </cell>
        </row>
        <row r="12280">
          <cell r="A12280">
            <v>43111</v>
          </cell>
        </row>
        <row r="12281">
          <cell r="A12281">
            <v>43151</v>
          </cell>
        </row>
        <row r="12282">
          <cell r="A12282">
            <v>43813</v>
          </cell>
        </row>
        <row r="12283">
          <cell r="A12283">
            <v>43512</v>
          </cell>
        </row>
        <row r="12284">
          <cell r="A12284">
            <v>43866</v>
          </cell>
        </row>
        <row r="12285">
          <cell r="A12285">
            <v>43453</v>
          </cell>
        </row>
        <row r="12286">
          <cell r="A12286">
            <v>43418</v>
          </cell>
        </row>
        <row r="12287">
          <cell r="A12287">
            <v>43270</v>
          </cell>
        </row>
        <row r="12288">
          <cell r="A12288">
            <v>43477</v>
          </cell>
        </row>
        <row r="12289">
          <cell r="A12289">
            <v>43818</v>
          </cell>
        </row>
        <row r="12290">
          <cell r="A12290">
            <v>43803</v>
          </cell>
        </row>
        <row r="12291">
          <cell r="A12291">
            <v>43151</v>
          </cell>
        </row>
        <row r="12292">
          <cell r="A12292">
            <v>43539</v>
          </cell>
        </row>
        <row r="12293">
          <cell r="A12293">
            <v>43586</v>
          </cell>
        </row>
        <row r="12294">
          <cell r="A12294">
            <v>43512</v>
          </cell>
        </row>
        <row r="12295">
          <cell r="A12295">
            <v>43410</v>
          </cell>
        </row>
        <row r="12296">
          <cell r="A12296">
            <v>43647</v>
          </cell>
        </row>
        <row r="12297">
          <cell r="A12297">
            <v>43483</v>
          </cell>
        </row>
        <row r="12298">
          <cell r="A12298">
            <v>43326</v>
          </cell>
        </row>
        <row r="12299">
          <cell r="A12299">
            <v>43237</v>
          </cell>
        </row>
        <row r="12300">
          <cell r="A12300">
            <v>43132</v>
          </cell>
        </row>
        <row r="12301">
          <cell r="A12301">
            <v>43731</v>
          </cell>
        </row>
        <row r="12302">
          <cell r="A12302">
            <v>43373</v>
          </cell>
        </row>
        <row r="12303">
          <cell r="A12303">
            <v>43620</v>
          </cell>
        </row>
        <row r="12304">
          <cell r="A12304">
            <v>43106</v>
          </cell>
        </row>
        <row r="12305">
          <cell r="A12305">
            <v>43151</v>
          </cell>
        </row>
        <row r="12306">
          <cell r="A12306">
            <v>43505</v>
          </cell>
        </row>
        <row r="12307">
          <cell r="A12307">
            <v>43916</v>
          </cell>
        </row>
        <row r="12308">
          <cell r="A12308">
            <v>43115</v>
          </cell>
        </row>
        <row r="12309">
          <cell r="A12309">
            <v>43448</v>
          </cell>
        </row>
        <row r="12310">
          <cell r="A12310">
            <v>43676</v>
          </cell>
        </row>
        <row r="12311">
          <cell r="A12311">
            <v>43702</v>
          </cell>
        </row>
        <row r="12312">
          <cell r="A12312">
            <v>43299</v>
          </cell>
        </row>
        <row r="12313">
          <cell r="A12313">
            <v>43268</v>
          </cell>
        </row>
        <row r="12314">
          <cell r="A12314">
            <v>43313</v>
          </cell>
        </row>
        <row r="12315">
          <cell r="A12315">
            <v>43726</v>
          </cell>
        </row>
        <row r="12316">
          <cell r="A12316">
            <v>43271</v>
          </cell>
        </row>
        <row r="12317">
          <cell r="A12317">
            <v>43391</v>
          </cell>
        </row>
        <row r="12318">
          <cell r="A12318">
            <v>43193</v>
          </cell>
        </row>
        <row r="12319">
          <cell r="A12319">
            <v>43101</v>
          </cell>
        </row>
        <row r="12320">
          <cell r="A12320">
            <v>43376</v>
          </cell>
        </row>
        <row r="12321">
          <cell r="A12321">
            <v>43703</v>
          </cell>
        </row>
        <row r="12322">
          <cell r="A12322">
            <v>43596</v>
          </cell>
        </row>
        <row r="12323">
          <cell r="A12323">
            <v>43757</v>
          </cell>
        </row>
        <row r="12324">
          <cell r="A12324">
            <v>43542</v>
          </cell>
        </row>
        <row r="12325">
          <cell r="A12325">
            <v>43669</v>
          </cell>
        </row>
        <row r="12326">
          <cell r="A12326">
            <v>43584</v>
          </cell>
        </row>
        <row r="12327">
          <cell r="A12327">
            <v>43718</v>
          </cell>
        </row>
        <row r="12328">
          <cell r="A12328">
            <v>43451</v>
          </cell>
        </row>
        <row r="12329">
          <cell r="A12329">
            <v>43636</v>
          </cell>
        </row>
        <row r="12330">
          <cell r="A12330">
            <v>43650</v>
          </cell>
        </row>
        <row r="12331">
          <cell r="A12331">
            <v>43231</v>
          </cell>
        </row>
        <row r="12332">
          <cell r="A12332">
            <v>43189</v>
          </cell>
        </row>
        <row r="12333">
          <cell r="A12333">
            <v>43597</v>
          </cell>
        </row>
        <row r="12334">
          <cell r="A12334">
            <v>43163</v>
          </cell>
        </row>
        <row r="12335">
          <cell r="A12335">
            <v>43233</v>
          </cell>
        </row>
        <row r="12336">
          <cell r="A12336">
            <v>43557</v>
          </cell>
        </row>
        <row r="12337">
          <cell r="A12337">
            <v>43537</v>
          </cell>
        </row>
        <row r="12338">
          <cell r="A12338">
            <v>43770</v>
          </cell>
        </row>
        <row r="12339">
          <cell r="A12339">
            <v>43534</v>
          </cell>
        </row>
        <row r="12340">
          <cell r="A12340">
            <v>43399</v>
          </cell>
        </row>
        <row r="12341">
          <cell r="A12341">
            <v>43838</v>
          </cell>
        </row>
        <row r="12342">
          <cell r="A12342">
            <v>43413</v>
          </cell>
        </row>
        <row r="12343">
          <cell r="A12343">
            <v>43261</v>
          </cell>
        </row>
        <row r="12344">
          <cell r="A12344">
            <v>43621</v>
          </cell>
        </row>
        <row r="12345">
          <cell r="A12345">
            <v>43871</v>
          </cell>
        </row>
        <row r="12346">
          <cell r="A12346">
            <v>43780</v>
          </cell>
        </row>
        <row r="12347">
          <cell r="A12347">
            <v>43594</v>
          </cell>
        </row>
        <row r="12348">
          <cell r="A12348">
            <v>43816</v>
          </cell>
        </row>
        <row r="12349">
          <cell r="A12349">
            <v>43351</v>
          </cell>
        </row>
        <row r="12350">
          <cell r="A12350">
            <v>43366</v>
          </cell>
        </row>
        <row r="12351">
          <cell r="A12351">
            <v>43106</v>
          </cell>
        </row>
        <row r="12352">
          <cell r="A12352">
            <v>43185</v>
          </cell>
        </row>
        <row r="12353">
          <cell r="A12353">
            <v>43652</v>
          </cell>
        </row>
        <row r="12354">
          <cell r="A12354">
            <v>43246</v>
          </cell>
        </row>
        <row r="12355">
          <cell r="A12355">
            <v>43547</v>
          </cell>
        </row>
        <row r="12356">
          <cell r="A12356">
            <v>43571</v>
          </cell>
        </row>
        <row r="12357">
          <cell r="A12357">
            <v>43818</v>
          </cell>
        </row>
        <row r="12358">
          <cell r="A12358">
            <v>43878</v>
          </cell>
        </row>
        <row r="12359">
          <cell r="A12359">
            <v>43626</v>
          </cell>
        </row>
        <row r="12360">
          <cell r="A12360">
            <v>43378</v>
          </cell>
        </row>
        <row r="12361">
          <cell r="A12361">
            <v>43126</v>
          </cell>
        </row>
        <row r="12362">
          <cell r="A12362">
            <v>43797</v>
          </cell>
        </row>
        <row r="12363">
          <cell r="A12363">
            <v>43893</v>
          </cell>
        </row>
        <row r="12364">
          <cell r="A12364">
            <v>43630</v>
          </cell>
        </row>
        <row r="12365">
          <cell r="A12365">
            <v>43108</v>
          </cell>
        </row>
        <row r="12366">
          <cell r="A12366">
            <v>43590</v>
          </cell>
        </row>
        <row r="12367">
          <cell r="A12367">
            <v>43249</v>
          </cell>
        </row>
        <row r="12368">
          <cell r="A12368">
            <v>43750</v>
          </cell>
        </row>
        <row r="12369">
          <cell r="A12369">
            <v>43162</v>
          </cell>
        </row>
        <row r="12370">
          <cell r="A12370">
            <v>43789</v>
          </cell>
        </row>
        <row r="12371">
          <cell r="A12371">
            <v>43881</v>
          </cell>
        </row>
        <row r="12372">
          <cell r="A12372">
            <v>43519</v>
          </cell>
        </row>
        <row r="12373">
          <cell r="A12373">
            <v>43394</v>
          </cell>
        </row>
        <row r="12374">
          <cell r="A12374">
            <v>43735</v>
          </cell>
        </row>
        <row r="12375">
          <cell r="A12375">
            <v>43345</v>
          </cell>
        </row>
        <row r="12376">
          <cell r="A12376">
            <v>43663</v>
          </cell>
        </row>
        <row r="12377">
          <cell r="A12377">
            <v>43852</v>
          </cell>
        </row>
        <row r="12378">
          <cell r="A12378">
            <v>43717</v>
          </cell>
        </row>
        <row r="12379">
          <cell r="A12379">
            <v>43836</v>
          </cell>
        </row>
        <row r="12380">
          <cell r="A12380">
            <v>43544</v>
          </cell>
        </row>
        <row r="12381">
          <cell r="A12381">
            <v>43369</v>
          </cell>
        </row>
        <row r="12382">
          <cell r="A12382">
            <v>43113</v>
          </cell>
        </row>
        <row r="12383">
          <cell r="A12383">
            <v>43877</v>
          </cell>
        </row>
        <row r="12384">
          <cell r="A12384">
            <v>43624</v>
          </cell>
        </row>
        <row r="12385">
          <cell r="A12385">
            <v>43406</v>
          </cell>
        </row>
        <row r="12386">
          <cell r="A12386">
            <v>43139</v>
          </cell>
        </row>
        <row r="12387">
          <cell r="A12387">
            <v>43357</v>
          </cell>
        </row>
        <row r="12388">
          <cell r="A12388">
            <v>43642</v>
          </cell>
        </row>
        <row r="12389">
          <cell r="A12389">
            <v>43203</v>
          </cell>
        </row>
        <row r="12390">
          <cell r="A12390">
            <v>43132</v>
          </cell>
        </row>
        <row r="12391">
          <cell r="A12391">
            <v>43112</v>
          </cell>
        </row>
        <row r="12392">
          <cell r="A12392">
            <v>43361</v>
          </cell>
        </row>
        <row r="12393">
          <cell r="A12393">
            <v>43838</v>
          </cell>
        </row>
        <row r="12394">
          <cell r="A12394">
            <v>43521</v>
          </cell>
        </row>
        <row r="12395">
          <cell r="A12395">
            <v>43823</v>
          </cell>
        </row>
        <row r="12396">
          <cell r="A12396">
            <v>43359</v>
          </cell>
        </row>
        <row r="12397">
          <cell r="A12397">
            <v>43684</v>
          </cell>
        </row>
        <row r="12398">
          <cell r="A12398">
            <v>43680</v>
          </cell>
        </row>
        <row r="12399">
          <cell r="A12399">
            <v>43325</v>
          </cell>
        </row>
        <row r="12400">
          <cell r="A12400">
            <v>43400</v>
          </cell>
        </row>
        <row r="12401">
          <cell r="A12401">
            <v>43157</v>
          </cell>
        </row>
        <row r="12402">
          <cell r="A12402">
            <v>43617</v>
          </cell>
        </row>
        <row r="12403">
          <cell r="A12403">
            <v>43712</v>
          </cell>
        </row>
        <row r="12404">
          <cell r="A12404">
            <v>43120</v>
          </cell>
        </row>
        <row r="12405">
          <cell r="A12405">
            <v>43423</v>
          </cell>
        </row>
        <row r="12406">
          <cell r="A12406">
            <v>43367</v>
          </cell>
        </row>
        <row r="12407">
          <cell r="A12407">
            <v>43840</v>
          </cell>
        </row>
        <row r="12408">
          <cell r="A12408">
            <v>43258</v>
          </cell>
        </row>
        <row r="12409">
          <cell r="A12409">
            <v>43496</v>
          </cell>
        </row>
        <row r="12410">
          <cell r="A12410">
            <v>43438</v>
          </cell>
        </row>
        <row r="12411">
          <cell r="A12411">
            <v>43876</v>
          </cell>
        </row>
        <row r="12412">
          <cell r="A12412">
            <v>43811</v>
          </cell>
        </row>
        <row r="12413">
          <cell r="A12413">
            <v>43503</v>
          </cell>
        </row>
        <row r="12414">
          <cell r="A12414">
            <v>43355</v>
          </cell>
        </row>
        <row r="12415">
          <cell r="A12415">
            <v>43893</v>
          </cell>
        </row>
        <row r="12416">
          <cell r="A12416">
            <v>43455</v>
          </cell>
        </row>
        <row r="12417">
          <cell r="A12417">
            <v>43180</v>
          </cell>
        </row>
        <row r="12418">
          <cell r="A12418">
            <v>43106</v>
          </cell>
        </row>
        <row r="12419">
          <cell r="A12419">
            <v>43405</v>
          </cell>
        </row>
        <row r="12420">
          <cell r="A12420">
            <v>43541</v>
          </cell>
        </row>
        <row r="12421">
          <cell r="A12421">
            <v>43594</v>
          </cell>
        </row>
        <row r="12422">
          <cell r="A12422">
            <v>43447</v>
          </cell>
        </row>
        <row r="12423">
          <cell r="A12423">
            <v>43193</v>
          </cell>
        </row>
        <row r="12424">
          <cell r="A12424">
            <v>43731</v>
          </cell>
        </row>
        <row r="12425">
          <cell r="A12425">
            <v>43620</v>
          </cell>
        </row>
        <row r="12426">
          <cell r="A12426">
            <v>43223</v>
          </cell>
        </row>
        <row r="12427">
          <cell r="A12427">
            <v>43771</v>
          </cell>
        </row>
        <row r="12428">
          <cell r="A12428">
            <v>43717</v>
          </cell>
        </row>
        <row r="12429">
          <cell r="A12429">
            <v>43203</v>
          </cell>
        </row>
        <row r="12430">
          <cell r="A12430">
            <v>43631</v>
          </cell>
        </row>
        <row r="12431">
          <cell r="A12431">
            <v>43551</v>
          </cell>
        </row>
        <row r="12432">
          <cell r="A12432">
            <v>43321</v>
          </cell>
        </row>
        <row r="12433">
          <cell r="A12433">
            <v>43573</v>
          </cell>
        </row>
        <row r="12434">
          <cell r="A12434">
            <v>43658</v>
          </cell>
        </row>
        <row r="12435">
          <cell r="A12435">
            <v>43782</v>
          </cell>
        </row>
        <row r="12436">
          <cell r="A12436">
            <v>43156</v>
          </cell>
        </row>
        <row r="12437">
          <cell r="A12437">
            <v>43122</v>
          </cell>
        </row>
        <row r="12438">
          <cell r="A12438">
            <v>43855</v>
          </cell>
        </row>
        <row r="12439">
          <cell r="A12439">
            <v>43240</v>
          </cell>
        </row>
        <row r="12440">
          <cell r="A12440">
            <v>43469</v>
          </cell>
        </row>
        <row r="12441">
          <cell r="A12441">
            <v>43284</v>
          </cell>
        </row>
        <row r="12442">
          <cell r="A12442">
            <v>43486</v>
          </cell>
        </row>
        <row r="12443">
          <cell r="A12443">
            <v>43149</v>
          </cell>
        </row>
        <row r="12444">
          <cell r="A12444">
            <v>43900</v>
          </cell>
        </row>
        <row r="12445">
          <cell r="A12445">
            <v>43635</v>
          </cell>
        </row>
        <row r="12446">
          <cell r="A12446">
            <v>43502</v>
          </cell>
        </row>
        <row r="12447">
          <cell r="A12447">
            <v>43550</v>
          </cell>
        </row>
        <row r="12448">
          <cell r="A12448">
            <v>43339</v>
          </cell>
        </row>
        <row r="12449">
          <cell r="A12449">
            <v>43734</v>
          </cell>
        </row>
        <row r="12450">
          <cell r="A12450">
            <v>43676</v>
          </cell>
        </row>
        <row r="12451">
          <cell r="A12451">
            <v>43204</v>
          </cell>
        </row>
        <row r="12452">
          <cell r="A12452">
            <v>43188</v>
          </cell>
        </row>
        <row r="12453">
          <cell r="A12453">
            <v>43126</v>
          </cell>
        </row>
        <row r="12454">
          <cell r="A12454">
            <v>43824</v>
          </cell>
        </row>
        <row r="12455">
          <cell r="A12455">
            <v>43469</v>
          </cell>
        </row>
        <row r="12456">
          <cell r="A12456">
            <v>43332</v>
          </cell>
        </row>
        <row r="12457">
          <cell r="A12457">
            <v>43411</v>
          </cell>
        </row>
        <row r="12458">
          <cell r="A12458">
            <v>43354</v>
          </cell>
        </row>
        <row r="12459">
          <cell r="A12459">
            <v>43269</v>
          </cell>
        </row>
        <row r="12460">
          <cell r="A12460">
            <v>43751</v>
          </cell>
        </row>
        <row r="12461">
          <cell r="A12461">
            <v>43164</v>
          </cell>
        </row>
        <row r="12462">
          <cell r="A12462">
            <v>43541</v>
          </cell>
        </row>
        <row r="12463">
          <cell r="A12463">
            <v>43586</v>
          </cell>
        </row>
        <row r="12464">
          <cell r="A12464">
            <v>43661</v>
          </cell>
        </row>
        <row r="12465">
          <cell r="A12465">
            <v>43814</v>
          </cell>
        </row>
        <row r="12466">
          <cell r="A12466">
            <v>43680</v>
          </cell>
        </row>
        <row r="12467">
          <cell r="A12467">
            <v>43309</v>
          </cell>
        </row>
        <row r="12468">
          <cell r="A12468">
            <v>43843</v>
          </cell>
        </row>
        <row r="12469">
          <cell r="A12469">
            <v>43820</v>
          </cell>
        </row>
        <row r="12470">
          <cell r="A12470">
            <v>43633</v>
          </cell>
        </row>
        <row r="12471">
          <cell r="A12471">
            <v>43752</v>
          </cell>
        </row>
        <row r="12472">
          <cell r="A12472">
            <v>43419</v>
          </cell>
        </row>
        <row r="12473">
          <cell r="A12473">
            <v>43251</v>
          </cell>
        </row>
        <row r="12474">
          <cell r="A12474">
            <v>43499</v>
          </cell>
        </row>
        <row r="12475">
          <cell r="A12475">
            <v>43418</v>
          </cell>
        </row>
        <row r="12476">
          <cell r="A12476">
            <v>43654</v>
          </cell>
        </row>
        <row r="12477">
          <cell r="A12477">
            <v>43677</v>
          </cell>
        </row>
        <row r="12478">
          <cell r="A12478">
            <v>43620</v>
          </cell>
        </row>
        <row r="12479">
          <cell r="A12479">
            <v>43433</v>
          </cell>
        </row>
        <row r="12480">
          <cell r="A12480">
            <v>43595</v>
          </cell>
        </row>
        <row r="12481">
          <cell r="A12481">
            <v>43515</v>
          </cell>
        </row>
        <row r="12482">
          <cell r="A12482">
            <v>43587</v>
          </cell>
        </row>
        <row r="12483">
          <cell r="A12483">
            <v>43894</v>
          </cell>
        </row>
        <row r="12484">
          <cell r="A12484">
            <v>43534</v>
          </cell>
        </row>
        <row r="12485">
          <cell r="A12485">
            <v>43742</v>
          </cell>
        </row>
        <row r="12486">
          <cell r="A12486">
            <v>43260</v>
          </cell>
        </row>
        <row r="12487">
          <cell r="A12487">
            <v>43838</v>
          </cell>
        </row>
        <row r="12488">
          <cell r="A12488">
            <v>43488</v>
          </cell>
        </row>
        <row r="12489">
          <cell r="A12489">
            <v>43789</v>
          </cell>
        </row>
        <row r="12490">
          <cell r="A12490">
            <v>43775</v>
          </cell>
        </row>
        <row r="12491">
          <cell r="A12491">
            <v>43257</v>
          </cell>
        </row>
        <row r="12492">
          <cell r="A12492">
            <v>43419</v>
          </cell>
        </row>
        <row r="12493">
          <cell r="A12493">
            <v>43532</v>
          </cell>
        </row>
        <row r="12494">
          <cell r="A12494">
            <v>43419</v>
          </cell>
        </row>
        <row r="12495">
          <cell r="A12495">
            <v>43270</v>
          </cell>
        </row>
        <row r="12496">
          <cell r="A12496">
            <v>43330</v>
          </cell>
        </row>
        <row r="12497">
          <cell r="A12497">
            <v>43524</v>
          </cell>
        </row>
        <row r="12498">
          <cell r="A12498">
            <v>43757</v>
          </cell>
        </row>
        <row r="12499">
          <cell r="A12499">
            <v>43342</v>
          </cell>
        </row>
        <row r="12500">
          <cell r="A12500">
            <v>43274</v>
          </cell>
        </row>
        <row r="12501">
          <cell r="A12501">
            <v>43810</v>
          </cell>
        </row>
        <row r="12502">
          <cell r="A12502">
            <v>43382</v>
          </cell>
        </row>
        <row r="12503">
          <cell r="A12503">
            <v>43658</v>
          </cell>
        </row>
        <row r="12504">
          <cell r="A12504">
            <v>43181</v>
          </cell>
        </row>
        <row r="12505">
          <cell r="A12505">
            <v>43200</v>
          </cell>
        </row>
        <row r="12506">
          <cell r="A12506">
            <v>43505</v>
          </cell>
        </row>
        <row r="12507">
          <cell r="A12507">
            <v>43385</v>
          </cell>
        </row>
        <row r="12508">
          <cell r="A12508">
            <v>43405</v>
          </cell>
        </row>
        <row r="12509">
          <cell r="A12509">
            <v>43729</v>
          </cell>
        </row>
        <row r="12510">
          <cell r="A12510">
            <v>43494</v>
          </cell>
        </row>
        <row r="12511">
          <cell r="A12511">
            <v>43226</v>
          </cell>
        </row>
        <row r="12512">
          <cell r="A12512">
            <v>43392</v>
          </cell>
        </row>
        <row r="12513">
          <cell r="A12513">
            <v>43439</v>
          </cell>
        </row>
        <row r="12514">
          <cell r="A12514">
            <v>43740</v>
          </cell>
        </row>
        <row r="12515">
          <cell r="A12515">
            <v>43583</v>
          </cell>
        </row>
        <row r="12516">
          <cell r="A12516">
            <v>43555</v>
          </cell>
        </row>
        <row r="12517">
          <cell r="A12517">
            <v>43456</v>
          </cell>
        </row>
        <row r="12518">
          <cell r="A12518">
            <v>43377</v>
          </cell>
        </row>
        <row r="12519">
          <cell r="A12519">
            <v>43333</v>
          </cell>
        </row>
        <row r="12520">
          <cell r="A12520">
            <v>43558</v>
          </cell>
        </row>
        <row r="12521">
          <cell r="A12521">
            <v>43730</v>
          </cell>
        </row>
        <row r="12522">
          <cell r="A12522">
            <v>43472</v>
          </cell>
        </row>
        <row r="12523">
          <cell r="A12523">
            <v>43654</v>
          </cell>
        </row>
        <row r="12524">
          <cell r="A12524">
            <v>43777</v>
          </cell>
        </row>
        <row r="12525">
          <cell r="A12525">
            <v>43337</v>
          </cell>
        </row>
        <row r="12526">
          <cell r="A12526">
            <v>43804</v>
          </cell>
        </row>
        <row r="12527">
          <cell r="A12527">
            <v>43648</v>
          </cell>
        </row>
        <row r="12528">
          <cell r="A12528">
            <v>43180</v>
          </cell>
        </row>
        <row r="12529">
          <cell r="A12529">
            <v>43721</v>
          </cell>
        </row>
        <row r="12530">
          <cell r="A12530">
            <v>43531</v>
          </cell>
        </row>
        <row r="12531">
          <cell r="A12531">
            <v>43790</v>
          </cell>
        </row>
        <row r="12532">
          <cell r="A12532">
            <v>43744</v>
          </cell>
        </row>
        <row r="12533">
          <cell r="A12533">
            <v>43687</v>
          </cell>
        </row>
        <row r="12534">
          <cell r="A12534">
            <v>43693</v>
          </cell>
        </row>
        <row r="12535">
          <cell r="A12535">
            <v>43428</v>
          </cell>
        </row>
        <row r="12536">
          <cell r="A12536">
            <v>43672</v>
          </cell>
        </row>
        <row r="12537">
          <cell r="A12537">
            <v>43514</v>
          </cell>
        </row>
        <row r="12538">
          <cell r="A12538">
            <v>43493</v>
          </cell>
        </row>
        <row r="12539">
          <cell r="A12539">
            <v>43286</v>
          </cell>
        </row>
        <row r="12540">
          <cell r="A12540">
            <v>43144</v>
          </cell>
        </row>
        <row r="12541">
          <cell r="A12541">
            <v>43132</v>
          </cell>
        </row>
        <row r="12542">
          <cell r="A12542">
            <v>43449</v>
          </cell>
        </row>
        <row r="12543">
          <cell r="A12543">
            <v>43363</v>
          </cell>
        </row>
        <row r="12544">
          <cell r="A12544">
            <v>43281</v>
          </cell>
        </row>
        <row r="12545">
          <cell r="A12545">
            <v>43308</v>
          </cell>
        </row>
        <row r="12546">
          <cell r="A12546">
            <v>43801</v>
          </cell>
        </row>
        <row r="12547">
          <cell r="A12547">
            <v>43568</v>
          </cell>
        </row>
        <row r="12548">
          <cell r="A12548">
            <v>43558</v>
          </cell>
        </row>
        <row r="12549">
          <cell r="A12549">
            <v>43914</v>
          </cell>
        </row>
        <row r="12550">
          <cell r="A12550">
            <v>43708</v>
          </cell>
        </row>
        <row r="12551">
          <cell r="A12551">
            <v>43140</v>
          </cell>
        </row>
        <row r="12552">
          <cell r="A12552">
            <v>43643</v>
          </cell>
        </row>
        <row r="12553">
          <cell r="A12553">
            <v>43855</v>
          </cell>
        </row>
        <row r="12554">
          <cell r="A12554">
            <v>43544</v>
          </cell>
        </row>
        <row r="12555">
          <cell r="A12555">
            <v>43298</v>
          </cell>
        </row>
        <row r="12556">
          <cell r="A12556">
            <v>43452</v>
          </cell>
        </row>
        <row r="12557">
          <cell r="A12557">
            <v>43553</v>
          </cell>
        </row>
        <row r="12558">
          <cell r="A12558">
            <v>43672</v>
          </cell>
        </row>
        <row r="12559">
          <cell r="A12559">
            <v>43913</v>
          </cell>
        </row>
        <row r="12560">
          <cell r="A12560">
            <v>43348</v>
          </cell>
        </row>
        <row r="12561">
          <cell r="A12561">
            <v>43590</v>
          </cell>
        </row>
        <row r="12562">
          <cell r="A12562">
            <v>43871</v>
          </cell>
        </row>
        <row r="12563">
          <cell r="A12563">
            <v>43116</v>
          </cell>
        </row>
        <row r="12564">
          <cell r="A12564">
            <v>43641</v>
          </cell>
        </row>
        <row r="12565">
          <cell r="A12565">
            <v>43755</v>
          </cell>
        </row>
        <row r="12566">
          <cell r="A12566">
            <v>43773</v>
          </cell>
        </row>
        <row r="12567">
          <cell r="A12567">
            <v>43171</v>
          </cell>
        </row>
        <row r="12568">
          <cell r="A12568">
            <v>43679</v>
          </cell>
        </row>
        <row r="12569">
          <cell r="A12569">
            <v>43142</v>
          </cell>
        </row>
        <row r="12570">
          <cell r="A12570">
            <v>43122</v>
          </cell>
        </row>
        <row r="12571">
          <cell r="A12571">
            <v>43639</v>
          </cell>
        </row>
        <row r="12572">
          <cell r="A12572">
            <v>43291</v>
          </cell>
        </row>
        <row r="12573">
          <cell r="A12573">
            <v>43577</v>
          </cell>
        </row>
        <row r="12574">
          <cell r="A12574">
            <v>43591</v>
          </cell>
        </row>
        <row r="12575">
          <cell r="A12575">
            <v>43690</v>
          </cell>
        </row>
        <row r="12576">
          <cell r="A12576">
            <v>43565</v>
          </cell>
        </row>
        <row r="12577">
          <cell r="A12577">
            <v>43757</v>
          </cell>
        </row>
        <row r="12578">
          <cell r="A12578">
            <v>43534</v>
          </cell>
        </row>
        <row r="12579">
          <cell r="A12579">
            <v>43624</v>
          </cell>
        </row>
        <row r="12580">
          <cell r="A12580">
            <v>43394</v>
          </cell>
        </row>
        <row r="12581">
          <cell r="A12581">
            <v>43720</v>
          </cell>
        </row>
        <row r="12582">
          <cell r="A12582">
            <v>43152</v>
          </cell>
        </row>
        <row r="12583">
          <cell r="A12583">
            <v>43886</v>
          </cell>
        </row>
        <row r="12584">
          <cell r="A12584">
            <v>43161</v>
          </cell>
        </row>
        <row r="12585">
          <cell r="A12585">
            <v>43588</v>
          </cell>
        </row>
        <row r="12586">
          <cell r="A12586">
            <v>43654</v>
          </cell>
        </row>
        <row r="12587">
          <cell r="A12587">
            <v>43586</v>
          </cell>
        </row>
        <row r="12588">
          <cell r="A12588">
            <v>43543</v>
          </cell>
        </row>
        <row r="12589">
          <cell r="A12589">
            <v>43912</v>
          </cell>
        </row>
        <row r="12590">
          <cell r="A12590">
            <v>43414</v>
          </cell>
        </row>
        <row r="12591">
          <cell r="A12591">
            <v>43295</v>
          </cell>
        </row>
        <row r="12592">
          <cell r="A12592">
            <v>43249</v>
          </cell>
        </row>
        <row r="12593">
          <cell r="A12593">
            <v>43668</v>
          </cell>
        </row>
        <row r="12594">
          <cell r="A12594">
            <v>43472</v>
          </cell>
        </row>
        <row r="12595">
          <cell r="A12595">
            <v>43539</v>
          </cell>
        </row>
        <row r="12596">
          <cell r="A12596">
            <v>43634</v>
          </cell>
        </row>
        <row r="12597">
          <cell r="A12597">
            <v>43264</v>
          </cell>
        </row>
        <row r="12598">
          <cell r="A12598">
            <v>43118</v>
          </cell>
        </row>
        <row r="12599">
          <cell r="A12599">
            <v>43326</v>
          </cell>
        </row>
        <row r="12600">
          <cell r="A12600">
            <v>43857</v>
          </cell>
        </row>
        <row r="12601">
          <cell r="A12601">
            <v>43300</v>
          </cell>
        </row>
        <row r="12602">
          <cell r="A12602">
            <v>43395</v>
          </cell>
        </row>
        <row r="12603">
          <cell r="A12603">
            <v>43275</v>
          </cell>
        </row>
        <row r="12604">
          <cell r="A12604">
            <v>43885</v>
          </cell>
        </row>
        <row r="12605">
          <cell r="A12605">
            <v>43467</v>
          </cell>
        </row>
        <row r="12606">
          <cell r="A12606">
            <v>43340</v>
          </cell>
        </row>
        <row r="12607">
          <cell r="A12607">
            <v>43699</v>
          </cell>
        </row>
        <row r="12608">
          <cell r="A12608">
            <v>43203</v>
          </cell>
        </row>
        <row r="12609">
          <cell r="A12609">
            <v>43848</v>
          </cell>
        </row>
        <row r="12610">
          <cell r="A12610">
            <v>43746</v>
          </cell>
        </row>
        <row r="12611">
          <cell r="A12611">
            <v>43484</v>
          </cell>
        </row>
        <row r="12612">
          <cell r="A12612">
            <v>43235</v>
          </cell>
        </row>
        <row r="12613">
          <cell r="A12613">
            <v>43861</v>
          </cell>
        </row>
        <row r="12614">
          <cell r="A12614">
            <v>43250</v>
          </cell>
        </row>
        <row r="12615">
          <cell r="A12615">
            <v>43827</v>
          </cell>
        </row>
        <row r="12616">
          <cell r="A12616">
            <v>43876</v>
          </cell>
        </row>
        <row r="12617">
          <cell r="A12617">
            <v>43598</v>
          </cell>
        </row>
        <row r="12618">
          <cell r="A12618">
            <v>43445</v>
          </cell>
        </row>
        <row r="12619">
          <cell r="A12619">
            <v>43723</v>
          </cell>
        </row>
        <row r="12620">
          <cell r="A12620">
            <v>43707</v>
          </cell>
        </row>
        <row r="12621">
          <cell r="A12621">
            <v>43764</v>
          </cell>
        </row>
        <row r="12622">
          <cell r="A12622">
            <v>43821</v>
          </cell>
        </row>
        <row r="12623">
          <cell r="A12623">
            <v>43584</v>
          </cell>
        </row>
        <row r="12624">
          <cell r="A12624">
            <v>43511</v>
          </cell>
        </row>
        <row r="12625">
          <cell r="A12625">
            <v>43557</v>
          </cell>
        </row>
        <row r="12626">
          <cell r="A12626">
            <v>43768</v>
          </cell>
        </row>
        <row r="12627">
          <cell r="A12627">
            <v>43291</v>
          </cell>
        </row>
        <row r="12628">
          <cell r="A12628">
            <v>43676</v>
          </cell>
        </row>
        <row r="12629">
          <cell r="A12629">
            <v>43449</v>
          </cell>
        </row>
        <row r="12630">
          <cell r="A12630">
            <v>43808</v>
          </cell>
        </row>
        <row r="12631">
          <cell r="A12631">
            <v>43788</v>
          </cell>
        </row>
        <row r="12632">
          <cell r="A12632">
            <v>43379</v>
          </cell>
        </row>
        <row r="12633">
          <cell r="A12633">
            <v>43535</v>
          </cell>
        </row>
        <row r="12634">
          <cell r="A12634">
            <v>43849</v>
          </cell>
        </row>
        <row r="12635">
          <cell r="A12635">
            <v>43517</v>
          </cell>
        </row>
        <row r="12636">
          <cell r="A12636">
            <v>43604</v>
          </cell>
        </row>
        <row r="12637">
          <cell r="A12637">
            <v>43602</v>
          </cell>
        </row>
        <row r="12638">
          <cell r="A12638">
            <v>43197</v>
          </cell>
        </row>
        <row r="12639">
          <cell r="A12639">
            <v>43144</v>
          </cell>
        </row>
        <row r="12640">
          <cell r="A12640">
            <v>43386</v>
          </cell>
        </row>
        <row r="12641">
          <cell r="A12641">
            <v>43868</v>
          </cell>
        </row>
        <row r="12642">
          <cell r="A12642">
            <v>43504</v>
          </cell>
        </row>
        <row r="12643">
          <cell r="A12643">
            <v>43243</v>
          </cell>
        </row>
        <row r="12644">
          <cell r="A12644">
            <v>43597</v>
          </cell>
        </row>
        <row r="12645">
          <cell r="A12645">
            <v>43709</v>
          </cell>
        </row>
        <row r="12646">
          <cell r="A12646">
            <v>43103</v>
          </cell>
        </row>
        <row r="12647">
          <cell r="A12647">
            <v>43848</v>
          </cell>
        </row>
        <row r="12648">
          <cell r="A12648">
            <v>43333</v>
          </cell>
        </row>
        <row r="12649">
          <cell r="A12649">
            <v>43490</v>
          </cell>
        </row>
        <row r="12650">
          <cell r="A12650">
            <v>43568</v>
          </cell>
        </row>
        <row r="12651">
          <cell r="A12651">
            <v>43339</v>
          </cell>
        </row>
        <row r="12652">
          <cell r="A12652">
            <v>43523</v>
          </cell>
        </row>
        <row r="12653">
          <cell r="A12653">
            <v>43626</v>
          </cell>
        </row>
        <row r="12654">
          <cell r="A12654">
            <v>43220</v>
          </cell>
        </row>
        <row r="12655">
          <cell r="A12655">
            <v>43278</v>
          </cell>
        </row>
        <row r="12656">
          <cell r="A12656">
            <v>43114</v>
          </cell>
        </row>
        <row r="12657">
          <cell r="A12657">
            <v>43779</v>
          </cell>
        </row>
        <row r="12658">
          <cell r="A12658">
            <v>43397</v>
          </cell>
        </row>
        <row r="12659">
          <cell r="A12659">
            <v>43293</v>
          </cell>
        </row>
        <row r="12660">
          <cell r="A12660">
            <v>43533</v>
          </cell>
        </row>
        <row r="12661">
          <cell r="A12661">
            <v>43877</v>
          </cell>
        </row>
        <row r="12662">
          <cell r="A12662">
            <v>43653</v>
          </cell>
        </row>
        <row r="12663">
          <cell r="A12663">
            <v>43569</v>
          </cell>
        </row>
        <row r="12664">
          <cell r="A12664">
            <v>43102</v>
          </cell>
        </row>
        <row r="12665">
          <cell r="A12665">
            <v>43204</v>
          </cell>
        </row>
        <row r="12666">
          <cell r="A12666">
            <v>43727</v>
          </cell>
        </row>
        <row r="12667">
          <cell r="A12667">
            <v>43901</v>
          </cell>
        </row>
        <row r="12668">
          <cell r="A12668">
            <v>43427</v>
          </cell>
        </row>
        <row r="12669">
          <cell r="A12669">
            <v>43192</v>
          </cell>
        </row>
        <row r="12670">
          <cell r="A12670">
            <v>43879</v>
          </cell>
        </row>
        <row r="12671">
          <cell r="A12671">
            <v>43148</v>
          </cell>
        </row>
        <row r="12672">
          <cell r="A12672">
            <v>43377</v>
          </cell>
        </row>
        <row r="12673">
          <cell r="A12673">
            <v>43596</v>
          </cell>
        </row>
        <row r="12674">
          <cell r="A12674">
            <v>43897</v>
          </cell>
        </row>
        <row r="12675">
          <cell r="A12675">
            <v>43238</v>
          </cell>
        </row>
        <row r="12676">
          <cell r="A12676">
            <v>43658</v>
          </cell>
        </row>
        <row r="12677">
          <cell r="A12677">
            <v>43145</v>
          </cell>
        </row>
        <row r="12678">
          <cell r="A12678">
            <v>43340</v>
          </cell>
        </row>
        <row r="12679">
          <cell r="A12679">
            <v>43402</v>
          </cell>
        </row>
        <row r="12680">
          <cell r="A12680">
            <v>43718</v>
          </cell>
        </row>
        <row r="12681">
          <cell r="A12681">
            <v>43338</v>
          </cell>
        </row>
        <row r="12682">
          <cell r="A12682">
            <v>43207</v>
          </cell>
        </row>
        <row r="12683">
          <cell r="A12683">
            <v>43582</v>
          </cell>
        </row>
        <row r="12684">
          <cell r="A12684">
            <v>43225</v>
          </cell>
        </row>
        <row r="12685">
          <cell r="A12685">
            <v>43676</v>
          </cell>
        </row>
        <row r="12686">
          <cell r="A12686">
            <v>43700</v>
          </cell>
        </row>
        <row r="12687">
          <cell r="A12687">
            <v>43206</v>
          </cell>
        </row>
        <row r="12688">
          <cell r="A12688">
            <v>43326</v>
          </cell>
        </row>
        <row r="12689">
          <cell r="A12689">
            <v>43263</v>
          </cell>
        </row>
        <row r="12690">
          <cell r="A12690">
            <v>43637</v>
          </cell>
        </row>
        <row r="12691">
          <cell r="A12691">
            <v>43551</v>
          </cell>
        </row>
        <row r="12692">
          <cell r="A12692">
            <v>43726</v>
          </cell>
        </row>
        <row r="12693">
          <cell r="A12693">
            <v>43546</v>
          </cell>
        </row>
        <row r="12694">
          <cell r="A12694">
            <v>43920</v>
          </cell>
        </row>
        <row r="12695">
          <cell r="A12695">
            <v>43634</v>
          </cell>
        </row>
        <row r="12696">
          <cell r="A12696">
            <v>43105</v>
          </cell>
        </row>
        <row r="12697">
          <cell r="A12697">
            <v>43343</v>
          </cell>
        </row>
        <row r="12698">
          <cell r="A12698">
            <v>43610</v>
          </cell>
        </row>
        <row r="12699">
          <cell r="A12699">
            <v>43247</v>
          </cell>
        </row>
        <row r="12700">
          <cell r="A12700">
            <v>43164</v>
          </cell>
        </row>
        <row r="12701">
          <cell r="A12701">
            <v>43744</v>
          </cell>
        </row>
        <row r="12702">
          <cell r="A12702">
            <v>43747</v>
          </cell>
        </row>
        <row r="12703">
          <cell r="A12703">
            <v>43689</v>
          </cell>
        </row>
        <row r="12704">
          <cell r="A12704">
            <v>43367</v>
          </cell>
        </row>
        <row r="12705">
          <cell r="A12705">
            <v>43693</v>
          </cell>
        </row>
        <row r="12706">
          <cell r="A12706">
            <v>43647</v>
          </cell>
        </row>
        <row r="12707">
          <cell r="A12707">
            <v>43843</v>
          </cell>
        </row>
        <row r="12708">
          <cell r="A12708">
            <v>43379</v>
          </cell>
        </row>
        <row r="12709">
          <cell r="A12709">
            <v>43632</v>
          </cell>
        </row>
        <row r="12710">
          <cell r="A12710">
            <v>43615</v>
          </cell>
        </row>
        <row r="12711">
          <cell r="A12711">
            <v>43788</v>
          </cell>
        </row>
        <row r="12712">
          <cell r="A12712">
            <v>43556</v>
          </cell>
        </row>
        <row r="12713">
          <cell r="A12713">
            <v>43424</v>
          </cell>
        </row>
        <row r="12714">
          <cell r="A12714">
            <v>43783</v>
          </cell>
        </row>
        <row r="12715">
          <cell r="A12715">
            <v>43689</v>
          </cell>
        </row>
        <row r="12716">
          <cell r="A12716">
            <v>43361</v>
          </cell>
        </row>
        <row r="12717">
          <cell r="A12717">
            <v>43154</v>
          </cell>
        </row>
        <row r="12718">
          <cell r="A12718">
            <v>43349</v>
          </cell>
        </row>
        <row r="12719">
          <cell r="A12719">
            <v>43567</v>
          </cell>
        </row>
        <row r="12720">
          <cell r="A12720">
            <v>43532</v>
          </cell>
        </row>
        <row r="12721">
          <cell r="A12721">
            <v>43148</v>
          </cell>
        </row>
        <row r="12722">
          <cell r="A12722">
            <v>43322</v>
          </cell>
        </row>
        <row r="12723">
          <cell r="A12723">
            <v>43762</v>
          </cell>
        </row>
        <row r="12724">
          <cell r="A12724">
            <v>43352</v>
          </cell>
        </row>
        <row r="12725">
          <cell r="A12725">
            <v>43118</v>
          </cell>
        </row>
        <row r="12726">
          <cell r="A12726">
            <v>43217</v>
          </cell>
        </row>
        <row r="12727">
          <cell r="A12727">
            <v>43829</v>
          </cell>
        </row>
        <row r="12728">
          <cell r="A12728">
            <v>43165</v>
          </cell>
        </row>
        <row r="12729">
          <cell r="A12729">
            <v>43919</v>
          </cell>
        </row>
        <row r="12730">
          <cell r="A12730">
            <v>43886</v>
          </cell>
        </row>
        <row r="12731">
          <cell r="A12731">
            <v>43155</v>
          </cell>
        </row>
        <row r="12732">
          <cell r="A12732">
            <v>43384</v>
          </cell>
        </row>
        <row r="12733">
          <cell r="A12733">
            <v>43581</v>
          </cell>
        </row>
        <row r="12734">
          <cell r="A12734">
            <v>43730</v>
          </cell>
        </row>
        <row r="12735">
          <cell r="A12735">
            <v>43746</v>
          </cell>
        </row>
        <row r="12736">
          <cell r="A12736">
            <v>43272</v>
          </cell>
        </row>
        <row r="12737">
          <cell r="A12737">
            <v>43858</v>
          </cell>
        </row>
        <row r="12738">
          <cell r="A12738">
            <v>43464</v>
          </cell>
        </row>
        <row r="12739">
          <cell r="A12739">
            <v>43614</v>
          </cell>
        </row>
        <row r="12740">
          <cell r="A12740">
            <v>43577</v>
          </cell>
        </row>
        <row r="12741">
          <cell r="A12741">
            <v>43585</v>
          </cell>
        </row>
        <row r="12742">
          <cell r="A12742">
            <v>43578</v>
          </cell>
        </row>
        <row r="12743">
          <cell r="A12743">
            <v>43144</v>
          </cell>
        </row>
        <row r="12744">
          <cell r="A12744">
            <v>43646</v>
          </cell>
        </row>
        <row r="12745">
          <cell r="A12745">
            <v>43821</v>
          </cell>
        </row>
        <row r="12746">
          <cell r="A12746">
            <v>43377</v>
          </cell>
        </row>
        <row r="12747">
          <cell r="A12747">
            <v>43668</v>
          </cell>
        </row>
        <row r="12748">
          <cell r="A12748">
            <v>43108</v>
          </cell>
        </row>
        <row r="12749">
          <cell r="A12749">
            <v>43362</v>
          </cell>
        </row>
        <row r="12750">
          <cell r="A12750">
            <v>43339</v>
          </cell>
        </row>
        <row r="12751">
          <cell r="A12751">
            <v>43448</v>
          </cell>
        </row>
        <row r="12752">
          <cell r="A12752">
            <v>43357</v>
          </cell>
        </row>
        <row r="12753">
          <cell r="A12753">
            <v>43465</v>
          </cell>
        </row>
        <row r="12754">
          <cell r="A12754">
            <v>43306</v>
          </cell>
        </row>
        <row r="12755">
          <cell r="A12755">
            <v>43304</v>
          </cell>
        </row>
        <row r="12756">
          <cell r="A12756">
            <v>43808</v>
          </cell>
        </row>
        <row r="12757">
          <cell r="A12757">
            <v>43269</v>
          </cell>
        </row>
        <row r="12758">
          <cell r="A12758">
            <v>43260</v>
          </cell>
        </row>
        <row r="12759">
          <cell r="A12759">
            <v>43603</v>
          </cell>
        </row>
        <row r="12760">
          <cell r="A12760">
            <v>43545</v>
          </cell>
        </row>
        <row r="12761">
          <cell r="A12761">
            <v>43387</v>
          </cell>
        </row>
        <row r="12762">
          <cell r="A12762">
            <v>43192</v>
          </cell>
        </row>
        <row r="12763">
          <cell r="A12763">
            <v>43517</v>
          </cell>
        </row>
        <row r="12764">
          <cell r="A12764">
            <v>43200</v>
          </cell>
        </row>
        <row r="12765">
          <cell r="A12765">
            <v>43159</v>
          </cell>
        </row>
        <row r="12766">
          <cell r="A12766">
            <v>43860</v>
          </cell>
        </row>
        <row r="12767">
          <cell r="A12767">
            <v>43231</v>
          </cell>
        </row>
        <row r="12768">
          <cell r="A12768">
            <v>43106</v>
          </cell>
        </row>
        <row r="12769">
          <cell r="A12769">
            <v>43105</v>
          </cell>
        </row>
        <row r="12770">
          <cell r="A12770">
            <v>43808</v>
          </cell>
        </row>
        <row r="12771">
          <cell r="A12771">
            <v>43351</v>
          </cell>
        </row>
        <row r="12772">
          <cell r="A12772">
            <v>43422</v>
          </cell>
        </row>
        <row r="12773">
          <cell r="A12773">
            <v>43802</v>
          </cell>
        </row>
        <row r="12774">
          <cell r="A12774">
            <v>43453</v>
          </cell>
        </row>
        <row r="12775">
          <cell r="A12775">
            <v>43409</v>
          </cell>
        </row>
        <row r="12776">
          <cell r="A12776">
            <v>43179</v>
          </cell>
        </row>
        <row r="12777">
          <cell r="A12777">
            <v>43466</v>
          </cell>
        </row>
        <row r="12778">
          <cell r="A12778">
            <v>43119</v>
          </cell>
        </row>
        <row r="12779">
          <cell r="A12779">
            <v>43603</v>
          </cell>
        </row>
        <row r="12780">
          <cell r="A12780">
            <v>43608</v>
          </cell>
        </row>
        <row r="12781">
          <cell r="A12781">
            <v>43506</v>
          </cell>
        </row>
        <row r="12782">
          <cell r="A12782">
            <v>43281</v>
          </cell>
        </row>
        <row r="12783">
          <cell r="A12783">
            <v>43887</v>
          </cell>
        </row>
        <row r="12784">
          <cell r="A12784">
            <v>43446</v>
          </cell>
        </row>
        <row r="12785">
          <cell r="A12785">
            <v>43745</v>
          </cell>
        </row>
        <row r="12786">
          <cell r="A12786">
            <v>43685</v>
          </cell>
        </row>
        <row r="12787">
          <cell r="A12787">
            <v>43150</v>
          </cell>
        </row>
        <row r="12788">
          <cell r="A12788">
            <v>43406</v>
          </cell>
        </row>
        <row r="12789">
          <cell r="A12789">
            <v>43505</v>
          </cell>
        </row>
        <row r="12790">
          <cell r="A12790">
            <v>43494</v>
          </cell>
        </row>
        <row r="12791">
          <cell r="A12791">
            <v>43208</v>
          </cell>
        </row>
        <row r="12792">
          <cell r="A12792">
            <v>43822</v>
          </cell>
        </row>
        <row r="12793">
          <cell r="A12793">
            <v>43413</v>
          </cell>
        </row>
        <row r="12794">
          <cell r="A12794">
            <v>43633</v>
          </cell>
        </row>
        <row r="12795">
          <cell r="A12795">
            <v>43916</v>
          </cell>
        </row>
        <row r="12796">
          <cell r="A12796">
            <v>43178</v>
          </cell>
        </row>
        <row r="12797">
          <cell r="A12797">
            <v>43346</v>
          </cell>
        </row>
        <row r="12798">
          <cell r="A12798">
            <v>43185</v>
          </cell>
        </row>
        <row r="12799">
          <cell r="A12799">
            <v>43204</v>
          </cell>
        </row>
        <row r="12800">
          <cell r="A12800">
            <v>43602</v>
          </cell>
        </row>
        <row r="12801">
          <cell r="A12801">
            <v>43846</v>
          </cell>
        </row>
        <row r="12802">
          <cell r="A12802">
            <v>43330</v>
          </cell>
        </row>
        <row r="12803">
          <cell r="A12803">
            <v>43545</v>
          </cell>
        </row>
        <row r="12804">
          <cell r="A12804">
            <v>43769</v>
          </cell>
        </row>
        <row r="12805">
          <cell r="A12805">
            <v>43198</v>
          </cell>
        </row>
        <row r="12806">
          <cell r="A12806">
            <v>43457</v>
          </cell>
        </row>
        <row r="12807">
          <cell r="A12807">
            <v>43344</v>
          </cell>
        </row>
        <row r="12808">
          <cell r="A12808">
            <v>43588</v>
          </cell>
        </row>
        <row r="12809">
          <cell r="A12809">
            <v>43337</v>
          </cell>
        </row>
        <row r="12810">
          <cell r="A12810">
            <v>43602</v>
          </cell>
        </row>
        <row r="12811">
          <cell r="A12811">
            <v>43567</v>
          </cell>
        </row>
        <row r="12812">
          <cell r="A12812">
            <v>43607</v>
          </cell>
        </row>
        <row r="12813">
          <cell r="A12813">
            <v>43390</v>
          </cell>
        </row>
        <row r="12814">
          <cell r="A12814">
            <v>43116</v>
          </cell>
        </row>
        <row r="12815">
          <cell r="A12815">
            <v>43688</v>
          </cell>
        </row>
        <row r="12816">
          <cell r="A12816">
            <v>43747</v>
          </cell>
        </row>
        <row r="12817">
          <cell r="A12817">
            <v>43227</v>
          </cell>
        </row>
        <row r="12818">
          <cell r="A12818">
            <v>43293</v>
          </cell>
        </row>
        <row r="12819">
          <cell r="A12819">
            <v>43148</v>
          </cell>
        </row>
        <row r="12820">
          <cell r="A12820">
            <v>43398</v>
          </cell>
        </row>
        <row r="12821">
          <cell r="A12821">
            <v>43428</v>
          </cell>
        </row>
        <row r="12822">
          <cell r="A12822">
            <v>43179</v>
          </cell>
        </row>
        <row r="12823">
          <cell r="A12823">
            <v>43515</v>
          </cell>
        </row>
        <row r="12824">
          <cell r="A12824">
            <v>43208</v>
          </cell>
        </row>
        <row r="12825">
          <cell r="A12825">
            <v>43389</v>
          </cell>
        </row>
        <row r="12826">
          <cell r="A12826">
            <v>43607</v>
          </cell>
        </row>
        <row r="12827">
          <cell r="A12827">
            <v>43858</v>
          </cell>
        </row>
        <row r="12828">
          <cell r="A12828">
            <v>43407</v>
          </cell>
        </row>
        <row r="12829">
          <cell r="A12829">
            <v>43388</v>
          </cell>
        </row>
        <row r="12830">
          <cell r="A12830">
            <v>43461</v>
          </cell>
        </row>
        <row r="12831">
          <cell r="A12831">
            <v>43839</v>
          </cell>
        </row>
        <row r="12832">
          <cell r="A12832">
            <v>43454</v>
          </cell>
        </row>
        <row r="12833">
          <cell r="A12833">
            <v>43911</v>
          </cell>
        </row>
        <row r="12834">
          <cell r="A12834">
            <v>43864</v>
          </cell>
        </row>
        <row r="12835">
          <cell r="A12835">
            <v>43418</v>
          </cell>
        </row>
        <row r="12836">
          <cell r="A12836">
            <v>43797</v>
          </cell>
        </row>
        <row r="12837">
          <cell r="A12837">
            <v>43445</v>
          </cell>
        </row>
        <row r="12838">
          <cell r="A12838">
            <v>43205</v>
          </cell>
        </row>
        <row r="12839">
          <cell r="A12839">
            <v>43703</v>
          </cell>
        </row>
        <row r="12840">
          <cell r="A12840">
            <v>43141</v>
          </cell>
        </row>
        <row r="12841">
          <cell r="A12841">
            <v>43151</v>
          </cell>
        </row>
        <row r="12842">
          <cell r="A12842">
            <v>43358</v>
          </cell>
        </row>
        <row r="12843">
          <cell r="A12843">
            <v>43609</v>
          </cell>
        </row>
        <row r="12844">
          <cell r="A12844">
            <v>43139</v>
          </cell>
        </row>
        <row r="12845">
          <cell r="A12845">
            <v>43198</v>
          </cell>
        </row>
        <row r="12846">
          <cell r="A12846">
            <v>43365</v>
          </cell>
        </row>
        <row r="12847">
          <cell r="A12847">
            <v>43853</v>
          </cell>
        </row>
        <row r="12848">
          <cell r="A12848">
            <v>43571</v>
          </cell>
        </row>
        <row r="12849">
          <cell r="A12849">
            <v>43879</v>
          </cell>
        </row>
        <row r="12850">
          <cell r="A12850">
            <v>43858</v>
          </cell>
        </row>
        <row r="12851">
          <cell r="A12851">
            <v>43340</v>
          </cell>
        </row>
        <row r="12852">
          <cell r="A12852">
            <v>43913</v>
          </cell>
        </row>
        <row r="12853">
          <cell r="A12853">
            <v>43624</v>
          </cell>
        </row>
        <row r="12854">
          <cell r="A12854">
            <v>43579</v>
          </cell>
        </row>
        <row r="12855">
          <cell r="A12855">
            <v>43600</v>
          </cell>
        </row>
        <row r="12856">
          <cell r="A12856">
            <v>43292</v>
          </cell>
        </row>
        <row r="12857">
          <cell r="A12857">
            <v>43116</v>
          </cell>
        </row>
        <row r="12858">
          <cell r="A12858">
            <v>43767</v>
          </cell>
        </row>
        <row r="12859">
          <cell r="A12859">
            <v>43725</v>
          </cell>
        </row>
        <row r="12860">
          <cell r="A12860">
            <v>43898</v>
          </cell>
        </row>
        <row r="12861">
          <cell r="A12861">
            <v>43735</v>
          </cell>
        </row>
        <row r="12862">
          <cell r="A12862">
            <v>43680</v>
          </cell>
        </row>
        <row r="12863">
          <cell r="A12863">
            <v>43842</v>
          </cell>
        </row>
        <row r="12864">
          <cell r="A12864">
            <v>43115</v>
          </cell>
        </row>
        <row r="12865">
          <cell r="A12865">
            <v>43401</v>
          </cell>
        </row>
        <row r="12866">
          <cell r="A12866">
            <v>43252</v>
          </cell>
        </row>
        <row r="12867">
          <cell r="A12867">
            <v>43286</v>
          </cell>
        </row>
        <row r="12868">
          <cell r="A12868">
            <v>43373</v>
          </cell>
        </row>
        <row r="12869">
          <cell r="A12869">
            <v>43376</v>
          </cell>
        </row>
        <row r="12870">
          <cell r="A12870">
            <v>43904</v>
          </cell>
        </row>
        <row r="12871">
          <cell r="A12871">
            <v>43902</v>
          </cell>
        </row>
        <row r="12872">
          <cell r="A12872">
            <v>43239</v>
          </cell>
        </row>
        <row r="12873">
          <cell r="A12873">
            <v>43219</v>
          </cell>
        </row>
        <row r="12874">
          <cell r="A12874">
            <v>43532</v>
          </cell>
        </row>
        <row r="12875">
          <cell r="A12875">
            <v>43305</v>
          </cell>
        </row>
        <row r="12876">
          <cell r="A12876">
            <v>43525</v>
          </cell>
        </row>
        <row r="12877">
          <cell r="A12877">
            <v>43316</v>
          </cell>
        </row>
        <row r="12878">
          <cell r="A12878">
            <v>43731</v>
          </cell>
        </row>
        <row r="12879">
          <cell r="A12879">
            <v>43137</v>
          </cell>
        </row>
        <row r="12880">
          <cell r="A12880">
            <v>43343</v>
          </cell>
        </row>
        <row r="12881">
          <cell r="A12881">
            <v>43568</v>
          </cell>
        </row>
        <row r="12882">
          <cell r="A12882">
            <v>43243</v>
          </cell>
        </row>
        <row r="12883">
          <cell r="A12883">
            <v>43256</v>
          </cell>
        </row>
        <row r="12884">
          <cell r="A12884">
            <v>43601</v>
          </cell>
        </row>
        <row r="12885">
          <cell r="A12885">
            <v>43878</v>
          </cell>
        </row>
        <row r="12886">
          <cell r="A12886">
            <v>43193</v>
          </cell>
        </row>
        <row r="12887">
          <cell r="A12887">
            <v>43166</v>
          </cell>
        </row>
        <row r="12888">
          <cell r="A12888">
            <v>43733</v>
          </cell>
        </row>
        <row r="12889">
          <cell r="A12889">
            <v>43308</v>
          </cell>
        </row>
        <row r="12890">
          <cell r="A12890">
            <v>43621</v>
          </cell>
        </row>
        <row r="12891">
          <cell r="A12891">
            <v>43624</v>
          </cell>
        </row>
        <row r="12892">
          <cell r="A12892">
            <v>43691</v>
          </cell>
        </row>
        <row r="12893">
          <cell r="A12893">
            <v>43192</v>
          </cell>
        </row>
        <row r="12894">
          <cell r="A12894">
            <v>43595</v>
          </cell>
        </row>
        <row r="12895">
          <cell r="A12895">
            <v>43445</v>
          </cell>
        </row>
        <row r="12896">
          <cell r="A12896">
            <v>43340</v>
          </cell>
        </row>
        <row r="12897">
          <cell r="A12897">
            <v>43131</v>
          </cell>
        </row>
        <row r="12898">
          <cell r="A12898">
            <v>43351</v>
          </cell>
        </row>
        <row r="12899">
          <cell r="A12899">
            <v>43847</v>
          </cell>
        </row>
        <row r="12900">
          <cell r="A12900">
            <v>43817</v>
          </cell>
        </row>
        <row r="12901">
          <cell r="A12901">
            <v>43225</v>
          </cell>
        </row>
        <row r="12902">
          <cell r="A12902">
            <v>43794</v>
          </cell>
        </row>
        <row r="12903">
          <cell r="A12903">
            <v>43712</v>
          </cell>
        </row>
        <row r="12904">
          <cell r="A12904">
            <v>43705</v>
          </cell>
        </row>
        <row r="12905">
          <cell r="A12905">
            <v>43626</v>
          </cell>
        </row>
        <row r="12906">
          <cell r="A12906">
            <v>43446</v>
          </cell>
        </row>
        <row r="12907">
          <cell r="A12907">
            <v>43565</v>
          </cell>
        </row>
        <row r="12908">
          <cell r="A12908">
            <v>43266</v>
          </cell>
        </row>
        <row r="12909">
          <cell r="A12909">
            <v>43720</v>
          </cell>
        </row>
        <row r="12910">
          <cell r="A12910">
            <v>43535</v>
          </cell>
        </row>
        <row r="12911">
          <cell r="A12911">
            <v>43592</v>
          </cell>
        </row>
        <row r="12912">
          <cell r="A12912">
            <v>43248</v>
          </cell>
        </row>
        <row r="12913">
          <cell r="A12913">
            <v>43178</v>
          </cell>
        </row>
        <row r="12914">
          <cell r="A12914">
            <v>43480</v>
          </cell>
        </row>
        <row r="12915">
          <cell r="A12915">
            <v>43796</v>
          </cell>
        </row>
        <row r="12916">
          <cell r="A12916">
            <v>43455</v>
          </cell>
        </row>
        <row r="12917">
          <cell r="A12917">
            <v>43322</v>
          </cell>
        </row>
        <row r="12918">
          <cell r="A12918">
            <v>43568</v>
          </cell>
        </row>
        <row r="12919">
          <cell r="A12919">
            <v>43749</v>
          </cell>
        </row>
        <row r="12920">
          <cell r="A12920">
            <v>43171</v>
          </cell>
        </row>
        <row r="12921">
          <cell r="A12921">
            <v>43868</v>
          </cell>
        </row>
        <row r="12922">
          <cell r="A12922">
            <v>43307</v>
          </cell>
        </row>
        <row r="12923">
          <cell r="A12923">
            <v>43615</v>
          </cell>
        </row>
        <row r="12924">
          <cell r="A12924">
            <v>43456</v>
          </cell>
        </row>
        <row r="12925">
          <cell r="A12925">
            <v>43909</v>
          </cell>
        </row>
        <row r="12926">
          <cell r="A12926">
            <v>43453</v>
          </cell>
        </row>
        <row r="12927">
          <cell r="A12927">
            <v>43523</v>
          </cell>
        </row>
        <row r="12928">
          <cell r="A12928">
            <v>43269</v>
          </cell>
        </row>
        <row r="12929">
          <cell r="A12929">
            <v>43246</v>
          </cell>
        </row>
        <row r="12930">
          <cell r="A12930">
            <v>43593</v>
          </cell>
        </row>
        <row r="12931">
          <cell r="A12931">
            <v>43826</v>
          </cell>
        </row>
        <row r="12932">
          <cell r="A12932">
            <v>43227</v>
          </cell>
        </row>
        <row r="12933">
          <cell r="A12933">
            <v>43109</v>
          </cell>
        </row>
        <row r="12934">
          <cell r="A12934">
            <v>43536</v>
          </cell>
        </row>
        <row r="12935">
          <cell r="A12935">
            <v>43119</v>
          </cell>
        </row>
        <row r="12936">
          <cell r="A12936">
            <v>43660</v>
          </cell>
        </row>
        <row r="12937">
          <cell r="A12937">
            <v>43616</v>
          </cell>
        </row>
        <row r="12938">
          <cell r="A12938">
            <v>43565</v>
          </cell>
        </row>
        <row r="12939">
          <cell r="A12939">
            <v>43918</v>
          </cell>
        </row>
        <row r="12940">
          <cell r="A12940">
            <v>43125</v>
          </cell>
        </row>
        <row r="12941">
          <cell r="A12941">
            <v>43817</v>
          </cell>
        </row>
        <row r="12942">
          <cell r="A12942">
            <v>43111</v>
          </cell>
        </row>
        <row r="12943">
          <cell r="A12943">
            <v>43487</v>
          </cell>
        </row>
        <row r="12944">
          <cell r="A12944">
            <v>43544</v>
          </cell>
        </row>
        <row r="12945">
          <cell r="A12945">
            <v>43204</v>
          </cell>
        </row>
        <row r="12946">
          <cell r="A12946">
            <v>43138</v>
          </cell>
        </row>
        <row r="12947">
          <cell r="A12947">
            <v>43347</v>
          </cell>
        </row>
        <row r="12948">
          <cell r="A12948">
            <v>43605</v>
          </cell>
        </row>
        <row r="12949">
          <cell r="A12949">
            <v>43534</v>
          </cell>
        </row>
        <row r="12950">
          <cell r="A12950">
            <v>43430</v>
          </cell>
        </row>
        <row r="12951">
          <cell r="A12951">
            <v>43183</v>
          </cell>
        </row>
        <row r="12952">
          <cell r="A12952">
            <v>43387</v>
          </cell>
        </row>
        <row r="12953">
          <cell r="A12953">
            <v>43638</v>
          </cell>
        </row>
        <row r="12954">
          <cell r="A12954">
            <v>43493</v>
          </cell>
        </row>
        <row r="12955">
          <cell r="A12955">
            <v>43152</v>
          </cell>
        </row>
        <row r="12956">
          <cell r="A12956">
            <v>43114</v>
          </cell>
        </row>
        <row r="12957">
          <cell r="A12957">
            <v>43778</v>
          </cell>
        </row>
        <row r="12958">
          <cell r="A12958">
            <v>43654</v>
          </cell>
        </row>
        <row r="12959">
          <cell r="A12959">
            <v>43323</v>
          </cell>
        </row>
        <row r="12960">
          <cell r="A12960">
            <v>43761</v>
          </cell>
        </row>
        <row r="12961">
          <cell r="A12961">
            <v>43280</v>
          </cell>
        </row>
        <row r="12962">
          <cell r="A12962">
            <v>43261</v>
          </cell>
        </row>
        <row r="12963">
          <cell r="A12963">
            <v>43855</v>
          </cell>
        </row>
        <row r="12964">
          <cell r="A12964">
            <v>43892</v>
          </cell>
        </row>
        <row r="12965">
          <cell r="A12965">
            <v>43405</v>
          </cell>
        </row>
        <row r="12966">
          <cell r="A12966">
            <v>43110</v>
          </cell>
        </row>
        <row r="12967">
          <cell r="A12967">
            <v>43592</v>
          </cell>
        </row>
        <row r="12968">
          <cell r="A12968">
            <v>43662</v>
          </cell>
        </row>
        <row r="12969">
          <cell r="A12969">
            <v>43265</v>
          </cell>
        </row>
        <row r="12970">
          <cell r="A12970">
            <v>43304</v>
          </cell>
        </row>
        <row r="12971">
          <cell r="A12971">
            <v>43326</v>
          </cell>
        </row>
        <row r="12972">
          <cell r="A12972">
            <v>43285</v>
          </cell>
        </row>
        <row r="12973">
          <cell r="A12973">
            <v>43315</v>
          </cell>
        </row>
        <row r="12974">
          <cell r="A12974">
            <v>43594</v>
          </cell>
        </row>
        <row r="12975">
          <cell r="A12975">
            <v>43893</v>
          </cell>
        </row>
        <row r="12976">
          <cell r="A12976">
            <v>43635</v>
          </cell>
        </row>
        <row r="12977">
          <cell r="A12977">
            <v>43531</v>
          </cell>
        </row>
        <row r="12978">
          <cell r="A12978">
            <v>43629</v>
          </cell>
        </row>
        <row r="12979">
          <cell r="A12979">
            <v>43523</v>
          </cell>
        </row>
        <row r="12980">
          <cell r="A12980">
            <v>43753</v>
          </cell>
        </row>
        <row r="12981">
          <cell r="A12981">
            <v>43211</v>
          </cell>
        </row>
        <row r="12982">
          <cell r="A12982">
            <v>43589</v>
          </cell>
        </row>
        <row r="12983">
          <cell r="A12983">
            <v>43768</v>
          </cell>
        </row>
        <row r="12984">
          <cell r="A12984">
            <v>43595</v>
          </cell>
        </row>
        <row r="12985">
          <cell r="A12985">
            <v>43882</v>
          </cell>
        </row>
        <row r="12986">
          <cell r="A12986">
            <v>43761</v>
          </cell>
        </row>
        <row r="12987">
          <cell r="A12987">
            <v>43676</v>
          </cell>
        </row>
        <row r="12988">
          <cell r="A12988">
            <v>43914</v>
          </cell>
        </row>
        <row r="12989">
          <cell r="A12989">
            <v>43531</v>
          </cell>
        </row>
        <row r="12990">
          <cell r="A12990">
            <v>43571</v>
          </cell>
        </row>
        <row r="12991">
          <cell r="A12991">
            <v>43247</v>
          </cell>
        </row>
        <row r="12992">
          <cell r="A12992">
            <v>43788</v>
          </cell>
        </row>
        <row r="12993">
          <cell r="A12993">
            <v>43498</v>
          </cell>
        </row>
        <row r="12994">
          <cell r="A12994">
            <v>43190</v>
          </cell>
        </row>
        <row r="12995">
          <cell r="A12995">
            <v>43395</v>
          </cell>
        </row>
        <row r="12996">
          <cell r="A12996">
            <v>43414</v>
          </cell>
        </row>
        <row r="12997">
          <cell r="A12997">
            <v>43210</v>
          </cell>
        </row>
        <row r="12998">
          <cell r="A12998">
            <v>43407</v>
          </cell>
        </row>
        <row r="12999">
          <cell r="A12999">
            <v>43730</v>
          </cell>
        </row>
        <row r="13000">
          <cell r="A13000">
            <v>43535</v>
          </cell>
        </row>
        <row r="13001">
          <cell r="A13001">
            <v>43432</v>
          </cell>
        </row>
        <row r="13002">
          <cell r="A13002">
            <v>43846</v>
          </cell>
        </row>
        <row r="13003">
          <cell r="A13003">
            <v>43619</v>
          </cell>
        </row>
        <row r="13004">
          <cell r="A13004">
            <v>43762</v>
          </cell>
        </row>
        <row r="13005">
          <cell r="A13005">
            <v>43372</v>
          </cell>
        </row>
        <row r="13006">
          <cell r="A13006">
            <v>43245</v>
          </cell>
        </row>
        <row r="13007">
          <cell r="A13007">
            <v>43801</v>
          </cell>
        </row>
        <row r="13008">
          <cell r="A13008">
            <v>43516</v>
          </cell>
        </row>
        <row r="13009">
          <cell r="A13009">
            <v>43495</v>
          </cell>
        </row>
        <row r="13010">
          <cell r="A13010">
            <v>43291</v>
          </cell>
        </row>
        <row r="13011">
          <cell r="A13011">
            <v>43866</v>
          </cell>
        </row>
        <row r="13012">
          <cell r="A13012">
            <v>43593</v>
          </cell>
        </row>
        <row r="13013">
          <cell r="A13013">
            <v>43364</v>
          </cell>
        </row>
        <row r="13014">
          <cell r="A13014">
            <v>43713</v>
          </cell>
        </row>
        <row r="13015">
          <cell r="A13015">
            <v>43810</v>
          </cell>
        </row>
        <row r="13016">
          <cell r="A13016">
            <v>43271</v>
          </cell>
        </row>
        <row r="13017">
          <cell r="A13017">
            <v>43595</v>
          </cell>
        </row>
        <row r="13018">
          <cell r="A13018">
            <v>43533</v>
          </cell>
        </row>
        <row r="13019">
          <cell r="A13019">
            <v>43490</v>
          </cell>
        </row>
        <row r="13020">
          <cell r="A13020">
            <v>43809</v>
          </cell>
        </row>
        <row r="13021">
          <cell r="A13021">
            <v>43337</v>
          </cell>
        </row>
        <row r="13022">
          <cell r="A13022">
            <v>43500</v>
          </cell>
        </row>
        <row r="13023">
          <cell r="A13023">
            <v>43818</v>
          </cell>
        </row>
        <row r="13024">
          <cell r="A13024">
            <v>43108</v>
          </cell>
        </row>
        <row r="13025">
          <cell r="A13025">
            <v>43308</v>
          </cell>
        </row>
        <row r="13026">
          <cell r="A13026">
            <v>43510</v>
          </cell>
        </row>
        <row r="13027">
          <cell r="A13027">
            <v>43545</v>
          </cell>
        </row>
        <row r="13028">
          <cell r="A13028">
            <v>43190</v>
          </cell>
        </row>
        <row r="13029">
          <cell r="A13029">
            <v>43320</v>
          </cell>
        </row>
        <row r="13030">
          <cell r="A13030">
            <v>43800</v>
          </cell>
        </row>
        <row r="13031">
          <cell r="A13031">
            <v>43587</v>
          </cell>
        </row>
        <row r="13032">
          <cell r="A13032">
            <v>43670</v>
          </cell>
        </row>
        <row r="13033">
          <cell r="A13033">
            <v>43548</v>
          </cell>
        </row>
        <row r="13034">
          <cell r="A13034">
            <v>43285</v>
          </cell>
        </row>
        <row r="13035">
          <cell r="A13035">
            <v>43408</v>
          </cell>
        </row>
        <row r="13036">
          <cell r="A13036">
            <v>43390</v>
          </cell>
        </row>
        <row r="13037">
          <cell r="A13037">
            <v>43648</v>
          </cell>
        </row>
        <row r="13038">
          <cell r="A13038">
            <v>43767</v>
          </cell>
        </row>
        <row r="13039">
          <cell r="A13039">
            <v>43729</v>
          </cell>
        </row>
        <row r="13040">
          <cell r="A13040">
            <v>43275</v>
          </cell>
        </row>
        <row r="13041">
          <cell r="A13041">
            <v>43887</v>
          </cell>
        </row>
        <row r="13042">
          <cell r="A13042">
            <v>43868</v>
          </cell>
        </row>
        <row r="13043">
          <cell r="A13043">
            <v>43579</v>
          </cell>
        </row>
        <row r="13044">
          <cell r="A13044">
            <v>43129</v>
          </cell>
        </row>
        <row r="13045">
          <cell r="A13045">
            <v>43430</v>
          </cell>
        </row>
        <row r="13046">
          <cell r="A13046">
            <v>43206</v>
          </cell>
        </row>
        <row r="13047">
          <cell r="A13047">
            <v>43174</v>
          </cell>
        </row>
        <row r="13048">
          <cell r="A13048">
            <v>43293</v>
          </cell>
        </row>
        <row r="13049">
          <cell r="A13049">
            <v>43611</v>
          </cell>
        </row>
        <row r="13050">
          <cell r="A13050">
            <v>43784</v>
          </cell>
        </row>
        <row r="13051">
          <cell r="A13051">
            <v>43735</v>
          </cell>
        </row>
        <row r="13052">
          <cell r="A13052">
            <v>43320</v>
          </cell>
        </row>
        <row r="13053">
          <cell r="A13053">
            <v>43169</v>
          </cell>
        </row>
        <row r="13054">
          <cell r="A13054">
            <v>43257</v>
          </cell>
        </row>
        <row r="13055">
          <cell r="A13055">
            <v>43896</v>
          </cell>
        </row>
        <row r="13056">
          <cell r="A13056">
            <v>43602</v>
          </cell>
        </row>
        <row r="13057">
          <cell r="A13057">
            <v>43874</v>
          </cell>
        </row>
        <row r="13058">
          <cell r="A13058">
            <v>43726</v>
          </cell>
        </row>
        <row r="13059">
          <cell r="A13059">
            <v>43723</v>
          </cell>
        </row>
        <row r="13060">
          <cell r="A13060">
            <v>43197</v>
          </cell>
        </row>
        <row r="13061">
          <cell r="A13061">
            <v>43280</v>
          </cell>
        </row>
        <row r="13062">
          <cell r="A13062">
            <v>43276</v>
          </cell>
        </row>
        <row r="13063">
          <cell r="A13063">
            <v>43161</v>
          </cell>
        </row>
        <row r="13064">
          <cell r="A13064">
            <v>43472</v>
          </cell>
        </row>
        <row r="13065">
          <cell r="A13065">
            <v>43870</v>
          </cell>
        </row>
        <row r="13066">
          <cell r="A13066">
            <v>43705</v>
          </cell>
        </row>
        <row r="13067">
          <cell r="A13067">
            <v>43378</v>
          </cell>
        </row>
        <row r="13068">
          <cell r="A13068">
            <v>43750</v>
          </cell>
        </row>
        <row r="13069">
          <cell r="A13069">
            <v>43455</v>
          </cell>
        </row>
        <row r="13070">
          <cell r="A13070">
            <v>43184</v>
          </cell>
        </row>
        <row r="13071">
          <cell r="A13071">
            <v>43682</v>
          </cell>
        </row>
        <row r="13072">
          <cell r="A13072">
            <v>43256</v>
          </cell>
        </row>
        <row r="13073">
          <cell r="A13073">
            <v>43716</v>
          </cell>
        </row>
        <row r="13074">
          <cell r="A13074">
            <v>43650</v>
          </cell>
        </row>
        <row r="13075">
          <cell r="A13075">
            <v>43242</v>
          </cell>
        </row>
        <row r="13076">
          <cell r="A13076">
            <v>43291</v>
          </cell>
        </row>
        <row r="13077">
          <cell r="A13077">
            <v>43136</v>
          </cell>
        </row>
        <row r="13078">
          <cell r="A13078">
            <v>43346</v>
          </cell>
        </row>
        <row r="13079">
          <cell r="A13079">
            <v>43291</v>
          </cell>
        </row>
        <row r="13080">
          <cell r="A13080">
            <v>43849</v>
          </cell>
        </row>
        <row r="13081">
          <cell r="A13081">
            <v>43487</v>
          </cell>
        </row>
        <row r="13082">
          <cell r="A13082">
            <v>43162</v>
          </cell>
        </row>
        <row r="13083">
          <cell r="A13083">
            <v>43253</v>
          </cell>
        </row>
        <row r="13084">
          <cell r="A13084">
            <v>43697</v>
          </cell>
        </row>
        <row r="13085">
          <cell r="A13085">
            <v>43257</v>
          </cell>
        </row>
        <row r="13086">
          <cell r="A13086">
            <v>43633</v>
          </cell>
        </row>
        <row r="13087">
          <cell r="A13087">
            <v>43738</v>
          </cell>
        </row>
        <row r="13088">
          <cell r="A13088">
            <v>43779</v>
          </cell>
        </row>
        <row r="13089">
          <cell r="A13089">
            <v>43552</v>
          </cell>
        </row>
        <row r="13090">
          <cell r="A13090">
            <v>43478</v>
          </cell>
        </row>
        <row r="13091">
          <cell r="A13091">
            <v>43464</v>
          </cell>
        </row>
        <row r="13092">
          <cell r="A13092">
            <v>43472</v>
          </cell>
        </row>
        <row r="13093">
          <cell r="A13093">
            <v>43230</v>
          </cell>
        </row>
        <row r="13094">
          <cell r="A13094">
            <v>43633</v>
          </cell>
        </row>
        <row r="13095">
          <cell r="A13095">
            <v>43163</v>
          </cell>
        </row>
        <row r="13096">
          <cell r="A13096">
            <v>43152</v>
          </cell>
        </row>
        <row r="13097">
          <cell r="A13097">
            <v>43889</v>
          </cell>
        </row>
        <row r="13098">
          <cell r="A13098">
            <v>43250</v>
          </cell>
        </row>
        <row r="13099">
          <cell r="A13099">
            <v>43746</v>
          </cell>
        </row>
        <row r="13100">
          <cell r="A13100">
            <v>43811</v>
          </cell>
        </row>
        <row r="13101">
          <cell r="A13101">
            <v>43874</v>
          </cell>
        </row>
        <row r="13102">
          <cell r="A13102">
            <v>43214</v>
          </cell>
        </row>
        <row r="13103">
          <cell r="A13103">
            <v>43844</v>
          </cell>
        </row>
        <row r="13104">
          <cell r="A13104">
            <v>43355</v>
          </cell>
        </row>
        <row r="13105">
          <cell r="A13105">
            <v>43755</v>
          </cell>
        </row>
        <row r="13106">
          <cell r="A13106">
            <v>43191</v>
          </cell>
        </row>
        <row r="13107">
          <cell r="A13107">
            <v>43174</v>
          </cell>
        </row>
        <row r="13108">
          <cell r="A13108">
            <v>43141</v>
          </cell>
        </row>
        <row r="13109">
          <cell r="A13109">
            <v>43437</v>
          </cell>
        </row>
        <row r="13110">
          <cell r="A13110">
            <v>43585</v>
          </cell>
        </row>
        <row r="13111">
          <cell r="A13111">
            <v>43767</v>
          </cell>
        </row>
        <row r="13112">
          <cell r="A13112">
            <v>43464</v>
          </cell>
        </row>
        <row r="13113">
          <cell r="A13113">
            <v>43319</v>
          </cell>
        </row>
        <row r="13114">
          <cell r="A13114">
            <v>43325</v>
          </cell>
        </row>
        <row r="13115">
          <cell r="A13115">
            <v>43381</v>
          </cell>
        </row>
        <row r="13116">
          <cell r="A13116">
            <v>43676</v>
          </cell>
        </row>
        <row r="13117">
          <cell r="A13117">
            <v>43738</v>
          </cell>
        </row>
        <row r="13118">
          <cell r="A13118">
            <v>43652</v>
          </cell>
        </row>
        <row r="13119">
          <cell r="A13119">
            <v>43635</v>
          </cell>
        </row>
        <row r="13120">
          <cell r="A13120">
            <v>43544</v>
          </cell>
        </row>
        <row r="13121">
          <cell r="A13121">
            <v>43486</v>
          </cell>
        </row>
        <row r="13122">
          <cell r="A13122">
            <v>43730</v>
          </cell>
        </row>
        <row r="13123">
          <cell r="A13123">
            <v>43499</v>
          </cell>
        </row>
        <row r="13124">
          <cell r="A13124">
            <v>43563</v>
          </cell>
        </row>
        <row r="13125">
          <cell r="A13125">
            <v>43174</v>
          </cell>
        </row>
        <row r="13126">
          <cell r="A13126">
            <v>43726</v>
          </cell>
        </row>
        <row r="13127">
          <cell r="A13127">
            <v>43399</v>
          </cell>
        </row>
        <row r="13128">
          <cell r="A13128">
            <v>43163</v>
          </cell>
        </row>
        <row r="13129">
          <cell r="A13129">
            <v>43154</v>
          </cell>
        </row>
        <row r="13130">
          <cell r="A13130">
            <v>43605</v>
          </cell>
        </row>
        <row r="13131">
          <cell r="A13131">
            <v>43140</v>
          </cell>
        </row>
        <row r="13132">
          <cell r="A13132">
            <v>43570</v>
          </cell>
        </row>
        <row r="13133">
          <cell r="A13133">
            <v>43132</v>
          </cell>
        </row>
        <row r="13134">
          <cell r="A13134">
            <v>43538</v>
          </cell>
        </row>
        <row r="13135">
          <cell r="A13135">
            <v>43395</v>
          </cell>
        </row>
        <row r="13136">
          <cell r="A13136">
            <v>43863</v>
          </cell>
        </row>
        <row r="13137">
          <cell r="A13137">
            <v>43471</v>
          </cell>
        </row>
        <row r="13138">
          <cell r="A13138">
            <v>43104</v>
          </cell>
        </row>
        <row r="13139">
          <cell r="A13139">
            <v>43800</v>
          </cell>
        </row>
        <row r="13140">
          <cell r="A13140">
            <v>43830</v>
          </cell>
        </row>
        <row r="13141">
          <cell r="A13141">
            <v>43742</v>
          </cell>
        </row>
        <row r="13142">
          <cell r="A13142">
            <v>43676</v>
          </cell>
        </row>
        <row r="13143">
          <cell r="A13143">
            <v>43173</v>
          </cell>
        </row>
        <row r="13144">
          <cell r="A13144">
            <v>43667</v>
          </cell>
        </row>
        <row r="13145">
          <cell r="A13145">
            <v>43127</v>
          </cell>
        </row>
        <row r="13146">
          <cell r="A13146">
            <v>43105</v>
          </cell>
        </row>
        <row r="13147">
          <cell r="A13147">
            <v>43507</v>
          </cell>
        </row>
        <row r="13148">
          <cell r="A13148">
            <v>43566</v>
          </cell>
        </row>
        <row r="13149">
          <cell r="A13149">
            <v>43908</v>
          </cell>
        </row>
        <row r="13150">
          <cell r="A13150">
            <v>43308</v>
          </cell>
        </row>
        <row r="13151">
          <cell r="A13151">
            <v>43224</v>
          </cell>
        </row>
        <row r="13152">
          <cell r="A13152">
            <v>43339</v>
          </cell>
        </row>
        <row r="13153">
          <cell r="A13153">
            <v>43837</v>
          </cell>
        </row>
        <row r="13154">
          <cell r="A13154">
            <v>43348</v>
          </cell>
        </row>
        <row r="13155">
          <cell r="A13155">
            <v>43726</v>
          </cell>
        </row>
        <row r="13156">
          <cell r="A13156">
            <v>43145</v>
          </cell>
        </row>
        <row r="13157">
          <cell r="A13157">
            <v>43795</v>
          </cell>
        </row>
        <row r="13158">
          <cell r="A13158">
            <v>43887</v>
          </cell>
        </row>
        <row r="13159">
          <cell r="A13159">
            <v>43816</v>
          </cell>
        </row>
        <row r="13160">
          <cell r="A13160">
            <v>43124</v>
          </cell>
        </row>
        <row r="13161">
          <cell r="A13161">
            <v>43125</v>
          </cell>
        </row>
        <row r="13162">
          <cell r="A13162">
            <v>43481</v>
          </cell>
        </row>
        <row r="13163">
          <cell r="A13163">
            <v>43789</v>
          </cell>
        </row>
        <row r="13164">
          <cell r="A13164">
            <v>43771</v>
          </cell>
        </row>
        <row r="13165">
          <cell r="A13165">
            <v>43716</v>
          </cell>
        </row>
        <row r="13166">
          <cell r="A13166">
            <v>43381</v>
          </cell>
        </row>
        <row r="13167">
          <cell r="A13167">
            <v>43319</v>
          </cell>
        </row>
        <row r="13168">
          <cell r="A13168">
            <v>43697</v>
          </cell>
        </row>
        <row r="13169">
          <cell r="A13169">
            <v>43241</v>
          </cell>
        </row>
        <row r="13170">
          <cell r="A13170">
            <v>43410</v>
          </cell>
        </row>
        <row r="13171">
          <cell r="A13171">
            <v>43476</v>
          </cell>
        </row>
        <row r="13172">
          <cell r="A13172">
            <v>43910</v>
          </cell>
        </row>
        <row r="13173">
          <cell r="A13173">
            <v>43797</v>
          </cell>
        </row>
        <row r="13174">
          <cell r="A13174">
            <v>43678</v>
          </cell>
        </row>
        <row r="13175">
          <cell r="A13175">
            <v>43219</v>
          </cell>
        </row>
        <row r="13176">
          <cell r="A13176">
            <v>43217</v>
          </cell>
        </row>
        <row r="13177">
          <cell r="A13177">
            <v>43701</v>
          </cell>
        </row>
        <row r="13178">
          <cell r="A13178">
            <v>43295</v>
          </cell>
        </row>
        <row r="13179">
          <cell r="A13179">
            <v>43816</v>
          </cell>
        </row>
        <row r="13180">
          <cell r="A13180">
            <v>43662</v>
          </cell>
        </row>
        <row r="13181">
          <cell r="A13181">
            <v>43478</v>
          </cell>
        </row>
        <row r="13182">
          <cell r="A13182">
            <v>43738</v>
          </cell>
        </row>
        <row r="13183">
          <cell r="A13183">
            <v>43245</v>
          </cell>
        </row>
        <row r="13184">
          <cell r="A13184">
            <v>43241</v>
          </cell>
        </row>
        <row r="13185">
          <cell r="A13185">
            <v>43130</v>
          </cell>
        </row>
        <row r="13186">
          <cell r="A13186">
            <v>43640</v>
          </cell>
        </row>
        <row r="13187">
          <cell r="A13187">
            <v>43541</v>
          </cell>
        </row>
        <row r="13188">
          <cell r="A13188">
            <v>43550</v>
          </cell>
        </row>
        <row r="13189">
          <cell r="A13189">
            <v>43106</v>
          </cell>
        </row>
        <row r="13190">
          <cell r="A13190">
            <v>43327</v>
          </cell>
        </row>
        <row r="13191">
          <cell r="A13191">
            <v>43371</v>
          </cell>
        </row>
        <row r="13192">
          <cell r="A13192">
            <v>43803</v>
          </cell>
        </row>
        <row r="13193">
          <cell r="A13193">
            <v>43898</v>
          </cell>
        </row>
        <row r="13194">
          <cell r="A13194">
            <v>43253</v>
          </cell>
        </row>
        <row r="13195">
          <cell r="A13195">
            <v>43447</v>
          </cell>
        </row>
        <row r="13196">
          <cell r="A13196">
            <v>43346</v>
          </cell>
        </row>
        <row r="13197">
          <cell r="A13197">
            <v>43465</v>
          </cell>
        </row>
        <row r="13198">
          <cell r="A13198">
            <v>43220</v>
          </cell>
        </row>
        <row r="13199">
          <cell r="A13199">
            <v>43589</v>
          </cell>
        </row>
        <row r="13200">
          <cell r="A13200">
            <v>43661</v>
          </cell>
        </row>
        <row r="13201">
          <cell r="A13201">
            <v>43494</v>
          </cell>
        </row>
        <row r="13202">
          <cell r="A13202">
            <v>43186</v>
          </cell>
        </row>
        <row r="13203">
          <cell r="A13203">
            <v>43766</v>
          </cell>
        </row>
        <row r="13204">
          <cell r="A13204">
            <v>43771</v>
          </cell>
        </row>
        <row r="13205">
          <cell r="A13205">
            <v>43839</v>
          </cell>
        </row>
        <row r="13206">
          <cell r="A13206">
            <v>43444</v>
          </cell>
        </row>
        <row r="13207">
          <cell r="A13207">
            <v>43131</v>
          </cell>
        </row>
        <row r="13208">
          <cell r="A13208">
            <v>43268</v>
          </cell>
        </row>
        <row r="13209">
          <cell r="A13209">
            <v>43527</v>
          </cell>
        </row>
        <row r="13210">
          <cell r="A13210">
            <v>43866</v>
          </cell>
        </row>
        <row r="13211">
          <cell r="A13211">
            <v>43283</v>
          </cell>
        </row>
        <row r="13212">
          <cell r="A13212">
            <v>43157</v>
          </cell>
        </row>
        <row r="13213">
          <cell r="A13213">
            <v>43808</v>
          </cell>
        </row>
        <row r="13214">
          <cell r="A13214">
            <v>43177</v>
          </cell>
        </row>
        <row r="13215">
          <cell r="A13215">
            <v>43174</v>
          </cell>
        </row>
        <row r="13216">
          <cell r="A13216">
            <v>43542</v>
          </cell>
        </row>
        <row r="13217">
          <cell r="A13217">
            <v>43234</v>
          </cell>
        </row>
        <row r="13218">
          <cell r="A13218">
            <v>43823</v>
          </cell>
        </row>
        <row r="13219">
          <cell r="A13219">
            <v>43646</v>
          </cell>
        </row>
        <row r="13220">
          <cell r="A13220">
            <v>43437</v>
          </cell>
        </row>
        <row r="13221">
          <cell r="A13221">
            <v>43607</v>
          </cell>
        </row>
        <row r="13222">
          <cell r="A13222">
            <v>43279</v>
          </cell>
        </row>
        <row r="13223">
          <cell r="A13223">
            <v>43767</v>
          </cell>
        </row>
        <row r="13224">
          <cell r="A13224">
            <v>43844</v>
          </cell>
        </row>
        <row r="13225">
          <cell r="A13225">
            <v>43374</v>
          </cell>
        </row>
        <row r="13226">
          <cell r="A13226">
            <v>43909</v>
          </cell>
        </row>
        <row r="13227">
          <cell r="A13227">
            <v>43146</v>
          </cell>
        </row>
        <row r="13228">
          <cell r="A13228">
            <v>43802</v>
          </cell>
        </row>
        <row r="13229">
          <cell r="A13229">
            <v>43286</v>
          </cell>
        </row>
        <row r="13230">
          <cell r="A13230">
            <v>43838</v>
          </cell>
        </row>
        <row r="13231">
          <cell r="A13231">
            <v>43411</v>
          </cell>
        </row>
        <row r="13232">
          <cell r="A13232">
            <v>43652</v>
          </cell>
        </row>
        <row r="13233">
          <cell r="A13233">
            <v>43124</v>
          </cell>
        </row>
        <row r="13234">
          <cell r="A13234">
            <v>43765</v>
          </cell>
        </row>
        <row r="13235">
          <cell r="A13235">
            <v>43372</v>
          </cell>
        </row>
        <row r="13236">
          <cell r="A13236">
            <v>43731</v>
          </cell>
        </row>
        <row r="13237">
          <cell r="A13237">
            <v>43547</v>
          </cell>
        </row>
        <row r="13238">
          <cell r="A13238">
            <v>43881</v>
          </cell>
        </row>
        <row r="13239">
          <cell r="A13239">
            <v>43191</v>
          </cell>
        </row>
        <row r="13240">
          <cell r="A13240">
            <v>43560</v>
          </cell>
        </row>
        <row r="13241">
          <cell r="A13241">
            <v>43125</v>
          </cell>
        </row>
        <row r="13242">
          <cell r="A13242">
            <v>43270</v>
          </cell>
        </row>
        <row r="13243">
          <cell r="A13243">
            <v>43600</v>
          </cell>
        </row>
        <row r="13244">
          <cell r="A13244">
            <v>43912</v>
          </cell>
        </row>
        <row r="13245">
          <cell r="A13245">
            <v>43183</v>
          </cell>
        </row>
        <row r="13246">
          <cell r="A13246">
            <v>43546</v>
          </cell>
        </row>
        <row r="13247">
          <cell r="A13247">
            <v>43194</v>
          </cell>
        </row>
        <row r="13248">
          <cell r="A13248">
            <v>43850</v>
          </cell>
        </row>
        <row r="13249">
          <cell r="A13249">
            <v>43655</v>
          </cell>
        </row>
        <row r="13250">
          <cell r="A13250">
            <v>43501</v>
          </cell>
        </row>
        <row r="13251">
          <cell r="A13251">
            <v>43197</v>
          </cell>
        </row>
        <row r="13252">
          <cell r="A13252">
            <v>43813</v>
          </cell>
        </row>
        <row r="13253">
          <cell r="A13253">
            <v>43568</v>
          </cell>
        </row>
        <row r="13254">
          <cell r="A13254">
            <v>43382</v>
          </cell>
        </row>
        <row r="13255">
          <cell r="A13255">
            <v>43223</v>
          </cell>
        </row>
        <row r="13256">
          <cell r="A13256">
            <v>43775</v>
          </cell>
        </row>
        <row r="13257">
          <cell r="A13257">
            <v>43263</v>
          </cell>
        </row>
        <row r="13258">
          <cell r="A13258">
            <v>43794</v>
          </cell>
        </row>
        <row r="13259">
          <cell r="A13259">
            <v>43546</v>
          </cell>
        </row>
        <row r="13260">
          <cell r="A13260">
            <v>43781</v>
          </cell>
        </row>
        <row r="13261">
          <cell r="A13261">
            <v>43126</v>
          </cell>
        </row>
        <row r="13262">
          <cell r="A13262">
            <v>43904</v>
          </cell>
        </row>
        <row r="13263">
          <cell r="A13263">
            <v>43345</v>
          </cell>
        </row>
        <row r="13264">
          <cell r="A13264">
            <v>43113</v>
          </cell>
        </row>
        <row r="13265">
          <cell r="A13265">
            <v>43141</v>
          </cell>
        </row>
        <row r="13266">
          <cell r="A13266">
            <v>43473</v>
          </cell>
        </row>
        <row r="13267">
          <cell r="A13267">
            <v>43918</v>
          </cell>
        </row>
        <row r="13268">
          <cell r="A13268">
            <v>43380</v>
          </cell>
        </row>
        <row r="13269">
          <cell r="A13269">
            <v>43630</v>
          </cell>
        </row>
        <row r="13270">
          <cell r="A13270">
            <v>43850</v>
          </cell>
        </row>
        <row r="13271">
          <cell r="A13271">
            <v>43658</v>
          </cell>
        </row>
        <row r="13272">
          <cell r="A13272">
            <v>43309</v>
          </cell>
        </row>
        <row r="13273">
          <cell r="A13273">
            <v>43138</v>
          </cell>
        </row>
        <row r="13274">
          <cell r="A13274">
            <v>43860</v>
          </cell>
        </row>
        <row r="13275">
          <cell r="A13275">
            <v>43865</v>
          </cell>
        </row>
        <row r="13276">
          <cell r="A13276">
            <v>43402</v>
          </cell>
        </row>
        <row r="13277">
          <cell r="A13277">
            <v>43242</v>
          </cell>
        </row>
        <row r="13278">
          <cell r="A13278">
            <v>43591</v>
          </cell>
        </row>
        <row r="13279">
          <cell r="A13279">
            <v>43380</v>
          </cell>
        </row>
        <row r="13280">
          <cell r="A13280">
            <v>43422</v>
          </cell>
        </row>
        <row r="13281">
          <cell r="A13281">
            <v>43742</v>
          </cell>
        </row>
        <row r="13282">
          <cell r="A13282">
            <v>43780</v>
          </cell>
        </row>
        <row r="13283">
          <cell r="A13283">
            <v>43685</v>
          </cell>
        </row>
        <row r="13284">
          <cell r="A13284">
            <v>43277</v>
          </cell>
        </row>
        <row r="13285">
          <cell r="A13285">
            <v>43595</v>
          </cell>
        </row>
        <row r="13286">
          <cell r="A13286">
            <v>43699</v>
          </cell>
        </row>
        <row r="13287">
          <cell r="A13287">
            <v>43642</v>
          </cell>
        </row>
        <row r="13288">
          <cell r="A13288">
            <v>43905</v>
          </cell>
        </row>
        <row r="13289">
          <cell r="A13289">
            <v>43369</v>
          </cell>
        </row>
        <row r="13290">
          <cell r="A13290">
            <v>43733</v>
          </cell>
        </row>
        <row r="13291">
          <cell r="A13291">
            <v>43297</v>
          </cell>
        </row>
        <row r="13292">
          <cell r="A13292">
            <v>43356</v>
          </cell>
        </row>
        <row r="13293">
          <cell r="A13293">
            <v>43347</v>
          </cell>
        </row>
        <row r="13294">
          <cell r="A13294">
            <v>43857</v>
          </cell>
        </row>
        <row r="13295">
          <cell r="A13295">
            <v>43640</v>
          </cell>
        </row>
        <row r="13296">
          <cell r="A13296">
            <v>43518</v>
          </cell>
        </row>
        <row r="13297">
          <cell r="A13297">
            <v>43503</v>
          </cell>
        </row>
        <row r="13298">
          <cell r="A13298">
            <v>43296</v>
          </cell>
        </row>
        <row r="13299">
          <cell r="A13299">
            <v>43288</v>
          </cell>
        </row>
        <row r="13300">
          <cell r="A13300">
            <v>43192</v>
          </cell>
        </row>
        <row r="13301">
          <cell r="A13301">
            <v>43544</v>
          </cell>
        </row>
        <row r="13302">
          <cell r="A13302">
            <v>43695</v>
          </cell>
        </row>
        <row r="13303">
          <cell r="A13303">
            <v>43417</v>
          </cell>
        </row>
        <row r="13304">
          <cell r="A13304">
            <v>43173</v>
          </cell>
        </row>
        <row r="13305">
          <cell r="A13305">
            <v>43794</v>
          </cell>
        </row>
        <row r="13306">
          <cell r="A13306">
            <v>43415</v>
          </cell>
        </row>
        <row r="13307">
          <cell r="A13307">
            <v>43888</v>
          </cell>
        </row>
        <row r="13308">
          <cell r="A13308">
            <v>43452</v>
          </cell>
        </row>
        <row r="13309">
          <cell r="A13309">
            <v>43151</v>
          </cell>
        </row>
        <row r="13310">
          <cell r="A13310">
            <v>43813</v>
          </cell>
        </row>
        <row r="13311">
          <cell r="A13311">
            <v>43485</v>
          </cell>
        </row>
        <row r="13312">
          <cell r="A13312">
            <v>43465</v>
          </cell>
        </row>
        <row r="13313">
          <cell r="A13313">
            <v>43124</v>
          </cell>
        </row>
        <row r="13314">
          <cell r="A13314">
            <v>43832</v>
          </cell>
        </row>
        <row r="13315">
          <cell r="A13315">
            <v>43168</v>
          </cell>
        </row>
        <row r="13316">
          <cell r="A13316">
            <v>43822</v>
          </cell>
        </row>
        <row r="13317">
          <cell r="A13317">
            <v>43505</v>
          </cell>
        </row>
        <row r="13318">
          <cell r="A13318">
            <v>43370</v>
          </cell>
        </row>
        <row r="13319">
          <cell r="A13319">
            <v>43360</v>
          </cell>
        </row>
        <row r="13320">
          <cell r="A13320">
            <v>43263</v>
          </cell>
        </row>
        <row r="13321">
          <cell r="A13321">
            <v>43584</v>
          </cell>
        </row>
        <row r="13322">
          <cell r="A13322">
            <v>43285</v>
          </cell>
        </row>
        <row r="13323">
          <cell r="A13323">
            <v>43591</v>
          </cell>
        </row>
        <row r="13324">
          <cell r="A13324">
            <v>43296</v>
          </cell>
        </row>
        <row r="13325">
          <cell r="A13325">
            <v>43365</v>
          </cell>
        </row>
        <row r="13326">
          <cell r="A13326">
            <v>43487</v>
          </cell>
        </row>
        <row r="13327">
          <cell r="A13327">
            <v>43512</v>
          </cell>
        </row>
        <row r="13328">
          <cell r="A13328">
            <v>43724</v>
          </cell>
        </row>
        <row r="13329">
          <cell r="A13329">
            <v>43242</v>
          </cell>
        </row>
        <row r="13330">
          <cell r="A13330">
            <v>43700</v>
          </cell>
        </row>
        <row r="13331">
          <cell r="A13331">
            <v>43884</v>
          </cell>
        </row>
        <row r="13332">
          <cell r="A13332">
            <v>43634</v>
          </cell>
        </row>
        <row r="13333">
          <cell r="A13333">
            <v>43317</v>
          </cell>
        </row>
        <row r="13334">
          <cell r="A13334">
            <v>43280</v>
          </cell>
        </row>
        <row r="13335">
          <cell r="A13335">
            <v>43645</v>
          </cell>
        </row>
        <row r="13336">
          <cell r="A13336">
            <v>43556</v>
          </cell>
        </row>
        <row r="13337">
          <cell r="A13337">
            <v>43289</v>
          </cell>
        </row>
        <row r="13338">
          <cell r="A13338">
            <v>43405</v>
          </cell>
        </row>
        <row r="13339">
          <cell r="A13339">
            <v>43733</v>
          </cell>
        </row>
        <row r="13340">
          <cell r="A13340">
            <v>43364</v>
          </cell>
        </row>
        <row r="13341">
          <cell r="A13341">
            <v>43365</v>
          </cell>
        </row>
        <row r="13342">
          <cell r="A13342">
            <v>43574</v>
          </cell>
        </row>
        <row r="13343">
          <cell r="A13343">
            <v>43694</v>
          </cell>
        </row>
        <row r="13344">
          <cell r="A13344">
            <v>43215</v>
          </cell>
        </row>
        <row r="13345">
          <cell r="A13345">
            <v>43913</v>
          </cell>
        </row>
        <row r="13346">
          <cell r="A13346">
            <v>43240</v>
          </cell>
        </row>
        <row r="13347">
          <cell r="A13347">
            <v>43742</v>
          </cell>
        </row>
        <row r="13348">
          <cell r="A13348">
            <v>43851</v>
          </cell>
        </row>
        <row r="13349">
          <cell r="A13349">
            <v>43795</v>
          </cell>
        </row>
        <row r="13350">
          <cell r="A13350">
            <v>43188</v>
          </cell>
        </row>
        <row r="13351">
          <cell r="A13351">
            <v>43710</v>
          </cell>
        </row>
        <row r="13352">
          <cell r="A13352">
            <v>43741</v>
          </cell>
        </row>
        <row r="13353">
          <cell r="A13353">
            <v>43571</v>
          </cell>
        </row>
        <row r="13354">
          <cell r="A13354">
            <v>43854</v>
          </cell>
        </row>
        <row r="13355">
          <cell r="A13355">
            <v>43133</v>
          </cell>
        </row>
        <row r="13356">
          <cell r="A13356">
            <v>43104</v>
          </cell>
        </row>
        <row r="13357">
          <cell r="A13357">
            <v>43557</v>
          </cell>
        </row>
        <row r="13358">
          <cell r="A13358">
            <v>43918</v>
          </cell>
        </row>
        <row r="13359">
          <cell r="A13359">
            <v>43106</v>
          </cell>
        </row>
        <row r="13360">
          <cell r="A13360">
            <v>43695</v>
          </cell>
        </row>
        <row r="13361">
          <cell r="A13361">
            <v>43781</v>
          </cell>
        </row>
        <row r="13362">
          <cell r="A13362">
            <v>43647</v>
          </cell>
        </row>
        <row r="13363">
          <cell r="A13363">
            <v>43791</v>
          </cell>
        </row>
        <row r="13364">
          <cell r="A13364">
            <v>43110</v>
          </cell>
        </row>
        <row r="13365">
          <cell r="A13365">
            <v>43920</v>
          </cell>
        </row>
        <row r="13366">
          <cell r="A13366">
            <v>43330</v>
          </cell>
        </row>
        <row r="13367">
          <cell r="A13367">
            <v>43809</v>
          </cell>
        </row>
        <row r="13368">
          <cell r="A13368">
            <v>43108</v>
          </cell>
        </row>
        <row r="13369">
          <cell r="A13369">
            <v>43917</v>
          </cell>
        </row>
        <row r="13370">
          <cell r="A13370">
            <v>43636</v>
          </cell>
        </row>
        <row r="13371">
          <cell r="A13371">
            <v>43367</v>
          </cell>
        </row>
        <row r="13372">
          <cell r="A13372">
            <v>43601</v>
          </cell>
        </row>
        <row r="13373">
          <cell r="A13373">
            <v>43353</v>
          </cell>
        </row>
        <row r="13374">
          <cell r="A13374">
            <v>43265</v>
          </cell>
        </row>
        <row r="13375">
          <cell r="A13375">
            <v>43392</v>
          </cell>
        </row>
        <row r="13376">
          <cell r="A13376">
            <v>43545</v>
          </cell>
        </row>
        <row r="13377">
          <cell r="A13377">
            <v>43653</v>
          </cell>
        </row>
        <row r="13378">
          <cell r="A13378">
            <v>43857</v>
          </cell>
        </row>
        <row r="13379">
          <cell r="A13379">
            <v>43591</v>
          </cell>
        </row>
        <row r="13380">
          <cell r="A13380">
            <v>43635</v>
          </cell>
        </row>
        <row r="13381">
          <cell r="A13381">
            <v>43770</v>
          </cell>
        </row>
        <row r="13382">
          <cell r="A13382">
            <v>43867</v>
          </cell>
        </row>
        <row r="13383">
          <cell r="A13383">
            <v>43474</v>
          </cell>
        </row>
        <row r="13384">
          <cell r="A13384">
            <v>43814</v>
          </cell>
        </row>
        <row r="13385">
          <cell r="A13385">
            <v>43329</v>
          </cell>
        </row>
        <row r="13386">
          <cell r="A13386">
            <v>43519</v>
          </cell>
        </row>
        <row r="13387">
          <cell r="A13387">
            <v>43899</v>
          </cell>
        </row>
        <row r="13388">
          <cell r="A13388">
            <v>43780</v>
          </cell>
        </row>
        <row r="13389">
          <cell r="A13389">
            <v>43694</v>
          </cell>
        </row>
        <row r="13390">
          <cell r="A13390">
            <v>43804</v>
          </cell>
        </row>
        <row r="13391">
          <cell r="A13391">
            <v>43522</v>
          </cell>
        </row>
        <row r="13392">
          <cell r="A13392">
            <v>43601</v>
          </cell>
        </row>
        <row r="13393">
          <cell r="A13393">
            <v>43406</v>
          </cell>
        </row>
        <row r="13394">
          <cell r="A13394">
            <v>43276</v>
          </cell>
        </row>
        <row r="13395">
          <cell r="A13395">
            <v>43448</v>
          </cell>
        </row>
        <row r="13396">
          <cell r="A13396">
            <v>43165</v>
          </cell>
        </row>
        <row r="13397">
          <cell r="A13397">
            <v>43185</v>
          </cell>
        </row>
        <row r="13398">
          <cell r="A13398">
            <v>43179</v>
          </cell>
        </row>
        <row r="13399">
          <cell r="A13399">
            <v>43687</v>
          </cell>
        </row>
        <row r="13400">
          <cell r="A13400">
            <v>43306</v>
          </cell>
        </row>
        <row r="13401">
          <cell r="A13401">
            <v>43539</v>
          </cell>
        </row>
        <row r="13402">
          <cell r="A13402">
            <v>43793</v>
          </cell>
        </row>
        <row r="13403">
          <cell r="A13403">
            <v>43535</v>
          </cell>
        </row>
        <row r="13404">
          <cell r="A13404">
            <v>43522</v>
          </cell>
        </row>
        <row r="13405">
          <cell r="A13405">
            <v>43387</v>
          </cell>
        </row>
        <row r="13406">
          <cell r="A13406">
            <v>43722</v>
          </cell>
        </row>
        <row r="13407">
          <cell r="A13407">
            <v>43153</v>
          </cell>
        </row>
        <row r="13408">
          <cell r="A13408">
            <v>43202</v>
          </cell>
        </row>
        <row r="13409">
          <cell r="A13409">
            <v>43389</v>
          </cell>
        </row>
        <row r="13410">
          <cell r="A13410">
            <v>43767</v>
          </cell>
        </row>
        <row r="13411">
          <cell r="A13411">
            <v>43400</v>
          </cell>
        </row>
        <row r="13412">
          <cell r="A13412">
            <v>43697</v>
          </cell>
        </row>
        <row r="13413">
          <cell r="A13413">
            <v>43681</v>
          </cell>
        </row>
        <row r="13414">
          <cell r="A13414">
            <v>43378</v>
          </cell>
        </row>
        <row r="13415">
          <cell r="A13415">
            <v>43347</v>
          </cell>
        </row>
        <row r="13416">
          <cell r="A13416">
            <v>43699</v>
          </cell>
        </row>
        <row r="13417">
          <cell r="A13417">
            <v>43694</v>
          </cell>
        </row>
        <row r="13418">
          <cell r="A13418">
            <v>43851</v>
          </cell>
        </row>
        <row r="13419">
          <cell r="A13419">
            <v>43261</v>
          </cell>
        </row>
        <row r="13420">
          <cell r="A13420">
            <v>43576</v>
          </cell>
        </row>
        <row r="13421">
          <cell r="A13421">
            <v>43176</v>
          </cell>
        </row>
        <row r="13422">
          <cell r="A13422">
            <v>43898</v>
          </cell>
        </row>
        <row r="13423">
          <cell r="A13423">
            <v>43904</v>
          </cell>
        </row>
        <row r="13424">
          <cell r="A13424">
            <v>43148</v>
          </cell>
        </row>
        <row r="13425">
          <cell r="A13425">
            <v>43789</v>
          </cell>
        </row>
        <row r="13426">
          <cell r="A13426">
            <v>43810</v>
          </cell>
        </row>
        <row r="13427">
          <cell r="A13427">
            <v>43587</v>
          </cell>
        </row>
        <row r="13428">
          <cell r="A13428">
            <v>43602</v>
          </cell>
        </row>
        <row r="13429">
          <cell r="A13429">
            <v>43236</v>
          </cell>
        </row>
        <row r="13430">
          <cell r="A13430">
            <v>43576</v>
          </cell>
        </row>
        <row r="13431">
          <cell r="A13431">
            <v>43393</v>
          </cell>
        </row>
        <row r="13432">
          <cell r="A13432">
            <v>43126</v>
          </cell>
        </row>
        <row r="13433">
          <cell r="A13433">
            <v>43219</v>
          </cell>
        </row>
        <row r="13434">
          <cell r="A13434">
            <v>43867</v>
          </cell>
        </row>
        <row r="13435">
          <cell r="A13435">
            <v>43862</v>
          </cell>
        </row>
        <row r="13436">
          <cell r="A13436">
            <v>43119</v>
          </cell>
        </row>
        <row r="13437">
          <cell r="A13437">
            <v>43724</v>
          </cell>
        </row>
        <row r="13438">
          <cell r="A13438">
            <v>43129</v>
          </cell>
        </row>
        <row r="13439">
          <cell r="A13439">
            <v>43798</v>
          </cell>
        </row>
        <row r="13440">
          <cell r="A13440">
            <v>43580</v>
          </cell>
        </row>
        <row r="13441">
          <cell r="A13441">
            <v>43697</v>
          </cell>
        </row>
        <row r="13442">
          <cell r="A13442">
            <v>43867</v>
          </cell>
        </row>
        <row r="13443">
          <cell r="A13443">
            <v>43812</v>
          </cell>
        </row>
        <row r="13444">
          <cell r="A13444">
            <v>43554</v>
          </cell>
        </row>
        <row r="13445">
          <cell r="A13445">
            <v>43648</v>
          </cell>
        </row>
        <row r="13446">
          <cell r="A13446">
            <v>43687</v>
          </cell>
        </row>
        <row r="13447">
          <cell r="A13447">
            <v>43756</v>
          </cell>
        </row>
        <row r="13448">
          <cell r="A13448">
            <v>43326</v>
          </cell>
        </row>
        <row r="13449">
          <cell r="A13449">
            <v>43272</v>
          </cell>
        </row>
        <row r="13450">
          <cell r="A13450">
            <v>43550</v>
          </cell>
        </row>
        <row r="13451">
          <cell r="A13451">
            <v>43239</v>
          </cell>
        </row>
        <row r="13452">
          <cell r="A13452">
            <v>43898</v>
          </cell>
        </row>
        <row r="13453">
          <cell r="A13453">
            <v>43284</v>
          </cell>
        </row>
        <row r="13454">
          <cell r="A13454">
            <v>43633</v>
          </cell>
        </row>
        <row r="13455">
          <cell r="A13455">
            <v>43877</v>
          </cell>
        </row>
        <row r="13456">
          <cell r="A13456">
            <v>43750</v>
          </cell>
        </row>
        <row r="13457">
          <cell r="A13457">
            <v>43570</v>
          </cell>
        </row>
        <row r="13458">
          <cell r="A13458">
            <v>43338</v>
          </cell>
        </row>
        <row r="13459">
          <cell r="A13459">
            <v>43310</v>
          </cell>
        </row>
        <row r="13460">
          <cell r="A13460">
            <v>43329</v>
          </cell>
        </row>
        <row r="13461">
          <cell r="A13461">
            <v>43669</v>
          </cell>
        </row>
        <row r="13462">
          <cell r="A13462">
            <v>43873</v>
          </cell>
        </row>
        <row r="13463">
          <cell r="A13463">
            <v>43791</v>
          </cell>
        </row>
        <row r="13464">
          <cell r="A13464">
            <v>43753</v>
          </cell>
        </row>
        <row r="13465">
          <cell r="A13465">
            <v>43260</v>
          </cell>
        </row>
        <row r="13466">
          <cell r="A13466">
            <v>43490</v>
          </cell>
        </row>
        <row r="13467">
          <cell r="A13467">
            <v>43402</v>
          </cell>
        </row>
        <row r="13468">
          <cell r="A13468">
            <v>43131</v>
          </cell>
        </row>
        <row r="13469">
          <cell r="A13469">
            <v>43208</v>
          </cell>
        </row>
        <row r="13470">
          <cell r="A13470">
            <v>43280</v>
          </cell>
        </row>
        <row r="13471">
          <cell r="A13471">
            <v>43657</v>
          </cell>
        </row>
        <row r="13472">
          <cell r="A13472">
            <v>43878</v>
          </cell>
        </row>
        <row r="13473">
          <cell r="A13473">
            <v>43135</v>
          </cell>
        </row>
        <row r="13474">
          <cell r="A13474">
            <v>43521</v>
          </cell>
        </row>
        <row r="13475">
          <cell r="A13475">
            <v>43720</v>
          </cell>
        </row>
        <row r="13476">
          <cell r="A13476">
            <v>43575</v>
          </cell>
        </row>
        <row r="13477">
          <cell r="A13477">
            <v>43513</v>
          </cell>
        </row>
        <row r="13478">
          <cell r="A13478">
            <v>43402</v>
          </cell>
        </row>
        <row r="13479">
          <cell r="A13479">
            <v>43628</v>
          </cell>
        </row>
        <row r="13480">
          <cell r="A13480">
            <v>43370</v>
          </cell>
        </row>
        <row r="13481">
          <cell r="A13481">
            <v>43829</v>
          </cell>
        </row>
        <row r="13482">
          <cell r="A13482">
            <v>43397</v>
          </cell>
        </row>
        <row r="13483">
          <cell r="A13483">
            <v>43155</v>
          </cell>
        </row>
        <row r="13484">
          <cell r="A13484">
            <v>43790</v>
          </cell>
        </row>
        <row r="13485">
          <cell r="A13485">
            <v>43456</v>
          </cell>
        </row>
        <row r="13486">
          <cell r="A13486">
            <v>43150</v>
          </cell>
        </row>
        <row r="13487">
          <cell r="A13487">
            <v>43175</v>
          </cell>
        </row>
        <row r="13488">
          <cell r="A13488">
            <v>43111</v>
          </cell>
        </row>
        <row r="13489">
          <cell r="A13489">
            <v>43791</v>
          </cell>
        </row>
        <row r="13490">
          <cell r="A13490">
            <v>43218</v>
          </cell>
        </row>
        <row r="13491">
          <cell r="A13491">
            <v>43666</v>
          </cell>
        </row>
        <row r="13492">
          <cell r="A13492">
            <v>43736</v>
          </cell>
        </row>
        <row r="13493">
          <cell r="A13493">
            <v>43279</v>
          </cell>
        </row>
        <row r="13494">
          <cell r="A13494">
            <v>43398</v>
          </cell>
        </row>
        <row r="13495">
          <cell r="A13495">
            <v>43619</v>
          </cell>
        </row>
        <row r="13496">
          <cell r="A13496">
            <v>43173</v>
          </cell>
        </row>
        <row r="13497">
          <cell r="A13497">
            <v>43195</v>
          </cell>
        </row>
        <row r="13498">
          <cell r="A13498">
            <v>43557</v>
          </cell>
        </row>
        <row r="13499">
          <cell r="A13499">
            <v>43791</v>
          </cell>
        </row>
        <row r="13500">
          <cell r="A13500">
            <v>43471</v>
          </cell>
        </row>
        <row r="13501">
          <cell r="A13501">
            <v>43192</v>
          </cell>
        </row>
        <row r="13502">
          <cell r="A13502">
            <v>43500</v>
          </cell>
        </row>
        <row r="13503">
          <cell r="A13503">
            <v>43696</v>
          </cell>
        </row>
        <row r="13504">
          <cell r="A13504">
            <v>43167</v>
          </cell>
        </row>
        <row r="13505">
          <cell r="A13505">
            <v>43904</v>
          </cell>
        </row>
        <row r="13506">
          <cell r="A13506">
            <v>43500</v>
          </cell>
        </row>
        <row r="13507">
          <cell r="A13507">
            <v>43819</v>
          </cell>
        </row>
        <row r="13508">
          <cell r="A13508">
            <v>43197</v>
          </cell>
        </row>
        <row r="13509">
          <cell r="A13509">
            <v>43334</v>
          </cell>
        </row>
        <row r="13510">
          <cell r="A13510">
            <v>43469</v>
          </cell>
        </row>
        <row r="13511">
          <cell r="A13511">
            <v>43916</v>
          </cell>
        </row>
        <row r="13512">
          <cell r="A13512">
            <v>43596</v>
          </cell>
        </row>
        <row r="13513">
          <cell r="A13513">
            <v>43362</v>
          </cell>
        </row>
        <row r="13514">
          <cell r="A13514">
            <v>43412</v>
          </cell>
        </row>
        <row r="13515">
          <cell r="A13515">
            <v>43359</v>
          </cell>
        </row>
        <row r="13516">
          <cell r="A13516">
            <v>43663</v>
          </cell>
        </row>
        <row r="13517">
          <cell r="A13517">
            <v>43127</v>
          </cell>
        </row>
        <row r="13518">
          <cell r="A13518">
            <v>43623</v>
          </cell>
        </row>
        <row r="13519">
          <cell r="A13519">
            <v>43795</v>
          </cell>
        </row>
        <row r="13520">
          <cell r="A13520">
            <v>43125</v>
          </cell>
        </row>
        <row r="13521">
          <cell r="A13521">
            <v>43215</v>
          </cell>
        </row>
        <row r="13522">
          <cell r="A13522">
            <v>43441</v>
          </cell>
        </row>
        <row r="13523">
          <cell r="A13523">
            <v>43370</v>
          </cell>
        </row>
        <row r="13524">
          <cell r="A13524">
            <v>43469</v>
          </cell>
        </row>
        <row r="13525">
          <cell r="A13525">
            <v>43784</v>
          </cell>
        </row>
        <row r="13526">
          <cell r="A13526">
            <v>43630</v>
          </cell>
        </row>
        <row r="13527">
          <cell r="A13527">
            <v>43746</v>
          </cell>
        </row>
        <row r="13528">
          <cell r="A13528">
            <v>43494</v>
          </cell>
        </row>
        <row r="13529">
          <cell r="A13529">
            <v>43563</v>
          </cell>
        </row>
        <row r="13530">
          <cell r="A13530">
            <v>43852</v>
          </cell>
        </row>
        <row r="13531">
          <cell r="A13531">
            <v>43609</v>
          </cell>
        </row>
        <row r="13532">
          <cell r="A13532">
            <v>43252</v>
          </cell>
        </row>
        <row r="13533">
          <cell r="A13533">
            <v>43623</v>
          </cell>
        </row>
        <row r="13534">
          <cell r="A13534">
            <v>43470</v>
          </cell>
        </row>
        <row r="13535">
          <cell r="A13535">
            <v>43230</v>
          </cell>
        </row>
        <row r="13536">
          <cell r="A13536">
            <v>43652</v>
          </cell>
        </row>
        <row r="13537">
          <cell r="A13537">
            <v>43231</v>
          </cell>
        </row>
        <row r="13538">
          <cell r="A13538">
            <v>43384</v>
          </cell>
        </row>
        <row r="13539">
          <cell r="A13539">
            <v>43366</v>
          </cell>
        </row>
        <row r="13540">
          <cell r="A13540">
            <v>43872</v>
          </cell>
        </row>
        <row r="13541">
          <cell r="A13541">
            <v>43274</v>
          </cell>
        </row>
        <row r="13542">
          <cell r="A13542">
            <v>43396</v>
          </cell>
        </row>
        <row r="13543">
          <cell r="A13543">
            <v>43843</v>
          </cell>
        </row>
        <row r="13544">
          <cell r="A13544">
            <v>43362</v>
          </cell>
        </row>
        <row r="13545">
          <cell r="A13545">
            <v>43485</v>
          </cell>
        </row>
        <row r="13546">
          <cell r="A13546">
            <v>43746</v>
          </cell>
        </row>
        <row r="13547">
          <cell r="A13547">
            <v>43370</v>
          </cell>
        </row>
        <row r="13548">
          <cell r="A13548">
            <v>43549</v>
          </cell>
        </row>
        <row r="13549">
          <cell r="A13549">
            <v>43243</v>
          </cell>
        </row>
        <row r="13550">
          <cell r="A13550">
            <v>43689</v>
          </cell>
        </row>
        <row r="13551">
          <cell r="A13551">
            <v>43346</v>
          </cell>
        </row>
        <row r="13552">
          <cell r="A13552">
            <v>43654</v>
          </cell>
        </row>
        <row r="13553">
          <cell r="A13553">
            <v>43208</v>
          </cell>
        </row>
        <row r="13554">
          <cell r="A13554">
            <v>43474</v>
          </cell>
        </row>
        <row r="13555">
          <cell r="A13555">
            <v>43283</v>
          </cell>
        </row>
        <row r="13556">
          <cell r="A13556">
            <v>43555</v>
          </cell>
        </row>
        <row r="13557">
          <cell r="A13557">
            <v>43626</v>
          </cell>
        </row>
        <row r="13558">
          <cell r="A13558">
            <v>43415</v>
          </cell>
        </row>
        <row r="13559">
          <cell r="A13559">
            <v>43395</v>
          </cell>
        </row>
        <row r="13560">
          <cell r="A13560">
            <v>43889</v>
          </cell>
        </row>
        <row r="13561">
          <cell r="A13561">
            <v>43313</v>
          </cell>
        </row>
        <row r="13562">
          <cell r="A13562">
            <v>43581</v>
          </cell>
        </row>
        <row r="13563">
          <cell r="A13563">
            <v>43585</v>
          </cell>
        </row>
        <row r="13564">
          <cell r="A13564">
            <v>43753</v>
          </cell>
        </row>
        <row r="13565">
          <cell r="A13565">
            <v>43735</v>
          </cell>
        </row>
        <row r="13566">
          <cell r="A13566">
            <v>43521</v>
          </cell>
        </row>
        <row r="13567">
          <cell r="A13567">
            <v>43444</v>
          </cell>
        </row>
        <row r="13568">
          <cell r="A13568">
            <v>43792</v>
          </cell>
        </row>
        <row r="13569">
          <cell r="A13569">
            <v>43443</v>
          </cell>
        </row>
        <row r="13570">
          <cell r="A13570">
            <v>43173</v>
          </cell>
        </row>
        <row r="13571">
          <cell r="A13571">
            <v>43677</v>
          </cell>
        </row>
        <row r="13572">
          <cell r="A13572">
            <v>43620</v>
          </cell>
        </row>
        <row r="13573">
          <cell r="A13573">
            <v>43362</v>
          </cell>
        </row>
        <row r="13574">
          <cell r="A13574">
            <v>43807</v>
          </cell>
        </row>
        <row r="13575">
          <cell r="A13575">
            <v>43296</v>
          </cell>
        </row>
        <row r="13576">
          <cell r="A13576">
            <v>43737</v>
          </cell>
        </row>
        <row r="13577">
          <cell r="A13577">
            <v>43828</v>
          </cell>
        </row>
        <row r="13578">
          <cell r="A13578">
            <v>43586</v>
          </cell>
        </row>
        <row r="13579">
          <cell r="A13579">
            <v>43476</v>
          </cell>
        </row>
        <row r="13580">
          <cell r="A13580">
            <v>43686</v>
          </cell>
        </row>
        <row r="13581">
          <cell r="A13581">
            <v>43114</v>
          </cell>
        </row>
        <row r="13582">
          <cell r="A13582">
            <v>43696</v>
          </cell>
        </row>
        <row r="13583">
          <cell r="A13583">
            <v>43875</v>
          </cell>
        </row>
        <row r="13584">
          <cell r="A13584">
            <v>43757</v>
          </cell>
        </row>
        <row r="13585">
          <cell r="A13585">
            <v>43197</v>
          </cell>
        </row>
        <row r="13586">
          <cell r="A13586">
            <v>43366</v>
          </cell>
        </row>
        <row r="13587">
          <cell r="A13587">
            <v>43794</v>
          </cell>
        </row>
        <row r="13588">
          <cell r="A13588">
            <v>43374</v>
          </cell>
        </row>
        <row r="13589">
          <cell r="A13589">
            <v>43124</v>
          </cell>
        </row>
        <row r="13590">
          <cell r="A13590">
            <v>43641</v>
          </cell>
        </row>
        <row r="13591">
          <cell r="A13591">
            <v>43792</v>
          </cell>
        </row>
        <row r="13592">
          <cell r="A13592">
            <v>43456</v>
          </cell>
        </row>
        <row r="13593">
          <cell r="A13593">
            <v>43189</v>
          </cell>
        </row>
        <row r="13594">
          <cell r="A13594">
            <v>43264</v>
          </cell>
        </row>
        <row r="13595">
          <cell r="A13595">
            <v>43537</v>
          </cell>
        </row>
        <row r="13596">
          <cell r="A13596">
            <v>43857</v>
          </cell>
        </row>
        <row r="13597">
          <cell r="A13597">
            <v>43822</v>
          </cell>
        </row>
        <row r="13598">
          <cell r="A13598">
            <v>43644</v>
          </cell>
        </row>
        <row r="13599">
          <cell r="A13599">
            <v>43842</v>
          </cell>
        </row>
        <row r="13600">
          <cell r="A13600">
            <v>43622</v>
          </cell>
        </row>
        <row r="13601">
          <cell r="A13601">
            <v>43592</v>
          </cell>
        </row>
        <row r="13602">
          <cell r="A13602">
            <v>43112</v>
          </cell>
        </row>
        <row r="13603">
          <cell r="A13603">
            <v>43602</v>
          </cell>
        </row>
        <row r="13604">
          <cell r="A13604">
            <v>43327</v>
          </cell>
        </row>
        <row r="13605">
          <cell r="A13605">
            <v>43245</v>
          </cell>
        </row>
        <row r="13606">
          <cell r="A13606">
            <v>43133</v>
          </cell>
        </row>
        <row r="13607">
          <cell r="A13607">
            <v>43344</v>
          </cell>
        </row>
        <row r="13608">
          <cell r="A13608">
            <v>43235</v>
          </cell>
        </row>
        <row r="13609">
          <cell r="A13609">
            <v>43223</v>
          </cell>
        </row>
        <row r="13610">
          <cell r="A13610">
            <v>43223</v>
          </cell>
        </row>
        <row r="13611">
          <cell r="A13611">
            <v>43662</v>
          </cell>
        </row>
        <row r="13612">
          <cell r="A13612">
            <v>43419</v>
          </cell>
        </row>
        <row r="13613">
          <cell r="A13613">
            <v>43337</v>
          </cell>
        </row>
        <row r="13614">
          <cell r="A13614">
            <v>43345</v>
          </cell>
        </row>
        <row r="13615">
          <cell r="A13615">
            <v>43628</v>
          </cell>
        </row>
        <row r="13616">
          <cell r="A13616">
            <v>43476</v>
          </cell>
        </row>
        <row r="13617">
          <cell r="A13617">
            <v>43198</v>
          </cell>
        </row>
        <row r="13618">
          <cell r="A13618">
            <v>43665</v>
          </cell>
        </row>
        <row r="13619">
          <cell r="A13619">
            <v>43245</v>
          </cell>
        </row>
        <row r="13620">
          <cell r="A13620">
            <v>43253</v>
          </cell>
        </row>
        <row r="13621">
          <cell r="A13621">
            <v>43361</v>
          </cell>
        </row>
        <row r="13622">
          <cell r="A13622">
            <v>43498</v>
          </cell>
        </row>
        <row r="13623">
          <cell r="A13623">
            <v>43494</v>
          </cell>
        </row>
        <row r="13624">
          <cell r="A13624">
            <v>43574</v>
          </cell>
        </row>
        <row r="13625">
          <cell r="A13625">
            <v>43529</v>
          </cell>
        </row>
        <row r="13626">
          <cell r="A13626">
            <v>43683</v>
          </cell>
        </row>
        <row r="13627">
          <cell r="A13627">
            <v>43284</v>
          </cell>
        </row>
        <row r="13628">
          <cell r="A13628">
            <v>43372</v>
          </cell>
        </row>
        <row r="13629">
          <cell r="A13629">
            <v>43216</v>
          </cell>
        </row>
        <row r="13630">
          <cell r="A13630">
            <v>43463</v>
          </cell>
        </row>
        <row r="13631">
          <cell r="A13631">
            <v>43585</v>
          </cell>
        </row>
        <row r="13632">
          <cell r="A13632">
            <v>43778</v>
          </cell>
        </row>
        <row r="13633">
          <cell r="A13633">
            <v>43236</v>
          </cell>
        </row>
        <row r="13634">
          <cell r="A13634">
            <v>43306</v>
          </cell>
        </row>
        <row r="13635">
          <cell r="A13635">
            <v>43326</v>
          </cell>
        </row>
        <row r="13636">
          <cell r="A13636">
            <v>43136</v>
          </cell>
        </row>
        <row r="13637">
          <cell r="A13637">
            <v>43893</v>
          </cell>
        </row>
        <row r="13638">
          <cell r="A13638">
            <v>43598</v>
          </cell>
        </row>
        <row r="13639">
          <cell r="A13639">
            <v>43293</v>
          </cell>
        </row>
        <row r="13640">
          <cell r="A13640">
            <v>43726</v>
          </cell>
        </row>
        <row r="13641">
          <cell r="A13641">
            <v>43414</v>
          </cell>
        </row>
        <row r="13642">
          <cell r="A13642">
            <v>43728</v>
          </cell>
        </row>
        <row r="13643">
          <cell r="A13643">
            <v>43205</v>
          </cell>
        </row>
        <row r="13644">
          <cell r="A13644">
            <v>43230</v>
          </cell>
        </row>
        <row r="13645">
          <cell r="A13645">
            <v>43123</v>
          </cell>
        </row>
        <row r="13646">
          <cell r="A13646">
            <v>43164</v>
          </cell>
        </row>
        <row r="13647">
          <cell r="A13647">
            <v>43185</v>
          </cell>
        </row>
        <row r="13648">
          <cell r="A13648">
            <v>43347</v>
          </cell>
        </row>
        <row r="13649">
          <cell r="A13649">
            <v>43236</v>
          </cell>
        </row>
        <row r="13650">
          <cell r="A13650">
            <v>43430</v>
          </cell>
        </row>
        <row r="13651">
          <cell r="A13651">
            <v>43915</v>
          </cell>
        </row>
        <row r="13652">
          <cell r="A13652">
            <v>43712</v>
          </cell>
        </row>
        <row r="13653">
          <cell r="A13653">
            <v>43803</v>
          </cell>
        </row>
        <row r="13654">
          <cell r="A13654">
            <v>43826</v>
          </cell>
        </row>
        <row r="13655">
          <cell r="A13655">
            <v>43655</v>
          </cell>
        </row>
        <row r="13656">
          <cell r="A13656">
            <v>43140</v>
          </cell>
        </row>
        <row r="13657">
          <cell r="A13657">
            <v>43286</v>
          </cell>
        </row>
        <row r="13658">
          <cell r="A13658">
            <v>43331</v>
          </cell>
        </row>
        <row r="13659">
          <cell r="A13659">
            <v>43360</v>
          </cell>
        </row>
        <row r="13660">
          <cell r="A13660">
            <v>43231</v>
          </cell>
        </row>
        <row r="13661">
          <cell r="A13661">
            <v>43270</v>
          </cell>
        </row>
        <row r="13662">
          <cell r="A13662">
            <v>43576</v>
          </cell>
        </row>
        <row r="13663">
          <cell r="A13663">
            <v>43830</v>
          </cell>
        </row>
        <row r="13664">
          <cell r="A13664">
            <v>43800</v>
          </cell>
        </row>
        <row r="13665">
          <cell r="A13665">
            <v>43309</v>
          </cell>
        </row>
        <row r="13666">
          <cell r="A13666">
            <v>43549</v>
          </cell>
        </row>
        <row r="13667">
          <cell r="A13667">
            <v>43747</v>
          </cell>
        </row>
        <row r="13668">
          <cell r="A13668">
            <v>43776</v>
          </cell>
        </row>
        <row r="13669">
          <cell r="A13669">
            <v>43457</v>
          </cell>
        </row>
        <row r="13670">
          <cell r="A13670">
            <v>43438</v>
          </cell>
        </row>
        <row r="13671">
          <cell r="A13671">
            <v>43176</v>
          </cell>
        </row>
        <row r="13672">
          <cell r="A13672">
            <v>43520</v>
          </cell>
        </row>
        <row r="13673">
          <cell r="A13673">
            <v>43292</v>
          </cell>
        </row>
        <row r="13674">
          <cell r="A13674">
            <v>43658</v>
          </cell>
        </row>
        <row r="13675">
          <cell r="A13675">
            <v>43276</v>
          </cell>
        </row>
        <row r="13676">
          <cell r="A13676">
            <v>43410</v>
          </cell>
        </row>
        <row r="13677">
          <cell r="A13677">
            <v>43182</v>
          </cell>
        </row>
        <row r="13678">
          <cell r="A13678">
            <v>43301</v>
          </cell>
        </row>
        <row r="13679">
          <cell r="A13679">
            <v>43321</v>
          </cell>
        </row>
        <row r="13680">
          <cell r="A13680">
            <v>43888</v>
          </cell>
        </row>
        <row r="13681">
          <cell r="A13681">
            <v>43906</v>
          </cell>
        </row>
        <row r="13682">
          <cell r="A13682">
            <v>43446</v>
          </cell>
        </row>
        <row r="13683">
          <cell r="A13683">
            <v>43759</v>
          </cell>
        </row>
        <row r="13684">
          <cell r="A13684">
            <v>43244</v>
          </cell>
        </row>
        <row r="13685">
          <cell r="A13685">
            <v>43830</v>
          </cell>
        </row>
        <row r="13686">
          <cell r="A13686">
            <v>43608</v>
          </cell>
        </row>
        <row r="13687">
          <cell r="A13687">
            <v>43418</v>
          </cell>
        </row>
        <row r="13688">
          <cell r="A13688">
            <v>43265</v>
          </cell>
        </row>
        <row r="13689">
          <cell r="A13689">
            <v>43327</v>
          </cell>
        </row>
        <row r="13690">
          <cell r="A13690">
            <v>43415</v>
          </cell>
        </row>
        <row r="13691">
          <cell r="A13691">
            <v>43619</v>
          </cell>
        </row>
        <row r="13692">
          <cell r="A13692">
            <v>43508</v>
          </cell>
        </row>
        <row r="13693">
          <cell r="A13693">
            <v>43683</v>
          </cell>
        </row>
        <row r="13694">
          <cell r="A13694">
            <v>43738</v>
          </cell>
        </row>
        <row r="13695">
          <cell r="A13695">
            <v>43736</v>
          </cell>
        </row>
        <row r="13696">
          <cell r="A13696">
            <v>43173</v>
          </cell>
        </row>
        <row r="13697">
          <cell r="A13697">
            <v>43141</v>
          </cell>
        </row>
        <row r="13698">
          <cell r="A13698">
            <v>43829</v>
          </cell>
        </row>
        <row r="13699">
          <cell r="A13699">
            <v>43607</v>
          </cell>
        </row>
        <row r="13700">
          <cell r="A13700">
            <v>43509</v>
          </cell>
        </row>
        <row r="13701">
          <cell r="A13701">
            <v>43642</v>
          </cell>
        </row>
        <row r="13702">
          <cell r="A13702">
            <v>43549</v>
          </cell>
        </row>
        <row r="13703">
          <cell r="A13703">
            <v>43212</v>
          </cell>
        </row>
        <row r="13704">
          <cell r="A13704">
            <v>43405</v>
          </cell>
        </row>
        <row r="13705">
          <cell r="A13705">
            <v>43465</v>
          </cell>
        </row>
        <row r="13706">
          <cell r="A13706">
            <v>43900</v>
          </cell>
        </row>
        <row r="13707">
          <cell r="A13707">
            <v>43472</v>
          </cell>
        </row>
        <row r="13708">
          <cell r="A13708">
            <v>43565</v>
          </cell>
        </row>
        <row r="13709">
          <cell r="A13709">
            <v>43560</v>
          </cell>
        </row>
        <row r="13710">
          <cell r="A13710">
            <v>43813</v>
          </cell>
        </row>
        <row r="13711">
          <cell r="A13711">
            <v>43308</v>
          </cell>
        </row>
        <row r="13712">
          <cell r="A13712">
            <v>43143</v>
          </cell>
        </row>
        <row r="13713">
          <cell r="A13713">
            <v>43108</v>
          </cell>
        </row>
        <row r="13714">
          <cell r="A13714">
            <v>43356</v>
          </cell>
        </row>
        <row r="13715">
          <cell r="A13715">
            <v>43145</v>
          </cell>
        </row>
        <row r="13716">
          <cell r="A13716">
            <v>43749</v>
          </cell>
        </row>
        <row r="13717">
          <cell r="A13717">
            <v>43293</v>
          </cell>
        </row>
        <row r="13718">
          <cell r="A13718">
            <v>43105</v>
          </cell>
        </row>
        <row r="13719">
          <cell r="A13719">
            <v>43826</v>
          </cell>
        </row>
        <row r="13720">
          <cell r="A13720">
            <v>43767</v>
          </cell>
        </row>
        <row r="13721">
          <cell r="A13721">
            <v>43560</v>
          </cell>
        </row>
        <row r="13722">
          <cell r="A13722">
            <v>43888</v>
          </cell>
        </row>
        <row r="13723">
          <cell r="A13723">
            <v>43237</v>
          </cell>
        </row>
        <row r="13724">
          <cell r="A13724">
            <v>43234</v>
          </cell>
        </row>
        <row r="13725">
          <cell r="A13725">
            <v>43667</v>
          </cell>
        </row>
        <row r="13726">
          <cell r="A13726">
            <v>43504</v>
          </cell>
        </row>
        <row r="13727">
          <cell r="A13727">
            <v>43265</v>
          </cell>
        </row>
        <row r="13728">
          <cell r="A13728">
            <v>43610</v>
          </cell>
        </row>
        <row r="13729">
          <cell r="A13729">
            <v>43135</v>
          </cell>
        </row>
        <row r="13730">
          <cell r="A13730">
            <v>43648</v>
          </cell>
        </row>
        <row r="13731">
          <cell r="A13731">
            <v>43223</v>
          </cell>
        </row>
        <row r="13732">
          <cell r="A13732">
            <v>43512</v>
          </cell>
        </row>
        <row r="13733">
          <cell r="A13733">
            <v>43212</v>
          </cell>
        </row>
        <row r="13734">
          <cell r="A13734">
            <v>43122</v>
          </cell>
        </row>
        <row r="13735">
          <cell r="A13735">
            <v>43276</v>
          </cell>
        </row>
        <row r="13736">
          <cell r="A13736">
            <v>43737</v>
          </cell>
        </row>
        <row r="13737">
          <cell r="A13737">
            <v>43429</v>
          </cell>
        </row>
        <row r="13738">
          <cell r="A13738">
            <v>43680</v>
          </cell>
        </row>
        <row r="13739">
          <cell r="A13739">
            <v>43556</v>
          </cell>
        </row>
        <row r="13740">
          <cell r="A13740">
            <v>43185</v>
          </cell>
        </row>
        <row r="13741">
          <cell r="A13741">
            <v>43654</v>
          </cell>
        </row>
        <row r="13742">
          <cell r="A13742">
            <v>43788</v>
          </cell>
        </row>
        <row r="13743">
          <cell r="A13743">
            <v>43706</v>
          </cell>
        </row>
        <row r="13744">
          <cell r="A13744">
            <v>43738</v>
          </cell>
        </row>
        <row r="13745">
          <cell r="A13745">
            <v>43762</v>
          </cell>
        </row>
        <row r="13746">
          <cell r="A13746">
            <v>43252</v>
          </cell>
        </row>
        <row r="13747">
          <cell r="A13747">
            <v>43888</v>
          </cell>
        </row>
        <row r="13748">
          <cell r="A13748">
            <v>43499</v>
          </cell>
        </row>
        <row r="13749">
          <cell r="A13749">
            <v>43166</v>
          </cell>
        </row>
        <row r="13750">
          <cell r="A13750">
            <v>43435</v>
          </cell>
        </row>
        <row r="13751">
          <cell r="A13751">
            <v>43315</v>
          </cell>
        </row>
        <row r="13752">
          <cell r="A13752">
            <v>43362</v>
          </cell>
        </row>
        <row r="13753">
          <cell r="A13753">
            <v>43582</v>
          </cell>
        </row>
        <row r="13754">
          <cell r="A13754">
            <v>43398</v>
          </cell>
        </row>
        <row r="13755">
          <cell r="A13755">
            <v>43754</v>
          </cell>
        </row>
        <row r="13756">
          <cell r="A13756">
            <v>43570</v>
          </cell>
        </row>
        <row r="13757">
          <cell r="A13757">
            <v>43278</v>
          </cell>
        </row>
        <row r="13758">
          <cell r="A13758">
            <v>43420</v>
          </cell>
        </row>
        <row r="13759">
          <cell r="A13759">
            <v>43822</v>
          </cell>
        </row>
        <row r="13760">
          <cell r="A13760">
            <v>43745</v>
          </cell>
        </row>
        <row r="13761">
          <cell r="A13761">
            <v>43273</v>
          </cell>
        </row>
        <row r="13762">
          <cell r="A13762">
            <v>43890</v>
          </cell>
        </row>
        <row r="13763">
          <cell r="A13763">
            <v>43729</v>
          </cell>
        </row>
        <row r="13764">
          <cell r="A13764">
            <v>43777</v>
          </cell>
        </row>
        <row r="13765">
          <cell r="A13765">
            <v>43353</v>
          </cell>
        </row>
        <row r="13766">
          <cell r="A13766">
            <v>43377</v>
          </cell>
        </row>
        <row r="13767">
          <cell r="A13767">
            <v>43407</v>
          </cell>
        </row>
        <row r="13768">
          <cell r="A13768">
            <v>43396</v>
          </cell>
        </row>
        <row r="13769">
          <cell r="A13769">
            <v>43222</v>
          </cell>
        </row>
        <row r="13770">
          <cell r="A13770">
            <v>43201</v>
          </cell>
        </row>
        <row r="13771">
          <cell r="A13771">
            <v>43885</v>
          </cell>
        </row>
        <row r="13772">
          <cell r="A13772">
            <v>43374</v>
          </cell>
        </row>
        <row r="13773">
          <cell r="A13773">
            <v>43456</v>
          </cell>
        </row>
        <row r="13774">
          <cell r="A13774">
            <v>43672</v>
          </cell>
        </row>
        <row r="13775">
          <cell r="A13775">
            <v>43739</v>
          </cell>
        </row>
        <row r="13776">
          <cell r="A13776">
            <v>43527</v>
          </cell>
        </row>
        <row r="13777">
          <cell r="A13777">
            <v>43881</v>
          </cell>
        </row>
        <row r="13778">
          <cell r="A13778">
            <v>43558</v>
          </cell>
        </row>
        <row r="13779">
          <cell r="A13779">
            <v>43157</v>
          </cell>
        </row>
        <row r="13780">
          <cell r="A13780">
            <v>43724</v>
          </cell>
        </row>
        <row r="13781">
          <cell r="A13781">
            <v>43385</v>
          </cell>
        </row>
        <row r="13782">
          <cell r="A13782">
            <v>43613</v>
          </cell>
        </row>
        <row r="13783">
          <cell r="A13783">
            <v>43154</v>
          </cell>
        </row>
        <row r="13784">
          <cell r="A13784">
            <v>43748</v>
          </cell>
        </row>
        <row r="13785">
          <cell r="A13785">
            <v>43302</v>
          </cell>
        </row>
        <row r="13786">
          <cell r="A13786">
            <v>43707</v>
          </cell>
        </row>
        <row r="13787">
          <cell r="A13787">
            <v>43247</v>
          </cell>
        </row>
        <row r="13788">
          <cell r="A13788">
            <v>43292</v>
          </cell>
        </row>
        <row r="13789">
          <cell r="A13789">
            <v>43788</v>
          </cell>
        </row>
        <row r="13790">
          <cell r="A13790">
            <v>43252</v>
          </cell>
        </row>
        <row r="13791">
          <cell r="A13791">
            <v>43555</v>
          </cell>
        </row>
        <row r="13792">
          <cell r="A13792">
            <v>43665</v>
          </cell>
        </row>
        <row r="13793">
          <cell r="A13793">
            <v>43609</v>
          </cell>
        </row>
        <row r="13794">
          <cell r="A13794">
            <v>43518</v>
          </cell>
        </row>
        <row r="13795">
          <cell r="A13795">
            <v>43617</v>
          </cell>
        </row>
        <row r="13796">
          <cell r="A13796">
            <v>43355</v>
          </cell>
        </row>
        <row r="13797">
          <cell r="A13797">
            <v>43393</v>
          </cell>
        </row>
        <row r="13798">
          <cell r="A13798">
            <v>43847</v>
          </cell>
        </row>
        <row r="13799">
          <cell r="A13799">
            <v>43699</v>
          </cell>
        </row>
        <row r="13800">
          <cell r="A13800">
            <v>43775</v>
          </cell>
        </row>
        <row r="13801">
          <cell r="A13801">
            <v>43515</v>
          </cell>
        </row>
        <row r="13802">
          <cell r="A13802">
            <v>43818</v>
          </cell>
        </row>
        <row r="13803">
          <cell r="A13803">
            <v>43195</v>
          </cell>
        </row>
        <row r="13804">
          <cell r="A13804">
            <v>43727</v>
          </cell>
        </row>
        <row r="13805">
          <cell r="A13805">
            <v>43203</v>
          </cell>
        </row>
        <row r="13806">
          <cell r="A13806">
            <v>43587</v>
          </cell>
        </row>
        <row r="13807">
          <cell r="A13807">
            <v>43118</v>
          </cell>
        </row>
        <row r="13808">
          <cell r="A13808">
            <v>43618</v>
          </cell>
        </row>
        <row r="13809">
          <cell r="A13809">
            <v>43607</v>
          </cell>
        </row>
        <row r="13810">
          <cell r="A13810">
            <v>43557</v>
          </cell>
        </row>
        <row r="13811">
          <cell r="A13811">
            <v>43244</v>
          </cell>
        </row>
        <row r="13812">
          <cell r="A13812">
            <v>43264</v>
          </cell>
        </row>
        <row r="13813">
          <cell r="A13813">
            <v>43304</v>
          </cell>
        </row>
        <row r="13814">
          <cell r="A13814">
            <v>43558</v>
          </cell>
        </row>
        <row r="13815">
          <cell r="A13815">
            <v>43515</v>
          </cell>
        </row>
        <row r="13816">
          <cell r="A13816">
            <v>43222</v>
          </cell>
        </row>
        <row r="13817">
          <cell r="A13817">
            <v>43613</v>
          </cell>
        </row>
        <row r="13818">
          <cell r="A13818">
            <v>43629</v>
          </cell>
        </row>
        <row r="13819">
          <cell r="A13819">
            <v>43695</v>
          </cell>
        </row>
        <row r="13820">
          <cell r="A13820">
            <v>43831</v>
          </cell>
        </row>
        <row r="13821">
          <cell r="A13821">
            <v>43477</v>
          </cell>
        </row>
        <row r="13822">
          <cell r="A13822">
            <v>43204</v>
          </cell>
        </row>
        <row r="13823">
          <cell r="A13823">
            <v>43730</v>
          </cell>
        </row>
        <row r="13824">
          <cell r="A13824">
            <v>43442</v>
          </cell>
        </row>
        <row r="13825">
          <cell r="A13825">
            <v>43494</v>
          </cell>
        </row>
        <row r="13826">
          <cell r="A13826">
            <v>43745</v>
          </cell>
        </row>
        <row r="13827">
          <cell r="A13827">
            <v>43738</v>
          </cell>
        </row>
        <row r="13828">
          <cell r="A13828">
            <v>43749</v>
          </cell>
        </row>
        <row r="13829">
          <cell r="A13829">
            <v>43609</v>
          </cell>
        </row>
        <row r="13830">
          <cell r="A13830">
            <v>43598</v>
          </cell>
        </row>
        <row r="13831">
          <cell r="A13831">
            <v>43123</v>
          </cell>
        </row>
        <row r="13832">
          <cell r="A13832">
            <v>43611</v>
          </cell>
        </row>
        <row r="13833">
          <cell r="A13833">
            <v>43453</v>
          </cell>
        </row>
        <row r="13834">
          <cell r="A13834">
            <v>43698</v>
          </cell>
        </row>
        <row r="13835">
          <cell r="A13835">
            <v>43709</v>
          </cell>
        </row>
        <row r="13836">
          <cell r="A13836">
            <v>43747</v>
          </cell>
        </row>
        <row r="13837">
          <cell r="A13837">
            <v>43600</v>
          </cell>
        </row>
        <row r="13838">
          <cell r="A13838">
            <v>43500</v>
          </cell>
        </row>
        <row r="13839">
          <cell r="A13839">
            <v>43462</v>
          </cell>
        </row>
        <row r="13840">
          <cell r="A13840">
            <v>43675</v>
          </cell>
        </row>
        <row r="13841">
          <cell r="A13841">
            <v>43914</v>
          </cell>
        </row>
        <row r="13842">
          <cell r="A13842">
            <v>43330</v>
          </cell>
        </row>
        <row r="13843">
          <cell r="A13843">
            <v>43622</v>
          </cell>
        </row>
        <row r="13844">
          <cell r="A13844">
            <v>43112</v>
          </cell>
        </row>
        <row r="13845">
          <cell r="A13845">
            <v>43512</v>
          </cell>
        </row>
        <row r="13846">
          <cell r="A13846">
            <v>43911</v>
          </cell>
        </row>
        <row r="13847">
          <cell r="A13847">
            <v>43173</v>
          </cell>
        </row>
        <row r="13848">
          <cell r="A13848">
            <v>43240</v>
          </cell>
        </row>
        <row r="13849">
          <cell r="A13849">
            <v>43744</v>
          </cell>
        </row>
        <row r="13850">
          <cell r="A13850">
            <v>43113</v>
          </cell>
        </row>
        <row r="13851">
          <cell r="A13851">
            <v>43597</v>
          </cell>
        </row>
        <row r="13852">
          <cell r="A13852">
            <v>43366</v>
          </cell>
        </row>
        <row r="13853">
          <cell r="A13853">
            <v>43152</v>
          </cell>
        </row>
        <row r="13854">
          <cell r="A13854">
            <v>43369</v>
          </cell>
        </row>
        <row r="13855">
          <cell r="A13855">
            <v>43564</v>
          </cell>
        </row>
        <row r="13856">
          <cell r="A13856">
            <v>43512</v>
          </cell>
        </row>
        <row r="13857">
          <cell r="A13857">
            <v>43550</v>
          </cell>
        </row>
        <row r="13858">
          <cell r="A13858">
            <v>43644</v>
          </cell>
        </row>
        <row r="13859">
          <cell r="A13859">
            <v>43872</v>
          </cell>
        </row>
        <row r="13860">
          <cell r="A13860">
            <v>43506</v>
          </cell>
        </row>
        <row r="13861">
          <cell r="A13861">
            <v>43133</v>
          </cell>
        </row>
        <row r="13862">
          <cell r="A13862">
            <v>43246</v>
          </cell>
        </row>
        <row r="13863">
          <cell r="A13863">
            <v>43868</v>
          </cell>
        </row>
        <row r="13864">
          <cell r="A13864">
            <v>43505</v>
          </cell>
        </row>
        <row r="13865">
          <cell r="A13865">
            <v>43756</v>
          </cell>
        </row>
        <row r="13866">
          <cell r="A13866">
            <v>43550</v>
          </cell>
        </row>
        <row r="13867">
          <cell r="A13867">
            <v>43553</v>
          </cell>
        </row>
        <row r="13868">
          <cell r="A13868">
            <v>43658</v>
          </cell>
        </row>
        <row r="13869">
          <cell r="A13869">
            <v>43260</v>
          </cell>
        </row>
        <row r="13870">
          <cell r="A13870">
            <v>43499</v>
          </cell>
        </row>
        <row r="13871">
          <cell r="A13871">
            <v>43762</v>
          </cell>
        </row>
        <row r="13872">
          <cell r="A13872">
            <v>43790</v>
          </cell>
        </row>
        <row r="13873">
          <cell r="A13873">
            <v>43906</v>
          </cell>
        </row>
        <row r="13874">
          <cell r="A13874">
            <v>43538</v>
          </cell>
        </row>
        <row r="13875">
          <cell r="A13875">
            <v>43225</v>
          </cell>
        </row>
        <row r="13876">
          <cell r="A13876">
            <v>43661</v>
          </cell>
        </row>
        <row r="13877">
          <cell r="A13877">
            <v>43838</v>
          </cell>
        </row>
        <row r="13878">
          <cell r="A13878">
            <v>43187</v>
          </cell>
        </row>
        <row r="13879">
          <cell r="A13879">
            <v>43876</v>
          </cell>
        </row>
        <row r="13880">
          <cell r="A13880">
            <v>43697</v>
          </cell>
        </row>
        <row r="13881">
          <cell r="A13881">
            <v>43751</v>
          </cell>
        </row>
        <row r="13882">
          <cell r="A13882">
            <v>43221</v>
          </cell>
        </row>
        <row r="13883">
          <cell r="A13883">
            <v>43193</v>
          </cell>
        </row>
        <row r="13884">
          <cell r="A13884">
            <v>43385</v>
          </cell>
        </row>
        <row r="13885">
          <cell r="A13885">
            <v>43819</v>
          </cell>
        </row>
        <row r="13886">
          <cell r="A13886">
            <v>43722</v>
          </cell>
        </row>
        <row r="13887">
          <cell r="A13887">
            <v>43815</v>
          </cell>
        </row>
        <row r="13888">
          <cell r="A13888">
            <v>43865</v>
          </cell>
        </row>
        <row r="13889">
          <cell r="A13889">
            <v>43333</v>
          </cell>
        </row>
        <row r="13890">
          <cell r="A13890">
            <v>43441</v>
          </cell>
        </row>
        <row r="13891">
          <cell r="A13891">
            <v>43297</v>
          </cell>
        </row>
        <row r="13892">
          <cell r="A13892">
            <v>43833</v>
          </cell>
        </row>
        <row r="13893">
          <cell r="A13893">
            <v>43487</v>
          </cell>
        </row>
        <row r="13894">
          <cell r="A13894">
            <v>43131</v>
          </cell>
        </row>
        <row r="13895">
          <cell r="A13895">
            <v>43205</v>
          </cell>
        </row>
        <row r="13896">
          <cell r="A13896">
            <v>43326</v>
          </cell>
        </row>
        <row r="13897">
          <cell r="A13897">
            <v>43482</v>
          </cell>
        </row>
        <row r="13898">
          <cell r="A13898">
            <v>43527</v>
          </cell>
        </row>
        <row r="13899">
          <cell r="A13899">
            <v>43181</v>
          </cell>
        </row>
        <row r="13900">
          <cell r="A13900">
            <v>43603</v>
          </cell>
        </row>
        <row r="13901">
          <cell r="A13901">
            <v>43903</v>
          </cell>
        </row>
        <row r="13902">
          <cell r="A13902">
            <v>43769</v>
          </cell>
        </row>
        <row r="13903">
          <cell r="A13903">
            <v>43194</v>
          </cell>
        </row>
        <row r="13904">
          <cell r="A13904">
            <v>43704</v>
          </cell>
        </row>
        <row r="13905">
          <cell r="A13905">
            <v>43822</v>
          </cell>
        </row>
        <row r="13906">
          <cell r="A13906">
            <v>43234</v>
          </cell>
        </row>
        <row r="13907">
          <cell r="A13907">
            <v>43367</v>
          </cell>
        </row>
        <row r="13908">
          <cell r="A13908">
            <v>43781</v>
          </cell>
        </row>
        <row r="13909">
          <cell r="A13909">
            <v>43221</v>
          </cell>
        </row>
        <row r="13910">
          <cell r="A13910">
            <v>43805</v>
          </cell>
        </row>
        <row r="13911">
          <cell r="A13911">
            <v>43871</v>
          </cell>
        </row>
        <row r="13912">
          <cell r="A13912">
            <v>43324</v>
          </cell>
        </row>
        <row r="13913">
          <cell r="A13913">
            <v>43640</v>
          </cell>
        </row>
        <row r="13914">
          <cell r="A13914">
            <v>43302</v>
          </cell>
        </row>
        <row r="13915">
          <cell r="A13915">
            <v>43606</v>
          </cell>
        </row>
        <row r="13916">
          <cell r="A13916">
            <v>43852</v>
          </cell>
        </row>
        <row r="13917">
          <cell r="A13917">
            <v>43646</v>
          </cell>
        </row>
        <row r="13918">
          <cell r="A13918">
            <v>43736</v>
          </cell>
        </row>
        <row r="13919">
          <cell r="A13919">
            <v>43527</v>
          </cell>
        </row>
        <row r="13920">
          <cell r="A13920">
            <v>43344</v>
          </cell>
        </row>
        <row r="13921">
          <cell r="A13921">
            <v>43169</v>
          </cell>
        </row>
        <row r="13922">
          <cell r="A13922">
            <v>43526</v>
          </cell>
        </row>
        <row r="13923">
          <cell r="A13923">
            <v>43123</v>
          </cell>
        </row>
        <row r="13924">
          <cell r="A13924">
            <v>43785</v>
          </cell>
        </row>
        <row r="13925">
          <cell r="A13925">
            <v>43519</v>
          </cell>
        </row>
        <row r="13926">
          <cell r="A13926">
            <v>43776</v>
          </cell>
        </row>
        <row r="13927">
          <cell r="A13927">
            <v>43775</v>
          </cell>
        </row>
        <row r="13928">
          <cell r="A13928">
            <v>43112</v>
          </cell>
        </row>
        <row r="13929">
          <cell r="A13929">
            <v>43191</v>
          </cell>
        </row>
        <row r="13930">
          <cell r="A13930">
            <v>43616</v>
          </cell>
        </row>
        <row r="13931">
          <cell r="A13931">
            <v>43454</v>
          </cell>
        </row>
        <row r="13932">
          <cell r="A13932">
            <v>43812</v>
          </cell>
        </row>
        <row r="13933">
          <cell r="A13933">
            <v>43203</v>
          </cell>
        </row>
        <row r="13934">
          <cell r="A13934">
            <v>43455</v>
          </cell>
        </row>
        <row r="13935">
          <cell r="A13935">
            <v>43536</v>
          </cell>
        </row>
        <row r="13936">
          <cell r="A13936">
            <v>43385</v>
          </cell>
        </row>
        <row r="13937">
          <cell r="A13937">
            <v>43237</v>
          </cell>
        </row>
        <row r="13938">
          <cell r="A13938">
            <v>43896</v>
          </cell>
        </row>
        <row r="13939">
          <cell r="A13939">
            <v>43842</v>
          </cell>
        </row>
        <row r="13940">
          <cell r="A13940">
            <v>43508</v>
          </cell>
        </row>
        <row r="13941">
          <cell r="A13941">
            <v>43304</v>
          </cell>
        </row>
        <row r="13942">
          <cell r="A13942">
            <v>43354</v>
          </cell>
        </row>
        <row r="13943">
          <cell r="A13943">
            <v>43507</v>
          </cell>
        </row>
        <row r="13944">
          <cell r="A13944">
            <v>43885</v>
          </cell>
        </row>
        <row r="13945">
          <cell r="A13945">
            <v>43293</v>
          </cell>
        </row>
        <row r="13946">
          <cell r="A13946">
            <v>43712</v>
          </cell>
        </row>
        <row r="13947">
          <cell r="A13947">
            <v>43427</v>
          </cell>
        </row>
        <row r="13948">
          <cell r="A13948">
            <v>43889</v>
          </cell>
        </row>
        <row r="13949">
          <cell r="A13949">
            <v>43299</v>
          </cell>
        </row>
        <row r="13950">
          <cell r="A13950">
            <v>43509</v>
          </cell>
        </row>
        <row r="13951">
          <cell r="A13951">
            <v>43216</v>
          </cell>
        </row>
        <row r="13952">
          <cell r="A13952">
            <v>43517</v>
          </cell>
        </row>
        <row r="13953">
          <cell r="A13953">
            <v>43559</v>
          </cell>
        </row>
        <row r="13954">
          <cell r="A13954">
            <v>43571</v>
          </cell>
        </row>
        <row r="13955">
          <cell r="A13955">
            <v>43382</v>
          </cell>
        </row>
        <row r="13956">
          <cell r="A13956">
            <v>43203</v>
          </cell>
        </row>
        <row r="13957">
          <cell r="A13957">
            <v>43884</v>
          </cell>
        </row>
        <row r="13958">
          <cell r="A13958">
            <v>43477</v>
          </cell>
        </row>
        <row r="13959">
          <cell r="A13959">
            <v>43646</v>
          </cell>
        </row>
        <row r="13960">
          <cell r="A13960">
            <v>43132</v>
          </cell>
        </row>
        <row r="13961">
          <cell r="A13961">
            <v>43349</v>
          </cell>
        </row>
        <row r="13962">
          <cell r="A13962">
            <v>43154</v>
          </cell>
        </row>
        <row r="13963">
          <cell r="A13963">
            <v>43857</v>
          </cell>
        </row>
        <row r="13964">
          <cell r="A13964">
            <v>43900</v>
          </cell>
        </row>
        <row r="13965">
          <cell r="A13965">
            <v>43339</v>
          </cell>
        </row>
        <row r="13966">
          <cell r="A13966">
            <v>43464</v>
          </cell>
        </row>
        <row r="13967">
          <cell r="A13967">
            <v>43475</v>
          </cell>
        </row>
        <row r="13968">
          <cell r="A13968">
            <v>43381</v>
          </cell>
        </row>
        <row r="13969">
          <cell r="A13969">
            <v>43260</v>
          </cell>
        </row>
        <row r="13970">
          <cell r="A13970">
            <v>43881</v>
          </cell>
        </row>
        <row r="13971">
          <cell r="A13971">
            <v>43527</v>
          </cell>
        </row>
        <row r="13972">
          <cell r="A13972">
            <v>43871</v>
          </cell>
        </row>
        <row r="13973">
          <cell r="A13973">
            <v>43903</v>
          </cell>
        </row>
        <row r="13974">
          <cell r="A13974">
            <v>43919</v>
          </cell>
        </row>
        <row r="13975">
          <cell r="A13975">
            <v>43509</v>
          </cell>
        </row>
        <row r="13976">
          <cell r="A13976">
            <v>43824</v>
          </cell>
        </row>
        <row r="13977">
          <cell r="A13977">
            <v>43234</v>
          </cell>
        </row>
        <row r="13978">
          <cell r="A13978">
            <v>43458</v>
          </cell>
        </row>
        <row r="13979">
          <cell r="A13979">
            <v>43696</v>
          </cell>
        </row>
        <row r="13980">
          <cell r="A13980">
            <v>43566</v>
          </cell>
        </row>
        <row r="13981">
          <cell r="A13981">
            <v>43343</v>
          </cell>
        </row>
        <row r="13982">
          <cell r="A13982">
            <v>43271</v>
          </cell>
        </row>
        <row r="13983">
          <cell r="A13983">
            <v>43474</v>
          </cell>
        </row>
        <row r="13984">
          <cell r="A13984">
            <v>43348</v>
          </cell>
        </row>
        <row r="13985">
          <cell r="A13985">
            <v>43868</v>
          </cell>
        </row>
        <row r="13986">
          <cell r="A13986">
            <v>43399</v>
          </cell>
        </row>
        <row r="13987">
          <cell r="A13987">
            <v>43470</v>
          </cell>
        </row>
        <row r="13988">
          <cell r="A13988">
            <v>43207</v>
          </cell>
        </row>
        <row r="13989">
          <cell r="A13989">
            <v>43509</v>
          </cell>
        </row>
        <row r="13990">
          <cell r="A13990">
            <v>43515</v>
          </cell>
        </row>
        <row r="13991">
          <cell r="A13991">
            <v>43702</v>
          </cell>
        </row>
        <row r="13992">
          <cell r="A13992">
            <v>43382</v>
          </cell>
        </row>
        <row r="13993">
          <cell r="A13993">
            <v>43721</v>
          </cell>
        </row>
        <row r="13994">
          <cell r="A13994">
            <v>43676</v>
          </cell>
        </row>
        <row r="13995">
          <cell r="A13995">
            <v>43351</v>
          </cell>
        </row>
        <row r="13996">
          <cell r="A13996">
            <v>43220</v>
          </cell>
        </row>
        <row r="13997">
          <cell r="A13997">
            <v>43475</v>
          </cell>
        </row>
        <row r="13998">
          <cell r="A13998">
            <v>43842</v>
          </cell>
        </row>
        <row r="13999">
          <cell r="A13999">
            <v>43595</v>
          </cell>
        </row>
        <row r="14000">
          <cell r="A14000">
            <v>43690</v>
          </cell>
        </row>
        <row r="14001">
          <cell r="A14001">
            <v>43426</v>
          </cell>
        </row>
        <row r="14002">
          <cell r="A14002">
            <v>43719</v>
          </cell>
        </row>
        <row r="14003">
          <cell r="A14003">
            <v>43763</v>
          </cell>
        </row>
        <row r="14004">
          <cell r="A14004">
            <v>43511</v>
          </cell>
        </row>
        <row r="14005">
          <cell r="A14005">
            <v>43591</v>
          </cell>
        </row>
        <row r="14006">
          <cell r="A14006">
            <v>43395</v>
          </cell>
        </row>
        <row r="14007">
          <cell r="A14007">
            <v>43458</v>
          </cell>
        </row>
        <row r="14008">
          <cell r="A14008">
            <v>43670</v>
          </cell>
        </row>
        <row r="14009">
          <cell r="A14009">
            <v>43322</v>
          </cell>
        </row>
        <row r="14010">
          <cell r="A14010">
            <v>43665</v>
          </cell>
        </row>
        <row r="14011">
          <cell r="A14011">
            <v>43389</v>
          </cell>
        </row>
        <row r="14012">
          <cell r="A14012">
            <v>43357</v>
          </cell>
        </row>
        <row r="14013">
          <cell r="A14013">
            <v>43364</v>
          </cell>
        </row>
        <row r="14014">
          <cell r="A14014">
            <v>43544</v>
          </cell>
        </row>
        <row r="14015">
          <cell r="A14015">
            <v>43440</v>
          </cell>
        </row>
        <row r="14016">
          <cell r="A14016">
            <v>43379</v>
          </cell>
        </row>
        <row r="14017">
          <cell r="A14017">
            <v>43338</v>
          </cell>
        </row>
        <row r="14018">
          <cell r="A14018">
            <v>43114</v>
          </cell>
        </row>
        <row r="14019">
          <cell r="A14019">
            <v>43626</v>
          </cell>
        </row>
        <row r="14020">
          <cell r="A14020">
            <v>43782</v>
          </cell>
        </row>
        <row r="14021">
          <cell r="A14021">
            <v>43338</v>
          </cell>
        </row>
        <row r="14022">
          <cell r="A14022">
            <v>43431</v>
          </cell>
        </row>
        <row r="14023">
          <cell r="A14023">
            <v>43770</v>
          </cell>
        </row>
        <row r="14024">
          <cell r="A14024">
            <v>43747</v>
          </cell>
        </row>
        <row r="14025">
          <cell r="A14025">
            <v>43523</v>
          </cell>
        </row>
        <row r="14026">
          <cell r="A14026">
            <v>43778</v>
          </cell>
        </row>
        <row r="14027">
          <cell r="A14027">
            <v>43457</v>
          </cell>
        </row>
        <row r="14028">
          <cell r="A14028">
            <v>43737</v>
          </cell>
        </row>
        <row r="14029">
          <cell r="A14029">
            <v>43603</v>
          </cell>
        </row>
        <row r="14030">
          <cell r="A14030">
            <v>43330</v>
          </cell>
        </row>
        <row r="14031">
          <cell r="A14031">
            <v>43170</v>
          </cell>
        </row>
        <row r="14032">
          <cell r="A14032">
            <v>43320</v>
          </cell>
        </row>
        <row r="14033">
          <cell r="A14033">
            <v>43813</v>
          </cell>
        </row>
        <row r="14034">
          <cell r="A14034">
            <v>43877</v>
          </cell>
        </row>
        <row r="14035">
          <cell r="A14035">
            <v>43682</v>
          </cell>
        </row>
        <row r="14036">
          <cell r="A14036">
            <v>43640</v>
          </cell>
        </row>
        <row r="14037">
          <cell r="A14037">
            <v>43411</v>
          </cell>
        </row>
        <row r="14038">
          <cell r="A14038">
            <v>43731</v>
          </cell>
        </row>
        <row r="14039">
          <cell r="A14039">
            <v>43738</v>
          </cell>
        </row>
        <row r="14040">
          <cell r="A14040">
            <v>43427</v>
          </cell>
        </row>
        <row r="14041">
          <cell r="A14041">
            <v>43838</v>
          </cell>
        </row>
        <row r="14042">
          <cell r="A14042">
            <v>43444</v>
          </cell>
        </row>
        <row r="14043">
          <cell r="A14043">
            <v>43171</v>
          </cell>
        </row>
        <row r="14044">
          <cell r="A14044">
            <v>43203</v>
          </cell>
        </row>
        <row r="14045">
          <cell r="A14045">
            <v>43801</v>
          </cell>
        </row>
        <row r="14046">
          <cell r="A14046">
            <v>43874</v>
          </cell>
        </row>
        <row r="14047">
          <cell r="A14047">
            <v>43117</v>
          </cell>
        </row>
        <row r="14048">
          <cell r="A14048">
            <v>43533</v>
          </cell>
        </row>
        <row r="14049">
          <cell r="A14049">
            <v>43742</v>
          </cell>
        </row>
        <row r="14050">
          <cell r="A14050">
            <v>43744</v>
          </cell>
        </row>
        <row r="14051">
          <cell r="A14051">
            <v>43463</v>
          </cell>
        </row>
        <row r="14052">
          <cell r="A14052">
            <v>43695</v>
          </cell>
        </row>
        <row r="14053">
          <cell r="A14053">
            <v>43292</v>
          </cell>
        </row>
        <row r="14054">
          <cell r="A14054">
            <v>43315</v>
          </cell>
        </row>
        <row r="14055">
          <cell r="A14055">
            <v>43366</v>
          </cell>
        </row>
        <row r="14056">
          <cell r="A14056">
            <v>43198</v>
          </cell>
        </row>
        <row r="14057">
          <cell r="A14057">
            <v>43451</v>
          </cell>
        </row>
        <row r="14058">
          <cell r="A14058">
            <v>43333</v>
          </cell>
        </row>
        <row r="14059">
          <cell r="A14059">
            <v>43330</v>
          </cell>
        </row>
        <row r="14060">
          <cell r="A14060">
            <v>43683</v>
          </cell>
        </row>
        <row r="14061">
          <cell r="A14061">
            <v>43434</v>
          </cell>
        </row>
        <row r="14062">
          <cell r="A14062">
            <v>43589</v>
          </cell>
        </row>
        <row r="14063">
          <cell r="A14063">
            <v>43204</v>
          </cell>
        </row>
        <row r="14064">
          <cell r="A14064">
            <v>43603</v>
          </cell>
        </row>
        <row r="14065">
          <cell r="A14065">
            <v>43758</v>
          </cell>
        </row>
        <row r="14066">
          <cell r="A14066">
            <v>43124</v>
          </cell>
        </row>
        <row r="14067">
          <cell r="A14067">
            <v>43871</v>
          </cell>
        </row>
        <row r="14068">
          <cell r="A14068">
            <v>43753</v>
          </cell>
        </row>
        <row r="14069">
          <cell r="A14069">
            <v>43761</v>
          </cell>
        </row>
        <row r="14070">
          <cell r="A14070">
            <v>43573</v>
          </cell>
        </row>
        <row r="14071">
          <cell r="A14071">
            <v>43697</v>
          </cell>
        </row>
        <row r="14072">
          <cell r="A14072">
            <v>43507</v>
          </cell>
        </row>
        <row r="14073">
          <cell r="A14073">
            <v>43890</v>
          </cell>
        </row>
        <row r="14074">
          <cell r="A14074">
            <v>43117</v>
          </cell>
        </row>
        <row r="14075">
          <cell r="A14075">
            <v>43482</v>
          </cell>
        </row>
        <row r="14076">
          <cell r="A14076">
            <v>43608</v>
          </cell>
        </row>
        <row r="14077">
          <cell r="A14077">
            <v>43365</v>
          </cell>
        </row>
        <row r="14078">
          <cell r="A14078">
            <v>43434</v>
          </cell>
        </row>
        <row r="14079">
          <cell r="A14079">
            <v>43549</v>
          </cell>
        </row>
        <row r="14080">
          <cell r="A14080">
            <v>43843</v>
          </cell>
        </row>
        <row r="14081">
          <cell r="A14081">
            <v>43258</v>
          </cell>
        </row>
        <row r="14082">
          <cell r="A14082">
            <v>43436</v>
          </cell>
        </row>
        <row r="14083">
          <cell r="A14083">
            <v>43353</v>
          </cell>
        </row>
        <row r="14084">
          <cell r="A14084">
            <v>43223</v>
          </cell>
        </row>
        <row r="14085">
          <cell r="A14085">
            <v>43735</v>
          </cell>
        </row>
        <row r="14086">
          <cell r="A14086">
            <v>43685</v>
          </cell>
        </row>
        <row r="14087">
          <cell r="A14087">
            <v>43660</v>
          </cell>
        </row>
        <row r="14088">
          <cell r="A14088">
            <v>43515</v>
          </cell>
        </row>
        <row r="14089">
          <cell r="A14089">
            <v>43701</v>
          </cell>
        </row>
        <row r="14090">
          <cell r="A14090">
            <v>43320</v>
          </cell>
        </row>
        <row r="14091">
          <cell r="A14091">
            <v>43164</v>
          </cell>
        </row>
        <row r="14092">
          <cell r="A14092">
            <v>43502</v>
          </cell>
        </row>
        <row r="14093">
          <cell r="A14093">
            <v>43855</v>
          </cell>
        </row>
        <row r="14094">
          <cell r="A14094">
            <v>43109</v>
          </cell>
        </row>
        <row r="14095">
          <cell r="A14095">
            <v>43200</v>
          </cell>
        </row>
        <row r="14096">
          <cell r="A14096">
            <v>43826</v>
          </cell>
        </row>
        <row r="14097">
          <cell r="A14097">
            <v>43901</v>
          </cell>
        </row>
        <row r="14098">
          <cell r="A14098">
            <v>43907</v>
          </cell>
        </row>
        <row r="14099">
          <cell r="A14099">
            <v>43675</v>
          </cell>
        </row>
        <row r="14100">
          <cell r="A14100">
            <v>43255</v>
          </cell>
        </row>
        <row r="14101">
          <cell r="A14101">
            <v>43852</v>
          </cell>
        </row>
        <row r="14102">
          <cell r="A14102">
            <v>43736</v>
          </cell>
        </row>
        <row r="14103">
          <cell r="A14103">
            <v>43534</v>
          </cell>
        </row>
        <row r="14104">
          <cell r="A14104">
            <v>43310</v>
          </cell>
        </row>
        <row r="14105">
          <cell r="A14105">
            <v>43600</v>
          </cell>
        </row>
        <row r="14106">
          <cell r="A14106">
            <v>43460</v>
          </cell>
        </row>
        <row r="14107">
          <cell r="A14107">
            <v>43808</v>
          </cell>
        </row>
        <row r="14108">
          <cell r="A14108">
            <v>43855</v>
          </cell>
        </row>
        <row r="14109">
          <cell r="A14109">
            <v>43446</v>
          </cell>
        </row>
        <row r="14110">
          <cell r="A14110">
            <v>43754</v>
          </cell>
        </row>
        <row r="14111">
          <cell r="A14111">
            <v>43446</v>
          </cell>
        </row>
        <row r="14112">
          <cell r="A14112">
            <v>43717</v>
          </cell>
        </row>
        <row r="14113">
          <cell r="A14113">
            <v>43116</v>
          </cell>
        </row>
        <row r="14114">
          <cell r="A14114">
            <v>43920</v>
          </cell>
        </row>
        <row r="14115">
          <cell r="A14115">
            <v>43692</v>
          </cell>
        </row>
        <row r="14116">
          <cell r="A14116">
            <v>43413</v>
          </cell>
        </row>
        <row r="14117">
          <cell r="A14117">
            <v>43731</v>
          </cell>
        </row>
        <row r="14118">
          <cell r="A14118">
            <v>43460</v>
          </cell>
        </row>
        <row r="14119">
          <cell r="A14119">
            <v>43848</v>
          </cell>
        </row>
        <row r="14120">
          <cell r="A14120">
            <v>43377</v>
          </cell>
        </row>
        <row r="14121">
          <cell r="A14121">
            <v>43300</v>
          </cell>
        </row>
        <row r="14122">
          <cell r="A14122">
            <v>43838</v>
          </cell>
        </row>
        <row r="14123">
          <cell r="A14123">
            <v>43694</v>
          </cell>
        </row>
        <row r="14124">
          <cell r="A14124">
            <v>43804</v>
          </cell>
        </row>
        <row r="14125">
          <cell r="A14125">
            <v>43480</v>
          </cell>
        </row>
        <row r="14126">
          <cell r="A14126">
            <v>43411</v>
          </cell>
        </row>
        <row r="14127">
          <cell r="A14127">
            <v>43630</v>
          </cell>
        </row>
        <row r="14128">
          <cell r="A14128">
            <v>43695</v>
          </cell>
        </row>
        <row r="14129">
          <cell r="A14129">
            <v>43191</v>
          </cell>
        </row>
        <row r="14130">
          <cell r="A14130">
            <v>43633</v>
          </cell>
        </row>
        <row r="14131">
          <cell r="A14131">
            <v>43346</v>
          </cell>
        </row>
        <row r="14132">
          <cell r="A14132">
            <v>43209</v>
          </cell>
        </row>
        <row r="14133">
          <cell r="A14133">
            <v>43468</v>
          </cell>
        </row>
        <row r="14134">
          <cell r="A14134">
            <v>43566</v>
          </cell>
        </row>
        <row r="14135">
          <cell r="A14135">
            <v>43512</v>
          </cell>
        </row>
        <row r="14136">
          <cell r="A14136">
            <v>43602</v>
          </cell>
        </row>
        <row r="14137">
          <cell r="A14137">
            <v>43792</v>
          </cell>
        </row>
        <row r="14138">
          <cell r="A14138">
            <v>43231</v>
          </cell>
        </row>
        <row r="14139">
          <cell r="A14139">
            <v>43701</v>
          </cell>
        </row>
        <row r="14140">
          <cell r="A14140">
            <v>43245</v>
          </cell>
        </row>
        <row r="14141">
          <cell r="A14141">
            <v>43609</v>
          </cell>
        </row>
        <row r="14142">
          <cell r="A14142">
            <v>43917</v>
          </cell>
        </row>
        <row r="14143">
          <cell r="A14143">
            <v>43775</v>
          </cell>
        </row>
        <row r="14144">
          <cell r="A14144">
            <v>43388</v>
          </cell>
        </row>
        <row r="14145">
          <cell r="A14145">
            <v>43249</v>
          </cell>
        </row>
        <row r="14146">
          <cell r="A14146">
            <v>43261</v>
          </cell>
        </row>
        <row r="14147">
          <cell r="A14147">
            <v>43182</v>
          </cell>
        </row>
        <row r="14148">
          <cell r="A14148">
            <v>43634</v>
          </cell>
        </row>
        <row r="14149">
          <cell r="A14149">
            <v>43669</v>
          </cell>
        </row>
        <row r="14150">
          <cell r="A14150">
            <v>43740</v>
          </cell>
        </row>
        <row r="14151">
          <cell r="A14151">
            <v>43321</v>
          </cell>
        </row>
        <row r="14152">
          <cell r="A14152">
            <v>43461</v>
          </cell>
        </row>
        <row r="14153">
          <cell r="A14153">
            <v>43634</v>
          </cell>
        </row>
        <row r="14154">
          <cell r="A14154">
            <v>43260</v>
          </cell>
        </row>
        <row r="14155">
          <cell r="A14155">
            <v>43744</v>
          </cell>
        </row>
        <row r="14156">
          <cell r="A14156">
            <v>43745</v>
          </cell>
        </row>
        <row r="14157">
          <cell r="A14157">
            <v>43801</v>
          </cell>
        </row>
        <row r="14158">
          <cell r="A14158">
            <v>43608</v>
          </cell>
        </row>
        <row r="14159">
          <cell r="A14159">
            <v>43901</v>
          </cell>
        </row>
        <row r="14160">
          <cell r="A14160">
            <v>43826</v>
          </cell>
        </row>
        <row r="14161">
          <cell r="A14161">
            <v>43404</v>
          </cell>
        </row>
        <row r="14162">
          <cell r="A14162">
            <v>43877</v>
          </cell>
        </row>
        <row r="14163">
          <cell r="A14163">
            <v>43643</v>
          </cell>
        </row>
        <row r="14164">
          <cell r="A14164">
            <v>43538</v>
          </cell>
        </row>
        <row r="14165">
          <cell r="A14165">
            <v>43794</v>
          </cell>
        </row>
        <row r="14166">
          <cell r="A14166">
            <v>43103</v>
          </cell>
        </row>
        <row r="14167">
          <cell r="A14167">
            <v>43701</v>
          </cell>
        </row>
        <row r="14168">
          <cell r="A14168">
            <v>43558</v>
          </cell>
        </row>
        <row r="14169">
          <cell r="A14169">
            <v>43163</v>
          </cell>
        </row>
        <row r="14170">
          <cell r="A14170">
            <v>43875</v>
          </cell>
        </row>
        <row r="14171">
          <cell r="A14171">
            <v>43805</v>
          </cell>
        </row>
        <row r="14172">
          <cell r="A14172">
            <v>43191</v>
          </cell>
        </row>
        <row r="14173">
          <cell r="A14173">
            <v>43833</v>
          </cell>
        </row>
        <row r="14174">
          <cell r="A14174">
            <v>43579</v>
          </cell>
        </row>
        <row r="14175">
          <cell r="A14175">
            <v>43191</v>
          </cell>
        </row>
        <row r="14176">
          <cell r="A14176">
            <v>43539</v>
          </cell>
        </row>
        <row r="14177">
          <cell r="A14177">
            <v>43455</v>
          </cell>
        </row>
        <row r="14178">
          <cell r="A14178">
            <v>43299</v>
          </cell>
        </row>
        <row r="14179">
          <cell r="A14179">
            <v>43372</v>
          </cell>
        </row>
        <row r="14180">
          <cell r="A14180">
            <v>43352</v>
          </cell>
        </row>
        <row r="14181">
          <cell r="A14181">
            <v>43209</v>
          </cell>
        </row>
        <row r="14182">
          <cell r="A14182">
            <v>43107</v>
          </cell>
        </row>
        <row r="14183">
          <cell r="A14183">
            <v>43453</v>
          </cell>
        </row>
        <row r="14184">
          <cell r="A14184">
            <v>43146</v>
          </cell>
        </row>
        <row r="14185">
          <cell r="A14185">
            <v>43459</v>
          </cell>
        </row>
        <row r="14186">
          <cell r="A14186">
            <v>43360</v>
          </cell>
        </row>
        <row r="14187">
          <cell r="A14187">
            <v>43798</v>
          </cell>
        </row>
        <row r="14188">
          <cell r="A14188">
            <v>43173</v>
          </cell>
        </row>
        <row r="14189">
          <cell r="A14189">
            <v>43633</v>
          </cell>
        </row>
        <row r="14190">
          <cell r="A14190">
            <v>43794</v>
          </cell>
        </row>
        <row r="14191">
          <cell r="A14191">
            <v>43679</v>
          </cell>
        </row>
        <row r="14192">
          <cell r="A14192">
            <v>43580</v>
          </cell>
        </row>
        <row r="14193">
          <cell r="A14193">
            <v>43775</v>
          </cell>
        </row>
        <row r="14194">
          <cell r="A14194">
            <v>43508</v>
          </cell>
        </row>
        <row r="14195">
          <cell r="A14195">
            <v>43610</v>
          </cell>
        </row>
        <row r="14196">
          <cell r="A14196">
            <v>43251</v>
          </cell>
        </row>
        <row r="14197">
          <cell r="A14197">
            <v>43896</v>
          </cell>
        </row>
        <row r="14198">
          <cell r="A14198">
            <v>43376</v>
          </cell>
        </row>
        <row r="14199">
          <cell r="A14199">
            <v>43902</v>
          </cell>
        </row>
        <row r="14200">
          <cell r="A14200">
            <v>43679</v>
          </cell>
        </row>
        <row r="14201">
          <cell r="A14201">
            <v>43611</v>
          </cell>
        </row>
        <row r="14202">
          <cell r="A14202">
            <v>43811</v>
          </cell>
        </row>
        <row r="14203">
          <cell r="A14203">
            <v>43460</v>
          </cell>
        </row>
        <row r="14204">
          <cell r="A14204">
            <v>43471</v>
          </cell>
        </row>
        <row r="14205">
          <cell r="A14205">
            <v>43584</v>
          </cell>
        </row>
        <row r="14206">
          <cell r="A14206">
            <v>43277</v>
          </cell>
        </row>
        <row r="14207">
          <cell r="A14207">
            <v>43808</v>
          </cell>
        </row>
        <row r="14208">
          <cell r="A14208">
            <v>43497</v>
          </cell>
        </row>
        <row r="14209">
          <cell r="A14209">
            <v>43657</v>
          </cell>
        </row>
        <row r="14210">
          <cell r="A14210">
            <v>43315</v>
          </cell>
        </row>
        <row r="14211">
          <cell r="A14211">
            <v>43532</v>
          </cell>
        </row>
        <row r="14212">
          <cell r="A14212">
            <v>43779</v>
          </cell>
        </row>
        <row r="14213">
          <cell r="A14213">
            <v>43466</v>
          </cell>
        </row>
        <row r="14214">
          <cell r="A14214">
            <v>43276</v>
          </cell>
        </row>
        <row r="14215">
          <cell r="A14215">
            <v>43687</v>
          </cell>
        </row>
        <row r="14216">
          <cell r="A14216">
            <v>43772</v>
          </cell>
        </row>
        <row r="14217">
          <cell r="A14217">
            <v>43172</v>
          </cell>
        </row>
        <row r="14218">
          <cell r="A14218">
            <v>43500</v>
          </cell>
        </row>
        <row r="14219">
          <cell r="A14219">
            <v>43494</v>
          </cell>
        </row>
        <row r="14220">
          <cell r="A14220">
            <v>43271</v>
          </cell>
        </row>
        <row r="14221">
          <cell r="A14221">
            <v>43819</v>
          </cell>
        </row>
        <row r="14222">
          <cell r="A14222">
            <v>43541</v>
          </cell>
        </row>
        <row r="14223">
          <cell r="A14223">
            <v>43921</v>
          </cell>
        </row>
        <row r="14224">
          <cell r="A14224">
            <v>43592</v>
          </cell>
        </row>
        <row r="14225">
          <cell r="A14225">
            <v>43539</v>
          </cell>
        </row>
        <row r="14226">
          <cell r="A14226">
            <v>43661</v>
          </cell>
        </row>
        <row r="14227">
          <cell r="A14227">
            <v>43255</v>
          </cell>
        </row>
        <row r="14228">
          <cell r="A14228">
            <v>43696</v>
          </cell>
        </row>
        <row r="14229">
          <cell r="A14229">
            <v>43218</v>
          </cell>
        </row>
        <row r="14230">
          <cell r="A14230">
            <v>43642</v>
          </cell>
        </row>
        <row r="14231">
          <cell r="A14231">
            <v>43313</v>
          </cell>
        </row>
        <row r="14232">
          <cell r="A14232">
            <v>43550</v>
          </cell>
        </row>
        <row r="14233">
          <cell r="A14233">
            <v>43376</v>
          </cell>
        </row>
        <row r="14234">
          <cell r="A14234">
            <v>43449</v>
          </cell>
        </row>
        <row r="14235">
          <cell r="A14235">
            <v>43769</v>
          </cell>
        </row>
        <row r="14236">
          <cell r="A14236">
            <v>43365</v>
          </cell>
        </row>
        <row r="14237">
          <cell r="A14237">
            <v>43616</v>
          </cell>
        </row>
        <row r="14238">
          <cell r="A14238">
            <v>43204</v>
          </cell>
        </row>
        <row r="14239">
          <cell r="A14239">
            <v>43884</v>
          </cell>
        </row>
        <row r="14240">
          <cell r="A14240">
            <v>43525</v>
          </cell>
        </row>
        <row r="14241">
          <cell r="A14241">
            <v>43854</v>
          </cell>
        </row>
        <row r="14242">
          <cell r="A14242">
            <v>43787</v>
          </cell>
        </row>
        <row r="14243">
          <cell r="A14243">
            <v>43344</v>
          </cell>
        </row>
        <row r="14244">
          <cell r="A14244">
            <v>43244</v>
          </cell>
        </row>
        <row r="14245">
          <cell r="A14245">
            <v>43231</v>
          </cell>
        </row>
        <row r="14246">
          <cell r="A14246">
            <v>43290</v>
          </cell>
        </row>
        <row r="14247">
          <cell r="A14247">
            <v>43594</v>
          </cell>
        </row>
        <row r="14248">
          <cell r="A14248">
            <v>43673</v>
          </cell>
        </row>
        <row r="14249">
          <cell r="A14249">
            <v>43699</v>
          </cell>
        </row>
        <row r="14250">
          <cell r="A14250">
            <v>43774</v>
          </cell>
        </row>
        <row r="14251">
          <cell r="A14251">
            <v>43874</v>
          </cell>
        </row>
        <row r="14252">
          <cell r="A14252">
            <v>43713</v>
          </cell>
        </row>
        <row r="14253">
          <cell r="A14253">
            <v>43421</v>
          </cell>
        </row>
        <row r="14254">
          <cell r="A14254">
            <v>43867</v>
          </cell>
        </row>
        <row r="14255">
          <cell r="A14255">
            <v>43744</v>
          </cell>
        </row>
        <row r="14256">
          <cell r="A14256">
            <v>43195</v>
          </cell>
        </row>
        <row r="14257">
          <cell r="A14257">
            <v>43682</v>
          </cell>
        </row>
        <row r="14258">
          <cell r="A14258">
            <v>43477</v>
          </cell>
        </row>
        <row r="14259">
          <cell r="A14259">
            <v>43583</v>
          </cell>
        </row>
        <row r="14260">
          <cell r="A14260">
            <v>43692</v>
          </cell>
        </row>
        <row r="14261">
          <cell r="A14261">
            <v>43493</v>
          </cell>
        </row>
        <row r="14262">
          <cell r="A14262">
            <v>43361</v>
          </cell>
        </row>
        <row r="14263">
          <cell r="A14263">
            <v>43416</v>
          </cell>
        </row>
        <row r="14264">
          <cell r="A14264">
            <v>43585</v>
          </cell>
        </row>
        <row r="14265">
          <cell r="A14265">
            <v>43117</v>
          </cell>
        </row>
        <row r="14266">
          <cell r="A14266">
            <v>43799</v>
          </cell>
        </row>
        <row r="14267">
          <cell r="A14267">
            <v>43510</v>
          </cell>
        </row>
        <row r="14268">
          <cell r="A14268">
            <v>43564</v>
          </cell>
        </row>
        <row r="14269">
          <cell r="A14269">
            <v>43811</v>
          </cell>
        </row>
        <row r="14270">
          <cell r="A14270">
            <v>43454</v>
          </cell>
        </row>
        <row r="14271">
          <cell r="A14271">
            <v>43847</v>
          </cell>
        </row>
        <row r="14272">
          <cell r="A14272">
            <v>43645</v>
          </cell>
        </row>
        <row r="14273">
          <cell r="A14273">
            <v>43433</v>
          </cell>
        </row>
        <row r="14274">
          <cell r="A14274">
            <v>43466</v>
          </cell>
        </row>
        <row r="14275">
          <cell r="A14275">
            <v>43331</v>
          </cell>
        </row>
        <row r="14276">
          <cell r="A14276">
            <v>43466</v>
          </cell>
        </row>
        <row r="14277">
          <cell r="A14277">
            <v>43747</v>
          </cell>
        </row>
        <row r="14278">
          <cell r="A14278">
            <v>43841</v>
          </cell>
        </row>
        <row r="14279">
          <cell r="A14279">
            <v>43632</v>
          </cell>
        </row>
        <row r="14280">
          <cell r="A14280">
            <v>43393</v>
          </cell>
        </row>
        <row r="14281">
          <cell r="A14281">
            <v>43363</v>
          </cell>
        </row>
        <row r="14282">
          <cell r="A14282">
            <v>43850</v>
          </cell>
        </row>
        <row r="14283">
          <cell r="A14283">
            <v>43182</v>
          </cell>
        </row>
        <row r="14284">
          <cell r="A14284">
            <v>43612</v>
          </cell>
        </row>
        <row r="14285">
          <cell r="A14285">
            <v>43824</v>
          </cell>
        </row>
        <row r="14286">
          <cell r="A14286">
            <v>43227</v>
          </cell>
        </row>
        <row r="14287">
          <cell r="A14287">
            <v>43707</v>
          </cell>
        </row>
        <row r="14288">
          <cell r="A14288">
            <v>43830</v>
          </cell>
        </row>
        <row r="14289">
          <cell r="A14289">
            <v>43293</v>
          </cell>
        </row>
        <row r="14290">
          <cell r="A14290">
            <v>43277</v>
          </cell>
        </row>
        <row r="14291">
          <cell r="A14291">
            <v>43635</v>
          </cell>
        </row>
        <row r="14292">
          <cell r="A14292">
            <v>43605</v>
          </cell>
        </row>
        <row r="14293">
          <cell r="A14293">
            <v>43323</v>
          </cell>
        </row>
        <row r="14294">
          <cell r="A14294">
            <v>43290</v>
          </cell>
        </row>
        <row r="14295">
          <cell r="A14295">
            <v>43534</v>
          </cell>
        </row>
        <row r="14296">
          <cell r="A14296">
            <v>43403</v>
          </cell>
        </row>
        <row r="14297">
          <cell r="A14297">
            <v>43688</v>
          </cell>
        </row>
        <row r="14298">
          <cell r="A14298">
            <v>43611</v>
          </cell>
        </row>
        <row r="14299">
          <cell r="A14299">
            <v>43356</v>
          </cell>
        </row>
        <row r="14300">
          <cell r="A14300">
            <v>43827</v>
          </cell>
        </row>
        <row r="14301">
          <cell r="A14301">
            <v>43525</v>
          </cell>
        </row>
        <row r="14302">
          <cell r="A14302">
            <v>43765</v>
          </cell>
        </row>
        <row r="14303">
          <cell r="A14303">
            <v>43450</v>
          </cell>
        </row>
        <row r="14304">
          <cell r="A14304">
            <v>43208</v>
          </cell>
        </row>
        <row r="14305">
          <cell r="A14305">
            <v>43149</v>
          </cell>
        </row>
        <row r="14306">
          <cell r="A14306">
            <v>43622</v>
          </cell>
        </row>
        <row r="14307">
          <cell r="A14307">
            <v>43710</v>
          </cell>
        </row>
        <row r="14308">
          <cell r="A14308">
            <v>43169</v>
          </cell>
        </row>
        <row r="14309">
          <cell r="A14309">
            <v>43569</v>
          </cell>
        </row>
        <row r="14310">
          <cell r="A14310">
            <v>43187</v>
          </cell>
        </row>
        <row r="14311">
          <cell r="A14311">
            <v>43378</v>
          </cell>
        </row>
        <row r="14312">
          <cell r="A14312">
            <v>43333</v>
          </cell>
        </row>
        <row r="14313">
          <cell r="A14313">
            <v>43778</v>
          </cell>
        </row>
        <row r="14314">
          <cell r="A14314">
            <v>43139</v>
          </cell>
        </row>
        <row r="14315">
          <cell r="A14315">
            <v>43288</v>
          </cell>
        </row>
        <row r="14316">
          <cell r="A14316">
            <v>43145</v>
          </cell>
        </row>
        <row r="14317">
          <cell r="A14317">
            <v>43674</v>
          </cell>
        </row>
        <row r="14318">
          <cell r="A14318">
            <v>43488</v>
          </cell>
        </row>
        <row r="14319">
          <cell r="A14319">
            <v>43256</v>
          </cell>
        </row>
        <row r="14320">
          <cell r="A14320">
            <v>43713</v>
          </cell>
        </row>
        <row r="14321">
          <cell r="A14321">
            <v>43561</v>
          </cell>
        </row>
        <row r="14322">
          <cell r="A14322">
            <v>43626</v>
          </cell>
        </row>
        <row r="14323">
          <cell r="A14323">
            <v>43677</v>
          </cell>
        </row>
        <row r="14324">
          <cell r="A14324">
            <v>43608</v>
          </cell>
        </row>
        <row r="14325">
          <cell r="A14325">
            <v>43779</v>
          </cell>
        </row>
        <row r="14326">
          <cell r="A14326">
            <v>43257</v>
          </cell>
        </row>
        <row r="14327">
          <cell r="A14327">
            <v>43839</v>
          </cell>
        </row>
        <row r="14328">
          <cell r="A14328">
            <v>43438</v>
          </cell>
        </row>
        <row r="14329">
          <cell r="A14329">
            <v>43479</v>
          </cell>
        </row>
        <row r="14330">
          <cell r="A14330">
            <v>43697</v>
          </cell>
        </row>
        <row r="14331">
          <cell r="A14331">
            <v>43882</v>
          </cell>
        </row>
        <row r="14332">
          <cell r="A14332">
            <v>43374</v>
          </cell>
        </row>
        <row r="14333">
          <cell r="A14333">
            <v>43304</v>
          </cell>
        </row>
        <row r="14334">
          <cell r="A14334">
            <v>43711</v>
          </cell>
        </row>
        <row r="14335">
          <cell r="A14335">
            <v>43243</v>
          </cell>
        </row>
        <row r="14336">
          <cell r="A14336">
            <v>43129</v>
          </cell>
        </row>
        <row r="14337">
          <cell r="A14337">
            <v>43301</v>
          </cell>
        </row>
        <row r="14338">
          <cell r="A14338">
            <v>43444</v>
          </cell>
        </row>
        <row r="14339">
          <cell r="A14339">
            <v>43695</v>
          </cell>
        </row>
        <row r="14340">
          <cell r="A14340">
            <v>43866</v>
          </cell>
        </row>
        <row r="14341">
          <cell r="A14341">
            <v>43446</v>
          </cell>
        </row>
        <row r="14342">
          <cell r="A14342">
            <v>43885</v>
          </cell>
        </row>
        <row r="14343">
          <cell r="A14343">
            <v>43693</v>
          </cell>
        </row>
        <row r="14344">
          <cell r="A14344">
            <v>43573</v>
          </cell>
        </row>
        <row r="14345">
          <cell r="A14345">
            <v>43322</v>
          </cell>
        </row>
        <row r="14346">
          <cell r="A14346">
            <v>43368</v>
          </cell>
        </row>
        <row r="14347">
          <cell r="A14347">
            <v>43434</v>
          </cell>
        </row>
        <row r="14348">
          <cell r="A14348">
            <v>43572</v>
          </cell>
        </row>
        <row r="14349">
          <cell r="A14349">
            <v>43357</v>
          </cell>
        </row>
        <row r="14350">
          <cell r="A14350">
            <v>43719</v>
          </cell>
        </row>
        <row r="14351">
          <cell r="A14351">
            <v>43142</v>
          </cell>
        </row>
        <row r="14352">
          <cell r="A14352">
            <v>43324</v>
          </cell>
        </row>
        <row r="14353">
          <cell r="A14353">
            <v>43842</v>
          </cell>
        </row>
        <row r="14354">
          <cell r="A14354">
            <v>43195</v>
          </cell>
        </row>
        <row r="14355">
          <cell r="A14355">
            <v>43556</v>
          </cell>
        </row>
        <row r="14356">
          <cell r="A14356">
            <v>43563</v>
          </cell>
        </row>
        <row r="14357">
          <cell r="A14357">
            <v>43251</v>
          </cell>
        </row>
        <row r="14358">
          <cell r="A14358">
            <v>43831</v>
          </cell>
        </row>
        <row r="14359">
          <cell r="A14359">
            <v>43580</v>
          </cell>
        </row>
        <row r="14360">
          <cell r="A14360">
            <v>43512</v>
          </cell>
        </row>
        <row r="14361">
          <cell r="A14361">
            <v>43833</v>
          </cell>
        </row>
        <row r="14362">
          <cell r="A14362">
            <v>43742</v>
          </cell>
        </row>
        <row r="14363">
          <cell r="A14363">
            <v>43102</v>
          </cell>
        </row>
        <row r="14364">
          <cell r="A14364">
            <v>43540</v>
          </cell>
        </row>
        <row r="14365">
          <cell r="A14365">
            <v>43251</v>
          </cell>
        </row>
        <row r="14366">
          <cell r="A14366">
            <v>43804</v>
          </cell>
        </row>
        <row r="14367">
          <cell r="A14367">
            <v>43313</v>
          </cell>
        </row>
        <row r="14368">
          <cell r="A14368">
            <v>43195</v>
          </cell>
        </row>
        <row r="14369">
          <cell r="A14369">
            <v>43811</v>
          </cell>
        </row>
        <row r="14370">
          <cell r="A14370">
            <v>43238</v>
          </cell>
        </row>
        <row r="14371">
          <cell r="A14371">
            <v>43469</v>
          </cell>
        </row>
        <row r="14372">
          <cell r="A14372">
            <v>43245</v>
          </cell>
        </row>
        <row r="14373">
          <cell r="A14373">
            <v>43302</v>
          </cell>
        </row>
        <row r="14374">
          <cell r="A14374">
            <v>43155</v>
          </cell>
        </row>
        <row r="14375">
          <cell r="A14375">
            <v>43322</v>
          </cell>
        </row>
        <row r="14376">
          <cell r="A14376">
            <v>43269</v>
          </cell>
        </row>
        <row r="14377">
          <cell r="A14377">
            <v>43828</v>
          </cell>
        </row>
        <row r="14378">
          <cell r="A14378">
            <v>43406</v>
          </cell>
        </row>
        <row r="14379">
          <cell r="A14379">
            <v>43861</v>
          </cell>
        </row>
        <row r="14380">
          <cell r="A14380">
            <v>43493</v>
          </cell>
        </row>
        <row r="14381">
          <cell r="A14381">
            <v>43691</v>
          </cell>
        </row>
        <row r="14382">
          <cell r="A14382">
            <v>43586</v>
          </cell>
        </row>
        <row r="14383">
          <cell r="A14383">
            <v>43420</v>
          </cell>
        </row>
        <row r="14384">
          <cell r="A14384">
            <v>43682</v>
          </cell>
        </row>
        <row r="14385">
          <cell r="A14385">
            <v>43557</v>
          </cell>
        </row>
        <row r="14386">
          <cell r="A14386">
            <v>43481</v>
          </cell>
        </row>
        <row r="14387">
          <cell r="A14387">
            <v>43459</v>
          </cell>
        </row>
        <row r="14388">
          <cell r="A14388">
            <v>43126</v>
          </cell>
        </row>
        <row r="14389">
          <cell r="A14389">
            <v>43203</v>
          </cell>
        </row>
        <row r="14390">
          <cell r="A14390">
            <v>43435</v>
          </cell>
        </row>
        <row r="14391">
          <cell r="A14391">
            <v>43283</v>
          </cell>
        </row>
        <row r="14392">
          <cell r="A14392">
            <v>43344</v>
          </cell>
        </row>
        <row r="14393">
          <cell r="A14393">
            <v>43800</v>
          </cell>
        </row>
        <row r="14394">
          <cell r="A14394">
            <v>43430</v>
          </cell>
        </row>
        <row r="14395">
          <cell r="A14395">
            <v>43563</v>
          </cell>
        </row>
        <row r="14396">
          <cell r="A14396">
            <v>43327</v>
          </cell>
        </row>
        <row r="14397">
          <cell r="A14397">
            <v>43443</v>
          </cell>
        </row>
        <row r="14398">
          <cell r="A14398">
            <v>43121</v>
          </cell>
        </row>
        <row r="14399">
          <cell r="A14399">
            <v>43526</v>
          </cell>
        </row>
        <row r="14400">
          <cell r="A14400">
            <v>43780</v>
          </cell>
        </row>
        <row r="14401">
          <cell r="A14401">
            <v>43709</v>
          </cell>
        </row>
        <row r="14402">
          <cell r="A14402">
            <v>43140</v>
          </cell>
        </row>
        <row r="14403">
          <cell r="A14403">
            <v>43300</v>
          </cell>
        </row>
        <row r="14404">
          <cell r="A14404">
            <v>43784</v>
          </cell>
        </row>
        <row r="14405">
          <cell r="A14405">
            <v>43559</v>
          </cell>
        </row>
        <row r="14406">
          <cell r="A14406">
            <v>43108</v>
          </cell>
        </row>
        <row r="14407">
          <cell r="A14407">
            <v>43258</v>
          </cell>
        </row>
        <row r="14408">
          <cell r="A14408">
            <v>43526</v>
          </cell>
        </row>
        <row r="14409">
          <cell r="A14409">
            <v>43662</v>
          </cell>
        </row>
        <row r="14410">
          <cell r="A14410">
            <v>43819</v>
          </cell>
        </row>
        <row r="14411">
          <cell r="A14411">
            <v>43415</v>
          </cell>
        </row>
        <row r="14412">
          <cell r="A14412">
            <v>43488</v>
          </cell>
        </row>
        <row r="14413">
          <cell r="A14413">
            <v>43248</v>
          </cell>
        </row>
        <row r="14414">
          <cell r="A14414">
            <v>43622</v>
          </cell>
        </row>
        <row r="14415">
          <cell r="A14415">
            <v>43719</v>
          </cell>
        </row>
        <row r="14416">
          <cell r="A14416">
            <v>43204</v>
          </cell>
        </row>
        <row r="14417">
          <cell r="A14417">
            <v>43218</v>
          </cell>
        </row>
        <row r="14418">
          <cell r="A14418">
            <v>43416</v>
          </cell>
        </row>
        <row r="14419">
          <cell r="A14419">
            <v>43670</v>
          </cell>
        </row>
        <row r="14420">
          <cell r="A14420">
            <v>43620</v>
          </cell>
        </row>
        <row r="14421">
          <cell r="A14421">
            <v>43719</v>
          </cell>
        </row>
        <row r="14422">
          <cell r="A14422">
            <v>43117</v>
          </cell>
        </row>
        <row r="14423">
          <cell r="A14423">
            <v>43552</v>
          </cell>
        </row>
        <row r="14424">
          <cell r="A14424">
            <v>43348</v>
          </cell>
        </row>
        <row r="14425">
          <cell r="A14425">
            <v>43490</v>
          </cell>
        </row>
        <row r="14426">
          <cell r="A14426">
            <v>43445</v>
          </cell>
        </row>
        <row r="14427">
          <cell r="A14427">
            <v>43897</v>
          </cell>
        </row>
        <row r="14428">
          <cell r="A14428">
            <v>43572</v>
          </cell>
        </row>
        <row r="14429">
          <cell r="A14429">
            <v>43609</v>
          </cell>
        </row>
        <row r="14430">
          <cell r="A14430">
            <v>43860</v>
          </cell>
        </row>
        <row r="14431">
          <cell r="A14431">
            <v>43511</v>
          </cell>
        </row>
        <row r="14432">
          <cell r="A14432">
            <v>43264</v>
          </cell>
        </row>
        <row r="14433">
          <cell r="A14433">
            <v>43549</v>
          </cell>
        </row>
        <row r="14434">
          <cell r="A14434">
            <v>43360</v>
          </cell>
        </row>
        <row r="14435">
          <cell r="A14435">
            <v>43398</v>
          </cell>
        </row>
        <row r="14436">
          <cell r="A14436">
            <v>43803</v>
          </cell>
        </row>
        <row r="14437">
          <cell r="A14437">
            <v>43144</v>
          </cell>
        </row>
        <row r="14438">
          <cell r="A14438">
            <v>43268</v>
          </cell>
        </row>
        <row r="14439">
          <cell r="A14439">
            <v>43139</v>
          </cell>
        </row>
        <row r="14440">
          <cell r="A14440">
            <v>43867</v>
          </cell>
        </row>
        <row r="14441">
          <cell r="A14441">
            <v>43237</v>
          </cell>
        </row>
        <row r="14442">
          <cell r="A14442">
            <v>43782</v>
          </cell>
        </row>
        <row r="14443">
          <cell r="A14443">
            <v>43373</v>
          </cell>
        </row>
        <row r="14444">
          <cell r="A14444">
            <v>43278</v>
          </cell>
        </row>
        <row r="14445">
          <cell r="A14445">
            <v>43542</v>
          </cell>
        </row>
        <row r="14446">
          <cell r="A14446">
            <v>43124</v>
          </cell>
        </row>
        <row r="14447">
          <cell r="A14447">
            <v>43254</v>
          </cell>
        </row>
        <row r="14448">
          <cell r="A14448">
            <v>43762</v>
          </cell>
        </row>
        <row r="14449">
          <cell r="A14449">
            <v>43866</v>
          </cell>
        </row>
        <row r="14450">
          <cell r="A14450">
            <v>43791</v>
          </cell>
        </row>
        <row r="14451">
          <cell r="A14451">
            <v>43239</v>
          </cell>
        </row>
        <row r="14452">
          <cell r="A14452">
            <v>43590</v>
          </cell>
        </row>
        <row r="14453">
          <cell r="A14453">
            <v>43821</v>
          </cell>
        </row>
        <row r="14454">
          <cell r="A14454">
            <v>43395</v>
          </cell>
        </row>
        <row r="14455">
          <cell r="A14455">
            <v>43325</v>
          </cell>
        </row>
        <row r="14456">
          <cell r="A14456">
            <v>43834</v>
          </cell>
        </row>
        <row r="14457">
          <cell r="A14457">
            <v>43668</v>
          </cell>
        </row>
        <row r="14458">
          <cell r="A14458">
            <v>43101</v>
          </cell>
        </row>
        <row r="14459">
          <cell r="A14459">
            <v>43260</v>
          </cell>
        </row>
        <row r="14460">
          <cell r="A14460">
            <v>43101</v>
          </cell>
        </row>
        <row r="14461">
          <cell r="A14461">
            <v>43382</v>
          </cell>
        </row>
        <row r="14462">
          <cell r="A14462">
            <v>43403</v>
          </cell>
        </row>
        <row r="14463">
          <cell r="A14463">
            <v>43710</v>
          </cell>
        </row>
        <row r="14464">
          <cell r="A14464">
            <v>43533</v>
          </cell>
        </row>
        <row r="14465">
          <cell r="A14465">
            <v>43762</v>
          </cell>
        </row>
        <row r="14466">
          <cell r="A14466">
            <v>43890</v>
          </cell>
        </row>
        <row r="14467">
          <cell r="A14467">
            <v>43232</v>
          </cell>
        </row>
        <row r="14468">
          <cell r="A14468">
            <v>43212</v>
          </cell>
        </row>
        <row r="14469">
          <cell r="A14469">
            <v>43176</v>
          </cell>
        </row>
        <row r="14470">
          <cell r="A14470">
            <v>43528</v>
          </cell>
        </row>
        <row r="14471">
          <cell r="A14471">
            <v>43792</v>
          </cell>
        </row>
        <row r="14472">
          <cell r="A14472">
            <v>43746</v>
          </cell>
        </row>
        <row r="14473">
          <cell r="A14473">
            <v>43605</v>
          </cell>
        </row>
        <row r="14474">
          <cell r="A14474">
            <v>43564</v>
          </cell>
        </row>
        <row r="14475">
          <cell r="A14475">
            <v>43610</v>
          </cell>
        </row>
        <row r="14476">
          <cell r="A14476">
            <v>43279</v>
          </cell>
        </row>
        <row r="14477">
          <cell r="A14477">
            <v>43576</v>
          </cell>
        </row>
        <row r="14478">
          <cell r="A14478">
            <v>43499</v>
          </cell>
        </row>
        <row r="14479">
          <cell r="A14479">
            <v>43156</v>
          </cell>
        </row>
        <row r="14480">
          <cell r="A14480">
            <v>43660</v>
          </cell>
        </row>
        <row r="14481">
          <cell r="A14481">
            <v>43812</v>
          </cell>
        </row>
        <row r="14482">
          <cell r="A14482">
            <v>43595</v>
          </cell>
        </row>
        <row r="14483">
          <cell r="A14483">
            <v>43468</v>
          </cell>
        </row>
        <row r="14484">
          <cell r="A14484">
            <v>43437</v>
          </cell>
        </row>
        <row r="14485">
          <cell r="A14485">
            <v>43587</v>
          </cell>
        </row>
        <row r="14486">
          <cell r="A14486">
            <v>43152</v>
          </cell>
        </row>
        <row r="14487">
          <cell r="A14487">
            <v>43348</v>
          </cell>
        </row>
        <row r="14488">
          <cell r="A14488">
            <v>43237</v>
          </cell>
        </row>
        <row r="14489">
          <cell r="A14489">
            <v>43429</v>
          </cell>
        </row>
        <row r="14490">
          <cell r="A14490">
            <v>43756</v>
          </cell>
        </row>
        <row r="14491">
          <cell r="A14491">
            <v>43341</v>
          </cell>
        </row>
        <row r="14492">
          <cell r="A14492">
            <v>43121</v>
          </cell>
        </row>
        <row r="14493">
          <cell r="A14493">
            <v>43873</v>
          </cell>
        </row>
        <row r="14494">
          <cell r="A14494">
            <v>43514</v>
          </cell>
        </row>
        <row r="14495">
          <cell r="A14495">
            <v>43396</v>
          </cell>
        </row>
        <row r="14496">
          <cell r="A14496">
            <v>43349</v>
          </cell>
        </row>
        <row r="14497">
          <cell r="A14497">
            <v>43132</v>
          </cell>
        </row>
        <row r="14498">
          <cell r="A14498">
            <v>43898</v>
          </cell>
        </row>
        <row r="14499">
          <cell r="A14499">
            <v>43145</v>
          </cell>
        </row>
        <row r="14500">
          <cell r="A14500">
            <v>43336</v>
          </cell>
        </row>
        <row r="14501">
          <cell r="A14501">
            <v>43450</v>
          </cell>
        </row>
        <row r="14502">
          <cell r="A14502">
            <v>43831</v>
          </cell>
        </row>
        <row r="14503">
          <cell r="A14503">
            <v>43495</v>
          </cell>
        </row>
        <row r="14504">
          <cell r="A14504">
            <v>43102</v>
          </cell>
        </row>
        <row r="14505">
          <cell r="A14505">
            <v>43625</v>
          </cell>
        </row>
        <row r="14506">
          <cell r="A14506">
            <v>43390</v>
          </cell>
        </row>
        <row r="14507">
          <cell r="A14507">
            <v>43185</v>
          </cell>
        </row>
        <row r="14508">
          <cell r="A14508">
            <v>43167</v>
          </cell>
        </row>
        <row r="14509">
          <cell r="A14509">
            <v>43896</v>
          </cell>
        </row>
        <row r="14510">
          <cell r="A14510">
            <v>43610</v>
          </cell>
        </row>
        <row r="14511">
          <cell r="A14511">
            <v>43246</v>
          </cell>
        </row>
        <row r="14512">
          <cell r="A14512">
            <v>43815</v>
          </cell>
        </row>
        <row r="14513">
          <cell r="A14513">
            <v>43557</v>
          </cell>
        </row>
        <row r="14514">
          <cell r="A14514">
            <v>43562</v>
          </cell>
        </row>
        <row r="14515">
          <cell r="A14515">
            <v>43241</v>
          </cell>
        </row>
        <row r="14516">
          <cell r="A14516">
            <v>43281</v>
          </cell>
        </row>
        <row r="14517">
          <cell r="A14517">
            <v>43166</v>
          </cell>
        </row>
        <row r="14518">
          <cell r="A14518">
            <v>43233</v>
          </cell>
        </row>
        <row r="14519">
          <cell r="A14519">
            <v>43285</v>
          </cell>
        </row>
        <row r="14520">
          <cell r="A14520">
            <v>43486</v>
          </cell>
        </row>
        <row r="14521">
          <cell r="A14521">
            <v>43310</v>
          </cell>
        </row>
        <row r="14522">
          <cell r="A14522">
            <v>43131</v>
          </cell>
        </row>
        <row r="14523">
          <cell r="A14523">
            <v>43626</v>
          </cell>
        </row>
        <row r="14524">
          <cell r="A14524">
            <v>43429</v>
          </cell>
        </row>
        <row r="14525">
          <cell r="A14525">
            <v>43641</v>
          </cell>
        </row>
        <row r="14526">
          <cell r="A14526">
            <v>43552</v>
          </cell>
        </row>
        <row r="14527">
          <cell r="A14527">
            <v>43251</v>
          </cell>
        </row>
        <row r="14528">
          <cell r="A14528">
            <v>43768</v>
          </cell>
        </row>
        <row r="14529">
          <cell r="A14529">
            <v>43909</v>
          </cell>
        </row>
        <row r="14530">
          <cell r="A14530">
            <v>43902</v>
          </cell>
        </row>
        <row r="14531">
          <cell r="A14531">
            <v>43575</v>
          </cell>
        </row>
        <row r="14532">
          <cell r="A14532">
            <v>43633</v>
          </cell>
        </row>
        <row r="14533">
          <cell r="A14533">
            <v>43313</v>
          </cell>
        </row>
        <row r="14534">
          <cell r="A14534">
            <v>43558</v>
          </cell>
        </row>
        <row r="14535">
          <cell r="A14535">
            <v>43456</v>
          </cell>
        </row>
        <row r="14536">
          <cell r="A14536">
            <v>43711</v>
          </cell>
        </row>
        <row r="14537">
          <cell r="A14537">
            <v>43263</v>
          </cell>
        </row>
        <row r="14538">
          <cell r="A14538">
            <v>43703</v>
          </cell>
        </row>
        <row r="14539">
          <cell r="A14539">
            <v>43413</v>
          </cell>
        </row>
        <row r="14540">
          <cell r="A14540">
            <v>43882</v>
          </cell>
        </row>
        <row r="14541">
          <cell r="A14541">
            <v>43917</v>
          </cell>
        </row>
        <row r="14542">
          <cell r="A14542">
            <v>43661</v>
          </cell>
        </row>
        <row r="14543">
          <cell r="A14543">
            <v>43154</v>
          </cell>
        </row>
        <row r="14544">
          <cell r="A14544">
            <v>43835</v>
          </cell>
        </row>
        <row r="14545">
          <cell r="A14545">
            <v>43810</v>
          </cell>
        </row>
        <row r="14546">
          <cell r="A14546">
            <v>43322</v>
          </cell>
        </row>
        <row r="14547">
          <cell r="A14547">
            <v>43838</v>
          </cell>
        </row>
        <row r="14548">
          <cell r="A14548">
            <v>43916</v>
          </cell>
        </row>
        <row r="14549">
          <cell r="A14549">
            <v>43585</v>
          </cell>
        </row>
        <row r="14550">
          <cell r="A14550">
            <v>43292</v>
          </cell>
        </row>
        <row r="14551">
          <cell r="A14551">
            <v>43530</v>
          </cell>
        </row>
        <row r="14552">
          <cell r="A14552">
            <v>43694</v>
          </cell>
        </row>
        <row r="14553">
          <cell r="A14553">
            <v>43393</v>
          </cell>
        </row>
        <row r="14554">
          <cell r="A14554">
            <v>43873</v>
          </cell>
        </row>
        <row r="14555">
          <cell r="A14555">
            <v>43509</v>
          </cell>
        </row>
        <row r="14556">
          <cell r="A14556">
            <v>43878</v>
          </cell>
        </row>
        <row r="14557">
          <cell r="A14557">
            <v>43522</v>
          </cell>
        </row>
        <row r="14558">
          <cell r="A14558">
            <v>43648</v>
          </cell>
        </row>
        <row r="14559">
          <cell r="A14559">
            <v>43457</v>
          </cell>
        </row>
        <row r="14560">
          <cell r="A14560">
            <v>43415</v>
          </cell>
        </row>
        <row r="14561">
          <cell r="A14561">
            <v>43415</v>
          </cell>
        </row>
        <row r="14562">
          <cell r="A14562">
            <v>43571</v>
          </cell>
        </row>
        <row r="14563">
          <cell r="A14563">
            <v>43582</v>
          </cell>
        </row>
        <row r="14564">
          <cell r="A14564">
            <v>43862</v>
          </cell>
        </row>
        <row r="14565">
          <cell r="A14565">
            <v>43781</v>
          </cell>
        </row>
        <row r="14566">
          <cell r="A14566">
            <v>43891</v>
          </cell>
        </row>
        <row r="14567">
          <cell r="A14567">
            <v>43634</v>
          </cell>
        </row>
        <row r="14568">
          <cell r="A14568">
            <v>43214</v>
          </cell>
        </row>
        <row r="14569">
          <cell r="A14569">
            <v>43396</v>
          </cell>
        </row>
        <row r="14570">
          <cell r="A14570">
            <v>43437</v>
          </cell>
        </row>
        <row r="14571">
          <cell r="A14571">
            <v>43690</v>
          </cell>
        </row>
        <row r="14572">
          <cell r="A14572">
            <v>43915</v>
          </cell>
        </row>
        <row r="14573">
          <cell r="A14573">
            <v>43511</v>
          </cell>
        </row>
        <row r="14574">
          <cell r="A14574">
            <v>43559</v>
          </cell>
        </row>
        <row r="14575">
          <cell r="A14575">
            <v>43689</v>
          </cell>
        </row>
        <row r="14576">
          <cell r="A14576">
            <v>43710</v>
          </cell>
        </row>
        <row r="14577">
          <cell r="A14577">
            <v>43441</v>
          </cell>
        </row>
        <row r="14578">
          <cell r="A14578">
            <v>43624</v>
          </cell>
        </row>
        <row r="14579">
          <cell r="A14579">
            <v>43327</v>
          </cell>
        </row>
        <row r="14580">
          <cell r="A14580">
            <v>43252</v>
          </cell>
        </row>
        <row r="14581">
          <cell r="A14581">
            <v>43920</v>
          </cell>
        </row>
        <row r="14582">
          <cell r="A14582">
            <v>43660</v>
          </cell>
        </row>
        <row r="14583">
          <cell r="A14583">
            <v>43781</v>
          </cell>
        </row>
        <row r="14584">
          <cell r="A14584">
            <v>43605</v>
          </cell>
        </row>
        <row r="14585">
          <cell r="A14585">
            <v>43812</v>
          </cell>
        </row>
        <row r="14586">
          <cell r="A14586">
            <v>43803</v>
          </cell>
        </row>
        <row r="14587">
          <cell r="A14587">
            <v>43398</v>
          </cell>
        </row>
        <row r="14588">
          <cell r="A14588">
            <v>43646</v>
          </cell>
        </row>
        <row r="14589">
          <cell r="A14589">
            <v>43687</v>
          </cell>
        </row>
        <row r="14590">
          <cell r="A14590">
            <v>43442</v>
          </cell>
        </row>
        <row r="14591">
          <cell r="A14591">
            <v>43829</v>
          </cell>
        </row>
        <row r="14592">
          <cell r="A14592">
            <v>43583</v>
          </cell>
        </row>
        <row r="14593">
          <cell r="A14593">
            <v>43121</v>
          </cell>
        </row>
        <row r="14594">
          <cell r="A14594">
            <v>43233</v>
          </cell>
        </row>
        <row r="14595">
          <cell r="A14595">
            <v>43532</v>
          </cell>
        </row>
        <row r="14596">
          <cell r="A14596">
            <v>43583</v>
          </cell>
        </row>
        <row r="14597">
          <cell r="A14597">
            <v>43470</v>
          </cell>
        </row>
        <row r="14598">
          <cell r="A14598">
            <v>43314</v>
          </cell>
        </row>
        <row r="14599">
          <cell r="A14599">
            <v>43460</v>
          </cell>
        </row>
        <row r="14600">
          <cell r="A14600">
            <v>43754</v>
          </cell>
        </row>
        <row r="14601">
          <cell r="A14601">
            <v>43360</v>
          </cell>
        </row>
        <row r="14602">
          <cell r="A14602">
            <v>43694</v>
          </cell>
        </row>
        <row r="14603">
          <cell r="A14603">
            <v>43108</v>
          </cell>
        </row>
        <row r="14604">
          <cell r="A14604">
            <v>43707</v>
          </cell>
        </row>
        <row r="14605">
          <cell r="A14605">
            <v>43104</v>
          </cell>
        </row>
        <row r="14606">
          <cell r="A14606">
            <v>43159</v>
          </cell>
        </row>
        <row r="14607">
          <cell r="A14607">
            <v>43870</v>
          </cell>
        </row>
        <row r="14608">
          <cell r="A14608">
            <v>43235</v>
          </cell>
        </row>
        <row r="14609">
          <cell r="A14609">
            <v>43194</v>
          </cell>
        </row>
        <row r="14610">
          <cell r="A14610">
            <v>43290</v>
          </cell>
        </row>
        <row r="14611">
          <cell r="A14611">
            <v>43463</v>
          </cell>
        </row>
        <row r="14612">
          <cell r="A14612">
            <v>43128</v>
          </cell>
        </row>
        <row r="14613">
          <cell r="A14613">
            <v>43442</v>
          </cell>
        </row>
        <row r="14614">
          <cell r="A14614">
            <v>43698</v>
          </cell>
        </row>
        <row r="14615">
          <cell r="A14615">
            <v>43393</v>
          </cell>
        </row>
        <row r="14616">
          <cell r="A14616">
            <v>43465</v>
          </cell>
        </row>
        <row r="14617">
          <cell r="A14617">
            <v>43758</v>
          </cell>
        </row>
        <row r="14618">
          <cell r="A14618">
            <v>43827</v>
          </cell>
        </row>
        <row r="14619">
          <cell r="A14619">
            <v>43388</v>
          </cell>
        </row>
        <row r="14620">
          <cell r="A14620">
            <v>43788</v>
          </cell>
        </row>
        <row r="14621">
          <cell r="A14621">
            <v>43112</v>
          </cell>
        </row>
        <row r="14622">
          <cell r="A14622">
            <v>43823</v>
          </cell>
        </row>
        <row r="14623">
          <cell r="A14623">
            <v>43908</v>
          </cell>
        </row>
        <row r="14624">
          <cell r="A14624">
            <v>43472</v>
          </cell>
        </row>
        <row r="14625">
          <cell r="A14625">
            <v>43296</v>
          </cell>
        </row>
        <row r="14626">
          <cell r="A14626">
            <v>43749</v>
          </cell>
        </row>
        <row r="14627">
          <cell r="A14627">
            <v>43377</v>
          </cell>
        </row>
        <row r="14628">
          <cell r="A14628">
            <v>43534</v>
          </cell>
        </row>
        <row r="14629">
          <cell r="A14629">
            <v>43103</v>
          </cell>
        </row>
        <row r="14630">
          <cell r="A14630">
            <v>43388</v>
          </cell>
        </row>
        <row r="14631">
          <cell r="A14631">
            <v>43126</v>
          </cell>
        </row>
        <row r="14632">
          <cell r="A14632">
            <v>43139</v>
          </cell>
        </row>
        <row r="14633">
          <cell r="A14633">
            <v>43673</v>
          </cell>
        </row>
        <row r="14634">
          <cell r="A14634">
            <v>43577</v>
          </cell>
        </row>
        <row r="14635">
          <cell r="A14635">
            <v>43585</v>
          </cell>
        </row>
        <row r="14636">
          <cell r="A14636">
            <v>43913</v>
          </cell>
        </row>
        <row r="14637">
          <cell r="A14637">
            <v>43361</v>
          </cell>
        </row>
        <row r="14638">
          <cell r="A14638">
            <v>43127</v>
          </cell>
        </row>
        <row r="14639">
          <cell r="A14639">
            <v>43304</v>
          </cell>
        </row>
        <row r="14640">
          <cell r="A14640">
            <v>43829</v>
          </cell>
        </row>
        <row r="14641">
          <cell r="A14641">
            <v>43752</v>
          </cell>
        </row>
        <row r="14642">
          <cell r="A14642">
            <v>43862</v>
          </cell>
        </row>
        <row r="14643">
          <cell r="A14643">
            <v>43837</v>
          </cell>
        </row>
        <row r="14644">
          <cell r="A14644">
            <v>43273</v>
          </cell>
        </row>
        <row r="14645">
          <cell r="A14645">
            <v>43859</v>
          </cell>
        </row>
        <row r="14646">
          <cell r="A14646">
            <v>43894</v>
          </cell>
        </row>
        <row r="14647">
          <cell r="A14647">
            <v>43442</v>
          </cell>
        </row>
        <row r="14648">
          <cell r="A14648">
            <v>43223</v>
          </cell>
        </row>
        <row r="14649">
          <cell r="A14649">
            <v>43202</v>
          </cell>
        </row>
        <row r="14650">
          <cell r="A14650">
            <v>43660</v>
          </cell>
        </row>
        <row r="14651">
          <cell r="A14651">
            <v>43628</v>
          </cell>
        </row>
        <row r="14652">
          <cell r="A14652">
            <v>43469</v>
          </cell>
        </row>
        <row r="14653">
          <cell r="A14653">
            <v>43721</v>
          </cell>
        </row>
        <row r="14654">
          <cell r="A14654">
            <v>43267</v>
          </cell>
        </row>
        <row r="14655">
          <cell r="A14655">
            <v>43299</v>
          </cell>
        </row>
        <row r="14656">
          <cell r="A14656">
            <v>43649</v>
          </cell>
        </row>
        <row r="14657">
          <cell r="A14657">
            <v>43789</v>
          </cell>
        </row>
        <row r="14658">
          <cell r="A14658">
            <v>43322</v>
          </cell>
        </row>
        <row r="14659">
          <cell r="A14659">
            <v>43856</v>
          </cell>
        </row>
        <row r="14660">
          <cell r="A14660">
            <v>43847</v>
          </cell>
        </row>
        <row r="14661">
          <cell r="A14661">
            <v>43758</v>
          </cell>
        </row>
        <row r="14662">
          <cell r="A14662">
            <v>43365</v>
          </cell>
        </row>
        <row r="14663">
          <cell r="A14663">
            <v>43476</v>
          </cell>
        </row>
        <row r="14664">
          <cell r="A14664">
            <v>43443</v>
          </cell>
        </row>
        <row r="14665">
          <cell r="A14665">
            <v>43550</v>
          </cell>
        </row>
        <row r="14666">
          <cell r="A14666">
            <v>43402</v>
          </cell>
        </row>
        <row r="14667">
          <cell r="A14667">
            <v>43755</v>
          </cell>
        </row>
        <row r="14668">
          <cell r="A14668">
            <v>43594</v>
          </cell>
        </row>
        <row r="14669">
          <cell r="A14669">
            <v>43333</v>
          </cell>
        </row>
        <row r="14670">
          <cell r="A14670">
            <v>43812</v>
          </cell>
        </row>
        <row r="14671">
          <cell r="A14671">
            <v>43440</v>
          </cell>
        </row>
        <row r="14672">
          <cell r="A14672">
            <v>43162</v>
          </cell>
        </row>
        <row r="14673">
          <cell r="A14673">
            <v>43309</v>
          </cell>
        </row>
        <row r="14674">
          <cell r="A14674">
            <v>43910</v>
          </cell>
        </row>
        <row r="14675">
          <cell r="A14675">
            <v>43445</v>
          </cell>
        </row>
        <row r="14676">
          <cell r="A14676">
            <v>43283</v>
          </cell>
        </row>
        <row r="14677">
          <cell r="A14677">
            <v>43746</v>
          </cell>
        </row>
        <row r="14678">
          <cell r="A14678">
            <v>43440</v>
          </cell>
        </row>
        <row r="14679">
          <cell r="A14679">
            <v>43430</v>
          </cell>
        </row>
        <row r="14680">
          <cell r="A14680">
            <v>43563</v>
          </cell>
        </row>
        <row r="14681">
          <cell r="A14681">
            <v>43399</v>
          </cell>
        </row>
        <row r="14682">
          <cell r="A14682">
            <v>43284</v>
          </cell>
        </row>
        <row r="14683">
          <cell r="A14683">
            <v>43505</v>
          </cell>
        </row>
        <row r="14684">
          <cell r="A14684">
            <v>43221</v>
          </cell>
        </row>
        <row r="14685">
          <cell r="A14685">
            <v>43579</v>
          </cell>
        </row>
        <row r="14686">
          <cell r="A14686">
            <v>43479</v>
          </cell>
        </row>
        <row r="14687">
          <cell r="A14687">
            <v>43620</v>
          </cell>
        </row>
        <row r="14688">
          <cell r="A14688">
            <v>43366</v>
          </cell>
        </row>
        <row r="14689">
          <cell r="A14689">
            <v>43428</v>
          </cell>
        </row>
        <row r="14690">
          <cell r="A14690">
            <v>43665</v>
          </cell>
        </row>
        <row r="14691">
          <cell r="A14691">
            <v>43173</v>
          </cell>
        </row>
        <row r="14692">
          <cell r="A14692">
            <v>43468</v>
          </cell>
        </row>
        <row r="14693">
          <cell r="A14693">
            <v>43144</v>
          </cell>
        </row>
        <row r="14694">
          <cell r="A14694">
            <v>43820</v>
          </cell>
        </row>
        <row r="14695">
          <cell r="A14695">
            <v>43681</v>
          </cell>
        </row>
        <row r="14696">
          <cell r="A14696">
            <v>43571</v>
          </cell>
        </row>
        <row r="14697">
          <cell r="A14697">
            <v>43742</v>
          </cell>
        </row>
        <row r="14698">
          <cell r="A14698">
            <v>43717</v>
          </cell>
        </row>
        <row r="14699">
          <cell r="A14699">
            <v>43750</v>
          </cell>
        </row>
        <row r="14700">
          <cell r="A14700">
            <v>43584</v>
          </cell>
        </row>
        <row r="14701">
          <cell r="A14701">
            <v>43316</v>
          </cell>
        </row>
        <row r="14702">
          <cell r="A14702">
            <v>43700</v>
          </cell>
        </row>
        <row r="14703">
          <cell r="A14703">
            <v>43763</v>
          </cell>
        </row>
        <row r="14704">
          <cell r="A14704">
            <v>43511</v>
          </cell>
        </row>
        <row r="14705">
          <cell r="A14705">
            <v>43448</v>
          </cell>
        </row>
        <row r="14706">
          <cell r="A14706">
            <v>43453</v>
          </cell>
        </row>
        <row r="14707">
          <cell r="A14707">
            <v>43760</v>
          </cell>
        </row>
        <row r="14708">
          <cell r="A14708">
            <v>43579</v>
          </cell>
        </row>
        <row r="14709">
          <cell r="A14709">
            <v>43326</v>
          </cell>
        </row>
        <row r="14710">
          <cell r="A14710">
            <v>43322</v>
          </cell>
        </row>
        <row r="14711">
          <cell r="A14711">
            <v>43243</v>
          </cell>
        </row>
        <row r="14712">
          <cell r="A14712">
            <v>43129</v>
          </cell>
        </row>
        <row r="14713">
          <cell r="A14713">
            <v>43579</v>
          </cell>
        </row>
        <row r="14714">
          <cell r="A14714">
            <v>43313</v>
          </cell>
        </row>
        <row r="14715">
          <cell r="A14715">
            <v>43552</v>
          </cell>
        </row>
        <row r="14716">
          <cell r="A14716">
            <v>43304</v>
          </cell>
        </row>
        <row r="14717">
          <cell r="A14717">
            <v>43759</v>
          </cell>
        </row>
        <row r="14718">
          <cell r="A14718">
            <v>43388</v>
          </cell>
        </row>
        <row r="14719">
          <cell r="A14719">
            <v>43296</v>
          </cell>
        </row>
        <row r="14720">
          <cell r="A14720">
            <v>43393</v>
          </cell>
        </row>
        <row r="14721">
          <cell r="A14721">
            <v>43434</v>
          </cell>
        </row>
        <row r="14722">
          <cell r="A14722">
            <v>43383</v>
          </cell>
        </row>
        <row r="14723">
          <cell r="A14723">
            <v>43649</v>
          </cell>
        </row>
        <row r="14724">
          <cell r="A14724">
            <v>43304</v>
          </cell>
        </row>
        <row r="14725">
          <cell r="A14725">
            <v>43833</v>
          </cell>
        </row>
        <row r="14726">
          <cell r="A14726">
            <v>43297</v>
          </cell>
        </row>
        <row r="14727">
          <cell r="A14727">
            <v>43906</v>
          </cell>
        </row>
        <row r="14728">
          <cell r="A14728">
            <v>43331</v>
          </cell>
        </row>
        <row r="14729">
          <cell r="A14729">
            <v>43843</v>
          </cell>
        </row>
        <row r="14730">
          <cell r="A14730">
            <v>43328</v>
          </cell>
        </row>
        <row r="14731">
          <cell r="A14731">
            <v>43676</v>
          </cell>
        </row>
        <row r="14732">
          <cell r="A14732">
            <v>43911</v>
          </cell>
        </row>
        <row r="14733">
          <cell r="A14733">
            <v>43255</v>
          </cell>
        </row>
        <row r="14734">
          <cell r="A14734">
            <v>43275</v>
          </cell>
        </row>
        <row r="14735">
          <cell r="A14735">
            <v>43352</v>
          </cell>
        </row>
        <row r="14736">
          <cell r="A14736">
            <v>43187</v>
          </cell>
        </row>
        <row r="14737">
          <cell r="A14737">
            <v>43815</v>
          </cell>
        </row>
        <row r="14738">
          <cell r="A14738">
            <v>43243</v>
          </cell>
        </row>
        <row r="14739">
          <cell r="A14739">
            <v>43586</v>
          </cell>
        </row>
        <row r="14740">
          <cell r="A14740">
            <v>43389</v>
          </cell>
        </row>
        <row r="14741">
          <cell r="A14741">
            <v>43842</v>
          </cell>
        </row>
        <row r="14742">
          <cell r="A14742">
            <v>43128</v>
          </cell>
        </row>
        <row r="14743">
          <cell r="A14743">
            <v>43380</v>
          </cell>
        </row>
        <row r="14744">
          <cell r="A14744">
            <v>43247</v>
          </cell>
        </row>
        <row r="14745">
          <cell r="A14745">
            <v>43416</v>
          </cell>
        </row>
        <row r="14746">
          <cell r="A14746">
            <v>43849</v>
          </cell>
        </row>
        <row r="14747">
          <cell r="A14747">
            <v>43503</v>
          </cell>
        </row>
        <row r="14748">
          <cell r="A14748">
            <v>43307</v>
          </cell>
        </row>
        <row r="14749">
          <cell r="A14749">
            <v>43734</v>
          </cell>
        </row>
        <row r="14750">
          <cell r="A14750">
            <v>43909</v>
          </cell>
        </row>
        <row r="14751">
          <cell r="A14751">
            <v>43780</v>
          </cell>
        </row>
        <row r="14752">
          <cell r="A14752">
            <v>43775</v>
          </cell>
        </row>
        <row r="14753">
          <cell r="A14753">
            <v>43245</v>
          </cell>
        </row>
        <row r="14754">
          <cell r="A14754">
            <v>43272</v>
          </cell>
        </row>
        <row r="14755">
          <cell r="A14755">
            <v>43669</v>
          </cell>
        </row>
        <row r="14756">
          <cell r="A14756">
            <v>43497</v>
          </cell>
        </row>
        <row r="14757">
          <cell r="A14757">
            <v>43828</v>
          </cell>
        </row>
        <row r="14758">
          <cell r="A14758">
            <v>43615</v>
          </cell>
        </row>
        <row r="14759">
          <cell r="A14759">
            <v>43216</v>
          </cell>
        </row>
        <row r="14760">
          <cell r="A14760">
            <v>43248</v>
          </cell>
        </row>
        <row r="14761">
          <cell r="A14761">
            <v>43683</v>
          </cell>
        </row>
        <row r="14762">
          <cell r="A14762">
            <v>43647</v>
          </cell>
        </row>
        <row r="14763">
          <cell r="A14763">
            <v>43866</v>
          </cell>
        </row>
        <row r="14764">
          <cell r="A14764">
            <v>43148</v>
          </cell>
        </row>
        <row r="14765">
          <cell r="A14765">
            <v>43919</v>
          </cell>
        </row>
        <row r="14766">
          <cell r="A14766">
            <v>43244</v>
          </cell>
        </row>
        <row r="14767">
          <cell r="A14767">
            <v>43691</v>
          </cell>
        </row>
        <row r="14768">
          <cell r="A14768">
            <v>43801</v>
          </cell>
        </row>
        <row r="14769">
          <cell r="A14769">
            <v>43130</v>
          </cell>
        </row>
        <row r="14770">
          <cell r="A14770">
            <v>43642</v>
          </cell>
        </row>
        <row r="14771">
          <cell r="A14771">
            <v>43107</v>
          </cell>
        </row>
        <row r="14772">
          <cell r="A14772">
            <v>43472</v>
          </cell>
        </row>
        <row r="14773">
          <cell r="A14773">
            <v>43389</v>
          </cell>
        </row>
        <row r="14774">
          <cell r="A14774">
            <v>43578</v>
          </cell>
        </row>
        <row r="14775">
          <cell r="A14775">
            <v>43558</v>
          </cell>
        </row>
        <row r="14776">
          <cell r="A14776">
            <v>43269</v>
          </cell>
        </row>
        <row r="14777">
          <cell r="A14777">
            <v>43215</v>
          </cell>
        </row>
        <row r="14778">
          <cell r="A14778">
            <v>43254</v>
          </cell>
        </row>
        <row r="14779">
          <cell r="A14779">
            <v>43574</v>
          </cell>
        </row>
        <row r="14780">
          <cell r="A14780">
            <v>43385</v>
          </cell>
        </row>
        <row r="14781">
          <cell r="A14781">
            <v>43502</v>
          </cell>
        </row>
        <row r="14782">
          <cell r="A14782">
            <v>43665</v>
          </cell>
        </row>
        <row r="14783">
          <cell r="A14783">
            <v>43806</v>
          </cell>
        </row>
        <row r="14784">
          <cell r="A14784">
            <v>43132</v>
          </cell>
        </row>
        <row r="14785">
          <cell r="A14785">
            <v>43820</v>
          </cell>
        </row>
        <row r="14786">
          <cell r="A14786">
            <v>43808</v>
          </cell>
        </row>
        <row r="14787">
          <cell r="A14787">
            <v>43895</v>
          </cell>
        </row>
        <row r="14788">
          <cell r="A14788">
            <v>43820</v>
          </cell>
        </row>
        <row r="14789">
          <cell r="A14789">
            <v>43221</v>
          </cell>
        </row>
        <row r="14790">
          <cell r="A14790">
            <v>43246</v>
          </cell>
        </row>
        <row r="14791">
          <cell r="A14791">
            <v>43596</v>
          </cell>
        </row>
        <row r="14792">
          <cell r="A14792">
            <v>43476</v>
          </cell>
        </row>
        <row r="14793">
          <cell r="A14793">
            <v>43399</v>
          </cell>
        </row>
        <row r="14794">
          <cell r="A14794">
            <v>43519</v>
          </cell>
        </row>
        <row r="14795">
          <cell r="A14795">
            <v>43378</v>
          </cell>
        </row>
        <row r="14796">
          <cell r="A14796">
            <v>43861</v>
          </cell>
        </row>
        <row r="14797">
          <cell r="A14797">
            <v>43416</v>
          </cell>
        </row>
        <row r="14798">
          <cell r="A14798">
            <v>43188</v>
          </cell>
        </row>
        <row r="14799">
          <cell r="A14799">
            <v>43168</v>
          </cell>
        </row>
        <row r="14800">
          <cell r="A14800">
            <v>43268</v>
          </cell>
        </row>
        <row r="14801">
          <cell r="A14801">
            <v>43275</v>
          </cell>
        </row>
        <row r="14802">
          <cell r="A14802">
            <v>43174</v>
          </cell>
        </row>
        <row r="14803">
          <cell r="A14803">
            <v>43617</v>
          </cell>
        </row>
        <row r="14804">
          <cell r="A14804">
            <v>43188</v>
          </cell>
        </row>
        <row r="14805">
          <cell r="A14805">
            <v>43120</v>
          </cell>
        </row>
        <row r="14806">
          <cell r="A14806">
            <v>43701</v>
          </cell>
        </row>
        <row r="14807">
          <cell r="A14807">
            <v>43375</v>
          </cell>
        </row>
        <row r="14808">
          <cell r="A14808">
            <v>43909</v>
          </cell>
        </row>
        <row r="14809">
          <cell r="A14809">
            <v>43575</v>
          </cell>
        </row>
        <row r="14810">
          <cell r="A14810">
            <v>43419</v>
          </cell>
        </row>
        <row r="14811">
          <cell r="A14811">
            <v>43782</v>
          </cell>
        </row>
        <row r="14812">
          <cell r="A14812">
            <v>43176</v>
          </cell>
        </row>
        <row r="14813">
          <cell r="A14813">
            <v>43744</v>
          </cell>
        </row>
        <row r="14814">
          <cell r="A14814">
            <v>43442</v>
          </cell>
        </row>
        <row r="14815">
          <cell r="A14815">
            <v>43107</v>
          </cell>
        </row>
        <row r="14816">
          <cell r="A14816">
            <v>43451</v>
          </cell>
        </row>
        <row r="14817">
          <cell r="A14817">
            <v>43283</v>
          </cell>
        </row>
        <row r="14818">
          <cell r="A14818">
            <v>43737</v>
          </cell>
        </row>
        <row r="14819">
          <cell r="A14819">
            <v>43339</v>
          </cell>
        </row>
        <row r="14820">
          <cell r="A14820">
            <v>43430</v>
          </cell>
        </row>
        <row r="14821">
          <cell r="A14821">
            <v>43211</v>
          </cell>
        </row>
        <row r="14822">
          <cell r="A14822">
            <v>43224</v>
          </cell>
        </row>
        <row r="14823">
          <cell r="A14823">
            <v>43301</v>
          </cell>
        </row>
        <row r="14824">
          <cell r="A14824">
            <v>43664</v>
          </cell>
        </row>
        <row r="14825">
          <cell r="A14825">
            <v>43709</v>
          </cell>
        </row>
        <row r="14826">
          <cell r="A14826">
            <v>43715</v>
          </cell>
        </row>
        <row r="14827">
          <cell r="A14827">
            <v>43573</v>
          </cell>
        </row>
        <row r="14828">
          <cell r="A14828">
            <v>43712</v>
          </cell>
        </row>
        <row r="14829">
          <cell r="A14829">
            <v>43498</v>
          </cell>
        </row>
        <row r="14830">
          <cell r="A14830">
            <v>43464</v>
          </cell>
        </row>
        <row r="14831">
          <cell r="A14831">
            <v>43330</v>
          </cell>
        </row>
        <row r="14832">
          <cell r="A14832">
            <v>43488</v>
          </cell>
        </row>
        <row r="14833">
          <cell r="A14833">
            <v>43885</v>
          </cell>
        </row>
        <row r="14834">
          <cell r="A14834">
            <v>43878</v>
          </cell>
        </row>
        <row r="14835">
          <cell r="A14835">
            <v>43787</v>
          </cell>
        </row>
        <row r="14836">
          <cell r="A14836">
            <v>43259</v>
          </cell>
        </row>
        <row r="14837">
          <cell r="A14837">
            <v>43334</v>
          </cell>
        </row>
        <row r="14838">
          <cell r="A14838">
            <v>43549</v>
          </cell>
        </row>
        <row r="14839">
          <cell r="A14839">
            <v>43697</v>
          </cell>
        </row>
        <row r="14840">
          <cell r="A14840">
            <v>43348</v>
          </cell>
        </row>
        <row r="14841">
          <cell r="A14841">
            <v>43412</v>
          </cell>
        </row>
        <row r="14842">
          <cell r="A14842">
            <v>43679</v>
          </cell>
        </row>
        <row r="14843">
          <cell r="A14843">
            <v>43658</v>
          </cell>
        </row>
        <row r="14844">
          <cell r="A14844">
            <v>43517</v>
          </cell>
        </row>
        <row r="14845">
          <cell r="A14845">
            <v>43493</v>
          </cell>
        </row>
        <row r="14846">
          <cell r="A14846">
            <v>43416</v>
          </cell>
        </row>
        <row r="14847">
          <cell r="A14847">
            <v>43778</v>
          </cell>
        </row>
        <row r="14848">
          <cell r="A14848">
            <v>43539</v>
          </cell>
        </row>
        <row r="14849">
          <cell r="A14849">
            <v>43448</v>
          </cell>
        </row>
        <row r="14850">
          <cell r="A14850">
            <v>43894</v>
          </cell>
        </row>
        <row r="14851">
          <cell r="A14851">
            <v>43266</v>
          </cell>
        </row>
        <row r="14852">
          <cell r="A14852">
            <v>43309</v>
          </cell>
        </row>
        <row r="14853">
          <cell r="A14853">
            <v>43564</v>
          </cell>
        </row>
        <row r="14854">
          <cell r="A14854">
            <v>43325</v>
          </cell>
        </row>
        <row r="14855">
          <cell r="A14855">
            <v>43570</v>
          </cell>
        </row>
        <row r="14856">
          <cell r="A14856">
            <v>43816</v>
          </cell>
        </row>
        <row r="14857">
          <cell r="A14857">
            <v>43835</v>
          </cell>
        </row>
        <row r="14858">
          <cell r="A14858">
            <v>43321</v>
          </cell>
        </row>
        <row r="14859">
          <cell r="A14859">
            <v>43470</v>
          </cell>
        </row>
        <row r="14860">
          <cell r="A14860">
            <v>43314</v>
          </cell>
        </row>
        <row r="14861">
          <cell r="A14861">
            <v>43458</v>
          </cell>
        </row>
        <row r="14862">
          <cell r="A14862">
            <v>43437</v>
          </cell>
        </row>
        <row r="14863">
          <cell r="A14863">
            <v>43335</v>
          </cell>
        </row>
        <row r="14864">
          <cell r="A14864">
            <v>43771</v>
          </cell>
        </row>
        <row r="14865">
          <cell r="A14865">
            <v>43388</v>
          </cell>
        </row>
        <row r="14866">
          <cell r="A14866">
            <v>43238</v>
          </cell>
        </row>
        <row r="14867">
          <cell r="A14867">
            <v>43420</v>
          </cell>
        </row>
        <row r="14868">
          <cell r="A14868">
            <v>43824</v>
          </cell>
        </row>
        <row r="14869">
          <cell r="A14869">
            <v>43178</v>
          </cell>
        </row>
        <row r="14870">
          <cell r="A14870">
            <v>43906</v>
          </cell>
        </row>
        <row r="14871">
          <cell r="A14871">
            <v>43901</v>
          </cell>
        </row>
        <row r="14872">
          <cell r="A14872">
            <v>43498</v>
          </cell>
        </row>
        <row r="14873">
          <cell r="A14873">
            <v>43800</v>
          </cell>
        </row>
        <row r="14874">
          <cell r="A14874">
            <v>43334</v>
          </cell>
        </row>
        <row r="14875">
          <cell r="A14875">
            <v>43686</v>
          </cell>
        </row>
        <row r="14876">
          <cell r="A14876">
            <v>43483</v>
          </cell>
        </row>
        <row r="14877">
          <cell r="A14877">
            <v>43128</v>
          </cell>
        </row>
        <row r="14878">
          <cell r="A14878">
            <v>43862</v>
          </cell>
        </row>
        <row r="14879">
          <cell r="A14879">
            <v>43184</v>
          </cell>
        </row>
        <row r="14880">
          <cell r="A14880">
            <v>43851</v>
          </cell>
        </row>
        <row r="14881">
          <cell r="A14881">
            <v>43781</v>
          </cell>
        </row>
        <row r="14882">
          <cell r="A14882">
            <v>43462</v>
          </cell>
        </row>
        <row r="14883">
          <cell r="A14883">
            <v>43864</v>
          </cell>
        </row>
        <row r="14884">
          <cell r="A14884">
            <v>43863</v>
          </cell>
        </row>
        <row r="14885">
          <cell r="A14885">
            <v>43670</v>
          </cell>
        </row>
        <row r="14886">
          <cell r="A14886">
            <v>43269</v>
          </cell>
        </row>
        <row r="14887">
          <cell r="A14887">
            <v>43816</v>
          </cell>
        </row>
        <row r="14888">
          <cell r="A14888">
            <v>43703</v>
          </cell>
        </row>
        <row r="14889">
          <cell r="A14889">
            <v>43231</v>
          </cell>
        </row>
        <row r="14890">
          <cell r="A14890">
            <v>43683</v>
          </cell>
        </row>
        <row r="14891">
          <cell r="A14891">
            <v>43277</v>
          </cell>
        </row>
        <row r="14892">
          <cell r="A14892">
            <v>43614</v>
          </cell>
        </row>
        <row r="14893">
          <cell r="A14893">
            <v>43718</v>
          </cell>
        </row>
        <row r="14894">
          <cell r="A14894">
            <v>43885</v>
          </cell>
        </row>
        <row r="14895">
          <cell r="A14895">
            <v>43321</v>
          </cell>
        </row>
        <row r="14896">
          <cell r="A14896">
            <v>43871</v>
          </cell>
        </row>
        <row r="14897">
          <cell r="A14897">
            <v>43125</v>
          </cell>
        </row>
        <row r="14898">
          <cell r="A14898">
            <v>43358</v>
          </cell>
        </row>
        <row r="14899">
          <cell r="A14899">
            <v>43508</v>
          </cell>
        </row>
        <row r="14900">
          <cell r="A14900">
            <v>43629</v>
          </cell>
        </row>
        <row r="14901">
          <cell r="A14901">
            <v>43640</v>
          </cell>
        </row>
        <row r="14902">
          <cell r="A14902">
            <v>43503</v>
          </cell>
        </row>
        <row r="14903">
          <cell r="A14903">
            <v>43763</v>
          </cell>
        </row>
        <row r="14904">
          <cell r="A14904">
            <v>43545</v>
          </cell>
        </row>
        <row r="14905">
          <cell r="A14905">
            <v>43467</v>
          </cell>
        </row>
        <row r="14906">
          <cell r="A14906">
            <v>43448</v>
          </cell>
        </row>
        <row r="14907">
          <cell r="A14907">
            <v>43471</v>
          </cell>
        </row>
        <row r="14908">
          <cell r="A14908">
            <v>43564</v>
          </cell>
        </row>
        <row r="14909">
          <cell r="A14909">
            <v>43802</v>
          </cell>
        </row>
        <row r="14910">
          <cell r="A14910">
            <v>43513</v>
          </cell>
        </row>
        <row r="14911">
          <cell r="A14911">
            <v>43751</v>
          </cell>
        </row>
        <row r="14912">
          <cell r="A14912">
            <v>43442</v>
          </cell>
        </row>
        <row r="14913">
          <cell r="A14913">
            <v>43603</v>
          </cell>
        </row>
        <row r="14914">
          <cell r="A14914">
            <v>43157</v>
          </cell>
        </row>
        <row r="14915">
          <cell r="A14915">
            <v>43291</v>
          </cell>
        </row>
        <row r="14916">
          <cell r="A14916">
            <v>43766</v>
          </cell>
        </row>
        <row r="14917">
          <cell r="A14917">
            <v>43577</v>
          </cell>
        </row>
        <row r="14918">
          <cell r="A14918">
            <v>43538</v>
          </cell>
        </row>
        <row r="14919">
          <cell r="A14919">
            <v>43358</v>
          </cell>
        </row>
        <row r="14920">
          <cell r="A14920">
            <v>43337</v>
          </cell>
        </row>
        <row r="14921">
          <cell r="A14921">
            <v>43272</v>
          </cell>
        </row>
        <row r="14922">
          <cell r="A14922">
            <v>43677</v>
          </cell>
        </row>
        <row r="14923">
          <cell r="A14923">
            <v>43251</v>
          </cell>
        </row>
        <row r="14924">
          <cell r="A14924">
            <v>43415</v>
          </cell>
        </row>
        <row r="14925">
          <cell r="A14925">
            <v>43887</v>
          </cell>
        </row>
        <row r="14926">
          <cell r="A14926">
            <v>43496</v>
          </cell>
        </row>
        <row r="14927">
          <cell r="A14927">
            <v>43910</v>
          </cell>
        </row>
        <row r="14928">
          <cell r="A14928">
            <v>43335</v>
          </cell>
        </row>
        <row r="14929">
          <cell r="A14929">
            <v>43832</v>
          </cell>
        </row>
        <row r="14930">
          <cell r="A14930">
            <v>43615</v>
          </cell>
        </row>
        <row r="14931">
          <cell r="A14931">
            <v>43179</v>
          </cell>
        </row>
        <row r="14932">
          <cell r="A14932">
            <v>43262</v>
          </cell>
        </row>
        <row r="14933">
          <cell r="A14933">
            <v>43385</v>
          </cell>
        </row>
        <row r="14934">
          <cell r="A14934">
            <v>43870</v>
          </cell>
        </row>
        <row r="14935">
          <cell r="A14935">
            <v>43732</v>
          </cell>
        </row>
        <row r="14936">
          <cell r="A14936">
            <v>43831</v>
          </cell>
        </row>
        <row r="14937">
          <cell r="A14937">
            <v>43491</v>
          </cell>
        </row>
        <row r="14938">
          <cell r="A14938">
            <v>43732</v>
          </cell>
        </row>
        <row r="14939">
          <cell r="A14939">
            <v>43232</v>
          </cell>
        </row>
        <row r="14940">
          <cell r="A14940">
            <v>43366</v>
          </cell>
        </row>
        <row r="14941">
          <cell r="A14941">
            <v>43886</v>
          </cell>
        </row>
        <row r="14942">
          <cell r="A14942">
            <v>43682</v>
          </cell>
        </row>
        <row r="14943">
          <cell r="A14943">
            <v>43798</v>
          </cell>
        </row>
        <row r="14944">
          <cell r="A14944">
            <v>43587</v>
          </cell>
        </row>
        <row r="14945">
          <cell r="A14945">
            <v>43236</v>
          </cell>
        </row>
        <row r="14946">
          <cell r="A14946">
            <v>43386</v>
          </cell>
        </row>
        <row r="14947">
          <cell r="A14947">
            <v>43105</v>
          </cell>
        </row>
        <row r="14948">
          <cell r="A14948">
            <v>43281</v>
          </cell>
        </row>
        <row r="14949">
          <cell r="A14949">
            <v>43638</v>
          </cell>
        </row>
        <row r="14950">
          <cell r="A14950">
            <v>43555</v>
          </cell>
        </row>
        <row r="14951">
          <cell r="A14951">
            <v>43297</v>
          </cell>
        </row>
        <row r="14952">
          <cell r="A14952">
            <v>43310</v>
          </cell>
        </row>
        <row r="14953">
          <cell r="A14953">
            <v>43678</v>
          </cell>
        </row>
        <row r="14954">
          <cell r="A14954">
            <v>43776</v>
          </cell>
        </row>
        <row r="14955">
          <cell r="A14955">
            <v>43125</v>
          </cell>
        </row>
        <row r="14956">
          <cell r="A14956">
            <v>43708</v>
          </cell>
        </row>
        <row r="14957">
          <cell r="A14957">
            <v>43500</v>
          </cell>
        </row>
        <row r="14958">
          <cell r="A14958">
            <v>43357</v>
          </cell>
        </row>
        <row r="14959">
          <cell r="A14959">
            <v>43231</v>
          </cell>
        </row>
        <row r="14960">
          <cell r="A14960">
            <v>43875</v>
          </cell>
        </row>
        <row r="14961">
          <cell r="A14961">
            <v>43899</v>
          </cell>
        </row>
        <row r="14962">
          <cell r="A14962">
            <v>43359</v>
          </cell>
        </row>
        <row r="14963">
          <cell r="A14963">
            <v>43266</v>
          </cell>
        </row>
        <row r="14964">
          <cell r="A14964">
            <v>43749</v>
          </cell>
        </row>
        <row r="14965">
          <cell r="A14965">
            <v>43637</v>
          </cell>
        </row>
        <row r="14966">
          <cell r="A14966">
            <v>43595</v>
          </cell>
        </row>
        <row r="14967">
          <cell r="A14967">
            <v>43648</v>
          </cell>
        </row>
        <row r="14968">
          <cell r="A14968">
            <v>43384</v>
          </cell>
        </row>
        <row r="14969">
          <cell r="A14969">
            <v>43242</v>
          </cell>
        </row>
        <row r="14970">
          <cell r="A14970">
            <v>43908</v>
          </cell>
        </row>
        <row r="14971">
          <cell r="A14971">
            <v>43505</v>
          </cell>
        </row>
        <row r="14972">
          <cell r="A14972">
            <v>43685</v>
          </cell>
        </row>
        <row r="14973">
          <cell r="A14973">
            <v>43307</v>
          </cell>
        </row>
        <row r="14974">
          <cell r="A14974">
            <v>43749</v>
          </cell>
        </row>
        <row r="14975">
          <cell r="A14975">
            <v>43687</v>
          </cell>
        </row>
        <row r="14976">
          <cell r="A14976">
            <v>43649</v>
          </cell>
        </row>
        <row r="14977">
          <cell r="A14977">
            <v>43380</v>
          </cell>
        </row>
        <row r="14978">
          <cell r="A14978">
            <v>43336</v>
          </cell>
        </row>
        <row r="14979">
          <cell r="A14979">
            <v>43281</v>
          </cell>
        </row>
        <row r="14980">
          <cell r="A14980">
            <v>43166</v>
          </cell>
        </row>
        <row r="14981">
          <cell r="A14981">
            <v>43798</v>
          </cell>
        </row>
        <row r="14982">
          <cell r="A14982">
            <v>43395</v>
          </cell>
        </row>
        <row r="14983">
          <cell r="A14983">
            <v>43416</v>
          </cell>
        </row>
        <row r="14984">
          <cell r="A14984">
            <v>43914</v>
          </cell>
        </row>
        <row r="14985">
          <cell r="A14985">
            <v>43817</v>
          </cell>
        </row>
        <row r="14986">
          <cell r="A14986">
            <v>43223</v>
          </cell>
        </row>
        <row r="14987">
          <cell r="A14987">
            <v>43902</v>
          </cell>
        </row>
        <row r="14988">
          <cell r="A14988">
            <v>43439</v>
          </cell>
        </row>
        <row r="14989">
          <cell r="A14989">
            <v>43876</v>
          </cell>
        </row>
        <row r="14990">
          <cell r="A14990">
            <v>43260</v>
          </cell>
        </row>
        <row r="14991">
          <cell r="A14991">
            <v>43899</v>
          </cell>
        </row>
        <row r="14992">
          <cell r="A14992">
            <v>43222</v>
          </cell>
        </row>
        <row r="14993">
          <cell r="A14993">
            <v>43786</v>
          </cell>
        </row>
        <row r="14994">
          <cell r="A14994">
            <v>43232</v>
          </cell>
        </row>
        <row r="14995">
          <cell r="A14995">
            <v>43850</v>
          </cell>
        </row>
        <row r="14996">
          <cell r="A14996">
            <v>43803</v>
          </cell>
        </row>
        <row r="14997">
          <cell r="A14997">
            <v>43843</v>
          </cell>
        </row>
        <row r="14998">
          <cell r="A14998">
            <v>43670</v>
          </cell>
        </row>
        <row r="14999">
          <cell r="A14999">
            <v>43232</v>
          </cell>
        </row>
        <row r="15000">
          <cell r="A15000">
            <v>43114</v>
          </cell>
        </row>
        <row r="15001">
          <cell r="A15001">
            <v>43804</v>
          </cell>
        </row>
        <row r="15002">
          <cell r="A15002">
            <v>43218</v>
          </cell>
        </row>
        <row r="15003">
          <cell r="A15003">
            <v>43249</v>
          </cell>
        </row>
        <row r="15004">
          <cell r="A15004">
            <v>43594</v>
          </cell>
        </row>
        <row r="15005">
          <cell r="A15005">
            <v>43854</v>
          </cell>
        </row>
        <row r="15006">
          <cell r="A15006">
            <v>43842</v>
          </cell>
        </row>
        <row r="15007">
          <cell r="A15007">
            <v>43386</v>
          </cell>
        </row>
        <row r="15008">
          <cell r="A15008">
            <v>43816</v>
          </cell>
        </row>
        <row r="15009">
          <cell r="A15009">
            <v>43910</v>
          </cell>
        </row>
        <row r="15010">
          <cell r="A15010">
            <v>43886</v>
          </cell>
        </row>
        <row r="15011">
          <cell r="A15011">
            <v>43120</v>
          </cell>
        </row>
        <row r="15012">
          <cell r="A15012">
            <v>43355</v>
          </cell>
        </row>
        <row r="15013">
          <cell r="A15013">
            <v>43108</v>
          </cell>
        </row>
        <row r="15014">
          <cell r="A15014">
            <v>43471</v>
          </cell>
        </row>
        <row r="15015">
          <cell r="A15015">
            <v>43527</v>
          </cell>
        </row>
        <row r="15016">
          <cell r="A15016">
            <v>43906</v>
          </cell>
        </row>
        <row r="15017">
          <cell r="A15017">
            <v>43508</v>
          </cell>
        </row>
        <row r="15018">
          <cell r="A15018">
            <v>43123</v>
          </cell>
        </row>
        <row r="15019">
          <cell r="A15019">
            <v>43171</v>
          </cell>
        </row>
        <row r="15020">
          <cell r="A15020">
            <v>43811</v>
          </cell>
        </row>
        <row r="15021">
          <cell r="A15021">
            <v>43681</v>
          </cell>
        </row>
        <row r="15022">
          <cell r="A15022">
            <v>43472</v>
          </cell>
        </row>
        <row r="15023">
          <cell r="A15023">
            <v>43513</v>
          </cell>
        </row>
        <row r="15024">
          <cell r="A15024">
            <v>43798</v>
          </cell>
        </row>
        <row r="15025">
          <cell r="A15025">
            <v>43831</v>
          </cell>
        </row>
        <row r="15026">
          <cell r="A15026">
            <v>43600</v>
          </cell>
        </row>
        <row r="15027">
          <cell r="A15027">
            <v>43437</v>
          </cell>
        </row>
        <row r="15028">
          <cell r="A15028">
            <v>43890</v>
          </cell>
        </row>
        <row r="15029">
          <cell r="A15029">
            <v>43734</v>
          </cell>
        </row>
        <row r="15030">
          <cell r="A15030">
            <v>43140</v>
          </cell>
        </row>
        <row r="15031">
          <cell r="A15031">
            <v>43341</v>
          </cell>
        </row>
        <row r="15032">
          <cell r="A15032">
            <v>43853</v>
          </cell>
        </row>
        <row r="15033">
          <cell r="A15033">
            <v>43704</v>
          </cell>
        </row>
        <row r="15034">
          <cell r="A15034">
            <v>43428</v>
          </cell>
        </row>
        <row r="15035">
          <cell r="A15035">
            <v>43301</v>
          </cell>
        </row>
        <row r="15036">
          <cell r="A15036">
            <v>43848</v>
          </cell>
        </row>
        <row r="15037">
          <cell r="A15037">
            <v>43301</v>
          </cell>
        </row>
        <row r="15038">
          <cell r="A15038">
            <v>43488</v>
          </cell>
        </row>
        <row r="15039">
          <cell r="A15039">
            <v>43622</v>
          </cell>
        </row>
        <row r="15040">
          <cell r="A15040">
            <v>43456</v>
          </cell>
        </row>
        <row r="15041">
          <cell r="A15041">
            <v>43658</v>
          </cell>
        </row>
        <row r="15042">
          <cell r="A15042">
            <v>43500</v>
          </cell>
        </row>
        <row r="15043">
          <cell r="A15043">
            <v>43287</v>
          </cell>
        </row>
        <row r="15044">
          <cell r="A15044">
            <v>43622</v>
          </cell>
        </row>
        <row r="15045">
          <cell r="A15045">
            <v>43470</v>
          </cell>
        </row>
        <row r="15046">
          <cell r="A15046">
            <v>43739</v>
          </cell>
        </row>
        <row r="15047">
          <cell r="A15047">
            <v>43729</v>
          </cell>
        </row>
        <row r="15048">
          <cell r="A15048">
            <v>43393</v>
          </cell>
        </row>
        <row r="15049">
          <cell r="A15049">
            <v>43625</v>
          </cell>
        </row>
        <row r="15050">
          <cell r="A15050">
            <v>43606</v>
          </cell>
        </row>
        <row r="15051">
          <cell r="A15051">
            <v>43496</v>
          </cell>
        </row>
        <row r="15052">
          <cell r="A15052">
            <v>43839</v>
          </cell>
        </row>
        <row r="15053">
          <cell r="A15053">
            <v>43251</v>
          </cell>
        </row>
        <row r="15054">
          <cell r="A15054">
            <v>43730</v>
          </cell>
        </row>
        <row r="15055">
          <cell r="A15055">
            <v>43564</v>
          </cell>
        </row>
        <row r="15056">
          <cell r="A15056">
            <v>43708</v>
          </cell>
        </row>
        <row r="15057">
          <cell r="A15057">
            <v>43141</v>
          </cell>
        </row>
        <row r="15058">
          <cell r="A15058">
            <v>43744</v>
          </cell>
        </row>
        <row r="15059">
          <cell r="A15059">
            <v>43310</v>
          </cell>
        </row>
        <row r="15060">
          <cell r="A15060">
            <v>43860</v>
          </cell>
        </row>
        <row r="15061">
          <cell r="A15061">
            <v>43890</v>
          </cell>
        </row>
        <row r="15062">
          <cell r="A15062">
            <v>43671</v>
          </cell>
        </row>
        <row r="15063">
          <cell r="A15063">
            <v>43705</v>
          </cell>
        </row>
        <row r="15064">
          <cell r="A15064">
            <v>43823</v>
          </cell>
        </row>
        <row r="15065">
          <cell r="A15065">
            <v>43615</v>
          </cell>
        </row>
        <row r="15066">
          <cell r="A15066">
            <v>43195</v>
          </cell>
        </row>
        <row r="15067">
          <cell r="A15067">
            <v>43802</v>
          </cell>
        </row>
        <row r="15068">
          <cell r="A15068">
            <v>43787</v>
          </cell>
        </row>
        <row r="15069">
          <cell r="A15069">
            <v>43177</v>
          </cell>
        </row>
        <row r="15070">
          <cell r="A15070">
            <v>43819</v>
          </cell>
        </row>
        <row r="15071">
          <cell r="A15071">
            <v>43830</v>
          </cell>
        </row>
        <row r="15072">
          <cell r="A15072">
            <v>43124</v>
          </cell>
        </row>
        <row r="15073">
          <cell r="A15073">
            <v>43879</v>
          </cell>
        </row>
        <row r="15074">
          <cell r="A15074">
            <v>43126</v>
          </cell>
        </row>
        <row r="15075">
          <cell r="A15075">
            <v>43652</v>
          </cell>
        </row>
        <row r="15076">
          <cell r="A15076">
            <v>43621</v>
          </cell>
        </row>
        <row r="15077">
          <cell r="A15077">
            <v>43493</v>
          </cell>
        </row>
        <row r="15078">
          <cell r="A15078">
            <v>43817</v>
          </cell>
        </row>
        <row r="15079">
          <cell r="A15079">
            <v>43407</v>
          </cell>
        </row>
        <row r="15080">
          <cell r="A15080">
            <v>43895</v>
          </cell>
        </row>
        <row r="15081">
          <cell r="A15081">
            <v>43770</v>
          </cell>
        </row>
        <row r="15082">
          <cell r="A15082">
            <v>43244</v>
          </cell>
        </row>
        <row r="15083">
          <cell r="A15083">
            <v>43395</v>
          </cell>
        </row>
        <row r="15084">
          <cell r="A15084">
            <v>43741</v>
          </cell>
        </row>
        <row r="15085">
          <cell r="A15085">
            <v>43792</v>
          </cell>
        </row>
        <row r="15086">
          <cell r="A15086">
            <v>43460</v>
          </cell>
        </row>
        <row r="15087">
          <cell r="A15087">
            <v>43469</v>
          </cell>
        </row>
        <row r="15088">
          <cell r="A15088">
            <v>43153</v>
          </cell>
        </row>
        <row r="15089">
          <cell r="A15089">
            <v>43622</v>
          </cell>
        </row>
        <row r="15090">
          <cell r="A15090">
            <v>43715</v>
          </cell>
        </row>
        <row r="15091">
          <cell r="A15091">
            <v>43627</v>
          </cell>
        </row>
        <row r="15092">
          <cell r="A15092">
            <v>43817</v>
          </cell>
        </row>
        <row r="15093">
          <cell r="A15093">
            <v>43385</v>
          </cell>
        </row>
        <row r="15094">
          <cell r="A15094">
            <v>43765</v>
          </cell>
        </row>
        <row r="15095">
          <cell r="A15095">
            <v>43246</v>
          </cell>
        </row>
        <row r="15096">
          <cell r="A15096">
            <v>43574</v>
          </cell>
        </row>
        <row r="15097">
          <cell r="A15097">
            <v>43640</v>
          </cell>
        </row>
        <row r="15098">
          <cell r="A15098">
            <v>43150</v>
          </cell>
        </row>
        <row r="15099">
          <cell r="A15099">
            <v>43625</v>
          </cell>
        </row>
        <row r="15100">
          <cell r="A15100">
            <v>43511</v>
          </cell>
        </row>
        <row r="15101">
          <cell r="A15101">
            <v>43686</v>
          </cell>
        </row>
        <row r="15102">
          <cell r="A15102">
            <v>43687</v>
          </cell>
        </row>
        <row r="15103">
          <cell r="A15103">
            <v>43426</v>
          </cell>
        </row>
        <row r="15104">
          <cell r="A15104">
            <v>43696</v>
          </cell>
        </row>
        <row r="15105">
          <cell r="A15105">
            <v>43752</v>
          </cell>
        </row>
        <row r="15106">
          <cell r="A15106">
            <v>43275</v>
          </cell>
        </row>
        <row r="15107">
          <cell r="A15107">
            <v>43323</v>
          </cell>
        </row>
        <row r="15108">
          <cell r="A15108">
            <v>43851</v>
          </cell>
        </row>
        <row r="15109">
          <cell r="A15109">
            <v>43818</v>
          </cell>
        </row>
        <row r="15110">
          <cell r="A15110">
            <v>43444</v>
          </cell>
        </row>
        <row r="15111">
          <cell r="A15111">
            <v>43836</v>
          </cell>
        </row>
        <row r="15112">
          <cell r="A15112">
            <v>43804</v>
          </cell>
        </row>
        <row r="15113">
          <cell r="A15113">
            <v>43342</v>
          </cell>
        </row>
        <row r="15114">
          <cell r="A15114">
            <v>43916</v>
          </cell>
        </row>
        <row r="15115">
          <cell r="A15115">
            <v>43321</v>
          </cell>
        </row>
        <row r="15116">
          <cell r="A15116">
            <v>43426</v>
          </cell>
        </row>
        <row r="15117">
          <cell r="A15117">
            <v>43627</v>
          </cell>
        </row>
        <row r="15118">
          <cell r="A15118">
            <v>43544</v>
          </cell>
        </row>
        <row r="15119">
          <cell r="A15119">
            <v>43107</v>
          </cell>
        </row>
        <row r="15120">
          <cell r="A15120">
            <v>43357</v>
          </cell>
        </row>
        <row r="15121">
          <cell r="A15121">
            <v>43420</v>
          </cell>
        </row>
        <row r="15122">
          <cell r="A15122">
            <v>43194</v>
          </cell>
        </row>
        <row r="15123">
          <cell r="A15123">
            <v>43744</v>
          </cell>
        </row>
        <row r="15124">
          <cell r="A15124">
            <v>43594</v>
          </cell>
        </row>
        <row r="15125">
          <cell r="A15125">
            <v>43822</v>
          </cell>
        </row>
        <row r="15126">
          <cell r="A15126">
            <v>43417</v>
          </cell>
        </row>
        <row r="15127">
          <cell r="A15127">
            <v>43139</v>
          </cell>
        </row>
        <row r="15128">
          <cell r="A15128">
            <v>43302</v>
          </cell>
        </row>
        <row r="15129">
          <cell r="A15129">
            <v>43821</v>
          </cell>
        </row>
        <row r="15130">
          <cell r="A15130">
            <v>43699</v>
          </cell>
        </row>
        <row r="15131">
          <cell r="A15131">
            <v>43773</v>
          </cell>
        </row>
        <row r="15132">
          <cell r="A15132">
            <v>43607</v>
          </cell>
        </row>
        <row r="15133">
          <cell r="A15133">
            <v>43665</v>
          </cell>
        </row>
        <row r="15134">
          <cell r="A15134">
            <v>43628</v>
          </cell>
        </row>
        <row r="15135">
          <cell r="A15135">
            <v>43861</v>
          </cell>
        </row>
        <row r="15136">
          <cell r="A15136">
            <v>43500</v>
          </cell>
        </row>
        <row r="15137">
          <cell r="A15137">
            <v>43711</v>
          </cell>
        </row>
        <row r="15138">
          <cell r="A15138">
            <v>43120</v>
          </cell>
        </row>
        <row r="15139">
          <cell r="A15139">
            <v>43681</v>
          </cell>
        </row>
        <row r="15140">
          <cell r="A15140">
            <v>43165</v>
          </cell>
        </row>
        <row r="15141">
          <cell r="A15141">
            <v>43195</v>
          </cell>
        </row>
        <row r="15142">
          <cell r="A15142">
            <v>43342</v>
          </cell>
        </row>
        <row r="15143">
          <cell r="A15143">
            <v>43586</v>
          </cell>
        </row>
        <row r="15144">
          <cell r="A15144">
            <v>43911</v>
          </cell>
        </row>
        <row r="15145">
          <cell r="A15145">
            <v>43629</v>
          </cell>
        </row>
        <row r="15146">
          <cell r="A15146">
            <v>43125</v>
          </cell>
        </row>
        <row r="15147">
          <cell r="A15147">
            <v>43800</v>
          </cell>
        </row>
        <row r="15148">
          <cell r="A15148">
            <v>43747</v>
          </cell>
        </row>
        <row r="15149">
          <cell r="A15149">
            <v>43168</v>
          </cell>
        </row>
        <row r="15150">
          <cell r="A15150">
            <v>43432</v>
          </cell>
        </row>
        <row r="15151">
          <cell r="A15151">
            <v>43498</v>
          </cell>
        </row>
        <row r="15152">
          <cell r="A15152">
            <v>43475</v>
          </cell>
        </row>
        <row r="15153">
          <cell r="A15153">
            <v>43610</v>
          </cell>
        </row>
        <row r="15154">
          <cell r="A15154">
            <v>43530</v>
          </cell>
        </row>
        <row r="15155">
          <cell r="A15155">
            <v>43709</v>
          </cell>
        </row>
        <row r="15156">
          <cell r="A15156">
            <v>43788</v>
          </cell>
        </row>
        <row r="15157">
          <cell r="A15157">
            <v>43357</v>
          </cell>
        </row>
        <row r="15158">
          <cell r="A15158">
            <v>43388</v>
          </cell>
        </row>
        <row r="15159">
          <cell r="A15159">
            <v>43682</v>
          </cell>
        </row>
        <row r="15160">
          <cell r="A15160">
            <v>43804</v>
          </cell>
        </row>
        <row r="15161">
          <cell r="A15161">
            <v>43566</v>
          </cell>
        </row>
        <row r="15162">
          <cell r="A15162">
            <v>43807</v>
          </cell>
        </row>
        <row r="15163">
          <cell r="A15163">
            <v>43446</v>
          </cell>
        </row>
        <row r="15164">
          <cell r="A15164">
            <v>43664</v>
          </cell>
        </row>
        <row r="15165">
          <cell r="A15165">
            <v>43799</v>
          </cell>
        </row>
        <row r="15166">
          <cell r="A15166">
            <v>43895</v>
          </cell>
        </row>
        <row r="15167">
          <cell r="A15167">
            <v>43669</v>
          </cell>
        </row>
        <row r="15168">
          <cell r="A15168">
            <v>43258</v>
          </cell>
        </row>
        <row r="15169">
          <cell r="A15169">
            <v>43292</v>
          </cell>
        </row>
        <row r="15170">
          <cell r="A15170">
            <v>43111</v>
          </cell>
        </row>
        <row r="15171">
          <cell r="A15171">
            <v>43743</v>
          </cell>
        </row>
        <row r="15172">
          <cell r="A15172">
            <v>43407</v>
          </cell>
        </row>
        <row r="15173">
          <cell r="A15173">
            <v>43825</v>
          </cell>
        </row>
        <row r="15174">
          <cell r="A15174">
            <v>43364</v>
          </cell>
        </row>
        <row r="15175">
          <cell r="A15175">
            <v>43840</v>
          </cell>
        </row>
        <row r="15176">
          <cell r="A15176">
            <v>43289</v>
          </cell>
        </row>
        <row r="15177">
          <cell r="A15177">
            <v>43485</v>
          </cell>
        </row>
        <row r="15178">
          <cell r="A15178">
            <v>43670</v>
          </cell>
        </row>
        <row r="15179">
          <cell r="A15179">
            <v>43445</v>
          </cell>
        </row>
        <row r="15180">
          <cell r="A15180">
            <v>43183</v>
          </cell>
        </row>
        <row r="15181">
          <cell r="A15181">
            <v>43242</v>
          </cell>
        </row>
        <row r="15182">
          <cell r="A15182">
            <v>43128</v>
          </cell>
        </row>
        <row r="15183">
          <cell r="A15183">
            <v>43777</v>
          </cell>
        </row>
        <row r="15184">
          <cell r="A15184">
            <v>43512</v>
          </cell>
        </row>
        <row r="15185">
          <cell r="A15185">
            <v>43448</v>
          </cell>
        </row>
        <row r="15186">
          <cell r="A15186">
            <v>43741</v>
          </cell>
        </row>
        <row r="15187">
          <cell r="A15187">
            <v>43157</v>
          </cell>
        </row>
        <row r="15188">
          <cell r="A15188">
            <v>43576</v>
          </cell>
        </row>
        <row r="15189">
          <cell r="A15189">
            <v>43824</v>
          </cell>
        </row>
        <row r="15190">
          <cell r="A15190">
            <v>43395</v>
          </cell>
        </row>
        <row r="15191">
          <cell r="A15191">
            <v>43589</v>
          </cell>
        </row>
        <row r="15192">
          <cell r="A15192">
            <v>43617</v>
          </cell>
        </row>
        <row r="15193">
          <cell r="A15193">
            <v>43264</v>
          </cell>
        </row>
        <row r="15194">
          <cell r="A15194">
            <v>43232</v>
          </cell>
        </row>
        <row r="15195">
          <cell r="A15195">
            <v>43101</v>
          </cell>
        </row>
        <row r="15196">
          <cell r="A15196">
            <v>43267</v>
          </cell>
        </row>
        <row r="15197">
          <cell r="A15197">
            <v>43398</v>
          </cell>
        </row>
        <row r="15198">
          <cell r="A15198">
            <v>43921</v>
          </cell>
        </row>
        <row r="15199">
          <cell r="A15199">
            <v>43421</v>
          </cell>
        </row>
        <row r="15200">
          <cell r="A15200">
            <v>43392</v>
          </cell>
        </row>
        <row r="15201">
          <cell r="A15201">
            <v>43841</v>
          </cell>
        </row>
        <row r="15202">
          <cell r="A15202">
            <v>43476</v>
          </cell>
        </row>
        <row r="15203">
          <cell r="A15203">
            <v>43855</v>
          </cell>
        </row>
        <row r="15204">
          <cell r="A15204">
            <v>43339</v>
          </cell>
        </row>
        <row r="15205">
          <cell r="A15205">
            <v>43306</v>
          </cell>
        </row>
        <row r="15206">
          <cell r="A15206">
            <v>43852</v>
          </cell>
        </row>
        <row r="15207">
          <cell r="A15207">
            <v>43532</v>
          </cell>
        </row>
        <row r="15208">
          <cell r="A15208">
            <v>43800</v>
          </cell>
        </row>
        <row r="15209">
          <cell r="A15209">
            <v>43846</v>
          </cell>
        </row>
        <row r="15210">
          <cell r="A15210">
            <v>43712</v>
          </cell>
        </row>
        <row r="15211">
          <cell r="A15211">
            <v>43596</v>
          </cell>
        </row>
        <row r="15212">
          <cell r="A15212">
            <v>43716</v>
          </cell>
        </row>
        <row r="15213">
          <cell r="A15213">
            <v>43713</v>
          </cell>
        </row>
        <row r="15214">
          <cell r="A15214">
            <v>43127</v>
          </cell>
        </row>
        <row r="15215">
          <cell r="A15215">
            <v>43619</v>
          </cell>
        </row>
        <row r="15216">
          <cell r="A15216">
            <v>43919</v>
          </cell>
        </row>
        <row r="15217">
          <cell r="A15217">
            <v>43374</v>
          </cell>
        </row>
        <row r="15218">
          <cell r="A15218">
            <v>43576</v>
          </cell>
        </row>
        <row r="15219">
          <cell r="A15219">
            <v>43482</v>
          </cell>
        </row>
        <row r="15220">
          <cell r="A15220">
            <v>43520</v>
          </cell>
        </row>
        <row r="15221">
          <cell r="A15221">
            <v>43658</v>
          </cell>
        </row>
        <row r="15222">
          <cell r="A15222">
            <v>43915</v>
          </cell>
        </row>
        <row r="15223">
          <cell r="A15223">
            <v>43616</v>
          </cell>
        </row>
        <row r="15224">
          <cell r="A15224">
            <v>43774</v>
          </cell>
        </row>
        <row r="15225">
          <cell r="A15225">
            <v>43878</v>
          </cell>
        </row>
        <row r="15226">
          <cell r="A15226">
            <v>43459</v>
          </cell>
        </row>
        <row r="15227">
          <cell r="A15227">
            <v>43110</v>
          </cell>
        </row>
        <row r="15228">
          <cell r="A15228">
            <v>43268</v>
          </cell>
        </row>
        <row r="15229">
          <cell r="A15229">
            <v>43542</v>
          </cell>
        </row>
        <row r="15230">
          <cell r="A15230">
            <v>43551</v>
          </cell>
        </row>
        <row r="15231">
          <cell r="A15231">
            <v>43890</v>
          </cell>
        </row>
        <row r="15232">
          <cell r="A15232">
            <v>43868</v>
          </cell>
        </row>
        <row r="15233">
          <cell r="A15233">
            <v>43393</v>
          </cell>
        </row>
        <row r="15234">
          <cell r="A15234">
            <v>43427</v>
          </cell>
        </row>
        <row r="15235">
          <cell r="A15235">
            <v>43372</v>
          </cell>
        </row>
        <row r="15236">
          <cell r="A15236">
            <v>43793</v>
          </cell>
        </row>
        <row r="15237">
          <cell r="A15237">
            <v>43584</v>
          </cell>
        </row>
        <row r="15238">
          <cell r="A15238">
            <v>43658</v>
          </cell>
        </row>
        <row r="15239">
          <cell r="A15239">
            <v>43422</v>
          </cell>
        </row>
        <row r="15240">
          <cell r="A15240">
            <v>43365</v>
          </cell>
        </row>
        <row r="15241">
          <cell r="A15241">
            <v>43698</v>
          </cell>
        </row>
        <row r="15242">
          <cell r="A15242">
            <v>43684</v>
          </cell>
        </row>
        <row r="15243">
          <cell r="A15243">
            <v>43704</v>
          </cell>
        </row>
        <row r="15244">
          <cell r="A15244">
            <v>43498</v>
          </cell>
        </row>
        <row r="15245">
          <cell r="A15245">
            <v>43533</v>
          </cell>
        </row>
        <row r="15246">
          <cell r="A15246">
            <v>43912</v>
          </cell>
        </row>
        <row r="15247">
          <cell r="A15247">
            <v>43476</v>
          </cell>
        </row>
        <row r="15248">
          <cell r="A15248">
            <v>43157</v>
          </cell>
        </row>
        <row r="15249">
          <cell r="A15249">
            <v>43433</v>
          </cell>
        </row>
        <row r="15250">
          <cell r="A15250">
            <v>43328</v>
          </cell>
        </row>
        <row r="15251">
          <cell r="A15251">
            <v>43859</v>
          </cell>
        </row>
        <row r="15252">
          <cell r="A15252">
            <v>43480</v>
          </cell>
        </row>
        <row r="15253">
          <cell r="A15253">
            <v>43322</v>
          </cell>
        </row>
        <row r="15254">
          <cell r="A15254">
            <v>43481</v>
          </cell>
        </row>
        <row r="15255">
          <cell r="A15255">
            <v>43526</v>
          </cell>
        </row>
        <row r="15256">
          <cell r="A15256">
            <v>43721</v>
          </cell>
        </row>
        <row r="15257">
          <cell r="A15257">
            <v>43281</v>
          </cell>
        </row>
        <row r="15258">
          <cell r="A15258">
            <v>43617</v>
          </cell>
        </row>
        <row r="15259">
          <cell r="A15259">
            <v>43761</v>
          </cell>
        </row>
        <row r="15260">
          <cell r="A15260">
            <v>43126</v>
          </cell>
        </row>
        <row r="15261">
          <cell r="A15261">
            <v>43278</v>
          </cell>
        </row>
        <row r="15262">
          <cell r="A15262">
            <v>43652</v>
          </cell>
        </row>
        <row r="15263">
          <cell r="A15263">
            <v>43586</v>
          </cell>
        </row>
        <row r="15264">
          <cell r="A15264">
            <v>43790</v>
          </cell>
        </row>
        <row r="15265">
          <cell r="A15265">
            <v>43249</v>
          </cell>
        </row>
        <row r="15266">
          <cell r="A15266">
            <v>43499</v>
          </cell>
        </row>
        <row r="15267">
          <cell r="A15267">
            <v>43445</v>
          </cell>
        </row>
        <row r="15268">
          <cell r="A15268">
            <v>43636</v>
          </cell>
        </row>
        <row r="15269">
          <cell r="A15269">
            <v>43645</v>
          </cell>
        </row>
        <row r="15270">
          <cell r="A15270">
            <v>43156</v>
          </cell>
        </row>
        <row r="15271">
          <cell r="A15271">
            <v>43730</v>
          </cell>
        </row>
        <row r="15272">
          <cell r="A15272">
            <v>43248</v>
          </cell>
        </row>
        <row r="15273">
          <cell r="A15273">
            <v>43890</v>
          </cell>
        </row>
        <row r="15274">
          <cell r="A15274">
            <v>43530</v>
          </cell>
        </row>
        <row r="15275">
          <cell r="A15275">
            <v>43381</v>
          </cell>
        </row>
        <row r="15276">
          <cell r="A15276">
            <v>43707</v>
          </cell>
        </row>
        <row r="15277">
          <cell r="A15277">
            <v>43249</v>
          </cell>
        </row>
        <row r="15278">
          <cell r="A15278">
            <v>43592</v>
          </cell>
        </row>
        <row r="15279">
          <cell r="A15279">
            <v>43883</v>
          </cell>
        </row>
        <row r="15280">
          <cell r="A15280">
            <v>43234</v>
          </cell>
        </row>
        <row r="15281">
          <cell r="A15281">
            <v>43181</v>
          </cell>
        </row>
        <row r="15282">
          <cell r="A15282">
            <v>43376</v>
          </cell>
        </row>
        <row r="15283">
          <cell r="A15283">
            <v>43752</v>
          </cell>
        </row>
        <row r="15284">
          <cell r="A15284">
            <v>43566</v>
          </cell>
        </row>
        <row r="15285">
          <cell r="A15285">
            <v>43327</v>
          </cell>
        </row>
        <row r="15286">
          <cell r="A15286">
            <v>43804</v>
          </cell>
        </row>
        <row r="15287">
          <cell r="A15287">
            <v>43535</v>
          </cell>
        </row>
        <row r="15288">
          <cell r="A15288">
            <v>43911</v>
          </cell>
        </row>
        <row r="15289">
          <cell r="A15289">
            <v>43443</v>
          </cell>
        </row>
        <row r="15290">
          <cell r="A15290">
            <v>43643</v>
          </cell>
        </row>
        <row r="15291">
          <cell r="A15291">
            <v>43213</v>
          </cell>
        </row>
        <row r="15292">
          <cell r="A15292">
            <v>43618</v>
          </cell>
        </row>
        <row r="15293">
          <cell r="A15293">
            <v>43772</v>
          </cell>
        </row>
        <row r="15294">
          <cell r="A15294">
            <v>43673</v>
          </cell>
        </row>
        <row r="15295">
          <cell r="A15295">
            <v>43320</v>
          </cell>
        </row>
        <row r="15296">
          <cell r="A15296">
            <v>43906</v>
          </cell>
        </row>
        <row r="15297">
          <cell r="A15297">
            <v>43448</v>
          </cell>
        </row>
        <row r="15298">
          <cell r="A15298">
            <v>43175</v>
          </cell>
        </row>
        <row r="15299">
          <cell r="A15299">
            <v>43167</v>
          </cell>
        </row>
        <row r="15300">
          <cell r="A15300">
            <v>43712</v>
          </cell>
        </row>
        <row r="15301">
          <cell r="A15301">
            <v>43888</v>
          </cell>
        </row>
        <row r="15302">
          <cell r="A15302">
            <v>43268</v>
          </cell>
        </row>
        <row r="15303">
          <cell r="A15303">
            <v>43823</v>
          </cell>
        </row>
        <row r="15304">
          <cell r="A15304">
            <v>43374</v>
          </cell>
        </row>
        <row r="15305">
          <cell r="A15305">
            <v>43360</v>
          </cell>
        </row>
        <row r="15306">
          <cell r="A15306">
            <v>43592</v>
          </cell>
        </row>
        <row r="15307">
          <cell r="A15307">
            <v>43750</v>
          </cell>
        </row>
        <row r="15308">
          <cell r="A15308">
            <v>43484</v>
          </cell>
        </row>
        <row r="15309">
          <cell r="A15309">
            <v>43343</v>
          </cell>
        </row>
        <row r="15310">
          <cell r="A15310">
            <v>43642</v>
          </cell>
        </row>
        <row r="15311">
          <cell r="A15311">
            <v>43463</v>
          </cell>
        </row>
        <row r="15312">
          <cell r="A15312">
            <v>43172</v>
          </cell>
        </row>
        <row r="15313">
          <cell r="A15313">
            <v>43576</v>
          </cell>
        </row>
        <row r="15314">
          <cell r="A15314">
            <v>43354</v>
          </cell>
        </row>
        <row r="15315">
          <cell r="A15315">
            <v>43605</v>
          </cell>
        </row>
        <row r="15316">
          <cell r="A15316">
            <v>43833</v>
          </cell>
        </row>
        <row r="15317">
          <cell r="A15317">
            <v>43731</v>
          </cell>
        </row>
        <row r="15318">
          <cell r="A15318">
            <v>43833</v>
          </cell>
        </row>
        <row r="15319">
          <cell r="A15319">
            <v>43589</v>
          </cell>
        </row>
        <row r="15320">
          <cell r="A15320">
            <v>43690</v>
          </cell>
        </row>
        <row r="15321">
          <cell r="A15321">
            <v>43115</v>
          </cell>
        </row>
        <row r="15322">
          <cell r="A15322">
            <v>43875</v>
          </cell>
        </row>
        <row r="15323">
          <cell r="A15323">
            <v>43258</v>
          </cell>
        </row>
        <row r="15324">
          <cell r="A15324">
            <v>43794</v>
          </cell>
        </row>
        <row r="15325">
          <cell r="A15325">
            <v>43471</v>
          </cell>
        </row>
        <row r="15326">
          <cell r="A15326">
            <v>43819</v>
          </cell>
        </row>
        <row r="15327">
          <cell r="A15327">
            <v>43254</v>
          </cell>
        </row>
        <row r="15328">
          <cell r="A15328">
            <v>43291</v>
          </cell>
        </row>
        <row r="15329">
          <cell r="A15329">
            <v>43853</v>
          </cell>
        </row>
        <row r="15330">
          <cell r="A15330">
            <v>43431</v>
          </cell>
        </row>
        <row r="15331">
          <cell r="A15331">
            <v>43744</v>
          </cell>
        </row>
        <row r="15332">
          <cell r="A15332">
            <v>43156</v>
          </cell>
        </row>
        <row r="15333">
          <cell r="A15333">
            <v>43681</v>
          </cell>
        </row>
        <row r="15334">
          <cell r="A15334">
            <v>43676</v>
          </cell>
        </row>
        <row r="15335">
          <cell r="A15335">
            <v>43342</v>
          </cell>
        </row>
        <row r="15336">
          <cell r="A15336">
            <v>43146</v>
          </cell>
        </row>
        <row r="15337">
          <cell r="A15337">
            <v>43651</v>
          </cell>
        </row>
        <row r="15338">
          <cell r="A15338">
            <v>43175</v>
          </cell>
        </row>
        <row r="15339">
          <cell r="A15339">
            <v>43818</v>
          </cell>
        </row>
        <row r="15340">
          <cell r="A15340">
            <v>43204</v>
          </cell>
        </row>
        <row r="15341">
          <cell r="A15341">
            <v>43780</v>
          </cell>
        </row>
        <row r="15342">
          <cell r="A15342">
            <v>43858</v>
          </cell>
        </row>
        <row r="15343">
          <cell r="A15343">
            <v>43557</v>
          </cell>
        </row>
        <row r="15344">
          <cell r="A15344">
            <v>43685</v>
          </cell>
        </row>
        <row r="15345">
          <cell r="A15345">
            <v>43601</v>
          </cell>
        </row>
        <row r="15346">
          <cell r="A15346">
            <v>43623</v>
          </cell>
        </row>
        <row r="15347">
          <cell r="A15347">
            <v>43719</v>
          </cell>
        </row>
        <row r="15348">
          <cell r="A15348">
            <v>43505</v>
          </cell>
        </row>
        <row r="15349">
          <cell r="A15349">
            <v>43694</v>
          </cell>
        </row>
        <row r="15350">
          <cell r="A15350">
            <v>43301</v>
          </cell>
        </row>
        <row r="15351">
          <cell r="A15351">
            <v>43751</v>
          </cell>
        </row>
        <row r="15352">
          <cell r="A15352">
            <v>43529</v>
          </cell>
        </row>
        <row r="15353">
          <cell r="A15353">
            <v>43107</v>
          </cell>
        </row>
        <row r="15354">
          <cell r="A15354">
            <v>43615</v>
          </cell>
        </row>
        <row r="15355">
          <cell r="A15355">
            <v>43701</v>
          </cell>
        </row>
        <row r="15356">
          <cell r="A15356">
            <v>43131</v>
          </cell>
        </row>
        <row r="15357">
          <cell r="A15357">
            <v>43841</v>
          </cell>
        </row>
        <row r="15358">
          <cell r="A15358">
            <v>43620</v>
          </cell>
        </row>
        <row r="15359">
          <cell r="A15359">
            <v>43830</v>
          </cell>
        </row>
        <row r="15360">
          <cell r="A15360">
            <v>43834</v>
          </cell>
        </row>
        <row r="15361">
          <cell r="A15361">
            <v>43436</v>
          </cell>
        </row>
        <row r="15362">
          <cell r="A15362">
            <v>43154</v>
          </cell>
        </row>
        <row r="15363">
          <cell r="A15363">
            <v>43884</v>
          </cell>
        </row>
        <row r="15364">
          <cell r="A15364">
            <v>43661</v>
          </cell>
        </row>
        <row r="15365">
          <cell r="A15365">
            <v>43778</v>
          </cell>
        </row>
        <row r="15366">
          <cell r="A15366">
            <v>43336</v>
          </cell>
        </row>
        <row r="15367">
          <cell r="A15367">
            <v>43778</v>
          </cell>
        </row>
        <row r="15368">
          <cell r="A15368">
            <v>43900</v>
          </cell>
        </row>
        <row r="15369">
          <cell r="A15369">
            <v>43879</v>
          </cell>
        </row>
        <row r="15370">
          <cell r="A15370">
            <v>43900</v>
          </cell>
        </row>
        <row r="15371">
          <cell r="A15371">
            <v>43711</v>
          </cell>
        </row>
        <row r="15372">
          <cell r="A15372">
            <v>43842</v>
          </cell>
        </row>
        <row r="15373">
          <cell r="A15373">
            <v>43409</v>
          </cell>
        </row>
        <row r="15374">
          <cell r="A15374">
            <v>43512</v>
          </cell>
        </row>
        <row r="15375">
          <cell r="A15375">
            <v>43441</v>
          </cell>
        </row>
        <row r="15376">
          <cell r="A15376">
            <v>43571</v>
          </cell>
        </row>
        <row r="15377">
          <cell r="A15377">
            <v>43123</v>
          </cell>
        </row>
        <row r="15378">
          <cell r="A15378">
            <v>43819</v>
          </cell>
        </row>
        <row r="15379">
          <cell r="A15379">
            <v>43746</v>
          </cell>
        </row>
        <row r="15380">
          <cell r="A15380">
            <v>43156</v>
          </cell>
        </row>
        <row r="15381">
          <cell r="A15381">
            <v>43269</v>
          </cell>
        </row>
        <row r="15382">
          <cell r="A15382">
            <v>43623</v>
          </cell>
        </row>
        <row r="15383">
          <cell r="A15383">
            <v>43852</v>
          </cell>
        </row>
        <row r="15384">
          <cell r="A15384">
            <v>43425</v>
          </cell>
        </row>
        <row r="15385">
          <cell r="A15385">
            <v>43573</v>
          </cell>
        </row>
        <row r="15386">
          <cell r="A15386">
            <v>43253</v>
          </cell>
        </row>
        <row r="15387">
          <cell r="A15387">
            <v>43298</v>
          </cell>
        </row>
        <row r="15388">
          <cell r="A15388">
            <v>43541</v>
          </cell>
        </row>
        <row r="15389">
          <cell r="A15389">
            <v>43546</v>
          </cell>
        </row>
        <row r="15390">
          <cell r="A15390">
            <v>43465</v>
          </cell>
        </row>
        <row r="15391">
          <cell r="A15391">
            <v>43280</v>
          </cell>
        </row>
        <row r="15392">
          <cell r="A15392">
            <v>43618</v>
          </cell>
        </row>
        <row r="15393">
          <cell r="A15393">
            <v>43712</v>
          </cell>
        </row>
        <row r="15394">
          <cell r="A15394">
            <v>43334</v>
          </cell>
        </row>
        <row r="15395">
          <cell r="A15395">
            <v>43738</v>
          </cell>
        </row>
        <row r="15396">
          <cell r="A15396">
            <v>43173</v>
          </cell>
        </row>
        <row r="15397">
          <cell r="A15397">
            <v>43186</v>
          </cell>
        </row>
        <row r="15398">
          <cell r="A15398">
            <v>43114</v>
          </cell>
        </row>
        <row r="15399">
          <cell r="A15399">
            <v>43226</v>
          </cell>
        </row>
        <row r="15400">
          <cell r="A15400">
            <v>43500</v>
          </cell>
        </row>
        <row r="15401">
          <cell r="A15401">
            <v>43279</v>
          </cell>
        </row>
        <row r="15402">
          <cell r="A15402">
            <v>43532</v>
          </cell>
        </row>
        <row r="15403">
          <cell r="A15403">
            <v>43118</v>
          </cell>
        </row>
        <row r="15404">
          <cell r="A15404">
            <v>43282</v>
          </cell>
        </row>
        <row r="15405">
          <cell r="A15405">
            <v>43474</v>
          </cell>
        </row>
        <row r="15406">
          <cell r="A15406">
            <v>43532</v>
          </cell>
        </row>
        <row r="15407">
          <cell r="A15407">
            <v>43389</v>
          </cell>
        </row>
        <row r="15408">
          <cell r="A15408">
            <v>43705</v>
          </cell>
        </row>
        <row r="15409">
          <cell r="A15409">
            <v>43391</v>
          </cell>
        </row>
        <row r="15410">
          <cell r="A15410">
            <v>43615</v>
          </cell>
        </row>
        <row r="15411">
          <cell r="A15411">
            <v>43148</v>
          </cell>
        </row>
        <row r="15412">
          <cell r="A15412">
            <v>43812</v>
          </cell>
        </row>
        <row r="15413">
          <cell r="A15413">
            <v>43670</v>
          </cell>
        </row>
        <row r="15414">
          <cell r="A15414">
            <v>43271</v>
          </cell>
        </row>
        <row r="15415">
          <cell r="A15415">
            <v>43407</v>
          </cell>
        </row>
        <row r="15416">
          <cell r="A15416">
            <v>43769</v>
          </cell>
        </row>
        <row r="15417">
          <cell r="A15417">
            <v>43812</v>
          </cell>
        </row>
        <row r="15418">
          <cell r="A15418">
            <v>43187</v>
          </cell>
        </row>
        <row r="15419">
          <cell r="A15419">
            <v>43212</v>
          </cell>
        </row>
        <row r="15420">
          <cell r="A15420">
            <v>43517</v>
          </cell>
        </row>
        <row r="15421">
          <cell r="A15421">
            <v>43630</v>
          </cell>
        </row>
        <row r="15422">
          <cell r="A15422">
            <v>43201</v>
          </cell>
        </row>
        <row r="15423">
          <cell r="A15423">
            <v>43457</v>
          </cell>
        </row>
        <row r="15424">
          <cell r="A15424">
            <v>43511</v>
          </cell>
        </row>
        <row r="15425">
          <cell r="A15425">
            <v>43308</v>
          </cell>
        </row>
        <row r="15426">
          <cell r="A15426">
            <v>43672</v>
          </cell>
        </row>
        <row r="15427">
          <cell r="A15427">
            <v>43698</v>
          </cell>
        </row>
        <row r="15428">
          <cell r="A15428">
            <v>43788</v>
          </cell>
        </row>
        <row r="15429">
          <cell r="A15429">
            <v>43126</v>
          </cell>
        </row>
        <row r="15430">
          <cell r="A15430">
            <v>43847</v>
          </cell>
        </row>
        <row r="15431">
          <cell r="A15431">
            <v>43172</v>
          </cell>
        </row>
        <row r="15432">
          <cell r="A15432">
            <v>43240</v>
          </cell>
        </row>
        <row r="15433">
          <cell r="A15433">
            <v>43286</v>
          </cell>
        </row>
        <row r="15434">
          <cell r="A15434">
            <v>43263</v>
          </cell>
        </row>
        <row r="15435">
          <cell r="A15435">
            <v>43337</v>
          </cell>
        </row>
        <row r="15436">
          <cell r="A15436">
            <v>43802</v>
          </cell>
        </row>
        <row r="15437">
          <cell r="A15437">
            <v>43660</v>
          </cell>
        </row>
        <row r="15438">
          <cell r="A15438">
            <v>43317</v>
          </cell>
        </row>
        <row r="15439">
          <cell r="A15439">
            <v>43825</v>
          </cell>
        </row>
        <row r="15440">
          <cell r="A15440">
            <v>43103</v>
          </cell>
        </row>
        <row r="15441">
          <cell r="A15441">
            <v>43511</v>
          </cell>
        </row>
        <row r="15442">
          <cell r="A15442">
            <v>43854</v>
          </cell>
        </row>
        <row r="15443">
          <cell r="A15443">
            <v>43687</v>
          </cell>
        </row>
        <row r="15444">
          <cell r="A15444">
            <v>43482</v>
          </cell>
        </row>
        <row r="15445">
          <cell r="A15445">
            <v>43546</v>
          </cell>
        </row>
        <row r="15446">
          <cell r="A15446">
            <v>43640</v>
          </cell>
        </row>
        <row r="15447">
          <cell r="A15447">
            <v>43250</v>
          </cell>
        </row>
        <row r="15448">
          <cell r="A15448">
            <v>43158</v>
          </cell>
        </row>
        <row r="15449">
          <cell r="A15449">
            <v>43908</v>
          </cell>
        </row>
        <row r="15450">
          <cell r="A15450">
            <v>43680</v>
          </cell>
        </row>
        <row r="15451">
          <cell r="A15451">
            <v>43722</v>
          </cell>
        </row>
        <row r="15452">
          <cell r="A15452">
            <v>43741</v>
          </cell>
        </row>
        <row r="15453">
          <cell r="A15453">
            <v>43473</v>
          </cell>
        </row>
        <row r="15454">
          <cell r="A15454">
            <v>43431</v>
          </cell>
        </row>
        <row r="15455">
          <cell r="A15455">
            <v>43830</v>
          </cell>
        </row>
        <row r="15456">
          <cell r="A15456">
            <v>43893</v>
          </cell>
        </row>
        <row r="15457">
          <cell r="A15457">
            <v>43314</v>
          </cell>
        </row>
        <row r="15458">
          <cell r="A15458">
            <v>43433</v>
          </cell>
        </row>
        <row r="15459">
          <cell r="A15459">
            <v>43716</v>
          </cell>
        </row>
        <row r="15460">
          <cell r="A15460">
            <v>43609</v>
          </cell>
        </row>
        <row r="15461">
          <cell r="A15461">
            <v>43438</v>
          </cell>
        </row>
        <row r="15462">
          <cell r="A15462">
            <v>43851</v>
          </cell>
        </row>
        <row r="15463">
          <cell r="A15463">
            <v>43267</v>
          </cell>
        </row>
        <row r="15464">
          <cell r="A15464">
            <v>43210</v>
          </cell>
        </row>
        <row r="15465">
          <cell r="A15465">
            <v>43816</v>
          </cell>
        </row>
        <row r="15466">
          <cell r="A15466">
            <v>43195</v>
          </cell>
        </row>
        <row r="15467">
          <cell r="A15467">
            <v>43399</v>
          </cell>
        </row>
        <row r="15468">
          <cell r="A15468">
            <v>43112</v>
          </cell>
        </row>
        <row r="15469">
          <cell r="A15469">
            <v>43914</v>
          </cell>
        </row>
        <row r="15470">
          <cell r="A15470">
            <v>43383</v>
          </cell>
        </row>
        <row r="15471">
          <cell r="A15471">
            <v>43682</v>
          </cell>
        </row>
        <row r="15472">
          <cell r="A15472">
            <v>43512</v>
          </cell>
        </row>
        <row r="15473">
          <cell r="A15473">
            <v>43861</v>
          </cell>
        </row>
        <row r="15474">
          <cell r="A15474">
            <v>43883</v>
          </cell>
        </row>
        <row r="15475">
          <cell r="A15475">
            <v>43810</v>
          </cell>
        </row>
        <row r="15476">
          <cell r="A15476">
            <v>43291</v>
          </cell>
        </row>
        <row r="15477">
          <cell r="A15477">
            <v>43826</v>
          </cell>
        </row>
        <row r="15478">
          <cell r="A15478">
            <v>43169</v>
          </cell>
        </row>
        <row r="15479">
          <cell r="A15479">
            <v>43788</v>
          </cell>
        </row>
        <row r="15480">
          <cell r="A15480">
            <v>43561</v>
          </cell>
        </row>
        <row r="15481">
          <cell r="A15481">
            <v>43574</v>
          </cell>
        </row>
        <row r="15482">
          <cell r="A15482">
            <v>43773</v>
          </cell>
        </row>
        <row r="15483">
          <cell r="A15483">
            <v>43511</v>
          </cell>
        </row>
        <row r="15484">
          <cell r="A15484">
            <v>43698</v>
          </cell>
        </row>
        <row r="15485">
          <cell r="A15485">
            <v>43763</v>
          </cell>
        </row>
        <row r="15486">
          <cell r="A15486">
            <v>43612</v>
          </cell>
        </row>
        <row r="15487">
          <cell r="A15487">
            <v>43752</v>
          </cell>
        </row>
        <row r="15488">
          <cell r="A15488">
            <v>43162</v>
          </cell>
        </row>
        <row r="15489">
          <cell r="A15489">
            <v>43397</v>
          </cell>
        </row>
        <row r="15490">
          <cell r="A15490">
            <v>43881</v>
          </cell>
        </row>
        <row r="15491">
          <cell r="A15491">
            <v>43886</v>
          </cell>
        </row>
        <row r="15492">
          <cell r="A15492">
            <v>43553</v>
          </cell>
        </row>
        <row r="15493">
          <cell r="A15493">
            <v>43437</v>
          </cell>
        </row>
        <row r="15494">
          <cell r="A15494">
            <v>43812</v>
          </cell>
        </row>
        <row r="15495">
          <cell r="A15495">
            <v>43504</v>
          </cell>
        </row>
        <row r="15496">
          <cell r="A15496">
            <v>43703</v>
          </cell>
        </row>
        <row r="15497">
          <cell r="A15497">
            <v>43232</v>
          </cell>
        </row>
        <row r="15498">
          <cell r="A15498">
            <v>43463</v>
          </cell>
        </row>
        <row r="15499">
          <cell r="A15499">
            <v>43108</v>
          </cell>
        </row>
        <row r="15500">
          <cell r="A15500">
            <v>43287</v>
          </cell>
        </row>
        <row r="15501">
          <cell r="A15501">
            <v>43287</v>
          </cell>
        </row>
        <row r="15502">
          <cell r="A15502">
            <v>43174</v>
          </cell>
        </row>
        <row r="15503">
          <cell r="A15503">
            <v>43422</v>
          </cell>
        </row>
        <row r="15504">
          <cell r="A15504">
            <v>43670</v>
          </cell>
        </row>
        <row r="15505">
          <cell r="A15505">
            <v>43409</v>
          </cell>
        </row>
        <row r="15506">
          <cell r="A15506">
            <v>43734</v>
          </cell>
        </row>
        <row r="15507">
          <cell r="A15507">
            <v>43711</v>
          </cell>
        </row>
        <row r="15508">
          <cell r="A15508">
            <v>43188</v>
          </cell>
        </row>
        <row r="15509">
          <cell r="A15509">
            <v>43306</v>
          </cell>
        </row>
        <row r="15510">
          <cell r="A15510">
            <v>43860</v>
          </cell>
        </row>
        <row r="15511">
          <cell r="A15511">
            <v>43752</v>
          </cell>
        </row>
        <row r="15512">
          <cell r="A15512">
            <v>43702</v>
          </cell>
        </row>
        <row r="15513">
          <cell r="A15513">
            <v>43197</v>
          </cell>
        </row>
        <row r="15514">
          <cell r="A15514">
            <v>43682</v>
          </cell>
        </row>
        <row r="15515">
          <cell r="A15515">
            <v>43309</v>
          </cell>
        </row>
        <row r="15516">
          <cell r="A15516">
            <v>43650</v>
          </cell>
        </row>
        <row r="15517">
          <cell r="A15517">
            <v>43392</v>
          </cell>
        </row>
        <row r="15518">
          <cell r="A15518">
            <v>43280</v>
          </cell>
        </row>
        <row r="15519">
          <cell r="A15519">
            <v>43611</v>
          </cell>
        </row>
        <row r="15520">
          <cell r="A15520">
            <v>43648</v>
          </cell>
        </row>
        <row r="15521">
          <cell r="A15521">
            <v>43210</v>
          </cell>
        </row>
        <row r="15522">
          <cell r="A15522">
            <v>43832</v>
          </cell>
        </row>
        <row r="15523">
          <cell r="A15523">
            <v>43491</v>
          </cell>
        </row>
        <row r="15524">
          <cell r="A15524">
            <v>43535</v>
          </cell>
        </row>
        <row r="15525">
          <cell r="A15525">
            <v>43687</v>
          </cell>
        </row>
        <row r="15526">
          <cell r="A15526">
            <v>43573</v>
          </cell>
        </row>
        <row r="15527">
          <cell r="A15527">
            <v>43372</v>
          </cell>
        </row>
        <row r="15528">
          <cell r="A15528">
            <v>43748</v>
          </cell>
        </row>
        <row r="15529">
          <cell r="A15529">
            <v>43383</v>
          </cell>
        </row>
        <row r="15530">
          <cell r="A15530">
            <v>43250</v>
          </cell>
        </row>
        <row r="15531">
          <cell r="A15531">
            <v>43219</v>
          </cell>
        </row>
        <row r="15532">
          <cell r="A15532">
            <v>43115</v>
          </cell>
        </row>
        <row r="15533">
          <cell r="A15533">
            <v>43157</v>
          </cell>
        </row>
        <row r="15534">
          <cell r="A15534">
            <v>43761</v>
          </cell>
        </row>
        <row r="15535">
          <cell r="A15535">
            <v>43183</v>
          </cell>
        </row>
        <row r="15536">
          <cell r="A15536">
            <v>43773</v>
          </cell>
        </row>
        <row r="15537">
          <cell r="A15537">
            <v>43635</v>
          </cell>
        </row>
        <row r="15538">
          <cell r="A15538">
            <v>43503</v>
          </cell>
        </row>
        <row r="15539">
          <cell r="A15539">
            <v>43484</v>
          </cell>
        </row>
        <row r="15540">
          <cell r="A15540">
            <v>43241</v>
          </cell>
        </row>
        <row r="15541">
          <cell r="A15541">
            <v>43493</v>
          </cell>
        </row>
        <row r="15542">
          <cell r="A15542">
            <v>43142</v>
          </cell>
        </row>
        <row r="15543">
          <cell r="A15543">
            <v>43253</v>
          </cell>
        </row>
        <row r="15544">
          <cell r="A15544">
            <v>43771</v>
          </cell>
        </row>
        <row r="15545">
          <cell r="A15545">
            <v>43154</v>
          </cell>
        </row>
        <row r="15546">
          <cell r="A15546">
            <v>43623</v>
          </cell>
        </row>
        <row r="15547">
          <cell r="A15547">
            <v>43692</v>
          </cell>
        </row>
        <row r="15548">
          <cell r="A15548">
            <v>43688</v>
          </cell>
        </row>
        <row r="15549">
          <cell r="A15549">
            <v>43582</v>
          </cell>
        </row>
        <row r="15550">
          <cell r="A15550">
            <v>43373</v>
          </cell>
        </row>
        <row r="15551">
          <cell r="A15551">
            <v>43749</v>
          </cell>
        </row>
        <row r="15552">
          <cell r="A15552">
            <v>43719</v>
          </cell>
        </row>
        <row r="15553">
          <cell r="A15553">
            <v>43808</v>
          </cell>
        </row>
        <row r="15554">
          <cell r="A15554">
            <v>43686</v>
          </cell>
        </row>
        <row r="15555">
          <cell r="A15555">
            <v>43737</v>
          </cell>
        </row>
        <row r="15556">
          <cell r="A15556">
            <v>43447</v>
          </cell>
        </row>
        <row r="15557">
          <cell r="A15557">
            <v>43653</v>
          </cell>
        </row>
        <row r="15558">
          <cell r="A15558">
            <v>43280</v>
          </cell>
        </row>
        <row r="15559">
          <cell r="A15559">
            <v>43459</v>
          </cell>
        </row>
        <row r="15560">
          <cell r="A15560">
            <v>43353</v>
          </cell>
        </row>
        <row r="15561">
          <cell r="A15561">
            <v>43460</v>
          </cell>
        </row>
        <row r="15562">
          <cell r="A15562">
            <v>43565</v>
          </cell>
        </row>
        <row r="15563">
          <cell r="A15563">
            <v>43293</v>
          </cell>
        </row>
        <row r="15564">
          <cell r="A15564">
            <v>43531</v>
          </cell>
        </row>
        <row r="15565">
          <cell r="A15565">
            <v>43510</v>
          </cell>
        </row>
        <row r="15566">
          <cell r="A15566">
            <v>43570</v>
          </cell>
        </row>
        <row r="15567">
          <cell r="A15567">
            <v>43792</v>
          </cell>
        </row>
        <row r="15568">
          <cell r="A15568">
            <v>43500</v>
          </cell>
        </row>
        <row r="15569">
          <cell r="A15569">
            <v>43613</v>
          </cell>
        </row>
        <row r="15570">
          <cell r="A15570">
            <v>43530</v>
          </cell>
        </row>
        <row r="15571">
          <cell r="A15571">
            <v>43265</v>
          </cell>
        </row>
        <row r="15572">
          <cell r="A15572">
            <v>43822</v>
          </cell>
        </row>
        <row r="15573">
          <cell r="A15573">
            <v>43749</v>
          </cell>
        </row>
        <row r="15574">
          <cell r="A15574">
            <v>43644</v>
          </cell>
        </row>
        <row r="15575">
          <cell r="A15575">
            <v>43913</v>
          </cell>
        </row>
        <row r="15576">
          <cell r="A15576">
            <v>43914</v>
          </cell>
        </row>
        <row r="15577">
          <cell r="A15577">
            <v>43544</v>
          </cell>
        </row>
        <row r="15578">
          <cell r="A15578">
            <v>43281</v>
          </cell>
        </row>
        <row r="15579">
          <cell r="A15579">
            <v>43614</v>
          </cell>
        </row>
        <row r="15580">
          <cell r="A15580">
            <v>43650</v>
          </cell>
        </row>
        <row r="15581">
          <cell r="A15581">
            <v>43380</v>
          </cell>
        </row>
        <row r="15582">
          <cell r="A15582">
            <v>43120</v>
          </cell>
        </row>
        <row r="15583">
          <cell r="A15583">
            <v>43427</v>
          </cell>
        </row>
        <row r="15584">
          <cell r="A15584">
            <v>43706</v>
          </cell>
        </row>
        <row r="15585">
          <cell r="A15585">
            <v>43434</v>
          </cell>
        </row>
        <row r="15586">
          <cell r="A15586">
            <v>43808</v>
          </cell>
        </row>
        <row r="15587">
          <cell r="A15587">
            <v>43441</v>
          </cell>
        </row>
        <row r="15588">
          <cell r="A15588">
            <v>43341</v>
          </cell>
        </row>
        <row r="15589">
          <cell r="A15589">
            <v>43742</v>
          </cell>
        </row>
        <row r="15590">
          <cell r="A15590">
            <v>43879</v>
          </cell>
        </row>
        <row r="15591">
          <cell r="A15591">
            <v>43704</v>
          </cell>
        </row>
        <row r="15592">
          <cell r="A15592">
            <v>43632</v>
          </cell>
        </row>
        <row r="15593">
          <cell r="A15593">
            <v>43804</v>
          </cell>
        </row>
        <row r="15594">
          <cell r="A15594">
            <v>43516</v>
          </cell>
        </row>
        <row r="15595">
          <cell r="A15595">
            <v>43411</v>
          </cell>
        </row>
        <row r="15596">
          <cell r="A15596">
            <v>43871</v>
          </cell>
        </row>
        <row r="15597">
          <cell r="A15597">
            <v>43401</v>
          </cell>
        </row>
        <row r="15598">
          <cell r="A15598">
            <v>43702</v>
          </cell>
        </row>
        <row r="15599">
          <cell r="A15599">
            <v>43764</v>
          </cell>
        </row>
        <row r="15600">
          <cell r="A15600">
            <v>43732</v>
          </cell>
        </row>
        <row r="15601">
          <cell r="A15601">
            <v>43213</v>
          </cell>
        </row>
        <row r="15602">
          <cell r="A15602">
            <v>43776</v>
          </cell>
        </row>
        <row r="15603">
          <cell r="A15603">
            <v>43729</v>
          </cell>
        </row>
        <row r="15604">
          <cell r="A15604">
            <v>43264</v>
          </cell>
        </row>
        <row r="15605">
          <cell r="A15605">
            <v>43713</v>
          </cell>
        </row>
        <row r="15606">
          <cell r="A15606">
            <v>43528</v>
          </cell>
        </row>
        <row r="15607">
          <cell r="A15607">
            <v>43546</v>
          </cell>
        </row>
        <row r="15608">
          <cell r="A15608">
            <v>43463</v>
          </cell>
        </row>
        <row r="15609">
          <cell r="A15609">
            <v>43568</v>
          </cell>
        </row>
        <row r="15610">
          <cell r="A15610">
            <v>43645</v>
          </cell>
        </row>
        <row r="15611">
          <cell r="A15611">
            <v>43820</v>
          </cell>
        </row>
        <row r="15612">
          <cell r="A15612">
            <v>43153</v>
          </cell>
        </row>
        <row r="15613">
          <cell r="A15613">
            <v>43504</v>
          </cell>
        </row>
        <row r="15614">
          <cell r="A15614">
            <v>43495</v>
          </cell>
        </row>
        <row r="15615">
          <cell r="A15615">
            <v>43258</v>
          </cell>
        </row>
        <row r="15616">
          <cell r="A15616">
            <v>43907</v>
          </cell>
        </row>
        <row r="15617">
          <cell r="A15617">
            <v>43632</v>
          </cell>
        </row>
        <row r="15618">
          <cell r="A15618">
            <v>43861</v>
          </cell>
        </row>
        <row r="15619">
          <cell r="A15619">
            <v>43221</v>
          </cell>
        </row>
        <row r="15620">
          <cell r="A15620">
            <v>43316</v>
          </cell>
        </row>
        <row r="15621">
          <cell r="A15621">
            <v>43840</v>
          </cell>
        </row>
        <row r="15622">
          <cell r="A15622">
            <v>43203</v>
          </cell>
        </row>
        <row r="15623">
          <cell r="A15623">
            <v>43208</v>
          </cell>
        </row>
        <row r="15624">
          <cell r="A15624">
            <v>43413</v>
          </cell>
        </row>
        <row r="15625">
          <cell r="A15625">
            <v>43869</v>
          </cell>
        </row>
        <row r="15626">
          <cell r="A15626">
            <v>43829</v>
          </cell>
        </row>
        <row r="15627">
          <cell r="A15627">
            <v>43167</v>
          </cell>
        </row>
        <row r="15628">
          <cell r="A15628">
            <v>43481</v>
          </cell>
        </row>
        <row r="15629">
          <cell r="A15629">
            <v>43564</v>
          </cell>
        </row>
        <row r="15630">
          <cell r="A15630">
            <v>43809</v>
          </cell>
        </row>
        <row r="15631">
          <cell r="A15631">
            <v>43915</v>
          </cell>
        </row>
        <row r="15632">
          <cell r="A15632">
            <v>43607</v>
          </cell>
        </row>
        <row r="15633">
          <cell r="A15633">
            <v>43604</v>
          </cell>
        </row>
        <row r="15634">
          <cell r="A15634">
            <v>43216</v>
          </cell>
        </row>
        <row r="15635">
          <cell r="A15635">
            <v>43864</v>
          </cell>
        </row>
        <row r="15636">
          <cell r="A15636">
            <v>43807</v>
          </cell>
        </row>
        <row r="15637">
          <cell r="A15637">
            <v>43326</v>
          </cell>
        </row>
        <row r="15638">
          <cell r="A15638">
            <v>43458</v>
          </cell>
        </row>
        <row r="15639">
          <cell r="A15639">
            <v>43387</v>
          </cell>
        </row>
        <row r="15640">
          <cell r="A15640">
            <v>43525</v>
          </cell>
        </row>
        <row r="15641">
          <cell r="A15641">
            <v>43281</v>
          </cell>
        </row>
        <row r="15642">
          <cell r="A15642">
            <v>43890</v>
          </cell>
        </row>
        <row r="15643">
          <cell r="A15643">
            <v>43545</v>
          </cell>
        </row>
        <row r="15644">
          <cell r="A15644">
            <v>43659</v>
          </cell>
        </row>
        <row r="15645">
          <cell r="A15645">
            <v>43431</v>
          </cell>
        </row>
        <row r="15646">
          <cell r="A15646">
            <v>43905</v>
          </cell>
        </row>
        <row r="15647">
          <cell r="A15647">
            <v>43623</v>
          </cell>
        </row>
        <row r="15648">
          <cell r="A15648">
            <v>43519</v>
          </cell>
        </row>
        <row r="15649">
          <cell r="A15649">
            <v>43747</v>
          </cell>
        </row>
        <row r="15650">
          <cell r="A15650">
            <v>43180</v>
          </cell>
        </row>
        <row r="15651">
          <cell r="A15651">
            <v>43718</v>
          </cell>
        </row>
        <row r="15652">
          <cell r="A15652">
            <v>43767</v>
          </cell>
        </row>
        <row r="15653">
          <cell r="A15653">
            <v>43430</v>
          </cell>
        </row>
        <row r="15654">
          <cell r="A15654">
            <v>43572</v>
          </cell>
        </row>
        <row r="15655">
          <cell r="A15655">
            <v>43651</v>
          </cell>
        </row>
        <row r="15656">
          <cell r="A15656">
            <v>43349</v>
          </cell>
        </row>
        <row r="15657">
          <cell r="A15657">
            <v>43472</v>
          </cell>
        </row>
        <row r="15658">
          <cell r="A15658">
            <v>43317</v>
          </cell>
        </row>
        <row r="15659">
          <cell r="A15659">
            <v>43487</v>
          </cell>
        </row>
        <row r="15660">
          <cell r="A15660">
            <v>43396</v>
          </cell>
        </row>
        <row r="15661">
          <cell r="A15661">
            <v>43902</v>
          </cell>
        </row>
        <row r="15662">
          <cell r="A15662">
            <v>43911</v>
          </cell>
        </row>
        <row r="15663">
          <cell r="A15663">
            <v>43887</v>
          </cell>
        </row>
        <row r="15664">
          <cell r="A15664">
            <v>43669</v>
          </cell>
        </row>
        <row r="15665">
          <cell r="A15665">
            <v>43198</v>
          </cell>
        </row>
        <row r="15666">
          <cell r="A15666">
            <v>43732</v>
          </cell>
        </row>
        <row r="15667">
          <cell r="A15667">
            <v>43727</v>
          </cell>
        </row>
        <row r="15668">
          <cell r="A15668">
            <v>43211</v>
          </cell>
        </row>
        <row r="15669">
          <cell r="A15669">
            <v>43171</v>
          </cell>
        </row>
        <row r="15670">
          <cell r="A15670">
            <v>43440</v>
          </cell>
        </row>
        <row r="15671">
          <cell r="A15671">
            <v>43657</v>
          </cell>
        </row>
        <row r="15672">
          <cell r="A15672">
            <v>43857</v>
          </cell>
        </row>
        <row r="15673">
          <cell r="A15673">
            <v>43317</v>
          </cell>
        </row>
        <row r="15674">
          <cell r="A15674">
            <v>43385</v>
          </cell>
        </row>
        <row r="15675">
          <cell r="A15675">
            <v>43207</v>
          </cell>
        </row>
        <row r="15676">
          <cell r="A15676">
            <v>43805</v>
          </cell>
        </row>
        <row r="15677">
          <cell r="A15677">
            <v>43757</v>
          </cell>
        </row>
        <row r="15678">
          <cell r="A15678">
            <v>43340</v>
          </cell>
        </row>
        <row r="15679">
          <cell r="A15679">
            <v>43125</v>
          </cell>
        </row>
        <row r="15680">
          <cell r="A15680">
            <v>43413</v>
          </cell>
        </row>
        <row r="15681">
          <cell r="A15681">
            <v>43410</v>
          </cell>
        </row>
        <row r="15682">
          <cell r="A15682">
            <v>43734</v>
          </cell>
        </row>
        <row r="15683">
          <cell r="A15683">
            <v>43224</v>
          </cell>
        </row>
        <row r="15684">
          <cell r="A15684">
            <v>43852</v>
          </cell>
        </row>
        <row r="15685">
          <cell r="A15685">
            <v>43870</v>
          </cell>
        </row>
        <row r="15686">
          <cell r="A15686">
            <v>43809</v>
          </cell>
        </row>
        <row r="15687">
          <cell r="A15687">
            <v>43390</v>
          </cell>
        </row>
        <row r="15688">
          <cell r="A15688">
            <v>43800</v>
          </cell>
        </row>
        <row r="15689">
          <cell r="A15689">
            <v>43778</v>
          </cell>
        </row>
        <row r="15690">
          <cell r="A15690">
            <v>43386</v>
          </cell>
        </row>
        <row r="15691">
          <cell r="A15691">
            <v>43297</v>
          </cell>
        </row>
        <row r="15692">
          <cell r="A15692">
            <v>43545</v>
          </cell>
        </row>
        <row r="15693">
          <cell r="A15693">
            <v>43882</v>
          </cell>
        </row>
        <row r="15694">
          <cell r="A15694">
            <v>43835</v>
          </cell>
        </row>
        <row r="15695">
          <cell r="A15695">
            <v>43686</v>
          </cell>
        </row>
        <row r="15696">
          <cell r="A15696">
            <v>43907</v>
          </cell>
        </row>
        <row r="15697">
          <cell r="A15697">
            <v>43360</v>
          </cell>
        </row>
        <row r="15698">
          <cell r="A15698">
            <v>43834</v>
          </cell>
        </row>
        <row r="15699">
          <cell r="A15699">
            <v>43569</v>
          </cell>
        </row>
        <row r="15700">
          <cell r="A15700">
            <v>43825</v>
          </cell>
        </row>
        <row r="15701">
          <cell r="A15701">
            <v>43541</v>
          </cell>
        </row>
        <row r="15702">
          <cell r="A15702">
            <v>43919</v>
          </cell>
        </row>
        <row r="15703">
          <cell r="A15703">
            <v>43181</v>
          </cell>
        </row>
        <row r="15704">
          <cell r="A15704">
            <v>43274</v>
          </cell>
        </row>
        <row r="15705">
          <cell r="A15705">
            <v>43824</v>
          </cell>
        </row>
        <row r="15706">
          <cell r="A15706">
            <v>43150</v>
          </cell>
        </row>
        <row r="15707">
          <cell r="A15707">
            <v>43524</v>
          </cell>
        </row>
        <row r="15708">
          <cell r="A15708">
            <v>43747</v>
          </cell>
        </row>
        <row r="15709">
          <cell r="A15709">
            <v>43404</v>
          </cell>
        </row>
        <row r="15710">
          <cell r="A15710">
            <v>43682</v>
          </cell>
        </row>
        <row r="15711">
          <cell r="A15711">
            <v>43508</v>
          </cell>
        </row>
        <row r="15712">
          <cell r="A15712">
            <v>43228</v>
          </cell>
        </row>
        <row r="15713">
          <cell r="A15713">
            <v>43730</v>
          </cell>
        </row>
        <row r="15714">
          <cell r="A15714">
            <v>43536</v>
          </cell>
        </row>
        <row r="15715">
          <cell r="A15715">
            <v>43703</v>
          </cell>
        </row>
        <row r="15716">
          <cell r="A15716">
            <v>43534</v>
          </cell>
        </row>
        <row r="15717">
          <cell r="A15717">
            <v>43784</v>
          </cell>
        </row>
        <row r="15718">
          <cell r="A15718">
            <v>43801</v>
          </cell>
        </row>
        <row r="15719">
          <cell r="A15719">
            <v>43721</v>
          </cell>
        </row>
        <row r="15720">
          <cell r="A15720">
            <v>43582</v>
          </cell>
        </row>
        <row r="15721">
          <cell r="A15721">
            <v>43628</v>
          </cell>
        </row>
        <row r="15722">
          <cell r="A15722">
            <v>43339</v>
          </cell>
        </row>
        <row r="15723">
          <cell r="A15723">
            <v>43725</v>
          </cell>
        </row>
        <row r="15724">
          <cell r="A15724">
            <v>43850</v>
          </cell>
        </row>
        <row r="15725">
          <cell r="A15725">
            <v>43282</v>
          </cell>
        </row>
        <row r="15726">
          <cell r="A15726">
            <v>43663</v>
          </cell>
        </row>
        <row r="15727">
          <cell r="A15727">
            <v>43581</v>
          </cell>
        </row>
        <row r="15728">
          <cell r="A15728">
            <v>43363</v>
          </cell>
        </row>
        <row r="15729">
          <cell r="A15729">
            <v>43919</v>
          </cell>
        </row>
        <row r="15730">
          <cell r="A15730">
            <v>43765</v>
          </cell>
        </row>
        <row r="15731">
          <cell r="A15731">
            <v>43390</v>
          </cell>
        </row>
        <row r="15732">
          <cell r="A15732">
            <v>43587</v>
          </cell>
        </row>
        <row r="15733">
          <cell r="A15733">
            <v>43835</v>
          </cell>
        </row>
        <row r="15734">
          <cell r="A15734">
            <v>43473</v>
          </cell>
        </row>
        <row r="15735">
          <cell r="A15735">
            <v>43798</v>
          </cell>
        </row>
        <row r="15736">
          <cell r="A15736">
            <v>43494</v>
          </cell>
        </row>
        <row r="15737">
          <cell r="A15737">
            <v>43880</v>
          </cell>
        </row>
        <row r="15738">
          <cell r="A15738">
            <v>43174</v>
          </cell>
        </row>
        <row r="15739">
          <cell r="A15739">
            <v>43203</v>
          </cell>
        </row>
        <row r="15740">
          <cell r="A15740">
            <v>43852</v>
          </cell>
        </row>
        <row r="15741">
          <cell r="A15741">
            <v>43380</v>
          </cell>
        </row>
        <row r="15742">
          <cell r="A15742">
            <v>43649</v>
          </cell>
        </row>
        <row r="15743">
          <cell r="A15743">
            <v>43687</v>
          </cell>
        </row>
        <row r="15744">
          <cell r="A15744">
            <v>43446</v>
          </cell>
        </row>
        <row r="15745">
          <cell r="A15745">
            <v>43184</v>
          </cell>
        </row>
        <row r="15746">
          <cell r="A15746">
            <v>43767</v>
          </cell>
        </row>
        <row r="15747">
          <cell r="A15747">
            <v>43579</v>
          </cell>
        </row>
        <row r="15748">
          <cell r="A15748">
            <v>43656</v>
          </cell>
        </row>
        <row r="15749">
          <cell r="A15749">
            <v>43216</v>
          </cell>
        </row>
        <row r="15750">
          <cell r="A15750">
            <v>43711</v>
          </cell>
        </row>
        <row r="15751">
          <cell r="A15751">
            <v>43446</v>
          </cell>
        </row>
        <row r="15752">
          <cell r="A15752">
            <v>43696</v>
          </cell>
        </row>
        <row r="15753">
          <cell r="A15753">
            <v>43512</v>
          </cell>
        </row>
        <row r="15754">
          <cell r="A15754">
            <v>43512</v>
          </cell>
        </row>
        <row r="15755">
          <cell r="A15755">
            <v>43348</v>
          </cell>
        </row>
        <row r="15756">
          <cell r="A15756">
            <v>43547</v>
          </cell>
        </row>
        <row r="15757">
          <cell r="A15757">
            <v>43768</v>
          </cell>
        </row>
        <row r="15758">
          <cell r="A15758">
            <v>43882</v>
          </cell>
        </row>
        <row r="15759">
          <cell r="A15759">
            <v>43439</v>
          </cell>
        </row>
        <row r="15760">
          <cell r="A15760">
            <v>43643</v>
          </cell>
        </row>
        <row r="15761">
          <cell r="A15761">
            <v>43618</v>
          </cell>
        </row>
        <row r="15762">
          <cell r="A15762">
            <v>43692</v>
          </cell>
        </row>
        <row r="15763">
          <cell r="A15763">
            <v>43873</v>
          </cell>
        </row>
        <row r="15764">
          <cell r="A15764">
            <v>43906</v>
          </cell>
        </row>
        <row r="15765">
          <cell r="A15765">
            <v>43847</v>
          </cell>
        </row>
        <row r="15766">
          <cell r="A15766">
            <v>43570</v>
          </cell>
        </row>
        <row r="15767">
          <cell r="A15767">
            <v>43332</v>
          </cell>
        </row>
        <row r="15768">
          <cell r="A15768">
            <v>43255</v>
          </cell>
        </row>
        <row r="15769">
          <cell r="A15769">
            <v>43900</v>
          </cell>
        </row>
        <row r="15770">
          <cell r="A15770">
            <v>43779</v>
          </cell>
        </row>
        <row r="15771">
          <cell r="A15771">
            <v>43735</v>
          </cell>
        </row>
        <row r="15772">
          <cell r="A15772">
            <v>43252</v>
          </cell>
        </row>
        <row r="15773">
          <cell r="A15773">
            <v>43734</v>
          </cell>
        </row>
        <row r="15774">
          <cell r="A15774">
            <v>43471</v>
          </cell>
        </row>
        <row r="15775">
          <cell r="A15775">
            <v>43327</v>
          </cell>
        </row>
        <row r="15776">
          <cell r="A15776">
            <v>43879</v>
          </cell>
        </row>
        <row r="15777">
          <cell r="A15777">
            <v>43423</v>
          </cell>
        </row>
        <row r="15778">
          <cell r="A15778">
            <v>43690</v>
          </cell>
        </row>
        <row r="15779">
          <cell r="A15779">
            <v>43581</v>
          </cell>
        </row>
        <row r="15780">
          <cell r="A15780">
            <v>43815</v>
          </cell>
        </row>
        <row r="15781">
          <cell r="A15781">
            <v>43351</v>
          </cell>
        </row>
        <row r="15782">
          <cell r="A15782">
            <v>43797</v>
          </cell>
        </row>
        <row r="15783">
          <cell r="A15783">
            <v>43907</v>
          </cell>
        </row>
        <row r="15784">
          <cell r="A15784">
            <v>43330</v>
          </cell>
        </row>
        <row r="15785">
          <cell r="A15785">
            <v>43898</v>
          </cell>
        </row>
        <row r="15786">
          <cell r="A15786">
            <v>43207</v>
          </cell>
        </row>
        <row r="15787">
          <cell r="A15787">
            <v>43665</v>
          </cell>
        </row>
        <row r="15788">
          <cell r="A15788">
            <v>43422</v>
          </cell>
        </row>
        <row r="15789">
          <cell r="A15789">
            <v>43798</v>
          </cell>
        </row>
        <row r="15790">
          <cell r="A15790">
            <v>43106</v>
          </cell>
        </row>
        <row r="15791">
          <cell r="A15791">
            <v>43380</v>
          </cell>
        </row>
        <row r="15792">
          <cell r="A15792">
            <v>43667</v>
          </cell>
        </row>
        <row r="15793">
          <cell r="A15793">
            <v>43103</v>
          </cell>
        </row>
        <row r="15794">
          <cell r="A15794">
            <v>43433</v>
          </cell>
        </row>
        <row r="15795">
          <cell r="A15795">
            <v>43651</v>
          </cell>
        </row>
        <row r="15796">
          <cell r="A15796">
            <v>43349</v>
          </cell>
        </row>
        <row r="15797">
          <cell r="A15797">
            <v>43850</v>
          </cell>
        </row>
        <row r="15798">
          <cell r="A15798">
            <v>43727</v>
          </cell>
        </row>
        <row r="15799">
          <cell r="A15799">
            <v>43771</v>
          </cell>
        </row>
        <row r="15800">
          <cell r="A15800">
            <v>43719</v>
          </cell>
        </row>
        <row r="15801">
          <cell r="A15801">
            <v>43296</v>
          </cell>
        </row>
        <row r="15802">
          <cell r="A15802">
            <v>43398</v>
          </cell>
        </row>
        <row r="15803">
          <cell r="A15803">
            <v>43283</v>
          </cell>
        </row>
        <row r="15804">
          <cell r="A15804">
            <v>43256</v>
          </cell>
        </row>
        <row r="15805">
          <cell r="A15805">
            <v>43847</v>
          </cell>
        </row>
        <row r="15806">
          <cell r="A15806">
            <v>43888</v>
          </cell>
        </row>
        <row r="15807">
          <cell r="A15807">
            <v>43104</v>
          </cell>
        </row>
        <row r="15808">
          <cell r="A15808">
            <v>43639</v>
          </cell>
        </row>
        <row r="15809">
          <cell r="A15809">
            <v>43744</v>
          </cell>
        </row>
        <row r="15810">
          <cell r="A15810">
            <v>43209</v>
          </cell>
        </row>
        <row r="15811">
          <cell r="A15811">
            <v>43101</v>
          </cell>
        </row>
        <row r="15812">
          <cell r="A15812">
            <v>43313</v>
          </cell>
        </row>
        <row r="15813">
          <cell r="A15813">
            <v>43916</v>
          </cell>
        </row>
        <row r="15814">
          <cell r="A15814">
            <v>43528</v>
          </cell>
        </row>
        <row r="15815">
          <cell r="A15815">
            <v>43719</v>
          </cell>
        </row>
        <row r="15816">
          <cell r="A15816">
            <v>43906</v>
          </cell>
        </row>
        <row r="15817">
          <cell r="A15817">
            <v>43579</v>
          </cell>
        </row>
        <row r="15818">
          <cell r="A15818">
            <v>43183</v>
          </cell>
        </row>
        <row r="15819">
          <cell r="A15819">
            <v>43892</v>
          </cell>
        </row>
        <row r="15820">
          <cell r="A15820">
            <v>43889</v>
          </cell>
        </row>
        <row r="15821">
          <cell r="A15821">
            <v>43841</v>
          </cell>
        </row>
        <row r="15822">
          <cell r="A15822">
            <v>43786</v>
          </cell>
        </row>
        <row r="15823">
          <cell r="A15823">
            <v>43913</v>
          </cell>
        </row>
        <row r="15824">
          <cell r="A15824">
            <v>43267</v>
          </cell>
        </row>
        <row r="15825">
          <cell r="A15825">
            <v>43914</v>
          </cell>
        </row>
        <row r="15826">
          <cell r="A15826">
            <v>43355</v>
          </cell>
        </row>
        <row r="15827">
          <cell r="A15827">
            <v>43437</v>
          </cell>
        </row>
        <row r="15828">
          <cell r="A15828">
            <v>43905</v>
          </cell>
        </row>
        <row r="15829">
          <cell r="A15829">
            <v>43317</v>
          </cell>
        </row>
        <row r="15830">
          <cell r="A15830">
            <v>43626</v>
          </cell>
        </row>
        <row r="15831">
          <cell r="A15831">
            <v>43381</v>
          </cell>
        </row>
        <row r="15832">
          <cell r="A15832">
            <v>43620</v>
          </cell>
        </row>
        <row r="15833">
          <cell r="A15833">
            <v>43529</v>
          </cell>
        </row>
        <row r="15834">
          <cell r="A15834">
            <v>43114</v>
          </cell>
        </row>
        <row r="15835">
          <cell r="A15835">
            <v>43356</v>
          </cell>
        </row>
        <row r="15836">
          <cell r="A15836">
            <v>43391</v>
          </cell>
        </row>
        <row r="15837">
          <cell r="A15837">
            <v>43898</v>
          </cell>
        </row>
        <row r="15838">
          <cell r="A15838">
            <v>43834</v>
          </cell>
        </row>
        <row r="15839">
          <cell r="A15839">
            <v>43388</v>
          </cell>
        </row>
        <row r="15840">
          <cell r="A15840">
            <v>43114</v>
          </cell>
        </row>
        <row r="15841">
          <cell r="A15841">
            <v>43504</v>
          </cell>
        </row>
        <row r="15842">
          <cell r="A15842">
            <v>43831</v>
          </cell>
        </row>
        <row r="15843">
          <cell r="A15843">
            <v>43593</v>
          </cell>
        </row>
        <row r="15844">
          <cell r="A15844">
            <v>43482</v>
          </cell>
        </row>
        <row r="15845">
          <cell r="A15845">
            <v>43580</v>
          </cell>
        </row>
        <row r="15846">
          <cell r="A15846">
            <v>43331</v>
          </cell>
        </row>
        <row r="15847">
          <cell r="A15847">
            <v>43849</v>
          </cell>
        </row>
        <row r="15848">
          <cell r="A15848">
            <v>43890</v>
          </cell>
        </row>
        <row r="15849">
          <cell r="A15849">
            <v>43465</v>
          </cell>
        </row>
        <row r="15850">
          <cell r="A15850">
            <v>43750</v>
          </cell>
        </row>
        <row r="15851">
          <cell r="A15851">
            <v>43620</v>
          </cell>
        </row>
        <row r="15852">
          <cell r="A15852">
            <v>43246</v>
          </cell>
        </row>
        <row r="15853">
          <cell r="A15853">
            <v>43249</v>
          </cell>
        </row>
        <row r="15854">
          <cell r="A15854">
            <v>43207</v>
          </cell>
        </row>
        <row r="15855">
          <cell r="A15855">
            <v>43442</v>
          </cell>
        </row>
        <row r="15856">
          <cell r="A15856">
            <v>43444</v>
          </cell>
        </row>
        <row r="15857">
          <cell r="A15857">
            <v>43648</v>
          </cell>
        </row>
        <row r="15858">
          <cell r="A15858">
            <v>43566</v>
          </cell>
        </row>
        <row r="15859">
          <cell r="A15859">
            <v>43595</v>
          </cell>
        </row>
        <row r="15860">
          <cell r="A15860">
            <v>43107</v>
          </cell>
        </row>
        <row r="15861">
          <cell r="A15861">
            <v>43434</v>
          </cell>
        </row>
        <row r="15862">
          <cell r="A15862">
            <v>43864</v>
          </cell>
        </row>
        <row r="15863">
          <cell r="A15863">
            <v>43304</v>
          </cell>
        </row>
        <row r="15864">
          <cell r="A15864">
            <v>43785</v>
          </cell>
        </row>
        <row r="15865">
          <cell r="A15865">
            <v>43143</v>
          </cell>
        </row>
        <row r="15866">
          <cell r="A15866">
            <v>43545</v>
          </cell>
        </row>
        <row r="15867">
          <cell r="A15867">
            <v>43492</v>
          </cell>
        </row>
        <row r="15868">
          <cell r="A15868">
            <v>43502</v>
          </cell>
        </row>
        <row r="15869">
          <cell r="A15869">
            <v>43233</v>
          </cell>
        </row>
        <row r="15870">
          <cell r="A15870">
            <v>43479</v>
          </cell>
        </row>
        <row r="15871">
          <cell r="A15871">
            <v>43286</v>
          </cell>
        </row>
        <row r="15872">
          <cell r="A15872">
            <v>43596</v>
          </cell>
        </row>
        <row r="15873">
          <cell r="A15873">
            <v>43225</v>
          </cell>
        </row>
        <row r="15874">
          <cell r="A15874">
            <v>43395</v>
          </cell>
        </row>
        <row r="15875">
          <cell r="A15875">
            <v>43860</v>
          </cell>
        </row>
        <row r="15876">
          <cell r="A15876">
            <v>43834</v>
          </cell>
        </row>
        <row r="15877">
          <cell r="A15877">
            <v>43448</v>
          </cell>
        </row>
        <row r="15878">
          <cell r="A15878">
            <v>43465</v>
          </cell>
        </row>
        <row r="15879">
          <cell r="A15879">
            <v>43218</v>
          </cell>
        </row>
        <row r="15880">
          <cell r="A15880">
            <v>43805</v>
          </cell>
        </row>
        <row r="15881">
          <cell r="A15881">
            <v>43665</v>
          </cell>
        </row>
        <row r="15882">
          <cell r="A15882">
            <v>43344</v>
          </cell>
        </row>
        <row r="15883">
          <cell r="A15883">
            <v>43206</v>
          </cell>
        </row>
        <row r="15884">
          <cell r="A15884">
            <v>43129</v>
          </cell>
        </row>
        <row r="15885">
          <cell r="A15885">
            <v>43265</v>
          </cell>
        </row>
        <row r="15886">
          <cell r="A15886">
            <v>43327</v>
          </cell>
        </row>
        <row r="15887">
          <cell r="A15887">
            <v>43505</v>
          </cell>
        </row>
        <row r="15888">
          <cell r="A15888">
            <v>43495</v>
          </cell>
        </row>
        <row r="15889">
          <cell r="A15889">
            <v>43846</v>
          </cell>
        </row>
        <row r="15890">
          <cell r="A15890">
            <v>43216</v>
          </cell>
        </row>
        <row r="15891">
          <cell r="A15891">
            <v>43193</v>
          </cell>
        </row>
        <row r="15892">
          <cell r="A15892">
            <v>43387</v>
          </cell>
        </row>
        <row r="15893">
          <cell r="A15893">
            <v>43920</v>
          </cell>
        </row>
        <row r="15894">
          <cell r="A15894">
            <v>43207</v>
          </cell>
        </row>
        <row r="15895">
          <cell r="A15895">
            <v>43454</v>
          </cell>
        </row>
        <row r="15896">
          <cell r="A15896">
            <v>43747</v>
          </cell>
        </row>
        <row r="15897">
          <cell r="A15897">
            <v>43216</v>
          </cell>
        </row>
        <row r="15898">
          <cell r="A15898">
            <v>43139</v>
          </cell>
        </row>
        <row r="15899">
          <cell r="A15899">
            <v>43288</v>
          </cell>
        </row>
        <row r="15900">
          <cell r="A15900">
            <v>43342</v>
          </cell>
        </row>
        <row r="15901">
          <cell r="A15901">
            <v>43829</v>
          </cell>
        </row>
        <row r="15902">
          <cell r="A15902">
            <v>43259</v>
          </cell>
        </row>
        <row r="15903">
          <cell r="A15903">
            <v>43456</v>
          </cell>
        </row>
        <row r="15904">
          <cell r="A15904">
            <v>43577</v>
          </cell>
        </row>
        <row r="15905">
          <cell r="A15905">
            <v>43116</v>
          </cell>
        </row>
        <row r="15906">
          <cell r="A15906">
            <v>43580</v>
          </cell>
        </row>
        <row r="15907">
          <cell r="A15907">
            <v>43451</v>
          </cell>
        </row>
        <row r="15908">
          <cell r="A15908">
            <v>43593</v>
          </cell>
        </row>
        <row r="15909">
          <cell r="A15909">
            <v>43116</v>
          </cell>
        </row>
        <row r="15910">
          <cell r="A15910">
            <v>43377</v>
          </cell>
        </row>
        <row r="15911">
          <cell r="A15911">
            <v>43296</v>
          </cell>
        </row>
        <row r="15912">
          <cell r="A15912">
            <v>43527</v>
          </cell>
        </row>
        <row r="15913">
          <cell r="A15913">
            <v>43638</v>
          </cell>
        </row>
        <row r="15914">
          <cell r="A15914">
            <v>43537</v>
          </cell>
        </row>
        <row r="15915">
          <cell r="A15915">
            <v>43152</v>
          </cell>
        </row>
        <row r="15916">
          <cell r="A15916">
            <v>43193</v>
          </cell>
        </row>
        <row r="15917">
          <cell r="A15917">
            <v>43195</v>
          </cell>
        </row>
        <row r="15918">
          <cell r="A15918">
            <v>43484</v>
          </cell>
        </row>
        <row r="15919">
          <cell r="A15919">
            <v>43180</v>
          </cell>
        </row>
        <row r="15920">
          <cell r="A15920">
            <v>43809</v>
          </cell>
        </row>
        <row r="15921">
          <cell r="A15921">
            <v>43120</v>
          </cell>
        </row>
        <row r="15922">
          <cell r="A15922">
            <v>43152</v>
          </cell>
        </row>
        <row r="15923">
          <cell r="A15923">
            <v>43147</v>
          </cell>
        </row>
        <row r="15924">
          <cell r="A15924">
            <v>43497</v>
          </cell>
        </row>
        <row r="15925">
          <cell r="A15925">
            <v>43352</v>
          </cell>
        </row>
        <row r="15926">
          <cell r="A15926">
            <v>43575</v>
          </cell>
        </row>
        <row r="15927">
          <cell r="A15927">
            <v>43379</v>
          </cell>
        </row>
        <row r="15928">
          <cell r="A15928">
            <v>43494</v>
          </cell>
        </row>
        <row r="15929">
          <cell r="A15929">
            <v>43368</v>
          </cell>
        </row>
        <row r="15930">
          <cell r="A15930">
            <v>43405</v>
          </cell>
        </row>
        <row r="15931">
          <cell r="A15931">
            <v>43124</v>
          </cell>
        </row>
        <row r="15932">
          <cell r="A15932">
            <v>43634</v>
          </cell>
        </row>
        <row r="15933">
          <cell r="A15933">
            <v>43479</v>
          </cell>
        </row>
        <row r="15934">
          <cell r="A15934">
            <v>43754</v>
          </cell>
        </row>
        <row r="15935">
          <cell r="A15935">
            <v>43911</v>
          </cell>
        </row>
        <row r="15936">
          <cell r="A15936">
            <v>43827</v>
          </cell>
        </row>
        <row r="15937">
          <cell r="A15937">
            <v>43824</v>
          </cell>
        </row>
        <row r="15938">
          <cell r="A15938">
            <v>43516</v>
          </cell>
        </row>
        <row r="15939">
          <cell r="A15939">
            <v>43804</v>
          </cell>
        </row>
        <row r="15940">
          <cell r="A15940">
            <v>43582</v>
          </cell>
        </row>
        <row r="15941">
          <cell r="A15941">
            <v>43399</v>
          </cell>
        </row>
        <row r="15942">
          <cell r="A15942">
            <v>43323</v>
          </cell>
        </row>
        <row r="15943">
          <cell r="A15943">
            <v>43566</v>
          </cell>
        </row>
        <row r="15944">
          <cell r="A15944">
            <v>43181</v>
          </cell>
        </row>
        <row r="15945">
          <cell r="A15945">
            <v>43258</v>
          </cell>
        </row>
        <row r="15946">
          <cell r="A15946">
            <v>43703</v>
          </cell>
        </row>
        <row r="15947">
          <cell r="A15947">
            <v>43362</v>
          </cell>
        </row>
        <row r="15948">
          <cell r="A15948">
            <v>43239</v>
          </cell>
        </row>
        <row r="15949">
          <cell r="A15949">
            <v>43376</v>
          </cell>
        </row>
        <row r="15950">
          <cell r="A15950">
            <v>43833</v>
          </cell>
        </row>
        <row r="15951">
          <cell r="A15951">
            <v>43551</v>
          </cell>
        </row>
        <row r="15952">
          <cell r="A15952">
            <v>43383</v>
          </cell>
        </row>
        <row r="15953">
          <cell r="A15953">
            <v>43740</v>
          </cell>
        </row>
        <row r="15954">
          <cell r="A15954">
            <v>43469</v>
          </cell>
        </row>
        <row r="15955">
          <cell r="A15955">
            <v>43740</v>
          </cell>
        </row>
        <row r="15956">
          <cell r="A15956">
            <v>43770</v>
          </cell>
        </row>
        <row r="15957">
          <cell r="A15957">
            <v>43828</v>
          </cell>
        </row>
        <row r="15958">
          <cell r="A15958">
            <v>43667</v>
          </cell>
        </row>
        <row r="15959">
          <cell r="A15959">
            <v>43466</v>
          </cell>
        </row>
        <row r="15960">
          <cell r="A15960">
            <v>43144</v>
          </cell>
        </row>
        <row r="15961">
          <cell r="A15961">
            <v>43205</v>
          </cell>
        </row>
        <row r="15962">
          <cell r="A15962">
            <v>43243</v>
          </cell>
        </row>
        <row r="15963">
          <cell r="A15963">
            <v>43688</v>
          </cell>
        </row>
        <row r="15964">
          <cell r="A15964">
            <v>43842</v>
          </cell>
        </row>
        <row r="15965">
          <cell r="A15965">
            <v>43325</v>
          </cell>
        </row>
        <row r="15966">
          <cell r="A15966">
            <v>43436</v>
          </cell>
        </row>
        <row r="15967">
          <cell r="A15967">
            <v>43463</v>
          </cell>
        </row>
        <row r="15968">
          <cell r="A15968">
            <v>43512</v>
          </cell>
        </row>
        <row r="15969">
          <cell r="A15969">
            <v>43688</v>
          </cell>
        </row>
        <row r="15970">
          <cell r="A15970">
            <v>43107</v>
          </cell>
        </row>
        <row r="15971">
          <cell r="A15971">
            <v>43734</v>
          </cell>
        </row>
        <row r="15972">
          <cell r="A15972">
            <v>43766</v>
          </cell>
        </row>
        <row r="15973">
          <cell r="A15973">
            <v>43876</v>
          </cell>
        </row>
        <row r="15974">
          <cell r="A15974">
            <v>43330</v>
          </cell>
        </row>
        <row r="15975">
          <cell r="A15975">
            <v>43394</v>
          </cell>
        </row>
        <row r="15976">
          <cell r="A15976">
            <v>43621</v>
          </cell>
        </row>
        <row r="15977">
          <cell r="A15977">
            <v>43246</v>
          </cell>
        </row>
        <row r="15978">
          <cell r="A15978">
            <v>43830</v>
          </cell>
        </row>
        <row r="15979">
          <cell r="A15979">
            <v>43834</v>
          </cell>
        </row>
        <row r="15980">
          <cell r="A15980">
            <v>43198</v>
          </cell>
        </row>
        <row r="15981">
          <cell r="A15981">
            <v>43749</v>
          </cell>
        </row>
        <row r="15982">
          <cell r="A15982">
            <v>43470</v>
          </cell>
        </row>
        <row r="15983">
          <cell r="A15983">
            <v>43536</v>
          </cell>
        </row>
        <row r="15984">
          <cell r="A15984">
            <v>43798</v>
          </cell>
        </row>
        <row r="15985">
          <cell r="A15985">
            <v>43123</v>
          </cell>
        </row>
        <row r="15986">
          <cell r="A15986">
            <v>43321</v>
          </cell>
        </row>
        <row r="15987">
          <cell r="A15987">
            <v>43804</v>
          </cell>
        </row>
        <row r="15988">
          <cell r="A15988">
            <v>43879</v>
          </cell>
        </row>
        <row r="15989">
          <cell r="A15989">
            <v>43285</v>
          </cell>
        </row>
        <row r="15990">
          <cell r="A15990">
            <v>43178</v>
          </cell>
        </row>
        <row r="15991">
          <cell r="A15991">
            <v>43843</v>
          </cell>
        </row>
        <row r="15992">
          <cell r="A15992">
            <v>43534</v>
          </cell>
        </row>
        <row r="15993">
          <cell r="A15993">
            <v>43383</v>
          </cell>
        </row>
        <row r="15994">
          <cell r="A15994">
            <v>43501</v>
          </cell>
        </row>
        <row r="15995">
          <cell r="A15995">
            <v>43264</v>
          </cell>
        </row>
        <row r="15996">
          <cell r="A15996">
            <v>43482</v>
          </cell>
        </row>
        <row r="15997">
          <cell r="A15997">
            <v>43778</v>
          </cell>
        </row>
        <row r="15998">
          <cell r="A15998">
            <v>43340</v>
          </cell>
        </row>
        <row r="15999">
          <cell r="A15999">
            <v>43767</v>
          </cell>
        </row>
        <row r="16000">
          <cell r="A16000">
            <v>43830</v>
          </cell>
        </row>
        <row r="16001">
          <cell r="A16001">
            <v>43724</v>
          </cell>
        </row>
        <row r="16002">
          <cell r="A16002">
            <v>43587</v>
          </cell>
        </row>
        <row r="16003">
          <cell r="A16003">
            <v>43712</v>
          </cell>
        </row>
        <row r="16004">
          <cell r="A16004">
            <v>43243</v>
          </cell>
        </row>
        <row r="16005">
          <cell r="A16005">
            <v>43405</v>
          </cell>
        </row>
        <row r="16006">
          <cell r="A16006">
            <v>43848</v>
          </cell>
        </row>
        <row r="16007">
          <cell r="A16007">
            <v>43150</v>
          </cell>
        </row>
        <row r="16008">
          <cell r="A16008">
            <v>43823</v>
          </cell>
        </row>
        <row r="16009">
          <cell r="A16009">
            <v>43294</v>
          </cell>
        </row>
        <row r="16010">
          <cell r="A16010">
            <v>43620</v>
          </cell>
        </row>
        <row r="16011">
          <cell r="A16011">
            <v>43451</v>
          </cell>
        </row>
        <row r="16012">
          <cell r="A16012">
            <v>43571</v>
          </cell>
        </row>
        <row r="16013">
          <cell r="A16013">
            <v>43274</v>
          </cell>
        </row>
        <row r="16014">
          <cell r="A16014">
            <v>43690</v>
          </cell>
        </row>
        <row r="16015">
          <cell r="A16015">
            <v>43221</v>
          </cell>
        </row>
        <row r="16016">
          <cell r="A16016">
            <v>43842</v>
          </cell>
        </row>
        <row r="16017">
          <cell r="A16017">
            <v>43157</v>
          </cell>
        </row>
        <row r="16018">
          <cell r="A16018">
            <v>43320</v>
          </cell>
        </row>
        <row r="16019">
          <cell r="A16019">
            <v>43605</v>
          </cell>
        </row>
        <row r="16020">
          <cell r="A16020">
            <v>43815</v>
          </cell>
        </row>
        <row r="16021">
          <cell r="A16021">
            <v>43587</v>
          </cell>
        </row>
        <row r="16022">
          <cell r="A16022">
            <v>43424</v>
          </cell>
        </row>
        <row r="16023">
          <cell r="A16023">
            <v>43816</v>
          </cell>
        </row>
        <row r="16024">
          <cell r="A16024">
            <v>43463</v>
          </cell>
        </row>
        <row r="16025">
          <cell r="A16025">
            <v>43146</v>
          </cell>
        </row>
        <row r="16026">
          <cell r="A16026">
            <v>43367</v>
          </cell>
        </row>
        <row r="16027">
          <cell r="A16027">
            <v>43896</v>
          </cell>
        </row>
        <row r="16028">
          <cell r="A16028">
            <v>43763</v>
          </cell>
        </row>
        <row r="16029">
          <cell r="A16029">
            <v>43825</v>
          </cell>
        </row>
        <row r="16030">
          <cell r="A16030">
            <v>43805</v>
          </cell>
        </row>
        <row r="16031">
          <cell r="A16031">
            <v>43820</v>
          </cell>
        </row>
        <row r="16032">
          <cell r="A16032">
            <v>43473</v>
          </cell>
        </row>
        <row r="16033">
          <cell r="A16033">
            <v>43545</v>
          </cell>
        </row>
        <row r="16034">
          <cell r="A16034">
            <v>43569</v>
          </cell>
        </row>
        <row r="16035">
          <cell r="A16035">
            <v>43266</v>
          </cell>
        </row>
        <row r="16036">
          <cell r="A16036">
            <v>43377</v>
          </cell>
        </row>
        <row r="16037">
          <cell r="A16037">
            <v>43783</v>
          </cell>
        </row>
        <row r="16038">
          <cell r="A16038">
            <v>43149</v>
          </cell>
        </row>
        <row r="16039">
          <cell r="A16039">
            <v>43419</v>
          </cell>
        </row>
        <row r="16040">
          <cell r="A16040">
            <v>43242</v>
          </cell>
        </row>
        <row r="16041">
          <cell r="A16041">
            <v>43738</v>
          </cell>
        </row>
        <row r="16042">
          <cell r="A16042">
            <v>43787</v>
          </cell>
        </row>
        <row r="16043">
          <cell r="A16043">
            <v>43309</v>
          </cell>
        </row>
        <row r="16044">
          <cell r="A16044">
            <v>43864</v>
          </cell>
        </row>
        <row r="16045">
          <cell r="A16045">
            <v>43536</v>
          </cell>
        </row>
        <row r="16046">
          <cell r="A16046">
            <v>43167</v>
          </cell>
        </row>
        <row r="16047">
          <cell r="A16047">
            <v>43834</v>
          </cell>
        </row>
        <row r="16048">
          <cell r="A16048">
            <v>43101</v>
          </cell>
        </row>
        <row r="16049">
          <cell r="A16049">
            <v>43635</v>
          </cell>
        </row>
        <row r="16050">
          <cell r="A16050">
            <v>43401</v>
          </cell>
        </row>
        <row r="16051">
          <cell r="A16051">
            <v>43406</v>
          </cell>
        </row>
        <row r="16052">
          <cell r="A16052">
            <v>43654</v>
          </cell>
        </row>
        <row r="16053">
          <cell r="A16053">
            <v>43524</v>
          </cell>
        </row>
        <row r="16054">
          <cell r="A16054">
            <v>43254</v>
          </cell>
        </row>
        <row r="16055">
          <cell r="A16055">
            <v>43163</v>
          </cell>
        </row>
        <row r="16056">
          <cell r="A16056">
            <v>43536</v>
          </cell>
        </row>
        <row r="16057">
          <cell r="A16057">
            <v>43597</v>
          </cell>
        </row>
        <row r="16058">
          <cell r="A16058">
            <v>43473</v>
          </cell>
        </row>
        <row r="16059">
          <cell r="A16059">
            <v>43910</v>
          </cell>
        </row>
        <row r="16060">
          <cell r="A16060">
            <v>43239</v>
          </cell>
        </row>
        <row r="16061">
          <cell r="A16061">
            <v>43589</v>
          </cell>
        </row>
        <row r="16062">
          <cell r="A16062">
            <v>43241</v>
          </cell>
        </row>
        <row r="16063">
          <cell r="A16063">
            <v>43345</v>
          </cell>
        </row>
        <row r="16064">
          <cell r="A16064">
            <v>43218</v>
          </cell>
        </row>
        <row r="16065">
          <cell r="A16065">
            <v>43882</v>
          </cell>
        </row>
        <row r="16066">
          <cell r="A16066">
            <v>43550</v>
          </cell>
        </row>
        <row r="16067">
          <cell r="A16067">
            <v>43805</v>
          </cell>
        </row>
        <row r="16068">
          <cell r="A16068">
            <v>43764</v>
          </cell>
        </row>
        <row r="16069">
          <cell r="A16069">
            <v>43439</v>
          </cell>
        </row>
        <row r="16070">
          <cell r="A16070">
            <v>43862</v>
          </cell>
        </row>
        <row r="16071">
          <cell r="A16071">
            <v>43232</v>
          </cell>
        </row>
        <row r="16072">
          <cell r="A16072">
            <v>43583</v>
          </cell>
        </row>
        <row r="16073">
          <cell r="A16073">
            <v>43764</v>
          </cell>
        </row>
        <row r="16074">
          <cell r="A16074">
            <v>43921</v>
          </cell>
        </row>
        <row r="16075">
          <cell r="A16075">
            <v>43307</v>
          </cell>
        </row>
        <row r="16076">
          <cell r="A16076">
            <v>43287</v>
          </cell>
        </row>
        <row r="16077">
          <cell r="A16077">
            <v>43637</v>
          </cell>
        </row>
        <row r="16078">
          <cell r="A16078">
            <v>43256</v>
          </cell>
        </row>
        <row r="16079">
          <cell r="A16079">
            <v>43839</v>
          </cell>
        </row>
        <row r="16080">
          <cell r="A16080">
            <v>43704</v>
          </cell>
        </row>
        <row r="16081">
          <cell r="A16081">
            <v>43387</v>
          </cell>
        </row>
        <row r="16082">
          <cell r="A16082">
            <v>43344</v>
          </cell>
        </row>
        <row r="16083">
          <cell r="A16083">
            <v>43186</v>
          </cell>
        </row>
        <row r="16084">
          <cell r="A16084">
            <v>43565</v>
          </cell>
        </row>
        <row r="16085">
          <cell r="A16085">
            <v>43613</v>
          </cell>
        </row>
        <row r="16086">
          <cell r="A16086">
            <v>43189</v>
          </cell>
        </row>
        <row r="16087">
          <cell r="A16087">
            <v>43823</v>
          </cell>
        </row>
        <row r="16088">
          <cell r="A16088">
            <v>43626</v>
          </cell>
        </row>
        <row r="16089">
          <cell r="A16089">
            <v>43618</v>
          </cell>
        </row>
        <row r="16090">
          <cell r="A16090">
            <v>43558</v>
          </cell>
        </row>
        <row r="16091">
          <cell r="A16091">
            <v>43302</v>
          </cell>
        </row>
        <row r="16092">
          <cell r="A16092">
            <v>43593</v>
          </cell>
        </row>
        <row r="16093">
          <cell r="A16093">
            <v>43704</v>
          </cell>
        </row>
        <row r="16094">
          <cell r="A16094">
            <v>43735</v>
          </cell>
        </row>
        <row r="16095">
          <cell r="A16095">
            <v>43743</v>
          </cell>
        </row>
        <row r="16096">
          <cell r="A16096">
            <v>43676</v>
          </cell>
        </row>
        <row r="16097">
          <cell r="A16097">
            <v>43859</v>
          </cell>
        </row>
        <row r="16098">
          <cell r="A16098">
            <v>43410</v>
          </cell>
        </row>
        <row r="16099">
          <cell r="A16099">
            <v>43399</v>
          </cell>
        </row>
        <row r="16100">
          <cell r="A16100">
            <v>43159</v>
          </cell>
        </row>
        <row r="16101">
          <cell r="A16101">
            <v>43540</v>
          </cell>
        </row>
        <row r="16102">
          <cell r="A16102">
            <v>43160</v>
          </cell>
        </row>
        <row r="16103">
          <cell r="A16103">
            <v>43158</v>
          </cell>
        </row>
        <row r="16104">
          <cell r="A16104">
            <v>43644</v>
          </cell>
        </row>
        <row r="16105">
          <cell r="A16105">
            <v>43566</v>
          </cell>
        </row>
        <row r="16106">
          <cell r="A16106">
            <v>43468</v>
          </cell>
        </row>
        <row r="16107">
          <cell r="A16107">
            <v>43827</v>
          </cell>
        </row>
        <row r="16108">
          <cell r="A16108">
            <v>43775</v>
          </cell>
        </row>
        <row r="16109">
          <cell r="A16109">
            <v>43205</v>
          </cell>
        </row>
        <row r="16110">
          <cell r="A16110">
            <v>43265</v>
          </cell>
        </row>
        <row r="16111">
          <cell r="A16111">
            <v>43572</v>
          </cell>
        </row>
        <row r="16112">
          <cell r="A16112">
            <v>43520</v>
          </cell>
        </row>
        <row r="16113">
          <cell r="A16113">
            <v>43702</v>
          </cell>
        </row>
        <row r="16114">
          <cell r="A16114">
            <v>43128</v>
          </cell>
        </row>
        <row r="16115">
          <cell r="A16115">
            <v>43401</v>
          </cell>
        </row>
        <row r="16116">
          <cell r="A16116">
            <v>43224</v>
          </cell>
        </row>
        <row r="16117">
          <cell r="A16117">
            <v>43853</v>
          </cell>
        </row>
        <row r="16118">
          <cell r="A16118">
            <v>43833</v>
          </cell>
        </row>
        <row r="16119">
          <cell r="A16119">
            <v>43261</v>
          </cell>
        </row>
        <row r="16120">
          <cell r="A16120">
            <v>43483</v>
          </cell>
        </row>
        <row r="16121">
          <cell r="A16121">
            <v>43363</v>
          </cell>
        </row>
        <row r="16122">
          <cell r="A16122">
            <v>43711</v>
          </cell>
        </row>
        <row r="16123">
          <cell r="A16123">
            <v>43540</v>
          </cell>
        </row>
        <row r="16124">
          <cell r="A16124">
            <v>43448</v>
          </cell>
        </row>
        <row r="16125">
          <cell r="A16125">
            <v>43271</v>
          </cell>
        </row>
        <row r="16126">
          <cell r="A16126">
            <v>43899</v>
          </cell>
        </row>
        <row r="16127">
          <cell r="A16127">
            <v>43247</v>
          </cell>
        </row>
        <row r="16128">
          <cell r="A16128">
            <v>43292</v>
          </cell>
        </row>
        <row r="16129">
          <cell r="A16129">
            <v>43495</v>
          </cell>
        </row>
        <row r="16130">
          <cell r="A16130">
            <v>43118</v>
          </cell>
        </row>
        <row r="16131">
          <cell r="A16131">
            <v>43332</v>
          </cell>
        </row>
        <row r="16132">
          <cell r="A16132">
            <v>43246</v>
          </cell>
        </row>
        <row r="16133">
          <cell r="A16133">
            <v>43891</v>
          </cell>
        </row>
        <row r="16134">
          <cell r="A16134">
            <v>43739</v>
          </cell>
        </row>
        <row r="16135">
          <cell r="A16135">
            <v>43725</v>
          </cell>
        </row>
        <row r="16136">
          <cell r="A16136">
            <v>43466</v>
          </cell>
        </row>
        <row r="16137">
          <cell r="A16137">
            <v>43424</v>
          </cell>
        </row>
        <row r="16138">
          <cell r="A16138">
            <v>43840</v>
          </cell>
        </row>
        <row r="16139">
          <cell r="A16139">
            <v>43136</v>
          </cell>
        </row>
        <row r="16140">
          <cell r="A16140">
            <v>43916</v>
          </cell>
        </row>
        <row r="16141">
          <cell r="A16141">
            <v>43555</v>
          </cell>
        </row>
        <row r="16142">
          <cell r="A16142">
            <v>43438</v>
          </cell>
        </row>
        <row r="16143">
          <cell r="A16143">
            <v>43274</v>
          </cell>
        </row>
        <row r="16144">
          <cell r="A16144">
            <v>43211</v>
          </cell>
        </row>
        <row r="16145">
          <cell r="A16145">
            <v>43834</v>
          </cell>
        </row>
        <row r="16146">
          <cell r="A16146">
            <v>43735</v>
          </cell>
        </row>
        <row r="16147">
          <cell r="A16147">
            <v>43873</v>
          </cell>
        </row>
        <row r="16148">
          <cell r="A16148">
            <v>43590</v>
          </cell>
        </row>
        <row r="16149">
          <cell r="A16149">
            <v>43626</v>
          </cell>
        </row>
        <row r="16150">
          <cell r="A16150">
            <v>43147</v>
          </cell>
        </row>
        <row r="16151">
          <cell r="A16151">
            <v>43501</v>
          </cell>
        </row>
        <row r="16152">
          <cell r="A16152">
            <v>43773</v>
          </cell>
        </row>
        <row r="16153">
          <cell r="A16153">
            <v>43657</v>
          </cell>
        </row>
        <row r="16154">
          <cell r="A16154">
            <v>43231</v>
          </cell>
        </row>
        <row r="16155">
          <cell r="A16155">
            <v>43826</v>
          </cell>
        </row>
        <row r="16156">
          <cell r="A16156">
            <v>43685</v>
          </cell>
        </row>
        <row r="16157">
          <cell r="A16157">
            <v>43597</v>
          </cell>
        </row>
        <row r="16158">
          <cell r="A16158">
            <v>43542</v>
          </cell>
        </row>
        <row r="16159">
          <cell r="A16159">
            <v>43319</v>
          </cell>
        </row>
        <row r="16160">
          <cell r="A16160">
            <v>43741</v>
          </cell>
        </row>
        <row r="16161">
          <cell r="A16161">
            <v>43427</v>
          </cell>
        </row>
        <row r="16162">
          <cell r="A16162">
            <v>43864</v>
          </cell>
        </row>
        <row r="16163">
          <cell r="A16163">
            <v>43304</v>
          </cell>
        </row>
        <row r="16164">
          <cell r="A16164">
            <v>43200</v>
          </cell>
        </row>
        <row r="16165">
          <cell r="A16165">
            <v>43655</v>
          </cell>
        </row>
        <row r="16166">
          <cell r="A16166">
            <v>43484</v>
          </cell>
        </row>
        <row r="16167">
          <cell r="A16167">
            <v>43211</v>
          </cell>
        </row>
        <row r="16168">
          <cell r="A16168">
            <v>43571</v>
          </cell>
        </row>
        <row r="16169">
          <cell r="A16169">
            <v>43677</v>
          </cell>
        </row>
        <row r="16170">
          <cell r="A16170">
            <v>43888</v>
          </cell>
        </row>
        <row r="16171">
          <cell r="A16171">
            <v>43914</v>
          </cell>
        </row>
        <row r="16172">
          <cell r="A16172">
            <v>43370</v>
          </cell>
        </row>
        <row r="16173">
          <cell r="A16173">
            <v>43485</v>
          </cell>
        </row>
        <row r="16174">
          <cell r="A16174">
            <v>43685</v>
          </cell>
        </row>
        <row r="16175">
          <cell r="A16175">
            <v>43167</v>
          </cell>
        </row>
        <row r="16176">
          <cell r="A16176">
            <v>43502</v>
          </cell>
        </row>
        <row r="16177">
          <cell r="A16177">
            <v>43674</v>
          </cell>
        </row>
        <row r="16178">
          <cell r="A16178">
            <v>43115</v>
          </cell>
        </row>
        <row r="16179">
          <cell r="A16179">
            <v>43287</v>
          </cell>
        </row>
        <row r="16180">
          <cell r="A16180">
            <v>43212</v>
          </cell>
        </row>
        <row r="16181">
          <cell r="A16181">
            <v>43479</v>
          </cell>
        </row>
        <row r="16182">
          <cell r="A16182">
            <v>43524</v>
          </cell>
        </row>
        <row r="16183">
          <cell r="A16183">
            <v>43230</v>
          </cell>
        </row>
        <row r="16184">
          <cell r="A16184">
            <v>43434</v>
          </cell>
        </row>
        <row r="16185">
          <cell r="A16185">
            <v>43184</v>
          </cell>
        </row>
        <row r="16186">
          <cell r="A16186">
            <v>43802</v>
          </cell>
        </row>
        <row r="16187">
          <cell r="A16187">
            <v>43382</v>
          </cell>
        </row>
        <row r="16188">
          <cell r="A16188">
            <v>43586</v>
          </cell>
        </row>
        <row r="16189">
          <cell r="A16189">
            <v>43637</v>
          </cell>
        </row>
        <row r="16190">
          <cell r="A16190">
            <v>43834</v>
          </cell>
        </row>
        <row r="16191">
          <cell r="A16191">
            <v>43773</v>
          </cell>
        </row>
        <row r="16192">
          <cell r="A16192">
            <v>43425</v>
          </cell>
        </row>
        <row r="16193">
          <cell r="A16193">
            <v>43868</v>
          </cell>
        </row>
        <row r="16194">
          <cell r="A16194">
            <v>43102</v>
          </cell>
        </row>
        <row r="16195">
          <cell r="A16195">
            <v>43702</v>
          </cell>
        </row>
        <row r="16196">
          <cell r="A16196">
            <v>43465</v>
          </cell>
        </row>
        <row r="16197">
          <cell r="A16197">
            <v>43678</v>
          </cell>
        </row>
        <row r="16198">
          <cell r="A16198">
            <v>43485</v>
          </cell>
        </row>
        <row r="16199">
          <cell r="A16199">
            <v>43405</v>
          </cell>
        </row>
        <row r="16200">
          <cell r="A16200">
            <v>43902</v>
          </cell>
        </row>
        <row r="16201">
          <cell r="A16201">
            <v>43184</v>
          </cell>
        </row>
        <row r="16202">
          <cell r="A16202">
            <v>43488</v>
          </cell>
        </row>
        <row r="16203">
          <cell r="A16203">
            <v>43586</v>
          </cell>
        </row>
        <row r="16204">
          <cell r="A16204">
            <v>43293</v>
          </cell>
        </row>
        <row r="16205">
          <cell r="A16205">
            <v>43229</v>
          </cell>
        </row>
        <row r="16206">
          <cell r="A16206">
            <v>43353</v>
          </cell>
        </row>
        <row r="16207">
          <cell r="A16207">
            <v>43733</v>
          </cell>
        </row>
        <row r="16208">
          <cell r="A16208">
            <v>43148</v>
          </cell>
        </row>
        <row r="16209">
          <cell r="A16209">
            <v>43611</v>
          </cell>
        </row>
        <row r="16210">
          <cell r="A16210">
            <v>43290</v>
          </cell>
        </row>
        <row r="16211">
          <cell r="A16211">
            <v>43355</v>
          </cell>
        </row>
        <row r="16212">
          <cell r="A16212">
            <v>43824</v>
          </cell>
        </row>
        <row r="16213">
          <cell r="A16213">
            <v>43538</v>
          </cell>
        </row>
        <row r="16214">
          <cell r="A16214">
            <v>43628</v>
          </cell>
        </row>
        <row r="16215">
          <cell r="A16215">
            <v>43254</v>
          </cell>
        </row>
        <row r="16216">
          <cell r="A16216">
            <v>43368</v>
          </cell>
        </row>
        <row r="16217">
          <cell r="A16217">
            <v>43249</v>
          </cell>
        </row>
        <row r="16218">
          <cell r="A16218">
            <v>43653</v>
          </cell>
        </row>
        <row r="16219">
          <cell r="A16219">
            <v>43583</v>
          </cell>
        </row>
        <row r="16220">
          <cell r="A16220">
            <v>43664</v>
          </cell>
        </row>
        <row r="16221">
          <cell r="A16221">
            <v>43335</v>
          </cell>
        </row>
        <row r="16222">
          <cell r="A16222">
            <v>43413</v>
          </cell>
        </row>
        <row r="16223">
          <cell r="A16223">
            <v>43752</v>
          </cell>
        </row>
        <row r="16224">
          <cell r="A16224">
            <v>43105</v>
          </cell>
        </row>
        <row r="16225">
          <cell r="A16225">
            <v>43636</v>
          </cell>
        </row>
        <row r="16226">
          <cell r="A16226">
            <v>43496</v>
          </cell>
        </row>
        <row r="16227">
          <cell r="A16227">
            <v>43616</v>
          </cell>
        </row>
        <row r="16228">
          <cell r="A16228">
            <v>43771</v>
          </cell>
        </row>
        <row r="16229">
          <cell r="A16229">
            <v>43483</v>
          </cell>
        </row>
        <row r="16230">
          <cell r="A16230">
            <v>43812</v>
          </cell>
        </row>
        <row r="16231">
          <cell r="A16231">
            <v>43360</v>
          </cell>
        </row>
        <row r="16232">
          <cell r="A16232">
            <v>43864</v>
          </cell>
        </row>
        <row r="16233">
          <cell r="A16233">
            <v>43660</v>
          </cell>
        </row>
        <row r="16234">
          <cell r="A16234">
            <v>43405</v>
          </cell>
        </row>
        <row r="16235">
          <cell r="A16235">
            <v>43686</v>
          </cell>
        </row>
        <row r="16236">
          <cell r="A16236">
            <v>43864</v>
          </cell>
        </row>
        <row r="16237">
          <cell r="A16237">
            <v>43230</v>
          </cell>
        </row>
        <row r="16238">
          <cell r="A16238">
            <v>43102</v>
          </cell>
        </row>
        <row r="16239">
          <cell r="A16239">
            <v>43545</v>
          </cell>
        </row>
        <row r="16240">
          <cell r="A16240">
            <v>43484</v>
          </cell>
        </row>
        <row r="16241">
          <cell r="A16241">
            <v>43610</v>
          </cell>
        </row>
        <row r="16242">
          <cell r="A16242">
            <v>43649</v>
          </cell>
        </row>
        <row r="16243">
          <cell r="A16243">
            <v>43179</v>
          </cell>
        </row>
        <row r="16244">
          <cell r="A16244">
            <v>43889</v>
          </cell>
        </row>
        <row r="16245">
          <cell r="A16245">
            <v>43834</v>
          </cell>
        </row>
        <row r="16246">
          <cell r="A16246">
            <v>43380</v>
          </cell>
        </row>
        <row r="16247">
          <cell r="A16247">
            <v>43428</v>
          </cell>
        </row>
        <row r="16248">
          <cell r="A16248">
            <v>43163</v>
          </cell>
        </row>
        <row r="16249">
          <cell r="A16249">
            <v>43589</v>
          </cell>
        </row>
        <row r="16250">
          <cell r="A16250">
            <v>43633</v>
          </cell>
        </row>
        <row r="16251">
          <cell r="A16251">
            <v>43197</v>
          </cell>
        </row>
        <row r="16252">
          <cell r="A16252">
            <v>43736</v>
          </cell>
        </row>
        <row r="16253">
          <cell r="A16253">
            <v>43559</v>
          </cell>
        </row>
        <row r="16254">
          <cell r="A16254">
            <v>43603</v>
          </cell>
        </row>
        <row r="16255">
          <cell r="A16255">
            <v>43144</v>
          </cell>
        </row>
        <row r="16256">
          <cell r="A16256">
            <v>43600</v>
          </cell>
        </row>
        <row r="16257">
          <cell r="A16257">
            <v>43145</v>
          </cell>
        </row>
        <row r="16258">
          <cell r="A16258">
            <v>43719</v>
          </cell>
        </row>
        <row r="16259">
          <cell r="A16259">
            <v>43432</v>
          </cell>
        </row>
        <row r="16260">
          <cell r="A16260">
            <v>43120</v>
          </cell>
        </row>
        <row r="16261">
          <cell r="A16261">
            <v>43470</v>
          </cell>
        </row>
        <row r="16262">
          <cell r="A16262">
            <v>43196</v>
          </cell>
        </row>
        <row r="16263">
          <cell r="A16263">
            <v>43428</v>
          </cell>
        </row>
        <row r="16264">
          <cell r="A16264">
            <v>43776</v>
          </cell>
        </row>
        <row r="16265">
          <cell r="A16265">
            <v>43587</v>
          </cell>
        </row>
        <row r="16266">
          <cell r="A16266">
            <v>43401</v>
          </cell>
        </row>
        <row r="16267">
          <cell r="A16267">
            <v>43188</v>
          </cell>
        </row>
        <row r="16268">
          <cell r="A16268">
            <v>43491</v>
          </cell>
        </row>
        <row r="16269">
          <cell r="A16269">
            <v>43280</v>
          </cell>
        </row>
        <row r="16270">
          <cell r="A16270">
            <v>43632</v>
          </cell>
        </row>
        <row r="16271">
          <cell r="A16271">
            <v>43601</v>
          </cell>
        </row>
        <row r="16272">
          <cell r="A16272">
            <v>43876</v>
          </cell>
        </row>
        <row r="16273">
          <cell r="A16273">
            <v>43343</v>
          </cell>
        </row>
        <row r="16274">
          <cell r="A16274">
            <v>43726</v>
          </cell>
        </row>
        <row r="16275">
          <cell r="A16275">
            <v>43671</v>
          </cell>
        </row>
        <row r="16276">
          <cell r="A16276">
            <v>43148</v>
          </cell>
        </row>
        <row r="16277">
          <cell r="A16277">
            <v>43704</v>
          </cell>
        </row>
        <row r="16278">
          <cell r="A16278">
            <v>43626</v>
          </cell>
        </row>
        <row r="16279">
          <cell r="A16279">
            <v>43338</v>
          </cell>
        </row>
        <row r="16280">
          <cell r="A16280">
            <v>43854</v>
          </cell>
        </row>
        <row r="16281">
          <cell r="A16281">
            <v>43386</v>
          </cell>
        </row>
        <row r="16282">
          <cell r="A16282">
            <v>43734</v>
          </cell>
        </row>
        <row r="16283">
          <cell r="A16283">
            <v>43772</v>
          </cell>
        </row>
        <row r="16284">
          <cell r="A16284">
            <v>43286</v>
          </cell>
        </row>
        <row r="16285">
          <cell r="A16285">
            <v>43794</v>
          </cell>
        </row>
        <row r="16286">
          <cell r="A16286">
            <v>43603</v>
          </cell>
        </row>
        <row r="16287">
          <cell r="A16287">
            <v>43797</v>
          </cell>
        </row>
        <row r="16288">
          <cell r="A16288">
            <v>43858</v>
          </cell>
        </row>
        <row r="16289">
          <cell r="A16289">
            <v>43323</v>
          </cell>
        </row>
        <row r="16290">
          <cell r="A16290">
            <v>43680</v>
          </cell>
        </row>
        <row r="16291">
          <cell r="A16291">
            <v>43226</v>
          </cell>
        </row>
        <row r="16292">
          <cell r="A16292">
            <v>43137</v>
          </cell>
        </row>
        <row r="16293">
          <cell r="A16293">
            <v>43835</v>
          </cell>
        </row>
        <row r="16294">
          <cell r="A16294">
            <v>43690</v>
          </cell>
        </row>
        <row r="16295">
          <cell r="A16295">
            <v>43841</v>
          </cell>
        </row>
        <row r="16296">
          <cell r="A16296">
            <v>43706</v>
          </cell>
        </row>
        <row r="16297">
          <cell r="A16297">
            <v>43640</v>
          </cell>
        </row>
        <row r="16298">
          <cell r="A16298">
            <v>43384</v>
          </cell>
        </row>
        <row r="16299">
          <cell r="A16299">
            <v>43879</v>
          </cell>
        </row>
        <row r="16300">
          <cell r="A16300">
            <v>43231</v>
          </cell>
        </row>
        <row r="16301">
          <cell r="A16301">
            <v>43535</v>
          </cell>
        </row>
        <row r="16302">
          <cell r="A16302">
            <v>43892</v>
          </cell>
        </row>
        <row r="16303">
          <cell r="A16303">
            <v>43660</v>
          </cell>
        </row>
        <row r="16304">
          <cell r="A16304">
            <v>43600</v>
          </cell>
        </row>
        <row r="16305">
          <cell r="A16305">
            <v>43772</v>
          </cell>
        </row>
        <row r="16306">
          <cell r="A16306">
            <v>43531</v>
          </cell>
        </row>
        <row r="16307">
          <cell r="A16307">
            <v>43416</v>
          </cell>
        </row>
        <row r="16308">
          <cell r="A16308">
            <v>43586</v>
          </cell>
        </row>
        <row r="16309">
          <cell r="A16309">
            <v>43194</v>
          </cell>
        </row>
        <row r="16310">
          <cell r="A16310">
            <v>43348</v>
          </cell>
        </row>
        <row r="16311">
          <cell r="A16311">
            <v>43845</v>
          </cell>
        </row>
        <row r="16312">
          <cell r="A16312">
            <v>43541</v>
          </cell>
        </row>
        <row r="16313">
          <cell r="A16313">
            <v>43623</v>
          </cell>
        </row>
        <row r="16314">
          <cell r="A16314">
            <v>43291</v>
          </cell>
        </row>
        <row r="16315">
          <cell r="A16315">
            <v>43140</v>
          </cell>
        </row>
        <row r="16316">
          <cell r="A16316">
            <v>43696</v>
          </cell>
        </row>
        <row r="16317">
          <cell r="A16317">
            <v>43398</v>
          </cell>
        </row>
        <row r="16318">
          <cell r="A16318">
            <v>43376</v>
          </cell>
        </row>
        <row r="16319">
          <cell r="A16319">
            <v>43376</v>
          </cell>
        </row>
        <row r="16320">
          <cell r="A16320">
            <v>43388</v>
          </cell>
        </row>
        <row r="16321">
          <cell r="A16321">
            <v>43594</v>
          </cell>
        </row>
        <row r="16322">
          <cell r="A16322">
            <v>43264</v>
          </cell>
        </row>
        <row r="16323">
          <cell r="A16323">
            <v>43697</v>
          </cell>
        </row>
        <row r="16324">
          <cell r="A16324">
            <v>43810</v>
          </cell>
        </row>
        <row r="16325">
          <cell r="A16325">
            <v>43744</v>
          </cell>
        </row>
        <row r="16326">
          <cell r="A16326">
            <v>43513</v>
          </cell>
        </row>
        <row r="16327">
          <cell r="A16327">
            <v>43344</v>
          </cell>
        </row>
        <row r="16328">
          <cell r="A16328">
            <v>43250</v>
          </cell>
        </row>
        <row r="16329">
          <cell r="A16329">
            <v>43552</v>
          </cell>
        </row>
        <row r="16330">
          <cell r="A16330">
            <v>43513</v>
          </cell>
        </row>
        <row r="16331">
          <cell r="A16331">
            <v>43651</v>
          </cell>
        </row>
        <row r="16332">
          <cell r="A16332">
            <v>43623</v>
          </cell>
        </row>
        <row r="16333">
          <cell r="A16333">
            <v>43711</v>
          </cell>
        </row>
        <row r="16334">
          <cell r="A16334">
            <v>43902</v>
          </cell>
        </row>
        <row r="16335">
          <cell r="A16335">
            <v>43836</v>
          </cell>
        </row>
        <row r="16336">
          <cell r="A16336">
            <v>43331</v>
          </cell>
        </row>
        <row r="16337">
          <cell r="A16337">
            <v>43640</v>
          </cell>
        </row>
        <row r="16338">
          <cell r="A16338">
            <v>43628</v>
          </cell>
        </row>
        <row r="16339">
          <cell r="A16339">
            <v>43820</v>
          </cell>
        </row>
        <row r="16340">
          <cell r="A16340">
            <v>43879</v>
          </cell>
        </row>
        <row r="16341">
          <cell r="A16341">
            <v>43693</v>
          </cell>
        </row>
        <row r="16342">
          <cell r="A16342">
            <v>43479</v>
          </cell>
        </row>
        <row r="16343">
          <cell r="A16343">
            <v>43539</v>
          </cell>
        </row>
        <row r="16344">
          <cell r="A16344">
            <v>43463</v>
          </cell>
        </row>
        <row r="16345">
          <cell r="A16345">
            <v>43391</v>
          </cell>
        </row>
        <row r="16346">
          <cell r="A16346">
            <v>43724</v>
          </cell>
        </row>
        <row r="16347">
          <cell r="A16347">
            <v>43759</v>
          </cell>
        </row>
        <row r="16348">
          <cell r="A16348">
            <v>43810</v>
          </cell>
        </row>
        <row r="16349">
          <cell r="A16349">
            <v>43411</v>
          </cell>
        </row>
        <row r="16350">
          <cell r="A16350">
            <v>43462</v>
          </cell>
        </row>
        <row r="16351">
          <cell r="A16351">
            <v>43522</v>
          </cell>
        </row>
        <row r="16352">
          <cell r="A16352">
            <v>43627</v>
          </cell>
        </row>
        <row r="16353">
          <cell r="A16353">
            <v>43613</v>
          </cell>
        </row>
        <row r="16354">
          <cell r="A16354">
            <v>43800</v>
          </cell>
        </row>
        <row r="16355">
          <cell r="A16355">
            <v>43671</v>
          </cell>
        </row>
        <row r="16356">
          <cell r="A16356">
            <v>43263</v>
          </cell>
        </row>
        <row r="16357">
          <cell r="A16357">
            <v>43518</v>
          </cell>
        </row>
        <row r="16358">
          <cell r="A16358">
            <v>43195</v>
          </cell>
        </row>
        <row r="16359">
          <cell r="A16359">
            <v>43270</v>
          </cell>
        </row>
        <row r="16360">
          <cell r="A16360">
            <v>43648</v>
          </cell>
        </row>
        <row r="16361">
          <cell r="A16361">
            <v>43850</v>
          </cell>
        </row>
        <row r="16362">
          <cell r="A16362">
            <v>43278</v>
          </cell>
        </row>
        <row r="16363">
          <cell r="A16363">
            <v>43809</v>
          </cell>
        </row>
        <row r="16364">
          <cell r="A16364">
            <v>43223</v>
          </cell>
        </row>
        <row r="16365">
          <cell r="A16365">
            <v>43599</v>
          </cell>
        </row>
        <row r="16366">
          <cell r="A16366">
            <v>43816</v>
          </cell>
        </row>
        <row r="16367">
          <cell r="A16367">
            <v>43385</v>
          </cell>
        </row>
        <row r="16368">
          <cell r="A16368">
            <v>43216</v>
          </cell>
        </row>
        <row r="16369">
          <cell r="A16369">
            <v>43324</v>
          </cell>
        </row>
        <row r="16370">
          <cell r="A16370">
            <v>43473</v>
          </cell>
        </row>
        <row r="16371">
          <cell r="A16371">
            <v>43708</v>
          </cell>
        </row>
        <row r="16372">
          <cell r="A16372">
            <v>43620</v>
          </cell>
        </row>
        <row r="16373">
          <cell r="A16373">
            <v>43263</v>
          </cell>
        </row>
        <row r="16374">
          <cell r="A16374">
            <v>43649</v>
          </cell>
        </row>
        <row r="16375">
          <cell r="A16375">
            <v>43365</v>
          </cell>
        </row>
        <row r="16376">
          <cell r="A16376">
            <v>43435</v>
          </cell>
        </row>
        <row r="16377">
          <cell r="A16377">
            <v>43747</v>
          </cell>
        </row>
        <row r="16378">
          <cell r="A16378">
            <v>43236</v>
          </cell>
        </row>
        <row r="16379">
          <cell r="A16379">
            <v>43410</v>
          </cell>
        </row>
        <row r="16380">
          <cell r="A16380">
            <v>43510</v>
          </cell>
        </row>
        <row r="16381">
          <cell r="A16381">
            <v>43864</v>
          </cell>
        </row>
        <row r="16382">
          <cell r="A16382">
            <v>43436</v>
          </cell>
        </row>
        <row r="16383">
          <cell r="A16383">
            <v>43370</v>
          </cell>
        </row>
        <row r="16384">
          <cell r="A16384">
            <v>43187</v>
          </cell>
        </row>
        <row r="16385">
          <cell r="A16385">
            <v>43166</v>
          </cell>
        </row>
        <row r="16386">
          <cell r="A16386">
            <v>43663</v>
          </cell>
        </row>
        <row r="16387">
          <cell r="A16387">
            <v>43829</v>
          </cell>
        </row>
        <row r="16388">
          <cell r="A16388">
            <v>43909</v>
          </cell>
        </row>
        <row r="16389">
          <cell r="A16389">
            <v>43828</v>
          </cell>
        </row>
        <row r="16390">
          <cell r="A16390">
            <v>43250</v>
          </cell>
        </row>
        <row r="16391">
          <cell r="A16391">
            <v>43324</v>
          </cell>
        </row>
        <row r="16392">
          <cell r="A16392">
            <v>43254</v>
          </cell>
        </row>
        <row r="16393">
          <cell r="A16393">
            <v>43281</v>
          </cell>
        </row>
        <row r="16394">
          <cell r="A16394">
            <v>43877</v>
          </cell>
        </row>
        <row r="16395">
          <cell r="A16395">
            <v>43473</v>
          </cell>
        </row>
        <row r="16396">
          <cell r="A16396">
            <v>43234</v>
          </cell>
        </row>
        <row r="16397">
          <cell r="A16397">
            <v>43645</v>
          </cell>
        </row>
        <row r="16398">
          <cell r="A16398">
            <v>43209</v>
          </cell>
        </row>
        <row r="16399">
          <cell r="A16399">
            <v>43802</v>
          </cell>
        </row>
        <row r="16400">
          <cell r="A16400">
            <v>43748</v>
          </cell>
        </row>
        <row r="16401">
          <cell r="A16401">
            <v>43423</v>
          </cell>
        </row>
        <row r="16402">
          <cell r="A16402">
            <v>43401</v>
          </cell>
        </row>
        <row r="16403">
          <cell r="A16403">
            <v>43630</v>
          </cell>
        </row>
        <row r="16404">
          <cell r="A16404">
            <v>43542</v>
          </cell>
        </row>
        <row r="16405">
          <cell r="A16405">
            <v>43763</v>
          </cell>
        </row>
        <row r="16406">
          <cell r="A16406">
            <v>43717</v>
          </cell>
        </row>
        <row r="16407">
          <cell r="A16407">
            <v>43444</v>
          </cell>
        </row>
        <row r="16408">
          <cell r="A16408">
            <v>43436</v>
          </cell>
        </row>
        <row r="16409">
          <cell r="A16409">
            <v>43735</v>
          </cell>
        </row>
        <row r="16410">
          <cell r="A16410">
            <v>43699</v>
          </cell>
        </row>
        <row r="16411">
          <cell r="A16411">
            <v>43515</v>
          </cell>
        </row>
        <row r="16412">
          <cell r="A16412">
            <v>43141</v>
          </cell>
        </row>
        <row r="16413">
          <cell r="A16413">
            <v>43837</v>
          </cell>
        </row>
        <row r="16414">
          <cell r="A16414">
            <v>43839</v>
          </cell>
        </row>
        <row r="16415">
          <cell r="A16415">
            <v>43738</v>
          </cell>
        </row>
        <row r="16416">
          <cell r="A16416">
            <v>43721</v>
          </cell>
        </row>
        <row r="16417">
          <cell r="A16417">
            <v>43579</v>
          </cell>
        </row>
        <row r="16418">
          <cell r="A16418">
            <v>43244</v>
          </cell>
        </row>
        <row r="16419">
          <cell r="A16419">
            <v>43846</v>
          </cell>
        </row>
        <row r="16420">
          <cell r="A16420">
            <v>43342</v>
          </cell>
        </row>
        <row r="16421">
          <cell r="A16421">
            <v>43286</v>
          </cell>
        </row>
        <row r="16422">
          <cell r="A16422">
            <v>43149</v>
          </cell>
        </row>
        <row r="16423">
          <cell r="A16423">
            <v>43495</v>
          </cell>
        </row>
        <row r="16424">
          <cell r="A16424">
            <v>43770</v>
          </cell>
        </row>
        <row r="16425">
          <cell r="A16425">
            <v>43857</v>
          </cell>
        </row>
        <row r="16426">
          <cell r="A16426">
            <v>43800</v>
          </cell>
        </row>
        <row r="16427">
          <cell r="A16427">
            <v>43736</v>
          </cell>
        </row>
        <row r="16428">
          <cell r="A16428">
            <v>43328</v>
          </cell>
        </row>
        <row r="16429">
          <cell r="A16429">
            <v>43210</v>
          </cell>
        </row>
        <row r="16430">
          <cell r="A16430">
            <v>43778</v>
          </cell>
        </row>
        <row r="16431">
          <cell r="A16431">
            <v>43551</v>
          </cell>
        </row>
        <row r="16432">
          <cell r="A16432">
            <v>43581</v>
          </cell>
        </row>
        <row r="16433">
          <cell r="A16433">
            <v>43590</v>
          </cell>
        </row>
        <row r="16434">
          <cell r="A16434">
            <v>43349</v>
          </cell>
        </row>
        <row r="16435">
          <cell r="A16435">
            <v>43704</v>
          </cell>
        </row>
        <row r="16436">
          <cell r="A16436">
            <v>43676</v>
          </cell>
        </row>
        <row r="16437">
          <cell r="A16437">
            <v>43437</v>
          </cell>
        </row>
        <row r="16438">
          <cell r="A16438">
            <v>43257</v>
          </cell>
        </row>
        <row r="16439">
          <cell r="A16439">
            <v>43817</v>
          </cell>
        </row>
        <row r="16440">
          <cell r="A16440">
            <v>43879</v>
          </cell>
        </row>
        <row r="16441">
          <cell r="A16441">
            <v>43856</v>
          </cell>
        </row>
        <row r="16442">
          <cell r="A16442">
            <v>43208</v>
          </cell>
        </row>
        <row r="16443">
          <cell r="A16443">
            <v>43327</v>
          </cell>
        </row>
        <row r="16444">
          <cell r="A16444">
            <v>43218</v>
          </cell>
        </row>
        <row r="16445">
          <cell r="A16445">
            <v>43642</v>
          </cell>
        </row>
        <row r="16446">
          <cell r="A16446">
            <v>43666</v>
          </cell>
        </row>
        <row r="16447">
          <cell r="A16447">
            <v>43289</v>
          </cell>
        </row>
        <row r="16448">
          <cell r="A16448">
            <v>43793</v>
          </cell>
        </row>
        <row r="16449">
          <cell r="A16449">
            <v>43564</v>
          </cell>
        </row>
        <row r="16450">
          <cell r="A16450">
            <v>43876</v>
          </cell>
        </row>
        <row r="16451">
          <cell r="A16451">
            <v>43251</v>
          </cell>
        </row>
        <row r="16452">
          <cell r="A16452">
            <v>43351</v>
          </cell>
        </row>
        <row r="16453">
          <cell r="A16453">
            <v>43779</v>
          </cell>
        </row>
        <row r="16454">
          <cell r="A16454">
            <v>43141</v>
          </cell>
        </row>
        <row r="16455">
          <cell r="A16455">
            <v>43741</v>
          </cell>
        </row>
        <row r="16456">
          <cell r="A16456">
            <v>43635</v>
          </cell>
        </row>
        <row r="16457">
          <cell r="A16457">
            <v>43347</v>
          </cell>
        </row>
        <row r="16458">
          <cell r="A16458">
            <v>43839</v>
          </cell>
        </row>
        <row r="16459">
          <cell r="A16459">
            <v>43560</v>
          </cell>
        </row>
        <row r="16460">
          <cell r="A16460">
            <v>43692</v>
          </cell>
        </row>
        <row r="16461">
          <cell r="A16461">
            <v>43756</v>
          </cell>
        </row>
        <row r="16462">
          <cell r="A16462">
            <v>43678</v>
          </cell>
        </row>
        <row r="16463">
          <cell r="A16463">
            <v>43492</v>
          </cell>
        </row>
        <row r="16464">
          <cell r="A16464">
            <v>43889</v>
          </cell>
        </row>
        <row r="16465">
          <cell r="A16465">
            <v>43556</v>
          </cell>
        </row>
        <row r="16466">
          <cell r="A16466">
            <v>43304</v>
          </cell>
        </row>
        <row r="16467">
          <cell r="A16467">
            <v>43160</v>
          </cell>
        </row>
        <row r="16468">
          <cell r="A16468">
            <v>43282</v>
          </cell>
        </row>
        <row r="16469">
          <cell r="A16469">
            <v>43517</v>
          </cell>
        </row>
        <row r="16470">
          <cell r="A16470">
            <v>43461</v>
          </cell>
        </row>
        <row r="16471">
          <cell r="A16471">
            <v>43352</v>
          </cell>
        </row>
        <row r="16472">
          <cell r="A16472">
            <v>43773</v>
          </cell>
        </row>
        <row r="16473">
          <cell r="A16473">
            <v>43597</v>
          </cell>
        </row>
        <row r="16474">
          <cell r="A16474">
            <v>43705</v>
          </cell>
        </row>
        <row r="16475">
          <cell r="A16475">
            <v>43299</v>
          </cell>
        </row>
        <row r="16476">
          <cell r="A16476">
            <v>43631</v>
          </cell>
        </row>
        <row r="16477">
          <cell r="A16477">
            <v>43756</v>
          </cell>
        </row>
        <row r="16478">
          <cell r="A16478">
            <v>43457</v>
          </cell>
        </row>
        <row r="16479">
          <cell r="A16479">
            <v>43161</v>
          </cell>
        </row>
        <row r="16480">
          <cell r="A16480">
            <v>43899</v>
          </cell>
        </row>
        <row r="16481">
          <cell r="A16481">
            <v>43616</v>
          </cell>
        </row>
        <row r="16482">
          <cell r="A16482">
            <v>43151</v>
          </cell>
        </row>
        <row r="16483">
          <cell r="A16483">
            <v>43809</v>
          </cell>
        </row>
        <row r="16484">
          <cell r="A16484">
            <v>43589</v>
          </cell>
        </row>
        <row r="16485">
          <cell r="A16485">
            <v>43225</v>
          </cell>
        </row>
        <row r="16486">
          <cell r="A16486">
            <v>43296</v>
          </cell>
        </row>
        <row r="16487">
          <cell r="A16487">
            <v>43205</v>
          </cell>
        </row>
        <row r="16488">
          <cell r="A16488">
            <v>43390</v>
          </cell>
        </row>
        <row r="16489">
          <cell r="A16489">
            <v>43357</v>
          </cell>
        </row>
        <row r="16490">
          <cell r="A16490">
            <v>43302</v>
          </cell>
        </row>
        <row r="16491">
          <cell r="A16491">
            <v>43432</v>
          </cell>
        </row>
        <row r="16492">
          <cell r="A16492">
            <v>43841</v>
          </cell>
        </row>
        <row r="16493">
          <cell r="A16493">
            <v>43578</v>
          </cell>
        </row>
        <row r="16494">
          <cell r="A16494">
            <v>43152</v>
          </cell>
        </row>
        <row r="16495">
          <cell r="A16495">
            <v>43868</v>
          </cell>
        </row>
        <row r="16496">
          <cell r="A16496">
            <v>43579</v>
          </cell>
        </row>
        <row r="16497">
          <cell r="A16497">
            <v>43762</v>
          </cell>
        </row>
        <row r="16498">
          <cell r="A16498">
            <v>43279</v>
          </cell>
        </row>
        <row r="16499">
          <cell r="A16499">
            <v>43410</v>
          </cell>
        </row>
        <row r="16500">
          <cell r="A16500">
            <v>43351</v>
          </cell>
        </row>
        <row r="16501">
          <cell r="A16501">
            <v>43830</v>
          </cell>
        </row>
        <row r="16502">
          <cell r="A16502">
            <v>43268</v>
          </cell>
        </row>
        <row r="16503">
          <cell r="A16503">
            <v>43372</v>
          </cell>
        </row>
        <row r="16504">
          <cell r="A16504">
            <v>43162</v>
          </cell>
        </row>
        <row r="16505">
          <cell r="A16505">
            <v>43708</v>
          </cell>
        </row>
        <row r="16506">
          <cell r="A16506">
            <v>43388</v>
          </cell>
        </row>
        <row r="16507">
          <cell r="A16507">
            <v>43448</v>
          </cell>
        </row>
        <row r="16508">
          <cell r="A16508">
            <v>43813</v>
          </cell>
        </row>
        <row r="16509">
          <cell r="A16509">
            <v>43912</v>
          </cell>
        </row>
        <row r="16510">
          <cell r="A16510">
            <v>43674</v>
          </cell>
        </row>
        <row r="16511">
          <cell r="A16511">
            <v>43419</v>
          </cell>
        </row>
        <row r="16512">
          <cell r="A16512">
            <v>43300</v>
          </cell>
        </row>
        <row r="16513">
          <cell r="A16513">
            <v>43912</v>
          </cell>
        </row>
        <row r="16514">
          <cell r="A16514">
            <v>43408</v>
          </cell>
        </row>
        <row r="16515">
          <cell r="A16515">
            <v>43144</v>
          </cell>
        </row>
        <row r="16516">
          <cell r="A16516">
            <v>43903</v>
          </cell>
        </row>
        <row r="16517">
          <cell r="A16517">
            <v>43618</v>
          </cell>
        </row>
        <row r="16518">
          <cell r="A16518">
            <v>43456</v>
          </cell>
        </row>
        <row r="16519">
          <cell r="A16519">
            <v>43634</v>
          </cell>
        </row>
        <row r="16520">
          <cell r="A16520">
            <v>43697</v>
          </cell>
        </row>
        <row r="16521">
          <cell r="A16521">
            <v>43244</v>
          </cell>
        </row>
        <row r="16522">
          <cell r="A16522">
            <v>43587</v>
          </cell>
        </row>
        <row r="16523">
          <cell r="A16523">
            <v>43737</v>
          </cell>
        </row>
        <row r="16524">
          <cell r="A16524">
            <v>43420</v>
          </cell>
        </row>
        <row r="16525">
          <cell r="A16525">
            <v>43105</v>
          </cell>
        </row>
        <row r="16526">
          <cell r="A16526">
            <v>43414</v>
          </cell>
        </row>
        <row r="16527">
          <cell r="A16527">
            <v>43228</v>
          </cell>
        </row>
        <row r="16528">
          <cell r="A16528">
            <v>43634</v>
          </cell>
        </row>
        <row r="16529">
          <cell r="A16529">
            <v>43260</v>
          </cell>
        </row>
        <row r="16530">
          <cell r="A16530">
            <v>43341</v>
          </cell>
        </row>
        <row r="16531">
          <cell r="A16531">
            <v>43193</v>
          </cell>
        </row>
        <row r="16532">
          <cell r="A16532">
            <v>43757</v>
          </cell>
        </row>
        <row r="16533">
          <cell r="A16533">
            <v>43716</v>
          </cell>
        </row>
        <row r="16534">
          <cell r="A16534">
            <v>43534</v>
          </cell>
        </row>
        <row r="16535">
          <cell r="A16535">
            <v>43234</v>
          </cell>
        </row>
        <row r="16536">
          <cell r="A16536">
            <v>43286</v>
          </cell>
        </row>
        <row r="16537">
          <cell r="A16537">
            <v>43242</v>
          </cell>
        </row>
        <row r="16538">
          <cell r="A16538">
            <v>43163</v>
          </cell>
        </row>
        <row r="16539">
          <cell r="A16539">
            <v>43482</v>
          </cell>
        </row>
        <row r="16540">
          <cell r="A16540">
            <v>43805</v>
          </cell>
        </row>
        <row r="16541">
          <cell r="A16541">
            <v>43564</v>
          </cell>
        </row>
        <row r="16542">
          <cell r="A16542">
            <v>43178</v>
          </cell>
        </row>
        <row r="16543">
          <cell r="A16543">
            <v>43551</v>
          </cell>
        </row>
        <row r="16544">
          <cell r="A16544">
            <v>43796</v>
          </cell>
        </row>
        <row r="16545">
          <cell r="A16545">
            <v>43510</v>
          </cell>
        </row>
        <row r="16546">
          <cell r="A16546">
            <v>43454</v>
          </cell>
        </row>
        <row r="16547">
          <cell r="A16547">
            <v>43677</v>
          </cell>
        </row>
        <row r="16548">
          <cell r="A16548">
            <v>43601</v>
          </cell>
        </row>
        <row r="16549">
          <cell r="A16549">
            <v>43194</v>
          </cell>
        </row>
        <row r="16550">
          <cell r="A16550">
            <v>43197</v>
          </cell>
        </row>
        <row r="16551">
          <cell r="A16551">
            <v>43322</v>
          </cell>
        </row>
        <row r="16552">
          <cell r="A16552">
            <v>43396</v>
          </cell>
        </row>
        <row r="16553">
          <cell r="A16553">
            <v>43875</v>
          </cell>
        </row>
        <row r="16554">
          <cell r="A16554">
            <v>43134</v>
          </cell>
        </row>
        <row r="16555">
          <cell r="A16555">
            <v>43323</v>
          </cell>
        </row>
        <row r="16556">
          <cell r="A16556">
            <v>43616</v>
          </cell>
        </row>
        <row r="16557">
          <cell r="A16557">
            <v>43603</v>
          </cell>
        </row>
        <row r="16558">
          <cell r="A16558">
            <v>43679</v>
          </cell>
        </row>
        <row r="16559">
          <cell r="A16559">
            <v>43809</v>
          </cell>
        </row>
        <row r="16560">
          <cell r="A16560">
            <v>43123</v>
          </cell>
        </row>
        <row r="16561">
          <cell r="A16561">
            <v>43676</v>
          </cell>
        </row>
        <row r="16562">
          <cell r="A16562">
            <v>43743</v>
          </cell>
        </row>
        <row r="16563">
          <cell r="A16563">
            <v>43506</v>
          </cell>
        </row>
        <row r="16564">
          <cell r="A16564">
            <v>43178</v>
          </cell>
        </row>
        <row r="16565">
          <cell r="A16565">
            <v>43747</v>
          </cell>
        </row>
        <row r="16566">
          <cell r="A16566">
            <v>43567</v>
          </cell>
        </row>
        <row r="16567">
          <cell r="A16567">
            <v>43132</v>
          </cell>
        </row>
        <row r="16568">
          <cell r="A16568">
            <v>43114</v>
          </cell>
        </row>
        <row r="16569">
          <cell r="A16569">
            <v>43646</v>
          </cell>
        </row>
        <row r="16570">
          <cell r="A16570">
            <v>43107</v>
          </cell>
        </row>
        <row r="16571">
          <cell r="A16571">
            <v>43283</v>
          </cell>
        </row>
        <row r="16572">
          <cell r="A16572">
            <v>43214</v>
          </cell>
        </row>
        <row r="16573">
          <cell r="A16573">
            <v>43597</v>
          </cell>
        </row>
        <row r="16574">
          <cell r="A16574">
            <v>43584</v>
          </cell>
        </row>
        <row r="16575">
          <cell r="A16575">
            <v>43541</v>
          </cell>
        </row>
        <row r="16576">
          <cell r="A16576">
            <v>43189</v>
          </cell>
        </row>
        <row r="16577">
          <cell r="A16577">
            <v>43754</v>
          </cell>
        </row>
        <row r="16578">
          <cell r="A16578">
            <v>43497</v>
          </cell>
        </row>
        <row r="16579">
          <cell r="A16579">
            <v>43533</v>
          </cell>
        </row>
        <row r="16580">
          <cell r="A16580">
            <v>43664</v>
          </cell>
        </row>
        <row r="16581">
          <cell r="A16581">
            <v>43298</v>
          </cell>
        </row>
        <row r="16582">
          <cell r="A16582">
            <v>43446</v>
          </cell>
        </row>
        <row r="16583">
          <cell r="A16583">
            <v>43190</v>
          </cell>
        </row>
        <row r="16584">
          <cell r="A16584">
            <v>43562</v>
          </cell>
        </row>
        <row r="16585">
          <cell r="A16585">
            <v>43196</v>
          </cell>
        </row>
        <row r="16586">
          <cell r="A16586">
            <v>43767</v>
          </cell>
        </row>
        <row r="16587">
          <cell r="A16587">
            <v>43227</v>
          </cell>
        </row>
        <row r="16588">
          <cell r="A16588">
            <v>43889</v>
          </cell>
        </row>
        <row r="16589">
          <cell r="A16589">
            <v>43226</v>
          </cell>
        </row>
        <row r="16590">
          <cell r="A16590">
            <v>43460</v>
          </cell>
        </row>
        <row r="16591">
          <cell r="A16591">
            <v>43442</v>
          </cell>
        </row>
        <row r="16592">
          <cell r="A16592">
            <v>43708</v>
          </cell>
        </row>
        <row r="16593">
          <cell r="A16593">
            <v>43574</v>
          </cell>
        </row>
        <row r="16594">
          <cell r="A16594">
            <v>43230</v>
          </cell>
        </row>
        <row r="16595">
          <cell r="A16595">
            <v>43759</v>
          </cell>
        </row>
        <row r="16596">
          <cell r="A16596">
            <v>43473</v>
          </cell>
        </row>
        <row r="16597">
          <cell r="A16597">
            <v>43210</v>
          </cell>
        </row>
        <row r="16598">
          <cell r="A16598">
            <v>43402</v>
          </cell>
        </row>
        <row r="16599">
          <cell r="A16599">
            <v>43410</v>
          </cell>
        </row>
        <row r="16600">
          <cell r="A16600">
            <v>43491</v>
          </cell>
        </row>
        <row r="16601">
          <cell r="A16601">
            <v>43287</v>
          </cell>
        </row>
        <row r="16602">
          <cell r="A16602">
            <v>43468</v>
          </cell>
        </row>
        <row r="16603">
          <cell r="A16603">
            <v>43808</v>
          </cell>
        </row>
        <row r="16604">
          <cell r="A16604">
            <v>43694</v>
          </cell>
        </row>
        <row r="16605">
          <cell r="A16605">
            <v>43259</v>
          </cell>
        </row>
        <row r="16606">
          <cell r="A16606">
            <v>43473</v>
          </cell>
        </row>
        <row r="16607">
          <cell r="A16607">
            <v>43546</v>
          </cell>
        </row>
        <row r="16608">
          <cell r="A16608">
            <v>43231</v>
          </cell>
        </row>
        <row r="16609">
          <cell r="A16609">
            <v>43680</v>
          </cell>
        </row>
        <row r="16610">
          <cell r="A16610">
            <v>43465</v>
          </cell>
        </row>
        <row r="16611">
          <cell r="A16611">
            <v>43797</v>
          </cell>
        </row>
        <row r="16612">
          <cell r="A16612">
            <v>43846</v>
          </cell>
        </row>
        <row r="16613">
          <cell r="A16613">
            <v>43417</v>
          </cell>
        </row>
        <row r="16614">
          <cell r="A16614">
            <v>43910</v>
          </cell>
        </row>
        <row r="16615">
          <cell r="A16615">
            <v>43571</v>
          </cell>
        </row>
        <row r="16616">
          <cell r="A16616">
            <v>43470</v>
          </cell>
        </row>
        <row r="16617">
          <cell r="A16617">
            <v>43596</v>
          </cell>
        </row>
        <row r="16618">
          <cell r="A16618">
            <v>43175</v>
          </cell>
        </row>
        <row r="16619">
          <cell r="A16619">
            <v>43600</v>
          </cell>
        </row>
        <row r="16620">
          <cell r="A16620">
            <v>43136</v>
          </cell>
        </row>
        <row r="16621">
          <cell r="A16621">
            <v>43282</v>
          </cell>
        </row>
        <row r="16622">
          <cell r="A16622">
            <v>43500</v>
          </cell>
        </row>
        <row r="16623">
          <cell r="A16623">
            <v>43494</v>
          </cell>
        </row>
        <row r="16624">
          <cell r="A16624">
            <v>43326</v>
          </cell>
        </row>
        <row r="16625">
          <cell r="A16625">
            <v>43696</v>
          </cell>
        </row>
        <row r="16626">
          <cell r="A16626">
            <v>43701</v>
          </cell>
        </row>
        <row r="16627">
          <cell r="A16627">
            <v>43325</v>
          </cell>
        </row>
        <row r="16628">
          <cell r="A16628">
            <v>43176</v>
          </cell>
        </row>
        <row r="16629">
          <cell r="A16629">
            <v>43877</v>
          </cell>
        </row>
        <row r="16630">
          <cell r="A16630">
            <v>43476</v>
          </cell>
        </row>
        <row r="16631">
          <cell r="A16631">
            <v>43432</v>
          </cell>
        </row>
        <row r="16632">
          <cell r="A16632">
            <v>43451</v>
          </cell>
        </row>
        <row r="16633">
          <cell r="A16633">
            <v>43451</v>
          </cell>
        </row>
        <row r="16634">
          <cell r="A16634">
            <v>43615</v>
          </cell>
        </row>
        <row r="16635">
          <cell r="A16635">
            <v>43510</v>
          </cell>
        </row>
        <row r="16636">
          <cell r="A16636">
            <v>43744</v>
          </cell>
        </row>
        <row r="16637">
          <cell r="A16637">
            <v>43613</v>
          </cell>
        </row>
        <row r="16638">
          <cell r="A16638">
            <v>43215</v>
          </cell>
        </row>
        <row r="16639">
          <cell r="A16639">
            <v>43258</v>
          </cell>
        </row>
        <row r="16640">
          <cell r="A16640">
            <v>43628</v>
          </cell>
        </row>
        <row r="16641">
          <cell r="A16641">
            <v>43793</v>
          </cell>
        </row>
        <row r="16642">
          <cell r="A16642">
            <v>43485</v>
          </cell>
        </row>
        <row r="16643">
          <cell r="A16643">
            <v>43194</v>
          </cell>
        </row>
        <row r="16644">
          <cell r="A16644">
            <v>43659</v>
          </cell>
        </row>
        <row r="16645">
          <cell r="A16645">
            <v>43268</v>
          </cell>
        </row>
        <row r="16646">
          <cell r="A16646">
            <v>43497</v>
          </cell>
        </row>
        <row r="16647">
          <cell r="A16647">
            <v>43259</v>
          </cell>
        </row>
        <row r="16648">
          <cell r="A16648">
            <v>43639</v>
          </cell>
        </row>
        <row r="16649">
          <cell r="A16649">
            <v>43548</v>
          </cell>
        </row>
        <row r="16650">
          <cell r="A16650">
            <v>43286</v>
          </cell>
        </row>
        <row r="16651">
          <cell r="A16651">
            <v>43720</v>
          </cell>
        </row>
        <row r="16652">
          <cell r="A16652">
            <v>43104</v>
          </cell>
        </row>
        <row r="16653">
          <cell r="A16653">
            <v>43283</v>
          </cell>
        </row>
        <row r="16654">
          <cell r="A16654">
            <v>43332</v>
          </cell>
        </row>
        <row r="16655">
          <cell r="A16655">
            <v>43908</v>
          </cell>
        </row>
        <row r="16656">
          <cell r="A16656">
            <v>43831</v>
          </cell>
        </row>
        <row r="16657">
          <cell r="A16657">
            <v>43344</v>
          </cell>
        </row>
        <row r="16658">
          <cell r="A16658">
            <v>43484</v>
          </cell>
        </row>
        <row r="16659">
          <cell r="A16659">
            <v>43414</v>
          </cell>
        </row>
        <row r="16660">
          <cell r="A16660">
            <v>43605</v>
          </cell>
        </row>
        <row r="16661">
          <cell r="A16661">
            <v>43656</v>
          </cell>
        </row>
        <row r="16662">
          <cell r="A16662">
            <v>43453</v>
          </cell>
        </row>
        <row r="16663">
          <cell r="A16663">
            <v>43156</v>
          </cell>
        </row>
        <row r="16664">
          <cell r="A16664">
            <v>43252</v>
          </cell>
        </row>
        <row r="16665">
          <cell r="A16665">
            <v>43614</v>
          </cell>
        </row>
        <row r="16666">
          <cell r="A16666">
            <v>43421</v>
          </cell>
        </row>
        <row r="16667">
          <cell r="A16667">
            <v>43328</v>
          </cell>
        </row>
        <row r="16668">
          <cell r="A16668">
            <v>43698</v>
          </cell>
        </row>
        <row r="16669">
          <cell r="A16669">
            <v>43206</v>
          </cell>
        </row>
        <row r="16670">
          <cell r="A16670">
            <v>43261</v>
          </cell>
        </row>
        <row r="16671">
          <cell r="A16671">
            <v>43852</v>
          </cell>
        </row>
        <row r="16672">
          <cell r="A16672">
            <v>43702</v>
          </cell>
        </row>
        <row r="16673">
          <cell r="A16673">
            <v>43211</v>
          </cell>
        </row>
        <row r="16674">
          <cell r="A16674">
            <v>43868</v>
          </cell>
        </row>
        <row r="16675">
          <cell r="A16675">
            <v>43306</v>
          </cell>
        </row>
        <row r="16676">
          <cell r="A16676">
            <v>43544</v>
          </cell>
        </row>
        <row r="16677">
          <cell r="A16677">
            <v>43715</v>
          </cell>
        </row>
        <row r="16678">
          <cell r="A16678">
            <v>43363</v>
          </cell>
        </row>
        <row r="16679">
          <cell r="A16679">
            <v>43870</v>
          </cell>
        </row>
        <row r="16680">
          <cell r="A16680">
            <v>43297</v>
          </cell>
        </row>
        <row r="16681">
          <cell r="A16681">
            <v>43561</v>
          </cell>
        </row>
        <row r="16682">
          <cell r="A16682">
            <v>43738</v>
          </cell>
        </row>
        <row r="16683">
          <cell r="A16683">
            <v>43600</v>
          </cell>
        </row>
        <row r="16684">
          <cell r="A16684">
            <v>43456</v>
          </cell>
        </row>
        <row r="16685">
          <cell r="A16685">
            <v>43160</v>
          </cell>
        </row>
        <row r="16686">
          <cell r="A16686">
            <v>43719</v>
          </cell>
        </row>
        <row r="16687">
          <cell r="A16687">
            <v>43242</v>
          </cell>
        </row>
        <row r="16688">
          <cell r="A16688">
            <v>43655</v>
          </cell>
        </row>
        <row r="16689">
          <cell r="A16689">
            <v>43237</v>
          </cell>
        </row>
        <row r="16690">
          <cell r="A16690">
            <v>43640</v>
          </cell>
        </row>
        <row r="16691">
          <cell r="A16691">
            <v>43367</v>
          </cell>
        </row>
        <row r="16692">
          <cell r="A16692">
            <v>43829</v>
          </cell>
        </row>
        <row r="16693">
          <cell r="A16693">
            <v>43439</v>
          </cell>
        </row>
        <row r="16694">
          <cell r="A16694">
            <v>43570</v>
          </cell>
        </row>
        <row r="16695">
          <cell r="A16695">
            <v>43480</v>
          </cell>
        </row>
        <row r="16696">
          <cell r="A16696">
            <v>43774</v>
          </cell>
        </row>
        <row r="16697">
          <cell r="A16697">
            <v>43182</v>
          </cell>
        </row>
        <row r="16698">
          <cell r="A16698">
            <v>43543</v>
          </cell>
        </row>
        <row r="16699">
          <cell r="A16699">
            <v>43258</v>
          </cell>
        </row>
        <row r="16700">
          <cell r="A16700">
            <v>43103</v>
          </cell>
        </row>
        <row r="16701">
          <cell r="A16701">
            <v>43301</v>
          </cell>
        </row>
        <row r="16702">
          <cell r="A16702">
            <v>43597</v>
          </cell>
        </row>
        <row r="16703">
          <cell r="A16703">
            <v>43338</v>
          </cell>
        </row>
        <row r="16704">
          <cell r="A16704">
            <v>43847</v>
          </cell>
        </row>
        <row r="16705">
          <cell r="A16705">
            <v>43725</v>
          </cell>
        </row>
        <row r="16706">
          <cell r="A16706">
            <v>43337</v>
          </cell>
        </row>
        <row r="16707">
          <cell r="A16707">
            <v>43675</v>
          </cell>
        </row>
        <row r="16708">
          <cell r="A16708">
            <v>43410</v>
          </cell>
        </row>
        <row r="16709">
          <cell r="A16709">
            <v>43498</v>
          </cell>
        </row>
        <row r="16710">
          <cell r="A16710">
            <v>43109</v>
          </cell>
        </row>
        <row r="16711">
          <cell r="A16711">
            <v>43809</v>
          </cell>
        </row>
        <row r="16712">
          <cell r="A16712">
            <v>43252</v>
          </cell>
        </row>
        <row r="16713">
          <cell r="A16713">
            <v>43246</v>
          </cell>
        </row>
        <row r="16714">
          <cell r="A16714">
            <v>43135</v>
          </cell>
        </row>
        <row r="16715">
          <cell r="A16715">
            <v>43479</v>
          </cell>
        </row>
        <row r="16716">
          <cell r="A16716">
            <v>43832</v>
          </cell>
        </row>
        <row r="16717">
          <cell r="A16717">
            <v>43833</v>
          </cell>
        </row>
        <row r="16718">
          <cell r="A16718">
            <v>43209</v>
          </cell>
        </row>
        <row r="16719">
          <cell r="A16719">
            <v>43188</v>
          </cell>
        </row>
        <row r="16720">
          <cell r="A16720">
            <v>43643</v>
          </cell>
        </row>
        <row r="16721">
          <cell r="A16721">
            <v>43185</v>
          </cell>
        </row>
        <row r="16722">
          <cell r="A16722">
            <v>43589</v>
          </cell>
        </row>
        <row r="16723">
          <cell r="A16723">
            <v>43900</v>
          </cell>
        </row>
        <row r="16724">
          <cell r="A16724">
            <v>43662</v>
          </cell>
        </row>
        <row r="16725">
          <cell r="A16725">
            <v>43163</v>
          </cell>
        </row>
        <row r="16726">
          <cell r="A16726">
            <v>43876</v>
          </cell>
        </row>
        <row r="16727">
          <cell r="A16727">
            <v>43471</v>
          </cell>
        </row>
        <row r="16728">
          <cell r="A16728">
            <v>43820</v>
          </cell>
        </row>
        <row r="16729">
          <cell r="A16729">
            <v>43716</v>
          </cell>
        </row>
        <row r="16730">
          <cell r="A16730">
            <v>43798</v>
          </cell>
        </row>
        <row r="16731">
          <cell r="A16731">
            <v>43137</v>
          </cell>
        </row>
        <row r="16732">
          <cell r="A16732">
            <v>43743</v>
          </cell>
        </row>
        <row r="16733">
          <cell r="A16733">
            <v>43221</v>
          </cell>
        </row>
        <row r="16734">
          <cell r="A16734">
            <v>43102</v>
          </cell>
        </row>
        <row r="16735">
          <cell r="A16735">
            <v>43615</v>
          </cell>
        </row>
        <row r="16736">
          <cell r="A16736">
            <v>43736</v>
          </cell>
        </row>
        <row r="16737">
          <cell r="A16737">
            <v>43292</v>
          </cell>
        </row>
        <row r="16738">
          <cell r="A16738">
            <v>43278</v>
          </cell>
        </row>
        <row r="16739">
          <cell r="A16739">
            <v>43410</v>
          </cell>
        </row>
        <row r="16740">
          <cell r="A16740">
            <v>43659</v>
          </cell>
        </row>
        <row r="16741">
          <cell r="A16741">
            <v>43570</v>
          </cell>
        </row>
        <row r="16742">
          <cell r="A16742">
            <v>43464</v>
          </cell>
        </row>
        <row r="16743">
          <cell r="A16743">
            <v>43889</v>
          </cell>
        </row>
        <row r="16744">
          <cell r="A16744">
            <v>43342</v>
          </cell>
        </row>
        <row r="16745">
          <cell r="A16745">
            <v>43882</v>
          </cell>
        </row>
        <row r="16746">
          <cell r="A16746">
            <v>43646</v>
          </cell>
        </row>
        <row r="16747">
          <cell r="A16747">
            <v>43694</v>
          </cell>
        </row>
        <row r="16748">
          <cell r="A16748">
            <v>43157</v>
          </cell>
        </row>
        <row r="16749">
          <cell r="A16749">
            <v>43541</v>
          </cell>
        </row>
        <row r="16750">
          <cell r="A16750">
            <v>43433</v>
          </cell>
        </row>
        <row r="16751">
          <cell r="A16751">
            <v>43469</v>
          </cell>
        </row>
        <row r="16752">
          <cell r="A16752">
            <v>43539</v>
          </cell>
        </row>
        <row r="16753">
          <cell r="A16753">
            <v>43243</v>
          </cell>
        </row>
        <row r="16754">
          <cell r="A16754">
            <v>43870</v>
          </cell>
        </row>
        <row r="16755">
          <cell r="A16755">
            <v>43572</v>
          </cell>
        </row>
        <row r="16756">
          <cell r="A16756">
            <v>43450</v>
          </cell>
        </row>
        <row r="16757">
          <cell r="A16757">
            <v>43660</v>
          </cell>
        </row>
        <row r="16758">
          <cell r="A16758">
            <v>43693</v>
          </cell>
        </row>
        <row r="16759">
          <cell r="A16759">
            <v>43486</v>
          </cell>
        </row>
        <row r="16760">
          <cell r="A16760">
            <v>43569</v>
          </cell>
        </row>
        <row r="16761">
          <cell r="A16761">
            <v>43157</v>
          </cell>
        </row>
        <row r="16762">
          <cell r="A16762">
            <v>43523</v>
          </cell>
        </row>
        <row r="16763">
          <cell r="A16763">
            <v>43237</v>
          </cell>
        </row>
        <row r="16764">
          <cell r="A16764">
            <v>43658</v>
          </cell>
        </row>
        <row r="16765">
          <cell r="A16765">
            <v>43553</v>
          </cell>
        </row>
        <row r="16766">
          <cell r="A16766">
            <v>43254</v>
          </cell>
        </row>
        <row r="16767">
          <cell r="A16767">
            <v>43917</v>
          </cell>
        </row>
        <row r="16768">
          <cell r="A16768">
            <v>43617</v>
          </cell>
        </row>
        <row r="16769">
          <cell r="A16769">
            <v>43534</v>
          </cell>
        </row>
        <row r="16770">
          <cell r="A16770">
            <v>43830</v>
          </cell>
        </row>
        <row r="16771">
          <cell r="A16771">
            <v>43452</v>
          </cell>
        </row>
        <row r="16772">
          <cell r="A16772">
            <v>43855</v>
          </cell>
        </row>
        <row r="16773">
          <cell r="A16773">
            <v>43659</v>
          </cell>
        </row>
        <row r="16774">
          <cell r="A16774">
            <v>43673</v>
          </cell>
        </row>
        <row r="16775">
          <cell r="A16775">
            <v>43314</v>
          </cell>
        </row>
        <row r="16776">
          <cell r="A16776">
            <v>43225</v>
          </cell>
        </row>
        <row r="16777">
          <cell r="A16777">
            <v>43852</v>
          </cell>
        </row>
        <row r="16778">
          <cell r="A16778">
            <v>43155</v>
          </cell>
        </row>
        <row r="16779">
          <cell r="A16779">
            <v>43615</v>
          </cell>
        </row>
        <row r="16780">
          <cell r="A16780">
            <v>43271</v>
          </cell>
        </row>
        <row r="16781">
          <cell r="A16781">
            <v>43867</v>
          </cell>
        </row>
        <row r="16782">
          <cell r="A16782">
            <v>43162</v>
          </cell>
        </row>
        <row r="16783">
          <cell r="A16783">
            <v>43594</v>
          </cell>
        </row>
        <row r="16784">
          <cell r="A16784">
            <v>43562</v>
          </cell>
        </row>
        <row r="16785">
          <cell r="A16785">
            <v>43124</v>
          </cell>
        </row>
        <row r="16786">
          <cell r="A16786">
            <v>43513</v>
          </cell>
        </row>
        <row r="16787">
          <cell r="A16787">
            <v>43507</v>
          </cell>
        </row>
        <row r="16788">
          <cell r="A16788">
            <v>43395</v>
          </cell>
        </row>
        <row r="16789">
          <cell r="A16789">
            <v>43792</v>
          </cell>
        </row>
        <row r="16790">
          <cell r="A16790">
            <v>43483</v>
          </cell>
        </row>
        <row r="16791">
          <cell r="A16791">
            <v>43359</v>
          </cell>
        </row>
        <row r="16792">
          <cell r="A16792">
            <v>43707</v>
          </cell>
        </row>
        <row r="16793">
          <cell r="A16793">
            <v>43268</v>
          </cell>
        </row>
        <row r="16794">
          <cell r="A16794">
            <v>43515</v>
          </cell>
        </row>
        <row r="16795">
          <cell r="A16795">
            <v>43763</v>
          </cell>
        </row>
        <row r="16796">
          <cell r="A16796">
            <v>43383</v>
          </cell>
        </row>
        <row r="16797">
          <cell r="A16797">
            <v>43226</v>
          </cell>
        </row>
        <row r="16798">
          <cell r="A16798">
            <v>43196</v>
          </cell>
        </row>
        <row r="16799">
          <cell r="A16799">
            <v>43182</v>
          </cell>
        </row>
        <row r="16800">
          <cell r="A16800">
            <v>43675</v>
          </cell>
        </row>
        <row r="16801">
          <cell r="A16801">
            <v>43860</v>
          </cell>
        </row>
        <row r="16802">
          <cell r="A16802">
            <v>43265</v>
          </cell>
        </row>
        <row r="16803">
          <cell r="A16803">
            <v>43498</v>
          </cell>
        </row>
        <row r="16804">
          <cell r="A16804">
            <v>43548</v>
          </cell>
        </row>
        <row r="16805">
          <cell r="A16805">
            <v>43307</v>
          </cell>
        </row>
        <row r="16806">
          <cell r="A16806">
            <v>43409</v>
          </cell>
        </row>
        <row r="16807">
          <cell r="A16807">
            <v>43537</v>
          </cell>
        </row>
        <row r="16808">
          <cell r="A16808">
            <v>43367</v>
          </cell>
        </row>
        <row r="16809">
          <cell r="A16809">
            <v>43707</v>
          </cell>
        </row>
        <row r="16810">
          <cell r="A16810">
            <v>43129</v>
          </cell>
        </row>
        <row r="16811">
          <cell r="A16811">
            <v>43303</v>
          </cell>
        </row>
        <row r="16812">
          <cell r="A16812">
            <v>43726</v>
          </cell>
        </row>
        <row r="16813">
          <cell r="A16813">
            <v>43166</v>
          </cell>
        </row>
        <row r="16814">
          <cell r="A16814">
            <v>43303</v>
          </cell>
        </row>
        <row r="16815">
          <cell r="A16815">
            <v>43334</v>
          </cell>
        </row>
        <row r="16816">
          <cell r="A16816">
            <v>43825</v>
          </cell>
        </row>
        <row r="16817">
          <cell r="A16817">
            <v>43584</v>
          </cell>
        </row>
        <row r="16818">
          <cell r="A16818">
            <v>43560</v>
          </cell>
        </row>
        <row r="16819">
          <cell r="A16819">
            <v>43618</v>
          </cell>
        </row>
        <row r="16820">
          <cell r="A16820">
            <v>43238</v>
          </cell>
        </row>
        <row r="16821">
          <cell r="A16821">
            <v>43185</v>
          </cell>
        </row>
        <row r="16822">
          <cell r="A16822">
            <v>43138</v>
          </cell>
        </row>
        <row r="16823">
          <cell r="A16823">
            <v>43911</v>
          </cell>
        </row>
        <row r="16824">
          <cell r="A16824">
            <v>43121</v>
          </cell>
        </row>
        <row r="16825">
          <cell r="A16825">
            <v>43262</v>
          </cell>
        </row>
        <row r="16826">
          <cell r="A16826">
            <v>43182</v>
          </cell>
        </row>
        <row r="16827">
          <cell r="A16827">
            <v>43646</v>
          </cell>
        </row>
        <row r="16828">
          <cell r="A16828">
            <v>43303</v>
          </cell>
        </row>
        <row r="16829">
          <cell r="A16829">
            <v>43576</v>
          </cell>
        </row>
        <row r="16830">
          <cell r="A16830">
            <v>43418</v>
          </cell>
        </row>
        <row r="16831">
          <cell r="A16831">
            <v>43248</v>
          </cell>
        </row>
        <row r="16832">
          <cell r="A16832">
            <v>43665</v>
          </cell>
        </row>
        <row r="16833">
          <cell r="A16833">
            <v>43683</v>
          </cell>
        </row>
        <row r="16834">
          <cell r="A16834">
            <v>43181</v>
          </cell>
        </row>
        <row r="16835">
          <cell r="A16835">
            <v>43739</v>
          </cell>
        </row>
        <row r="16836">
          <cell r="A16836">
            <v>43454</v>
          </cell>
        </row>
        <row r="16837">
          <cell r="A16837">
            <v>43425</v>
          </cell>
        </row>
        <row r="16838">
          <cell r="A16838">
            <v>43765</v>
          </cell>
        </row>
        <row r="16839">
          <cell r="A16839">
            <v>43478</v>
          </cell>
        </row>
        <row r="16840">
          <cell r="A16840">
            <v>43207</v>
          </cell>
        </row>
        <row r="16841">
          <cell r="A16841">
            <v>43515</v>
          </cell>
        </row>
        <row r="16842">
          <cell r="A16842">
            <v>43738</v>
          </cell>
        </row>
        <row r="16843">
          <cell r="A16843">
            <v>43188</v>
          </cell>
        </row>
        <row r="16844">
          <cell r="A16844">
            <v>43789</v>
          </cell>
        </row>
        <row r="16845">
          <cell r="A16845">
            <v>43539</v>
          </cell>
        </row>
        <row r="16846">
          <cell r="A16846">
            <v>43220</v>
          </cell>
        </row>
        <row r="16847">
          <cell r="A16847">
            <v>43198</v>
          </cell>
        </row>
        <row r="16848">
          <cell r="A16848">
            <v>43192</v>
          </cell>
        </row>
        <row r="16849">
          <cell r="A16849">
            <v>43714</v>
          </cell>
        </row>
        <row r="16850">
          <cell r="A16850">
            <v>43741</v>
          </cell>
        </row>
        <row r="16851">
          <cell r="A16851">
            <v>43790</v>
          </cell>
        </row>
        <row r="16852">
          <cell r="A16852">
            <v>43212</v>
          </cell>
        </row>
        <row r="16853">
          <cell r="A16853">
            <v>43531</v>
          </cell>
        </row>
        <row r="16854">
          <cell r="A16854">
            <v>43570</v>
          </cell>
        </row>
        <row r="16855">
          <cell r="A16855">
            <v>43870</v>
          </cell>
        </row>
        <row r="16856">
          <cell r="A16856">
            <v>43616</v>
          </cell>
        </row>
        <row r="16857">
          <cell r="A16857">
            <v>43229</v>
          </cell>
        </row>
        <row r="16858">
          <cell r="A16858">
            <v>43799</v>
          </cell>
        </row>
        <row r="16859">
          <cell r="A16859">
            <v>43350</v>
          </cell>
        </row>
        <row r="16860">
          <cell r="A16860">
            <v>43137</v>
          </cell>
        </row>
        <row r="16861">
          <cell r="A16861">
            <v>43833</v>
          </cell>
        </row>
        <row r="16862">
          <cell r="A16862">
            <v>43816</v>
          </cell>
        </row>
        <row r="16863">
          <cell r="A16863">
            <v>43205</v>
          </cell>
        </row>
        <row r="16864">
          <cell r="A16864">
            <v>43441</v>
          </cell>
        </row>
        <row r="16865">
          <cell r="A16865">
            <v>43901</v>
          </cell>
        </row>
        <row r="16866">
          <cell r="A16866">
            <v>43790</v>
          </cell>
        </row>
        <row r="16867">
          <cell r="A16867">
            <v>43881</v>
          </cell>
        </row>
        <row r="16868">
          <cell r="A16868">
            <v>43141</v>
          </cell>
        </row>
        <row r="16869">
          <cell r="A16869">
            <v>43152</v>
          </cell>
        </row>
        <row r="16870">
          <cell r="A16870">
            <v>43641</v>
          </cell>
        </row>
        <row r="16871">
          <cell r="A16871">
            <v>43884</v>
          </cell>
        </row>
        <row r="16872">
          <cell r="A16872">
            <v>43260</v>
          </cell>
        </row>
        <row r="16873">
          <cell r="A16873">
            <v>43541</v>
          </cell>
        </row>
        <row r="16874">
          <cell r="A16874">
            <v>43484</v>
          </cell>
        </row>
        <row r="16875">
          <cell r="A16875">
            <v>43374</v>
          </cell>
        </row>
        <row r="16876">
          <cell r="A16876">
            <v>43252</v>
          </cell>
        </row>
        <row r="16877">
          <cell r="A16877">
            <v>43355</v>
          </cell>
        </row>
        <row r="16878">
          <cell r="A16878">
            <v>43668</v>
          </cell>
        </row>
        <row r="16879">
          <cell r="A16879">
            <v>43740</v>
          </cell>
        </row>
        <row r="16880">
          <cell r="A16880">
            <v>43361</v>
          </cell>
        </row>
        <row r="16881">
          <cell r="A16881">
            <v>43327</v>
          </cell>
        </row>
        <row r="16882">
          <cell r="A16882">
            <v>43731</v>
          </cell>
        </row>
        <row r="16883">
          <cell r="A16883">
            <v>43353</v>
          </cell>
        </row>
        <row r="16884">
          <cell r="A16884">
            <v>43833</v>
          </cell>
        </row>
        <row r="16885">
          <cell r="A16885">
            <v>43169</v>
          </cell>
        </row>
        <row r="16886">
          <cell r="A16886">
            <v>43480</v>
          </cell>
        </row>
        <row r="16887">
          <cell r="A16887">
            <v>43258</v>
          </cell>
        </row>
        <row r="16888">
          <cell r="A16888">
            <v>43723</v>
          </cell>
        </row>
        <row r="16889">
          <cell r="A16889">
            <v>43418</v>
          </cell>
        </row>
        <row r="16890">
          <cell r="A16890">
            <v>43325</v>
          </cell>
        </row>
        <row r="16891">
          <cell r="A16891">
            <v>43775</v>
          </cell>
        </row>
        <row r="16892">
          <cell r="A16892">
            <v>43251</v>
          </cell>
        </row>
        <row r="16893">
          <cell r="A16893">
            <v>43675</v>
          </cell>
        </row>
        <row r="16894">
          <cell r="A16894">
            <v>43459</v>
          </cell>
        </row>
        <row r="16895">
          <cell r="A16895">
            <v>43343</v>
          </cell>
        </row>
        <row r="16896">
          <cell r="A16896">
            <v>43506</v>
          </cell>
        </row>
        <row r="16897">
          <cell r="A16897">
            <v>43139</v>
          </cell>
        </row>
        <row r="16898">
          <cell r="A16898">
            <v>43326</v>
          </cell>
        </row>
        <row r="16899">
          <cell r="A16899">
            <v>43544</v>
          </cell>
        </row>
        <row r="16900">
          <cell r="A16900">
            <v>43525</v>
          </cell>
        </row>
        <row r="16901">
          <cell r="A16901">
            <v>43465</v>
          </cell>
        </row>
        <row r="16902">
          <cell r="A16902">
            <v>43607</v>
          </cell>
        </row>
        <row r="16903">
          <cell r="A16903">
            <v>43574</v>
          </cell>
        </row>
        <row r="16904">
          <cell r="A16904">
            <v>43148</v>
          </cell>
        </row>
        <row r="16905">
          <cell r="A16905">
            <v>43526</v>
          </cell>
        </row>
        <row r="16906">
          <cell r="A16906">
            <v>43310</v>
          </cell>
        </row>
        <row r="16907">
          <cell r="A16907">
            <v>43466</v>
          </cell>
        </row>
        <row r="16908">
          <cell r="A16908">
            <v>43591</v>
          </cell>
        </row>
        <row r="16909">
          <cell r="A16909">
            <v>43217</v>
          </cell>
        </row>
        <row r="16910">
          <cell r="A16910">
            <v>43793</v>
          </cell>
        </row>
        <row r="16911">
          <cell r="A16911">
            <v>43526</v>
          </cell>
        </row>
        <row r="16912">
          <cell r="A16912">
            <v>43287</v>
          </cell>
        </row>
        <row r="16913">
          <cell r="A16913">
            <v>43894</v>
          </cell>
        </row>
        <row r="16914">
          <cell r="A16914">
            <v>43462</v>
          </cell>
        </row>
        <row r="16915">
          <cell r="A16915">
            <v>43687</v>
          </cell>
        </row>
        <row r="16916">
          <cell r="A16916">
            <v>43816</v>
          </cell>
        </row>
        <row r="16917">
          <cell r="A16917">
            <v>43600</v>
          </cell>
        </row>
        <row r="16918">
          <cell r="A16918">
            <v>43380</v>
          </cell>
        </row>
        <row r="16919">
          <cell r="A16919">
            <v>43607</v>
          </cell>
        </row>
        <row r="16920">
          <cell r="A16920">
            <v>43894</v>
          </cell>
        </row>
        <row r="16921">
          <cell r="A16921">
            <v>43308</v>
          </cell>
        </row>
        <row r="16922">
          <cell r="A16922">
            <v>43130</v>
          </cell>
        </row>
        <row r="16923">
          <cell r="A16923">
            <v>43521</v>
          </cell>
        </row>
        <row r="16924">
          <cell r="A16924">
            <v>43860</v>
          </cell>
        </row>
        <row r="16925">
          <cell r="A16925">
            <v>43483</v>
          </cell>
        </row>
        <row r="16926">
          <cell r="A16926">
            <v>43549</v>
          </cell>
        </row>
        <row r="16927">
          <cell r="A16927">
            <v>43364</v>
          </cell>
        </row>
        <row r="16928">
          <cell r="A16928">
            <v>43268</v>
          </cell>
        </row>
        <row r="16929">
          <cell r="A16929">
            <v>43426</v>
          </cell>
        </row>
        <row r="16930">
          <cell r="A16930">
            <v>43713</v>
          </cell>
        </row>
        <row r="16931">
          <cell r="A16931">
            <v>43563</v>
          </cell>
        </row>
        <row r="16932">
          <cell r="A16932">
            <v>43670</v>
          </cell>
        </row>
        <row r="16933">
          <cell r="A16933">
            <v>43672</v>
          </cell>
        </row>
        <row r="16934">
          <cell r="A16934">
            <v>43279</v>
          </cell>
        </row>
        <row r="16935">
          <cell r="A16935">
            <v>43268</v>
          </cell>
        </row>
        <row r="16936">
          <cell r="A16936">
            <v>43380</v>
          </cell>
        </row>
        <row r="16937">
          <cell r="A16937">
            <v>43546</v>
          </cell>
        </row>
        <row r="16938">
          <cell r="A16938">
            <v>43719</v>
          </cell>
        </row>
        <row r="16939">
          <cell r="A16939">
            <v>43770</v>
          </cell>
        </row>
        <row r="16940">
          <cell r="A16940">
            <v>43680</v>
          </cell>
        </row>
        <row r="16941">
          <cell r="A16941">
            <v>43791</v>
          </cell>
        </row>
        <row r="16942">
          <cell r="A16942">
            <v>43898</v>
          </cell>
        </row>
        <row r="16943">
          <cell r="A16943">
            <v>43769</v>
          </cell>
        </row>
        <row r="16944">
          <cell r="A16944">
            <v>43228</v>
          </cell>
        </row>
        <row r="16945">
          <cell r="A16945">
            <v>43263</v>
          </cell>
        </row>
        <row r="16946">
          <cell r="A16946">
            <v>43474</v>
          </cell>
        </row>
        <row r="16947">
          <cell r="A16947">
            <v>43441</v>
          </cell>
        </row>
        <row r="16948">
          <cell r="A16948">
            <v>43813</v>
          </cell>
        </row>
        <row r="16949">
          <cell r="A16949">
            <v>43908</v>
          </cell>
        </row>
        <row r="16950">
          <cell r="A16950">
            <v>43880</v>
          </cell>
        </row>
        <row r="16951">
          <cell r="A16951">
            <v>43228</v>
          </cell>
        </row>
        <row r="16952">
          <cell r="A16952">
            <v>43908</v>
          </cell>
        </row>
        <row r="16953">
          <cell r="A16953">
            <v>43542</v>
          </cell>
        </row>
        <row r="16954">
          <cell r="A16954">
            <v>43391</v>
          </cell>
        </row>
        <row r="16955">
          <cell r="A16955">
            <v>43446</v>
          </cell>
        </row>
        <row r="16956">
          <cell r="A16956">
            <v>43239</v>
          </cell>
        </row>
        <row r="16957">
          <cell r="A16957">
            <v>43494</v>
          </cell>
        </row>
        <row r="16958">
          <cell r="A16958">
            <v>43209</v>
          </cell>
        </row>
        <row r="16959">
          <cell r="A16959">
            <v>43505</v>
          </cell>
        </row>
        <row r="16960">
          <cell r="A16960">
            <v>43861</v>
          </cell>
        </row>
        <row r="16961">
          <cell r="A16961">
            <v>43539</v>
          </cell>
        </row>
        <row r="16962">
          <cell r="A16962">
            <v>43101</v>
          </cell>
        </row>
        <row r="16963">
          <cell r="A16963">
            <v>43450</v>
          </cell>
        </row>
        <row r="16964">
          <cell r="A16964">
            <v>43280</v>
          </cell>
        </row>
        <row r="16965">
          <cell r="A16965">
            <v>43482</v>
          </cell>
        </row>
        <row r="16966">
          <cell r="A16966">
            <v>43542</v>
          </cell>
        </row>
        <row r="16967">
          <cell r="A16967">
            <v>43707</v>
          </cell>
        </row>
        <row r="16968">
          <cell r="A16968">
            <v>43820</v>
          </cell>
        </row>
        <row r="16969">
          <cell r="A16969">
            <v>43921</v>
          </cell>
        </row>
        <row r="16970">
          <cell r="A16970">
            <v>43790</v>
          </cell>
        </row>
        <row r="16971">
          <cell r="A16971">
            <v>43460</v>
          </cell>
        </row>
        <row r="16972">
          <cell r="A16972">
            <v>43866</v>
          </cell>
        </row>
        <row r="16973">
          <cell r="A16973">
            <v>43337</v>
          </cell>
        </row>
        <row r="16974">
          <cell r="A16974">
            <v>43813</v>
          </cell>
        </row>
        <row r="16975">
          <cell r="A16975">
            <v>43296</v>
          </cell>
        </row>
        <row r="16976">
          <cell r="A16976">
            <v>43579</v>
          </cell>
        </row>
        <row r="16977">
          <cell r="A16977">
            <v>43202</v>
          </cell>
        </row>
        <row r="16978">
          <cell r="A16978">
            <v>43196</v>
          </cell>
        </row>
        <row r="16979">
          <cell r="A16979">
            <v>43454</v>
          </cell>
        </row>
        <row r="16980">
          <cell r="A16980">
            <v>43278</v>
          </cell>
        </row>
        <row r="16981">
          <cell r="A16981">
            <v>43486</v>
          </cell>
        </row>
        <row r="16982">
          <cell r="A16982">
            <v>43434</v>
          </cell>
        </row>
        <row r="16983">
          <cell r="A16983">
            <v>43551</v>
          </cell>
        </row>
        <row r="16984">
          <cell r="A16984">
            <v>43714</v>
          </cell>
        </row>
        <row r="16985">
          <cell r="A16985">
            <v>43736</v>
          </cell>
        </row>
        <row r="16986">
          <cell r="A16986">
            <v>43361</v>
          </cell>
        </row>
        <row r="16987">
          <cell r="A16987">
            <v>43747</v>
          </cell>
        </row>
        <row r="16988">
          <cell r="A16988">
            <v>43656</v>
          </cell>
        </row>
        <row r="16989">
          <cell r="A16989">
            <v>43263</v>
          </cell>
        </row>
        <row r="16990">
          <cell r="A16990">
            <v>43205</v>
          </cell>
        </row>
        <row r="16991">
          <cell r="A16991">
            <v>43405</v>
          </cell>
        </row>
        <row r="16992">
          <cell r="A16992">
            <v>43820</v>
          </cell>
        </row>
        <row r="16993">
          <cell r="A16993">
            <v>43764</v>
          </cell>
        </row>
        <row r="16994">
          <cell r="A16994">
            <v>43588</v>
          </cell>
        </row>
        <row r="16995">
          <cell r="A16995">
            <v>43513</v>
          </cell>
        </row>
        <row r="16996">
          <cell r="A16996">
            <v>43351</v>
          </cell>
        </row>
        <row r="16997">
          <cell r="A16997">
            <v>43694</v>
          </cell>
        </row>
        <row r="16998">
          <cell r="A16998">
            <v>43861</v>
          </cell>
        </row>
        <row r="16999">
          <cell r="A16999">
            <v>43252</v>
          </cell>
        </row>
        <row r="17000">
          <cell r="A17000">
            <v>43105</v>
          </cell>
        </row>
        <row r="17001">
          <cell r="A17001">
            <v>43695</v>
          </cell>
        </row>
        <row r="17002">
          <cell r="A17002">
            <v>43350</v>
          </cell>
        </row>
        <row r="17003">
          <cell r="A17003">
            <v>43430</v>
          </cell>
        </row>
        <row r="17004">
          <cell r="A17004">
            <v>43712</v>
          </cell>
        </row>
        <row r="17005">
          <cell r="A17005">
            <v>43337</v>
          </cell>
        </row>
        <row r="17006">
          <cell r="A17006">
            <v>43242</v>
          </cell>
        </row>
        <row r="17007">
          <cell r="A17007">
            <v>43270</v>
          </cell>
        </row>
        <row r="17008">
          <cell r="A17008">
            <v>43707</v>
          </cell>
        </row>
        <row r="17009">
          <cell r="A17009">
            <v>43547</v>
          </cell>
        </row>
        <row r="17010">
          <cell r="A17010">
            <v>43896</v>
          </cell>
        </row>
        <row r="17011">
          <cell r="A17011">
            <v>43920</v>
          </cell>
        </row>
        <row r="17012">
          <cell r="A17012">
            <v>43415</v>
          </cell>
        </row>
        <row r="17013">
          <cell r="A17013">
            <v>43460</v>
          </cell>
        </row>
        <row r="17014">
          <cell r="A17014">
            <v>43848</v>
          </cell>
        </row>
        <row r="17015">
          <cell r="A17015">
            <v>43251</v>
          </cell>
        </row>
        <row r="17016">
          <cell r="A17016">
            <v>43408</v>
          </cell>
        </row>
        <row r="17017">
          <cell r="A17017">
            <v>43589</v>
          </cell>
        </row>
        <row r="17018">
          <cell r="A17018">
            <v>43492</v>
          </cell>
        </row>
        <row r="17019">
          <cell r="A17019">
            <v>43114</v>
          </cell>
        </row>
        <row r="17020">
          <cell r="A17020">
            <v>43755</v>
          </cell>
        </row>
        <row r="17021">
          <cell r="A17021">
            <v>43636</v>
          </cell>
        </row>
        <row r="17022">
          <cell r="A17022">
            <v>43605</v>
          </cell>
        </row>
        <row r="17023">
          <cell r="A17023">
            <v>43320</v>
          </cell>
        </row>
        <row r="17024">
          <cell r="A17024">
            <v>43220</v>
          </cell>
        </row>
        <row r="17025">
          <cell r="A17025">
            <v>43130</v>
          </cell>
        </row>
        <row r="17026">
          <cell r="A17026">
            <v>43648</v>
          </cell>
        </row>
        <row r="17027">
          <cell r="A17027">
            <v>43296</v>
          </cell>
        </row>
        <row r="17028">
          <cell r="A17028">
            <v>43288</v>
          </cell>
        </row>
        <row r="17029">
          <cell r="A17029">
            <v>43293</v>
          </cell>
        </row>
        <row r="17030">
          <cell r="A17030">
            <v>43639</v>
          </cell>
        </row>
        <row r="17031">
          <cell r="A17031">
            <v>43247</v>
          </cell>
        </row>
        <row r="17032">
          <cell r="A17032">
            <v>43396</v>
          </cell>
        </row>
        <row r="17033">
          <cell r="A17033">
            <v>43494</v>
          </cell>
        </row>
        <row r="17034">
          <cell r="A17034">
            <v>43311</v>
          </cell>
        </row>
        <row r="17035">
          <cell r="A17035">
            <v>43788</v>
          </cell>
        </row>
        <row r="17036">
          <cell r="A17036">
            <v>43747</v>
          </cell>
        </row>
        <row r="17037">
          <cell r="A17037">
            <v>43137</v>
          </cell>
        </row>
        <row r="17038">
          <cell r="A17038">
            <v>43893</v>
          </cell>
        </row>
        <row r="17039">
          <cell r="A17039">
            <v>43327</v>
          </cell>
        </row>
        <row r="17040">
          <cell r="A17040">
            <v>43367</v>
          </cell>
        </row>
        <row r="17041">
          <cell r="A17041">
            <v>43118</v>
          </cell>
        </row>
        <row r="17042">
          <cell r="A17042">
            <v>43305</v>
          </cell>
        </row>
        <row r="17043">
          <cell r="A17043">
            <v>43540</v>
          </cell>
        </row>
        <row r="17044">
          <cell r="A17044">
            <v>43629</v>
          </cell>
        </row>
        <row r="17045">
          <cell r="A17045">
            <v>43806</v>
          </cell>
        </row>
        <row r="17046">
          <cell r="A17046">
            <v>43709</v>
          </cell>
        </row>
        <row r="17047">
          <cell r="A17047">
            <v>43803</v>
          </cell>
        </row>
        <row r="17048">
          <cell r="A17048">
            <v>43389</v>
          </cell>
        </row>
        <row r="17049">
          <cell r="A17049">
            <v>43240</v>
          </cell>
        </row>
        <row r="17050">
          <cell r="A17050">
            <v>43187</v>
          </cell>
        </row>
        <row r="17051">
          <cell r="A17051">
            <v>43544</v>
          </cell>
        </row>
        <row r="17052">
          <cell r="A17052">
            <v>43511</v>
          </cell>
        </row>
        <row r="17053">
          <cell r="A17053">
            <v>43217</v>
          </cell>
        </row>
        <row r="17054">
          <cell r="A17054">
            <v>43663</v>
          </cell>
        </row>
        <row r="17055">
          <cell r="A17055">
            <v>43195</v>
          </cell>
        </row>
        <row r="17056">
          <cell r="A17056">
            <v>43518</v>
          </cell>
        </row>
        <row r="17057">
          <cell r="A17057">
            <v>43826</v>
          </cell>
        </row>
        <row r="17058">
          <cell r="A17058">
            <v>43604</v>
          </cell>
        </row>
        <row r="17059">
          <cell r="A17059">
            <v>43347</v>
          </cell>
        </row>
        <row r="17060">
          <cell r="A17060">
            <v>43150</v>
          </cell>
        </row>
        <row r="17061">
          <cell r="A17061">
            <v>43194</v>
          </cell>
        </row>
        <row r="17062">
          <cell r="A17062">
            <v>43380</v>
          </cell>
        </row>
        <row r="17063">
          <cell r="A17063">
            <v>43668</v>
          </cell>
        </row>
        <row r="17064">
          <cell r="A17064">
            <v>43170</v>
          </cell>
        </row>
        <row r="17065">
          <cell r="A17065">
            <v>43491</v>
          </cell>
        </row>
        <row r="17066">
          <cell r="A17066">
            <v>43384</v>
          </cell>
        </row>
        <row r="17067">
          <cell r="A17067">
            <v>43253</v>
          </cell>
        </row>
        <row r="17068">
          <cell r="A17068">
            <v>43765</v>
          </cell>
        </row>
        <row r="17069">
          <cell r="A17069">
            <v>43174</v>
          </cell>
        </row>
        <row r="17070">
          <cell r="A17070">
            <v>43471</v>
          </cell>
        </row>
        <row r="17071">
          <cell r="A17071">
            <v>43481</v>
          </cell>
        </row>
        <row r="17072">
          <cell r="A17072">
            <v>43291</v>
          </cell>
        </row>
        <row r="17073">
          <cell r="A17073">
            <v>43896</v>
          </cell>
        </row>
        <row r="17074">
          <cell r="A17074">
            <v>43117</v>
          </cell>
        </row>
        <row r="17075">
          <cell r="A17075">
            <v>43133</v>
          </cell>
        </row>
        <row r="17076">
          <cell r="A17076">
            <v>43921</v>
          </cell>
        </row>
        <row r="17077">
          <cell r="A17077">
            <v>43471</v>
          </cell>
        </row>
        <row r="17078">
          <cell r="A17078">
            <v>43594</v>
          </cell>
        </row>
        <row r="17079">
          <cell r="A17079">
            <v>43583</v>
          </cell>
        </row>
        <row r="17080">
          <cell r="A17080">
            <v>43706</v>
          </cell>
        </row>
        <row r="17081">
          <cell r="A17081">
            <v>43342</v>
          </cell>
        </row>
        <row r="17082">
          <cell r="A17082">
            <v>43387</v>
          </cell>
        </row>
        <row r="17083">
          <cell r="A17083">
            <v>43619</v>
          </cell>
        </row>
        <row r="17084">
          <cell r="A17084">
            <v>43157</v>
          </cell>
        </row>
        <row r="17085">
          <cell r="A17085">
            <v>43594</v>
          </cell>
        </row>
        <row r="17086">
          <cell r="A17086">
            <v>43365</v>
          </cell>
        </row>
        <row r="17087">
          <cell r="A17087">
            <v>43596</v>
          </cell>
        </row>
        <row r="17088">
          <cell r="A17088">
            <v>43246</v>
          </cell>
        </row>
        <row r="17089">
          <cell r="A17089">
            <v>43803</v>
          </cell>
        </row>
        <row r="17090">
          <cell r="A17090">
            <v>43820</v>
          </cell>
        </row>
        <row r="17091">
          <cell r="A17091">
            <v>43576</v>
          </cell>
        </row>
        <row r="17092">
          <cell r="A17092">
            <v>43582</v>
          </cell>
        </row>
        <row r="17093">
          <cell r="A17093">
            <v>43760</v>
          </cell>
        </row>
        <row r="17094">
          <cell r="A17094">
            <v>43415</v>
          </cell>
        </row>
        <row r="17095">
          <cell r="A17095">
            <v>43846</v>
          </cell>
        </row>
        <row r="17096">
          <cell r="A17096">
            <v>43270</v>
          </cell>
        </row>
        <row r="17097">
          <cell r="A17097">
            <v>43117</v>
          </cell>
        </row>
        <row r="17098">
          <cell r="A17098">
            <v>43371</v>
          </cell>
        </row>
        <row r="17099">
          <cell r="A17099">
            <v>43493</v>
          </cell>
        </row>
        <row r="17100">
          <cell r="A17100">
            <v>43896</v>
          </cell>
        </row>
        <row r="17101">
          <cell r="A17101">
            <v>43736</v>
          </cell>
        </row>
        <row r="17102">
          <cell r="A17102">
            <v>43921</v>
          </cell>
        </row>
        <row r="17103">
          <cell r="A17103">
            <v>43763</v>
          </cell>
        </row>
        <row r="17104">
          <cell r="A17104">
            <v>43728</v>
          </cell>
        </row>
        <row r="17105">
          <cell r="A17105">
            <v>43710</v>
          </cell>
        </row>
        <row r="17106">
          <cell r="A17106">
            <v>43773</v>
          </cell>
        </row>
        <row r="17107">
          <cell r="A17107">
            <v>43407</v>
          </cell>
        </row>
        <row r="17108">
          <cell r="A17108">
            <v>43760</v>
          </cell>
        </row>
        <row r="17109">
          <cell r="A17109">
            <v>43811</v>
          </cell>
        </row>
        <row r="17110">
          <cell r="A17110">
            <v>43649</v>
          </cell>
        </row>
        <row r="17111">
          <cell r="A17111">
            <v>43535</v>
          </cell>
        </row>
        <row r="17112">
          <cell r="A17112">
            <v>43681</v>
          </cell>
        </row>
        <row r="17113">
          <cell r="A17113">
            <v>43449</v>
          </cell>
        </row>
        <row r="17114">
          <cell r="A17114">
            <v>43860</v>
          </cell>
        </row>
        <row r="17115">
          <cell r="A17115">
            <v>43879</v>
          </cell>
        </row>
        <row r="17116">
          <cell r="A17116">
            <v>43415</v>
          </cell>
        </row>
        <row r="17117">
          <cell r="A17117">
            <v>43869</v>
          </cell>
        </row>
        <row r="17118">
          <cell r="A17118">
            <v>43629</v>
          </cell>
        </row>
        <row r="17119">
          <cell r="A17119">
            <v>43800</v>
          </cell>
        </row>
        <row r="17120">
          <cell r="A17120">
            <v>43466</v>
          </cell>
        </row>
        <row r="17121">
          <cell r="A17121">
            <v>43811</v>
          </cell>
        </row>
        <row r="17122">
          <cell r="A17122">
            <v>43444</v>
          </cell>
        </row>
        <row r="17123">
          <cell r="A17123">
            <v>43863</v>
          </cell>
        </row>
        <row r="17124">
          <cell r="A17124">
            <v>43695</v>
          </cell>
        </row>
        <row r="17125">
          <cell r="A17125">
            <v>43291</v>
          </cell>
        </row>
        <row r="17126">
          <cell r="A17126">
            <v>43381</v>
          </cell>
        </row>
        <row r="17127">
          <cell r="A17127">
            <v>43301</v>
          </cell>
        </row>
        <row r="17128">
          <cell r="A17128">
            <v>43165</v>
          </cell>
        </row>
        <row r="17129">
          <cell r="A17129">
            <v>43917</v>
          </cell>
        </row>
        <row r="17130">
          <cell r="A17130">
            <v>43235</v>
          </cell>
        </row>
        <row r="17131">
          <cell r="A17131">
            <v>43356</v>
          </cell>
        </row>
        <row r="17132">
          <cell r="A17132">
            <v>43899</v>
          </cell>
        </row>
        <row r="17133">
          <cell r="A17133">
            <v>43189</v>
          </cell>
        </row>
        <row r="17134">
          <cell r="A17134">
            <v>43658</v>
          </cell>
        </row>
        <row r="17135">
          <cell r="A17135">
            <v>43545</v>
          </cell>
        </row>
        <row r="17136">
          <cell r="A17136">
            <v>43536</v>
          </cell>
        </row>
        <row r="17137">
          <cell r="A17137">
            <v>43183</v>
          </cell>
        </row>
        <row r="17138">
          <cell r="A17138">
            <v>43305</v>
          </cell>
        </row>
        <row r="17139">
          <cell r="A17139">
            <v>43358</v>
          </cell>
        </row>
        <row r="17140">
          <cell r="A17140">
            <v>43602</v>
          </cell>
        </row>
        <row r="17141">
          <cell r="A17141">
            <v>43627</v>
          </cell>
        </row>
        <row r="17142">
          <cell r="A17142">
            <v>43451</v>
          </cell>
        </row>
        <row r="17143">
          <cell r="A17143">
            <v>43607</v>
          </cell>
        </row>
        <row r="17144">
          <cell r="A17144">
            <v>43468</v>
          </cell>
        </row>
        <row r="17145">
          <cell r="A17145">
            <v>43434</v>
          </cell>
        </row>
        <row r="17146">
          <cell r="A17146">
            <v>43780</v>
          </cell>
        </row>
        <row r="17147">
          <cell r="A17147">
            <v>43693</v>
          </cell>
        </row>
        <row r="17148">
          <cell r="A17148">
            <v>43881</v>
          </cell>
        </row>
        <row r="17149">
          <cell r="A17149">
            <v>43410</v>
          </cell>
        </row>
        <row r="17150">
          <cell r="A17150">
            <v>43890</v>
          </cell>
        </row>
        <row r="17151">
          <cell r="A17151">
            <v>43265</v>
          </cell>
        </row>
        <row r="17152">
          <cell r="A17152">
            <v>43234</v>
          </cell>
        </row>
        <row r="17153">
          <cell r="A17153">
            <v>43227</v>
          </cell>
        </row>
        <row r="17154">
          <cell r="A17154">
            <v>43225</v>
          </cell>
        </row>
        <row r="17155">
          <cell r="A17155">
            <v>43510</v>
          </cell>
        </row>
        <row r="17156">
          <cell r="A17156">
            <v>43142</v>
          </cell>
        </row>
        <row r="17157">
          <cell r="A17157">
            <v>43453</v>
          </cell>
        </row>
        <row r="17158">
          <cell r="A17158">
            <v>43390</v>
          </cell>
        </row>
        <row r="17159">
          <cell r="A17159">
            <v>43857</v>
          </cell>
        </row>
        <row r="17160">
          <cell r="A17160">
            <v>43243</v>
          </cell>
        </row>
        <row r="17161">
          <cell r="A17161">
            <v>43426</v>
          </cell>
        </row>
        <row r="17162">
          <cell r="A17162">
            <v>43315</v>
          </cell>
        </row>
        <row r="17163">
          <cell r="A17163">
            <v>43757</v>
          </cell>
        </row>
        <row r="17164">
          <cell r="A17164">
            <v>43558</v>
          </cell>
        </row>
        <row r="17165">
          <cell r="A17165">
            <v>43398</v>
          </cell>
        </row>
        <row r="17166">
          <cell r="A17166">
            <v>43531</v>
          </cell>
        </row>
        <row r="17167">
          <cell r="A17167">
            <v>43251</v>
          </cell>
        </row>
        <row r="17168">
          <cell r="A17168">
            <v>43824</v>
          </cell>
        </row>
        <row r="17169">
          <cell r="A17169">
            <v>43412</v>
          </cell>
        </row>
        <row r="17170">
          <cell r="A17170">
            <v>43427</v>
          </cell>
        </row>
        <row r="17171">
          <cell r="A17171">
            <v>43113</v>
          </cell>
        </row>
        <row r="17172">
          <cell r="A17172">
            <v>43856</v>
          </cell>
        </row>
        <row r="17173">
          <cell r="A17173">
            <v>43848</v>
          </cell>
        </row>
        <row r="17174">
          <cell r="A17174">
            <v>43750</v>
          </cell>
        </row>
        <row r="17175">
          <cell r="A17175">
            <v>43443</v>
          </cell>
        </row>
        <row r="17176">
          <cell r="A17176">
            <v>43529</v>
          </cell>
        </row>
        <row r="17177">
          <cell r="A17177">
            <v>43407</v>
          </cell>
        </row>
        <row r="17178">
          <cell r="A17178">
            <v>43806</v>
          </cell>
        </row>
        <row r="17179">
          <cell r="A17179">
            <v>43654</v>
          </cell>
        </row>
        <row r="17180">
          <cell r="A17180">
            <v>43719</v>
          </cell>
        </row>
        <row r="17181">
          <cell r="A17181">
            <v>43324</v>
          </cell>
        </row>
        <row r="17182">
          <cell r="A17182">
            <v>43537</v>
          </cell>
        </row>
        <row r="17183">
          <cell r="A17183">
            <v>43161</v>
          </cell>
        </row>
        <row r="17184">
          <cell r="A17184">
            <v>43624</v>
          </cell>
        </row>
        <row r="17185">
          <cell r="A17185">
            <v>43788</v>
          </cell>
        </row>
        <row r="17186">
          <cell r="A17186">
            <v>43439</v>
          </cell>
        </row>
        <row r="17187">
          <cell r="A17187">
            <v>43177</v>
          </cell>
        </row>
        <row r="17188">
          <cell r="A17188">
            <v>43910</v>
          </cell>
        </row>
        <row r="17189">
          <cell r="A17189">
            <v>43659</v>
          </cell>
        </row>
        <row r="17190">
          <cell r="A17190">
            <v>43151</v>
          </cell>
        </row>
        <row r="17191">
          <cell r="A17191">
            <v>43384</v>
          </cell>
        </row>
        <row r="17192">
          <cell r="A17192">
            <v>43144</v>
          </cell>
        </row>
        <row r="17193">
          <cell r="A17193">
            <v>43516</v>
          </cell>
        </row>
        <row r="17194">
          <cell r="A17194">
            <v>43520</v>
          </cell>
        </row>
        <row r="17195">
          <cell r="A17195">
            <v>43120</v>
          </cell>
        </row>
        <row r="17196">
          <cell r="A17196">
            <v>43186</v>
          </cell>
        </row>
        <row r="17197">
          <cell r="A17197">
            <v>43280</v>
          </cell>
        </row>
        <row r="17198">
          <cell r="A17198">
            <v>43736</v>
          </cell>
        </row>
        <row r="17199">
          <cell r="A17199">
            <v>43651</v>
          </cell>
        </row>
        <row r="17200">
          <cell r="A17200">
            <v>43619</v>
          </cell>
        </row>
        <row r="17201">
          <cell r="A17201">
            <v>43382</v>
          </cell>
        </row>
        <row r="17202">
          <cell r="A17202">
            <v>43858</v>
          </cell>
        </row>
        <row r="17203">
          <cell r="A17203">
            <v>43302</v>
          </cell>
        </row>
        <row r="17204">
          <cell r="A17204">
            <v>43327</v>
          </cell>
        </row>
        <row r="17205">
          <cell r="A17205">
            <v>43703</v>
          </cell>
        </row>
        <row r="17206">
          <cell r="A17206">
            <v>43318</v>
          </cell>
        </row>
        <row r="17207">
          <cell r="A17207">
            <v>43176</v>
          </cell>
        </row>
        <row r="17208">
          <cell r="A17208">
            <v>43693</v>
          </cell>
        </row>
        <row r="17209">
          <cell r="A17209">
            <v>43197</v>
          </cell>
        </row>
        <row r="17210">
          <cell r="A17210">
            <v>43464</v>
          </cell>
        </row>
        <row r="17211">
          <cell r="A17211">
            <v>43571</v>
          </cell>
        </row>
        <row r="17212">
          <cell r="A17212">
            <v>43864</v>
          </cell>
        </row>
        <row r="17213">
          <cell r="A17213">
            <v>43106</v>
          </cell>
        </row>
        <row r="17214">
          <cell r="A17214">
            <v>43153</v>
          </cell>
        </row>
        <row r="17215">
          <cell r="A17215">
            <v>43430</v>
          </cell>
        </row>
        <row r="17216">
          <cell r="A17216">
            <v>43911</v>
          </cell>
        </row>
        <row r="17217">
          <cell r="A17217">
            <v>43345</v>
          </cell>
        </row>
        <row r="17218">
          <cell r="A17218">
            <v>43853</v>
          </cell>
        </row>
        <row r="17219">
          <cell r="A17219">
            <v>43449</v>
          </cell>
        </row>
        <row r="17220">
          <cell r="A17220">
            <v>43580</v>
          </cell>
        </row>
        <row r="17221">
          <cell r="A17221">
            <v>43767</v>
          </cell>
        </row>
        <row r="17222">
          <cell r="A17222">
            <v>43907</v>
          </cell>
        </row>
        <row r="17223">
          <cell r="A17223">
            <v>43395</v>
          </cell>
        </row>
        <row r="17224">
          <cell r="A17224">
            <v>43579</v>
          </cell>
        </row>
        <row r="17225">
          <cell r="A17225">
            <v>43269</v>
          </cell>
        </row>
        <row r="17226">
          <cell r="A17226">
            <v>43871</v>
          </cell>
        </row>
        <row r="17227">
          <cell r="A17227">
            <v>43731</v>
          </cell>
        </row>
        <row r="17228">
          <cell r="A17228">
            <v>43826</v>
          </cell>
        </row>
        <row r="17229">
          <cell r="A17229">
            <v>43680</v>
          </cell>
        </row>
        <row r="17230">
          <cell r="A17230">
            <v>43803</v>
          </cell>
        </row>
        <row r="17231">
          <cell r="A17231">
            <v>43283</v>
          </cell>
        </row>
        <row r="17232">
          <cell r="A17232">
            <v>43564</v>
          </cell>
        </row>
        <row r="17233">
          <cell r="A17233">
            <v>43521</v>
          </cell>
        </row>
        <row r="17234">
          <cell r="A17234">
            <v>43901</v>
          </cell>
        </row>
        <row r="17235">
          <cell r="A17235">
            <v>43508</v>
          </cell>
        </row>
        <row r="17236">
          <cell r="A17236">
            <v>43570</v>
          </cell>
        </row>
        <row r="17237">
          <cell r="A17237">
            <v>43616</v>
          </cell>
        </row>
        <row r="17238">
          <cell r="A17238">
            <v>43143</v>
          </cell>
        </row>
        <row r="17239">
          <cell r="A17239">
            <v>43627</v>
          </cell>
        </row>
        <row r="17240">
          <cell r="A17240">
            <v>43616</v>
          </cell>
        </row>
        <row r="17241">
          <cell r="A17241">
            <v>43171</v>
          </cell>
        </row>
        <row r="17242">
          <cell r="A17242">
            <v>43767</v>
          </cell>
        </row>
        <row r="17243">
          <cell r="A17243">
            <v>43478</v>
          </cell>
        </row>
        <row r="17244">
          <cell r="A17244">
            <v>43794</v>
          </cell>
        </row>
        <row r="17245">
          <cell r="A17245">
            <v>43483</v>
          </cell>
        </row>
        <row r="17246">
          <cell r="A17246">
            <v>43442</v>
          </cell>
        </row>
        <row r="17247">
          <cell r="A17247">
            <v>43365</v>
          </cell>
        </row>
        <row r="17248">
          <cell r="A17248">
            <v>43154</v>
          </cell>
        </row>
        <row r="17249">
          <cell r="A17249">
            <v>43710</v>
          </cell>
        </row>
        <row r="17250">
          <cell r="A17250">
            <v>43427</v>
          </cell>
        </row>
        <row r="17251">
          <cell r="A17251">
            <v>43817</v>
          </cell>
        </row>
        <row r="17252">
          <cell r="A17252">
            <v>43245</v>
          </cell>
        </row>
        <row r="17253">
          <cell r="A17253">
            <v>43639</v>
          </cell>
        </row>
        <row r="17254">
          <cell r="A17254">
            <v>43651</v>
          </cell>
        </row>
        <row r="17255">
          <cell r="A17255">
            <v>43912</v>
          </cell>
        </row>
        <row r="17256">
          <cell r="A17256">
            <v>43548</v>
          </cell>
        </row>
        <row r="17257">
          <cell r="A17257">
            <v>43869</v>
          </cell>
        </row>
        <row r="17258">
          <cell r="A17258">
            <v>43543</v>
          </cell>
        </row>
        <row r="17259">
          <cell r="A17259">
            <v>43270</v>
          </cell>
        </row>
        <row r="17260">
          <cell r="A17260">
            <v>43656</v>
          </cell>
        </row>
        <row r="17261">
          <cell r="A17261">
            <v>43795</v>
          </cell>
        </row>
        <row r="17262">
          <cell r="A17262">
            <v>43179</v>
          </cell>
        </row>
        <row r="17263">
          <cell r="A17263">
            <v>43865</v>
          </cell>
        </row>
        <row r="17264">
          <cell r="A17264">
            <v>43921</v>
          </cell>
        </row>
        <row r="17265">
          <cell r="A17265">
            <v>43344</v>
          </cell>
        </row>
        <row r="17266">
          <cell r="A17266">
            <v>43283</v>
          </cell>
        </row>
        <row r="17267">
          <cell r="A17267">
            <v>43385</v>
          </cell>
        </row>
        <row r="17268">
          <cell r="A17268">
            <v>43243</v>
          </cell>
        </row>
        <row r="17269">
          <cell r="A17269">
            <v>43120</v>
          </cell>
        </row>
        <row r="17270">
          <cell r="A17270">
            <v>43326</v>
          </cell>
        </row>
        <row r="17271">
          <cell r="A17271">
            <v>43275</v>
          </cell>
        </row>
        <row r="17272">
          <cell r="A17272">
            <v>43230</v>
          </cell>
        </row>
        <row r="17273">
          <cell r="A17273">
            <v>43122</v>
          </cell>
        </row>
        <row r="17274">
          <cell r="A17274">
            <v>43282</v>
          </cell>
        </row>
        <row r="17275">
          <cell r="A17275">
            <v>43909</v>
          </cell>
        </row>
        <row r="17276">
          <cell r="A17276">
            <v>43867</v>
          </cell>
        </row>
        <row r="17277">
          <cell r="A17277">
            <v>43148</v>
          </cell>
        </row>
        <row r="17278">
          <cell r="A17278">
            <v>43239</v>
          </cell>
        </row>
        <row r="17279">
          <cell r="A17279">
            <v>43770</v>
          </cell>
        </row>
        <row r="17280">
          <cell r="A17280">
            <v>43346</v>
          </cell>
        </row>
        <row r="17281">
          <cell r="A17281">
            <v>43790</v>
          </cell>
        </row>
        <row r="17282">
          <cell r="A17282">
            <v>43737</v>
          </cell>
        </row>
        <row r="17283">
          <cell r="A17283">
            <v>43806</v>
          </cell>
        </row>
        <row r="17284">
          <cell r="A17284">
            <v>43756</v>
          </cell>
        </row>
        <row r="17285">
          <cell r="A17285">
            <v>43551</v>
          </cell>
        </row>
        <row r="17286">
          <cell r="A17286">
            <v>43771</v>
          </cell>
        </row>
        <row r="17287">
          <cell r="A17287">
            <v>43827</v>
          </cell>
        </row>
        <row r="17288">
          <cell r="A17288">
            <v>43359</v>
          </cell>
        </row>
        <row r="17289">
          <cell r="A17289">
            <v>43208</v>
          </cell>
        </row>
        <row r="17290">
          <cell r="A17290">
            <v>43271</v>
          </cell>
        </row>
        <row r="17291">
          <cell r="A17291">
            <v>43202</v>
          </cell>
        </row>
        <row r="17292">
          <cell r="A17292">
            <v>43167</v>
          </cell>
        </row>
        <row r="17293">
          <cell r="A17293">
            <v>43386</v>
          </cell>
        </row>
        <row r="17294">
          <cell r="A17294">
            <v>43433</v>
          </cell>
        </row>
        <row r="17295">
          <cell r="A17295">
            <v>43577</v>
          </cell>
        </row>
        <row r="17296">
          <cell r="A17296">
            <v>43808</v>
          </cell>
        </row>
        <row r="17297">
          <cell r="A17297">
            <v>43202</v>
          </cell>
        </row>
        <row r="17298">
          <cell r="A17298">
            <v>43679</v>
          </cell>
        </row>
        <row r="17299">
          <cell r="A17299">
            <v>43892</v>
          </cell>
        </row>
        <row r="17300">
          <cell r="A17300">
            <v>43805</v>
          </cell>
        </row>
        <row r="17301">
          <cell r="A17301">
            <v>43245</v>
          </cell>
        </row>
        <row r="17302">
          <cell r="A17302">
            <v>43813</v>
          </cell>
        </row>
        <row r="17303">
          <cell r="A17303">
            <v>43564</v>
          </cell>
        </row>
        <row r="17304">
          <cell r="A17304">
            <v>43697</v>
          </cell>
        </row>
        <row r="17305">
          <cell r="A17305">
            <v>43678</v>
          </cell>
        </row>
        <row r="17306">
          <cell r="A17306">
            <v>43106</v>
          </cell>
        </row>
        <row r="17307">
          <cell r="A17307">
            <v>43668</v>
          </cell>
        </row>
        <row r="17308">
          <cell r="A17308">
            <v>43608</v>
          </cell>
        </row>
        <row r="17309">
          <cell r="A17309">
            <v>43471</v>
          </cell>
        </row>
        <row r="17310">
          <cell r="A17310">
            <v>43430</v>
          </cell>
        </row>
        <row r="17311">
          <cell r="A17311">
            <v>43243</v>
          </cell>
        </row>
        <row r="17312">
          <cell r="A17312">
            <v>43838</v>
          </cell>
        </row>
        <row r="17313">
          <cell r="A17313">
            <v>43131</v>
          </cell>
        </row>
        <row r="17314">
          <cell r="A17314">
            <v>43445</v>
          </cell>
        </row>
        <row r="17315">
          <cell r="A17315">
            <v>43488</v>
          </cell>
        </row>
        <row r="17316">
          <cell r="A17316">
            <v>43355</v>
          </cell>
        </row>
        <row r="17317">
          <cell r="A17317">
            <v>43584</v>
          </cell>
        </row>
        <row r="17318">
          <cell r="A17318">
            <v>43114</v>
          </cell>
        </row>
        <row r="17319">
          <cell r="A17319">
            <v>43679</v>
          </cell>
        </row>
        <row r="17320">
          <cell r="A17320">
            <v>43130</v>
          </cell>
        </row>
        <row r="17321">
          <cell r="A17321">
            <v>43362</v>
          </cell>
        </row>
        <row r="17322">
          <cell r="A17322">
            <v>43210</v>
          </cell>
        </row>
        <row r="17323">
          <cell r="A17323">
            <v>43395</v>
          </cell>
        </row>
        <row r="17324">
          <cell r="A17324">
            <v>43905</v>
          </cell>
        </row>
        <row r="17325">
          <cell r="A17325">
            <v>43208</v>
          </cell>
        </row>
        <row r="17326">
          <cell r="A17326">
            <v>43313</v>
          </cell>
        </row>
        <row r="17327">
          <cell r="A17327">
            <v>43451</v>
          </cell>
        </row>
        <row r="17328">
          <cell r="A17328">
            <v>43717</v>
          </cell>
        </row>
        <row r="17329">
          <cell r="A17329">
            <v>43356</v>
          </cell>
        </row>
        <row r="17330">
          <cell r="A17330">
            <v>43290</v>
          </cell>
        </row>
        <row r="17331">
          <cell r="A17331">
            <v>43723</v>
          </cell>
        </row>
        <row r="17332">
          <cell r="A17332">
            <v>43365</v>
          </cell>
        </row>
        <row r="17333">
          <cell r="A17333">
            <v>43175</v>
          </cell>
        </row>
        <row r="17334">
          <cell r="A17334">
            <v>43142</v>
          </cell>
        </row>
        <row r="17335">
          <cell r="A17335">
            <v>43879</v>
          </cell>
        </row>
        <row r="17336">
          <cell r="A17336">
            <v>43291</v>
          </cell>
        </row>
        <row r="17337">
          <cell r="A17337">
            <v>43533</v>
          </cell>
        </row>
        <row r="17338">
          <cell r="A17338">
            <v>43517</v>
          </cell>
        </row>
        <row r="17339">
          <cell r="A17339">
            <v>43888</v>
          </cell>
        </row>
        <row r="17340">
          <cell r="A17340">
            <v>43769</v>
          </cell>
        </row>
        <row r="17341">
          <cell r="A17341">
            <v>43337</v>
          </cell>
        </row>
        <row r="17342">
          <cell r="A17342">
            <v>43640</v>
          </cell>
        </row>
        <row r="17343">
          <cell r="A17343">
            <v>43819</v>
          </cell>
        </row>
        <row r="17344">
          <cell r="A17344">
            <v>43106</v>
          </cell>
        </row>
        <row r="17345">
          <cell r="A17345">
            <v>43334</v>
          </cell>
        </row>
        <row r="17346">
          <cell r="A17346">
            <v>43332</v>
          </cell>
        </row>
        <row r="17347">
          <cell r="A17347">
            <v>43228</v>
          </cell>
        </row>
        <row r="17348">
          <cell r="A17348">
            <v>43470</v>
          </cell>
        </row>
        <row r="17349">
          <cell r="A17349">
            <v>43837</v>
          </cell>
        </row>
        <row r="17350">
          <cell r="A17350">
            <v>43898</v>
          </cell>
        </row>
        <row r="17351">
          <cell r="A17351">
            <v>43319</v>
          </cell>
        </row>
        <row r="17352">
          <cell r="A17352">
            <v>43770</v>
          </cell>
        </row>
        <row r="17353">
          <cell r="A17353">
            <v>43583</v>
          </cell>
        </row>
        <row r="17354">
          <cell r="A17354">
            <v>43322</v>
          </cell>
        </row>
        <row r="17355">
          <cell r="A17355">
            <v>43774</v>
          </cell>
        </row>
        <row r="17356">
          <cell r="A17356">
            <v>43461</v>
          </cell>
        </row>
        <row r="17357">
          <cell r="A17357">
            <v>43675</v>
          </cell>
        </row>
        <row r="17358">
          <cell r="A17358">
            <v>43338</v>
          </cell>
        </row>
        <row r="17359">
          <cell r="A17359">
            <v>43213</v>
          </cell>
        </row>
        <row r="17360">
          <cell r="A17360">
            <v>43887</v>
          </cell>
        </row>
        <row r="17361">
          <cell r="A17361">
            <v>43822</v>
          </cell>
        </row>
        <row r="17362">
          <cell r="A17362">
            <v>43562</v>
          </cell>
        </row>
        <row r="17363">
          <cell r="A17363">
            <v>43131</v>
          </cell>
        </row>
        <row r="17364">
          <cell r="A17364">
            <v>43862</v>
          </cell>
        </row>
        <row r="17365">
          <cell r="A17365">
            <v>43348</v>
          </cell>
        </row>
        <row r="17366">
          <cell r="A17366">
            <v>43176</v>
          </cell>
        </row>
        <row r="17367">
          <cell r="A17367">
            <v>43208</v>
          </cell>
        </row>
        <row r="17368">
          <cell r="A17368">
            <v>43438</v>
          </cell>
        </row>
        <row r="17369">
          <cell r="A17369">
            <v>43525</v>
          </cell>
        </row>
        <row r="17370">
          <cell r="A17370">
            <v>43573</v>
          </cell>
        </row>
        <row r="17371">
          <cell r="A17371">
            <v>43429</v>
          </cell>
        </row>
        <row r="17372">
          <cell r="A17372">
            <v>43350</v>
          </cell>
        </row>
        <row r="17373">
          <cell r="A17373">
            <v>43194</v>
          </cell>
        </row>
        <row r="17374">
          <cell r="A17374">
            <v>43117</v>
          </cell>
        </row>
        <row r="17375">
          <cell r="A17375">
            <v>43517</v>
          </cell>
        </row>
        <row r="17376">
          <cell r="A17376">
            <v>43756</v>
          </cell>
        </row>
        <row r="17377">
          <cell r="A17377">
            <v>43191</v>
          </cell>
        </row>
        <row r="17378">
          <cell r="A17378">
            <v>43326</v>
          </cell>
        </row>
        <row r="17379">
          <cell r="A17379">
            <v>43518</v>
          </cell>
        </row>
        <row r="17380">
          <cell r="A17380">
            <v>43875</v>
          </cell>
        </row>
        <row r="17381">
          <cell r="A17381">
            <v>43836</v>
          </cell>
        </row>
        <row r="17382">
          <cell r="A17382">
            <v>43908</v>
          </cell>
        </row>
        <row r="17383">
          <cell r="A17383">
            <v>43781</v>
          </cell>
        </row>
        <row r="17384">
          <cell r="A17384">
            <v>43559</v>
          </cell>
        </row>
        <row r="17385">
          <cell r="A17385">
            <v>43738</v>
          </cell>
        </row>
        <row r="17386">
          <cell r="A17386">
            <v>43332</v>
          </cell>
        </row>
        <row r="17387">
          <cell r="A17387">
            <v>43382</v>
          </cell>
        </row>
        <row r="17388">
          <cell r="A17388">
            <v>43457</v>
          </cell>
        </row>
        <row r="17389">
          <cell r="A17389">
            <v>43660</v>
          </cell>
        </row>
        <row r="17390">
          <cell r="A17390">
            <v>43718</v>
          </cell>
        </row>
        <row r="17391">
          <cell r="A17391">
            <v>43861</v>
          </cell>
        </row>
        <row r="17392">
          <cell r="A17392">
            <v>43737</v>
          </cell>
        </row>
        <row r="17393">
          <cell r="A17393">
            <v>43389</v>
          </cell>
        </row>
        <row r="17394">
          <cell r="A17394">
            <v>43682</v>
          </cell>
        </row>
        <row r="17395">
          <cell r="A17395">
            <v>43804</v>
          </cell>
        </row>
        <row r="17396">
          <cell r="A17396">
            <v>43421</v>
          </cell>
        </row>
        <row r="17397">
          <cell r="A17397">
            <v>43873</v>
          </cell>
        </row>
        <row r="17398">
          <cell r="A17398">
            <v>43855</v>
          </cell>
        </row>
        <row r="17399">
          <cell r="A17399">
            <v>43375</v>
          </cell>
        </row>
        <row r="17400">
          <cell r="A17400">
            <v>43782</v>
          </cell>
        </row>
        <row r="17401">
          <cell r="A17401">
            <v>43202</v>
          </cell>
        </row>
        <row r="17402">
          <cell r="A17402">
            <v>43265</v>
          </cell>
        </row>
        <row r="17403">
          <cell r="A17403">
            <v>43771</v>
          </cell>
        </row>
        <row r="17404">
          <cell r="A17404">
            <v>43596</v>
          </cell>
        </row>
        <row r="17405">
          <cell r="A17405">
            <v>43698</v>
          </cell>
        </row>
        <row r="17406">
          <cell r="A17406">
            <v>43406</v>
          </cell>
        </row>
        <row r="17407">
          <cell r="A17407">
            <v>43740</v>
          </cell>
        </row>
        <row r="17408">
          <cell r="A17408">
            <v>43190</v>
          </cell>
        </row>
        <row r="17409">
          <cell r="A17409">
            <v>43169</v>
          </cell>
        </row>
        <row r="17410">
          <cell r="A17410">
            <v>43674</v>
          </cell>
        </row>
        <row r="17411">
          <cell r="A17411">
            <v>43508</v>
          </cell>
        </row>
        <row r="17412">
          <cell r="A17412">
            <v>43634</v>
          </cell>
        </row>
        <row r="17413">
          <cell r="A17413">
            <v>43279</v>
          </cell>
        </row>
        <row r="17414">
          <cell r="A17414">
            <v>43441</v>
          </cell>
        </row>
        <row r="17415">
          <cell r="A17415">
            <v>43131</v>
          </cell>
        </row>
        <row r="17416">
          <cell r="A17416">
            <v>43835</v>
          </cell>
        </row>
        <row r="17417">
          <cell r="A17417">
            <v>43278</v>
          </cell>
        </row>
        <row r="17418">
          <cell r="A17418">
            <v>43724</v>
          </cell>
        </row>
        <row r="17419">
          <cell r="A17419">
            <v>43888</v>
          </cell>
        </row>
        <row r="17420">
          <cell r="A17420">
            <v>43829</v>
          </cell>
        </row>
        <row r="17421">
          <cell r="A17421">
            <v>43894</v>
          </cell>
        </row>
        <row r="17422">
          <cell r="A17422">
            <v>43770</v>
          </cell>
        </row>
        <row r="17423">
          <cell r="A17423">
            <v>43695</v>
          </cell>
        </row>
        <row r="17424">
          <cell r="A17424">
            <v>43457</v>
          </cell>
        </row>
        <row r="17425">
          <cell r="A17425">
            <v>43789</v>
          </cell>
        </row>
        <row r="17426">
          <cell r="A17426">
            <v>43830</v>
          </cell>
        </row>
        <row r="17427">
          <cell r="A17427">
            <v>43778</v>
          </cell>
        </row>
        <row r="17428">
          <cell r="A17428">
            <v>43148</v>
          </cell>
        </row>
        <row r="17429">
          <cell r="A17429">
            <v>43718</v>
          </cell>
        </row>
        <row r="17430">
          <cell r="A17430">
            <v>43780</v>
          </cell>
        </row>
        <row r="17431">
          <cell r="A17431">
            <v>43491</v>
          </cell>
        </row>
        <row r="17432">
          <cell r="A17432">
            <v>43719</v>
          </cell>
        </row>
        <row r="17433">
          <cell r="A17433">
            <v>43451</v>
          </cell>
        </row>
        <row r="17434">
          <cell r="A17434">
            <v>43598</v>
          </cell>
        </row>
        <row r="17435">
          <cell r="A17435">
            <v>43341</v>
          </cell>
        </row>
        <row r="17436">
          <cell r="A17436">
            <v>43198</v>
          </cell>
        </row>
        <row r="17437">
          <cell r="A17437">
            <v>43217</v>
          </cell>
        </row>
        <row r="17438">
          <cell r="A17438">
            <v>43504</v>
          </cell>
        </row>
        <row r="17439">
          <cell r="A17439">
            <v>43603</v>
          </cell>
        </row>
        <row r="17440">
          <cell r="A17440">
            <v>43112</v>
          </cell>
        </row>
        <row r="17441">
          <cell r="A17441">
            <v>43116</v>
          </cell>
        </row>
        <row r="17442">
          <cell r="A17442">
            <v>43132</v>
          </cell>
        </row>
        <row r="17443">
          <cell r="A17443">
            <v>43604</v>
          </cell>
        </row>
        <row r="17444">
          <cell r="A17444">
            <v>43722</v>
          </cell>
        </row>
        <row r="17445">
          <cell r="A17445">
            <v>43805</v>
          </cell>
        </row>
        <row r="17446">
          <cell r="A17446">
            <v>43187</v>
          </cell>
        </row>
        <row r="17447">
          <cell r="A17447">
            <v>43572</v>
          </cell>
        </row>
        <row r="17448">
          <cell r="A17448">
            <v>43492</v>
          </cell>
        </row>
        <row r="17449">
          <cell r="A17449">
            <v>43874</v>
          </cell>
        </row>
        <row r="17450">
          <cell r="A17450">
            <v>43870</v>
          </cell>
        </row>
        <row r="17451">
          <cell r="A17451">
            <v>43422</v>
          </cell>
        </row>
        <row r="17452">
          <cell r="A17452">
            <v>43468</v>
          </cell>
        </row>
        <row r="17453">
          <cell r="A17453">
            <v>43236</v>
          </cell>
        </row>
        <row r="17454">
          <cell r="A17454">
            <v>43638</v>
          </cell>
        </row>
        <row r="17455">
          <cell r="A17455">
            <v>43887</v>
          </cell>
        </row>
        <row r="17456">
          <cell r="A17456">
            <v>43594</v>
          </cell>
        </row>
        <row r="17457">
          <cell r="A17457">
            <v>43335</v>
          </cell>
        </row>
        <row r="17458">
          <cell r="A17458">
            <v>43392</v>
          </cell>
        </row>
        <row r="17459">
          <cell r="A17459">
            <v>43890</v>
          </cell>
        </row>
        <row r="17460">
          <cell r="A17460">
            <v>43830</v>
          </cell>
        </row>
        <row r="17461">
          <cell r="A17461">
            <v>43585</v>
          </cell>
        </row>
        <row r="17462">
          <cell r="A17462">
            <v>43417</v>
          </cell>
        </row>
        <row r="17463">
          <cell r="A17463">
            <v>43388</v>
          </cell>
        </row>
        <row r="17464">
          <cell r="A17464">
            <v>43732</v>
          </cell>
        </row>
        <row r="17465">
          <cell r="A17465">
            <v>43337</v>
          </cell>
        </row>
        <row r="17466">
          <cell r="A17466">
            <v>43896</v>
          </cell>
        </row>
        <row r="17467">
          <cell r="A17467">
            <v>43892</v>
          </cell>
        </row>
        <row r="17468">
          <cell r="A17468">
            <v>43535</v>
          </cell>
        </row>
        <row r="17469">
          <cell r="A17469">
            <v>43185</v>
          </cell>
        </row>
        <row r="17470">
          <cell r="A17470">
            <v>43277</v>
          </cell>
        </row>
        <row r="17471">
          <cell r="A17471">
            <v>43405</v>
          </cell>
        </row>
        <row r="17472">
          <cell r="A17472">
            <v>43907</v>
          </cell>
        </row>
        <row r="17473">
          <cell r="A17473">
            <v>43374</v>
          </cell>
        </row>
        <row r="17474">
          <cell r="A17474">
            <v>43179</v>
          </cell>
        </row>
        <row r="17475">
          <cell r="A17475">
            <v>43479</v>
          </cell>
        </row>
        <row r="17476">
          <cell r="A17476">
            <v>43491</v>
          </cell>
        </row>
        <row r="17477">
          <cell r="A17477">
            <v>43356</v>
          </cell>
        </row>
        <row r="17478">
          <cell r="A17478">
            <v>43209</v>
          </cell>
        </row>
        <row r="17479">
          <cell r="A17479">
            <v>43787</v>
          </cell>
        </row>
        <row r="17480">
          <cell r="A17480">
            <v>43708</v>
          </cell>
        </row>
        <row r="17481">
          <cell r="A17481">
            <v>43409</v>
          </cell>
        </row>
        <row r="17482">
          <cell r="A17482">
            <v>43174</v>
          </cell>
        </row>
        <row r="17483">
          <cell r="A17483">
            <v>43275</v>
          </cell>
        </row>
        <row r="17484">
          <cell r="A17484">
            <v>43920</v>
          </cell>
        </row>
        <row r="17485">
          <cell r="A17485">
            <v>43401</v>
          </cell>
        </row>
        <row r="17486">
          <cell r="A17486">
            <v>43885</v>
          </cell>
        </row>
        <row r="17487">
          <cell r="A17487">
            <v>43197</v>
          </cell>
        </row>
        <row r="17488">
          <cell r="A17488">
            <v>43506</v>
          </cell>
        </row>
        <row r="17489">
          <cell r="A17489">
            <v>43424</v>
          </cell>
        </row>
        <row r="17490">
          <cell r="A17490">
            <v>43118</v>
          </cell>
        </row>
        <row r="17491">
          <cell r="A17491">
            <v>43823</v>
          </cell>
        </row>
        <row r="17492">
          <cell r="A17492">
            <v>43800</v>
          </cell>
        </row>
        <row r="17493">
          <cell r="A17493">
            <v>43141</v>
          </cell>
        </row>
        <row r="17494">
          <cell r="A17494">
            <v>43885</v>
          </cell>
        </row>
        <row r="17495">
          <cell r="A17495">
            <v>43544</v>
          </cell>
        </row>
        <row r="17496">
          <cell r="A17496">
            <v>43126</v>
          </cell>
        </row>
        <row r="17497">
          <cell r="A17497">
            <v>43869</v>
          </cell>
        </row>
        <row r="17498">
          <cell r="A17498">
            <v>43482</v>
          </cell>
        </row>
        <row r="17499">
          <cell r="A17499">
            <v>43530</v>
          </cell>
        </row>
        <row r="17500">
          <cell r="A17500">
            <v>43382</v>
          </cell>
        </row>
        <row r="17501">
          <cell r="A17501">
            <v>43857</v>
          </cell>
        </row>
        <row r="17502">
          <cell r="A17502">
            <v>43413</v>
          </cell>
        </row>
        <row r="17503">
          <cell r="A17503">
            <v>43793</v>
          </cell>
        </row>
        <row r="17504">
          <cell r="A17504">
            <v>43627</v>
          </cell>
        </row>
        <row r="17505">
          <cell r="A17505">
            <v>43243</v>
          </cell>
        </row>
        <row r="17506">
          <cell r="A17506">
            <v>43264</v>
          </cell>
        </row>
        <row r="17507">
          <cell r="A17507">
            <v>43805</v>
          </cell>
        </row>
        <row r="17508">
          <cell r="A17508">
            <v>43679</v>
          </cell>
        </row>
        <row r="17509">
          <cell r="A17509">
            <v>43542</v>
          </cell>
        </row>
        <row r="17510">
          <cell r="A17510">
            <v>43368</v>
          </cell>
        </row>
        <row r="17511">
          <cell r="A17511">
            <v>43418</v>
          </cell>
        </row>
        <row r="17512">
          <cell r="A17512">
            <v>43861</v>
          </cell>
        </row>
        <row r="17513">
          <cell r="A17513">
            <v>43471</v>
          </cell>
        </row>
        <row r="17514">
          <cell r="A17514">
            <v>43267</v>
          </cell>
        </row>
        <row r="17515">
          <cell r="A17515">
            <v>43791</v>
          </cell>
        </row>
        <row r="17516">
          <cell r="A17516">
            <v>43377</v>
          </cell>
        </row>
        <row r="17517">
          <cell r="A17517">
            <v>43668</v>
          </cell>
        </row>
        <row r="17518">
          <cell r="A17518">
            <v>43632</v>
          </cell>
        </row>
        <row r="17519">
          <cell r="A17519">
            <v>43362</v>
          </cell>
        </row>
        <row r="17520">
          <cell r="A17520">
            <v>43108</v>
          </cell>
        </row>
        <row r="17521">
          <cell r="A17521">
            <v>43292</v>
          </cell>
        </row>
        <row r="17522">
          <cell r="A17522">
            <v>43256</v>
          </cell>
        </row>
        <row r="17523">
          <cell r="A17523">
            <v>43920</v>
          </cell>
        </row>
        <row r="17524">
          <cell r="A17524">
            <v>43168</v>
          </cell>
        </row>
        <row r="17525">
          <cell r="A17525">
            <v>43310</v>
          </cell>
        </row>
        <row r="17526">
          <cell r="A17526">
            <v>43878</v>
          </cell>
        </row>
        <row r="17527">
          <cell r="A17527">
            <v>43324</v>
          </cell>
        </row>
        <row r="17528">
          <cell r="A17528">
            <v>43507</v>
          </cell>
        </row>
        <row r="17529">
          <cell r="A17529">
            <v>43295</v>
          </cell>
        </row>
        <row r="17530">
          <cell r="A17530">
            <v>43436</v>
          </cell>
        </row>
        <row r="17531">
          <cell r="A17531">
            <v>43153</v>
          </cell>
        </row>
        <row r="17532">
          <cell r="A17532">
            <v>43453</v>
          </cell>
        </row>
        <row r="17533">
          <cell r="A17533">
            <v>43613</v>
          </cell>
        </row>
        <row r="17534">
          <cell r="A17534">
            <v>43206</v>
          </cell>
        </row>
        <row r="17535">
          <cell r="A17535">
            <v>43377</v>
          </cell>
        </row>
        <row r="17536">
          <cell r="A17536">
            <v>43300</v>
          </cell>
        </row>
        <row r="17537">
          <cell r="A17537">
            <v>43718</v>
          </cell>
        </row>
        <row r="17538">
          <cell r="A17538">
            <v>43704</v>
          </cell>
        </row>
        <row r="17539">
          <cell r="A17539">
            <v>43502</v>
          </cell>
        </row>
        <row r="17540">
          <cell r="A17540">
            <v>43592</v>
          </cell>
        </row>
        <row r="17541">
          <cell r="A17541">
            <v>43903</v>
          </cell>
        </row>
        <row r="17542">
          <cell r="A17542">
            <v>43854</v>
          </cell>
        </row>
        <row r="17543">
          <cell r="A17543">
            <v>43291</v>
          </cell>
        </row>
        <row r="17544">
          <cell r="A17544">
            <v>43103</v>
          </cell>
        </row>
        <row r="17545">
          <cell r="A17545">
            <v>43263</v>
          </cell>
        </row>
        <row r="17546">
          <cell r="A17546">
            <v>43623</v>
          </cell>
        </row>
        <row r="17547">
          <cell r="A17547">
            <v>43771</v>
          </cell>
        </row>
        <row r="17548">
          <cell r="A17548">
            <v>43626</v>
          </cell>
        </row>
        <row r="17549">
          <cell r="A17549">
            <v>43154</v>
          </cell>
        </row>
        <row r="17550">
          <cell r="A17550">
            <v>43524</v>
          </cell>
        </row>
        <row r="17551">
          <cell r="A17551">
            <v>43876</v>
          </cell>
        </row>
        <row r="17552">
          <cell r="A17552">
            <v>43589</v>
          </cell>
        </row>
        <row r="17553">
          <cell r="A17553">
            <v>43123</v>
          </cell>
        </row>
        <row r="17554">
          <cell r="A17554">
            <v>43548</v>
          </cell>
        </row>
        <row r="17555">
          <cell r="A17555">
            <v>43133</v>
          </cell>
        </row>
        <row r="17556">
          <cell r="A17556">
            <v>43202</v>
          </cell>
        </row>
        <row r="17557">
          <cell r="A17557">
            <v>43709</v>
          </cell>
        </row>
        <row r="17558">
          <cell r="A17558">
            <v>43158</v>
          </cell>
        </row>
        <row r="17559">
          <cell r="A17559">
            <v>43510</v>
          </cell>
        </row>
        <row r="17560">
          <cell r="A17560">
            <v>43389</v>
          </cell>
        </row>
        <row r="17561">
          <cell r="A17561">
            <v>43871</v>
          </cell>
        </row>
        <row r="17562">
          <cell r="A17562">
            <v>43664</v>
          </cell>
        </row>
        <row r="17563">
          <cell r="A17563">
            <v>43838</v>
          </cell>
        </row>
        <row r="17564">
          <cell r="A17564">
            <v>43255</v>
          </cell>
        </row>
        <row r="17565">
          <cell r="A17565">
            <v>43588</v>
          </cell>
        </row>
        <row r="17566">
          <cell r="A17566">
            <v>43436</v>
          </cell>
        </row>
        <row r="17567">
          <cell r="A17567">
            <v>43779</v>
          </cell>
        </row>
        <row r="17568">
          <cell r="A17568">
            <v>43168</v>
          </cell>
        </row>
        <row r="17569">
          <cell r="A17569">
            <v>43163</v>
          </cell>
        </row>
        <row r="17570">
          <cell r="A17570">
            <v>43780</v>
          </cell>
        </row>
        <row r="17571">
          <cell r="A17571">
            <v>43756</v>
          </cell>
        </row>
        <row r="17572">
          <cell r="A17572">
            <v>43348</v>
          </cell>
        </row>
        <row r="17573">
          <cell r="A17573">
            <v>43767</v>
          </cell>
        </row>
        <row r="17574">
          <cell r="A17574">
            <v>43467</v>
          </cell>
        </row>
        <row r="17575">
          <cell r="A17575">
            <v>43736</v>
          </cell>
        </row>
        <row r="17576">
          <cell r="A17576">
            <v>43666</v>
          </cell>
        </row>
        <row r="17577">
          <cell r="A17577">
            <v>43474</v>
          </cell>
        </row>
        <row r="17578">
          <cell r="A17578">
            <v>43794</v>
          </cell>
        </row>
        <row r="17579">
          <cell r="A17579">
            <v>43766</v>
          </cell>
        </row>
        <row r="17580">
          <cell r="A17580">
            <v>43475</v>
          </cell>
        </row>
        <row r="17581">
          <cell r="A17581">
            <v>43163</v>
          </cell>
        </row>
        <row r="17582">
          <cell r="A17582">
            <v>43270</v>
          </cell>
        </row>
        <row r="17583">
          <cell r="A17583">
            <v>43556</v>
          </cell>
        </row>
        <row r="17584">
          <cell r="A17584">
            <v>43127</v>
          </cell>
        </row>
        <row r="17585">
          <cell r="A17585">
            <v>43294</v>
          </cell>
        </row>
        <row r="17586">
          <cell r="A17586">
            <v>43229</v>
          </cell>
        </row>
        <row r="17587">
          <cell r="A17587">
            <v>43715</v>
          </cell>
        </row>
        <row r="17588">
          <cell r="A17588">
            <v>43152</v>
          </cell>
        </row>
        <row r="17589">
          <cell r="A17589">
            <v>43602</v>
          </cell>
        </row>
        <row r="17590">
          <cell r="A17590">
            <v>43879</v>
          </cell>
        </row>
        <row r="17591">
          <cell r="A17591">
            <v>43294</v>
          </cell>
        </row>
        <row r="17592">
          <cell r="A17592">
            <v>43215</v>
          </cell>
        </row>
        <row r="17593">
          <cell r="A17593">
            <v>43617</v>
          </cell>
        </row>
        <row r="17594">
          <cell r="A17594">
            <v>43376</v>
          </cell>
        </row>
        <row r="17595">
          <cell r="A17595">
            <v>43134</v>
          </cell>
        </row>
        <row r="17596">
          <cell r="A17596">
            <v>43426</v>
          </cell>
        </row>
        <row r="17597">
          <cell r="A17597">
            <v>43578</v>
          </cell>
        </row>
        <row r="17598">
          <cell r="A17598">
            <v>43162</v>
          </cell>
        </row>
        <row r="17599">
          <cell r="A17599">
            <v>43399</v>
          </cell>
        </row>
        <row r="17600">
          <cell r="A17600">
            <v>43408</v>
          </cell>
        </row>
        <row r="17601">
          <cell r="A17601">
            <v>43693</v>
          </cell>
        </row>
        <row r="17602">
          <cell r="A17602">
            <v>43617</v>
          </cell>
        </row>
        <row r="17603">
          <cell r="A17603">
            <v>43818</v>
          </cell>
        </row>
        <row r="17604">
          <cell r="A17604">
            <v>43794</v>
          </cell>
        </row>
        <row r="17605">
          <cell r="A17605">
            <v>43375</v>
          </cell>
        </row>
        <row r="17606">
          <cell r="A17606">
            <v>43774</v>
          </cell>
        </row>
        <row r="17607">
          <cell r="A17607">
            <v>43529</v>
          </cell>
        </row>
        <row r="17608">
          <cell r="A17608">
            <v>43577</v>
          </cell>
        </row>
        <row r="17609">
          <cell r="A17609">
            <v>43884</v>
          </cell>
        </row>
        <row r="17610">
          <cell r="A17610">
            <v>43782</v>
          </cell>
        </row>
        <row r="17611">
          <cell r="A17611">
            <v>43733</v>
          </cell>
        </row>
        <row r="17612">
          <cell r="A17612">
            <v>43891</v>
          </cell>
        </row>
        <row r="17613">
          <cell r="A17613">
            <v>43504</v>
          </cell>
        </row>
        <row r="17614">
          <cell r="A17614">
            <v>43105</v>
          </cell>
        </row>
        <row r="17615">
          <cell r="A17615">
            <v>43794</v>
          </cell>
        </row>
        <row r="17616">
          <cell r="A17616">
            <v>43463</v>
          </cell>
        </row>
        <row r="17617">
          <cell r="A17617">
            <v>43919</v>
          </cell>
        </row>
        <row r="17618">
          <cell r="A17618">
            <v>43316</v>
          </cell>
        </row>
        <row r="17619">
          <cell r="A17619">
            <v>43509</v>
          </cell>
        </row>
        <row r="17620">
          <cell r="A17620">
            <v>43213</v>
          </cell>
        </row>
        <row r="17621">
          <cell r="A17621">
            <v>43335</v>
          </cell>
        </row>
        <row r="17622">
          <cell r="A17622">
            <v>43665</v>
          </cell>
        </row>
        <row r="17623">
          <cell r="A17623">
            <v>43180</v>
          </cell>
        </row>
        <row r="17624">
          <cell r="A17624">
            <v>43480</v>
          </cell>
        </row>
        <row r="17625">
          <cell r="A17625">
            <v>43443</v>
          </cell>
        </row>
        <row r="17626">
          <cell r="A17626">
            <v>43559</v>
          </cell>
        </row>
        <row r="17627">
          <cell r="A17627">
            <v>43713</v>
          </cell>
        </row>
        <row r="17628">
          <cell r="A17628">
            <v>43476</v>
          </cell>
        </row>
        <row r="17629">
          <cell r="A17629">
            <v>43479</v>
          </cell>
        </row>
        <row r="17630">
          <cell r="A17630">
            <v>43513</v>
          </cell>
        </row>
        <row r="17631">
          <cell r="A17631">
            <v>43246</v>
          </cell>
        </row>
        <row r="17632">
          <cell r="A17632">
            <v>43571</v>
          </cell>
        </row>
        <row r="17633">
          <cell r="A17633">
            <v>43323</v>
          </cell>
        </row>
        <row r="17634">
          <cell r="A17634">
            <v>43510</v>
          </cell>
        </row>
        <row r="17635">
          <cell r="A17635">
            <v>43889</v>
          </cell>
        </row>
        <row r="17636">
          <cell r="A17636">
            <v>43861</v>
          </cell>
        </row>
        <row r="17637">
          <cell r="A17637">
            <v>43645</v>
          </cell>
        </row>
        <row r="17638">
          <cell r="A17638">
            <v>43847</v>
          </cell>
        </row>
        <row r="17639">
          <cell r="A17639">
            <v>43505</v>
          </cell>
        </row>
        <row r="17640">
          <cell r="A17640">
            <v>43716</v>
          </cell>
        </row>
        <row r="17641">
          <cell r="A17641">
            <v>43646</v>
          </cell>
        </row>
        <row r="17642">
          <cell r="A17642">
            <v>43391</v>
          </cell>
        </row>
        <row r="17643">
          <cell r="A17643">
            <v>43897</v>
          </cell>
        </row>
        <row r="17644">
          <cell r="A17644">
            <v>43560</v>
          </cell>
        </row>
        <row r="17645">
          <cell r="A17645">
            <v>43918</v>
          </cell>
        </row>
        <row r="17646">
          <cell r="A17646">
            <v>43119</v>
          </cell>
        </row>
        <row r="17647">
          <cell r="A17647">
            <v>43377</v>
          </cell>
        </row>
        <row r="17648">
          <cell r="A17648">
            <v>43639</v>
          </cell>
        </row>
        <row r="17649">
          <cell r="A17649">
            <v>43183</v>
          </cell>
        </row>
        <row r="17650">
          <cell r="A17650">
            <v>43483</v>
          </cell>
        </row>
        <row r="17651">
          <cell r="A17651">
            <v>43804</v>
          </cell>
        </row>
        <row r="17652">
          <cell r="A17652">
            <v>43823</v>
          </cell>
        </row>
        <row r="17653">
          <cell r="A17653">
            <v>43480</v>
          </cell>
        </row>
        <row r="17654">
          <cell r="A17654">
            <v>43611</v>
          </cell>
        </row>
        <row r="17655">
          <cell r="A17655">
            <v>43270</v>
          </cell>
        </row>
        <row r="17656">
          <cell r="A17656">
            <v>43794</v>
          </cell>
        </row>
        <row r="17657">
          <cell r="A17657">
            <v>43370</v>
          </cell>
        </row>
        <row r="17658">
          <cell r="A17658">
            <v>43656</v>
          </cell>
        </row>
        <row r="17659">
          <cell r="A17659">
            <v>43370</v>
          </cell>
        </row>
        <row r="17660">
          <cell r="A17660">
            <v>43105</v>
          </cell>
        </row>
        <row r="17661">
          <cell r="A17661">
            <v>43667</v>
          </cell>
        </row>
        <row r="17662">
          <cell r="A17662">
            <v>43370</v>
          </cell>
        </row>
        <row r="17663">
          <cell r="A17663">
            <v>43648</v>
          </cell>
        </row>
        <row r="17664">
          <cell r="A17664">
            <v>43657</v>
          </cell>
        </row>
        <row r="17665">
          <cell r="A17665">
            <v>43634</v>
          </cell>
        </row>
        <row r="17666">
          <cell r="A17666">
            <v>43125</v>
          </cell>
        </row>
        <row r="17667">
          <cell r="A17667">
            <v>43134</v>
          </cell>
        </row>
        <row r="17668">
          <cell r="A17668">
            <v>43856</v>
          </cell>
        </row>
        <row r="17669">
          <cell r="A17669">
            <v>43133</v>
          </cell>
        </row>
        <row r="17670">
          <cell r="A17670">
            <v>43374</v>
          </cell>
        </row>
        <row r="17671">
          <cell r="A17671">
            <v>43861</v>
          </cell>
        </row>
        <row r="17672">
          <cell r="A17672">
            <v>43646</v>
          </cell>
        </row>
        <row r="17673">
          <cell r="A17673">
            <v>43816</v>
          </cell>
        </row>
        <row r="17674">
          <cell r="A17674">
            <v>43449</v>
          </cell>
        </row>
        <row r="17675">
          <cell r="A17675">
            <v>43343</v>
          </cell>
        </row>
        <row r="17676">
          <cell r="A17676">
            <v>43156</v>
          </cell>
        </row>
        <row r="17677">
          <cell r="A17677">
            <v>43291</v>
          </cell>
        </row>
        <row r="17678">
          <cell r="A17678">
            <v>43768</v>
          </cell>
        </row>
        <row r="17679">
          <cell r="A17679">
            <v>43883</v>
          </cell>
        </row>
        <row r="17680">
          <cell r="A17680">
            <v>43879</v>
          </cell>
        </row>
        <row r="17681">
          <cell r="A17681">
            <v>43622</v>
          </cell>
        </row>
        <row r="17682">
          <cell r="A17682">
            <v>43506</v>
          </cell>
        </row>
        <row r="17683">
          <cell r="A17683">
            <v>43147</v>
          </cell>
        </row>
        <row r="17684">
          <cell r="A17684">
            <v>43264</v>
          </cell>
        </row>
        <row r="17685">
          <cell r="A17685">
            <v>43690</v>
          </cell>
        </row>
        <row r="17686">
          <cell r="A17686">
            <v>43212</v>
          </cell>
        </row>
        <row r="17687">
          <cell r="A17687">
            <v>43377</v>
          </cell>
        </row>
        <row r="17688">
          <cell r="A17688">
            <v>43742</v>
          </cell>
        </row>
        <row r="17689">
          <cell r="A17689">
            <v>43241</v>
          </cell>
        </row>
        <row r="17690">
          <cell r="A17690">
            <v>43477</v>
          </cell>
        </row>
        <row r="17691">
          <cell r="A17691">
            <v>43225</v>
          </cell>
        </row>
        <row r="17692">
          <cell r="A17692">
            <v>43824</v>
          </cell>
        </row>
        <row r="17693">
          <cell r="A17693">
            <v>43808</v>
          </cell>
        </row>
        <row r="17694">
          <cell r="A17694">
            <v>43417</v>
          </cell>
        </row>
        <row r="17695">
          <cell r="A17695">
            <v>43482</v>
          </cell>
        </row>
        <row r="17696">
          <cell r="A17696">
            <v>43795</v>
          </cell>
        </row>
        <row r="17697">
          <cell r="A17697">
            <v>43877</v>
          </cell>
        </row>
        <row r="17698">
          <cell r="A17698">
            <v>43670</v>
          </cell>
        </row>
        <row r="17699">
          <cell r="A17699">
            <v>43442</v>
          </cell>
        </row>
        <row r="17700">
          <cell r="A17700">
            <v>43888</v>
          </cell>
        </row>
        <row r="17701">
          <cell r="A17701">
            <v>43466</v>
          </cell>
        </row>
        <row r="17702">
          <cell r="A17702">
            <v>43194</v>
          </cell>
        </row>
        <row r="17703">
          <cell r="A17703">
            <v>43428</v>
          </cell>
        </row>
        <row r="17704">
          <cell r="A17704">
            <v>43215</v>
          </cell>
        </row>
        <row r="17705">
          <cell r="A17705">
            <v>43612</v>
          </cell>
        </row>
        <row r="17706">
          <cell r="A17706">
            <v>43122</v>
          </cell>
        </row>
        <row r="17707">
          <cell r="A17707">
            <v>43206</v>
          </cell>
        </row>
        <row r="17708">
          <cell r="A17708">
            <v>43310</v>
          </cell>
        </row>
        <row r="17709">
          <cell r="A17709">
            <v>43589</v>
          </cell>
        </row>
        <row r="17710">
          <cell r="A17710">
            <v>43466</v>
          </cell>
        </row>
        <row r="17711">
          <cell r="A17711">
            <v>43814</v>
          </cell>
        </row>
        <row r="17712">
          <cell r="A17712">
            <v>43890</v>
          </cell>
        </row>
        <row r="17713">
          <cell r="A17713">
            <v>43726</v>
          </cell>
        </row>
        <row r="17714">
          <cell r="A17714">
            <v>43725</v>
          </cell>
        </row>
        <row r="17715">
          <cell r="A17715">
            <v>43551</v>
          </cell>
        </row>
        <row r="17716">
          <cell r="A17716">
            <v>43669</v>
          </cell>
        </row>
        <row r="17717">
          <cell r="A17717">
            <v>43685</v>
          </cell>
        </row>
        <row r="17718">
          <cell r="A17718">
            <v>43109</v>
          </cell>
        </row>
        <row r="17719">
          <cell r="A17719">
            <v>43752</v>
          </cell>
        </row>
        <row r="17720">
          <cell r="A17720">
            <v>43586</v>
          </cell>
        </row>
        <row r="17721">
          <cell r="A17721">
            <v>43669</v>
          </cell>
        </row>
        <row r="17722">
          <cell r="A17722">
            <v>43438</v>
          </cell>
        </row>
        <row r="17723">
          <cell r="A17723">
            <v>43470</v>
          </cell>
        </row>
        <row r="17724">
          <cell r="A17724">
            <v>43290</v>
          </cell>
        </row>
        <row r="17725">
          <cell r="A17725">
            <v>43684</v>
          </cell>
        </row>
        <row r="17726">
          <cell r="A17726">
            <v>43456</v>
          </cell>
        </row>
        <row r="17727">
          <cell r="A17727">
            <v>43454</v>
          </cell>
        </row>
        <row r="17728">
          <cell r="A17728">
            <v>43259</v>
          </cell>
        </row>
        <row r="17729">
          <cell r="A17729">
            <v>43470</v>
          </cell>
        </row>
        <row r="17730">
          <cell r="A17730">
            <v>43903</v>
          </cell>
        </row>
        <row r="17731">
          <cell r="A17731">
            <v>43190</v>
          </cell>
        </row>
        <row r="17732">
          <cell r="A17732">
            <v>43232</v>
          </cell>
        </row>
        <row r="17733">
          <cell r="A17733">
            <v>43774</v>
          </cell>
        </row>
        <row r="17734">
          <cell r="A17734">
            <v>43821</v>
          </cell>
        </row>
        <row r="17735">
          <cell r="A17735">
            <v>43909</v>
          </cell>
        </row>
        <row r="17736">
          <cell r="A17736">
            <v>43172</v>
          </cell>
        </row>
        <row r="17737">
          <cell r="A17737">
            <v>43311</v>
          </cell>
        </row>
        <row r="17738">
          <cell r="A17738">
            <v>43704</v>
          </cell>
        </row>
        <row r="17739">
          <cell r="A17739">
            <v>43307</v>
          </cell>
        </row>
        <row r="17740">
          <cell r="A17740">
            <v>43597</v>
          </cell>
        </row>
        <row r="17741">
          <cell r="A17741">
            <v>43314</v>
          </cell>
        </row>
        <row r="17742">
          <cell r="A17742">
            <v>43692</v>
          </cell>
        </row>
        <row r="17743">
          <cell r="A17743">
            <v>43156</v>
          </cell>
        </row>
        <row r="17744">
          <cell r="A17744">
            <v>43907</v>
          </cell>
        </row>
        <row r="17745">
          <cell r="A17745">
            <v>43803</v>
          </cell>
        </row>
        <row r="17746">
          <cell r="A17746">
            <v>43823</v>
          </cell>
        </row>
        <row r="17747">
          <cell r="A17747">
            <v>43605</v>
          </cell>
        </row>
        <row r="17748">
          <cell r="A17748">
            <v>43282</v>
          </cell>
        </row>
        <row r="17749">
          <cell r="A17749">
            <v>43322</v>
          </cell>
        </row>
        <row r="17750">
          <cell r="A17750">
            <v>43809</v>
          </cell>
        </row>
        <row r="17751">
          <cell r="A17751">
            <v>43152</v>
          </cell>
        </row>
        <row r="17752">
          <cell r="A17752">
            <v>43602</v>
          </cell>
        </row>
        <row r="17753">
          <cell r="A17753">
            <v>43819</v>
          </cell>
        </row>
        <row r="17754">
          <cell r="A17754">
            <v>43574</v>
          </cell>
        </row>
        <row r="17755">
          <cell r="A17755">
            <v>43291</v>
          </cell>
        </row>
        <row r="17756">
          <cell r="A17756">
            <v>43441</v>
          </cell>
        </row>
        <row r="17757">
          <cell r="A17757">
            <v>43210</v>
          </cell>
        </row>
        <row r="17758">
          <cell r="A17758">
            <v>43888</v>
          </cell>
        </row>
        <row r="17759">
          <cell r="A17759">
            <v>43207</v>
          </cell>
        </row>
        <row r="17760">
          <cell r="A17760">
            <v>43858</v>
          </cell>
        </row>
        <row r="17761">
          <cell r="A17761">
            <v>43882</v>
          </cell>
        </row>
        <row r="17762">
          <cell r="A17762">
            <v>43862</v>
          </cell>
        </row>
        <row r="17763">
          <cell r="A17763">
            <v>43298</v>
          </cell>
        </row>
        <row r="17764">
          <cell r="A17764">
            <v>43309</v>
          </cell>
        </row>
        <row r="17765">
          <cell r="A17765">
            <v>43111</v>
          </cell>
        </row>
        <row r="17766">
          <cell r="A17766">
            <v>43394</v>
          </cell>
        </row>
        <row r="17767">
          <cell r="A17767">
            <v>43413</v>
          </cell>
        </row>
        <row r="17768">
          <cell r="A17768">
            <v>43919</v>
          </cell>
        </row>
        <row r="17769">
          <cell r="A17769">
            <v>43664</v>
          </cell>
        </row>
        <row r="17770">
          <cell r="A17770">
            <v>43689</v>
          </cell>
        </row>
        <row r="17771">
          <cell r="A17771">
            <v>43802</v>
          </cell>
        </row>
        <row r="17772">
          <cell r="A17772">
            <v>43279</v>
          </cell>
        </row>
        <row r="17773">
          <cell r="A17773">
            <v>43271</v>
          </cell>
        </row>
        <row r="17774">
          <cell r="A17774">
            <v>43250</v>
          </cell>
        </row>
        <row r="17775">
          <cell r="A17775">
            <v>43531</v>
          </cell>
        </row>
        <row r="17776">
          <cell r="A17776">
            <v>43909</v>
          </cell>
        </row>
        <row r="17777">
          <cell r="A17777">
            <v>43555</v>
          </cell>
        </row>
        <row r="17778">
          <cell r="A17778">
            <v>43514</v>
          </cell>
        </row>
        <row r="17779">
          <cell r="A17779">
            <v>43664</v>
          </cell>
        </row>
        <row r="17780">
          <cell r="A17780">
            <v>43839</v>
          </cell>
        </row>
        <row r="17781">
          <cell r="A17781">
            <v>43708</v>
          </cell>
        </row>
        <row r="17782">
          <cell r="A17782">
            <v>43843</v>
          </cell>
        </row>
        <row r="17783">
          <cell r="A17783">
            <v>43896</v>
          </cell>
        </row>
        <row r="17784">
          <cell r="A17784">
            <v>43485</v>
          </cell>
        </row>
        <row r="17785">
          <cell r="A17785">
            <v>43732</v>
          </cell>
        </row>
        <row r="17786">
          <cell r="A17786">
            <v>43475</v>
          </cell>
        </row>
        <row r="17787">
          <cell r="A17787">
            <v>43841</v>
          </cell>
        </row>
        <row r="17788">
          <cell r="A17788">
            <v>43729</v>
          </cell>
        </row>
        <row r="17789">
          <cell r="A17789">
            <v>43732</v>
          </cell>
        </row>
        <row r="17790">
          <cell r="A17790">
            <v>43781</v>
          </cell>
        </row>
        <row r="17791">
          <cell r="A17791">
            <v>43162</v>
          </cell>
        </row>
        <row r="17792">
          <cell r="A17792">
            <v>43688</v>
          </cell>
        </row>
        <row r="17793">
          <cell r="A17793">
            <v>43196</v>
          </cell>
        </row>
        <row r="17794">
          <cell r="A17794">
            <v>43473</v>
          </cell>
        </row>
        <row r="17795">
          <cell r="A17795">
            <v>43831</v>
          </cell>
        </row>
        <row r="17796">
          <cell r="A17796">
            <v>43709</v>
          </cell>
        </row>
        <row r="17797">
          <cell r="A17797">
            <v>43917</v>
          </cell>
        </row>
        <row r="17798">
          <cell r="A17798">
            <v>43116</v>
          </cell>
        </row>
        <row r="17799">
          <cell r="A17799">
            <v>43896</v>
          </cell>
        </row>
        <row r="17800">
          <cell r="A17800">
            <v>43176</v>
          </cell>
        </row>
        <row r="17801">
          <cell r="A17801">
            <v>43612</v>
          </cell>
        </row>
        <row r="17802">
          <cell r="A17802">
            <v>43492</v>
          </cell>
        </row>
        <row r="17803">
          <cell r="A17803">
            <v>43244</v>
          </cell>
        </row>
        <row r="17804">
          <cell r="A17804">
            <v>43450</v>
          </cell>
        </row>
        <row r="17805">
          <cell r="A17805">
            <v>43183</v>
          </cell>
        </row>
        <row r="17806">
          <cell r="A17806">
            <v>43816</v>
          </cell>
        </row>
        <row r="17807">
          <cell r="A17807">
            <v>43119</v>
          </cell>
        </row>
        <row r="17808">
          <cell r="A17808">
            <v>43905</v>
          </cell>
        </row>
        <row r="17809">
          <cell r="A17809">
            <v>43101</v>
          </cell>
        </row>
        <row r="17810">
          <cell r="A17810">
            <v>43341</v>
          </cell>
        </row>
        <row r="17811">
          <cell r="A17811">
            <v>43801</v>
          </cell>
        </row>
        <row r="17812">
          <cell r="A17812">
            <v>43157</v>
          </cell>
        </row>
        <row r="17813">
          <cell r="A17813">
            <v>43790</v>
          </cell>
        </row>
        <row r="17814">
          <cell r="A17814">
            <v>43329</v>
          </cell>
        </row>
        <row r="17815">
          <cell r="A17815">
            <v>43816</v>
          </cell>
        </row>
        <row r="17816">
          <cell r="A17816">
            <v>43521</v>
          </cell>
        </row>
        <row r="17817">
          <cell r="A17817">
            <v>43890</v>
          </cell>
        </row>
        <row r="17818">
          <cell r="A17818">
            <v>43725</v>
          </cell>
        </row>
        <row r="17819">
          <cell r="A17819">
            <v>43793</v>
          </cell>
        </row>
        <row r="17820">
          <cell r="A17820">
            <v>43790</v>
          </cell>
        </row>
        <row r="17821">
          <cell r="A17821">
            <v>43749</v>
          </cell>
        </row>
        <row r="17822">
          <cell r="A17822">
            <v>43490</v>
          </cell>
        </row>
        <row r="17823">
          <cell r="A17823">
            <v>43782</v>
          </cell>
        </row>
        <row r="17824">
          <cell r="A17824">
            <v>43207</v>
          </cell>
        </row>
        <row r="17825">
          <cell r="A17825">
            <v>43421</v>
          </cell>
        </row>
        <row r="17826">
          <cell r="A17826">
            <v>43890</v>
          </cell>
        </row>
        <row r="17827">
          <cell r="A17827">
            <v>43262</v>
          </cell>
        </row>
        <row r="17828">
          <cell r="A17828">
            <v>43132</v>
          </cell>
        </row>
        <row r="17829">
          <cell r="A17829">
            <v>43542</v>
          </cell>
        </row>
        <row r="17830">
          <cell r="A17830">
            <v>43223</v>
          </cell>
        </row>
        <row r="17831">
          <cell r="A17831">
            <v>43271</v>
          </cell>
        </row>
        <row r="17832">
          <cell r="A17832">
            <v>43171</v>
          </cell>
        </row>
        <row r="17833">
          <cell r="A17833">
            <v>43259</v>
          </cell>
        </row>
        <row r="17834">
          <cell r="A17834">
            <v>43188</v>
          </cell>
        </row>
        <row r="17835">
          <cell r="A17835">
            <v>43440</v>
          </cell>
        </row>
        <row r="17836">
          <cell r="A17836">
            <v>43154</v>
          </cell>
        </row>
        <row r="17837">
          <cell r="A17837">
            <v>43359</v>
          </cell>
        </row>
        <row r="17838">
          <cell r="A17838">
            <v>43355</v>
          </cell>
        </row>
        <row r="17839">
          <cell r="A17839">
            <v>43818</v>
          </cell>
        </row>
        <row r="17840">
          <cell r="A17840">
            <v>43177</v>
          </cell>
        </row>
        <row r="17841">
          <cell r="A17841">
            <v>43867</v>
          </cell>
        </row>
        <row r="17842">
          <cell r="A17842">
            <v>43807</v>
          </cell>
        </row>
        <row r="17843">
          <cell r="A17843">
            <v>43630</v>
          </cell>
        </row>
        <row r="17844">
          <cell r="A17844">
            <v>43268</v>
          </cell>
        </row>
        <row r="17845">
          <cell r="A17845">
            <v>43477</v>
          </cell>
        </row>
        <row r="17846">
          <cell r="A17846">
            <v>43797</v>
          </cell>
        </row>
        <row r="17847">
          <cell r="A17847">
            <v>43835</v>
          </cell>
        </row>
        <row r="17848">
          <cell r="A17848">
            <v>43537</v>
          </cell>
        </row>
        <row r="17849">
          <cell r="A17849">
            <v>43867</v>
          </cell>
        </row>
        <row r="17850">
          <cell r="A17850">
            <v>43281</v>
          </cell>
        </row>
        <row r="17851">
          <cell r="A17851">
            <v>43693</v>
          </cell>
        </row>
        <row r="17852">
          <cell r="A17852">
            <v>43422</v>
          </cell>
        </row>
        <row r="17853">
          <cell r="A17853">
            <v>43276</v>
          </cell>
        </row>
        <row r="17854">
          <cell r="A17854">
            <v>43553</v>
          </cell>
        </row>
        <row r="17855">
          <cell r="A17855">
            <v>43267</v>
          </cell>
        </row>
        <row r="17856">
          <cell r="A17856">
            <v>43801</v>
          </cell>
        </row>
        <row r="17857">
          <cell r="A17857">
            <v>43702</v>
          </cell>
        </row>
        <row r="17858">
          <cell r="A17858">
            <v>43348</v>
          </cell>
        </row>
        <row r="17859">
          <cell r="A17859">
            <v>43264</v>
          </cell>
        </row>
        <row r="17860">
          <cell r="A17860">
            <v>43223</v>
          </cell>
        </row>
        <row r="17861">
          <cell r="A17861">
            <v>43553</v>
          </cell>
        </row>
        <row r="17862">
          <cell r="A17862">
            <v>43455</v>
          </cell>
        </row>
        <row r="17863">
          <cell r="A17863">
            <v>43233</v>
          </cell>
        </row>
        <row r="17864">
          <cell r="A17864">
            <v>43176</v>
          </cell>
        </row>
        <row r="17865">
          <cell r="A17865">
            <v>43344</v>
          </cell>
        </row>
        <row r="17866">
          <cell r="A17866">
            <v>43182</v>
          </cell>
        </row>
        <row r="17867">
          <cell r="A17867">
            <v>43827</v>
          </cell>
        </row>
        <row r="17868">
          <cell r="A17868">
            <v>43458</v>
          </cell>
        </row>
        <row r="17869">
          <cell r="A17869">
            <v>43868</v>
          </cell>
        </row>
        <row r="17870">
          <cell r="A17870">
            <v>43709</v>
          </cell>
        </row>
        <row r="17871">
          <cell r="A17871">
            <v>43663</v>
          </cell>
        </row>
        <row r="17872">
          <cell r="A17872">
            <v>43272</v>
          </cell>
        </row>
        <row r="17873">
          <cell r="A17873">
            <v>43165</v>
          </cell>
        </row>
        <row r="17874">
          <cell r="A17874">
            <v>43735</v>
          </cell>
        </row>
        <row r="17875">
          <cell r="A17875">
            <v>43190</v>
          </cell>
        </row>
        <row r="17876">
          <cell r="A17876">
            <v>43741</v>
          </cell>
        </row>
        <row r="17877">
          <cell r="A17877">
            <v>43159</v>
          </cell>
        </row>
        <row r="17878">
          <cell r="A17878">
            <v>43572</v>
          </cell>
        </row>
        <row r="17879">
          <cell r="A17879">
            <v>43892</v>
          </cell>
        </row>
        <row r="17880">
          <cell r="A17880">
            <v>43649</v>
          </cell>
        </row>
        <row r="17881">
          <cell r="A17881">
            <v>43748</v>
          </cell>
        </row>
        <row r="17882">
          <cell r="A17882">
            <v>43876</v>
          </cell>
        </row>
        <row r="17883">
          <cell r="A17883">
            <v>43159</v>
          </cell>
        </row>
        <row r="17884">
          <cell r="A17884">
            <v>43895</v>
          </cell>
        </row>
        <row r="17885">
          <cell r="A17885">
            <v>43157</v>
          </cell>
        </row>
        <row r="17886">
          <cell r="A17886">
            <v>43272</v>
          </cell>
        </row>
        <row r="17887">
          <cell r="A17887">
            <v>43756</v>
          </cell>
        </row>
        <row r="17888">
          <cell r="A17888">
            <v>43759</v>
          </cell>
        </row>
        <row r="17889">
          <cell r="A17889">
            <v>43385</v>
          </cell>
        </row>
        <row r="17890">
          <cell r="A17890">
            <v>43781</v>
          </cell>
        </row>
        <row r="17891">
          <cell r="A17891">
            <v>43788</v>
          </cell>
        </row>
        <row r="17892">
          <cell r="A17892">
            <v>43176</v>
          </cell>
        </row>
        <row r="17893">
          <cell r="A17893">
            <v>43874</v>
          </cell>
        </row>
        <row r="17894">
          <cell r="A17894">
            <v>43350</v>
          </cell>
        </row>
        <row r="17895">
          <cell r="A17895">
            <v>43764</v>
          </cell>
        </row>
        <row r="17896">
          <cell r="A17896">
            <v>43672</v>
          </cell>
        </row>
        <row r="17897">
          <cell r="A17897">
            <v>43115</v>
          </cell>
        </row>
        <row r="17898">
          <cell r="A17898">
            <v>43350</v>
          </cell>
        </row>
        <row r="17899">
          <cell r="A17899">
            <v>43246</v>
          </cell>
        </row>
        <row r="17900">
          <cell r="A17900">
            <v>43120</v>
          </cell>
        </row>
        <row r="17901">
          <cell r="A17901">
            <v>43314</v>
          </cell>
        </row>
        <row r="17902">
          <cell r="A17902">
            <v>43280</v>
          </cell>
        </row>
        <row r="17903">
          <cell r="A17903">
            <v>43335</v>
          </cell>
        </row>
        <row r="17904">
          <cell r="A17904">
            <v>43772</v>
          </cell>
        </row>
        <row r="17905">
          <cell r="A17905">
            <v>43474</v>
          </cell>
        </row>
        <row r="17906">
          <cell r="A17906">
            <v>43551</v>
          </cell>
        </row>
        <row r="17907">
          <cell r="A17907">
            <v>43836</v>
          </cell>
        </row>
        <row r="17908">
          <cell r="A17908">
            <v>43223</v>
          </cell>
        </row>
        <row r="17909">
          <cell r="A17909">
            <v>43551</v>
          </cell>
        </row>
        <row r="17910">
          <cell r="A17910">
            <v>43424</v>
          </cell>
        </row>
        <row r="17911">
          <cell r="A17911">
            <v>43135</v>
          </cell>
        </row>
        <row r="17912">
          <cell r="A17912">
            <v>43691</v>
          </cell>
        </row>
        <row r="17913">
          <cell r="A17913">
            <v>43616</v>
          </cell>
        </row>
        <row r="17914">
          <cell r="A17914">
            <v>43150</v>
          </cell>
        </row>
        <row r="17915">
          <cell r="A17915">
            <v>43833</v>
          </cell>
        </row>
        <row r="17916">
          <cell r="A17916">
            <v>43762</v>
          </cell>
        </row>
        <row r="17917">
          <cell r="A17917">
            <v>43647</v>
          </cell>
        </row>
        <row r="17918">
          <cell r="A17918">
            <v>43617</v>
          </cell>
        </row>
        <row r="17919">
          <cell r="A17919">
            <v>43478</v>
          </cell>
        </row>
        <row r="17920">
          <cell r="A17920">
            <v>43660</v>
          </cell>
        </row>
        <row r="17921">
          <cell r="A17921">
            <v>43910</v>
          </cell>
        </row>
        <row r="17922">
          <cell r="A17922">
            <v>43337</v>
          </cell>
        </row>
        <row r="17923">
          <cell r="A17923">
            <v>43285</v>
          </cell>
        </row>
        <row r="17924">
          <cell r="A17924">
            <v>43290</v>
          </cell>
        </row>
        <row r="17925">
          <cell r="A17925">
            <v>43238</v>
          </cell>
        </row>
        <row r="17926">
          <cell r="A17926">
            <v>43859</v>
          </cell>
        </row>
        <row r="17927">
          <cell r="A17927">
            <v>43899</v>
          </cell>
        </row>
        <row r="17928">
          <cell r="A17928">
            <v>43140</v>
          </cell>
        </row>
        <row r="17929">
          <cell r="A17929">
            <v>43319</v>
          </cell>
        </row>
        <row r="17930">
          <cell r="A17930">
            <v>43903</v>
          </cell>
        </row>
        <row r="17931">
          <cell r="A17931">
            <v>43895</v>
          </cell>
        </row>
        <row r="17932">
          <cell r="A17932">
            <v>43124</v>
          </cell>
        </row>
        <row r="17933">
          <cell r="A17933">
            <v>43575</v>
          </cell>
        </row>
        <row r="17934">
          <cell r="A17934">
            <v>43752</v>
          </cell>
        </row>
        <row r="17935">
          <cell r="A17935">
            <v>43604</v>
          </cell>
        </row>
        <row r="17936">
          <cell r="A17936">
            <v>43202</v>
          </cell>
        </row>
        <row r="17937">
          <cell r="A17937">
            <v>43712</v>
          </cell>
        </row>
        <row r="17938">
          <cell r="A17938">
            <v>43602</v>
          </cell>
        </row>
        <row r="17939">
          <cell r="A17939">
            <v>43587</v>
          </cell>
        </row>
        <row r="17940">
          <cell r="A17940">
            <v>43314</v>
          </cell>
        </row>
        <row r="17941">
          <cell r="A17941">
            <v>43497</v>
          </cell>
        </row>
        <row r="17942">
          <cell r="A17942">
            <v>43140</v>
          </cell>
        </row>
        <row r="17943">
          <cell r="A17943">
            <v>43685</v>
          </cell>
        </row>
        <row r="17944">
          <cell r="A17944">
            <v>43355</v>
          </cell>
        </row>
        <row r="17945">
          <cell r="A17945">
            <v>43569</v>
          </cell>
        </row>
        <row r="17946">
          <cell r="A17946">
            <v>43911</v>
          </cell>
        </row>
        <row r="17947">
          <cell r="A17947">
            <v>43502</v>
          </cell>
        </row>
        <row r="17948">
          <cell r="A17948">
            <v>43609</v>
          </cell>
        </row>
        <row r="17949">
          <cell r="A17949">
            <v>43590</v>
          </cell>
        </row>
        <row r="17950">
          <cell r="A17950">
            <v>43162</v>
          </cell>
        </row>
        <row r="17951">
          <cell r="A17951">
            <v>43567</v>
          </cell>
        </row>
        <row r="17952">
          <cell r="A17952">
            <v>43520</v>
          </cell>
        </row>
        <row r="17953">
          <cell r="A17953">
            <v>43186</v>
          </cell>
        </row>
        <row r="17954">
          <cell r="A17954">
            <v>43326</v>
          </cell>
        </row>
        <row r="17955">
          <cell r="A17955">
            <v>43470</v>
          </cell>
        </row>
        <row r="17956">
          <cell r="A17956">
            <v>43261</v>
          </cell>
        </row>
        <row r="17957">
          <cell r="A17957">
            <v>43687</v>
          </cell>
        </row>
        <row r="17958">
          <cell r="A17958">
            <v>43500</v>
          </cell>
        </row>
        <row r="17959">
          <cell r="A17959">
            <v>43757</v>
          </cell>
        </row>
        <row r="17960">
          <cell r="A17960">
            <v>43797</v>
          </cell>
        </row>
        <row r="17961">
          <cell r="A17961">
            <v>43695</v>
          </cell>
        </row>
        <row r="17962">
          <cell r="A17962">
            <v>43367</v>
          </cell>
        </row>
        <row r="17963">
          <cell r="A17963">
            <v>43174</v>
          </cell>
        </row>
        <row r="17964">
          <cell r="A17964">
            <v>43830</v>
          </cell>
        </row>
        <row r="17965">
          <cell r="A17965">
            <v>43226</v>
          </cell>
        </row>
        <row r="17966">
          <cell r="A17966">
            <v>43199</v>
          </cell>
        </row>
        <row r="17967">
          <cell r="A17967">
            <v>43849</v>
          </cell>
        </row>
        <row r="17968">
          <cell r="A17968">
            <v>43119</v>
          </cell>
        </row>
        <row r="17969">
          <cell r="A17969">
            <v>43850</v>
          </cell>
        </row>
        <row r="17970">
          <cell r="A17970">
            <v>43195</v>
          </cell>
        </row>
        <row r="17971">
          <cell r="A17971">
            <v>43700</v>
          </cell>
        </row>
        <row r="17972">
          <cell r="A17972">
            <v>43609</v>
          </cell>
        </row>
        <row r="17973">
          <cell r="A17973">
            <v>43637</v>
          </cell>
        </row>
        <row r="17974">
          <cell r="A17974">
            <v>43436</v>
          </cell>
        </row>
        <row r="17975">
          <cell r="A17975">
            <v>43425</v>
          </cell>
        </row>
        <row r="17976">
          <cell r="A17976">
            <v>43425</v>
          </cell>
        </row>
        <row r="17977">
          <cell r="A17977">
            <v>43465</v>
          </cell>
        </row>
        <row r="17978">
          <cell r="A17978">
            <v>43324</v>
          </cell>
        </row>
        <row r="17979">
          <cell r="A17979">
            <v>43920</v>
          </cell>
        </row>
        <row r="17980">
          <cell r="A17980">
            <v>43324</v>
          </cell>
        </row>
        <row r="17981">
          <cell r="A17981">
            <v>43111</v>
          </cell>
        </row>
        <row r="17982">
          <cell r="A17982">
            <v>43734</v>
          </cell>
        </row>
        <row r="17983">
          <cell r="A17983">
            <v>43336</v>
          </cell>
        </row>
        <row r="17984">
          <cell r="A17984">
            <v>43338</v>
          </cell>
        </row>
        <row r="17985">
          <cell r="A17985">
            <v>43892</v>
          </cell>
        </row>
        <row r="17986">
          <cell r="A17986">
            <v>43112</v>
          </cell>
        </row>
        <row r="17987">
          <cell r="A17987">
            <v>43381</v>
          </cell>
        </row>
        <row r="17988">
          <cell r="A17988">
            <v>43116</v>
          </cell>
        </row>
        <row r="17989">
          <cell r="A17989">
            <v>43485</v>
          </cell>
        </row>
        <row r="17990">
          <cell r="A17990">
            <v>43309</v>
          </cell>
        </row>
        <row r="17991">
          <cell r="A17991">
            <v>43189</v>
          </cell>
        </row>
        <row r="17992">
          <cell r="A17992">
            <v>43464</v>
          </cell>
        </row>
        <row r="17993">
          <cell r="A17993">
            <v>43508</v>
          </cell>
        </row>
        <row r="17994">
          <cell r="A17994">
            <v>43694</v>
          </cell>
        </row>
        <row r="17995">
          <cell r="A17995">
            <v>43265</v>
          </cell>
        </row>
        <row r="17996">
          <cell r="A17996">
            <v>43180</v>
          </cell>
        </row>
        <row r="17997">
          <cell r="A17997">
            <v>43914</v>
          </cell>
        </row>
        <row r="17998">
          <cell r="A17998">
            <v>43434</v>
          </cell>
        </row>
        <row r="17999">
          <cell r="A17999">
            <v>43210</v>
          </cell>
        </row>
        <row r="18000">
          <cell r="A18000">
            <v>43321</v>
          </cell>
        </row>
        <row r="18001">
          <cell r="A18001">
            <v>43764</v>
          </cell>
        </row>
        <row r="18002">
          <cell r="A18002">
            <v>43321</v>
          </cell>
        </row>
        <row r="18003">
          <cell r="A18003">
            <v>43589</v>
          </cell>
        </row>
        <row r="18004">
          <cell r="A18004">
            <v>43460</v>
          </cell>
        </row>
        <row r="18005">
          <cell r="A18005">
            <v>43710</v>
          </cell>
        </row>
        <row r="18006">
          <cell r="A18006">
            <v>43814</v>
          </cell>
        </row>
        <row r="18007">
          <cell r="A18007">
            <v>43666</v>
          </cell>
        </row>
        <row r="18008">
          <cell r="A18008">
            <v>43205</v>
          </cell>
        </row>
        <row r="18009">
          <cell r="A18009">
            <v>43846</v>
          </cell>
        </row>
        <row r="18010">
          <cell r="A18010">
            <v>43353</v>
          </cell>
        </row>
        <row r="18011">
          <cell r="A18011">
            <v>43417</v>
          </cell>
        </row>
        <row r="18012">
          <cell r="A18012">
            <v>43158</v>
          </cell>
        </row>
        <row r="18013">
          <cell r="A18013">
            <v>43768</v>
          </cell>
        </row>
        <row r="18014">
          <cell r="A18014">
            <v>43321</v>
          </cell>
        </row>
        <row r="18015">
          <cell r="A18015">
            <v>43628</v>
          </cell>
        </row>
        <row r="18016">
          <cell r="A18016">
            <v>43321</v>
          </cell>
        </row>
        <row r="18017">
          <cell r="A18017">
            <v>43720</v>
          </cell>
        </row>
        <row r="18018">
          <cell r="A18018">
            <v>43463</v>
          </cell>
        </row>
        <row r="18019">
          <cell r="A18019">
            <v>43175</v>
          </cell>
        </row>
        <row r="18020">
          <cell r="A18020">
            <v>43477</v>
          </cell>
        </row>
        <row r="18021">
          <cell r="A18021">
            <v>43656</v>
          </cell>
        </row>
        <row r="18022">
          <cell r="A18022">
            <v>43445</v>
          </cell>
        </row>
        <row r="18023">
          <cell r="A18023">
            <v>43557</v>
          </cell>
        </row>
        <row r="18024">
          <cell r="A18024">
            <v>43902</v>
          </cell>
        </row>
        <row r="18025">
          <cell r="A18025">
            <v>43683</v>
          </cell>
        </row>
        <row r="18026">
          <cell r="A18026">
            <v>43180</v>
          </cell>
        </row>
        <row r="18027">
          <cell r="A18027">
            <v>43150</v>
          </cell>
        </row>
        <row r="18028">
          <cell r="A18028">
            <v>43678</v>
          </cell>
        </row>
        <row r="18029">
          <cell r="A18029">
            <v>43612</v>
          </cell>
        </row>
        <row r="18030">
          <cell r="A18030">
            <v>43723</v>
          </cell>
        </row>
        <row r="18031">
          <cell r="A18031">
            <v>43672</v>
          </cell>
        </row>
        <row r="18032">
          <cell r="A18032">
            <v>43245</v>
          </cell>
        </row>
        <row r="18033">
          <cell r="A18033">
            <v>43412</v>
          </cell>
        </row>
        <row r="18034">
          <cell r="A18034">
            <v>43140</v>
          </cell>
        </row>
        <row r="18035">
          <cell r="A18035">
            <v>43580</v>
          </cell>
        </row>
        <row r="18036">
          <cell r="A18036">
            <v>43101</v>
          </cell>
        </row>
        <row r="18037">
          <cell r="A18037">
            <v>43546</v>
          </cell>
        </row>
        <row r="18038">
          <cell r="A18038">
            <v>43556</v>
          </cell>
        </row>
        <row r="18039">
          <cell r="A18039">
            <v>43628</v>
          </cell>
        </row>
        <row r="18040">
          <cell r="A18040">
            <v>43755</v>
          </cell>
        </row>
        <row r="18041">
          <cell r="A18041">
            <v>43423</v>
          </cell>
        </row>
        <row r="18042">
          <cell r="A18042">
            <v>43704</v>
          </cell>
        </row>
        <row r="18043">
          <cell r="A18043">
            <v>43761</v>
          </cell>
        </row>
        <row r="18044">
          <cell r="A18044">
            <v>43327</v>
          </cell>
        </row>
        <row r="18045">
          <cell r="A18045">
            <v>43721</v>
          </cell>
        </row>
        <row r="18046">
          <cell r="A18046">
            <v>43798</v>
          </cell>
        </row>
        <row r="18047">
          <cell r="A18047">
            <v>43834</v>
          </cell>
        </row>
        <row r="18048">
          <cell r="A18048">
            <v>43901</v>
          </cell>
        </row>
        <row r="18049">
          <cell r="A18049">
            <v>43723</v>
          </cell>
        </row>
        <row r="18050">
          <cell r="A18050">
            <v>43718</v>
          </cell>
        </row>
        <row r="18051">
          <cell r="A18051">
            <v>43322</v>
          </cell>
        </row>
        <row r="18052">
          <cell r="A18052">
            <v>43630</v>
          </cell>
        </row>
        <row r="18053">
          <cell r="A18053">
            <v>43436</v>
          </cell>
        </row>
        <row r="18054">
          <cell r="A18054">
            <v>43873</v>
          </cell>
        </row>
        <row r="18055">
          <cell r="A18055">
            <v>43884</v>
          </cell>
        </row>
        <row r="18056">
          <cell r="A18056">
            <v>43335</v>
          </cell>
        </row>
        <row r="18057">
          <cell r="A18057">
            <v>43820</v>
          </cell>
        </row>
        <row r="18058">
          <cell r="A18058">
            <v>43544</v>
          </cell>
        </row>
        <row r="18059">
          <cell r="A18059">
            <v>43757</v>
          </cell>
        </row>
        <row r="18060">
          <cell r="A18060">
            <v>43601</v>
          </cell>
        </row>
        <row r="18061">
          <cell r="A18061">
            <v>43612</v>
          </cell>
        </row>
        <row r="18062">
          <cell r="A18062">
            <v>43202</v>
          </cell>
        </row>
        <row r="18063">
          <cell r="A18063">
            <v>43115</v>
          </cell>
        </row>
        <row r="18064">
          <cell r="A18064">
            <v>43489</v>
          </cell>
        </row>
        <row r="18065">
          <cell r="A18065">
            <v>43407</v>
          </cell>
        </row>
        <row r="18066">
          <cell r="A18066">
            <v>43407</v>
          </cell>
        </row>
        <row r="18067">
          <cell r="A18067">
            <v>43592</v>
          </cell>
        </row>
        <row r="18068">
          <cell r="A18068">
            <v>43101</v>
          </cell>
        </row>
        <row r="18069">
          <cell r="A18069">
            <v>43648</v>
          </cell>
        </row>
        <row r="18070">
          <cell r="A18070">
            <v>43885</v>
          </cell>
        </row>
        <row r="18071">
          <cell r="A18071">
            <v>43909</v>
          </cell>
        </row>
        <row r="18072">
          <cell r="A18072">
            <v>43261</v>
          </cell>
        </row>
        <row r="18073">
          <cell r="A18073">
            <v>43836</v>
          </cell>
        </row>
        <row r="18074">
          <cell r="A18074">
            <v>43639</v>
          </cell>
        </row>
        <row r="18075">
          <cell r="A18075">
            <v>43880</v>
          </cell>
        </row>
        <row r="18076">
          <cell r="A18076">
            <v>43814</v>
          </cell>
        </row>
        <row r="18077">
          <cell r="A18077">
            <v>43736</v>
          </cell>
        </row>
        <row r="18078">
          <cell r="A18078">
            <v>43114</v>
          </cell>
        </row>
        <row r="18079">
          <cell r="A18079">
            <v>43499</v>
          </cell>
        </row>
        <row r="18080">
          <cell r="A18080">
            <v>43650</v>
          </cell>
        </row>
        <row r="18081">
          <cell r="A18081">
            <v>43599</v>
          </cell>
        </row>
        <row r="18082">
          <cell r="A18082">
            <v>43542</v>
          </cell>
        </row>
        <row r="18083">
          <cell r="A18083">
            <v>43198</v>
          </cell>
        </row>
        <row r="18084">
          <cell r="A18084">
            <v>43640</v>
          </cell>
        </row>
        <row r="18085">
          <cell r="A18085">
            <v>43550</v>
          </cell>
        </row>
        <row r="18086">
          <cell r="A18086">
            <v>43241</v>
          </cell>
        </row>
        <row r="18087">
          <cell r="A18087">
            <v>43619</v>
          </cell>
        </row>
        <row r="18088">
          <cell r="A18088">
            <v>43755</v>
          </cell>
        </row>
        <row r="18089">
          <cell r="A18089">
            <v>43430</v>
          </cell>
        </row>
        <row r="18090">
          <cell r="A18090">
            <v>43301</v>
          </cell>
        </row>
        <row r="18091">
          <cell r="A18091">
            <v>43373</v>
          </cell>
        </row>
        <row r="18092">
          <cell r="A18092">
            <v>43705</v>
          </cell>
        </row>
        <row r="18093">
          <cell r="A18093">
            <v>43870</v>
          </cell>
        </row>
        <row r="18094">
          <cell r="A18094">
            <v>43526</v>
          </cell>
        </row>
        <row r="18095">
          <cell r="A18095">
            <v>43614</v>
          </cell>
        </row>
        <row r="18096">
          <cell r="A18096">
            <v>43475</v>
          </cell>
        </row>
        <row r="18097">
          <cell r="A18097">
            <v>43495</v>
          </cell>
        </row>
        <row r="18098">
          <cell r="A18098">
            <v>43199</v>
          </cell>
        </row>
        <row r="18099">
          <cell r="A18099">
            <v>43712</v>
          </cell>
        </row>
        <row r="18100">
          <cell r="A18100">
            <v>43503</v>
          </cell>
        </row>
        <row r="18101">
          <cell r="A18101">
            <v>43202</v>
          </cell>
        </row>
        <row r="18102">
          <cell r="A18102">
            <v>43769</v>
          </cell>
        </row>
        <row r="18103">
          <cell r="A18103">
            <v>43562</v>
          </cell>
        </row>
        <row r="18104">
          <cell r="A18104">
            <v>43411</v>
          </cell>
        </row>
        <row r="18105">
          <cell r="A18105">
            <v>43315</v>
          </cell>
        </row>
        <row r="18106">
          <cell r="A18106">
            <v>43280</v>
          </cell>
        </row>
        <row r="18107">
          <cell r="A18107">
            <v>43780</v>
          </cell>
        </row>
        <row r="18108">
          <cell r="A18108">
            <v>43197</v>
          </cell>
        </row>
        <row r="18109">
          <cell r="A18109">
            <v>43496</v>
          </cell>
        </row>
        <row r="18110">
          <cell r="A18110">
            <v>43400</v>
          </cell>
        </row>
        <row r="18111">
          <cell r="A18111">
            <v>43377</v>
          </cell>
        </row>
        <row r="18112">
          <cell r="A18112">
            <v>43654</v>
          </cell>
        </row>
        <row r="18113">
          <cell r="A18113">
            <v>43401</v>
          </cell>
        </row>
        <row r="18114">
          <cell r="A18114">
            <v>43899</v>
          </cell>
        </row>
        <row r="18115">
          <cell r="A18115">
            <v>43631</v>
          </cell>
        </row>
        <row r="18116">
          <cell r="A18116">
            <v>43546</v>
          </cell>
        </row>
        <row r="18117">
          <cell r="A18117">
            <v>43663</v>
          </cell>
        </row>
        <row r="18118">
          <cell r="A18118">
            <v>43404</v>
          </cell>
        </row>
        <row r="18119">
          <cell r="A18119">
            <v>43383</v>
          </cell>
        </row>
        <row r="18120">
          <cell r="A18120">
            <v>43783</v>
          </cell>
        </row>
        <row r="18121">
          <cell r="A18121">
            <v>43416</v>
          </cell>
        </row>
        <row r="18122">
          <cell r="A18122">
            <v>43505</v>
          </cell>
        </row>
        <row r="18123">
          <cell r="A18123">
            <v>43203</v>
          </cell>
        </row>
        <row r="18124">
          <cell r="A18124">
            <v>43786</v>
          </cell>
        </row>
        <row r="18125">
          <cell r="A18125">
            <v>43276</v>
          </cell>
        </row>
        <row r="18126">
          <cell r="A18126">
            <v>43916</v>
          </cell>
        </row>
        <row r="18127">
          <cell r="A18127">
            <v>43147</v>
          </cell>
        </row>
        <row r="18128">
          <cell r="A18128">
            <v>43832</v>
          </cell>
        </row>
        <row r="18129">
          <cell r="A18129">
            <v>43553</v>
          </cell>
        </row>
        <row r="18130">
          <cell r="A18130">
            <v>43853</v>
          </cell>
        </row>
        <row r="18131">
          <cell r="A18131">
            <v>43752</v>
          </cell>
        </row>
        <row r="18132">
          <cell r="A18132">
            <v>43615</v>
          </cell>
        </row>
        <row r="18133">
          <cell r="A18133">
            <v>43676</v>
          </cell>
        </row>
        <row r="18134">
          <cell r="A18134">
            <v>43156</v>
          </cell>
        </row>
        <row r="18135">
          <cell r="A18135">
            <v>43850</v>
          </cell>
        </row>
        <row r="18136">
          <cell r="A18136">
            <v>43857</v>
          </cell>
        </row>
        <row r="18137">
          <cell r="A18137">
            <v>43519</v>
          </cell>
        </row>
        <row r="18138">
          <cell r="A18138">
            <v>43765</v>
          </cell>
        </row>
        <row r="18139">
          <cell r="A18139">
            <v>43153</v>
          </cell>
        </row>
        <row r="18140">
          <cell r="A18140">
            <v>43707</v>
          </cell>
        </row>
        <row r="18141">
          <cell r="A18141">
            <v>43653</v>
          </cell>
        </row>
        <row r="18142">
          <cell r="A18142">
            <v>43247</v>
          </cell>
        </row>
        <row r="18143">
          <cell r="A18143">
            <v>43501</v>
          </cell>
        </row>
        <row r="18144">
          <cell r="A18144">
            <v>43101</v>
          </cell>
        </row>
        <row r="18145">
          <cell r="A18145">
            <v>43585</v>
          </cell>
        </row>
        <row r="18146">
          <cell r="A18146">
            <v>43530</v>
          </cell>
        </row>
        <row r="18147">
          <cell r="A18147">
            <v>43638</v>
          </cell>
        </row>
        <row r="18148">
          <cell r="A18148">
            <v>43912</v>
          </cell>
        </row>
        <row r="18149">
          <cell r="A18149">
            <v>43383</v>
          </cell>
        </row>
        <row r="18150">
          <cell r="A18150">
            <v>43899</v>
          </cell>
        </row>
        <row r="18151">
          <cell r="A18151">
            <v>43705</v>
          </cell>
        </row>
        <row r="18152">
          <cell r="A18152">
            <v>43293</v>
          </cell>
        </row>
        <row r="18153">
          <cell r="A18153">
            <v>43362</v>
          </cell>
        </row>
        <row r="18154">
          <cell r="A18154">
            <v>43312</v>
          </cell>
        </row>
        <row r="18155">
          <cell r="A18155">
            <v>43344</v>
          </cell>
        </row>
        <row r="18156">
          <cell r="A18156">
            <v>43858</v>
          </cell>
        </row>
        <row r="18157">
          <cell r="A18157">
            <v>43661</v>
          </cell>
        </row>
        <row r="18158">
          <cell r="A18158">
            <v>43830</v>
          </cell>
        </row>
        <row r="18159">
          <cell r="A18159">
            <v>43329</v>
          </cell>
        </row>
        <row r="18160">
          <cell r="A18160">
            <v>43431</v>
          </cell>
        </row>
        <row r="18161">
          <cell r="A18161">
            <v>43312</v>
          </cell>
        </row>
        <row r="18162">
          <cell r="A18162">
            <v>43559</v>
          </cell>
        </row>
        <row r="18163">
          <cell r="A18163">
            <v>43308</v>
          </cell>
        </row>
        <row r="18164">
          <cell r="A18164">
            <v>43768</v>
          </cell>
        </row>
        <row r="18165">
          <cell r="A18165">
            <v>43908</v>
          </cell>
        </row>
        <row r="18166">
          <cell r="A18166">
            <v>43625</v>
          </cell>
        </row>
        <row r="18167">
          <cell r="A18167">
            <v>43483</v>
          </cell>
        </row>
        <row r="18168">
          <cell r="A18168">
            <v>43571</v>
          </cell>
        </row>
        <row r="18169">
          <cell r="A18169">
            <v>43111</v>
          </cell>
        </row>
        <row r="18170">
          <cell r="A18170">
            <v>43193</v>
          </cell>
        </row>
        <row r="18171">
          <cell r="A18171">
            <v>43800</v>
          </cell>
        </row>
        <row r="18172">
          <cell r="A18172">
            <v>43681</v>
          </cell>
        </row>
        <row r="18173">
          <cell r="A18173">
            <v>43210</v>
          </cell>
        </row>
        <row r="18174">
          <cell r="A18174">
            <v>43150</v>
          </cell>
        </row>
        <row r="18175">
          <cell r="A18175">
            <v>43551</v>
          </cell>
        </row>
        <row r="18176">
          <cell r="A18176">
            <v>43279</v>
          </cell>
        </row>
        <row r="18177">
          <cell r="A18177">
            <v>43718</v>
          </cell>
        </row>
        <row r="18178">
          <cell r="A18178">
            <v>43619</v>
          </cell>
        </row>
        <row r="18179">
          <cell r="A18179">
            <v>43432</v>
          </cell>
        </row>
        <row r="18180">
          <cell r="A18180">
            <v>43366</v>
          </cell>
        </row>
        <row r="18181">
          <cell r="A18181">
            <v>43277</v>
          </cell>
        </row>
        <row r="18182">
          <cell r="A18182">
            <v>43244</v>
          </cell>
        </row>
        <row r="18183">
          <cell r="A18183">
            <v>43249</v>
          </cell>
        </row>
        <row r="18184">
          <cell r="A18184">
            <v>43747</v>
          </cell>
        </row>
        <row r="18185">
          <cell r="A18185">
            <v>43226</v>
          </cell>
        </row>
        <row r="18186">
          <cell r="A18186">
            <v>43150</v>
          </cell>
        </row>
        <row r="18187">
          <cell r="A18187">
            <v>43779</v>
          </cell>
        </row>
        <row r="18188">
          <cell r="A18188">
            <v>43883</v>
          </cell>
        </row>
        <row r="18189">
          <cell r="A18189">
            <v>43575</v>
          </cell>
        </row>
        <row r="18190">
          <cell r="A18190">
            <v>43357</v>
          </cell>
        </row>
        <row r="18191">
          <cell r="A18191">
            <v>43768</v>
          </cell>
        </row>
        <row r="18192">
          <cell r="A18192">
            <v>43875</v>
          </cell>
        </row>
        <row r="18193">
          <cell r="A18193">
            <v>43412</v>
          </cell>
        </row>
        <row r="18194">
          <cell r="A18194">
            <v>43498</v>
          </cell>
        </row>
        <row r="18195">
          <cell r="A18195">
            <v>43118</v>
          </cell>
        </row>
        <row r="18196">
          <cell r="A18196">
            <v>43920</v>
          </cell>
        </row>
        <row r="18197">
          <cell r="A18197">
            <v>43261</v>
          </cell>
        </row>
        <row r="18198">
          <cell r="A18198">
            <v>43329</v>
          </cell>
        </row>
        <row r="18199">
          <cell r="A18199">
            <v>43768</v>
          </cell>
        </row>
        <row r="18200">
          <cell r="A18200">
            <v>43708</v>
          </cell>
        </row>
        <row r="18201">
          <cell r="A18201">
            <v>43548</v>
          </cell>
        </row>
        <row r="18202">
          <cell r="A18202">
            <v>43212</v>
          </cell>
        </row>
        <row r="18203">
          <cell r="A18203">
            <v>43248</v>
          </cell>
        </row>
        <row r="18204">
          <cell r="A18204">
            <v>43455</v>
          </cell>
        </row>
        <row r="18205">
          <cell r="A18205">
            <v>43573</v>
          </cell>
        </row>
        <row r="18206">
          <cell r="A18206">
            <v>43738</v>
          </cell>
        </row>
        <row r="18207">
          <cell r="A18207">
            <v>43764</v>
          </cell>
        </row>
        <row r="18208">
          <cell r="A18208">
            <v>43290</v>
          </cell>
        </row>
        <row r="18209">
          <cell r="A18209">
            <v>43581</v>
          </cell>
        </row>
        <row r="18210">
          <cell r="A18210">
            <v>43644</v>
          </cell>
        </row>
        <row r="18211">
          <cell r="A18211">
            <v>43795</v>
          </cell>
        </row>
        <row r="18212">
          <cell r="A18212">
            <v>43103</v>
          </cell>
        </row>
        <row r="18213">
          <cell r="A18213">
            <v>43261</v>
          </cell>
        </row>
        <row r="18214">
          <cell r="A18214">
            <v>43423</v>
          </cell>
        </row>
        <row r="18215">
          <cell r="A18215">
            <v>43536</v>
          </cell>
        </row>
        <row r="18216">
          <cell r="A18216">
            <v>43664</v>
          </cell>
        </row>
        <row r="18217">
          <cell r="A18217">
            <v>43289</v>
          </cell>
        </row>
        <row r="18218">
          <cell r="A18218">
            <v>43348</v>
          </cell>
        </row>
        <row r="18219">
          <cell r="A18219">
            <v>43387</v>
          </cell>
        </row>
        <row r="18220">
          <cell r="A18220">
            <v>43751</v>
          </cell>
        </row>
        <row r="18221">
          <cell r="A18221">
            <v>43195</v>
          </cell>
        </row>
        <row r="18222">
          <cell r="A18222">
            <v>43396</v>
          </cell>
        </row>
        <row r="18223">
          <cell r="A18223">
            <v>43854</v>
          </cell>
        </row>
        <row r="18224">
          <cell r="A18224">
            <v>43190</v>
          </cell>
        </row>
        <row r="18225">
          <cell r="A18225">
            <v>43199</v>
          </cell>
        </row>
        <row r="18226">
          <cell r="A18226">
            <v>43557</v>
          </cell>
        </row>
        <row r="18227">
          <cell r="A18227">
            <v>43206</v>
          </cell>
        </row>
        <row r="18228">
          <cell r="A18228">
            <v>43117</v>
          </cell>
        </row>
        <row r="18229">
          <cell r="A18229">
            <v>43445</v>
          </cell>
        </row>
        <row r="18230">
          <cell r="A18230">
            <v>43877</v>
          </cell>
        </row>
        <row r="18231">
          <cell r="A18231">
            <v>43477</v>
          </cell>
        </row>
        <row r="18232">
          <cell r="A18232">
            <v>43273</v>
          </cell>
        </row>
        <row r="18233">
          <cell r="A18233">
            <v>43869</v>
          </cell>
        </row>
        <row r="18234">
          <cell r="A18234">
            <v>43560</v>
          </cell>
        </row>
        <row r="18235">
          <cell r="A18235">
            <v>43193</v>
          </cell>
        </row>
        <row r="18236">
          <cell r="A18236">
            <v>43237</v>
          </cell>
        </row>
        <row r="18237">
          <cell r="A18237">
            <v>43471</v>
          </cell>
        </row>
        <row r="18238">
          <cell r="A18238">
            <v>43849</v>
          </cell>
        </row>
        <row r="18239">
          <cell r="A18239">
            <v>43462</v>
          </cell>
        </row>
        <row r="18240">
          <cell r="A18240">
            <v>43231</v>
          </cell>
        </row>
        <row r="18241">
          <cell r="A18241">
            <v>43884</v>
          </cell>
        </row>
        <row r="18242">
          <cell r="A18242">
            <v>43723</v>
          </cell>
        </row>
        <row r="18243">
          <cell r="A18243">
            <v>43455</v>
          </cell>
        </row>
        <row r="18244">
          <cell r="A18244">
            <v>43616</v>
          </cell>
        </row>
        <row r="18245">
          <cell r="A18245">
            <v>43274</v>
          </cell>
        </row>
        <row r="18246">
          <cell r="A18246">
            <v>43382</v>
          </cell>
        </row>
        <row r="18247">
          <cell r="A18247">
            <v>43386</v>
          </cell>
        </row>
        <row r="18248">
          <cell r="A18248">
            <v>43763</v>
          </cell>
        </row>
        <row r="18249">
          <cell r="A18249">
            <v>43339</v>
          </cell>
        </row>
        <row r="18250">
          <cell r="A18250">
            <v>43272</v>
          </cell>
        </row>
        <row r="18251">
          <cell r="A18251">
            <v>43394</v>
          </cell>
        </row>
        <row r="18252">
          <cell r="A18252">
            <v>43749</v>
          </cell>
        </row>
        <row r="18253">
          <cell r="A18253">
            <v>43760</v>
          </cell>
        </row>
        <row r="18254">
          <cell r="A18254">
            <v>43595</v>
          </cell>
        </row>
        <row r="18255">
          <cell r="A18255">
            <v>43453</v>
          </cell>
        </row>
        <row r="18256">
          <cell r="A18256">
            <v>43308</v>
          </cell>
        </row>
        <row r="18257">
          <cell r="A18257">
            <v>43475</v>
          </cell>
        </row>
        <row r="18258">
          <cell r="A18258">
            <v>43751</v>
          </cell>
        </row>
        <row r="18259">
          <cell r="A18259">
            <v>43392</v>
          </cell>
        </row>
        <row r="18260">
          <cell r="A18260">
            <v>43825</v>
          </cell>
        </row>
        <row r="18261">
          <cell r="A18261">
            <v>43789</v>
          </cell>
        </row>
        <row r="18262">
          <cell r="A18262">
            <v>43599</v>
          </cell>
        </row>
        <row r="18263">
          <cell r="A18263">
            <v>43374</v>
          </cell>
        </row>
        <row r="18264">
          <cell r="A18264">
            <v>43677</v>
          </cell>
        </row>
        <row r="18265">
          <cell r="A18265">
            <v>43428</v>
          </cell>
        </row>
        <row r="18266">
          <cell r="A18266">
            <v>43844</v>
          </cell>
        </row>
        <row r="18267">
          <cell r="A18267">
            <v>43289</v>
          </cell>
        </row>
        <row r="18268">
          <cell r="A18268">
            <v>43781</v>
          </cell>
        </row>
        <row r="18269">
          <cell r="A18269">
            <v>43545</v>
          </cell>
        </row>
        <row r="18270">
          <cell r="A18270">
            <v>43673</v>
          </cell>
        </row>
        <row r="18271">
          <cell r="A18271">
            <v>43815</v>
          </cell>
        </row>
        <row r="18272">
          <cell r="A18272">
            <v>43111</v>
          </cell>
        </row>
        <row r="18273">
          <cell r="A18273">
            <v>43596</v>
          </cell>
        </row>
        <row r="18274">
          <cell r="A18274">
            <v>43164</v>
          </cell>
        </row>
        <row r="18275">
          <cell r="A18275">
            <v>43749</v>
          </cell>
        </row>
        <row r="18276">
          <cell r="A18276">
            <v>43330</v>
          </cell>
        </row>
        <row r="18277">
          <cell r="A18277">
            <v>43126</v>
          </cell>
        </row>
        <row r="18278">
          <cell r="A18278">
            <v>43863</v>
          </cell>
        </row>
        <row r="18279">
          <cell r="A18279">
            <v>43297</v>
          </cell>
        </row>
        <row r="18280">
          <cell r="A18280">
            <v>43509</v>
          </cell>
        </row>
        <row r="18281">
          <cell r="A18281">
            <v>43220</v>
          </cell>
        </row>
        <row r="18282">
          <cell r="A18282">
            <v>43385</v>
          </cell>
        </row>
        <row r="18283">
          <cell r="A18283">
            <v>43299</v>
          </cell>
        </row>
        <row r="18284">
          <cell r="A18284">
            <v>43731</v>
          </cell>
        </row>
        <row r="18285">
          <cell r="A18285">
            <v>43765</v>
          </cell>
        </row>
        <row r="18286">
          <cell r="A18286">
            <v>43388</v>
          </cell>
        </row>
        <row r="18287">
          <cell r="A18287">
            <v>43608</v>
          </cell>
        </row>
        <row r="18288">
          <cell r="A18288">
            <v>43789</v>
          </cell>
        </row>
        <row r="18289">
          <cell r="A18289">
            <v>43746</v>
          </cell>
        </row>
        <row r="18290">
          <cell r="A18290">
            <v>43731</v>
          </cell>
        </row>
        <row r="18291">
          <cell r="A18291">
            <v>43722</v>
          </cell>
        </row>
        <row r="18292">
          <cell r="A18292">
            <v>43336</v>
          </cell>
        </row>
        <row r="18293">
          <cell r="A18293">
            <v>43696</v>
          </cell>
        </row>
        <row r="18294">
          <cell r="A18294">
            <v>43278</v>
          </cell>
        </row>
        <row r="18295">
          <cell r="A18295">
            <v>43742</v>
          </cell>
        </row>
        <row r="18296">
          <cell r="A18296">
            <v>43373</v>
          </cell>
        </row>
        <row r="18297">
          <cell r="A18297">
            <v>43492</v>
          </cell>
        </row>
        <row r="18298">
          <cell r="A18298">
            <v>43339</v>
          </cell>
        </row>
        <row r="18299">
          <cell r="A18299">
            <v>43488</v>
          </cell>
        </row>
        <row r="18300">
          <cell r="A18300">
            <v>43163</v>
          </cell>
        </row>
        <row r="18301">
          <cell r="A18301">
            <v>43256</v>
          </cell>
        </row>
        <row r="18302">
          <cell r="A18302">
            <v>43179</v>
          </cell>
        </row>
        <row r="18303">
          <cell r="A18303">
            <v>43737</v>
          </cell>
        </row>
        <row r="18304">
          <cell r="A18304">
            <v>43731</v>
          </cell>
        </row>
        <row r="18305">
          <cell r="A18305">
            <v>43376</v>
          </cell>
        </row>
        <row r="18306">
          <cell r="A18306">
            <v>43292</v>
          </cell>
        </row>
        <row r="18307">
          <cell r="A18307">
            <v>43589</v>
          </cell>
        </row>
        <row r="18308">
          <cell r="A18308">
            <v>43437</v>
          </cell>
        </row>
        <row r="18309">
          <cell r="A18309">
            <v>43248</v>
          </cell>
        </row>
        <row r="18310">
          <cell r="A18310">
            <v>43145</v>
          </cell>
        </row>
        <row r="18311">
          <cell r="A18311">
            <v>43392</v>
          </cell>
        </row>
        <row r="18312">
          <cell r="A18312">
            <v>43508</v>
          </cell>
        </row>
        <row r="18313">
          <cell r="A18313">
            <v>43713</v>
          </cell>
        </row>
        <row r="18314">
          <cell r="A18314">
            <v>43118</v>
          </cell>
        </row>
        <row r="18315">
          <cell r="A18315">
            <v>43842</v>
          </cell>
        </row>
        <row r="18316">
          <cell r="A18316">
            <v>43359</v>
          </cell>
        </row>
        <row r="18317">
          <cell r="A18317">
            <v>43167</v>
          </cell>
        </row>
        <row r="18318">
          <cell r="A18318">
            <v>43416</v>
          </cell>
        </row>
        <row r="18319">
          <cell r="A18319">
            <v>43168</v>
          </cell>
        </row>
        <row r="18320">
          <cell r="A18320">
            <v>43459</v>
          </cell>
        </row>
        <row r="18321">
          <cell r="A18321">
            <v>43125</v>
          </cell>
        </row>
        <row r="18322">
          <cell r="A18322">
            <v>43781</v>
          </cell>
        </row>
        <row r="18323">
          <cell r="A18323">
            <v>43248</v>
          </cell>
        </row>
        <row r="18324">
          <cell r="A18324">
            <v>43528</v>
          </cell>
        </row>
        <row r="18325">
          <cell r="A18325">
            <v>43348</v>
          </cell>
        </row>
        <row r="18326">
          <cell r="A18326">
            <v>43653</v>
          </cell>
        </row>
        <row r="18327">
          <cell r="A18327">
            <v>43435</v>
          </cell>
        </row>
        <row r="18328">
          <cell r="A18328">
            <v>43436</v>
          </cell>
        </row>
        <row r="18329">
          <cell r="A18329">
            <v>43425</v>
          </cell>
        </row>
        <row r="18330">
          <cell r="A18330">
            <v>43702</v>
          </cell>
        </row>
        <row r="18331">
          <cell r="A18331">
            <v>43459</v>
          </cell>
        </row>
        <row r="18332">
          <cell r="A18332">
            <v>43260</v>
          </cell>
        </row>
        <row r="18333">
          <cell r="A18333">
            <v>43338</v>
          </cell>
        </row>
        <row r="18334">
          <cell r="A18334">
            <v>43881</v>
          </cell>
        </row>
        <row r="18335">
          <cell r="A18335">
            <v>43886</v>
          </cell>
        </row>
        <row r="18336">
          <cell r="A18336">
            <v>43858</v>
          </cell>
        </row>
        <row r="18337">
          <cell r="A18337">
            <v>43835</v>
          </cell>
        </row>
        <row r="18338">
          <cell r="A18338">
            <v>43680</v>
          </cell>
        </row>
        <row r="18339">
          <cell r="A18339">
            <v>43157</v>
          </cell>
        </row>
        <row r="18340">
          <cell r="A18340">
            <v>43773</v>
          </cell>
        </row>
        <row r="18341">
          <cell r="A18341">
            <v>43133</v>
          </cell>
        </row>
        <row r="18342">
          <cell r="A18342">
            <v>43172</v>
          </cell>
        </row>
        <row r="18343">
          <cell r="A18343">
            <v>43895</v>
          </cell>
        </row>
        <row r="18344">
          <cell r="A18344">
            <v>43545</v>
          </cell>
        </row>
        <row r="18345">
          <cell r="A18345">
            <v>43233</v>
          </cell>
        </row>
        <row r="18346">
          <cell r="A18346">
            <v>43271</v>
          </cell>
        </row>
        <row r="18347">
          <cell r="A18347">
            <v>43389</v>
          </cell>
        </row>
        <row r="18348">
          <cell r="A18348">
            <v>43831</v>
          </cell>
        </row>
        <row r="18349">
          <cell r="A18349">
            <v>43706</v>
          </cell>
        </row>
        <row r="18350">
          <cell r="A18350">
            <v>43294</v>
          </cell>
        </row>
        <row r="18351">
          <cell r="A18351">
            <v>43115</v>
          </cell>
        </row>
        <row r="18352">
          <cell r="A18352">
            <v>43142</v>
          </cell>
        </row>
        <row r="18353">
          <cell r="A18353">
            <v>43585</v>
          </cell>
        </row>
        <row r="18354">
          <cell r="A18354">
            <v>43262</v>
          </cell>
        </row>
        <row r="18355">
          <cell r="A18355">
            <v>43896</v>
          </cell>
        </row>
        <row r="18356">
          <cell r="A18356">
            <v>43505</v>
          </cell>
        </row>
        <row r="18357">
          <cell r="A18357">
            <v>43801</v>
          </cell>
        </row>
        <row r="18358">
          <cell r="A18358">
            <v>43722</v>
          </cell>
        </row>
        <row r="18359">
          <cell r="A18359">
            <v>43185</v>
          </cell>
        </row>
        <row r="18360">
          <cell r="A18360">
            <v>43132</v>
          </cell>
        </row>
        <row r="18361">
          <cell r="A18361">
            <v>43668</v>
          </cell>
        </row>
        <row r="18362">
          <cell r="A18362">
            <v>43852</v>
          </cell>
        </row>
        <row r="18363">
          <cell r="A18363">
            <v>43157</v>
          </cell>
        </row>
        <row r="18364">
          <cell r="A18364">
            <v>43305</v>
          </cell>
        </row>
        <row r="18365">
          <cell r="A18365">
            <v>43466</v>
          </cell>
        </row>
        <row r="18366">
          <cell r="A18366">
            <v>43697</v>
          </cell>
        </row>
        <row r="18367">
          <cell r="A18367">
            <v>43745</v>
          </cell>
        </row>
        <row r="18368">
          <cell r="A18368">
            <v>43736</v>
          </cell>
        </row>
        <row r="18369">
          <cell r="A18369">
            <v>43596</v>
          </cell>
        </row>
        <row r="18370">
          <cell r="A18370">
            <v>43672</v>
          </cell>
        </row>
        <row r="18371">
          <cell r="A18371">
            <v>43319</v>
          </cell>
        </row>
        <row r="18372">
          <cell r="A18372">
            <v>43782</v>
          </cell>
        </row>
        <row r="18373">
          <cell r="A18373">
            <v>43221</v>
          </cell>
        </row>
        <row r="18374">
          <cell r="A18374">
            <v>43888</v>
          </cell>
        </row>
        <row r="18375">
          <cell r="A18375">
            <v>43165</v>
          </cell>
        </row>
        <row r="18376">
          <cell r="A18376">
            <v>43872</v>
          </cell>
        </row>
        <row r="18377">
          <cell r="A18377">
            <v>43603</v>
          </cell>
        </row>
        <row r="18378">
          <cell r="A18378">
            <v>43330</v>
          </cell>
        </row>
        <row r="18379">
          <cell r="A18379">
            <v>43463</v>
          </cell>
        </row>
        <row r="18380">
          <cell r="A18380">
            <v>43725</v>
          </cell>
        </row>
        <row r="18381">
          <cell r="A18381">
            <v>43457</v>
          </cell>
        </row>
        <row r="18382">
          <cell r="A18382">
            <v>43790</v>
          </cell>
        </row>
        <row r="18383">
          <cell r="A18383">
            <v>43674</v>
          </cell>
        </row>
        <row r="18384">
          <cell r="A18384">
            <v>43431</v>
          </cell>
        </row>
        <row r="18385">
          <cell r="A18385">
            <v>43476</v>
          </cell>
        </row>
        <row r="18386">
          <cell r="A18386">
            <v>43329</v>
          </cell>
        </row>
        <row r="18387">
          <cell r="A18387">
            <v>43551</v>
          </cell>
        </row>
        <row r="18388">
          <cell r="A18388">
            <v>43510</v>
          </cell>
        </row>
        <row r="18389">
          <cell r="A18389">
            <v>43380</v>
          </cell>
        </row>
        <row r="18390">
          <cell r="A18390">
            <v>43222</v>
          </cell>
        </row>
        <row r="18391">
          <cell r="A18391">
            <v>43327</v>
          </cell>
        </row>
        <row r="18392">
          <cell r="A18392">
            <v>43384</v>
          </cell>
        </row>
        <row r="18393">
          <cell r="A18393">
            <v>43530</v>
          </cell>
        </row>
        <row r="18394">
          <cell r="A18394">
            <v>43773</v>
          </cell>
        </row>
        <row r="18395">
          <cell r="A18395">
            <v>43696</v>
          </cell>
        </row>
        <row r="18396">
          <cell r="A18396">
            <v>43909</v>
          </cell>
        </row>
        <row r="18397">
          <cell r="A18397">
            <v>43838</v>
          </cell>
        </row>
        <row r="18398">
          <cell r="A18398">
            <v>43440</v>
          </cell>
        </row>
        <row r="18399">
          <cell r="A18399">
            <v>43637</v>
          </cell>
        </row>
        <row r="18400">
          <cell r="A18400">
            <v>43682</v>
          </cell>
        </row>
        <row r="18401">
          <cell r="A18401">
            <v>43658</v>
          </cell>
        </row>
        <row r="18402">
          <cell r="A18402">
            <v>43844</v>
          </cell>
        </row>
        <row r="18403">
          <cell r="A18403">
            <v>43460</v>
          </cell>
        </row>
        <row r="18404">
          <cell r="A18404">
            <v>43163</v>
          </cell>
        </row>
        <row r="18405">
          <cell r="A18405">
            <v>43564</v>
          </cell>
        </row>
        <row r="18406">
          <cell r="A18406">
            <v>43192</v>
          </cell>
        </row>
        <row r="18407">
          <cell r="A18407">
            <v>43607</v>
          </cell>
        </row>
        <row r="18408">
          <cell r="A18408">
            <v>43575</v>
          </cell>
        </row>
        <row r="18409">
          <cell r="A18409">
            <v>43858</v>
          </cell>
        </row>
        <row r="18410">
          <cell r="A18410">
            <v>43885</v>
          </cell>
        </row>
        <row r="18411">
          <cell r="A18411">
            <v>43830</v>
          </cell>
        </row>
        <row r="18412">
          <cell r="A18412">
            <v>43128</v>
          </cell>
        </row>
        <row r="18413">
          <cell r="A18413">
            <v>43343</v>
          </cell>
        </row>
        <row r="18414">
          <cell r="A18414">
            <v>43560</v>
          </cell>
        </row>
        <row r="18415">
          <cell r="A18415">
            <v>43107</v>
          </cell>
        </row>
        <row r="18416">
          <cell r="A18416">
            <v>43184</v>
          </cell>
        </row>
        <row r="18417">
          <cell r="A18417">
            <v>43838</v>
          </cell>
        </row>
        <row r="18418">
          <cell r="A18418">
            <v>43241</v>
          </cell>
        </row>
        <row r="18419">
          <cell r="A18419">
            <v>43659</v>
          </cell>
        </row>
        <row r="18420">
          <cell r="A18420">
            <v>43151</v>
          </cell>
        </row>
        <row r="18421">
          <cell r="A18421">
            <v>43277</v>
          </cell>
        </row>
        <row r="18422">
          <cell r="A18422">
            <v>43701</v>
          </cell>
        </row>
        <row r="18423">
          <cell r="A18423">
            <v>43190</v>
          </cell>
        </row>
        <row r="18424">
          <cell r="A18424">
            <v>43349</v>
          </cell>
        </row>
        <row r="18425">
          <cell r="A18425">
            <v>43716</v>
          </cell>
        </row>
        <row r="18426">
          <cell r="A18426">
            <v>43721</v>
          </cell>
        </row>
        <row r="18427">
          <cell r="A18427">
            <v>43600</v>
          </cell>
        </row>
        <row r="18428">
          <cell r="A18428">
            <v>43844</v>
          </cell>
        </row>
        <row r="18429">
          <cell r="A18429">
            <v>43253</v>
          </cell>
        </row>
        <row r="18430">
          <cell r="A18430">
            <v>43590</v>
          </cell>
        </row>
        <row r="18431">
          <cell r="A18431">
            <v>43531</v>
          </cell>
        </row>
        <row r="18432">
          <cell r="A18432">
            <v>43845</v>
          </cell>
        </row>
        <row r="18433">
          <cell r="A18433">
            <v>43516</v>
          </cell>
        </row>
        <row r="18434">
          <cell r="A18434">
            <v>43213</v>
          </cell>
        </row>
        <row r="18435">
          <cell r="A18435">
            <v>43260</v>
          </cell>
        </row>
        <row r="18436">
          <cell r="A18436">
            <v>43577</v>
          </cell>
        </row>
        <row r="18437">
          <cell r="A18437">
            <v>43126</v>
          </cell>
        </row>
        <row r="18438">
          <cell r="A18438">
            <v>43416</v>
          </cell>
        </row>
        <row r="18439">
          <cell r="A18439">
            <v>43603</v>
          </cell>
        </row>
        <row r="18440">
          <cell r="A18440">
            <v>43790</v>
          </cell>
        </row>
        <row r="18441">
          <cell r="A18441">
            <v>43868</v>
          </cell>
        </row>
        <row r="18442">
          <cell r="A18442">
            <v>43465</v>
          </cell>
        </row>
        <row r="18443">
          <cell r="A18443">
            <v>43341</v>
          </cell>
        </row>
        <row r="18444">
          <cell r="A18444">
            <v>43137</v>
          </cell>
        </row>
        <row r="18445">
          <cell r="A18445">
            <v>43168</v>
          </cell>
        </row>
        <row r="18446">
          <cell r="A18446">
            <v>43385</v>
          </cell>
        </row>
        <row r="18447">
          <cell r="A18447">
            <v>43654</v>
          </cell>
        </row>
        <row r="18448">
          <cell r="A18448">
            <v>43825</v>
          </cell>
        </row>
        <row r="18449">
          <cell r="A18449">
            <v>43365</v>
          </cell>
        </row>
        <row r="18450">
          <cell r="A18450">
            <v>43681</v>
          </cell>
        </row>
        <row r="18451">
          <cell r="A18451">
            <v>43638</v>
          </cell>
        </row>
        <row r="18452">
          <cell r="A18452">
            <v>43393</v>
          </cell>
        </row>
        <row r="18453">
          <cell r="A18453">
            <v>43179</v>
          </cell>
        </row>
        <row r="18454">
          <cell r="A18454">
            <v>43142</v>
          </cell>
        </row>
        <row r="18455">
          <cell r="A18455">
            <v>43795</v>
          </cell>
        </row>
        <row r="18456">
          <cell r="A18456">
            <v>43359</v>
          </cell>
        </row>
        <row r="18457">
          <cell r="A18457">
            <v>43576</v>
          </cell>
        </row>
        <row r="18458">
          <cell r="A18458">
            <v>43196</v>
          </cell>
        </row>
        <row r="18459">
          <cell r="A18459">
            <v>43190</v>
          </cell>
        </row>
        <row r="18460">
          <cell r="A18460">
            <v>43218</v>
          </cell>
        </row>
        <row r="18461">
          <cell r="A18461">
            <v>43466</v>
          </cell>
        </row>
        <row r="18462">
          <cell r="A18462">
            <v>43878</v>
          </cell>
        </row>
        <row r="18463">
          <cell r="A18463">
            <v>43248</v>
          </cell>
        </row>
        <row r="18464">
          <cell r="A18464">
            <v>43859</v>
          </cell>
        </row>
        <row r="18465">
          <cell r="A18465">
            <v>43462</v>
          </cell>
        </row>
        <row r="18466">
          <cell r="A18466">
            <v>43773</v>
          </cell>
        </row>
        <row r="18467">
          <cell r="A18467">
            <v>43148</v>
          </cell>
        </row>
        <row r="18468">
          <cell r="A18468">
            <v>43223</v>
          </cell>
        </row>
        <row r="18469">
          <cell r="A18469">
            <v>43358</v>
          </cell>
        </row>
        <row r="18470">
          <cell r="A18470">
            <v>43309</v>
          </cell>
        </row>
        <row r="18471">
          <cell r="A18471">
            <v>43800</v>
          </cell>
        </row>
        <row r="18472">
          <cell r="A18472">
            <v>43866</v>
          </cell>
        </row>
        <row r="18473">
          <cell r="A18473">
            <v>43267</v>
          </cell>
        </row>
        <row r="18474">
          <cell r="A18474">
            <v>43572</v>
          </cell>
        </row>
        <row r="18475">
          <cell r="A18475">
            <v>43415</v>
          </cell>
        </row>
        <row r="18476">
          <cell r="A18476">
            <v>43566</v>
          </cell>
        </row>
        <row r="18477">
          <cell r="A18477">
            <v>43377</v>
          </cell>
        </row>
        <row r="18478">
          <cell r="A18478">
            <v>43369</v>
          </cell>
        </row>
        <row r="18479">
          <cell r="A18479">
            <v>43619</v>
          </cell>
        </row>
        <row r="18480">
          <cell r="A18480">
            <v>43256</v>
          </cell>
        </row>
        <row r="18481">
          <cell r="A18481">
            <v>43225</v>
          </cell>
        </row>
        <row r="18482">
          <cell r="A18482">
            <v>43876</v>
          </cell>
        </row>
        <row r="18483">
          <cell r="A18483">
            <v>43215</v>
          </cell>
        </row>
        <row r="18484">
          <cell r="A18484">
            <v>43829</v>
          </cell>
        </row>
        <row r="18485">
          <cell r="A18485">
            <v>43734</v>
          </cell>
        </row>
        <row r="18486">
          <cell r="A18486">
            <v>43207</v>
          </cell>
        </row>
        <row r="18487">
          <cell r="A18487">
            <v>43118</v>
          </cell>
        </row>
        <row r="18488">
          <cell r="A18488">
            <v>43700</v>
          </cell>
        </row>
        <row r="18489">
          <cell r="A18489">
            <v>43839</v>
          </cell>
        </row>
        <row r="18490">
          <cell r="A18490">
            <v>43537</v>
          </cell>
        </row>
        <row r="18491">
          <cell r="A18491">
            <v>43101</v>
          </cell>
        </row>
        <row r="18492">
          <cell r="A18492">
            <v>43374</v>
          </cell>
        </row>
        <row r="18493">
          <cell r="A18493">
            <v>43405</v>
          </cell>
        </row>
        <row r="18494">
          <cell r="A18494">
            <v>43311</v>
          </cell>
        </row>
        <row r="18495">
          <cell r="A18495">
            <v>43622</v>
          </cell>
        </row>
        <row r="18496">
          <cell r="A18496">
            <v>43200</v>
          </cell>
        </row>
        <row r="18497">
          <cell r="A18497">
            <v>43257</v>
          </cell>
        </row>
        <row r="18498">
          <cell r="A18498">
            <v>43208</v>
          </cell>
        </row>
        <row r="18499">
          <cell r="A18499">
            <v>43350</v>
          </cell>
        </row>
        <row r="18500">
          <cell r="A18500">
            <v>43478</v>
          </cell>
        </row>
        <row r="18501">
          <cell r="A18501">
            <v>43475</v>
          </cell>
        </row>
        <row r="18502">
          <cell r="A18502">
            <v>43552</v>
          </cell>
        </row>
        <row r="18503">
          <cell r="A18503">
            <v>43668</v>
          </cell>
        </row>
        <row r="18504">
          <cell r="A18504">
            <v>43405</v>
          </cell>
        </row>
        <row r="18505">
          <cell r="A18505">
            <v>43145</v>
          </cell>
        </row>
        <row r="18506">
          <cell r="A18506">
            <v>43104</v>
          </cell>
        </row>
        <row r="18507">
          <cell r="A18507">
            <v>43655</v>
          </cell>
        </row>
        <row r="18508">
          <cell r="A18508">
            <v>43527</v>
          </cell>
        </row>
        <row r="18509">
          <cell r="A18509">
            <v>43877</v>
          </cell>
        </row>
        <row r="18510">
          <cell r="A18510">
            <v>43182</v>
          </cell>
        </row>
        <row r="18511">
          <cell r="A18511">
            <v>43828</v>
          </cell>
        </row>
        <row r="18512">
          <cell r="A18512">
            <v>43286</v>
          </cell>
        </row>
        <row r="18513">
          <cell r="A18513">
            <v>43789</v>
          </cell>
        </row>
        <row r="18514">
          <cell r="A18514">
            <v>43390</v>
          </cell>
        </row>
        <row r="18515">
          <cell r="A18515">
            <v>43485</v>
          </cell>
        </row>
        <row r="18516">
          <cell r="A18516">
            <v>43618</v>
          </cell>
        </row>
        <row r="18517">
          <cell r="A18517">
            <v>43442</v>
          </cell>
        </row>
        <row r="18518">
          <cell r="A18518">
            <v>43431</v>
          </cell>
        </row>
        <row r="18519">
          <cell r="A18519">
            <v>43318</v>
          </cell>
        </row>
        <row r="18520">
          <cell r="A18520">
            <v>43255</v>
          </cell>
        </row>
        <row r="18521">
          <cell r="A18521">
            <v>43481</v>
          </cell>
        </row>
        <row r="18522">
          <cell r="A18522">
            <v>43514</v>
          </cell>
        </row>
        <row r="18523">
          <cell r="A18523">
            <v>43746</v>
          </cell>
        </row>
        <row r="18524">
          <cell r="A18524">
            <v>43500</v>
          </cell>
        </row>
        <row r="18525">
          <cell r="A18525">
            <v>43521</v>
          </cell>
        </row>
        <row r="18526">
          <cell r="A18526">
            <v>43473</v>
          </cell>
        </row>
        <row r="18527">
          <cell r="A18527">
            <v>43199</v>
          </cell>
        </row>
        <row r="18528">
          <cell r="A18528">
            <v>43470</v>
          </cell>
        </row>
        <row r="18529">
          <cell r="A18529">
            <v>43744</v>
          </cell>
        </row>
        <row r="18530">
          <cell r="A18530">
            <v>43546</v>
          </cell>
        </row>
        <row r="18531">
          <cell r="A18531">
            <v>43621</v>
          </cell>
        </row>
        <row r="18532">
          <cell r="A18532">
            <v>43487</v>
          </cell>
        </row>
        <row r="18533">
          <cell r="A18533">
            <v>43249</v>
          </cell>
        </row>
        <row r="18534">
          <cell r="A18534">
            <v>43328</v>
          </cell>
        </row>
        <row r="18535">
          <cell r="A18535">
            <v>43297</v>
          </cell>
        </row>
        <row r="18536">
          <cell r="A18536">
            <v>43248</v>
          </cell>
        </row>
        <row r="18537">
          <cell r="A18537">
            <v>43206</v>
          </cell>
        </row>
        <row r="18538">
          <cell r="A18538">
            <v>43724</v>
          </cell>
        </row>
        <row r="18539">
          <cell r="A18539">
            <v>43370</v>
          </cell>
        </row>
        <row r="18540">
          <cell r="A18540">
            <v>43742</v>
          </cell>
        </row>
        <row r="18541">
          <cell r="A18541">
            <v>43380</v>
          </cell>
        </row>
        <row r="18542">
          <cell r="A18542">
            <v>43541</v>
          </cell>
        </row>
        <row r="18543">
          <cell r="A18543">
            <v>43315</v>
          </cell>
        </row>
        <row r="18544">
          <cell r="A18544">
            <v>43307</v>
          </cell>
        </row>
        <row r="18545">
          <cell r="A18545">
            <v>43111</v>
          </cell>
        </row>
        <row r="18546">
          <cell r="A18546">
            <v>43664</v>
          </cell>
        </row>
        <row r="18547">
          <cell r="A18547">
            <v>43712</v>
          </cell>
        </row>
        <row r="18548">
          <cell r="A18548">
            <v>43850</v>
          </cell>
        </row>
        <row r="18549">
          <cell r="A18549">
            <v>43568</v>
          </cell>
        </row>
        <row r="18550">
          <cell r="A18550">
            <v>43318</v>
          </cell>
        </row>
        <row r="18551">
          <cell r="A18551">
            <v>43859</v>
          </cell>
        </row>
        <row r="18552">
          <cell r="A18552">
            <v>43570</v>
          </cell>
        </row>
        <row r="18553">
          <cell r="A18553">
            <v>43603</v>
          </cell>
        </row>
        <row r="18554">
          <cell r="A18554">
            <v>43392</v>
          </cell>
        </row>
        <row r="18555">
          <cell r="A18555">
            <v>43161</v>
          </cell>
        </row>
        <row r="18556">
          <cell r="A18556">
            <v>43199</v>
          </cell>
        </row>
        <row r="18557">
          <cell r="A18557">
            <v>43191</v>
          </cell>
        </row>
        <row r="18558">
          <cell r="A18558">
            <v>43491</v>
          </cell>
        </row>
        <row r="18559">
          <cell r="A18559">
            <v>43104</v>
          </cell>
        </row>
        <row r="18560">
          <cell r="A18560">
            <v>43165</v>
          </cell>
        </row>
        <row r="18561">
          <cell r="A18561">
            <v>43220</v>
          </cell>
        </row>
        <row r="18562">
          <cell r="A18562">
            <v>43234</v>
          </cell>
        </row>
        <row r="18563">
          <cell r="A18563">
            <v>43217</v>
          </cell>
        </row>
        <row r="18564">
          <cell r="A18564">
            <v>43656</v>
          </cell>
        </row>
        <row r="18565">
          <cell r="A18565">
            <v>43162</v>
          </cell>
        </row>
        <row r="18566">
          <cell r="A18566">
            <v>43196</v>
          </cell>
        </row>
        <row r="18567">
          <cell r="A18567">
            <v>43836</v>
          </cell>
        </row>
        <row r="18568">
          <cell r="A18568">
            <v>43235</v>
          </cell>
        </row>
        <row r="18569">
          <cell r="A18569">
            <v>43384</v>
          </cell>
        </row>
        <row r="18570">
          <cell r="A18570">
            <v>43377</v>
          </cell>
        </row>
        <row r="18571">
          <cell r="A18571">
            <v>43242</v>
          </cell>
        </row>
        <row r="18572">
          <cell r="A18572">
            <v>43571</v>
          </cell>
        </row>
        <row r="18573">
          <cell r="A18573">
            <v>43119</v>
          </cell>
        </row>
        <row r="18574">
          <cell r="A18574">
            <v>43725</v>
          </cell>
        </row>
        <row r="18575">
          <cell r="A18575">
            <v>43647</v>
          </cell>
        </row>
        <row r="18576">
          <cell r="A18576">
            <v>43790</v>
          </cell>
        </row>
        <row r="18577">
          <cell r="A18577">
            <v>43773</v>
          </cell>
        </row>
        <row r="18578">
          <cell r="A18578">
            <v>43518</v>
          </cell>
        </row>
        <row r="18579">
          <cell r="A18579">
            <v>43390</v>
          </cell>
        </row>
        <row r="18580">
          <cell r="A18580">
            <v>43436</v>
          </cell>
        </row>
        <row r="18581">
          <cell r="A18581">
            <v>43843</v>
          </cell>
        </row>
        <row r="18582">
          <cell r="A18582">
            <v>43860</v>
          </cell>
        </row>
        <row r="18583">
          <cell r="A18583">
            <v>43232</v>
          </cell>
        </row>
        <row r="18584">
          <cell r="A18584">
            <v>43246</v>
          </cell>
        </row>
        <row r="18585">
          <cell r="A18585">
            <v>43111</v>
          </cell>
        </row>
        <row r="18586">
          <cell r="A18586">
            <v>43317</v>
          </cell>
        </row>
        <row r="18587">
          <cell r="A18587">
            <v>43477</v>
          </cell>
        </row>
        <row r="18588">
          <cell r="A18588">
            <v>43139</v>
          </cell>
        </row>
        <row r="18589">
          <cell r="A18589">
            <v>43888</v>
          </cell>
        </row>
        <row r="18590">
          <cell r="A18590">
            <v>43534</v>
          </cell>
        </row>
        <row r="18591">
          <cell r="A18591">
            <v>43325</v>
          </cell>
        </row>
        <row r="18592">
          <cell r="A18592">
            <v>43288</v>
          </cell>
        </row>
        <row r="18593">
          <cell r="A18593">
            <v>43720</v>
          </cell>
        </row>
        <row r="18594">
          <cell r="A18594">
            <v>43401</v>
          </cell>
        </row>
        <row r="18595">
          <cell r="A18595">
            <v>43411</v>
          </cell>
        </row>
        <row r="18596">
          <cell r="A18596">
            <v>43436</v>
          </cell>
        </row>
        <row r="18597">
          <cell r="A18597">
            <v>43291</v>
          </cell>
        </row>
        <row r="18598">
          <cell r="A18598">
            <v>43735</v>
          </cell>
        </row>
        <row r="18599">
          <cell r="A18599">
            <v>43598</v>
          </cell>
        </row>
        <row r="18600">
          <cell r="A18600">
            <v>43368</v>
          </cell>
        </row>
        <row r="18601">
          <cell r="A18601">
            <v>43159</v>
          </cell>
        </row>
        <row r="18602">
          <cell r="A18602">
            <v>43698</v>
          </cell>
        </row>
        <row r="18603">
          <cell r="A18603">
            <v>43566</v>
          </cell>
        </row>
        <row r="18604">
          <cell r="A18604">
            <v>43786</v>
          </cell>
        </row>
        <row r="18605">
          <cell r="A18605">
            <v>43178</v>
          </cell>
        </row>
        <row r="18606">
          <cell r="A18606">
            <v>43803</v>
          </cell>
        </row>
        <row r="18607">
          <cell r="A18607">
            <v>43140</v>
          </cell>
        </row>
        <row r="18608">
          <cell r="A18608">
            <v>43399</v>
          </cell>
        </row>
        <row r="18609">
          <cell r="A18609">
            <v>43165</v>
          </cell>
        </row>
        <row r="18610">
          <cell r="A18610">
            <v>43700</v>
          </cell>
        </row>
        <row r="18611">
          <cell r="A18611">
            <v>43303</v>
          </cell>
        </row>
        <row r="18612">
          <cell r="A18612">
            <v>43626</v>
          </cell>
        </row>
        <row r="18613">
          <cell r="A18613">
            <v>43538</v>
          </cell>
        </row>
        <row r="18614">
          <cell r="A18614">
            <v>43344</v>
          </cell>
        </row>
        <row r="18615">
          <cell r="A18615">
            <v>43549</v>
          </cell>
        </row>
        <row r="18616">
          <cell r="A18616">
            <v>43227</v>
          </cell>
        </row>
        <row r="18617">
          <cell r="A18617">
            <v>43434</v>
          </cell>
        </row>
        <row r="18618">
          <cell r="A18618">
            <v>43709</v>
          </cell>
        </row>
        <row r="18619">
          <cell r="A18619">
            <v>43868</v>
          </cell>
        </row>
        <row r="18620">
          <cell r="A18620">
            <v>43234</v>
          </cell>
        </row>
        <row r="18621">
          <cell r="A18621">
            <v>43913</v>
          </cell>
        </row>
        <row r="18622">
          <cell r="A18622">
            <v>43511</v>
          </cell>
        </row>
        <row r="18623">
          <cell r="A18623">
            <v>43787</v>
          </cell>
        </row>
        <row r="18624">
          <cell r="A18624">
            <v>43598</v>
          </cell>
        </row>
        <row r="18625">
          <cell r="A18625">
            <v>43468</v>
          </cell>
        </row>
        <row r="18626">
          <cell r="A18626">
            <v>43772</v>
          </cell>
        </row>
        <row r="18627">
          <cell r="A18627">
            <v>43490</v>
          </cell>
        </row>
        <row r="18628">
          <cell r="A18628">
            <v>43447</v>
          </cell>
        </row>
        <row r="18629">
          <cell r="A18629">
            <v>43474</v>
          </cell>
        </row>
        <row r="18630">
          <cell r="A18630">
            <v>43665</v>
          </cell>
        </row>
        <row r="18631">
          <cell r="A18631">
            <v>43831</v>
          </cell>
        </row>
        <row r="18632">
          <cell r="A18632">
            <v>43410</v>
          </cell>
        </row>
        <row r="18633">
          <cell r="A18633">
            <v>43545</v>
          </cell>
        </row>
        <row r="18634">
          <cell r="A18634">
            <v>43580</v>
          </cell>
        </row>
        <row r="18635">
          <cell r="A18635">
            <v>43817</v>
          </cell>
        </row>
        <row r="18636">
          <cell r="A18636">
            <v>43634</v>
          </cell>
        </row>
        <row r="18637">
          <cell r="A18637">
            <v>43896</v>
          </cell>
        </row>
        <row r="18638">
          <cell r="A18638">
            <v>43252</v>
          </cell>
        </row>
        <row r="18639">
          <cell r="A18639">
            <v>43502</v>
          </cell>
        </row>
        <row r="18640">
          <cell r="A18640">
            <v>43347</v>
          </cell>
        </row>
        <row r="18641">
          <cell r="A18641">
            <v>43456</v>
          </cell>
        </row>
        <row r="18642">
          <cell r="A18642">
            <v>43296</v>
          </cell>
        </row>
        <row r="18643">
          <cell r="A18643">
            <v>43791</v>
          </cell>
        </row>
        <row r="18644">
          <cell r="A18644">
            <v>43531</v>
          </cell>
        </row>
        <row r="18645">
          <cell r="A18645">
            <v>43856</v>
          </cell>
        </row>
        <row r="18646">
          <cell r="A18646">
            <v>43473</v>
          </cell>
        </row>
        <row r="18647">
          <cell r="A18647">
            <v>43366</v>
          </cell>
        </row>
        <row r="18648">
          <cell r="A18648">
            <v>43109</v>
          </cell>
        </row>
        <row r="18649">
          <cell r="A18649">
            <v>43583</v>
          </cell>
        </row>
        <row r="18650">
          <cell r="A18650">
            <v>43282</v>
          </cell>
        </row>
        <row r="18651">
          <cell r="A18651">
            <v>43185</v>
          </cell>
        </row>
        <row r="18652">
          <cell r="A18652">
            <v>43531</v>
          </cell>
        </row>
        <row r="18653">
          <cell r="A18653">
            <v>43714</v>
          </cell>
        </row>
        <row r="18654">
          <cell r="A18654">
            <v>43142</v>
          </cell>
        </row>
        <row r="18655">
          <cell r="A18655">
            <v>43241</v>
          </cell>
        </row>
        <row r="18656">
          <cell r="A18656">
            <v>43674</v>
          </cell>
        </row>
        <row r="18657">
          <cell r="A18657">
            <v>43525</v>
          </cell>
        </row>
        <row r="18658">
          <cell r="A18658">
            <v>43897</v>
          </cell>
        </row>
        <row r="18659">
          <cell r="A18659">
            <v>43462</v>
          </cell>
        </row>
        <row r="18660">
          <cell r="A18660">
            <v>43548</v>
          </cell>
        </row>
        <row r="18661">
          <cell r="A18661">
            <v>43415</v>
          </cell>
        </row>
        <row r="18662">
          <cell r="A18662">
            <v>43764</v>
          </cell>
        </row>
        <row r="18663">
          <cell r="A18663">
            <v>43299</v>
          </cell>
        </row>
        <row r="18664">
          <cell r="A18664">
            <v>43616</v>
          </cell>
        </row>
        <row r="18665">
          <cell r="A18665">
            <v>43281</v>
          </cell>
        </row>
        <row r="18666">
          <cell r="A18666">
            <v>43547</v>
          </cell>
        </row>
        <row r="18667">
          <cell r="A18667">
            <v>43418</v>
          </cell>
        </row>
        <row r="18668">
          <cell r="A18668">
            <v>43585</v>
          </cell>
        </row>
        <row r="18669">
          <cell r="A18669">
            <v>43538</v>
          </cell>
        </row>
        <row r="18670">
          <cell r="A18670">
            <v>43447</v>
          </cell>
        </row>
        <row r="18671">
          <cell r="A18671">
            <v>43606</v>
          </cell>
        </row>
        <row r="18672">
          <cell r="A18672">
            <v>43317</v>
          </cell>
        </row>
        <row r="18673">
          <cell r="A18673">
            <v>43563</v>
          </cell>
        </row>
        <row r="18674">
          <cell r="A18674">
            <v>43116</v>
          </cell>
        </row>
        <row r="18675">
          <cell r="A18675">
            <v>43450</v>
          </cell>
        </row>
        <row r="18676">
          <cell r="A18676">
            <v>43382</v>
          </cell>
        </row>
        <row r="18677">
          <cell r="A18677">
            <v>43358</v>
          </cell>
        </row>
        <row r="18678">
          <cell r="A18678">
            <v>43908</v>
          </cell>
        </row>
        <row r="18679">
          <cell r="A18679">
            <v>43577</v>
          </cell>
        </row>
        <row r="18680">
          <cell r="A18680">
            <v>43326</v>
          </cell>
        </row>
        <row r="18681">
          <cell r="A18681">
            <v>43138</v>
          </cell>
        </row>
        <row r="18682">
          <cell r="A18682">
            <v>43471</v>
          </cell>
        </row>
        <row r="18683">
          <cell r="A18683">
            <v>43571</v>
          </cell>
        </row>
        <row r="18684">
          <cell r="A18684">
            <v>43411</v>
          </cell>
        </row>
        <row r="18685">
          <cell r="A18685">
            <v>43205</v>
          </cell>
        </row>
        <row r="18686">
          <cell r="A18686">
            <v>43298</v>
          </cell>
        </row>
        <row r="18687">
          <cell r="A18687">
            <v>43513</v>
          </cell>
        </row>
        <row r="18688">
          <cell r="A18688">
            <v>43639</v>
          </cell>
        </row>
        <row r="18689">
          <cell r="A18689">
            <v>43291</v>
          </cell>
        </row>
        <row r="18690">
          <cell r="A18690">
            <v>43317</v>
          </cell>
        </row>
        <row r="18691">
          <cell r="A18691">
            <v>43456</v>
          </cell>
        </row>
        <row r="18692">
          <cell r="A18692">
            <v>43458</v>
          </cell>
        </row>
        <row r="18693">
          <cell r="A18693">
            <v>43793</v>
          </cell>
        </row>
        <row r="18694">
          <cell r="A18694">
            <v>43600</v>
          </cell>
        </row>
        <row r="18695">
          <cell r="A18695">
            <v>43623</v>
          </cell>
        </row>
        <row r="18696">
          <cell r="A18696">
            <v>43170</v>
          </cell>
        </row>
        <row r="18697">
          <cell r="A18697">
            <v>43495</v>
          </cell>
        </row>
        <row r="18698">
          <cell r="A18698">
            <v>43671</v>
          </cell>
        </row>
        <row r="18699">
          <cell r="A18699">
            <v>43308</v>
          </cell>
        </row>
        <row r="18700">
          <cell r="A18700">
            <v>43763</v>
          </cell>
        </row>
        <row r="18701">
          <cell r="A18701">
            <v>43560</v>
          </cell>
        </row>
        <row r="18702">
          <cell r="A18702">
            <v>43240</v>
          </cell>
        </row>
        <row r="18703">
          <cell r="A18703">
            <v>43659</v>
          </cell>
        </row>
        <row r="18704">
          <cell r="A18704">
            <v>43600</v>
          </cell>
        </row>
        <row r="18705">
          <cell r="A18705">
            <v>43759</v>
          </cell>
        </row>
        <row r="18706">
          <cell r="A18706">
            <v>43386</v>
          </cell>
        </row>
        <row r="18707">
          <cell r="A18707">
            <v>43775</v>
          </cell>
        </row>
        <row r="18708">
          <cell r="A18708">
            <v>43437</v>
          </cell>
        </row>
        <row r="18709">
          <cell r="A18709">
            <v>43116</v>
          </cell>
        </row>
        <row r="18710">
          <cell r="A18710">
            <v>43246</v>
          </cell>
        </row>
        <row r="18711">
          <cell r="A18711">
            <v>43427</v>
          </cell>
        </row>
        <row r="18712">
          <cell r="A18712">
            <v>43374</v>
          </cell>
        </row>
        <row r="18713">
          <cell r="A18713">
            <v>43608</v>
          </cell>
        </row>
        <row r="18714">
          <cell r="A18714">
            <v>43858</v>
          </cell>
        </row>
        <row r="18715">
          <cell r="A18715">
            <v>43836</v>
          </cell>
        </row>
        <row r="18716">
          <cell r="A18716">
            <v>43529</v>
          </cell>
        </row>
        <row r="18717">
          <cell r="A18717">
            <v>43776</v>
          </cell>
        </row>
        <row r="18718">
          <cell r="A18718">
            <v>43346</v>
          </cell>
        </row>
        <row r="18719">
          <cell r="A18719">
            <v>43219</v>
          </cell>
        </row>
        <row r="18720">
          <cell r="A18720">
            <v>43771</v>
          </cell>
        </row>
        <row r="18721">
          <cell r="A18721">
            <v>43450</v>
          </cell>
        </row>
        <row r="18722">
          <cell r="A18722">
            <v>43834</v>
          </cell>
        </row>
        <row r="18723">
          <cell r="A18723">
            <v>43828</v>
          </cell>
        </row>
        <row r="18724">
          <cell r="A18724">
            <v>43475</v>
          </cell>
        </row>
        <row r="18725">
          <cell r="A18725">
            <v>43209</v>
          </cell>
        </row>
        <row r="18726">
          <cell r="A18726">
            <v>43880</v>
          </cell>
        </row>
        <row r="18727">
          <cell r="A18727">
            <v>43261</v>
          </cell>
        </row>
        <row r="18728">
          <cell r="A18728">
            <v>43262</v>
          </cell>
        </row>
        <row r="18729">
          <cell r="A18729">
            <v>43701</v>
          </cell>
        </row>
        <row r="18730">
          <cell r="A18730">
            <v>43199</v>
          </cell>
        </row>
        <row r="18731">
          <cell r="A18731">
            <v>43267</v>
          </cell>
        </row>
        <row r="18732">
          <cell r="A18732">
            <v>43784</v>
          </cell>
        </row>
        <row r="18733">
          <cell r="A18733">
            <v>43518</v>
          </cell>
        </row>
        <row r="18734">
          <cell r="A18734">
            <v>43499</v>
          </cell>
        </row>
        <row r="18735">
          <cell r="A18735">
            <v>43630</v>
          </cell>
        </row>
        <row r="18736">
          <cell r="A18736">
            <v>43638</v>
          </cell>
        </row>
        <row r="18737">
          <cell r="A18737">
            <v>43401</v>
          </cell>
        </row>
        <row r="18738">
          <cell r="A18738">
            <v>43385</v>
          </cell>
        </row>
        <row r="18739">
          <cell r="A18739">
            <v>43295</v>
          </cell>
        </row>
        <row r="18740">
          <cell r="A18740">
            <v>43652</v>
          </cell>
        </row>
        <row r="18741">
          <cell r="A18741">
            <v>43424</v>
          </cell>
        </row>
        <row r="18742">
          <cell r="A18742">
            <v>43291</v>
          </cell>
        </row>
        <row r="18743">
          <cell r="A18743">
            <v>43199</v>
          </cell>
        </row>
        <row r="18744">
          <cell r="A18744">
            <v>43805</v>
          </cell>
        </row>
        <row r="18745">
          <cell r="A18745">
            <v>43559</v>
          </cell>
        </row>
        <row r="18746">
          <cell r="A18746">
            <v>43369</v>
          </cell>
        </row>
        <row r="18747">
          <cell r="A18747">
            <v>43780</v>
          </cell>
        </row>
        <row r="18748">
          <cell r="A18748">
            <v>43286</v>
          </cell>
        </row>
        <row r="18749">
          <cell r="A18749">
            <v>43108</v>
          </cell>
        </row>
        <row r="18750">
          <cell r="A18750">
            <v>43874</v>
          </cell>
        </row>
        <row r="18751">
          <cell r="A18751">
            <v>43875</v>
          </cell>
        </row>
        <row r="18752">
          <cell r="A18752">
            <v>43398</v>
          </cell>
        </row>
        <row r="18753">
          <cell r="A18753">
            <v>43882</v>
          </cell>
        </row>
        <row r="18754">
          <cell r="A18754">
            <v>43240</v>
          </cell>
        </row>
        <row r="18755">
          <cell r="A18755">
            <v>43426</v>
          </cell>
        </row>
        <row r="18756">
          <cell r="A18756">
            <v>43869</v>
          </cell>
        </row>
        <row r="18757">
          <cell r="A18757">
            <v>43523</v>
          </cell>
        </row>
        <row r="18758">
          <cell r="A18758">
            <v>43726</v>
          </cell>
        </row>
        <row r="18759">
          <cell r="A18759">
            <v>43875</v>
          </cell>
        </row>
        <row r="18760">
          <cell r="A18760">
            <v>43113</v>
          </cell>
        </row>
        <row r="18761">
          <cell r="A18761">
            <v>43515</v>
          </cell>
        </row>
        <row r="18762">
          <cell r="A18762">
            <v>43618</v>
          </cell>
        </row>
        <row r="18763">
          <cell r="A18763">
            <v>43349</v>
          </cell>
        </row>
        <row r="18764">
          <cell r="A18764">
            <v>43387</v>
          </cell>
        </row>
        <row r="18765">
          <cell r="A18765">
            <v>43266</v>
          </cell>
        </row>
        <row r="18766">
          <cell r="A18766">
            <v>43854</v>
          </cell>
        </row>
        <row r="18767">
          <cell r="A18767">
            <v>43304</v>
          </cell>
        </row>
        <row r="18768">
          <cell r="A18768">
            <v>43812</v>
          </cell>
        </row>
        <row r="18769">
          <cell r="A18769">
            <v>43292</v>
          </cell>
        </row>
        <row r="18770">
          <cell r="A18770">
            <v>43372</v>
          </cell>
        </row>
        <row r="18771">
          <cell r="A18771">
            <v>43492</v>
          </cell>
        </row>
        <row r="18772">
          <cell r="A18772">
            <v>43422</v>
          </cell>
        </row>
        <row r="18773">
          <cell r="A18773">
            <v>43417</v>
          </cell>
        </row>
        <row r="18774">
          <cell r="A18774">
            <v>43402</v>
          </cell>
        </row>
        <row r="18775">
          <cell r="A18775">
            <v>43285</v>
          </cell>
        </row>
        <row r="18776">
          <cell r="A18776">
            <v>43876</v>
          </cell>
        </row>
        <row r="18777">
          <cell r="A18777">
            <v>43887</v>
          </cell>
        </row>
        <row r="18778">
          <cell r="A18778">
            <v>43823</v>
          </cell>
        </row>
        <row r="18779">
          <cell r="A18779">
            <v>43532</v>
          </cell>
        </row>
        <row r="18780">
          <cell r="A18780">
            <v>43833</v>
          </cell>
        </row>
        <row r="18781">
          <cell r="A18781">
            <v>43353</v>
          </cell>
        </row>
        <row r="18782">
          <cell r="A18782">
            <v>43201</v>
          </cell>
        </row>
        <row r="18783">
          <cell r="A18783">
            <v>43895</v>
          </cell>
        </row>
        <row r="18784">
          <cell r="A18784">
            <v>43249</v>
          </cell>
        </row>
        <row r="18785">
          <cell r="A18785">
            <v>43500</v>
          </cell>
        </row>
        <row r="18786">
          <cell r="A18786">
            <v>43572</v>
          </cell>
        </row>
        <row r="18787">
          <cell r="A18787">
            <v>43470</v>
          </cell>
        </row>
        <row r="18788">
          <cell r="A18788">
            <v>43608</v>
          </cell>
        </row>
        <row r="18789">
          <cell r="A18789">
            <v>43162</v>
          </cell>
        </row>
        <row r="18790">
          <cell r="A18790">
            <v>43588</v>
          </cell>
        </row>
        <row r="18791">
          <cell r="A18791">
            <v>43374</v>
          </cell>
        </row>
        <row r="18792">
          <cell r="A18792">
            <v>43201</v>
          </cell>
        </row>
        <row r="18793">
          <cell r="A18793">
            <v>43415</v>
          </cell>
        </row>
        <row r="18794">
          <cell r="A18794">
            <v>43611</v>
          </cell>
        </row>
        <row r="18795">
          <cell r="A18795">
            <v>43541</v>
          </cell>
        </row>
        <row r="18796">
          <cell r="A18796">
            <v>43313</v>
          </cell>
        </row>
        <row r="18797">
          <cell r="A18797">
            <v>43147</v>
          </cell>
        </row>
        <row r="18798">
          <cell r="A18798">
            <v>43792</v>
          </cell>
        </row>
        <row r="18799">
          <cell r="A18799">
            <v>43289</v>
          </cell>
        </row>
        <row r="18800">
          <cell r="A18800">
            <v>43167</v>
          </cell>
        </row>
        <row r="18801">
          <cell r="A18801">
            <v>43799</v>
          </cell>
        </row>
        <row r="18802">
          <cell r="A18802">
            <v>43558</v>
          </cell>
        </row>
        <row r="18803">
          <cell r="A18803">
            <v>43510</v>
          </cell>
        </row>
        <row r="18804">
          <cell r="A18804">
            <v>43502</v>
          </cell>
        </row>
        <row r="18805">
          <cell r="A18805">
            <v>43423</v>
          </cell>
        </row>
        <row r="18806">
          <cell r="A18806">
            <v>43907</v>
          </cell>
        </row>
        <row r="18807">
          <cell r="A18807">
            <v>43371</v>
          </cell>
        </row>
        <row r="18808">
          <cell r="A18808">
            <v>43379</v>
          </cell>
        </row>
        <row r="18809">
          <cell r="A18809">
            <v>43725</v>
          </cell>
        </row>
        <row r="18810">
          <cell r="A18810">
            <v>43196</v>
          </cell>
        </row>
        <row r="18811">
          <cell r="A18811">
            <v>43575</v>
          </cell>
        </row>
        <row r="18812">
          <cell r="A18812">
            <v>43736</v>
          </cell>
        </row>
        <row r="18813">
          <cell r="A18813">
            <v>43700</v>
          </cell>
        </row>
        <row r="18814">
          <cell r="A18814">
            <v>43210</v>
          </cell>
        </row>
        <row r="18815">
          <cell r="A18815">
            <v>43499</v>
          </cell>
        </row>
        <row r="18816">
          <cell r="A18816">
            <v>43188</v>
          </cell>
        </row>
        <row r="18817">
          <cell r="A18817">
            <v>43553</v>
          </cell>
        </row>
        <row r="18818">
          <cell r="A18818">
            <v>43454</v>
          </cell>
        </row>
        <row r="18819">
          <cell r="A18819">
            <v>43305</v>
          </cell>
        </row>
        <row r="18820">
          <cell r="A18820">
            <v>43828</v>
          </cell>
        </row>
        <row r="18821">
          <cell r="A18821">
            <v>43259</v>
          </cell>
        </row>
        <row r="18822">
          <cell r="A18822">
            <v>43769</v>
          </cell>
        </row>
        <row r="18823">
          <cell r="A18823">
            <v>43849</v>
          </cell>
        </row>
        <row r="18824">
          <cell r="A18824">
            <v>43794</v>
          </cell>
        </row>
        <row r="18825">
          <cell r="A18825">
            <v>43430</v>
          </cell>
        </row>
        <row r="18826">
          <cell r="A18826">
            <v>43201</v>
          </cell>
        </row>
        <row r="18827">
          <cell r="A18827">
            <v>43708</v>
          </cell>
        </row>
        <row r="18828">
          <cell r="A18828">
            <v>43579</v>
          </cell>
        </row>
        <row r="18829">
          <cell r="A18829">
            <v>43216</v>
          </cell>
        </row>
        <row r="18830">
          <cell r="A18830">
            <v>43302</v>
          </cell>
        </row>
        <row r="18831">
          <cell r="A18831">
            <v>43328</v>
          </cell>
        </row>
        <row r="18832">
          <cell r="A18832">
            <v>43195</v>
          </cell>
        </row>
        <row r="18833">
          <cell r="A18833">
            <v>43631</v>
          </cell>
        </row>
        <row r="18834">
          <cell r="A18834">
            <v>43160</v>
          </cell>
        </row>
        <row r="18835">
          <cell r="A18835">
            <v>43453</v>
          </cell>
        </row>
        <row r="18836">
          <cell r="A18836">
            <v>43869</v>
          </cell>
        </row>
        <row r="18837">
          <cell r="A18837">
            <v>43105</v>
          </cell>
        </row>
        <row r="18838">
          <cell r="A18838">
            <v>43195</v>
          </cell>
        </row>
        <row r="18839">
          <cell r="A18839">
            <v>43738</v>
          </cell>
        </row>
        <row r="18840">
          <cell r="A18840">
            <v>43477</v>
          </cell>
        </row>
        <row r="18841">
          <cell r="A18841">
            <v>43890</v>
          </cell>
        </row>
        <row r="18842">
          <cell r="A18842">
            <v>43203</v>
          </cell>
        </row>
        <row r="18843">
          <cell r="A18843">
            <v>43690</v>
          </cell>
        </row>
        <row r="18844">
          <cell r="A18844">
            <v>43741</v>
          </cell>
        </row>
        <row r="18845">
          <cell r="A18845">
            <v>43461</v>
          </cell>
        </row>
        <row r="18846">
          <cell r="A18846">
            <v>43389</v>
          </cell>
        </row>
        <row r="18847">
          <cell r="A18847">
            <v>43642</v>
          </cell>
        </row>
        <row r="18848">
          <cell r="A18848">
            <v>43380</v>
          </cell>
        </row>
        <row r="18849">
          <cell r="A18849">
            <v>43420</v>
          </cell>
        </row>
        <row r="18850">
          <cell r="A18850">
            <v>43460</v>
          </cell>
        </row>
        <row r="18851">
          <cell r="A18851">
            <v>43626</v>
          </cell>
        </row>
        <row r="18852">
          <cell r="A18852">
            <v>43196</v>
          </cell>
        </row>
        <row r="18853">
          <cell r="A18853">
            <v>43845</v>
          </cell>
        </row>
        <row r="18854">
          <cell r="A18854">
            <v>43375</v>
          </cell>
        </row>
        <row r="18855">
          <cell r="A18855">
            <v>43343</v>
          </cell>
        </row>
        <row r="18856">
          <cell r="A18856">
            <v>43803</v>
          </cell>
        </row>
        <row r="18857">
          <cell r="A18857">
            <v>43857</v>
          </cell>
        </row>
        <row r="18858">
          <cell r="A18858">
            <v>43144</v>
          </cell>
        </row>
        <row r="18859">
          <cell r="A18859">
            <v>43845</v>
          </cell>
        </row>
        <row r="18860">
          <cell r="A18860">
            <v>43258</v>
          </cell>
        </row>
        <row r="18861">
          <cell r="A18861">
            <v>43257</v>
          </cell>
        </row>
        <row r="18862">
          <cell r="A18862">
            <v>43821</v>
          </cell>
        </row>
        <row r="18863">
          <cell r="A18863">
            <v>43216</v>
          </cell>
        </row>
        <row r="18864">
          <cell r="A18864">
            <v>43511</v>
          </cell>
        </row>
        <row r="18865">
          <cell r="A18865">
            <v>43376</v>
          </cell>
        </row>
        <row r="18866">
          <cell r="A18866">
            <v>43290</v>
          </cell>
        </row>
        <row r="18867">
          <cell r="A18867">
            <v>43833</v>
          </cell>
        </row>
        <row r="18868">
          <cell r="A18868">
            <v>43692</v>
          </cell>
        </row>
        <row r="18869">
          <cell r="A18869">
            <v>43255</v>
          </cell>
        </row>
        <row r="18870">
          <cell r="A18870">
            <v>43320</v>
          </cell>
        </row>
        <row r="18871">
          <cell r="A18871">
            <v>43457</v>
          </cell>
        </row>
        <row r="18872">
          <cell r="A18872">
            <v>43422</v>
          </cell>
        </row>
        <row r="18873">
          <cell r="A18873">
            <v>43576</v>
          </cell>
        </row>
        <row r="18874">
          <cell r="A18874">
            <v>43613</v>
          </cell>
        </row>
        <row r="18875">
          <cell r="A18875">
            <v>43816</v>
          </cell>
        </row>
        <row r="18876">
          <cell r="A18876">
            <v>43823</v>
          </cell>
        </row>
        <row r="18877">
          <cell r="A18877">
            <v>43683</v>
          </cell>
        </row>
        <row r="18878">
          <cell r="A18878">
            <v>43545</v>
          </cell>
        </row>
        <row r="18879">
          <cell r="A18879">
            <v>43756</v>
          </cell>
        </row>
        <row r="18880">
          <cell r="A18880">
            <v>43314</v>
          </cell>
        </row>
        <row r="18881">
          <cell r="A18881">
            <v>43169</v>
          </cell>
        </row>
        <row r="18882">
          <cell r="A18882">
            <v>43298</v>
          </cell>
        </row>
        <row r="18883">
          <cell r="A18883">
            <v>43118</v>
          </cell>
        </row>
        <row r="18884">
          <cell r="A18884">
            <v>43480</v>
          </cell>
        </row>
        <row r="18885">
          <cell r="A18885">
            <v>43916</v>
          </cell>
        </row>
        <row r="18886">
          <cell r="A18886">
            <v>43424</v>
          </cell>
        </row>
        <row r="18887">
          <cell r="A18887">
            <v>43438</v>
          </cell>
        </row>
        <row r="18888">
          <cell r="A18888">
            <v>43357</v>
          </cell>
        </row>
        <row r="18889">
          <cell r="A18889">
            <v>43601</v>
          </cell>
        </row>
        <row r="18890">
          <cell r="A18890">
            <v>43182</v>
          </cell>
        </row>
        <row r="18891">
          <cell r="A18891">
            <v>43895</v>
          </cell>
        </row>
        <row r="18892">
          <cell r="A18892">
            <v>43885</v>
          </cell>
        </row>
        <row r="18893">
          <cell r="A18893">
            <v>43245</v>
          </cell>
        </row>
        <row r="18894">
          <cell r="A18894">
            <v>43843</v>
          </cell>
        </row>
        <row r="18895">
          <cell r="A18895">
            <v>43555</v>
          </cell>
        </row>
        <row r="18896">
          <cell r="A18896">
            <v>43475</v>
          </cell>
        </row>
        <row r="18897">
          <cell r="A18897">
            <v>43224</v>
          </cell>
        </row>
        <row r="18898">
          <cell r="A18898">
            <v>43183</v>
          </cell>
        </row>
        <row r="18899">
          <cell r="A18899">
            <v>43841</v>
          </cell>
        </row>
        <row r="18900">
          <cell r="A18900">
            <v>43920</v>
          </cell>
        </row>
        <row r="18901">
          <cell r="A18901">
            <v>43759</v>
          </cell>
        </row>
        <row r="18902">
          <cell r="A18902">
            <v>43215</v>
          </cell>
        </row>
        <row r="18903">
          <cell r="A18903">
            <v>43639</v>
          </cell>
        </row>
        <row r="18904">
          <cell r="A18904">
            <v>43132</v>
          </cell>
        </row>
        <row r="18905">
          <cell r="A18905">
            <v>43874</v>
          </cell>
        </row>
        <row r="18906">
          <cell r="A18906">
            <v>43488</v>
          </cell>
        </row>
        <row r="18907">
          <cell r="A18907">
            <v>43240</v>
          </cell>
        </row>
        <row r="18908">
          <cell r="A18908">
            <v>43367</v>
          </cell>
        </row>
        <row r="18909">
          <cell r="A18909">
            <v>43796</v>
          </cell>
        </row>
        <row r="18910">
          <cell r="A18910">
            <v>43741</v>
          </cell>
        </row>
        <row r="18911">
          <cell r="A18911">
            <v>43311</v>
          </cell>
        </row>
        <row r="18912">
          <cell r="A18912">
            <v>43160</v>
          </cell>
        </row>
        <row r="18913">
          <cell r="A18913">
            <v>43403</v>
          </cell>
        </row>
        <row r="18914">
          <cell r="A18914">
            <v>43392</v>
          </cell>
        </row>
        <row r="18915">
          <cell r="A18915">
            <v>43836</v>
          </cell>
        </row>
        <row r="18916">
          <cell r="A18916">
            <v>43376</v>
          </cell>
        </row>
        <row r="18917">
          <cell r="A18917">
            <v>43648</v>
          </cell>
        </row>
        <row r="18918">
          <cell r="A18918">
            <v>43643</v>
          </cell>
        </row>
        <row r="18919">
          <cell r="A18919">
            <v>43518</v>
          </cell>
        </row>
        <row r="18920">
          <cell r="A18920">
            <v>43652</v>
          </cell>
        </row>
        <row r="18921">
          <cell r="A18921">
            <v>43798</v>
          </cell>
        </row>
        <row r="18922">
          <cell r="A18922">
            <v>43892</v>
          </cell>
        </row>
        <row r="18923">
          <cell r="A18923">
            <v>43845</v>
          </cell>
        </row>
        <row r="18924">
          <cell r="A18924">
            <v>43836</v>
          </cell>
        </row>
        <row r="18925">
          <cell r="A18925">
            <v>43122</v>
          </cell>
        </row>
        <row r="18926">
          <cell r="A18926">
            <v>43116</v>
          </cell>
        </row>
        <row r="18927">
          <cell r="A18927">
            <v>43482</v>
          </cell>
        </row>
        <row r="18928">
          <cell r="A18928">
            <v>43173</v>
          </cell>
        </row>
        <row r="18929">
          <cell r="A18929">
            <v>43889</v>
          </cell>
        </row>
        <row r="18930">
          <cell r="A18930">
            <v>43177</v>
          </cell>
        </row>
        <row r="18931">
          <cell r="A18931">
            <v>43576</v>
          </cell>
        </row>
        <row r="18932">
          <cell r="A18932">
            <v>43250</v>
          </cell>
        </row>
        <row r="18933">
          <cell r="A18933">
            <v>43455</v>
          </cell>
        </row>
        <row r="18934">
          <cell r="A18934">
            <v>43153</v>
          </cell>
        </row>
        <row r="18935">
          <cell r="A18935">
            <v>43514</v>
          </cell>
        </row>
        <row r="18936">
          <cell r="A18936">
            <v>43536</v>
          </cell>
        </row>
        <row r="18937">
          <cell r="A18937">
            <v>43557</v>
          </cell>
        </row>
        <row r="18938">
          <cell r="A18938">
            <v>43301</v>
          </cell>
        </row>
        <row r="18939">
          <cell r="A18939">
            <v>43415</v>
          </cell>
        </row>
        <row r="18940">
          <cell r="A18940">
            <v>43798</v>
          </cell>
        </row>
        <row r="18941">
          <cell r="A18941">
            <v>43882</v>
          </cell>
        </row>
        <row r="18942">
          <cell r="A18942">
            <v>43876</v>
          </cell>
        </row>
        <row r="18943">
          <cell r="A18943">
            <v>43325</v>
          </cell>
        </row>
        <row r="18944">
          <cell r="A18944">
            <v>43336</v>
          </cell>
        </row>
        <row r="18945">
          <cell r="A18945">
            <v>43712</v>
          </cell>
        </row>
        <row r="18946">
          <cell r="A18946">
            <v>43658</v>
          </cell>
        </row>
        <row r="18947">
          <cell r="A18947">
            <v>43655</v>
          </cell>
        </row>
        <row r="18948">
          <cell r="A18948">
            <v>43448</v>
          </cell>
        </row>
        <row r="18949">
          <cell r="A18949">
            <v>43690</v>
          </cell>
        </row>
        <row r="18950">
          <cell r="A18950">
            <v>43177</v>
          </cell>
        </row>
        <row r="18951">
          <cell r="A18951">
            <v>43614</v>
          </cell>
        </row>
        <row r="18952">
          <cell r="A18952">
            <v>43641</v>
          </cell>
        </row>
        <row r="18953">
          <cell r="A18953">
            <v>43168</v>
          </cell>
        </row>
        <row r="18954">
          <cell r="A18954">
            <v>43605</v>
          </cell>
        </row>
        <row r="18955">
          <cell r="A18955">
            <v>43151</v>
          </cell>
        </row>
        <row r="18956">
          <cell r="A18956">
            <v>43644</v>
          </cell>
        </row>
        <row r="18957">
          <cell r="A18957">
            <v>43757</v>
          </cell>
        </row>
        <row r="18958">
          <cell r="A18958">
            <v>43179</v>
          </cell>
        </row>
        <row r="18959">
          <cell r="A18959">
            <v>43556</v>
          </cell>
        </row>
        <row r="18960">
          <cell r="A18960">
            <v>43317</v>
          </cell>
        </row>
        <row r="18961">
          <cell r="A18961">
            <v>43787</v>
          </cell>
        </row>
        <row r="18962">
          <cell r="A18962">
            <v>43611</v>
          </cell>
        </row>
        <row r="18963">
          <cell r="A18963">
            <v>43823</v>
          </cell>
        </row>
        <row r="18964">
          <cell r="A18964">
            <v>43348</v>
          </cell>
        </row>
        <row r="18965">
          <cell r="A18965">
            <v>43688</v>
          </cell>
        </row>
        <row r="18966">
          <cell r="A18966">
            <v>43286</v>
          </cell>
        </row>
        <row r="18967">
          <cell r="A18967">
            <v>43467</v>
          </cell>
        </row>
        <row r="18968">
          <cell r="A18968">
            <v>43322</v>
          </cell>
        </row>
        <row r="18969">
          <cell r="A18969">
            <v>43688</v>
          </cell>
        </row>
        <row r="18970">
          <cell r="A18970">
            <v>43437</v>
          </cell>
        </row>
        <row r="18971">
          <cell r="A18971">
            <v>43367</v>
          </cell>
        </row>
        <row r="18972">
          <cell r="A18972">
            <v>43221</v>
          </cell>
        </row>
        <row r="18973">
          <cell r="A18973">
            <v>43856</v>
          </cell>
        </row>
        <row r="18974">
          <cell r="A18974">
            <v>43566</v>
          </cell>
        </row>
        <row r="18975">
          <cell r="A18975">
            <v>43372</v>
          </cell>
        </row>
        <row r="18976">
          <cell r="A18976">
            <v>43807</v>
          </cell>
        </row>
        <row r="18977">
          <cell r="A18977">
            <v>43258</v>
          </cell>
        </row>
        <row r="18978">
          <cell r="A18978">
            <v>43171</v>
          </cell>
        </row>
        <row r="18979">
          <cell r="A18979">
            <v>43641</v>
          </cell>
        </row>
        <row r="18980">
          <cell r="A18980">
            <v>43432</v>
          </cell>
        </row>
        <row r="18981">
          <cell r="A18981">
            <v>43666</v>
          </cell>
        </row>
        <row r="18982">
          <cell r="A18982">
            <v>43305</v>
          </cell>
        </row>
        <row r="18983">
          <cell r="A18983">
            <v>43227</v>
          </cell>
        </row>
        <row r="18984">
          <cell r="A18984">
            <v>43853</v>
          </cell>
        </row>
        <row r="18985">
          <cell r="A18985">
            <v>43777</v>
          </cell>
        </row>
        <row r="18986">
          <cell r="A18986">
            <v>43847</v>
          </cell>
        </row>
        <row r="18987">
          <cell r="A18987">
            <v>43535</v>
          </cell>
        </row>
        <row r="18988">
          <cell r="A18988">
            <v>43229</v>
          </cell>
        </row>
        <row r="18989">
          <cell r="A18989">
            <v>43615</v>
          </cell>
        </row>
        <row r="18990">
          <cell r="A18990">
            <v>43710</v>
          </cell>
        </row>
        <row r="18991">
          <cell r="A18991">
            <v>43909</v>
          </cell>
        </row>
        <row r="18992">
          <cell r="A18992">
            <v>43246</v>
          </cell>
        </row>
        <row r="18993">
          <cell r="A18993">
            <v>43165</v>
          </cell>
        </row>
        <row r="18994">
          <cell r="A18994">
            <v>43817</v>
          </cell>
        </row>
        <row r="18995">
          <cell r="A18995">
            <v>43720</v>
          </cell>
        </row>
        <row r="18996">
          <cell r="A18996">
            <v>43183</v>
          </cell>
        </row>
        <row r="18997">
          <cell r="A18997">
            <v>43668</v>
          </cell>
        </row>
        <row r="18998">
          <cell r="A18998">
            <v>43603</v>
          </cell>
        </row>
        <row r="18999">
          <cell r="A18999">
            <v>43124</v>
          </cell>
        </row>
        <row r="19000">
          <cell r="A19000">
            <v>43859</v>
          </cell>
        </row>
        <row r="19001">
          <cell r="A19001">
            <v>43908</v>
          </cell>
        </row>
        <row r="19002">
          <cell r="A19002">
            <v>43153</v>
          </cell>
        </row>
        <row r="19003">
          <cell r="A19003">
            <v>43158</v>
          </cell>
        </row>
        <row r="19004">
          <cell r="A19004">
            <v>43666</v>
          </cell>
        </row>
        <row r="19005">
          <cell r="A19005">
            <v>43823</v>
          </cell>
        </row>
        <row r="19006">
          <cell r="A19006">
            <v>43300</v>
          </cell>
        </row>
        <row r="19007">
          <cell r="A19007">
            <v>43352</v>
          </cell>
        </row>
        <row r="19008">
          <cell r="A19008">
            <v>43505</v>
          </cell>
        </row>
        <row r="19009">
          <cell r="A19009">
            <v>43130</v>
          </cell>
        </row>
        <row r="19010">
          <cell r="A19010">
            <v>43692</v>
          </cell>
        </row>
        <row r="19011">
          <cell r="A19011">
            <v>43420</v>
          </cell>
        </row>
        <row r="19012">
          <cell r="A19012">
            <v>43808</v>
          </cell>
        </row>
        <row r="19013">
          <cell r="A19013">
            <v>43599</v>
          </cell>
        </row>
        <row r="19014">
          <cell r="A19014">
            <v>43661</v>
          </cell>
        </row>
        <row r="19015">
          <cell r="A19015">
            <v>43521</v>
          </cell>
        </row>
        <row r="19016">
          <cell r="A19016">
            <v>43685</v>
          </cell>
        </row>
        <row r="19017">
          <cell r="A19017">
            <v>43763</v>
          </cell>
        </row>
        <row r="19018">
          <cell r="A19018">
            <v>43588</v>
          </cell>
        </row>
        <row r="19019">
          <cell r="A19019">
            <v>43285</v>
          </cell>
        </row>
        <row r="19020">
          <cell r="A19020">
            <v>43189</v>
          </cell>
        </row>
        <row r="19021">
          <cell r="A19021">
            <v>43128</v>
          </cell>
        </row>
        <row r="19022">
          <cell r="A19022">
            <v>43277</v>
          </cell>
        </row>
        <row r="19023">
          <cell r="A19023">
            <v>43105</v>
          </cell>
        </row>
        <row r="19024">
          <cell r="A19024">
            <v>43803</v>
          </cell>
        </row>
        <row r="19025">
          <cell r="A19025">
            <v>43336</v>
          </cell>
        </row>
        <row r="19026">
          <cell r="A19026">
            <v>43913</v>
          </cell>
        </row>
        <row r="19027">
          <cell r="A19027">
            <v>43509</v>
          </cell>
        </row>
        <row r="19028">
          <cell r="A19028">
            <v>43656</v>
          </cell>
        </row>
        <row r="19029">
          <cell r="A19029">
            <v>43549</v>
          </cell>
        </row>
        <row r="19030">
          <cell r="A19030">
            <v>43414</v>
          </cell>
        </row>
        <row r="19031">
          <cell r="A19031">
            <v>43684</v>
          </cell>
        </row>
        <row r="19032">
          <cell r="A19032">
            <v>43485</v>
          </cell>
        </row>
        <row r="19033">
          <cell r="A19033">
            <v>43239</v>
          </cell>
        </row>
        <row r="19034">
          <cell r="A19034">
            <v>43861</v>
          </cell>
        </row>
        <row r="19035">
          <cell r="A19035">
            <v>43133</v>
          </cell>
        </row>
        <row r="19036">
          <cell r="A19036">
            <v>43746</v>
          </cell>
        </row>
        <row r="19037">
          <cell r="A19037">
            <v>43560</v>
          </cell>
        </row>
        <row r="19038">
          <cell r="A19038">
            <v>43883</v>
          </cell>
        </row>
        <row r="19039">
          <cell r="A19039">
            <v>43137</v>
          </cell>
        </row>
        <row r="19040">
          <cell r="A19040">
            <v>43694</v>
          </cell>
        </row>
        <row r="19041">
          <cell r="A19041">
            <v>43917</v>
          </cell>
        </row>
        <row r="19042">
          <cell r="A19042">
            <v>43855</v>
          </cell>
        </row>
        <row r="19043">
          <cell r="A19043">
            <v>43729</v>
          </cell>
        </row>
        <row r="19044">
          <cell r="A19044">
            <v>43712</v>
          </cell>
        </row>
        <row r="19045">
          <cell r="A19045">
            <v>43784</v>
          </cell>
        </row>
        <row r="19046">
          <cell r="A19046">
            <v>43439</v>
          </cell>
        </row>
        <row r="19047">
          <cell r="A19047">
            <v>43708</v>
          </cell>
        </row>
        <row r="19048">
          <cell r="A19048">
            <v>43245</v>
          </cell>
        </row>
        <row r="19049">
          <cell r="A19049">
            <v>43422</v>
          </cell>
        </row>
        <row r="19050">
          <cell r="A19050">
            <v>43763</v>
          </cell>
        </row>
        <row r="19051">
          <cell r="A19051">
            <v>43238</v>
          </cell>
        </row>
        <row r="19052">
          <cell r="A19052">
            <v>43405</v>
          </cell>
        </row>
        <row r="19053">
          <cell r="A19053">
            <v>43713</v>
          </cell>
        </row>
        <row r="19054">
          <cell r="A19054">
            <v>43204</v>
          </cell>
        </row>
        <row r="19055">
          <cell r="A19055">
            <v>43529</v>
          </cell>
        </row>
        <row r="19056">
          <cell r="A19056">
            <v>43789</v>
          </cell>
        </row>
        <row r="19057">
          <cell r="A19057">
            <v>43665</v>
          </cell>
        </row>
        <row r="19058">
          <cell r="A19058">
            <v>43324</v>
          </cell>
        </row>
        <row r="19059">
          <cell r="A19059">
            <v>43116</v>
          </cell>
        </row>
        <row r="19060">
          <cell r="A19060">
            <v>43717</v>
          </cell>
        </row>
        <row r="19061">
          <cell r="A19061">
            <v>43641</v>
          </cell>
        </row>
        <row r="19062">
          <cell r="A19062">
            <v>43142</v>
          </cell>
        </row>
        <row r="19063">
          <cell r="A19063">
            <v>43810</v>
          </cell>
        </row>
        <row r="19064">
          <cell r="A19064">
            <v>43348</v>
          </cell>
        </row>
        <row r="19065">
          <cell r="A19065">
            <v>43902</v>
          </cell>
        </row>
        <row r="19066">
          <cell r="A19066">
            <v>43905</v>
          </cell>
        </row>
        <row r="19067">
          <cell r="A19067">
            <v>43384</v>
          </cell>
        </row>
        <row r="19068">
          <cell r="A19068">
            <v>43665</v>
          </cell>
        </row>
        <row r="19069">
          <cell r="A19069">
            <v>43732</v>
          </cell>
        </row>
        <row r="19070">
          <cell r="A19070">
            <v>43549</v>
          </cell>
        </row>
        <row r="19071">
          <cell r="A19071">
            <v>43144</v>
          </cell>
        </row>
        <row r="19072">
          <cell r="A19072">
            <v>43354</v>
          </cell>
        </row>
        <row r="19073">
          <cell r="A19073">
            <v>43390</v>
          </cell>
        </row>
        <row r="19074">
          <cell r="A19074">
            <v>43146</v>
          </cell>
        </row>
        <row r="19075">
          <cell r="A19075">
            <v>43913</v>
          </cell>
        </row>
        <row r="19076">
          <cell r="A19076">
            <v>43349</v>
          </cell>
        </row>
        <row r="19077">
          <cell r="A19077">
            <v>43314</v>
          </cell>
        </row>
        <row r="19078">
          <cell r="A19078">
            <v>43455</v>
          </cell>
        </row>
        <row r="19079">
          <cell r="A19079">
            <v>43174</v>
          </cell>
        </row>
        <row r="19080">
          <cell r="A19080">
            <v>43453</v>
          </cell>
        </row>
        <row r="19081">
          <cell r="A19081">
            <v>43917</v>
          </cell>
        </row>
        <row r="19082">
          <cell r="A19082">
            <v>43241</v>
          </cell>
        </row>
        <row r="19083">
          <cell r="A19083">
            <v>43837</v>
          </cell>
        </row>
        <row r="19084">
          <cell r="A19084">
            <v>43378</v>
          </cell>
        </row>
        <row r="19085">
          <cell r="A19085">
            <v>43741</v>
          </cell>
        </row>
        <row r="19086">
          <cell r="A19086">
            <v>43484</v>
          </cell>
        </row>
        <row r="19087">
          <cell r="A19087">
            <v>43470</v>
          </cell>
        </row>
        <row r="19088">
          <cell r="A19088">
            <v>43286</v>
          </cell>
        </row>
        <row r="19089">
          <cell r="A19089">
            <v>43423</v>
          </cell>
        </row>
        <row r="19090">
          <cell r="A19090">
            <v>43401</v>
          </cell>
        </row>
        <row r="19091">
          <cell r="A19091">
            <v>43656</v>
          </cell>
        </row>
        <row r="19092">
          <cell r="A19092">
            <v>43823</v>
          </cell>
        </row>
        <row r="19093">
          <cell r="A19093">
            <v>43226</v>
          </cell>
        </row>
        <row r="19094">
          <cell r="A19094">
            <v>43574</v>
          </cell>
        </row>
        <row r="19095">
          <cell r="A19095">
            <v>43715</v>
          </cell>
        </row>
        <row r="19096">
          <cell r="A19096">
            <v>43247</v>
          </cell>
        </row>
        <row r="19097">
          <cell r="A19097">
            <v>43777</v>
          </cell>
        </row>
        <row r="19098">
          <cell r="A19098">
            <v>43105</v>
          </cell>
        </row>
        <row r="19099">
          <cell r="A19099">
            <v>43776</v>
          </cell>
        </row>
        <row r="19100">
          <cell r="A19100">
            <v>43742</v>
          </cell>
        </row>
        <row r="19101">
          <cell r="A19101">
            <v>43709</v>
          </cell>
        </row>
        <row r="19102">
          <cell r="A19102">
            <v>43593</v>
          </cell>
        </row>
        <row r="19103">
          <cell r="A19103">
            <v>43588</v>
          </cell>
        </row>
        <row r="19104">
          <cell r="A19104">
            <v>43710</v>
          </cell>
        </row>
        <row r="19105">
          <cell r="A19105">
            <v>43621</v>
          </cell>
        </row>
        <row r="19106">
          <cell r="A19106">
            <v>43880</v>
          </cell>
        </row>
        <row r="19107">
          <cell r="A19107">
            <v>43362</v>
          </cell>
        </row>
        <row r="19108">
          <cell r="A19108">
            <v>43847</v>
          </cell>
        </row>
        <row r="19109">
          <cell r="A19109">
            <v>43688</v>
          </cell>
        </row>
        <row r="19110">
          <cell r="A19110">
            <v>43264</v>
          </cell>
        </row>
        <row r="19111">
          <cell r="A19111">
            <v>43776</v>
          </cell>
        </row>
        <row r="19112">
          <cell r="A19112">
            <v>43578</v>
          </cell>
        </row>
        <row r="19113">
          <cell r="A19113">
            <v>43483</v>
          </cell>
        </row>
        <row r="19114">
          <cell r="A19114">
            <v>43488</v>
          </cell>
        </row>
        <row r="19115">
          <cell r="A19115">
            <v>43300</v>
          </cell>
        </row>
        <row r="19116">
          <cell r="A19116">
            <v>43798</v>
          </cell>
        </row>
        <row r="19117">
          <cell r="A19117">
            <v>43896</v>
          </cell>
        </row>
        <row r="19118">
          <cell r="A19118">
            <v>43822</v>
          </cell>
        </row>
        <row r="19119">
          <cell r="A19119">
            <v>43768</v>
          </cell>
        </row>
        <row r="19120">
          <cell r="A19120">
            <v>43675</v>
          </cell>
        </row>
        <row r="19121">
          <cell r="A19121">
            <v>43849</v>
          </cell>
        </row>
        <row r="19122">
          <cell r="A19122">
            <v>43866</v>
          </cell>
        </row>
        <row r="19123">
          <cell r="A19123">
            <v>43238</v>
          </cell>
        </row>
        <row r="19124">
          <cell r="A19124">
            <v>43193</v>
          </cell>
        </row>
        <row r="19125">
          <cell r="A19125">
            <v>43913</v>
          </cell>
        </row>
        <row r="19126">
          <cell r="A19126">
            <v>43869</v>
          </cell>
        </row>
        <row r="19127">
          <cell r="A19127">
            <v>43849</v>
          </cell>
        </row>
        <row r="19128">
          <cell r="A19128">
            <v>43532</v>
          </cell>
        </row>
        <row r="19129">
          <cell r="A19129">
            <v>43138</v>
          </cell>
        </row>
        <row r="19130">
          <cell r="A19130">
            <v>43660</v>
          </cell>
        </row>
        <row r="19131">
          <cell r="A19131">
            <v>43782</v>
          </cell>
        </row>
        <row r="19132">
          <cell r="A19132">
            <v>43811</v>
          </cell>
        </row>
        <row r="19133">
          <cell r="A19133">
            <v>43644</v>
          </cell>
        </row>
        <row r="19134">
          <cell r="A19134">
            <v>43448</v>
          </cell>
        </row>
        <row r="19135">
          <cell r="A19135">
            <v>43623</v>
          </cell>
        </row>
        <row r="19136">
          <cell r="A19136">
            <v>43380</v>
          </cell>
        </row>
        <row r="19137">
          <cell r="A19137">
            <v>43598</v>
          </cell>
        </row>
        <row r="19138">
          <cell r="A19138">
            <v>43629</v>
          </cell>
        </row>
        <row r="19139">
          <cell r="A19139">
            <v>43704</v>
          </cell>
        </row>
        <row r="19140">
          <cell r="A19140">
            <v>43284</v>
          </cell>
        </row>
        <row r="19141">
          <cell r="A19141">
            <v>43497</v>
          </cell>
        </row>
        <row r="19142">
          <cell r="A19142">
            <v>43351</v>
          </cell>
        </row>
        <row r="19143">
          <cell r="A19143">
            <v>43616</v>
          </cell>
        </row>
        <row r="19144">
          <cell r="A19144">
            <v>43819</v>
          </cell>
        </row>
        <row r="19145">
          <cell r="A19145">
            <v>43738</v>
          </cell>
        </row>
        <row r="19146">
          <cell r="A19146">
            <v>43220</v>
          </cell>
        </row>
        <row r="19147">
          <cell r="A19147">
            <v>43384</v>
          </cell>
        </row>
        <row r="19148">
          <cell r="A19148">
            <v>43394</v>
          </cell>
        </row>
        <row r="19149">
          <cell r="A19149">
            <v>43132</v>
          </cell>
        </row>
        <row r="19150">
          <cell r="A19150">
            <v>43866</v>
          </cell>
        </row>
        <row r="19151">
          <cell r="A19151">
            <v>43467</v>
          </cell>
        </row>
        <row r="19152">
          <cell r="A19152">
            <v>43598</v>
          </cell>
        </row>
        <row r="19153">
          <cell r="A19153">
            <v>43648</v>
          </cell>
        </row>
        <row r="19154">
          <cell r="A19154">
            <v>43660</v>
          </cell>
        </row>
        <row r="19155">
          <cell r="A19155">
            <v>43239</v>
          </cell>
        </row>
        <row r="19156">
          <cell r="A19156">
            <v>43741</v>
          </cell>
        </row>
        <row r="19157">
          <cell r="A19157">
            <v>43786</v>
          </cell>
        </row>
        <row r="19158">
          <cell r="A19158">
            <v>43151</v>
          </cell>
        </row>
        <row r="19159">
          <cell r="A19159">
            <v>43480</v>
          </cell>
        </row>
        <row r="19160">
          <cell r="A19160">
            <v>43909</v>
          </cell>
        </row>
        <row r="19161">
          <cell r="A19161">
            <v>43586</v>
          </cell>
        </row>
        <row r="19162">
          <cell r="A19162">
            <v>43286</v>
          </cell>
        </row>
        <row r="19163">
          <cell r="A19163">
            <v>43186</v>
          </cell>
        </row>
        <row r="19164">
          <cell r="A19164">
            <v>43336</v>
          </cell>
        </row>
        <row r="19165">
          <cell r="A19165">
            <v>43638</v>
          </cell>
        </row>
        <row r="19166">
          <cell r="A19166">
            <v>43425</v>
          </cell>
        </row>
        <row r="19167">
          <cell r="A19167">
            <v>43490</v>
          </cell>
        </row>
        <row r="19168">
          <cell r="A19168">
            <v>43407</v>
          </cell>
        </row>
        <row r="19169">
          <cell r="A19169">
            <v>43192</v>
          </cell>
        </row>
        <row r="19170">
          <cell r="A19170">
            <v>43717</v>
          </cell>
        </row>
        <row r="19171">
          <cell r="A19171">
            <v>43506</v>
          </cell>
        </row>
        <row r="19172">
          <cell r="A19172">
            <v>43177</v>
          </cell>
        </row>
        <row r="19173">
          <cell r="A19173">
            <v>43712</v>
          </cell>
        </row>
        <row r="19174">
          <cell r="A19174">
            <v>43148</v>
          </cell>
        </row>
        <row r="19175">
          <cell r="A19175">
            <v>43769</v>
          </cell>
        </row>
        <row r="19176">
          <cell r="A19176">
            <v>43813</v>
          </cell>
        </row>
        <row r="19177">
          <cell r="A19177">
            <v>43276</v>
          </cell>
        </row>
        <row r="19178">
          <cell r="A19178">
            <v>43828</v>
          </cell>
        </row>
        <row r="19179">
          <cell r="A19179">
            <v>43241</v>
          </cell>
        </row>
        <row r="19180">
          <cell r="A19180">
            <v>43183</v>
          </cell>
        </row>
        <row r="19181">
          <cell r="A19181">
            <v>43202</v>
          </cell>
        </row>
        <row r="19182">
          <cell r="A19182">
            <v>43332</v>
          </cell>
        </row>
        <row r="19183">
          <cell r="A19183">
            <v>43110</v>
          </cell>
        </row>
        <row r="19184">
          <cell r="A19184">
            <v>43775</v>
          </cell>
        </row>
        <row r="19185">
          <cell r="A19185">
            <v>43918</v>
          </cell>
        </row>
        <row r="19186">
          <cell r="A19186">
            <v>43261</v>
          </cell>
        </row>
        <row r="19187">
          <cell r="A19187">
            <v>43706</v>
          </cell>
        </row>
        <row r="19188">
          <cell r="A19188">
            <v>43530</v>
          </cell>
        </row>
        <row r="19189">
          <cell r="A19189">
            <v>43578</v>
          </cell>
        </row>
        <row r="19190">
          <cell r="A19190">
            <v>43427</v>
          </cell>
        </row>
        <row r="19191">
          <cell r="A19191">
            <v>43135</v>
          </cell>
        </row>
        <row r="19192">
          <cell r="A19192">
            <v>43490</v>
          </cell>
        </row>
        <row r="19193">
          <cell r="A19193">
            <v>43632</v>
          </cell>
        </row>
        <row r="19194">
          <cell r="A19194">
            <v>43709</v>
          </cell>
        </row>
        <row r="19195">
          <cell r="A19195">
            <v>43160</v>
          </cell>
        </row>
        <row r="19196">
          <cell r="A19196">
            <v>43291</v>
          </cell>
        </row>
        <row r="19197">
          <cell r="A19197">
            <v>43676</v>
          </cell>
        </row>
        <row r="19198">
          <cell r="A19198">
            <v>43357</v>
          </cell>
        </row>
        <row r="19199">
          <cell r="A19199">
            <v>43838</v>
          </cell>
        </row>
        <row r="19200">
          <cell r="A19200">
            <v>43530</v>
          </cell>
        </row>
        <row r="19201">
          <cell r="A19201">
            <v>43301</v>
          </cell>
        </row>
        <row r="19202">
          <cell r="A19202">
            <v>43568</v>
          </cell>
        </row>
        <row r="19203">
          <cell r="A19203">
            <v>43704</v>
          </cell>
        </row>
        <row r="19204">
          <cell r="A19204">
            <v>43483</v>
          </cell>
        </row>
        <row r="19205">
          <cell r="A19205">
            <v>43241</v>
          </cell>
        </row>
        <row r="19206">
          <cell r="A19206">
            <v>43304</v>
          </cell>
        </row>
        <row r="19207">
          <cell r="A19207">
            <v>43106</v>
          </cell>
        </row>
        <row r="19208">
          <cell r="A19208">
            <v>43878</v>
          </cell>
        </row>
        <row r="19209">
          <cell r="A19209">
            <v>43479</v>
          </cell>
        </row>
        <row r="19210">
          <cell r="A19210">
            <v>43542</v>
          </cell>
        </row>
        <row r="19211">
          <cell r="A19211">
            <v>43281</v>
          </cell>
        </row>
        <row r="19212">
          <cell r="A19212">
            <v>43590</v>
          </cell>
        </row>
        <row r="19213">
          <cell r="A19213">
            <v>43268</v>
          </cell>
        </row>
        <row r="19214">
          <cell r="A19214">
            <v>43710</v>
          </cell>
        </row>
        <row r="19215">
          <cell r="A19215">
            <v>43326</v>
          </cell>
        </row>
        <row r="19216">
          <cell r="A19216">
            <v>43235</v>
          </cell>
        </row>
        <row r="19217">
          <cell r="A19217">
            <v>43806</v>
          </cell>
        </row>
        <row r="19218">
          <cell r="A19218">
            <v>43545</v>
          </cell>
        </row>
        <row r="19219">
          <cell r="A19219">
            <v>43780</v>
          </cell>
        </row>
        <row r="19220">
          <cell r="A19220">
            <v>43783</v>
          </cell>
        </row>
        <row r="19221">
          <cell r="A19221">
            <v>43730</v>
          </cell>
        </row>
        <row r="19222">
          <cell r="A19222">
            <v>43889</v>
          </cell>
        </row>
        <row r="19223">
          <cell r="A19223">
            <v>43816</v>
          </cell>
        </row>
        <row r="19224">
          <cell r="A19224">
            <v>43322</v>
          </cell>
        </row>
        <row r="19225">
          <cell r="A19225">
            <v>43350</v>
          </cell>
        </row>
        <row r="19226">
          <cell r="A19226">
            <v>43578</v>
          </cell>
        </row>
        <row r="19227">
          <cell r="A19227">
            <v>43427</v>
          </cell>
        </row>
        <row r="19228">
          <cell r="A19228">
            <v>43293</v>
          </cell>
        </row>
        <row r="19229">
          <cell r="A19229">
            <v>43280</v>
          </cell>
        </row>
        <row r="19230">
          <cell r="A19230">
            <v>43712</v>
          </cell>
        </row>
        <row r="19231">
          <cell r="A19231">
            <v>43632</v>
          </cell>
        </row>
        <row r="19232">
          <cell r="A19232">
            <v>43549</v>
          </cell>
        </row>
        <row r="19233">
          <cell r="A19233">
            <v>43291</v>
          </cell>
        </row>
        <row r="19234">
          <cell r="A19234">
            <v>43783</v>
          </cell>
        </row>
        <row r="19235">
          <cell r="A19235">
            <v>43356</v>
          </cell>
        </row>
        <row r="19236">
          <cell r="A19236">
            <v>43139</v>
          </cell>
        </row>
        <row r="19237">
          <cell r="A19237">
            <v>43826</v>
          </cell>
        </row>
        <row r="19238">
          <cell r="A19238">
            <v>43188</v>
          </cell>
        </row>
        <row r="19239">
          <cell r="A19239">
            <v>43731</v>
          </cell>
        </row>
        <row r="19240">
          <cell r="A19240">
            <v>43443</v>
          </cell>
        </row>
        <row r="19241">
          <cell r="A19241">
            <v>43467</v>
          </cell>
        </row>
        <row r="19242">
          <cell r="A19242">
            <v>43149</v>
          </cell>
        </row>
        <row r="19243">
          <cell r="A19243">
            <v>43269</v>
          </cell>
        </row>
        <row r="19244">
          <cell r="A19244">
            <v>43145</v>
          </cell>
        </row>
        <row r="19245">
          <cell r="A19245">
            <v>43892</v>
          </cell>
        </row>
        <row r="19246">
          <cell r="A19246">
            <v>43716</v>
          </cell>
        </row>
        <row r="19247">
          <cell r="A19247">
            <v>43596</v>
          </cell>
        </row>
        <row r="19248">
          <cell r="A19248">
            <v>43305</v>
          </cell>
        </row>
        <row r="19249">
          <cell r="A19249">
            <v>43467</v>
          </cell>
        </row>
        <row r="19250">
          <cell r="A19250">
            <v>43900</v>
          </cell>
        </row>
        <row r="19251">
          <cell r="A19251">
            <v>43335</v>
          </cell>
        </row>
        <row r="19252">
          <cell r="A19252">
            <v>43378</v>
          </cell>
        </row>
        <row r="19253">
          <cell r="A19253">
            <v>43473</v>
          </cell>
        </row>
        <row r="19254">
          <cell r="A19254">
            <v>43113</v>
          </cell>
        </row>
        <row r="19255">
          <cell r="A19255">
            <v>43308</v>
          </cell>
        </row>
        <row r="19256">
          <cell r="A19256">
            <v>43745</v>
          </cell>
        </row>
        <row r="19257">
          <cell r="A19257">
            <v>43732</v>
          </cell>
        </row>
        <row r="19258">
          <cell r="A19258">
            <v>43735</v>
          </cell>
        </row>
        <row r="19259">
          <cell r="A19259">
            <v>43230</v>
          </cell>
        </row>
        <row r="19260">
          <cell r="A19260">
            <v>43770</v>
          </cell>
        </row>
        <row r="19261">
          <cell r="A19261">
            <v>43439</v>
          </cell>
        </row>
        <row r="19262">
          <cell r="A19262">
            <v>43557</v>
          </cell>
        </row>
        <row r="19263">
          <cell r="A19263">
            <v>43659</v>
          </cell>
        </row>
        <row r="19264">
          <cell r="A19264">
            <v>43915</v>
          </cell>
        </row>
        <row r="19265">
          <cell r="A19265">
            <v>43467</v>
          </cell>
        </row>
        <row r="19266">
          <cell r="A19266">
            <v>43117</v>
          </cell>
        </row>
        <row r="19267">
          <cell r="A19267">
            <v>43420</v>
          </cell>
        </row>
        <row r="19268">
          <cell r="A19268">
            <v>43445</v>
          </cell>
        </row>
        <row r="19269">
          <cell r="A19269">
            <v>43242</v>
          </cell>
        </row>
        <row r="19270">
          <cell r="A19270">
            <v>43340</v>
          </cell>
        </row>
        <row r="19271">
          <cell r="A19271">
            <v>43320</v>
          </cell>
        </row>
        <row r="19272">
          <cell r="A19272">
            <v>43797</v>
          </cell>
        </row>
        <row r="19273">
          <cell r="A19273">
            <v>43131</v>
          </cell>
        </row>
        <row r="19274">
          <cell r="A19274">
            <v>43790</v>
          </cell>
        </row>
        <row r="19275">
          <cell r="A19275">
            <v>43594</v>
          </cell>
        </row>
        <row r="19276">
          <cell r="A19276">
            <v>43181</v>
          </cell>
        </row>
        <row r="19277">
          <cell r="A19277">
            <v>43520</v>
          </cell>
        </row>
        <row r="19278">
          <cell r="A19278">
            <v>43596</v>
          </cell>
        </row>
        <row r="19279">
          <cell r="A19279">
            <v>43798</v>
          </cell>
        </row>
        <row r="19280">
          <cell r="A19280">
            <v>43850</v>
          </cell>
        </row>
        <row r="19281">
          <cell r="A19281">
            <v>43378</v>
          </cell>
        </row>
        <row r="19282">
          <cell r="A19282">
            <v>43169</v>
          </cell>
        </row>
        <row r="19283">
          <cell r="A19283">
            <v>43379</v>
          </cell>
        </row>
        <row r="19284">
          <cell r="A19284">
            <v>43691</v>
          </cell>
        </row>
        <row r="19285">
          <cell r="A19285">
            <v>43461</v>
          </cell>
        </row>
        <row r="19286">
          <cell r="A19286">
            <v>43140</v>
          </cell>
        </row>
        <row r="19287">
          <cell r="A19287">
            <v>43220</v>
          </cell>
        </row>
        <row r="19288">
          <cell r="A19288">
            <v>43481</v>
          </cell>
        </row>
        <row r="19289">
          <cell r="A19289">
            <v>43880</v>
          </cell>
        </row>
        <row r="19290">
          <cell r="A19290">
            <v>43795</v>
          </cell>
        </row>
        <row r="19291">
          <cell r="A19291">
            <v>43412</v>
          </cell>
        </row>
        <row r="19292">
          <cell r="A19292">
            <v>43738</v>
          </cell>
        </row>
        <row r="19293">
          <cell r="A19293">
            <v>43567</v>
          </cell>
        </row>
        <row r="19294">
          <cell r="A19294">
            <v>43671</v>
          </cell>
        </row>
        <row r="19295">
          <cell r="A19295">
            <v>43192</v>
          </cell>
        </row>
        <row r="19296">
          <cell r="A19296">
            <v>43474</v>
          </cell>
        </row>
        <row r="19297">
          <cell r="A19297">
            <v>43660</v>
          </cell>
        </row>
        <row r="19298">
          <cell r="A19298">
            <v>43842</v>
          </cell>
        </row>
        <row r="19299">
          <cell r="A19299">
            <v>43309</v>
          </cell>
        </row>
        <row r="19300">
          <cell r="A19300">
            <v>43514</v>
          </cell>
        </row>
        <row r="19301">
          <cell r="A19301">
            <v>43621</v>
          </cell>
        </row>
        <row r="19302">
          <cell r="A19302">
            <v>43484</v>
          </cell>
        </row>
        <row r="19303">
          <cell r="A19303">
            <v>43638</v>
          </cell>
        </row>
        <row r="19304">
          <cell r="A19304">
            <v>43153</v>
          </cell>
        </row>
        <row r="19305">
          <cell r="A19305">
            <v>43141</v>
          </cell>
        </row>
        <row r="19306">
          <cell r="A19306">
            <v>43849</v>
          </cell>
        </row>
        <row r="19307">
          <cell r="A19307">
            <v>43903</v>
          </cell>
        </row>
        <row r="19308">
          <cell r="A19308">
            <v>43235</v>
          </cell>
        </row>
        <row r="19309">
          <cell r="A19309">
            <v>43285</v>
          </cell>
        </row>
        <row r="19310">
          <cell r="A19310">
            <v>43497</v>
          </cell>
        </row>
        <row r="19311">
          <cell r="A19311">
            <v>43404</v>
          </cell>
        </row>
        <row r="19312">
          <cell r="A19312">
            <v>43462</v>
          </cell>
        </row>
        <row r="19313">
          <cell r="A19313">
            <v>43737</v>
          </cell>
        </row>
        <row r="19314">
          <cell r="A19314">
            <v>43258</v>
          </cell>
        </row>
        <row r="19315">
          <cell r="A19315">
            <v>43538</v>
          </cell>
        </row>
        <row r="19316">
          <cell r="A19316">
            <v>43344</v>
          </cell>
        </row>
        <row r="19317">
          <cell r="A19317">
            <v>43658</v>
          </cell>
        </row>
        <row r="19318">
          <cell r="A19318">
            <v>43123</v>
          </cell>
        </row>
        <row r="19319">
          <cell r="A19319">
            <v>43243</v>
          </cell>
        </row>
        <row r="19320">
          <cell r="A19320">
            <v>43534</v>
          </cell>
        </row>
        <row r="19321">
          <cell r="A19321">
            <v>43693</v>
          </cell>
        </row>
        <row r="19322">
          <cell r="A19322">
            <v>43458</v>
          </cell>
        </row>
        <row r="19323">
          <cell r="A19323">
            <v>43197</v>
          </cell>
        </row>
        <row r="19324">
          <cell r="A19324">
            <v>43101</v>
          </cell>
        </row>
        <row r="19325">
          <cell r="A19325">
            <v>43771</v>
          </cell>
        </row>
        <row r="19326">
          <cell r="A19326">
            <v>43463</v>
          </cell>
        </row>
        <row r="19327">
          <cell r="A19327">
            <v>43227</v>
          </cell>
        </row>
        <row r="19328">
          <cell r="A19328">
            <v>43450</v>
          </cell>
        </row>
        <row r="19329">
          <cell r="A19329">
            <v>43165</v>
          </cell>
        </row>
        <row r="19330">
          <cell r="A19330">
            <v>43848</v>
          </cell>
        </row>
        <row r="19331">
          <cell r="A19331">
            <v>43574</v>
          </cell>
        </row>
        <row r="19332">
          <cell r="A19332">
            <v>43870</v>
          </cell>
        </row>
        <row r="19333">
          <cell r="A19333">
            <v>43275</v>
          </cell>
        </row>
        <row r="19334">
          <cell r="A19334">
            <v>43197</v>
          </cell>
        </row>
        <row r="19335">
          <cell r="A19335">
            <v>43185</v>
          </cell>
        </row>
        <row r="19336">
          <cell r="A19336">
            <v>43336</v>
          </cell>
        </row>
        <row r="19337">
          <cell r="A19337">
            <v>43836</v>
          </cell>
        </row>
        <row r="19338">
          <cell r="A19338">
            <v>43848</v>
          </cell>
        </row>
        <row r="19339">
          <cell r="A19339">
            <v>43782</v>
          </cell>
        </row>
        <row r="19340">
          <cell r="A19340">
            <v>43728</v>
          </cell>
        </row>
        <row r="19341">
          <cell r="A19341">
            <v>43586</v>
          </cell>
        </row>
        <row r="19342">
          <cell r="A19342">
            <v>43762</v>
          </cell>
        </row>
        <row r="19343">
          <cell r="A19343">
            <v>43524</v>
          </cell>
        </row>
        <row r="19344">
          <cell r="A19344">
            <v>43182</v>
          </cell>
        </row>
        <row r="19345">
          <cell r="A19345">
            <v>43905</v>
          </cell>
        </row>
        <row r="19346">
          <cell r="A19346">
            <v>43572</v>
          </cell>
        </row>
        <row r="19347">
          <cell r="A19347">
            <v>43167</v>
          </cell>
        </row>
        <row r="19348">
          <cell r="A19348">
            <v>43392</v>
          </cell>
        </row>
        <row r="19349">
          <cell r="A19349">
            <v>43328</v>
          </cell>
        </row>
        <row r="19350">
          <cell r="A19350">
            <v>43794</v>
          </cell>
        </row>
        <row r="19351">
          <cell r="A19351">
            <v>43377</v>
          </cell>
        </row>
        <row r="19352">
          <cell r="A19352">
            <v>43586</v>
          </cell>
        </row>
        <row r="19353">
          <cell r="A19353">
            <v>43288</v>
          </cell>
        </row>
        <row r="19354">
          <cell r="A19354">
            <v>43734</v>
          </cell>
        </row>
        <row r="19355">
          <cell r="A19355">
            <v>43304</v>
          </cell>
        </row>
        <row r="19356">
          <cell r="A19356">
            <v>43700</v>
          </cell>
        </row>
        <row r="19357">
          <cell r="A19357">
            <v>43774</v>
          </cell>
        </row>
        <row r="19358">
          <cell r="A19358">
            <v>43678</v>
          </cell>
        </row>
        <row r="19359">
          <cell r="A19359">
            <v>43150</v>
          </cell>
        </row>
        <row r="19360">
          <cell r="A19360">
            <v>43177</v>
          </cell>
        </row>
        <row r="19361">
          <cell r="A19361">
            <v>43324</v>
          </cell>
        </row>
        <row r="19362">
          <cell r="A19362">
            <v>43776</v>
          </cell>
        </row>
        <row r="19363">
          <cell r="A19363">
            <v>43495</v>
          </cell>
        </row>
        <row r="19364">
          <cell r="A19364">
            <v>43205</v>
          </cell>
        </row>
        <row r="19365">
          <cell r="A19365">
            <v>43229</v>
          </cell>
        </row>
        <row r="19366">
          <cell r="A19366">
            <v>43784</v>
          </cell>
        </row>
        <row r="19367">
          <cell r="A19367">
            <v>43702</v>
          </cell>
        </row>
        <row r="19368">
          <cell r="A19368">
            <v>43610</v>
          </cell>
        </row>
        <row r="19369">
          <cell r="A19369">
            <v>43278</v>
          </cell>
        </row>
        <row r="19370">
          <cell r="A19370">
            <v>43274</v>
          </cell>
        </row>
        <row r="19371">
          <cell r="A19371">
            <v>43460</v>
          </cell>
        </row>
        <row r="19372">
          <cell r="A19372">
            <v>43346</v>
          </cell>
        </row>
        <row r="19373">
          <cell r="A19373">
            <v>43120</v>
          </cell>
        </row>
        <row r="19374">
          <cell r="A19374">
            <v>43365</v>
          </cell>
        </row>
        <row r="19375">
          <cell r="A19375">
            <v>43429</v>
          </cell>
        </row>
        <row r="19376">
          <cell r="A19376">
            <v>43329</v>
          </cell>
        </row>
        <row r="19377">
          <cell r="A19377">
            <v>43666</v>
          </cell>
        </row>
        <row r="19378">
          <cell r="A19378">
            <v>43124</v>
          </cell>
        </row>
        <row r="19379">
          <cell r="A19379">
            <v>43719</v>
          </cell>
        </row>
        <row r="19380">
          <cell r="A19380">
            <v>43333</v>
          </cell>
        </row>
        <row r="19381">
          <cell r="A19381">
            <v>43326</v>
          </cell>
        </row>
        <row r="19382">
          <cell r="A19382">
            <v>43373</v>
          </cell>
        </row>
        <row r="19383">
          <cell r="A19383">
            <v>43577</v>
          </cell>
        </row>
        <row r="19384">
          <cell r="A19384">
            <v>43521</v>
          </cell>
        </row>
        <row r="19385">
          <cell r="A19385">
            <v>43187</v>
          </cell>
        </row>
        <row r="19386">
          <cell r="A19386">
            <v>43512</v>
          </cell>
        </row>
        <row r="19387">
          <cell r="A19387">
            <v>43571</v>
          </cell>
        </row>
        <row r="19388">
          <cell r="A19388">
            <v>43409</v>
          </cell>
        </row>
        <row r="19389">
          <cell r="A19389">
            <v>43622</v>
          </cell>
        </row>
        <row r="19390">
          <cell r="A19390">
            <v>43190</v>
          </cell>
        </row>
        <row r="19391">
          <cell r="A19391">
            <v>43113</v>
          </cell>
        </row>
        <row r="19392">
          <cell r="A19392">
            <v>43426</v>
          </cell>
        </row>
        <row r="19393">
          <cell r="A19393">
            <v>43472</v>
          </cell>
        </row>
        <row r="19394">
          <cell r="A19394">
            <v>43763</v>
          </cell>
        </row>
        <row r="19395">
          <cell r="A19395">
            <v>43684</v>
          </cell>
        </row>
        <row r="19396">
          <cell r="A19396">
            <v>43336</v>
          </cell>
        </row>
        <row r="19397">
          <cell r="A19397">
            <v>43673</v>
          </cell>
        </row>
        <row r="19398">
          <cell r="A19398">
            <v>43708</v>
          </cell>
        </row>
        <row r="19399">
          <cell r="A19399">
            <v>43345</v>
          </cell>
        </row>
        <row r="19400">
          <cell r="A19400">
            <v>43411</v>
          </cell>
        </row>
        <row r="19401">
          <cell r="A19401">
            <v>43313</v>
          </cell>
        </row>
        <row r="19402">
          <cell r="A19402">
            <v>43239</v>
          </cell>
        </row>
        <row r="19403">
          <cell r="A19403">
            <v>43187</v>
          </cell>
        </row>
        <row r="19404">
          <cell r="A19404">
            <v>43803</v>
          </cell>
        </row>
        <row r="19405">
          <cell r="A19405">
            <v>43461</v>
          </cell>
        </row>
        <row r="19406">
          <cell r="A19406">
            <v>43231</v>
          </cell>
        </row>
        <row r="19407">
          <cell r="A19407">
            <v>43130</v>
          </cell>
        </row>
        <row r="19408">
          <cell r="A19408">
            <v>43689</v>
          </cell>
        </row>
        <row r="19409">
          <cell r="A19409">
            <v>43905</v>
          </cell>
        </row>
        <row r="19410">
          <cell r="A19410">
            <v>43307</v>
          </cell>
        </row>
        <row r="19411">
          <cell r="A19411">
            <v>43114</v>
          </cell>
        </row>
        <row r="19412">
          <cell r="A19412">
            <v>43520</v>
          </cell>
        </row>
        <row r="19413">
          <cell r="A19413">
            <v>43304</v>
          </cell>
        </row>
        <row r="19414">
          <cell r="A19414">
            <v>43657</v>
          </cell>
        </row>
        <row r="19415">
          <cell r="A19415">
            <v>43704</v>
          </cell>
        </row>
        <row r="19416">
          <cell r="A19416">
            <v>43865</v>
          </cell>
        </row>
        <row r="19417">
          <cell r="A19417">
            <v>43568</v>
          </cell>
        </row>
        <row r="19418">
          <cell r="A19418">
            <v>43602</v>
          </cell>
        </row>
        <row r="19419">
          <cell r="A19419">
            <v>43121</v>
          </cell>
        </row>
        <row r="19420">
          <cell r="A19420">
            <v>43847</v>
          </cell>
        </row>
        <row r="19421">
          <cell r="A19421">
            <v>43674</v>
          </cell>
        </row>
        <row r="19422">
          <cell r="A19422">
            <v>43427</v>
          </cell>
        </row>
        <row r="19423">
          <cell r="A19423">
            <v>43442</v>
          </cell>
        </row>
        <row r="19424">
          <cell r="A19424">
            <v>43132</v>
          </cell>
        </row>
        <row r="19425">
          <cell r="A19425">
            <v>43353</v>
          </cell>
        </row>
        <row r="19426">
          <cell r="A19426">
            <v>43297</v>
          </cell>
        </row>
        <row r="19427">
          <cell r="A19427">
            <v>43794</v>
          </cell>
        </row>
        <row r="19428">
          <cell r="A19428">
            <v>43540</v>
          </cell>
        </row>
        <row r="19429">
          <cell r="A19429">
            <v>43789</v>
          </cell>
        </row>
        <row r="19430">
          <cell r="A19430">
            <v>43843</v>
          </cell>
        </row>
        <row r="19431">
          <cell r="A19431">
            <v>43362</v>
          </cell>
        </row>
        <row r="19432">
          <cell r="A19432">
            <v>43409</v>
          </cell>
        </row>
        <row r="19433">
          <cell r="A19433">
            <v>43720</v>
          </cell>
        </row>
        <row r="19434">
          <cell r="A19434">
            <v>43700</v>
          </cell>
        </row>
        <row r="19435">
          <cell r="A19435">
            <v>43236</v>
          </cell>
        </row>
        <row r="19436">
          <cell r="A19436">
            <v>43226</v>
          </cell>
        </row>
        <row r="19437">
          <cell r="A19437">
            <v>43773</v>
          </cell>
        </row>
        <row r="19438">
          <cell r="A19438">
            <v>43856</v>
          </cell>
        </row>
        <row r="19439">
          <cell r="A19439">
            <v>43585</v>
          </cell>
        </row>
        <row r="19440">
          <cell r="A19440">
            <v>43844</v>
          </cell>
        </row>
        <row r="19441">
          <cell r="A19441">
            <v>43767</v>
          </cell>
        </row>
        <row r="19442">
          <cell r="A19442">
            <v>43763</v>
          </cell>
        </row>
        <row r="19443">
          <cell r="A19443">
            <v>43492</v>
          </cell>
        </row>
        <row r="19444">
          <cell r="A19444">
            <v>43575</v>
          </cell>
        </row>
        <row r="19445">
          <cell r="A19445">
            <v>43269</v>
          </cell>
        </row>
        <row r="19446">
          <cell r="A19446">
            <v>43880</v>
          </cell>
        </row>
        <row r="19447">
          <cell r="A19447">
            <v>43232</v>
          </cell>
        </row>
        <row r="19448">
          <cell r="A19448">
            <v>43554</v>
          </cell>
        </row>
        <row r="19449">
          <cell r="A19449">
            <v>43321</v>
          </cell>
        </row>
        <row r="19450">
          <cell r="A19450">
            <v>43887</v>
          </cell>
        </row>
        <row r="19451">
          <cell r="A19451">
            <v>43725</v>
          </cell>
        </row>
        <row r="19452">
          <cell r="A19452">
            <v>43511</v>
          </cell>
        </row>
        <row r="19453">
          <cell r="A19453">
            <v>43105</v>
          </cell>
        </row>
        <row r="19454">
          <cell r="A19454">
            <v>43379</v>
          </cell>
        </row>
        <row r="19455">
          <cell r="A19455">
            <v>43632</v>
          </cell>
        </row>
        <row r="19456">
          <cell r="A19456">
            <v>43627</v>
          </cell>
        </row>
        <row r="19457">
          <cell r="A19457">
            <v>43283</v>
          </cell>
        </row>
        <row r="19458">
          <cell r="A19458">
            <v>43464</v>
          </cell>
        </row>
        <row r="19459">
          <cell r="A19459">
            <v>43234</v>
          </cell>
        </row>
        <row r="19460">
          <cell r="A19460">
            <v>43604</v>
          </cell>
        </row>
        <row r="19461">
          <cell r="A19461">
            <v>43759</v>
          </cell>
        </row>
        <row r="19462">
          <cell r="A19462">
            <v>43335</v>
          </cell>
        </row>
        <row r="19463">
          <cell r="A19463">
            <v>43777</v>
          </cell>
        </row>
        <row r="19464">
          <cell r="A19464">
            <v>43167</v>
          </cell>
        </row>
        <row r="19465">
          <cell r="A19465">
            <v>43831</v>
          </cell>
        </row>
        <row r="19466">
          <cell r="A19466">
            <v>43328</v>
          </cell>
        </row>
        <row r="19467">
          <cell r="A19467">
            <v>43559</v>
          </cell>
        </row>
        <row r="19468">
          <cell r="A19468">
            <v>43261</v>
          </cell>
        </row>
        <row r="19469">
          <cell r="A19469">
            <v>43816</v>
          </cell>
        </row>
        <row r="19470">
          <cell r="A19470">
            <v>43460</v>
          </cell>
        </row>
        <row r="19471">
          <cell r="A19471">
            <v>43159</v>
          </cell>
        </row>
        <row r="19472">
          <cell r="A19472">
            <v>43531</v>
          </cell>
        </row>
        <row r="19473">
          <cell r="A19473">
            <v>43664</v>
          </cell>
        </row>
        <row r="19474">
          <cell r="A19474">
            <v>43901</v>
          </cell>
        </row>
        <row r="19475">
          <cell r="A19475">
            <v>43887</v>
          </cell>
        </row>
        <row r="19476">
          <cell r="A19476">
            <v>43514</v>
          </cell>
        </row>
        <row r="19477">
          <cell r="A19477">
            <v>43249</v>
          </cell>
        </row>
        <row r="19478">
          <cell r="A19478">
            <v>43775</v>
          </cell>
        </row>
        <row r="19479">
          <cell r="A19479">
            <v>43166</v>
          </cell>
        </row>
        <row r="19480">
          <cell r="A19480">
            <v>43881</v>
          </cell>
        </row>
        <row r="19481">
          <cell r="A19481">
            <v>43331</v>
          </cell>
        </row>
        <row r="19482">
          <cell r="A19482">
            <v>43459</v>
          </cell>
        </row>
        <row r="19483">
          <cell r="A19483">
            <v>43726</v>
          </cell>
        </row>
        <row r="19484">
          <cell r="A19484">
            <v>43814</v>
          </cell>
        </row>
        <row r="19485">
          <cell r="A19485">
            <v>43780</v>
          </cell>
        </row>
        <row r="19486">
          <cell r="A19486">
            <v>43852</v>
          </cell>
        </row>
        <row r="19487">
          <cell r="A19487">
            <v>43895</v>
          </cell>
        </row>
        <row r="19488">
          <cell r="A19488">
            <v>43773</v>
          </cell>
        </row>
        <row r="19489">
          <cell r="A19489">
            <v>43157</v>
          </cell>
        </row>
        <row r="19490">
          <cell r="A19490">
            <v>43327</v>
          </cell>
        </row>
        <row r="19491">
          <cell r="A19491">
            <v>43233</v>
          </cell>
        </row>
        <row r="19492">
          <cell r="A19492">
            <v>43547</v>
          </cell>
        </row>
        <row r="19493">
          <cell r="A19493">
            <v>43471</v>
          </cell>
        </row>
        <row r="19494">
          <cell r="A19494">
            <v>43898</v>
          </cell>
        </row>
        <row r="19495">
          <cell r="A19495">
            <v>43320</v>
          </cell>
        </row>
        <row r="19496">
          <cell r="A19496">
            <v>43846</v>
          </cell>
        </row>
        <row r="19497">
          <cell r="A19497">
            <v>43416</v>
          </cell>
        </row>
        <row r="19498">
          <cell r="A19498">
            <v>43500</v>
          </cell>
        </row>
        <row r="19499">
          <cell r="A19499">
            <v>43528</v>
          </cell>
        </row>
        <row r="19500">
          <cell r="A19500">
            <v>43288</v>
          </cell>
        </row>
        <row r="19501">
          <cell r="A19501">
            <v>43248</v>
          </cell>
        </row>
        <row r="19502">
          <cell r="A19502">
            <v>43838</v>
          </cell>
        </row>
        <row r="19503">
          <cell r="A19503">
            <v>43790</v>
          </cell>
        </row>
        <row r="19504">
          <cell r="A19504">
            <v>43199</v>
          </cell>
        </row>
        <row r="19505">
          <cell r="A19505">
            <v>43473</v>
          </cell>
        </row>
        <row r="19506">
          <cell r="A19506">
            <v>43802</v>
          </cell>
        </row>
        <row r="19507">
          <cell r="A19507">
            <v>43824</v>
          </cell>
        </row>
        <row r="19508">
          <cell r="A19508">
            <v>43264</v>
          </cell>
        </row>
        <row r="19509">
          <cell r="A19509">
            <v>43787</v>
          </cell>
        </row>
        <row r="19510">
          <cell r="A19510">
            <v>43383</v>
          </cell>
        </row>
        <row r="19511">
          <cell r="A19511">
            <v>43811</v>
          </cell>
        </row>
        <row r="19512">
          <cell r="A19512">
            <v>43654</v>
          </cell>
        </row>
        <row r="19513">
          <cell r="A19513">
            <v>43354</v>
          </cell>
        </row>
        <row r="19514">
          <cell r="A19514">
            <v>43279</v>
          </cell>
        </row>
        <row r="19515">
          <cell r="A19515">
            <v>43850</v>
          </cell>
        </row>
        <row r="19516">
          <cell r="A19516">
            <v>43384</v>
          </cell>
        </row>
        <row r="19517">
          <cell r="A19517">
            <v>43163</v>
          </cell>
        </row>
        <row r="19518">
          <cell r="A19518">
            <v>43683</v>
          </cell>
        </row>
        <row r="19519">
          <cell r="A19519">
            <v>43507</v>
          </cell>
        </row>
        <row r="19520">
          <cell r="A19520">
            <v>43221</v>
          </cell>
        </row>
        <row r="19521">
          <cell r="A19521">
            <v>43377</v>
          </cell>
        </row>
        <row r="19522">
          <cell r="A19522">
            <v>43526</v>
          </cell>
        </row>
        <row r="19523">
          <cell r="A19523">
            <v>43472</v>
          </cell>
        </row>
        <row r="19524">
          <cell r="A19524">
            <v>43479</v>
          </cell>
        </row>
        <row r="19525">
          <cell r="A19525">
            <v>43889</v>
          </cell>
        </row>
        <row r="19526">
          <cell r="A19526">
            <v>43914</v>
          </cell>
        </row>
        <row r="19527">
          <cell r="A19527">
            <v>43304</v>
          </cell>
        </row>
        <row r="19528">
          <cell r="A19528">
            <v>43646</v>
          </cell>
        </row>
        <row r="19529">
          <cell r="A19529">
            <v>43511</v>
          </cell>
        </row>
        <row r="19530">
          <cell r="A19530">
            <v>43799</v>
          </cell>
        </row>
        <row r="19531">
          <cell r="A19531">
            <v>43874</v>
          </cell>
        </row>
        <row r="19532">
          <cell r="A19532">
            <v>43244</v>
          </cell>
        </row>
        <row r="19533">
          <cell r="A19533">
            <v>43756</v>
          </cell>
        </row>
        <row r="19534">
          <cell r="A19534">
            <v>43785</v>
          </cell>
        </row>
        <row r="19535">
          <cell r="A19535">
            <v>43368</v>
          </cell>
        </row>
        <row r="19536">
          <cell r="A19536">
            <v>43563</v>
          </cell>
        </row>
        <row r="19537">
          <cell r="A19537">
            <v>43839</v>
          </cell>
        </row>
        <row r="19538">
          <cell r="A19538">
            <v>43742</v>
          </cell>
        </row>
        <row r="19539">
          <cell r="A19539">
            <v>43868</v>
          </cell>
        </row>
        <row r="19540">
          <cell r="A19540">
            <v>43806</v>
          </cell>
        </row>
        <row r="19541">
          <cell r="A19541">
            <v>43640</v>
          </cell>
        </row>
        <row r="19542">
          <cell r="A19542">
            <v>43709</v>
          </cell>
        </row>
        <row r="19543">
          <cell r="A19543">
            <v>43828</v>
          </cell>
        </row>
        <row r="19544">
          <cell r="A19544">
            <v>43535</v>
          </cell>
        </row>
        <row r="19545">
          <cell r="A19545">
            <v>43327</v>
          </cell>
        </row>
        <row r="19546">
          <cell r="A19546">
            <v>43382</v>
          </cell>
        </row>
        <row r="19547">
          <cell r="A19547">
            <v>43215</v>
          </cell>
        </row>
        <row r="19548">
          <cell r="A19548">
            <v>43202</v>
          </cell>
        </row>
        <row r="19549">
          <cell r="A19549">
            <v>43908</v>
          </cell>
        </row>
        <row r="19550">
          <cell r="A19550">
            <v>43554</v>
          </cell>
        </row>
        <row r="19551">
          <cell r="A19551">
            <v>43459</v>
          </cell>
        </row>
        <row r="19552">
          <cell r="A19552">
            <v>43582</v>
          </cell>
        </row>
        <row r="19553">
          <cell r="A19553">
            <v>43562</v>
          </cell>
        </row>
        <row r="19554">
          <cell r="A19554">
            <v>43274</v>
          </cell>
        </row>
        <row r="19555">
          <cell r="A19555">
            <v>43303</v>
          </cell>
        </row>
        <row r="19556">
          <cell r="A19556">
            <v>43497</v>
          </cell>
        </row>
        <row r="19557">
          <cell r="A19557">
            <v>43616</v>
          </cell>
        </row>
        <row r="19558">
          <cell r="A19558">
            <v>43769</v>
          </cell>
        </row>
        <row r="19559">
          <cell r="A19559">
            <v>43843</v>
          </cell>
        </row>
        <row r="19560">
          <cell r="A19560">
            <v>43805</v>
          </cell>
        </row>
        <row r="19561">
          <cell r="A19561">
            <v>43548</v>
          </cell>
        </row>
        <row r="19562">
          <cell r="A19562">
            <v>43391</v>
          </cell>
        </row>
        <row r="19563">
          <cell r="A19563">
            <v>43440</v>
          </cell>
        </row>
        <row r="19564">
          <cell r="A19564">
            <v>43671</v>
          </cell>
        </row>
        <row r="19565">
          <cell r="A19565">
            <v>43106</v>
          </cell>
        </row>
        <row r="19566">
          <cell r="A19566">
            <v>43107</v>
          </cell>
        </row>
        <row r="19567">
          <cell r="A19567">
            <v>43322</v>
          </cell>
        </row>
        <row r="19568">
          <cell r="A19568">
            <v>43172</v>
          </cell>
        </row>
        <row r="19569">
          <cell r="A19569">
            <v>43628</v>
          </cell>
        </row>
        <row r="19570">
          <cell r="A19570">
            <v>43232</v>
          </cell>
        </row>
        <row r="19571">
          <cell r="A19571">
            <v>43119</v>
          </cell>
        </row>
        <row r="19572">
          <cell r="A19572">
            <v>43485</v>
          </cell>
        </row>
        <row r="19573">
          <cell r="A19573">
            <v>43771</v>
          </cell>
        </row>
        <row r="19574">
          <cell r="A19574">
            <v>43233</v>
          </cell>
        </row>
        <row r="19575">
          <cell r="A19575">
            <v>43210</v>
          </cell>
        </row>
        <row r="19576">
          <cell r="A19576">
            <v>43836</v>
          </cell>
        </row>
        <row r="19577">
          <cell r="A19577">
            <v>43275</v>
          </cell>
        </row>
        <row r="19578">
          <cell r="A19578">
            <v>43632</v>
          </cell>
        </row>
        <row r="19579">
          <cell r="A19579">
            <v>43437</v>
          </cell>
        </row>
        <row r="19580">
          <cell r="A19580">
            <v>43339</v>
          </cell>
        </row>
        <row r="19581">
          <cell r="A19581">
            <v>43848</v>
          </cell>
        </row>
        <row r="19582">
          <cell r="A19582">
            <v>43881</v>
          </cell>
        </row>
        <row r="19583">
          <cell r="A19583">
            <v>43524</v>
          </cell>
        </row>
        <row r="19584">
          <cell r="A19584">
            <v>43456</v>
          </cell>
        </row>
        <row r="19585">
          <cell r="A19585">
            <v>43584</v>
          </cell>
        </row>
        <row r="19586">
          <cell r="A19586">
            <v>43284</v>
          </cell>
        </row>
        <row r="19587">
          <cell r="A19587">
            <v>43869</v>
          </cell>
        </row>
        <row r="19588">
          <cell r="A19588">
            <v>43142</v>
          </cell>
        </row>
        <row r="19589">
          <cell r="A19589">
            <v>43633</v>
          </cell>
        </row>
        <row r="19590">
          <cell r="A19590">
            <v>43700</v>
          </cell>
        </row>
        <row r="19591">
          <cell r="A19591">
            <v>43334</v>
          </cell>
        </row>
        <row r="19592">
          <cell r="A19592">
            <v>43112</v>
          </cell>
        </row>
        <row r="19593">
          <cell r="A19593">
            <v>43888</v>
          </cell>
        </row>
        <row r="19594">
          <cell r="A19594">
            <v>43282</v>
          </cell>
        </row>
        <row r="19595">
          <cell r="A19595">
            <v>43487</v>
          </cell>
        </row>
        <row r="19596">
          <cell r="A19596">
            <v>43667</v>
          </cell>
        </row>
        <row r="19597">
          <cell r="A19597">
            <v>43865</v>
          </cell>
        </row>
        <row r="19598">
          <cell r="A19598">
            <v>43435</v>
          </cell>
        </row>
        <row r="19599">
          <cell r="A19599">
            <v>43353</v>
          </cell>
        </row>
        <row r="19600">
          <cell r="A19600">
            <v>43202</v>
          </cell>
        </row>
        <row r="19601">
          <cell r="A19601">
            <v>43366</v>
          </cell>
        </row>
        <row r="19602">
          <cell r="A19602">
            <v>43311</v>
          </cell>
        </row>
        <row r="19603">
          <cell r="A19603">
            <v>43402</v>
          </cell>
        </row>
        <row r="19604">
          <cell r="A19604">
            <v>43556</v>
          </cell>
        </row>
        <row r="19605">
          <cell r="A19605">
            <v>43677</v>
          </cell>
        </row>
        <row r="19606">
          <cell r="A19606">
            <v>43452</v>
          </cell>
        </row>
        <row r="19607">
          <cell r="A19607">
            <v>43330</v>
          </cell>
        </row>
        <row r="19608">
          <cell r="A19608">
            <v>43610</v>
          </cell>
        </row>
        <row r="19609">
          <cell r="A19609">
            <v>43287</v>
          </cell>
        </row>
        <row r="19610">
          <cell r="A19610">
            <v>43151</v>
          </cell>
        </row>
        <row r="19611">
          <cell r="A19611">
            <v>43862</v>
          </cell>
        </row>
        <row r="19612">
          <cell r="A19612">
            <v>43907</v>
          </cell>
        </row>
        <row r="19613">
          <cell r="A19613">
            <v>43889</v>
          </cell>
        </row>
        <row r="19614">
          <cell r="A19614">
            <v>43772</v>
          </cell>
        </row>
        <row r="19615">
          <cell r="A19615">
            <v>43899</v>
          </cell>
        </row>
        <row r="19616">
          <cell r="A19616">
            <v>43680</v>
          </cell>
        </row>
        <row r="19617">
          <cell r="A19617">
            <v>43751</v>
          </cell>
        </row>
        <row r="19618">
          <cell r="A19618">
            <v>43838</v>
          </cell>
        </row>
        <row r="19619">
          <cell r="A19619">
            <v>43895</v>
          </cell>
        </row>
        <row r="19620">
          <cell r="A19620">
            <v>43132</v>
          </cell>
        </row>
        <row r="19621">
          <cell r="A19621">
            <v>43654</v>
          </cell>
        </row>
        <row r="19622">
          <cell r="A19622">
            <v>43171</v>
          </cell>
        </row>
        <row r="19623">
          <cell r="A19623">
            <v>43137</v>
          </cell>
        </row>
        <row r="19624">
          <cell r="A19624">
            <v>43386</v>
          </cell>
        </row>
        <row r="19625">
          <cell r="A19625">
            <v>43223</v>
          </cell>
        </row>
        <row r="19626">
          <cell r="A19626">
            <v>43777</v>
          </cell>
        </row>
        <row r="19627">
          <cell r="A19627">
            <v>43228</v>
          </cell>
        </row>
        <row r="19628">
          <cell r="A19628">
            <v>43820</v>
          </cell>
        </row>
        <row r="19629">
          <cell r="A19629">
            <v>43184</v>
          </cell>
        </row>
        <row r="19630">
          <cell r="A19630">
            <v>43208</v>
          </cell>
        </row>
        <row r="19631">
          <cell r="A19631">
            <v>43785</v>
          </cell>
        </row>
        <row r="19632">
          <cell r="A19632">
            <v>43102</v>
          </cell>
        </row>
        <row r="19633">
          <cell r="A19633">
            <v>43576</v>
          </cell>
        </row>
        <row r="19634">
          <cell r="A19634">
            <v>43163</v>
          </cell>
        </row>
        <row r="19635">
          <cell r="A19635">
            <v>43632</v>
          </cell>
        </row>
        <row r="19636">
          <cell r="A19636">
            <v>43592</v>
          </cell>
        </row>
        <row r="19637">
          <cell r="A19637">
            <v>43463</v>
          </cell>
        </row>
        <row r="19638">
          <cell r="A19638">
            <v>43201</v>
          </cell>
        </row>
        <row r="19639">
          <cell r="A19639">
            <v>43254</v>
          </cell>
        </row>
        <row r="19640">
          <cell r="A19640">
            <v>43913</v>
          </cell>
        </row>
        <row r="19641">
          <cell r="A19641">
            <v>43791</v>
          </cell>
        </row>
        <row r="19642">
          <cell r="A19642">
            <v>43342</v>
          </cell>
        </row>
        <row r="19643">
          <cell r="A19643">
            <v>43460</v>
          </cell>
        </row>
        <row r="19644">
          <cell r="A19644">
            <v>43494</v>
          </cell>
        </row>
        <row r="19645">
          <cell r="A19645">
            <v>43870</v>
          </cell>
        </row>
        <row r="19646">
          <cell r="A19646">
            <v>43618</v>
          </cell>
        </row>
        <row r="19647">
          <cell r="A19647">
            <v>43332</v>
          </cell>
        </row>
        <row r="19648">
          <cell r="A19648">
            <v>43168</v>
          </cell>
        </row>
        <row r="19649">
          <cell r="A19649">
            <v>43868</v>
          </cell>
        </row>
        <row r="19650">
          <cell r="A19650">
            <v>43553</v>
          </cell>
        </row>
        <row r="19651">
          <cell r="A19651">
            <v>43479</v>
          </cell>
        </row>
        <row r="19652">
          <cell r="A19652">
            <v>43330</v>
          </cell>
        </row>
        <row r="19653">
          <cell r="A19653">
            <v>43681</v>
          </cell>
        </row>
        <row r="19654">
          <cell r="A19654">
            <v>43363</v>
          </cell>
        </row>
        <row r="19655">
          <cell r="A19655">
            <v>43857</v>
          </cell>
        </row>
        <row r="19656">
          <cell r="A19656">
            <v>43209</v>
          </cell>
        </row>
        <row r="19657">
          <cell r="A19657">
            <v>43119</v>
          </cell>
        </row>
        <row r="19658">
          <cell r="A19658">
            <v>43642</v>
          </cell>
        </row>
        <row r="19659">
          <cell r="A19659">
            <v>43908</v>
          </cell>
        </row>
        <row r="19660">
          <cell r="A19660">
            <v>43901</v>
          </cell>
        </row>
        <row r="19661">
          <cell r="A19661">
            <v>43208</v>
          </cell>
        </row>
        <row r="19662">
          <cell r="A19662">
            <v>43806</v>
          </cell>
        </row>
        <row r="19663">
          <cell r="A19663">
            <v>43144</v>
          </cell>
        </row>
        <row r="19664">
          <cell r="A19664">
            <v>43344</v>
          </cell>
        </row>
        <row r="19665">
          <cell r="A19665">
            <v>43914</v>
          </cell>
        </row>
        <row r="19666">
          <cell r="A19666">
            <v>43508</v>
          </cell>
        </row>
        <row r="19667">
          <cell r="A19667">
            <v>43498</v>
          </cell>
        </row>
        <row r="19668">
          <cell r="A19668">
            <v>43123</v>
          </cell>
        </row>
        <row r="19669">
          <cell r="A19669">
            <v>43396</v>
          </cell>
        </row>
        <row r="19670">
          <cell r="A19670">
            <v>43890</v>
          </cell>
        </row>
        <row r="19671">
          <cell r="A19671">
            <v>43603</v>
          </cell>
        </row>
        <row r="19672">
          <cell r="A19672">
            <v>43132</v>
          </cell>
        </row>
        <row r="19673">
          <cell r="A19673">
            <v>43357</v>
          </cell>
        </row>
        <row r="19674">
          <cell r="A19674">
            <v>43785</v>
          </cell>
        </row>
        <row r="19675">
          <cell r="A19675">
            <v>43889</v>
          </cell>
        </row>
        <row r="19676">
          <cell r="A19676">
            <v>43723</v>
          </cell>
        </row>
        <row r="19677">
          <cell r="A19677">
            <v>43638</v>
          </cell>
        </row>
        <row r="19678">
          <cell r="A19678">
            <v>43548</v>
          </cell>
        </row>
        <row r="19679">
          <cell r="A19679">
            <v>43119</v>
          </cell>
        </row>
        <row r="19680">
          <cell r="A19680">
            <v>43600</v>
          </cell>
        </row>
        <row r="19681">
          <cell r="A19681">
            <v>43134</v>
          </cell>
        </row>
        <row r="19682">
          <cell r="A19682">
            <v>43177</v>
          </cell>
        </row>
        <row r="19683">
          <cell r="A19683">
            <v>43231</v>
          </cell>
        </row>
        <row r="19684">
          <cell r="A19684">
            <v>43381</v>
          </cell>
        </row>
        <row r="19685">
          <cell r="A19685">
            <v>43851</v>
          </cell>
        </row>
        <row r="19686">
          <cell r="A19686">
            <v>43680</v>
          </cell>
        </row>
        <row r="19687">
          <cell r="A19687">
            <v>43473</v>
          </cell>
        </row>
        <row r="19688">
          <cell r="A19688">
            <v>43802</v>
          </cell>
        </row>
        <row r="19689">
          <cell r="A19689">
            <v>43212</v>
          </cell>
        </row>
        <row r="19690">
          <cell r="A19690">
            <v>43751</v>
          </cell>
        </row>
        <row r="19691">
          <cell r="A19691">
            <v>43826</v>
          </cell>
        </row>
        <row r="19692">
          <cell r="A19692">
            <v>43113</v>
          </cell>
        </row>
        <row r="19693">
          <cell r="A19693">
            <v>43664</v>
          </cell>
        </row>
        <row r="19694">
          <cell r="A19694">
            <v>43555</v>
          </cell>
        </row>
        <row r="19695">
          <cell r="A19695">
            <v>43228</v>
          </cell>
        </row>
        <row r="19696">
          <cell r="A19696">
            <v>43273</v>
          </cell>
        </row>
        <row r="19697">
          <cell r="A19697">
            <v>43363</v>
          </cell>
        </row>
        <row r="19698">
          <cell r="A19698">
            <v>43415</v>
          </cell>
        </row>
        <row r="19699">
          <cell r="A19699">
            <v>43257</v>
          </cell>
        </row>
        <row r="19700">
          <cell r="A19700">
            <v>43780</v>
          </cell>
        </row>
        <row r="19701">
          <cell r="A19701">
            <v>43256</v>
          </cell>
        </row>
        <row r="19702">
          <cell r="A19702">
            <v>43790</v>
          </cell>
        </row>
        <row r="19703">
          <cell r="A19703">
            <v>43597</v>
          </cell>
        </row>
        <row r="19704">
          <cell r="A19704">
            <v>43874</v>
          </cell>
        </row>
        <row r="19705">
          <cell r="A19705">
            <v>43221</v>
          </cell>
        </row>
        <row r="19706">
          <cell r="A19706">
            <v>43820</v>
          </cell>
        </row>
        <row r="19707">
          <cell r="A19707">
            <v>43626</v>
          </cell>
        </row>
        <row r="19708">
          <cell r="A19708">
            <v>43654</v>
          </cell>
        </row>
        <row r="19709">
          <cell r="A19709">
            <v>43789</v>
          </cell>
        </row>
        <row r="19710">
          <cell r="A19710">
            <v>43550</v>
          </cell>
        </row>
        <row r="19711">
          <cell r="A19711">
            <v>43204</v>
          </cell>
        </row>
        <row r="19712">
          <cell r="A19712">
            <v>43160</v>
          </cell>
        </row>
        <row r="19713">
          <cell r="A19713">
            <v>43436</v>
          </cell>
        </row>
        <row r="19714">
          <cell r="A19714">
            <v>43554</v>
          </cell>
        </row>
        <row r="19715">
          <cell r="A19715">
            <v>43617</v>
          </cell>
        </row>
        <row r="19716">
          <cell r="A19716">
            <v>43651</v>
          </cell>
        </row>
        <row r="19717">
          <cell r="A19717">
            <v>43353</v>
          </cell>
        </row>
        <row r="19718">
          <cell r="A19718">
            <v>43719</v>
          </cell>
        </row>
        <row r="19719">
          <cell r="A19719">
            <v>43596</v>
          </cell>
        </row>
        <row r="19720">
          <cell r="A19720">
            <v>43820</v>
          </cell>
        </row>
        <row r="19721">
          <cell r="A19721">
            <v>43825</v>
          </cell>
        </row>
        <row r="19722">
          <cell r="A19722">
            <v>43486</v>
          </cell>
        </row>
        <row r="19723">
          <cell r="A19723">
            <v>43875</v>
          </cell>
        </row>
        <row r="19724">
          <cell r="A19724">
            <v>43734</v>
          </cell>
        </row>
        <row r="19725">
          <cell r="A19725">
            <v>43216</v>
          </cell>
        </row>
        <row r="19726">
          <cell r="A19726">
            <v>43528</v>
          </cell>
        </row>
        <row r="19727">
          <cell r="A19727">
            <v>43110</v>
          </cell>
        </row>
        <row r="19728">
          <cell r="A19728">
            <v>43294</v>
          </cell>
        </row>
        <row r="19729">
          <cell r="A19729">
            <v>43133</v>
          </cell>
        </row>
        <row r="19730">
          <cell r="A19730">
            <v>43217</v>
          </cell>
        </row>
        <row r="19731">
          <cell r="A19731">
            <v>43593</v>
          </cell>
        </row>
        <row r="19732">
          <cell r="A19732">
            <v>43165</v>
          </cell>
        </row>
        <row r="19733">
          <cell r="A19733">
            <v>43462</v>
          </cell>
        </row>
        <row r="19734">
          <cell r="A19734">
            <v>43693</v>
          </cell>
        </row>
        <row r="19735">
          <cell r="A19735">
            <v>43398</v>
          </cell>
        </row>
        <row r="19736">
          <cell r="A19736">
            <v>43552</v>
          </cell>
        </row>
        <row r="19737">
          <cell r="A19737">
            <v>43398</v>
          </cell>
        </row>
        <row r="19738">
          <cell r="A19738">
            <v>43158</v>
          </cell>
        </row>
        <row r="19739">
          <cell r="A19739">
            <v>43744</v>
          </cell>
        </row>
        <row r="19740">
          <cell r="A19740">
            <v>43453</v>
          </cell>
        </row>
        <row r="19741">
          <cell r="A19741">
            <v>43421</v>
          </cell>
        </row>
        <row r="19742">
          <cell r="A19742">
            <v>43280</v>
          </cell>
        </row>
        <row r="19743">
          <cell r="A19743">
            <v>43853</v>
          </cell>
        </row>
        <row r="19744">
          <cell r="A19744">
            <v>43883</v>
          </cell>
        </row>
        <row r="19745">
          <cell r="A19745">
            <v>43297</v>
          </cell>
        </row>
        <row r="19746">
          <cell r="A19746">
            <v>43686</v>
          </cell>
        </row>
        <row r="19747">
          <cell r="A19747">
            <v>43498</v>
          </cell>
        </row>
        <row r="19748">
          <cell r="A19748">
            <v>43330</v>
          </cell>
        </row>
        <row r="19749">
          <cell r="A19749">
            <v>43520</v>
          </cell>
        </row>
        <row r="19750">
          <cell r="A19750">
            <v>43725</v>
          </cell>
        </row>
        <row r="19751">
          <cell r="A19751">
            <v>43545</v>
          </cell>
        </row>
        <row r="19752">
          <cell r="A19752">
            <v>43141</v>
          </cell>
        </row>
        <row r="19753">
          <cell r="A19753">
            <v>43366</v>
          </cell>
        </row>
        <row r="19754">
          <cell r="A19754">
            <v>43385</v>
          </cell>
        </row>
        <row r="19755">
          <cell r="A19755">
            <v>43509</v>
          </cell>
        </row>
        <row r="19756">
          <cell r="A19756">
            <v>43155</v>
          </cell>
        </row>
        <row r="19757">
          <cell r="A19757">
            <v>43819</v>
          </cell>
        </row>
        <row r="19758">
          <cell r="A19758">
            <v>43653</v>
          </cell>
        </row>
        <row r="19759">
          <cell r="A19759">
            <v>43606</v>
          </cell>
        </row>
        <row r="19760">
          <cell r="A19760">
            <v>43702</v>
          </cell>
        </row>
        <row r="19761">
          <cell r="A19761">
            <v>43404</v>
          </cell>
        </row>
        <row r="19762">
          <cell r="A19762">
            <v>43558</v>
          </cell>
        </row>
        <row r="19763">
          <cell r="A19763">
            <v>43608</v>
          </cell>
        </row>
        <row r="19764">
          <cell r="A19764">
            <v>43549</v>
          </cell>
        </row>
        <row r="19765">
          <cell r="A19765">
            <v>43389</v>
          </cell>
        </row>
        <row r="19766">
          <cell r="A19766">
            <v>43391</v>
          </cell>
        </row>
        <row r="19767">
          <cell r="A19767">
            <v>43849</v>
          </cell>
        </row>
        <row r="19768">
          <cell r="A19768">
            <v>43295</v>
          </cell>
        </row>
        <row r="19769">
          <cell r="A19769">
            <v>43416</v>
          </cell>
        </row>
        <row r="19770">
          <cell r="A19770">
            <v>43172</v>
          </cell>
        </row>
        <row r="19771">
          <cell r="A19771">
            <v>43895</v>
          </cell>
        </row>
        <row r="19772">
          <cell r="A19772">
            <v>43270</v>
          </cell>
        </row>
        <row r="19773">
          <cell r="A19773">
            <v>43328</v>
          </cell>
        </row>
        <row r="19774">
          <cell r="A19774">
            <v>43449</v>
          </cell>
        </row>
        <row r="19775">
          <cell r="A19775">
            <v>43344</v>
          </cell>
        </row>
        <row r="19776">
          <cell r="A19776">
            <v>43897</v>
          </cell>
        </row>
        <row r="19777">
          <cell r="A19777">
            <v>43600</v>
          </cell>
        </row>
        <row r="19778">
          <cell r="A19778">
            <v>43198</v>
          </cell>
        </row>
        <row r="19779">
          <cell r="A19779">
            <v>43555</v>
          </cell>
        </row>
        <row r="19780">
          <cell r="A19780">
            <v>43152</v>
          </cell>
        </row>
        <row r="19781">
          <cell r="A19781">
            <v>43543</v>
          </cell>
        </row>
        <row r="19782">
          <cell r="A19782">
            <v>43132</v>
          </cell>
        </row>
        <row r="19783">
          <cell r="A19783">
            <v>43716</v>
          </cell>
        </row>
        <row r="19784">
          <cell r="A19784">
            <v>43470</v>
          </cell>
        </row>
        <row r="19785">
          <cell r="A19785">
            <v>43522</v>
          </cell>
        </row>
        <row r="19786">
          <cell r="A19786">
            <v>43104</v>
          </cell>
        </row>
        <row r="19787">
          <cell r="A19787">
            <v>43769</v>
          </cell>
        </row>
        <row r="19788">
          <cell r="A19788">
            <v>43901</v>
          </cell>
        </row>
        <row r="19789">
          <cell r="A19789">
            <v>43912</v>
          </cell>
        </row>
        <row r="19790">
          <cell r="A19790">
            <v>43473</v>
          </cell>
        </row>
        <row r="19791">
          <cell r="A19791">
            <v>43566</v>
          </cell>
        </row>
        <row r="19792">
          <cell r="A19792">
            <v>43297</v>
          </cell>
        </row>
        <row r="19793">
          <cell r="A19793">
            <v>43144</v>
          </cell>
        </row>
        <row r="19794">
          <cell r="A19794">
            <v>43474</v>
          </cell>
        </row>
        <row r="19795">
          <cell r="A19795">
            <v>43782</v>
          </cell>
        </row>
        <row r="19796">
          <cell r="A19796">
            <v>43554</v>
          </cell>
        </row>
        <row r="19797">
          <cell r="A19797">
            <v>43526</v>
          </cell>
        </row>
        <row r="19798">
          <cell r="A19798">
            <v>43792</v>
          </cell>
        </row>
        <row r="19799">
          <cell r="A19799">
            <v>43689</v>
          </cell>
        </row>
        <row r="19800">
          <cell r="A19800">
            <v>43852</v>
          </cell>
        </row>
        <row r="19801">
          <cell r="A19801">
            <v>43228</v>
          </cell>
        </row>
        <row r="19802">
          <cell r="A19802">
            <v>43468</v>
          </cell>
        </row>
        <row r="19803">
          <cell r="A19803">
            <v>43578</v>
          </cell>
        </row>
        <row r="19804">
          <cell r="A19804">
            <v>43121</v>
          </cell>
        </row>
        <row r="19805">
          <cell r="A19805">
            <v>43386</v>
          </cell>
        </row>
        <row r="19806">
          <cell r="A19806">
            <v>43637</v>
          </cell>
        </row>
        <row r="19807">
          <cell r="A19807">
            <v>43760</v>
          </cell>
        </row>
        <row r="19808">
          <cell r="A19808">
            <v>43748</v>
          </cell>
        </row>
        <row r="19809">
          <cell r="A19809">
            <v>43843</v>
          </cell>
        </row>
        <row r="19810">
          <cell r="A19810">
            <v>43911</v>
          </cell>
        </row>
        <row r="19811">
          <cell r="A19811">
            <v>43730</v>
          </cell>
        </row>
        <row r="19812">
          <cell r="A19812">
            <v>43918</v>
          </cell>
        </row>
        <row r="19813">
          <cell r="A19813">
            <v>43490</v>
          </cell>
        </row>
        <row r="19814">
          <cell r="A19814">
            <v>43747</v>
          </cell>
        </row>
        <row r="19815">
          <cell r="A19815">
            <v>43279</v>
          </cell>
        </row>
        <row r="19816">
          <cell r="A19816">
            <v>43228</v>
          </cell>
        </row>
        <row r="19817">
          <cell r="A19817">
            <v>43524</v>
          </cell>
        </row>
        <row r="19818">
          <cell r="A19818">
            <v>43334</v>
          </cell>
        </row>
        <row r="19819">
          <cell r="A19819">
            <v>43867</v>
          </cell>
        </row>
        <row r="19820">
          <cell r="A19820">
            <v>43782</v>
          </cell>
        </row>
        <row r="19821">
          <cell r="A19821">
            <v>43912</v>
          </cell>
        </row>
        <row r="19822">
          <cell r="A19822">
            <v>43703</v>
          </cell>
        </row>
        <row r="19823">
          <cell r="A19823">
            <v>43167</v>
          </cell>
        </row>
        <row r="19824">
          <cell r="A19824">
            <v>43493</v>
          </cell>
        </row>
        <row r="19825">
          <cell r="A19825">
            <v>43302</v>
          </cell>
        </row>
        <row r="19826">
          <cell r="A19826">
            <v>43276</v>
          </cell>
        </row>
        <row r="19827">
          <cell r="A19827">
            <v>43907</v>
          </cell>
        </row>
        <row r="19828">
          <cell r="A19828">
            <v>43667</v>
          </cell>
        </row>
        <row r="19829">
          <cell r="A19829">
            <v>43847</v>
          </cell>
        </row>
        <row r="19830">
          <cell r="A19830">
            <v>43852</v>
          </cell>
        </row>
        <row r="19831">
          <cell r="A19831">
            <v>43689</v>
          </cell>
        </row>
        <row r="19832">
          <cell r="A19832">
            <v>43137</v>
          </cell>
        </row>
        <row r="19833">
          <cell r="A19833">
            <v>43565</v>
          </cell>
        </row>
        <row r="19834">
          <cell r="A19834">
            <v>43319</v>
          </cell>
        </row>
        <row r="19835">
          <cell r="A19835">
            <v>43605</v>
          </cell>
        </row>
        <row r="19836">
          <cell r="A19836">
            <v>43696</v>
          </cell>
        </row>
        <row r="19837">
          <cell r="A19837">
            <v>43540</v>
          </cell>
        </row>
        <row r="19838">
          <cell r="A19838">
            <v>43141</v>
          </cell>
        </row>
        <row r="19839">
          <cell r="A19839">
            <v>43890</v>
          </cell>
        </row>
        <row r="19840">
          <cell r="A19840">
            <v>43853</v>
          </cell>
        </row>
        <row r="19841">
          <cell r="A19841">
            <v>43837</v>
          </cell>
        </row>
        <row r="19842">
          <cell r="A19842">
            <v>43823</v>
          </cell>
        </row>
        <row r="19843">
          <cell r="A19843">
            <v>43108</v>
          </cell>
        </row>
        <row r="19844">
          <cell r="A19844">
            <v>43626</v>
          </cell>
        </row>
        <row r="19845">
          <cell r="A19845">
            <v>43884</v>
          </cell>
        </row>
        <row r="19846">
          <cell r="A19846">
            <v>43365</v>
          </cell>
        </row>
        <row r="19847">
          <cell r="A19847">
            <v>43572</v>
          </cell>
        </row>
        <row r="19848">
          <cell r="A19848">
            <v>43138</v>
          </cell>
        </row>
        <row r="19849">
          <cell r="A19849">
            <v>43845</v>
          </cell>
        </row>
        <row r="19850">
          <cell r="A19850">
            <v>43681</v>
          </cell>
        </row>
        <row r="19851">
          <cell r="A19851">
            <v>43225</v>
          </cell>
        </row>
        <row r="19852">
          <cell r="A19852">
            <v>43656</v>
          </cell>
        </row>
        <row r="19853">
          <cell r="A19853">
            <v>43103</v>
          </cell>
        </row>
        <row r="19854">
          <cell r="A19854">
            <v>43849</v>
          </cell>
        </row>
        <row r="19855">
          <cell r="A19855">
            <v>43554</v>
          </cell>
        </row>
        <row r="19856">
          <cell r="A19856">
            <v>43828</v>
          </cell>
        </row>
        <row r="19857">
          <cell r="A19857">
            <v>43482</v>
          </cell>
        </row>
        <row r="19858">
          <cell r="A19858">
            <v>43809</v>
          </cell>
        </row>
        <row r="19859">
          <cell r="A19859">
            <v>43253</v>
          </cell>
        </row>
        <row r="19860">
          <cell r="A19860">
            <v>43850</v>
          </cell>
        </row>
        <row r="19861">
          <cell r="A19861">
            <v>43814</v>
          </cell>
        </row>
        <row r="19862">
          <cell r="A19862">
            <v>43632</v>
          </cell>
        </row>
        <row r="19863">
          <cell r="A19863">
            <v>43876</v>
          </cell>
        </row>
        <row r="19864">
          <cell r="A19864">
            <v>43140</v>
          </cell>
        </row>
        <row r="19865">
          <cell r="A19865">
            <v>43148</v>
          </cell>
        </row>
        <row r="19866">
          <cell r="A19866">
            <v>43428</v>
          </cell>
        </row>
        <row r="19867">
          <cell r="A19867">
            <v>43119</v>
          </cell>
        </row>
        <row r="19868">
          <cell r="A19868">
            <v>43767</v>
          </cell>
        </row>
        <row r="19869">
          <cell r="A19869">
            <v>43252</v>
          </cell>
        </row>
        <row r="19870">
          <cell r="A19870">
            <v>43568</v>
          </cell>
        </row>
        <row r="19871">
          <cell r="A19871">
            <v>43498</v>
          </cell>
        </row>
        <row r="19872">
          <cell r="A19872">
            <v>43800</v>
          </cell>
        </row>
        <row r="19873">
          <cell r="A19873">
            <v>43526</v>
          </cell>
        </row>
        <row r="19874">
          <cell r="A19874">
            <v>43196</v>
          </cell>
        </row>
        <row r="19875">
          <cell r="A19875">
            <v>43148</v>
          </cell>
        </row>
        <row r="19876">
          <cell r="A19876">
            <v>43319</v>
          </cell>
        </row>
        <row r="19877">
          <cell r="A19877">
            <v>43561</v>
          </cell>
        </row>
        <row r="19878">
          <cell r="A19878">
            <v>43516</v>
          </cell>
        </row>
        <row r="19879">
          <cell r="A19879">
            <v>43773</v>
          </cell>
        </row>
        <row r="19880">
          <cell r="A19880">
            <v>43318</v>
          </cell>
        </row>
        <row r="19881">
          <cell r="A19881">
            <v>43754</v>
          </cell>
        </row>
        <row r="19882">
          <cell r="A19882">
            <v>43577</v>
          </cell>
        </row>
        <row r="19883">
          <cell r="A19883">
            <v>43291</v>
          </cell>
        </row>
        <row r="19884">
          <cell r="A19884">
            <v>43570</v>
          </cell>
        </row>
        <row r="19885">
          <cell r="A19885">
            <v>43407</v>
          </cell>
        </row>
        <row r="19886">
          <cell r="A19886">
            <v>43308</v>
          </cell>
        </row>
        <row r="19887">
          <cell r="A19887">
            <v>43233</v>
          </cell>
        </row>
        <row r="19888">
          <cell r="A19888">
            <v>43330</v>
          </cell>
        </row>
        <row r="19889">
          <cell r="A19889">
            <v>43764</v>
          </cell>
        </row>
        <row r="19890">
          <cell r="A19890">
            <v>43247</v>
          </cell>
        </row>
        <row r="19891">
          <cell r="A19891">
            <v>43741</v>
          </cell>
        </row>
        <row r="19892">
          <cell r="A19892">
            <v>43227</v>
          </cell>
        </row>
        <row r="19893">
          <cell r="A19893">
            <v>43601</v>
          </cell>
        </row>
        <row r="19894">
          <cell r="A19894">
            <v>43811</v>
          </cell>
        </row>
        <row r="19895">
          <cell r="A19895">
            <v>43564</v>
          </cell>
        </row>
        <row r="19896">
          <cell r="A19896">
            <v>43685</v>
          </cell>
        </row>
        <row r="19897">
          <cell r="A19897">
            <v>43323</v>
          </cell>
        </row>
        <row r="19898">
          <cell r="A19898">
            <v>43498</v>
          </cell>
        </row>
        <row r="19899">
          <cell r="A19899">
            <v>43526</v>
          </cell>
        </row>
        <row r="19900">
          <cell r="A19900">
            <v>43649</v>
          </cell>
        </row>
        <row r="19901">
          <cell r="A19901">
            <v>43103</v>
          </cell>
        </row>
        <row r="19902">
          <cell r="A19902">
            <v>43453</v>
          </cell>
        </row>
        <row r="19903">
          <cell r="A19903">
            <v>43365</v>
          </cell>
        </row>
        <row r="19904">
          <cell r="A19904">
            <v>43784</v>
          </cell>
        </row>
        <row r="19905">
          <cell r="A19905">
            <v>43824</v>
          </cell>
        </row>
        <row r="19906">
          <cell r="A19906">
            <v>43364</v>
          </cell>
        </row>
        <row r="19907">
          <cell r="A19907">
            <v>43817</v>
          </cell>
        </row>
        <row r="19908">
          <cell r="A19908">
            <v>43729</v>
          </cell>
        </row>
        <row r="19909">
          <cell r="A19909">
            <v>43488</v>
          </cell>
        </row>
        <row r="19910">
          <cell r="A19910">
            <v>43342</v>
          </cell>
        </row>
        <row r="19911">
          <cell r="A19911">
            <v>43721</v>
          </cell>
        </row>
        <row r="19912">
          <cell r="A19912">
            <v>43120</v>
          </cell>
        </row>
        <row r="19913">
          <cell r="A19913">
            <v>43523</v>
          </cell>
        </row>
        <row r="19914">
          <cell r="A19914">
            <v>43249</v>
          </cell>
        </row>
        <row r="19915">
          <cell r="A19915">
            <v>43854</v>
          </cell>
        </row>
        <row r="19916">
          <cell r="A19916">
            <v>43191</v>
          </cell>
        </row>
        <row r="19917">
          <cell r="A19917">
            <v>43674</v>
          </cell>
        </row>
        <row r="19918">
          <cell r="A19918">
            <v>43751</v>
          </cell>
        </row>
        <row r="19919">
          <cell r="A19919">
            <v>43640</v>
          </cell>
        </row>
        <row r="19920">
          <cell r="A19920">
            <v>43531</v>
          </cell>
        </row>
        <row r="19921">
          <cell r="A19921">
            <v>43568</v>
          </cell>
        </row>
        <row r="19922">
          <cell r="A19922">
            <v>43330</v>
          </cell>
        </row>
        <row r="19923">
          <cell r="A19923">
            <v>43142</v>
          </cell>
        </row>
        <row r="19924">
          <cell r="A19924">
            <v>43830</v>
          </cell>
        </row>
        <row r="19925">
          <cell r="A19925">
            <v>43174</v>
          </cell>
        </row>
        <row r="19926">
          <cell r="A19926">
            <v>43831</v>
          </cell>
        </row>
        <row r="19927">
          <cell r="A19927">
            <v>43591</v>
          </cell>
        </row>
        <row r="19928">
          <cell r="A19928">
            <v>43433</v>
          </cell>
        </row>
        <row r="19929">
          <cell r="A19929">
            <v>43685</v>
          </cell>
        </row>
        <row r="19930">
          <cell r="A19930">
            <v>43711</v>
          </cell>
        </row>
        <row r="19931">
          <cell r="A19931">
            <v>43535</v>
          </cell>
        </row>
        <row r="19932">
          <cell r="A19932">
            <v>43312</v>
          </cell>
        </row>
        <row r="19933">
          <cell r="A19933">
            <v>43820</v>
          </cell>
        </row>
        <row r="19934">
          <cell r="A19934">
            <v>43823</v>
          </cell>
        </row>
        <row r="19935">
          <cell r="A19935">
            <v>43568</v>
          </cell>
        </row>
        <row r="19936">
          <cell r="A19936">
            <v>43639</v>
          </cell>
        </row>
        <row r="19937">
          <cell r="A19937">
            <v>43514</v>
          </cell>
        </row>
        <row r="19938">
          <cell r="A19938">
            <v>43404</v>
          </cell>
        </row>
        <row r="19939">
          <cell r="A19939">
            <v>43175</v>
          </cell>
        </row>
        <row r="19940">
          <cell r="A19940">
            <v>43208</v>
          </cell>
        </row>
        <row r="19941">
          <cell r="A19941">
            <v>43314</v>
          </cell>
        </row>
        <row r="19942">
          <cell r="A19942">
            <v>43573</v>
          </cell>
        </row>
        <row r="19943">
          <cell r="A19943">
            <v>43329</v>
          </cell>
        </row>
        <row r="19944">
          <cell r="A19944">
            <v>43688</v>
          </cell>
        </row>
        <row r="19945">
          <cell r="A19945">
            <v>43891</v>
          </cell>
        </row>
        <row r="19946">
          <cell r="A19946">
            <v>43590</v>
          </cell>
        </row>
        <row r="19947">
          <cell r="A19947">
            <v>43451</v>
          </cell>
        </row>
        <row r="19948">
          <cell r="A19948">
            <v>43388</v>
          </cell>
        </row>
        <row r="19949">
          <cell r="A19949">
            <v>43892</v>
          </cell>
        </row>
        <row r="19950">
          <cell r="A19950">
            <v>43278</v>
          </cell>
        </row>
        <row r="19951">
          <cell r="A19951">
            <v>43795</v>
          </cell>
        </row>
        <row r="19952">
          <cell r="A19952">
            <v>43601</v>
          </cell>
        </row>
        <row r="19953">
          <cell r="A19953">
            <v>43136</v>
          </cell>
        </row>
        <row r="19954">
          <cell r="A19954">
            <v>43236</v>
          </cell>
        </row>
        <row r="19955">
          <cell r="A19955">
            <v>43496</v>
          </cell>
        </row>
        <row r="19956">
          <cell r="A19956">
            <v>43588</v>
          </cell>
        </row>
        <row r="19957">
          <cell r="A19957">
            <v>43672</v>
          </cell>
        </row>
        <row r="19958">
          <cell r="A19958">
            <v>43489</v>
          </cell>
        </row>
        <row r="19959">
          <cell r="A19959">
            <v>43607</v>
          </cell>
        </row>
        <row r="19960">
          <cell r="A19960">
            <v>43446</v>
          </cell>
        </row>
        <row r="19961">
          <cell r="A19961">
            <v>43767</v>
          </cell>
        </row>
        <row r="19962">
          <cell r="A19962">
            <v>43332</v>
          </cell>
        </row>
        <row r="19963">
          <cell r="A19963">
            <v>43398</v>
          </cell>
        </row>
        <row r="19964">
          <cell r="A19964">
            <v>43124</v>
          </cell>
        </row>
        <row r="19965">
          <cell r="A19965">
            <v>43364</v>
          </cell>
        </row>
        <row r="19966">
          <cell r="A19966">
            <v>43779</v>
          </cell>
        </row>
        <row r="19967">
          <cell r="A19967">
            <v>43877</v>
          </cell>
        </row>
        <row r="19968">
          <cell r="A19968">
            <v>43451</v>
          </cell>
        </row>
        <row r="19969">
          <cell r="A19969">
            <v>43783</v>
          </cell>
        </row>
        <row r="19970">
          <cell r="A19970">
            <v>43297</v>
          </cell>
        </row>
        <row r="19971">
          <cell r="A19971">
            <v>43228</v>
          </cell>
        </row>
        <row r="19972">
          <cell r="A19972">
            <v>43921</v>
          </cell>
        </row>
        <row r="19973">
          <cell r="A19973">
            <v>43904</v>
          </cell>
        </row>
        <row r="19974">
          <cell r="A19974">
            <v>43309</v>
          </cell>
        </row>
        <row r="19975">
          <cell r="A19975">
            <v>43851</v>
          </cell>
        </row>
        <row r="19976">
          <cell r="A19976">
            <v>43339</v>
          </cell>
        </row>
        <row r="19977">
          <cell r="A19977">
            <v>43769</v>
          </cell>
        </row>
        <row r="19978">
          <cell r="A19978">
            <v>43221</v>
          </cell>
        </row>
        <row r="19979">
          <cell r="A19979">
            <v>43610</v>
          </cell>
        </row>
        <row r="19980">
          <cell r="A19980">
            <v>43609</v>
          </cell>
        </row>
        <row r="19981">
          <cell r="A19981">
            <v>43185</v>
          </cell>
        </row>
        <row r="19982">
          <cell r="A19982">
            <v>43478</v>
          </cell>
        </row>
        <row r="19983">
          <cell r="A19983">
            <v>43704</v>
          </cell>
        </row>
        <row r="19984">
          <cell r="A19984">
            <v>43791</v>
          </cell>
        </row>
        <row r="19985">
          <cell r="A19985">
            <v>43903</v>
          </cell>
        </row>
        <row r="19986">
          <cell r="A19986">
            <v>43600</v>
          </cell>
        </row>
        <row r="19987">
          <cell r="A19987">
            <v>43507</v>
          </cell>
        </row>
        <row r="19988">
          <cell r="A19988">
            <v>43326</v>
          </cell>
        </row>
        <row r="19989">
          <cell r="A19989">
            <v>43575</v>
          </cell>
        </row>
        <row r="19990">
          <cell r="A19990">
            <v>43345</v>
          </cell>
        </row>
        <row r="19991">
          <cell r="A19991">
            <v>43140</v>
          </cell>
        </row>
        <row r="19992">
          <cell r="A19992">
            <v>43370</v>
          </cell>
        </row>
        <row r="19993">
          <cell r="A19993">
            <v>43800</v>
          </cell>
        </row>
        <row r="19994">
          <cell r="A19994">
            <v>43753</v>
          </cell>
        </row>
        <row r="19995">
          <cell r="A19995">
            <v>43519</v>
          </cell>
        </row>
        <row r="19996">
          <cell r="A19996">
            <v>43379</v>
          </cell>
        </row>
        <row r="19997">
          <cell r="A19997">
            <v>43329</v>
          </cell>
        </row>
        <row r="19998">
          <cell r="A19998">
            <v>43530</v>
          </cell>
        </row>
        <row r="19999">
          <cell r="A19999">
            <v>43728</v>
          </cell>
        </row>
        <row r="20000">
          <cell r="A20000">
            <v>43214</v>
          </cell>
        </row>
        <row r="20001">
          <cell r="A20001">
            <v>43261</v>
          </cell>
        </row>
        <row r="20002">
          <cell r="A20002">
            <v>43714</v>
          </cell>
        </row>
        <row r="20003">
          <cell r="A20003">
            <v>43262</v>
          </cell>
        </row>
        <row r="20004">
          <cell r="A20004">
            <v>43474</v>
          </cell>
        </row>
        <row r="20005">
          <cell r="A20005">
            <v>43821</v>
          </cell>
        </row>
        <row r="20006">
          <cell r="A20006">
            <v>43771</v>
          </cell>
        </row>
        <row r="20007">
          <cell r="A20007">
            <v>43122</v>
          </cell>
        </row>
        <row r="20008">
          <cell r="A20008">
            <v>43259</v>
          </cell>
        </row>
        <row r="20009">
          <cell r="A20009">
            <v>43202</v>
          </cell>
        </row>
        <row r="20010">
          <cell r="A20010">
            <v>43457</v>
          </cell>
        </row>
        <row r="20011">
          <cell r="A20011">
            <v>43739</v>
          </cell>
        </row>
        <row r="20012">
          <cell r="A20012">
            <v>43253</v>
          </cell>
        </row>
        <row r="20013">
          <cell r="A20013">
            <v>43270</v>
          </cell>
        </row>
        <row r="20014">
          <cell r="A20014">
            <v>43384</v>
          </cell>
        </row>
        <row r="20015">
          <cell r="A20015">
            <v>43880</v>
          </cell>
        </row>
        <row r="20016">
          <cell r="A20016">
            <v>43216</v>
          </cell>
        </row>
        <row r="20017">
          <cell r="A20017">
            <v>43884</v>
          </cell>
        </row>
        <row r="20018">
          <cell r="A20018">
            <v>43418</v>
          </cell>
        </row>
        <row r="20019">
          <cell r="A20019">
            <v>43418</v>
          </cell>
        </row>
        <row r="20020">
          <cell r="A20020">
            <v>43714</v>
          </cell>
        </row>
        <row r="20021">
          <cell r="A20021">
            <v>43632</v>
          </cell>
        </row>
        <row r="20022">
          <cell r="A20022">
            <v>43836</v>
          </cell>
        </row>
        <row r="20023">
          <cell r="A20023">
            <v>43390</v>
          </cell>
        </row>
        <row r="20024">
          <cell r="A20024">
            <v>43270</v>
          </cell>
        </row>
        <row r="20025">
          <cell r="A20025">
            <v>43700</v>
          </cell>
        </row>
        <row r="20026">
          <cell r="A20026">
            <v>43394</v>
          </cell>
        </row>
        <row r="20027">
          <cell r="A20027">
            <v>43449</v>
          </cell>
        </row>
        <row r="20028">
          <cell r="A20028">
            <v>43322</v>
          </cell>
        </row>
        <row r="20029">
          <cell r="A20029">
            <v>43880</v>
          </cell>
        </row>
        <row r="20030">
          <cell r="A20030">
            <v>43573</v>
          </cell>
        </row>
        <row r="20031">
          <cell r="A20031">
            <v>43542</v>
          </cell>
        </row>
        <row r="20032">
          <cell r="A20032">
            <v>43478</v>
          </cell>
        </row>
        <row r="20033">
          <cell r="A20033">
            <v>43511</v>
          </cell>
        </row>
        <row r="20034">
          <cell r="A20034">
            <v>43129</v>
          </cell>
        </row>
        <row r="20035">
          <cell r="A20035">
            <v>43529</v>
          </cell>
        </row>
        <row r="20036">
          <cell r="A20036">
            <v>43687</v>
          </cell>
        </row>
        <row r="20037">
          <cell r="A20037">
            <v>43781</v>
          </cell>
        </row>
        <row r="20038">
          <cell r="A20038">
            <v>43615</v>
          </cell>
        </row>
        <row r="20039">
          <cell r="A20039">
            <v>43646</v>
          </cell>
        </row>
        <row r="20040">
          <cell r="A20040">
            <v>43166</v>
          </cell>
        </row>
        <row r="20041">
          <cell r="A20041">
            <v>43600</v>
          </cell>
        </row>
        <row r="20042">
          <cell r="A20042">
            <v>43348</v>
          </cell>
        </row>
        <row r="20043">
          <cell r="A20043">
            <v>43193</v>
          </cell>
        </row>
        <row r="20044">
          <cell r="A20044">
            <v>43415</v>
          </cell>
        </row>
        <row r="20045">
          <cell r="A20045">
            <v>43197</v>
          </cell>
        </row>
        <row r="20046">
          <cell r="A20046">
            <v>43351</v>
          </cell>
        </row>
        <row r="20047">
          <cell r="A20047">
            <v>43863</v>
          </cell>
        </row>
        <row r="20048">
          <cell r="A20048">
            <v>43162</v>
          </cell>
        </row>
        <row r="20049">
          <cell r="A20049">
            <v>43915</v>
          </cell>
        </row>
        <row r="20050">
          <cell r="A20050">
            <v>43614</v>
          </cell>
        </row>
        <row r="20051">
          <cell r="A20051">
            <v>43891</v>
          </cell>
        </row>
        <row r="20052">
          <cell r="A20052">
            <v>43632</v>
          </cell>
        </row>
        <row r="20053">
          <cell r="A20053">
            <v>43754</v>
          </cell>
        </row>
        <row r="20054">
          <cell r="A20054">
            <v>43604</v>
          </cell>
        </row>
        <row r="20055">
          <cell r="A20055">
            <v>43414</v>
          </cell>
        </row>
        <row r="20056">
          <cell r="A20056">
            <v>43785</v>
          </cell>
        </row>
        <row r="20057">
          <cell r="A20057">
            <v>43215</v>
          </cell>
        </row>
        <row r="20058">
          <cell r="A20058">
            <v>43711</v>
          </cell>
        </row>
        <row r="20059">
          <cell r="A20059">
            <v>43157</v>
          </cell>
        </row>
        <row r="20060">
          <cell r="A20060">
            <v>43564</v>
          </cell>
        </row>
        <row r="20061">
          <cell r="A20061">
            <v>43811</v>
          </cell>
        </row>
        <row r="20062">
          <cell r="A20062">
            <v>43275</v>
          </cell>
        </row>
        <row r="20063">
          <cell r="A20063">
            <v>43914</v>
          </cell>
        </row>
        <row r="20064">
          <cell r="A20064">
            <v>43744</v>
          </cell>
        </row>
        <row r="20065">
          <cell r="A20065">
            <v>43170</v>
          </cell>
        </row>
        <row r="20066">
          <cell r="A20066">
            <v>43606</v>
          </cell>
        </row>
        <row r="20067">
          <cell r="A20067">
            <v>43575</v>
          </cell>
        </row>
        <row r="20068">
          <cell r="A20068">
            <v>43565</v>
          </cell>
        </row>
        <row r="20069">
          <cell r="A20069">
            <v>43519</v>
          </cell>
        </row>
        <row r="20070">
          <cell r="A20070">
            <v>43915</v>
          </cell>
        </row>
        <row r="20071">
          <cell r="A20071">
            <v>43256</v>
          </cell>
        </row>
        <row r="20072">
          <cell r="A20072">
            <v>43742</v>
          </cell>
        </row>
        <row r="20073">
          <cell r="A20073">
            <v>43850</v>
          </cell>
        </row>
        <row r="20074">
          <cell r="A20074">
            <v>43283</v>
          </cell>
        </row>
        <row r="20075">
          <cell r="A20075">
            <v>43675</v>
          </cell>
        </row>
        <row r="20076">
          <cell r="A20076">
            <v>43549</v>
          </cell>
        </row>
        <row r="20077">
          <cell r="A20077">
            <v>43620</v>
          </cell>
        </row>
        <row r="20078">
          <cell r="A20078">
            <v>43426</v>
          </cell>
        </row>
        <row r="20079">
          <cell r="A20079">
            <v>43733</v>
          </cell>
        </row>
        <row r="20080">
          <cell r="A20080">
            <v>43502</v>
          </cell>
        </row>
        <row r="20081">
          <cell r="A20081">
            <v>43211</v>
          </cell>
        </row>
        <row r="20082">
          <cell r="A20082">
            <v>43750</v>
          </cell>
        </row>
        <row r="20083">
          <cell r="A20083">
            <v>43221</v>
          </cell>
        </row>
        <row r="20084">
          <cell r="A20084">
            <v>43770</v>
          </cell>
        </row>
        <row r="20085">
          <cell r="A20085">
            <v>43498</v>
          </cell>
        </row>
        <row r="20086">
          <cell r="A20086">
            <v>43648</v>
          </cell>
        </row>
        <row r="20087">
          <cell r="A20087">
            <v>43277</v>
          </cell>
        </row>
        <row r="20088">
          <cell r="A20088">
            <v>43219</v>
          </cell>
        </row>
        <row r="20089">
          <cell r="A20089">
            <v>43480</v>
          </cell>
        </row>
        <row r="20090">
          <cell r="A20090">
            <v>43788</v>
          </cell>
        </row>
        <row r="20091">
          <cell r="A20091">
            <v>43162</v>
          </cell>
        </row>
        <row r="20092">
          <cell r="A20092">
            <v>43714</v>
          </cell>
        </row>
        <row r="20093">
          <cell r="A20093">
            <v>43400</v>
          </cell>
        </row>
        <row r="20094">
          <cell r="A20094">
            <v>43862</v>
          </cell>
        </row>
        <row r="20095">
          <cell r="A20095">
            <v>43635</v>
          </cell>
        </row>
        <row r="20096">
          <cell r="A20096">
            <v>43824</v>
          </cell>
        </row>
        <row r="20097">
          <cell r="A20097">
            <v>43796</v>
          </cell>
        </row>
        <row r="20098">
          <cell r="A20098">
            <v>43203</v>
          </cell>
        </row>
        <row r="20099">
          <cell r="A20099">
            <v>43764</v>
          </cell>
        </row>
        <row r="20100">
          <cell r="A20100">
            <v>43133</v>
          </cell>
        </row>
        <row r="20101">
          <cell r="A20101">
            <v>43737</v>
          </cell>
        </row>
        <row r="20102">
          <cell r="A20102">
            <v>43356</v>
          </cell>
        </row>
        <row r="20103">
          <cell r="A20103">
            <v>43336</v>
          </cell>
        </row>
        <row r="20104">
          <cell r="A20104">
            <v>43862</v>
          </cell>
        </row>
        <row r="20105">
          <cell r="A20105">
            <v>43365</v>
          </cell>
        </row>
        <row r="20106">
          <cell r="A20106">
            <v>43564</v>
          </cell>
        </row>
        <row r="20107">
          <cell r="A20107">
            <v>43269</v>
          </cell>
        </row>
        <row r="20108">
          <cell r="A20108">
            <v>43118</v>
          </cell>
        </row>
        <row r="20109">
          <cell r="A20109">
            <v>43312</v>
          </cell>
        </row>
        <row r="20110">
          <cell r="A20110">
            <v>43135</v>
          </cell>
        </row>
        <row r="20111">
          <cell r="A20111">
            <v>43481</v>
          </cell>
        </row>
        <row r="20112">
          <cell r="A20112">
            <v>43204</v>
          </cell>
        </row>
        <row r="20113">
          <cell r="A20113">
            <v>43631</v>
          </cell>
        </row>
        <row r="20114">
          <cell r="A20114">
            <v>43305</v>
          </cell>
        </row>
        <row r="20115">
          <cell r="A20115">
            <v>43899</v>
          </cell>
        </row>
        <row r="20116">
          <cell r="A20116">
            <v>43344</v>
          </cell>
        </row>
        <row r="20117">
          <cell r="A20117">
            <v>43182</v>
          </cell>
        </row>
        <row r="20118">
          <cell r="A20118">
            <v>43711</v>
          </cell>
        </row>
        <row r="20119">
          <cell r="A20119">
            <v>43807</v>
          </cell>
        </row>
        <row r="20120">
          <cell r="A20120">
            <v>43465</v>
          </cell>
        </row>
        <row r="20121">
          <cell r="A20121">
            <v>43180</v>
          </cell>
        </row>
        <row r="20122">
          <cell r="A20122">
            <v>43202</v>
          </cell>
        </row>
        <row r="20123">
          <cell r="A20123">
            <v>43848</v>
          </cell>
        </row>
        <row r="20124">
          <cell r="A20124">
            <v>43619</v>
          </cell>
        </row>
        <row r="20125">
          <cell r="A20125">
            <v>43153</v>
          </cell>
        </row>
        <row r="20126">
          <cell r="A20126">
            <v>43226</v>
          </cell>
        </row>
        <row r="20127">
          <cell r="A20127">
            <v>43424</v>
          </cell>
        </row>
        <row r="20128">
          <cell r="A20128">
            <v>43260</v>
          </cell>
        </row>
        <row r="20129">
          <cell r="A20129">
            <v>43230</v>
          </cell>
        </row>
        <row r="20130">
          <cell r="A20130">
            <v>43393</v>
          </cell>
        </row>
        <row r="20131">
          <cell r="A20131">
            <v>43706</v>
          </cell>
        </row>
        <row r="20132">
          <cell r="A20132">
            <v>43587</v>
          </cell>
        </row>
        <row r="20133">
          <cell r="A20133">
            <v>43661</v>
          </cell>
        </row>
        <row r="20134">
          <cell r="A20134">
            <v>43404</v>
          </cell>
        </row>
        <row r="20135">
          <cell r="A20135">
            <v>43208</v>
          </cell>
        </row>
        <row r="20136">
          <cell r="A20136">
            <v>43579</v>
          </cell>
        </row>
        <row r="20137">
          <cell r="A20137">
            <v>43189</v>
          </cell>
        </row>
        <row r="20138">
          <cell r="A20138">
            <v>43249</v>
          </cell>
        </row>
        <row r="20139">
          <cell r="A20139">
            <v>43525</v>
          </cell>
        </row>
        <row r="20140">
          <cell r="A20140">
            <v>43868</v>
          </cell>
        </row>
        <row r="20141">
          <cell r="A20141">
            <v>43466</v>
          </cell>
        </row>
        <row r="20142">
          <cell r="A20142">
            <v>43798</v>
          </cell>
        </row>
        <row r="20143">
          <cell r="A20143">
            <v>43586</v>
          </cell>
        </row>
        <row r="20144">
          <cell r="A20144">
            <v>43611</v>
          </cell>
        </row>
        <row r="20145">
          <cell r="A20145">
            <v>43921</v>
          </cell>
        </row>
        <row r="20146">
          <cell r="A20146">
            <v>43159</v>
          </cell>
        </row>
        <row r="20147">
          <cell r="A20147">
            <v>43270</v>
          </cell>
        </row>
        <row r="20148">
          <cell r="A20148">
            <v>43296</v>
          </cell>
        </row>
        <row r="20149">
          <cell r="A20149">
            <v>43891</v>
          </cell>
        </row>
        <row r="20150">
          <cell r="A20150">
            <v>43910</v>
          </cell>
        </row>
        <row r="20151">
          <cell r="A20151">
            <v>43319</v>
          </cell>
        </row>
        <row r="20152">
          <cell r="A20152">
            <v>43745</v>
          </cell>
        </row>
        <row r="20153">
          <cell r="A20153">
            <v>43334</v>
          </cell>
        </row>
        <row r="20154">
          <cell r="A20154">
            <v>43282</v>
          </cell>
        </row>
        <row r="20155">
          <cell r="A20155">
            <v>43539</v>
          </cell>
        </row>
        <row r="20156">
          <cell r="A20156">
            <v>43789</v>
          </cell>
        </row>
        <row r="20157">
          <cell r="A20157">
            <v>43895</v>
          </cell>
        </row>
        <row r="20158">
          <cell r="A20158">
            <v>43621</v>
          </cell>
        </row>
        <row r="20159">
          <cell r="A20159">
            <v>43914</v>
          </cell>
        </row>
        <row r="20160">
          <cell r="A20160">
            <v>43143</v>
          </cell>
        </row>
        <row r="20161">
          <cell r="A20161">
            <v>43509</v>
          </cell>
        </row>
        <row r="20162">
          <cell r="A20162">
            <v>43573</v>
          </cell>
        </row>
        <row r="20163">
          <cell r="A20163">
            <v>43591</v>
          </cell>
        </row>
        <row r="20164">
          <cell r="A20164">
            <v>43143</v>
          </cell>
        </row>
        <row r="20165">
          <cell r="A20165">
            <v>43543</v>
          </cell>
        </row>
        <row r="20166">
          <cell r="A20166">
            <v>43243</v>
          </cell>
        </row>
        <row r="20167">
          <cell r="A20167">
            <v>43104</v>
          </cell>
        </row>
        <row r="20168">
          <cell r="A20168">
            <v>43657</v>
          </cell>
        </row>
        <row r="20169">
          <cell r="A20169">
            <v>43124</v>
          </cell>
        </row>
        <row r="20170">
          <cell r="A20170">
            <v>43651</v>
          </cell>
        </row>
        <row r="20171">
          <cell r="A20171">
            <v>43569</v>
          </cell>
        </row>
        <row r="20172">
          <cell r="A20172">
            <v>43784</v>
          </cell>
        </row>
        <row r="20173">
          <cell r="A20173">
            <v>43212</v>
          </cell>
        </row>
        <row r="20174">
          <cell r="A20174">
            <v>43583</v>
          </cell>
        </row>
        <row r="20175">
          <cell r="A20175">
            <v>43433</v>
          </cell>
        </row>
        <row r="20176">
          <cell r="A20176">
            <v>43187</v>
          </cell>
        </row>
        <row r="20177">
          <cell r="A20177">
            <v>43822</v>
          </cell>
        </row>
        <row r="20178">
          <cell r="A20178">
            <v>43526</v>
          </cell>
        </row>
        <row r="20179">
          <cell r="A20179">
            <v>43428</v>
          </cell>
        </row>
        <row r="20180">
          <cell r="A20180">
            <v>43898</v>
          </cell>
        </row>
        <row r="20181">
          <cell r="A20181">
            <v>43467</v>
          </cell>
        </row>
        <row r="20182">
          <cell r="A20182">
            <v>43260</v>
          </cell>
        </row>
        <row r="20183">
          <cell r="A20183">
            <v>43485</v>
          </cell>
        </row>
        <row r="20184">
          <cell r="A20184">
            <v>43502</v>
          </cell>
        </row>
        <row r="20185">
          <cell r="A20185">
            <v>43264</v>
          </cell>
        </row>
        <row r="20186">
          <cell r="A20186">
            <v>43328</v>
          </cell>
        </row>
        <row r="20187">
          <cell r="A20187">
            <v>43664</v>
          </cell>
        </row>
        <row r="20188">
          <cell r="A20188">
            <v>43783</v>
          </cell>
        </row>
        <row r="20189">
          <cell r="A20189">
            <v>43711</v>
          </cell>
        </row>
        <row r="20190">
          <cell r="A20190">
            <v>43171</v>
          </cell>
        </row>
        <row r="20191">
          <cell r="A20191">
            <v>43827</v>
          </cell>
        </row>
        <row r="20192">
          <cell r="A20192">
            <v>43847</v>
          </cell>
        </row>
        <row r="20193">
          <cell r="A20193">
            <v>43304</v>
          </cell>
        </row>
        <row r="20194">
          <cell r="A20194">
            <v>43463</v>
          </cell>
        </row>
        <row r="20195">
          <cell r="A20195">
            <v>43325</v>
          </cell>
        </row>
        <row r="20196">
          <cell r="A20196">
            <v>43715</v>
          </cell>
        </row>
        <row r="20197">
          <cell r="A20197">
            <v>43218</v>
          </cell>
        </row>
        <row r="20198">
          <cell r="A20198">
            <v>43203</v>
          </cell>
        </row>
        <row r="20199">
          <cell r="A20199">
            <v>43176</v>
          </cell>
        </row>
        <row r="20200">
          <cell r="A20200">
            <v>43667</v>
          </cell>
        </row>
        <row r="20201">
          <cell r="A20201">
            <v>43691</v>
          </cell>
        </row>
        <row r="20202">
          <cell r="A20202">
            <v>43587</v>
          </cell>
        </row>
        <row r="20203">
          <cell r="A20203">
            <v>43180</v>
          </cell>
        </row>
        <row r="20204">
          <cell r="A20204">
            <v>43401</v>
          </cell>
        </row>
        <row r="20205">
          <cell r="A20205">
            <v>43404</v>
          </cell>
        </row>
        <row r="20206">
          <cell r="A20206">
            <v>43618</v>
          </cell>
        </row>
        <row r="20207">
          <cell r="A20207">
            <v>43485</v>
          </cell>
        </row>
        <row r="20208">
          <cell r="A20208">
            <v>43139</v>
          </cell>
        </row>
        <row r="20209">
          <cell r="A20209">
            <v>43882</v>
          </cell>
        </row>
        <row r="20210">
          <cell r="A20210">
            <v>43359</v>
          </cell>
        </row>
        <row r="20211">
          <cell r="A20211">
            <v>43488</v>
          </cell>
        </row>
        <row r="20212">
          <cell r="A20212">
            <v>43249</v>
          </cell>
        </row>
        <row r="20213">
          <cell r="A20213">
            <v>43205</v>
          </cell>
        </row>
        <row r="20214">
          <cell r="A20214">
            <v>43915</v>
          </cell>
        </row>
        <row r="20215">
          <cell r="A20215">
            <v>43384</v>
          </cell>
        </row>
        <row r="20216">
          <cell r="A20216">
            <v>43654</v>
          </cell>
        </row>
        <row r="20217">
          <cell r="A20217">
            <v>43208</v>
          </cell>
        </row>
        <row r="20218">
          <cell r="A20218">
            <v>43603</v>
          </cell>
        </row>
        <row r="20219">
          <cell r="A20219">
            <v>43374</v>
          </cell>
        </row>
        <row r="20220">
          <cell r="A20220">
            <v>43320</v>
          </cell>
        </row>
        <row r="20221">
          <cell r="A20221">
            <v>43860</v>
          </cell>
        </row>
        <row r="20222">
          <cell r="A20222">
            <v>43274</v>
          </cell>
        </row>
        <row r="20223">
          <cell r="A20223">
            <v>43873</v>
          </cell>
        </row>
        <row r="20224">
          <cell r="A20224">
            <v>43540</v>
          </cell>
        </row>
        <row r="20225">
          <cell r="A20225">
            <v>43752</v>
          </cell>
        </row>
        <row r="20226">
          <cell r="A20226">
            <v>43196</v>
          </cell>
        </row>
        <row r="20227">
          <cell r="A20227">
            <v>43220</v>
          </cell>
        </row>
        <row r="20228">
          <cell r="A20228">
            <v>43913</v>
          </cell>
        </row>
        <row r="20229">
          <cell r="A20229">
            <v>43311</v>
          </cell>
        </row>
        <row r="20230">
          <cell r="A20230">
            <v>43378</v>
          </cell>
        </row>
        <row r="20231">
          <cell r="A20231">
            <v>43651</v>
          </cell>
        </row>
        <row r="20232">
          <cell r="A20232">
            <v>43669</v>
          </cell>
        </row>
        <row r="20233">
          <cell r="A20233">
            <v>43729</v>
          </cell>
        </row>
        <row r="20234">
          <cell r="A20234">
            <v>43269</v>
          </cell>
        </row>
        <row r="20235">
          <cell r="A20235">
            <v>43329</v>
          </cell>
        </row>
        <row r="20236">
          <cell r="A20236">
            <v>43189</v>
          </cell>
        </row>
        <row r="20237">
          <cell r="A20237">
            <v>43819</v>
          </cell>
        </row>
        <row r="20238">
          <cell r="A20238">
            <v>43344</v>
          </cell>
        </row>
        <row r="20239">
          <cell r="A20239">
            <v>43113</v>
          </cell>
        </row>
        <row r="20240">
          <cell r="A20240">
            <v>43814</v>
          </cell>
        </row>
        <row r="20241">
          <cell r="A20241">
            <v>43357</v>
          </cell>
        </row>
        <row r="20242">
          <cell r="A20242">
            <v>43129</v>
          </cell>
        </row>
        <row r="20243">
          <cell r="A20243">
            <v>43491</v>
          </cell>
        </row>
        <row r="20244">
          <cell r="A20244">
            <v>43103</v>
          </cell>
        </row>
        <row r="20245">
          <cell r="A20245">
            <v>43235</v>
          </cell>
        </row>
        <row r="20246">
          <cell r="A20246">
            <v>43498</v>
          </cell>
        </row>
        <row r="20247">
          <cell r="A20247">
            <v>43911</v>
          </cell>
        </row>
        <row r="20248">
          <cell r="A20248">
            <v>43403</v>
          </cell>
        </row>
        <row r="20249">
          <cell r="A20249">
            <v>43641</v>
          </cell>
        </row>
        <row r="20250">
          <cell r="A20250">
            <v>43508</v>
          </cell>
        </row>
        <row r="20251">
          <cell r="A20251">
            <v>43533</v>
          </cell>
        </row>
        <row r="20252">
          <cell r="A20252">
            <v>43791</v>
          </cell>
        </row>
        <row r="20253">
          <cell r="A20253">
            <v>43682</v>
          </cell>
        </row>
        <row r="20254">
          <cell r="A20254">
            <v>43916</v>
          </cell>
        </row>
        <row r="20255">
          <cell r="A20255">
            <v>43585</v>
          </cell>
        </row>
        <row r="20256">
          <cell r="A20256">
            <v>43446</v>
          </cell>
        </row>
        <row r="20257">
          <cell r="A20257">
            <v>43486</v>
          </cell>
        </row>
        <row r="20258">
          <cell r="A20258">
            <v>43549</v>
          </cell>
        </row>
        <row r="20259">
          <cell r="A20259">
            <v>43705</v>
          </cell>
        </row>
        <row r="20260">
          <cell r="A20260">
            <v>43759</v>
          </cell>
        </row>
        <row r="20261">
          <cell r="A20261">
            <v>43451</v>
          </cell>
        </row>
        <row r="20262">
          <cell r="A20262">
            <v>43572</v>
          </cell>
        </row>
        <row r="20263">
          <cell r="A20263">
            <v>43716</v>
          </cell>
        </row>
        <row r="20264">
          <cell r="A20264">
            <v>43721</v>
          </cell>
        </row>
        <row r="20265">
          <cell r="A20265">
            <v>43323</v>
          </cell>
        </row>
        <row r="20266">
          <cell r="A20266">
            <v>43722</v>
          </cell>
        </row>
        <row r="20267">
          <cell r="A20267">
            <v>43613</v>
          </cell>
        </row>
        <row r="20268">
          <cell r="A20268">
            <v>43387</v>
          </cell>
        </row>
        <row r="20269">
          <cell r="A20269">
            <v>43862</v>
          </cell>
        </row>
        <row r="20270">
          <cell r="A20270">
            <v>43429</v>
          </cell>
        </row>
        <row r="20271">
          <cell r="A20271">
            <v>43142</v>
          </cell>
        </row>
        <row r="20272">
          <cell r="A20272">
            <v>43515</v>
          </cell>
        </row>
        <row r="20273">
          <cell r="A20273">
            <v>43750</v>
          </cell>
        </row>
        <row r="20274">
          <cell r="A20274">
            <v>43511</v>
          </cell>
        </row>
        <row r="20275">
          <cell r="A20275">
            <v>43261</v>
          </cell>
        </row>
        <row r="20276">
          <cell r="A20276">
            <v>43654</v>
          </cell>
        </row>
        <row r="20277">
          <cell r="A20277">
            <v>43838</v>
          </cell>
        </row>
        <row r="20278">
          <cell r="A20278">
            <v>43152</v>
          </cell>
        </row>
        <row r="20279">
          <cell r="A20279">
            <v>43784</v>
          </cell>
        </row>
        <row r="20280">
          <cell r="A20280">
            <v>43134</v>
          </cell>
        </row>
        <row r="20281">
          <cell r="A20281">
            <v>43462</v>
          </cell>
        </row>
        <row r="20282">
          <cell r="A20282">
            <v>43405</v>
          </cell>
        </row>
        <row r="20283">
          <cell r="A20283">
            <v>43421</v>
          </cell>
        </row>
        <row r="20284">
          <cell r="A20284">
            <v>43595</v>
          </cell>
        </row>
        <row r="20285">
          <cell r="A20285">
            <v>43680</v>
          </cell>
        </row>
        <row r="20286">
          <cell r="A20286">
            <v>43433</v>
          </cell>
        </row>
        <row r="20287">
          <cell r="A20287">
            <v>43159</v>
          </cell>
        </row>
        <row r="20288">
          <cell r="A20288">
            <v>43155</v>
          </cell>
        </row>
        <row r="20289">
          <cell r="A20289">
            <v>43422</v>
          </cell>
        </row>
        <row r="20290">
          <cell r="A20290">
            <v>43186</v>
          </cell>
        </row>
        <row r="20291">
          <cell r="A20291">
            <v>43428</v>
          </cell>
        </row>
        <row r="20292">
          <cell r="A20292">
            <v>43193</v>
          </cell>
        </row>
        <row r="20293">
          <cell r="A20293">
            <v>43731</v>
          </cell>
        </row>
        <row r="20294">
          <cell r="A20294">
            <v>43747</v>
          </cell>
        </row>
        <row r="20295">
          <cell r="A20295">
            <v>43330</v>
          </cell>
        </row>
        <row r="20296">
          <cell r="A20296">
            <v>43917</v>
          </cell>
        </row>
        <row r="20297">
          <cell r="A20297">
            <v>43190</v>
          </cell>
        </row>
        <row r="20298">
          <cell r="A20298">
            <v>43804</v>
          </cell>
        </row>
        <row r="20299">
          <cell r="A20299">
            <v>43634</v>
          </cell>
        </row>
        <row r="20300">
          <cell r="A20300">
            <v>43705</v>
          </cell>
        </row>
        <row r="20301">
          <cell r="A20301">
            <v>43251</v>
          </cell>
        </row>
        <row r="20302">
          <cell r="A20302">
            <v>43202</v>
          </cell>
        </row>
        <row r="20303">
          <cell r="A20303">
            <v>43573</v>
          </cell>
        </row>
        <row r="20304">
          <cell r="A20304">
            <v>43503</v>
          </cell>
        </row>
        <row r="20305">
          <cell r="A20305">
            <v>43659</v>
          </cell>
        </row>
        <row r="20306">
          <cell r="A20306">
            <v>43590</v>
          </cell>
        </row>
        <row r="20307">
          <cell r="A20307">
            <v>43446</v>
          </cell>
        </row>
        <row r="20308">
          <cell r="A20308">
            <v>43699</v>
          </cell>
        </row>
        <row r="20309">
          <cell r="A20309">
            <v>43469</v>
          </cell>
        </row>
        <row r="20310">
          <cell r="A20310">
            <v>43304</v>
          </cell>
        </row>
        <row r="20311">
          <cell r="A20311">
            <v>43152</v>
          </cell>
        </row>
        <row r="20312">
          <cell r="A20312">
            <v>43849</v>
          </cell>
        </row>
        <row r="20313">
          <cell r="A20313">
            <v>43850</v>
          </cell>
        </row>
        <row r="20314">
          <cell r="A20314">
            <v>43649</v>
          </cell>
        </row>
        <row r="20315">
          <cell r="A20315">
            <v>43910</v>
          </cell>
        </row>
        <row r="20316">
          <cell r="A20316">
            <v>43582</v>
          </cell>
        </row>
        <row r="20317">
          <cell r="A20317">
            <v>43291</v>
          </cell>
        </row>
        <row r="20318">
          <cell r="A20318">
            <v>43120</v>
          </cell>
        </row>
        <row r="20319">
          <cell r="A20319">
            <v>43350</v>
          </cell>
        </row>
        <row r="20320">
          <cell r="A20320">
            <v>43193</v>
          </cell>
        </row>
        <row r="20321">
          <cell r="A20321">
            <v>43469</v>
          </cell>
        </row>
        <row r="20322">
          <cell r="A20322">
            <v>43738</v>
          </cell>
        </row>
        <row r="20323">
          <cell r="A20323">
            <v>43782</v>
          </cell>
        </row>
        <row r="20324">
          <cell r="A20324">
            <v>43268</v>
          </cell>
        </row>
        <row r="20325">
          <cell r="A20325">
            <v>43588</v>
          </cell>
        </row>
        <row r="20326">
          <cell r="A20326">
            <v>43200</v>
          </cell>
        </row>
        <row r="20327">
          <cell r="A20327">
            <v>43106</v>
          </cell>
        </row>
        <row r="20328">
          <cell r="A20328">
            <v>43715</v>
          </cell>
        </row>
        <row r="20329">
          <cell r="A20329">
            <v>43263</v>
          </cell>
        </row>
        <row r="20330">
          <cell r="A20330">
            <v>43249</v>
          </cell>
        </row>
        <row r="20331">
          <cell r="A20331">
            <v>43397</v>
          </cell>
        </row>
        <row r="20332">
          <cell r="A20332">
            <v>43133</v>
          </cell>
        </row>
        <row r="20333">
          <cell r="A20333">
            <v>43825</v>
          </cell>
        </row>
        <row r="20334">
          <cell r="A20334">
            <v>43811</v>
          </cell>
        </row>
        <row r="20335">
          <cell r="A20335">
            <v>43845</v>
          </cell>
        </row>
        <row r="20336">
          <cell r="A20336">
            <v>43246</v>
          </cell>
        </row>
        <row r="20337">
          <cell r="A20337">
            <v>43557</v>
          </cell>
        </row>
        <row r="20338">
          <cell r="A20338">
            <v>43197</v>
          </cell>
        </row>
        <row r="20339">
          <cell r="A20339">
            <v>43405</v>
          </cell>
        </row>
        <row r="20340">
          <cell r="A20340">
            <v>43528</v>
          </cell>
        </row>
        <row r="20341">
          <cell r="A20341">
            <v>43113</v>
          </cell>
        </row>
        <row r="20342">
          <cell r="A20342">
            <v>43615</v>
          </cell>
        </row>
        <row r="20343">
          <cell r="A20343">
            <v>43213</v>
          </cell>
        </row>
        <row r="20344">
          <cell r="A20344">
            <v>43169</v>
          </cell>
        </row>
        <row r="20345">
          <cell r="A20345">
            <v>43710</v>
          </cell>
        </row>
        <row r="20346">
          <cell r="A20346">
            <v>43890</v>
          </cell>
        </row>
        <row r="20347">
          <cell r="A20347">
            <v>43801</v>
          </cell>
        </row>
        <row r="20348">
          <cell r="A20348">
            <v>43349</v>
          </cell>
        </row>
        <row r="20349">
          <cell r="A20349">
            <v>43474</v>
          </cell>
        </row>
        <row r="20350">
          <cell r="A20350">
            <v>43626</v>
          </cell>
        </row>
        <row r="20351">
          <cell r="A20351">
            <v>43501</v>
          </cell>
        </row>
        <row r="20352">
          <cell r="A20352">
            <v>43140</v>
          </cell>
        </row>
        <row r="20353">
          <cell r="A20353">
            <v>43317</v>
          </cell>
        </row>
        <row r="20354">
          <cell r="A20354">
            <v>43802</v>
          </cell>
        </row>
        <row r="20355">
          <cell r="A20355">
            <v>43425</v>
          </cell>
        </row>
        <row r="20356">
          <cell r="A20356">
            <v>43731</v>
          </cell>
        </row>
        <row r="20357">
          <cell r="A20357">
            <v>43235</v>
          </cell>
        </row>
        <row r="20358">
          <cell r="A20358">
            <v>43271</v>
          </cell>
        </row>
        <row r="20359">
          <cell r="A20359">
            <v>43136</v>
          </cell>
        </row>
        <row r="20360">
          <cell r="A20360">
            <v>43635</v>
          </cell>
        </row>
        <row r="20361">
          <cell r="A20361">
            <v>43718</v>
          </cell>
        </row>
        <row r="20362">
          <cell r="A20362">
            <v>43512</v>
          </cell>
        </row>
        <row r="20363">
          <cell r="A20363">
            <v>43820</v>
          </cell>
        </row>
        <row r="20364">
          <cell r="A20364">
            <v>43331</v>
          </cell>
        </row>
        <row r="20365">
          <cell r="A20365">
            <v>43623</v>
          </cell>
        </row>
        <row r="20366">
          <cell r="A20366">
            <v>43828</v>
          </cell>
        </row>
        <row r="20367">
          <cell r="A20367">
            <v>43534</v>
          </cell>
        </row>
        <row r="20368">
          <cell r="A20368">
            <v>43524</v>
          </cell>
        </row>
        <row r="20369">
          <cell r="A20369">
            <v>43877</v>
          </cell>
        </row>
        <row r="20370">
          <cell r="A20370">
            <v>43744</v>
          </cell>
        </row>
        <row r="20371">
          <cell r="A20371">
            <v>43192</v>
          </cell>
        </row>
        <row r="20372">
          <cell r="A20372">
            <v>43585</v>
          </cell>
        </row>
        <row r="20373">
          <cell r="A20373">
            <v>43373</v>
          </cell>
        </row>
        <row r="20374">
          <cell r="A20374">
            <v>43884</v>
          </cell>
        </row>
        <row r="20375">
          <cell r="A20375">
            <v>43362</v>
          </cell>
        </row>
        <row r="20376">
          <cell r="A20376">
            <v>43897</v>
          </cell>
        </row>
        <row r="20377">
          <cell r="A20377">
            <v>43732</v>
          </cell>
        </row>
        <row r="20378">
          <cell r="A20378">
            <v>43620</v>
          </cell>
        </row>
        <row r="20379">
          <cell r="A20379">
            <v>43478</v>
          </cell>
        </row>
        <row r="20380">
          <cell r="A20380">
            <v>43795</v>
          </cell>
        </row>
        <row r="20381">
          <cell r="A20381">
            <v>43903</v>
          </cell>
        </row>
        <row r="20382">
          <cell r="A20382">
            <v>43644</v>
          </cell>
        </row>
        <row r="20383">
          <cell r="A20383">
            <v>43566</v>
          </cell>
        </row>
        <row r="20384">
          <cell r="A20384">
            <v>43510</v>
          </cell>
        </row>
        <row r="20385">
          <cell r="A20385">
            <v>43461</v>
          </cell>
        </row>
        <row r="20386">
          <cell r="A20386">
            <v>43914</v>
          </cell>
        </row>
        <row r="20387">
          <cell r="A20387">
            <v>43125</v>
          </cell>
        </row>
        <row r="20388">
          <cell r="A20388">
            <v>43628</v>
          </cell>
        </row>
        <row r="20389">
          <cell r="A20389">
            <v>43880</v>
          </cell>
        </row>
        <row r="20390">
          <cell r="A20390">
            <v>43600</v>
          </cell>
        </row>
        <row r="20391">
          <cell r="A20391">
            <v>43167</v>
          </cell>
        </row>
        <row r="20392">
          <cell r="A20392">
            <v>43904</v>
          </cell>
        </row>
        <row r="20393">
          <cell r="A20393">
            <v>43334</v>
          </cell>
        </row>
        <row r="20394">
          <cell r="A20394">
            <v>43210</v>
          </cell>
        </row>
        <row r="20395">
          <cell r="A20395">
            <v>43892</v>
          </cell>
        </row>
        <row r="20396">
          <cell r="A20396">
            <v>43543</v>
          </cell>
        </row>
        <row r="20397">
          <cell r="A20397">
            <v>43665</v>
          </cell>
        </row>
        <row r="20398">
          <cell r="A20398">
            <v>43343</v>
          </cell>
        </row>
        <row r="20399">
          <cell r="A20399">
            <v>43447</v>
          </cell>
        </row>
        <row r="20400">
          <cell r="A20400">
            <v>43727</v>
          </cell>
        </row>
        <row r="20401">
          <cell r="A20401">
            <v>43919</v>
          </cell>
        </row>
        <row r="20402">
          <cell r="A20402">
            <v>43399</v>
          </cell>
        </row>
        <row r="20403">
          <cell r="A20403">
            <v>43833</v>
          </cell>
        </row>
        <row r="20404">
          <cell r="A20404">
            <v>43434</v>
          </cell>
        </row>
        <row r="20405">
          <cell r="A20405">
            <v>43910</v>
          </cell>
        </row>
        <row r="20406">
          <cell r="A20406">
            <v>43591</v>
          </cell>
        </row>
        <row r="20407">
          <cell r="A20407">
            <v>43291</v>
          </cell>
        </row>
        <row r="20408">
          <cell r="A20408">
            <v>43914</v>
          </cell>
        </row>
        <row r="20409">
          <cell r="A20409">
            <v>43279</v>
          </cell>
        </row>
        <row r="20410">
          <cell r="A20410">
            <v>43745</v>
          </cell>
        </row>
        <row r="20411">
          <cell r="A20411">
            <v>43741</v>
          </cell>
        </row>
        <row r="20412">
          <cell r="A20412">
            <v>43222</v>
          </cell>
        </row>
        <row r="20413">
          <cell r="A20413">
            <v>43312</v>
          </cell>
        </row>
        <row r="20414">
          <cell r="A20414">
            <v>43512</v>
          </cell>
        </row>
        <row r="20415">
          <cell r="A20415">
            <v>43780</v>
          </cell>
        </row>
        <row r="20416">
          <cell r="A20416">
            <v>43902</v>
          </cell>
        </row>
        <row r="20417">
          <cell r="A20417">
            <v>43430</v>
          </cell>
        </row>
        <row r="20418">
          <cell r="A20418">
            <v>43806</v>
          </cell>
        </row>
        <row r="20419">
          <cell r="A20419">
            <v>43470</v>
          </cell>
        </row>
        <row r="20420">
          <cell r="A20420">
            <v>43197</v>
          </cell>
        </row>
        <row r="20421">
          <cell r="A20421">
            <v>43407</v>
          </cell>
        </row>
        <row r="20422">
          <cell r="A20422">
            <v>43448</v>
          </cell>
        </row>
        <row r="20423">
          <cell r="A20423">
            <v>43108</v>
          </cell>
        </row>
        <row r="20424">
          <cell r="A20424">
            <v>43407</v>
          </cell>
        </row>
        <row r="20425">
          <cell r="A20425">
            <v>43447</v>
          </cell>
        </row>
        <row r="20426">
          <cell r="A20426">
            <v>43338</v>
          </cell>
        </row>
        <row r="20427">
          <cell r="A20427">
            <v>43118</v>
          </cell>
        </row>
        <row r="20428">
          <cell r="A20428">
            <v>43456</v>
          </cell>
        </row>
        <row r="20429">
          <cell r="A20429">
            <v>43339</v>
          </cell>
        </row>
        <row r="20430">
          <cell r="A20430">
            <v>43274</v>
          </cell>
        </row>
        <row r="20431">
          <cell r="A20431">
            <v>43659</v>
          </cell>
        </row>
        <row r="20432">
          <cell r="A20432">
            <v>43136</v>
          </cell>
        </row>
        <row r="20433">
          <cell r="A20433">
            <v>43446</v>
          </cell>
        </row>
        <row r="20434">
          <cell r="A20434">
            <v>43709</v>
          </cell>
        </row>
        <row r="20435">
          <cell r="A20435">
            <v>43146</v>
          </cell>
        </row>
        <row r="20436">
          <cell r="A20436">
            <v>43464</v>
          </cell>
        </row>
        <row r="20437">
          <cell r="A20437">
            <v>43533</v>
          </cell>
        </row>
        <row r="20438">
          <cell r="A20438">
            <v>43542</v>
          </cell>
        </row>
        <row r="20439">
          <cell r="A20439">
            <v>43253</v>
          </cell>
        </row>
        <row r="20440">
          <cell r="A20440">
            <v>43801</v>
          </cell>
        </row>
        <row r="20441">
          <cell r="A20441">
            <v>43688</v>
          </cell>
        </row>
        <row r="20442">
          <cell r="A20442">
            <v>43421</v>
          </cell>
        </row>
        <row r="20443">
          <cell r="A20443">
            <v>43517</v>
          </cell>
        </row>
        <row r="20444">
          <cell r="A20444">
            <v>43123</v>
          </cell>
        </row>
        <row r="20445">
          <cell r="A20445">
            <v>43611</v>
          </cell>
        </row>
        <row r="20446">
          <cell r="A20446">
            <v>43147</v>
          </cell>
        </row>
        <row r="20447">
          <cell r="A20447">
            <v>43184</v>
          </cell>
        </row>
        <row r="20448">
          <cell r="A20448">
            <v>43364</v>
          </cell>
        </row>
        <row r="20449">
          <cell r="A20449">
            <v>43715</v>
          </cell>
        </row>
        <row r="20450">
          <cell r="A20450">
            <v>43860</v>
          </cell>
        </row>
        <row r="20451">
          <cell r="A20451">
            <v>43539</v>
          </cell>
        </row>
        <row r="20452">
          <cell r="A20452">
            <v>43256</v>
          </cell>
        </row>
        <row r="20453">
          <cell r="A20453">
            <v>43546</v>
          </cell>
        </row>
        <row r="20454">
          <cell r="A20454">
            <v>43394</v>
          </cell>
        </row>
        <row r="20455">
          <cell r="A20455">
            <v>43163</v>
          </cell>
        </row>
        <row r="20456">
          <cell r="A20456">
            <v>43200</v>
          </cell>
        </row>
        <row r="20457">
          <cell r="A20457">
            <v>43743</v>
          </cell>
        </row>
        <row r="20458">
          <cell r="A20458">
            <v>43261</v>
          </cell>
        </row>
        <row r="20459">
          <cell r="A20459">
            <v>43190</v>
          </cell>
        </row>
        <row r="20460">
          <cell r="A20460">
            <v>43476</v>
          </cell>
        </row>
        <row r="20461">
          <cell r="A20461">
            <v>43457</v>
          </cell>
        </row>
        <row r="20462">
          <cell r="A20462">
            <v>43366</v>
          </cell>
        </row>
        <row r="20463">
          <cell r="A20463">
            <v>43150</v>
          </cell>
        </row>
        <row r="20464">
          <cell r="A20464">
            <v>43608</v>
          </cell>
        </row>
        <row r="20465">
          <cell r="A20465">
            <v>43770</v>
          </cell>
        </row>
        <row r="20466">
          <cell r="A20466">
            <v>43211</v>
          </cell>
        </row>
        <row r="20467">
          <cell r="A20467">
            <v>43665</v>
          </cell>
        </row>
        <row r="20468">
          <cell r="A20468">
            <v>43718</v>
          </cell>
        </row>
        <row r="20469">
          <cell r="A20469">
            <v>43557</v>
          </cell>
        </row>
        <row r="20470">
          <cell r="A20470">
            <v>43342</v>
          </cell>
        </row>
        <row r="20471">
          <cell r="A20471">
            <v>43518</v>
          </cell>
        </row>
        <row r="20472">
          <cell r="A20472">
            <v>43154</v>
          </cell>
        </row>
        <row r="20473">
          <cell r="A20473">
            <v>43538</v>
          </cell>
        </row>
        <row r="20474">
          <cell r="A20474">
            <v>43246</v>
          </cell>
        </row>
        <row r="20475">
          <cell r="A20475">
            <v>43760</v>
          </cell>
        </row>
        <row r="20476">
          <cell r="A20476">
            <v>43296</v>
          </cell>
        </row>
        <row r="20477">
          <cell r="A20477">
            <v>43364</v>
          </cell>
        </row>
        <row r="20478">
          <cell r="A20478">
            <v>43488</v>
          </cell>
        </row>
        <row r="20479">
          <cell r="A20479">
            <v>43575</v>
          </cell>
        </row>
        <row r="20480">
          <cell r="A20480">
            <v>43455</v>
          </cell>
        </row>
        <row r="20481">
          <cell r="A20481">
            <v>43914</v>
          </cell>
        </row>
        <row r="20482">
          <cell r="A20482">
            <v>43104</v>
          </cell>
        </row>
        <row r="20483">
          <cell r="A20483">
            <v>43355</v>
          </cell>
        </row>
        <row r="20484">
          <cell r="A20484">
            <v>43619</v>
          </cell>
        </row>
        <row r="20485">
          <cell r="A20485">
            <v>43679</v>
          </cell>
        </row>
        <row r="20486">
          <cell r="A20486">
            <v>43414</v>
          </cell>
        </row>
        <row r="20487">
          <cell r="A20487">
            <v>43627</v>
          </cell>
        </row>
        <row r="20488">
          <cell r="A20488">
            <v>43817</v>
          </cell>
        </row>
        <row r="20489">
          <cell r="A20489">
            <v>43159</v>
          </cell>
        </row>
        <row r="20490">
          <cell r="A20490">
            <v>43911</v>
          </cell>
        </row>
        <row r="20491">
          <cell r="A20491">
            <v>43302</v>
          </cell>
        </row>
        <row r="20492">
          <cell r="A20492">
            <v>43229</v>
          </cell>
        </row>
        <row r="20493">
          <cell r="A20493">
            <v>43675</v>
          </cell>
        </row>
        <row r="20494">
          <cell r="A20494">
            <v>43560</v>
          </cell>
        </row>
        <row r="20495">
          <cell r="A20495">
            <v>43327</v>
          </cell>
        </row>
        <row r="20496">
          <cell r="A20496">
            <v>43532</v>
          </cell>
        </row>
        <row r="20497">
          <cell r="A20497">
            <v>43432</v>
          </cell>
        </row>
        <row r="20498">
          <cell r="A20498">
            <v>43381</v>
          </cell>
        </row>
        <row r="20499">
          <cell r="A20499">
            <v>43467</v>
          </cell>
        </row>
        <row r="20500">
          <cell r="A20500">
            <v>43212</v>
          </cell>
        </row>
        <row r="20501">
          <cell r="A20501">
            <v>43492</v>
          </cell>
        </row>
        <row r="20502">
          <cell r="A20502">
            <v>43473</v>
          </cell>
        </row>
        <row r="20503">
          <cell r="A20503">
            <v>43881</v>
          </cell>
        </row>
        <row r="20504">
          <cell r="A20504">
            <v>43377</v>
          </cell>
        </row>
        <row r="20505">
          <cell r="A20505">
            <v>43784</v>
          </cell>
        </row>
        <row r="20506">
          <cell r="A20506">
            <v>43702</v>
          </cell>
        </row>
        <row r="20507">
          <cell r="A20507">
            <v>43297</v>
          </cell>
        </row>
        <row r="20508">
          <cell r="A20508">
            <v>43328</v>
          </cell>
        </row>
        <row r="20509">
          <cell r="A20509">
            <v>43786</v>
          </cell>
        </row>
        <row r="20510">
          <cell r="A20510">
            <v>43250</v>
          </cell>
        </row>
        <row r="20511">
          <cell r="A20511">
            <v>43193</v>
          </cell>
        </row>
        <row r="20512">
          <cell r="A20512">
            <v>43679</v>
          </cell>
        </row>
        <row r="20513">
          <cell r="A20513">
            <v>43557</v>
          </cell>
        </row>
        <row r="20514">
          <cell r="A20514">
            <v>43289</v>
          </cell>
        </row>
        <row r="20515">
          <cell r="A20515">
            <v>43330</v>
          </cell>
        </row>
        <row r="20516">
          <cell r="A20516">
            <v>43688</v>
          </cell>
        </row>
        <row r="20517">
          <cell r="A20517">
            <v>43802</v>
          </cell>
        </row>
        <row r="20518">
          <cell r="A20518">
            <v>43405</v>
          </cell>
        </row>
        <row r="20519">
          <cell r="A20519">
            <v>43366</v>
          </cell>
        </row>
        <row r="20520">
          <cell r="A20520">
            <v>43154</v>
          </cell>
        </row>
        <row r="20521">
          <cell r="A20521">
            <v>43181</v>
          </cell>
        </row>
        <row r="20522">
          <cell r="A20522">
            <v>43197</v>
          </cell>
        </row>
        <row r="20523">
          <cell r="A20523">
            <v>43695</v>
          </cell>
        </row>
        <row r="20524">
          <cell r="A20524">
            <v>43267</v>
          </cell>
        </row>
        <row r="20525">
          <cell r="A20525">
            <v>43521</v>
          </cell>
        </row>
        <row r="20526">
          <cell r="A20526">
            <v>43487</v>
          </cell>
        </row>
        <row r="20527">
          <cell r="A20527">
            <v>43712</v>
          </cell>
        </row>
        <row r="20528">
          <cell r="A20528">
            <v>43920</v>
          </cell>
        </row>
        <row r="20529">
          <cell r="A20529">
            <v>43884</v>
          </cell>
        </row>
        <row r="20530">
          <cell r="A20530">
            <v>43420</v>
          </cell>
        </row>
        <row r="20531">
          <cell r="A20531">
            <v>43803</v>
          </cell>
        </row>
        <row r="20532">
          <cell r="A20532">
            <v>43239</v>
          </cell>
        </row>
        <row r="20533">
          <cell r="A20533">
            <v>43433</v>
          </cell>
        </row>
        <row r="20534">
          <cell r="A20534">
            <v>43578</v>
          </cell>
        </row>
        <row r="20535">
          <cell r="A20535">
            <v>43106</v>
          </cell>
        </row>
        <row r="20536">
          <cell r="A20536">
            <v>43740</v>
          </cell>
        </row>
        <row r="20537">
          <cell r="A20537">
            <v>43894</v>
          </cell>
        </row>
        <row r="20538">
          <cell r="A20538">
            <v>43490</v>
          </cell>
        </row>
        <row r="20539">
          <cell r="A20539">
            <v>43376</v>
          </cell>
        </row>
        <row r="20540">
          <cell r="A20540">
            <v>43507</v>
          </cell>
        </row>
        <row r="20541">
          <cell r="A20541">
            <v>43920</v>
          </cell>
        </row>
        <row r="20542">
          <cell r="A20542">
            <v>43778</v>
          </cell>
        </row>
        <row r="20543">
          <cell r="A20543">
            <v>43558</v>
          </cell>
        </row>
        <row r="20544">
          <cell r="A20544">
            <v>43332</v>
          </cell>
        </row>
        <row r="20545">
          <cell r="A20545">
            <v>43632</v>
          </cell>
        </row>
        <row r="20546">
          <cell r="A20546">
            <v>43648</v>
          </cell>
        </row>
        <row r="20547">
          <cell r="A20547">
            <v>43444</v>
          </cell>
        </row>
        <row r="20548">
          <cell r="A20548">
            <v>43547</v>
          </cell>
        </row>
        <row r="20549">
          <cell r="A20549">
            <v>43851</v>
          </cell>
        </row>
        <row r="20550">
          <cell r="A20550">
            <v>43601</v>
          </cell>
        </row>
        <row r="20551">
          <cell r="A20551">
            <v>43648</v>
          </cell>
        </row>
        <row r="20552">
          <cell r="A20552">
            <v>43578</v>
          </cell>
        </row>
        <row r="20553">
          <cell r="A20553">
            <v>43641</v>
          </cell>
        </row>
        <row r="20554">
          <cell r="A20554">
            <v>43360</v>
          </cell>
        </row>
        <row r="20555">
          <cell r="A20555">
            <v>43137</v>
          </cell>
        </row>
        <row r="20556">
          <cell r="A20556">
            <v>43547</v>
          </cell>
        </row>
        <row r="20557">
          <cell r="A20557">
            <v>43683</v>
          </cell>
        </row>
        <row r="20558">
          <cell r="A20558">
            <v>43627</v>
          </cell>
        </row>
        <row r="20559">
          <cell r="A20559">
            <v>43168</v>
          </cell>
        </row>
        <row r="20560">
          <cell r="A20560">
            <v>43572</v>
          </cell>
        </row>
        <row r="20561">
          <cell r="A20561">
            <v>43108</v>
          </cell>
        </row>
        <row r="20562">
          <cell r="A20562">
            <v>43500</v>
          </cell>
        </row>
        <row r="20563">
          <cell r="A20563">
            <v>43355</v>
          </cell>
        </row>
        <row r="20564">
          <cell r="A20564">
            <v>43402</v>
          </cell>
        </row>
        <row r="20565">
          <cell r="A20565">
            <v>43668</v>
          </cell>
        </row>
        <row r="20566">
          <cell r="A20566">
            <v>43529</v>
          </cell>
        </row>
        <row r="20567">
          <cell r="A20567">
            <v>43857</v>
          </cell>
        </row>
        <row r="20568">
          <cell r="A20568">
            <v>43797</v>
          </cell>
        </row>
        <row r="20569">
          <cell r="A20569">
            <v>43230</v>
          </cell>
        </row>
        <row r="20570">
          <cell r="A20570">
            <v>43453</v>
          </cell>
        </row>
        <row r="20571">
          <cell r="A20571">
            <v>43152</v>
          </cell>
        </row>
        <row r="20572">
          <cell r="A20572">
            <v>43486</v>
          </cell>
        </row>
        <row r="20573">
          <cell r="A20573">
            <v>43320</v>
          </cell>
        </row>
        <row r="20574">
          <cell r="A20574">
            <v>43841</v>
          </cell>
        </row>
        <row r="20575">
          <cell r="A20575">
            <v>43916</v>
          </cell>
        </row>
        <row r="20576">
          <cell r="A20576">
            <v>43365</v>
          </cell>
        </row>
        <row r="20577">
          <cell r="A20577">
            <v>43709</v>
          </cell>
        </row>
        <row r="20578">
          <cell r="A20578">
            <v>43367</v>
          </cell>
        </row>
        <row r="20579">
          <cell r="A20579">
            <v>43322</v>
          </cell>
        </row>
        <row r="20580">
          <cell r="A20580">
            <v>43113</v>
          </cell>
        </row>
        <row r="20581">
          <cell r="A20581">
            <v>43409</v>
          </cell>
        </row>
        <row r="20582">
          <cell r="A20582">
            <v>43776</v>
          </cell>
        </row>
        <row r="20583">
          <cell r="A20583">
            <v>43442</v>
          </cell>
        </row>
        <row r="20584">
          <cell r="A20584">
            <v>43535</v>
          </cell>
        </row>
        <row r="20585">
          <cell r="A20585">
            <v>43515</v>
          </cell>
        </row>
        <row r="20586">
          <cell r="A20586">
            <v>43694</v>
          </cell>
        </row>
        <row r="20587">
          <cell r="A20587">
            <v>43301</v>
          </cell>
        </row>
        <row r="20588">
          <cell r="A20588">
            <v>43366</v>
          </cell>
        </row>
        <row r="20589">
          <cell r="A20589">
            <v>43511</v>
          </cell>
        </row>
        <row r="20590">
          <cell r="A20590">
            <v>43674</v>
          </cell>
        </row>
        <row r="20591">
          <cell r="A20591">
            <v>43725</v>
          </cell>
        </row>
        <row r="20592">
          <cell r="A20592">
            <v>43858</v>
          </cell>
        </row>
        <row r="20593">
          <cell r="A20593">
            <v>43769</v>
          </cell>
        </row>
        <row r="20594">
          <cell r="A20594">
            <v>43834</v>
          </cell>
        </row>
        <row r="20595">
          <cell r="A20595">
            <v>43260</v>
          </cell>
        </row>
        <row r="20596">
          <cell r="A20596">
            <v>43691</v>
          </cell>
        </row>
        <row r="20597">
          <cell r="A20597">
            <v>43768</v>
          </cell>
        </row>
        <row r="20598">
          <cell r="A20598">
            <v>43300</v>
          </cell>
        </row>
        <row r="20599">
          <cell r="A20599">
            <v>43381</v>
          </cell>
        </row>
        <row r="20600">
          <cell r="A20600">
            <v>43247</v>
          </cell>
        </row>
        <row r="20601">
          <cell r="A20601">
            <v>43760</v>
          </cell>
        </row>
        <row r="20602">
          <cell r="A20602">
            <v>43477</v>
          </cell>
        </row>
        <row r="20603">
          <cell r="A20603">
            <v>43712</v>
          </cell>
        </row>
        <row r="20604">
          <cell r="A20604">
            <v>43839</v>
          </cell>
        </row>
        <row r="20605">
          <cell r="A20605">
            <v>43826</v>
          </cell>
        </row>
        <row r="20606">
          <cell r="A20606">
            <v>43355</v>
          </cell>
        </row>
        <row r="20607">
          <cell r="A20607">
            <v>43662</v>
          </cell>
        </row>
        <row r="20608">
          <cell r="A20608">
            <v>43876</v>
          </cell>
        </row>
        <row r="20609">
          <cell r="A20609">
            <v>43825</v>
          </cell>
        </row>
        <row r="20610">
          <cell r="A20610">
            <v>43910</v>
          </cell>
        </row>
        <row r="20611">
          <cell r="A20611">
            <v>43862</v>
          </cell>
        </row>
        <row r="20612">
          <cell r="A20612">
            <v>43894</v>
          </cell>
        </row>
        <row r="20613">
          <cell r="A20613">
            <v>43517</v>
          </cell>
        </row>
        <row r="20614">
          <cell r="A20614">
            <v>43500</v>
          </cell>
        </row>
        <row r="20615">
          <cell r="A20615">
            <v>43272</v>
          </cell>
        </row>
        <row r="20616">
          <cell r="A20616">
            <v>43891</v>
          </cell>
        </row>
        <row r="20617">
          <cell r="A20617">
            <v>43762</v>
          </cell>
        </row>
        <row r="20618">
          <cell r="A20618">
            <v>43246</v>
          </cell>
        </row>
        <row r="20619">
          <cell r="A20619">
            <v>43491</v>
          </cell>
        </row>
        <row r="20620">
          <cell r="A20620">
            <v>43288</v>
          </cell>
        </row>
        <row r="20621">
          <cell r="A20621">
            <v>43712</v>
          </cell>
        </row>
        <row r="20622">
          <cell r="A20622">
            <v>43866</v>
          </cell>
        </row>
        <row r="20623">
          <cell r="A20623">
            <v>43909</v>
          </cell>
        </row>
        <row r="20624">
          <cell r="A20624">
            <v>43610</v>
          </cell>
        </row>
        <row r="20625">
          <cell r="A20625">
            <v>43403</v>
          </cell>
        </row>
        <row r="20626">
          <cell r="A20626">
            <v>43551</v>
          </cell>
        </row>
        <row r="20627">
          <cell r="A20627">
            <v>43229</v>
          </cell>
        </row>
        <row r="20628">
          <cell r="A20628">
            <v>43133</v>
          </cell>
        </row>
        <row r="20629">
          <cell r="A20629">
            <v>43815</v>
          </cell>
        </row>
        <row r="20630">
          <cell r="A20630">
            <v>43197</v>
          </cell>
        </row>
        <row r="20631">
          <cell r="A20631">
            <v>43902</v>
          </cell>
        </row>
        <row r="20632">
          <cell r="A20632">
            <v>43285</v>
          </cell>
        </row>
        <row r="20633">
          <cell r="A20633">
            <v>43799</v>
          </cell>
        </row>
        <row r="20634">
          <cell r="A20634">
            <v>43546</v>
          </cell>
        </row>
        <row r="20635">
          <cell r="A20635">
            <v>43251</v>
          </cell>
        </row>
        <row r="20636">
          <cell r="A20636">
            <v>43343</v>
          </cell>
        </row>
        <row r="20637">
          <cell r="A20637">
            <v>43807</v>
          </cell>
        </row>
        <row r="20638">
          <cell r="A20638">
            <v>43849</v>
          </cell>
        </row>
        <row r="20639">
          <cell r="A20639">
            <v>43394</v>
          </cell>
        </row>
        <row r="20640">
          <cell r="A20640">
            <v>43911</v>
          </cell>
        </row>
        <row r="20641">
          <cell r="A20641">
            <v>43824</v>
          </cell>
        </row>
        <row r="20642">
          <cell r="A20642">
            <v>43405</v>
          </cell>
        </row>
        <row r="20643">
          <cell r="A20643">
            <v>43897</v>
          </cell>
        </row>
        <row r="20644">
          <cell r="A20644">
            <v>43819</v>
          </cell>
        </row>
        <row r="20645">
          <cell r="A20645">
            <v>43642</v>
          </cell>
        </row>
        <row r="20646">
          <cell r="A20646">
            <v>43287</v>
          </cell>
        </row>
        <row r="20647">
          <cell r="A20647">
            <v>43389</v>
          </cell>
        </row>
        <row r="20648">
          <cell r="A20648">
            <v>43235</v>
          </cell>
        </row>
        <row r="20649">
          <cell r="A20649">
            <v>43776</v>
          </cell>
        </row>
        <row r="20650">
          <cell r="A20650">
            <v>43786</v>
          </cell>
        </row>
        <row r="20651">
          <cell r="A20651">
            <v>43739</v>
          </cell>
        </row>
        <row r="20652">
          <cell r="A20652">
            <v>43415</v>
          </cell>
        </row>
        <row r="20653">
          <cell r="A20653">
            <v>43558</v>
          </cell>
        </row>
        <row r="20654">
          <cell r="A20654">
            <v>43283</v>
          </cell>
        </row>
        <row r="20655">
          <cell r="A20655">
            <v>43500</v>
          </cell>
        </row>
        <row r="20656">
          <cell r="A20656">
            <v>43635</v>
          </cell>
        </row>
        <row r="20657">
          <cell r="A20657">
            <v>43543</v>
          </cell>
        </row>
        <row r="20658">
          <cell r="A20658">
            <v>43783</v>
          </cell>
        </row>
        <row r="20659">
          <cell r="A20659">
            <v>43727</v>
          </cell>
        </row>
        <row r="20660">
          <cell r="A20660">
            <v>43430</v>
          </cell>
        </row>
        <row r="20661">
          <cell r="A20661">
            <v>43737</v>
          </cell>
        </row>
        <row r="20662">
          <cell r="A20662">
            <v>43461</v>
          </cell>
        </row>
        <row r="20663">
          <cell r="A20663">
            <v>43463</v>
          </cell>
        </row>
        <row r="20664">
          <cell r="A20664">
            <v>43646</v>
          </cell>
        </row>
        <row r="20665">
          <cell r="A20665">
            <v>43795</v>
          </cell>
        </row>
        <row r="20666">
          <cell r="A20666">
            <v>43599</v>
          </cell>
        </row>
        <row r="20667">
          <cell r="A20667">
            <v>43611</v>
          </cell>
        </row>
        <row r="20668">
          <cell r="A20668">
            <v>43626</v>
          </cell>
        </row>
        <row r="20669">
          <cell r="A20669">
            <v>43917</v>
          </cell>
        </row>
        <row r="20670">
          <cell r="A20670">
            <v>43791</v>
          </cell>
        </row>
        <row r="20671">
          <cell r="A20671">
            <v>43420</v>
          </cell>
        </row>
        <row r="20672">
          <cell r="A20672">
            <v>43654</v>
          </cell>
        </row>
        <row r="20673">
          <cell r="A20673">
            <v>43900</v>
          </cell>
        </row>
        <row r="20674">
          <cell r="A20674">
            <v>43768</v>
          </cell>
        </row>
        <row r="20675">
          <cell r="A20675">
            <v>43391</v>
          </cell>
        </row>
        <row r="20676">
          <cell r="A20676">
            <v>43164</v>
          </cell>
        </row>
        <row r="20677">
          <cell r="A20677">
            <v>43740</v>
          </cell>
        </row>
        <row r="20678">
          <cell r="A20678">
            <v>43298</v>
          </cell>
        </row>
        <row r="20679">
          <cell r="A20679">
            <v>43633</v>
          </cell>
        </row>
        <row r="20680">
          <cell r="A20680">
            <v>43570</v>
          </cell>
        </row>
        <row r="20681">
          <cell r="A20681">
            <v>43710</v>
          </cell>
        </row>
        <row r="20682">
          <cell r="A20682">
            <v>43569</v>
          </cell>
        </row>
        <row r="20683">
          <cell r="A20683">
            <v>43173</v>
          </cell>
        </row>
        <row r="20684">
          <cell r="A20684">
            <v>43728</v>
          </cell>
        </row>
        <row r="20685">
          <cell r="A20685">
            <v>43830</v>
          </cell>
        </row>
        <row r="20686">
          <cell r="A20686">
            <v>43749</v>
          </cell>
        </row>
        <row r="20687">
          <cell r="A20687">
            <v>43422</v>
          </cell>
        </row>
        <row r="20688">
          <cell r="A20688">
            <v>43390</v>
          </cell>
        </row>
        <row r="20689">
          <cell r="A20689">
            <v>43298</v>
          </cell>
        </row>
        <row r="20690">
          <cell r="A20690">
            <v>43293</v>
          </cell>
        </row>
        <row r="20691">
          <cell r="A20691">
            <v>43529</v>
          </cell>
        </row>
        <row r="20692">
          <cell r="A20692">
            <v>43121</v>
          </cell>
        </row>
        <row r="20693">
          <cell r="A20693">
            <v>43819</v>
          </cell>
        </row>
        <row r="20694">
          <cell r="A20694">
            <v>43387</v>
          </cell>
        </row>
        <row r="20695">
          <cell r="A20695">
            <v>43232</v>
          </cell>
        </row>
        <row r="20696">
          <cell r="A20696">
            <v>43292</v>
          </cell>
        </row>
        <row r="20697">
          <cell r="A20697">
            <v>43719</v>
          </cell>
        </row>
        <row r="20698">
          <cell r="A20698">
            <v>43791</v>
          </cell>
        </row>
        <row r="20699">
          <cell r="A20699">
            <v>43125</v>
          </cell>
        </row>
        <row r="20700">
          <cell r="A20700">
            <v>43269</v>
          </cell>
        </row>
        <row r="20701">
          <cell r="A20701">
            <v>43885</v>
          </cell>
        </row>
        <row r="20702">
          <cell r="A20702">
            <v>43808</v>
          </cell>
        </row>
        <row r="20703">
          <cell r="A20703">
            <v>43206</v>
          </cell>
        </row>
        <row r="20704">
          <cell r="A20704">
            <v>43711</v>
          </cell>
        </row>
        <row r="20705">
          <cell r="A20705">
            <v>43377</v>
          </cell>
        </row>
        <row r="20706">
          <cell r="A20706">
            <v>43850</v>
          </cell>
        </row>
        <row r="20707">
          <cell r="A20707">
            <v>43437</v>
          </cell>
        </row>
        <row r="20708">
          <cell r="A20708">
            <v>43820</v>
          </cell>
        </row>
        <row r="20709">
          <cell r="A20709">
            <v>43760</v>
          </cell>
        </row>
        <row r="20710">
          <cell r="A20710">
            <v>43130</v>
          </cell>
        </row>
        <row r="20711">
          <cell r="A20711">
            <v>43320</v>
          </cell>
        </row>
        <row r="20712">
          <cell r="A20712">
            <v>43547</v>
          </cell>
        </row>
        <row r="20713">
          <cell r="A20713">
            <v>43744</v>
          </cell>
        </row>
        <row r="20714">
          <cell r="A20714">
            <v>43516</v>
          </cell>
        </row>
        <row r="20715">
          <cell r="A20715">
            <v>43697</v>
          </cell>
        </row>
        <row r="20716">
          <cell r="A20716">
            <v>43469</v>
          </cell>
        </row>
        <row r="20717">
          <cell r="A20717">
            <v>43143</v>
          </cell>
        </row>
        <row r="20718">
          <cell r="A20718">
            <v>43861</v>
          </cell>
        </row>
        <row r="20719">
          <cell r="A20719">
            <v>43652</v>
          </cell>
        </row>
        <row r="20720">
          <cell r="A20720">
            <v>43167</v>
          </cell>
        </row>
        <row r="20721">
          <cell r="A20721">
            <v>43238</v>
          </cell>
        </row>
        <row r="20722">
          <cell r="A20722">
            <v>43390</v>
          </cell>
        </row>
        <row r="20723">
          <cell r="A20723">
            <v>43819</v>
          </cell>
        </row>
        <row r="20724">
          <cell r="A20724">
            <v>43337</v>
          </cell>
        </row>
        <row r="20725">
          <cell r="A20725">
            <v>43215</v>
          </cell>
        </row>
        <row r="20726">
          <cell r="A20726">
            <v>43381</v>
          </cell>
        </row>
        <row r="20727">
          <cell r="A20727">
            <v>43591</v>
          </cell>
        </row>
        <row r="20728">
          <cell r="A20728">
            <v>43443</v>
          </cell>
        </row>
        <row r="20729">
          <cell r="A20729">
            <v>43163</v>
          </cell>
        </row>
        <row r="20730">
          <cell r="A20730">
            <v>43518</v>
          </cell>
        </row>
        <row r="20731">
          <cell r="A20731">
            <v>43585</v>
          </cell>
        </row>
        <row r="20732">
          <cell r="A20732">
            <v>43764</v>
          </cell>
        </row>
        <row r="20733">
          <cell r="A20733">
            <v>43668</v>
          </cell>
        </row>
        <row r="20734">
          <cell r="A20734">
            <v>43726</v>
          </cell>
        </row>
        <row r="20735">
          <cell r="A20735">
            <v>43628</v>
          </cell>
        </row>
        <row r="20736">
          <cell r="A20736">
            <v>43696</v>
          </cell>
        </row>
        <row r="20737">
          <cell r="A20737">
            <v>43499</v>
          </cell>
        </row>
        <row r="20738">
          <cell r="A20738">
            <v>43216</v>
          </cell>
        </row>
        <row r="20739">
          <cell r="A20739">
            <v>43412</v>
          </cell>
        </row>
        <row r="20740">
          <cell r="A20740">
            <v>43555</v>
          </cell>
        </row>
        <row r="20741">
          <cell r="A20741">
            <v>43236</v>
          </cell>
        </row>
        <row r="20742">
          <cell r="A20742">
            <v>43486</v>
          </cell>
        </row>
        <row r="20743">
          <cell r="A20743">
            <v>43721</v>
          </cell>
        </row>
        <row r="20744">
          <cell r="A20744">
            <v>43289</v>
          </cell>
        </row>
        <row r="20745">
          <cell r="A20745">
            <v>43348</v>
          </cell>
        </row>
        <row r="20746">
          <cell r="A20746">
            <v>43141</v>
          </cell>
        </row>
        <row r="20747">
          <cell r="A20747">
            <v>43903</v>
          </cell>
        </row>
        <row r="20748">
          <cell r="A20748">
            <v>43698</v>
          </cell>
        </row>
        <row r="20749">
          <cell r="A20749">
            <v>43484</v>
          </cell>
        </row>
        <row r="20750">
          <cell r="A20750">
            <v>43449</v>
          </cell>
        </row>
        <row r="20751">
          <cell r="A20751">
            <v>43241</v>
          </cell>
        </row>
        <row r="20752">
          <cell r="A20752">
            <v>43461</v>
          </cell>
        </row>
        <row r="20753">
          <cell r="A20753">
            <v>43436</v>
          </cell>
        </row>
        <row r="20754">
          <cell r="A20754">
            <v>43389</v>
          </cell>
        </row>
        <row r="20755">
          <cell r="A20755">
            <v>43679</v>
          </cell>
        </row>
        <row r="20756">
          <cell r="A20756">
            <v>43165</v>
          </cell>
        </row>
        <row r="20757">
          <cell r="A20757">
            <v>43470</v>
          </cell>
        </row>
        <row r="20758">
          <cell r="A20758">
            <v>43322</v>
          </cell>
        </row>
        <row r="20759">
          <cell r="A20759">
            <v>43281</v>
          </cell>
        </row>
        <row r="20760">
          <cell r="A20760">
            <v>43538</v>
          </cell>
        </row>
        <row r="20761">
          <cell r="A20761">
            <v>43251</v>
          </cell>
        </row>
        <row r="20762">
          <cell r="A20762">
            <v>43656</v>
          </cell>
        </row>
        <row r="20763">
          <cell r="A20763">
            <v>43291</v>
          </cell>
        </row>
        <row r="20764">
          <cell r="A20764">
            <v>43364</v>
          </cell>
        </row>
        <row r="20765">
          <cell r="A20765">
            <v>43141</v>
          </cell>
        </row>
        <row r="20766">
          <cell r="A20766">
            <v>43852</v>
          </cell>
        </row>
        <row r="20767">
          <cell r="A20767">
            <v>43434</v>
          </cell>
        </row>
        <row r="20768">
          <cell r="A20768">
            <v>43884</v>
          </cell>
        </row>
        <row r="20769">
          <cell r="A20769">
            <v>43262</v>
          </cell>
        </row>
        <row r="20770">
          <cell r="A20770">
            <v>43211</v>
          </cell>
        </row>
        <row r="20771">
          <cell r="A20771">
            <v>43325</v>
          </cell>
        </row>
        <row r="20772">
          <cell r="A20772">
            <v>43275</v>
          </cell>
        </row>
        <row r="20773">
          <cell r="A20773">
            <v>43503</v>
          </cell>
        </row>
        <row r="20774">
          <cell r="A20774">
            <v>43635</v>
          </cell>
        </row>
        <row r="20775">
          <cell r="A20775">
            <v>43419</v>
          </cell>
        </row>
        <row r="20776">
          <cell r="A20776">
            <v>43538</v>
          </cell>
        </row>
        <row r="20777">
          <cell r="A20777">
            <v>43470</v>
          </cell>
        </row>
        <row r="20778">
          <cell r="A20778">
            <v>43729</v>
          </cell>
        </row>
        <row r="20779">
          <cell r="A20779">
            <v>43233</v>
          </cell>
        </row>
        <row r="20780">
          <cell r="A20780">
            <v>43446</v>
          </cell>
        </row>
        <row r="20781">
          <cell r="A20781">
            <v>43135</v>
          </cell>
        </row>
        <row r="20782">
          <cell r="A20782">
            <v>43895</v>
          </cell>
        </row>
        <row r="20783">
          <cell r="A20783">
            <v>43499</v>
          </cell>
        </row>
        <row r="20784">
          <cell r="A20784">
            <v>43132</v>
          </cell>
        </row>
        <row r="20785">
          <cell r="A20785">
            <v>43261</v>
          </cell>
        </row>
        <row r="20786">
          <cell r="A20786">
            <v>43822</v>
          </cell>
        </row>
        <row r="20787">
          <cell r="A20787">
            <v>43538</v>
          </cell>
        </row>
        <row r="20788">
          <cell r="A20788">
            <v>43792</v>
          </cell>
        </row>
        <row r="20789">
          <cell r="A20789">
            <v>43780</v>
          </cell>
        </row>
        <row r="20790">
          <cell r="A20790">
            <v>43606</v>
          </cell>
        </row>
        <row r="20791">
          <cell r="A20791">
            <v>43155</v>
          </cell>
        </row>
        <row r="20792">
          <cell r="A20792">
            <v>43374</v>
          </cell>
        </row>
        <row r="20793">
          <cell r="A20793">
            <v>43405</v>
          </cell>
        </row>
        <row r="20794">
          <cell r="A20794">
            <v>43113</v>
          </cell>
        </row>
        <row r="20795">
          <cell r="A20795">
            <v>43266</v>
          </cell>
        </row>
        <row r="20796">
          <cell r="A20796">
            <v>43352</v>
          </cell>
        </row>
        <row r="20797">
          <cell r="A20797">
            <v>43828</v>
          </cell>
        </row>
        <row r="20798">
          <cell r="A20798">
            <v>43246</v>
          </cell>
        </row>
        <row r="20799">
          <cell r="A20799">
            <v>43445</v>
          </cell>
        </row>
        <row r="20800">
          <cell r="A20800">
            <v>43795</v>
          </cell>
        </row>
        <row r="20801">
          <cell r="A20801">
            <v>43838</v>
          </cell>
        </row>
        <row r="20802">
          <cell r="A20802">
            <v>43705</v>
          </cell>
        </row>
        <row r="20803">
          <cell r="A20803">
            <v>43642</v>
          </cell>
        </row>
        <row r="20804">
          <cell r="A20804">
            <v>43299</v>
          </cell>
        </row>
        <row r="20805">
          <cell r="A20805">
            <v>43738</v>
          </cell>
        </row>
        <row r="20806">
          <cell r="A20806">
            <v>43491</v>
          </cell>
        </row>
        <row r="20807">
          <cell r="A20807">
            <v>43894</v>
          </cell>
        </row>
        <row r="20808">
          <cell r="A20808">
            <v>43719</v>
          </cell>
        </row>
        <row r="20809">
          <cell r="A20809">
            <v>43134</v>
          </cell>
        </row>
        <row r="20810">
          <cell r="A20810">
            <v>43170</v>
          </cell>
        </row>
        <row r="20811">
          <cell r="A20811">
            <v>43378</v>
          </cell>
        </row>
        <row r="20812">
          <cell r="A20812">
            <v>43544</v>
          </cell>
        </row>
        <row r="20813">
          <cell r="A20813">
            <v>43568</v>
          </cell>
        </row>
        <row r="20814">
          <cell r="A20814">
            <v>43274</v>
          </cell>
        </row>
        <row r="20815">
          <cell r="A20815">
            <v>43240</v>
          </cell>
        </row>
        <row r="20816">
          <cell r="A20816">
            <v>43642</v>
          </cell>
        </row>
        <row r="20817">
          <cell r="A20817">
            <v>43252</v>
          </cell>
        </row>
        <row r="20818">
          <cell r="A20818">
            <v>43497</v>
          </cell>
        </row>
        <row r="20819">
          <cell r="A20819">
            <v>43530</v>
          </cell>
        </row>
        <row r="20820">
          <cell r="A20820">
            <v>43811</v>
          </cell>
        </row>
        <row r="20821">
          <cell r="A20821">
            <v>43794</v>
          </cell>
        </row>
        <row r="20822">
          <cell r="A20822">
            <v>43643</v>
          </cell>
        </row>
        <row r="20823">
          <cell r="A20823">
            <v>43723</v>
          </cell>
        </row>
        <row r="20824">
          <cell r="A20824">
            <v>43236</v>
          </cell>
        </row>
        <row r="20825">
          <cell r="A20825">
            <v>43848</v>
          </cell>
        </row>
        <row r="20826">
          <cell r="A20826">
            <v>43739</v>
          </cell>
        </row>
        <row r="20827">
          <cell r="A20827">
            <v>43257</v>
          </cell>
        </row>
        <row r="20828">
          <cell r="A20828">
            <v>43686</v>
          </cell>
        </row>
        <row r="20829">
          <cell r="A20829">
            <v>43374</v>
          </cell>
        </row>
        <row r="20830">
          <cell r="A20830">
            <v>43719</v>
          </cell>
        </row>
        <row r="20831">
          <cell r="A20831">
            <v>43701</v>
          </cell>
        </row>
        <row r="20832">
          <cell r="A20832">
            <v>43840</v>
          </cell>
        </row>
        <row r="20833">
          <cell r="A20833">
            <v>43557</v>
          </cell>
        </row>
        <row r="20834">
          <cell r="A20834">
            <v>43775</v>
          </cell>
        </row>
        <row r="20835">
          <cell r="A20835">
            <v>43474</v>
          </cell>
        </row>
        <row r="20836">
          <cell r="A20836">
            <v>43852</v>
          </cell>
        </row>
        <row r="20837">
          <cell r="A20837">
            <v>43467</v>
          </cell>
        </row>
        <row r="20838">
          <cell r="A20838">
            <v>43580</v>
          </cell>
        </row>
        <row r="20839">
          <cell r="A20839">
            <v>43691</v>
          </cell>
        </row>
        <row r="20840">
          <cell r="A20840">
            <v>43750</v>
          </cell>
        </row>
        <row r="20841">
          <cell r="A20841">
            <v>43818</v>
          </cell>
        </row>
        <row r="20842">
          <cell r="A20842">
            <v>43203</v>
          </cell>
        </row>
        <row r="20843">
          <cell r="A20843">
            <v>43801</v>
          </cell>
        </row>
        <row r="20844">
          <cell r="A20844">
            <v>43189</v>
          </cell>
        </row>
        <row r="20845">
          <cell r="A20845">
            <v>43576</v>
          </cell>
        </row>
        <row r="20846">
          <cell r="A20846">
            <v>43268</v>
          </cell>
        </row>
        <row r="20847">
          <cell r="A20847">
            <v>43811</v>
          </cell>
        </row>
        <row r="20848">
          <cell r="A20848">
            <v>43383</v>
          </cell>
        </row>
        <row r="20849">
          <cell r="A20849">
            <v>43641</v>
          </cell>
        </row>
        <row r="20850">
          <cell r="A20850">
            <v>43654</v>
          </cell>
        </row>
        <row r="20851">
          <cell r="A20851">
            <v>43346</v>
          </cell>
        </row>
        <row r="20852">
          <cell r="A20852">
            <v>43504</v>
          </cell>
        </row>
        <row r="20853">
          <cell r="A20853">
            <v>43653</v>
          </cell>
        </row>
        <row r="20854">
          <cell r="A20854">
            <v>43846</v>
          </cell>
        </row>
        <row r="20855">
          <cell r="A20855">
            <v>43722</v>
          </cell>
        </row>
        <row r="20856">
          <cell r="A20856">
            <v>43102</v>
          </cell>
        </row>
        <row r="20857">
          <cell r="A20857">
            <v>43728</v>
          </cell>
        </row>
        <row r="20858">
          <cell r="A20858">
            <v>43487</v>
          </cell>
        </row>
        <row r="20859">
          <cell r="A20859">
            <v>43251</v>
          </cell>
        </row>
        <row r="20860">
          <cell r="A20860">
            <v>43127</v>
          </cell>
        </row>
        <row r="20861">
          <cell r="A20861">
            <v>43574</v>
          </cell>
        </row>
        <row r="20862">
          <cell r="A20862">
            <v>43456</v>
          </cell>
        </row>
        <row r="20863">
          <cell r="A20863">
            <v>43470</v>
          </cell>
        </row>
        <row r="20864">
          <cell r="A20864">
            <v>43361</v>
          </cell>
        </row>
        <row r="20865">
          <cell r="A20865">
            <v>43310</v>
          </cell>
        </row>
        <row r="20866">
          <cell r="A20866">
            <v>43471</v>
          </cell>
        </row>
        <row r="20867">
          <cell r="A20867">
            <v>43780</v>
          </cell>
        </row>
        <row r="20868">
          <cell r="A20868">
            <v>43447</v>
          </cell>
        </row>
        <row r="20869">
          <cell r="A20869">
            <v>43224</v>
          </cell>
        </row>
        <row r="20870">
          <cell r="A20870">
            <v>43275</v>
          </cell>
        </row>
        <row r="20871">
          <cell r="A20871">
            <v>43551</v>
          </cell>
        </row>
        <row r="20872">
          <cell r="A20872">
            <v>43504</v>
          </cell>
        </row>
        <row r="20873">
          <cell r="A20873">
            <v>43256</v>
          </cell>
        </row>
        <row r="20874">
          <cell r="A20874">
            <v>43915</v>
          </cell>
        </row>
        <row r="20875">
          <cell r="A20875">
            <v>43881</v>
          </cell>
        </row>
        <row r="20876">
          <cell r="A20876">
            <v>43500</v>
          </cell>
        </row>
        <row r="20877">
          <cell r="A20877">
            <v>43170</v>
          </cell>
        </row>
        <row r="20878">
          <cell r="A20878">
            <v>43294</v>
          </cell>
        </row>
        <row r="20879">
          <cell r="A20879">
            <v>43235</v>
          </cell>
        </row>
        <row r="20880">
          <cell r="A20880">
            <v>43297</v>
          </cell>
        </row>
        <row r="20881">
          <cell r="A20881">
            <v>43392</v>
          </cell>
        </row>
        <row r="20882">
          <cell r="A20882">
            <v>43671</v>
          </cell>
        </row>
        <row r="20883">
          <cell r="A20883">
            <v>43841</v>
          </cell>
        </row>
        <row r="20884">
          <cell r="A20884">
            <v>43618</v>
          </cell>
        </row>
        <row r="20885">
          <cell r="A20885">
            <v>43138</v>
          </cell>
        </row>
        <row r="20886">
          <cell r="A20886">
            <v>43555</v>
          </cell>
        </row>
        <row r="20887">
          <cell r="A20887">
            <v>43862</v>
          </cell>
        </row>
        <row r="20888">
          <cell r="A20888">
            <v>43521</v>
          </cell>
        </row>
        <row r="20889">
          <cell r="A20889">
            <v>43142</v>
          </cell>
        </row>
        <row r="20890">
          <cell r="A20890">
            <v>43647</v>
          </cell>
        </row>
        <row r="20891">
          <cell r="A20891">
            <v>43745</v>
          </cell>
        </row>
        <row r="20892">
          <cell r="A20892">
            <v>43309</v>
          </cell>
        </row>
        <row r="20893">
          <cell r="A20893">
            <v>43300</v>
          </cell>
        </row>
        <row r="20894">
          <cell r="A20894">
            <v>43347</v>
          </cell>
        </row>
        <row r="20895">
          <cell r="A20895">
            <v>43283</v>
          </cell>
        </row>
        <row r="20896">
          <cell r="A20896">
            <v>43493</v>
          </cell>
        </row>
        <row r="20897">
          <cell r="A20897">
            <v>43858</v>
          </cell>
        </row>
        <row r="20898">
          <cell r="A20898">
            <v>43462</v>
          </cell>
        </row>
        <row r="20899">
          <cell r="A20899">
            <v>43649</v>
          </cell>
        </row>
        <row r="20900">
          <cell r="A20900">
            <v>43443</v>
          </cell>
        </row>
        <row r="20901">
          <cell r="A20901">
            <v>43209</v>
          </cell>
        </row>
        <row r="20902">
          <cell r="A20902">
            <v>43389</v>
          </cell>
        </row>
        <row r="20903">
          <cell r="A20903">
            <v>43256</v>
          </cell>
        </row>
        <row r="20904">
          <cell r="A20904">
            <v>43437</v>
          </cell>
        </row>
        <row r="20905">
          <cell r="A20905">
            <v>43417</v>
          </cell>
        </row>
        <row r="20906">
          <cell r="A20906">
            <v>43624</v>
          </cell>
        </row>
        <row r="20907">
          <cell r="A20907">
            <v>43256</v>
          </cell>
        </row>
        <row r="20908">
          <cell r="A20908">
            <v>43405</v>
          </cell>
        </row>
        <row r="20909">
          <cell r="A20909">
            <v>43318</v>
          </cell>
        </row>
        <row r="20910">
          <cell r="A20910">
            <v>43727</v>
          </cell>
        </row>
        <row r="20911">
          <cell r="A20911">
            <v>43761</v>
          </cell>
        </row>
        <row r="20912">
          <cell r="A20912">
            <v>43580</v>
          </cell>
        </row>
        <row r="20913">
          <cell r="A20913">
            <v>43332</v>
          </cell>
        </row>
        <row r="20914">
          <cell r="A20914">
            <v>43898</v>
          </cell>
        </row>
        <row r="20915">
          <cell r="A20915">
            <v>43588</v>
          </cell>
        </row>
        <row r="20916">
          <cell r="A20916">
            <v>43387</v>
          </cell>
        </row>
        <row r="20917">
          <cell r="A20917">
            <v>43522</v>
          </cell>
        </row>
        <row r="20918">
          <cell r="A20918">
            <v>43174</v>
          </cell>
        </row>
        <row r="20919">
          <cell r="A20919">
            <v>43826</v>
          </cell>
        </row>
        <row r="20920">
          <cell r="A20920">
            <v>43202</v>
          </cell>
        </row>
        <row r="20921">
          <cell r="A20921">
            <v>43152</v>
          </cell>
        </row>
        <row r="20922">
          <cell r="A20922">
            <v>43243</v>
          </cell>
        </row>
        <row r="20923">
          <cell r="A20923">
            <v>43344</v>
          </cell>
        </row>
        <row r="20924">
          <cell r="A20924">
            <v>43393</v>
          </cell>
        </row>
        <row r="20925">
          <cell r="A20925">
            <v>43420</v>
          </cell>
        </row>
        <row r="20926">
          <cell r="A20926">
            <v>43275</v>
          </cell>
        </row>
        <row r="20927">
          <cell r="A20927">
            <v>43872</v>
          </cell>
        </row>
        <row r="20928">
          <cell r="A20928">
            <v>43591</v>
          </cell>
        </row>
        <row r="20929">
          <cell r="A20929">
            <v>43684</v>
          </cell>
        </row>
        <row r="20930">
          <cell r="A20930">
            <v>43427</v>
          </cell>
        </row>
        <row r="20931">
          <cell r="A20931">
            <v>43171</v>
          </cell>
        </row>
        <row r="20932">
          <cell r="A20932">
            <v>43801</v>
          </cell>
        </row>
        <row r="20933">
          <cell r="A20933">
            <v>43204</v>
          </cell>
        </row>
        <row r="20934">
          <cell r="A20934">
            <v>43653</v>
          </cell>
        </row>
        <row r="20935">
          <cell r="A20935">
            <v>43782</v>
          </cell>
        </row>
        <row r="20936">
          <cell r="A20936">
            <v>43646</v>
          </cell>
        </row>
        <row r="20937">
          <cell r="A20937">
            <v>43751</v>
          </cell>
        </row>
        <row r="20938">
          <cell r="A20938">
            <v>43558</v>
          </cell>
        </row>
        <row r="20939">
          <cell r="A20939">
            <v>43802</v>
          </cell>
        </row>
        <row r="20940">
          <cell r="A20940">
            <v>43177</v>
          </cell>
        </row>
        <row r="20941">
          <cell r="A20941">
            <v>43253</v>
          </cell>
        </row>
        <row r="20942">
          <cell r="A20942">
            <v>43725</v>
          </cell>
        </row>
        <row r="20943">
          <cell r="A20943">
            <v>43693</v>
          </cell>
        </row>
        <row r="20944">
          <cell r="A20944">
            <v>43693</v>
          </cell>
        </row>
        <row r="20945">
          <cell r="A20945">
            <v>43210</v>
          </cell>
        </row>
        <row r="20946">
          <cell r="A20946">
            <v>43270</v>
          </cell>
        </row>
        <row r="20947">
          <cell r="A20947">
            <v>43694</v>
          </cell>
        </row>
        <row r="20948">
          <cell r="A20948">
            <v>43644</v>
          </cell>
        </row>
        <row r="20949">
          <cell r="A20949">
            <v>43540</v>
          </cell>
        </row>
        <row r="20950">
          <cell r="A20950">
            <v>43673</v>
          </cell>
        </row>
        <row r="20951">
          <cell r="A20951">
            <v>43351</v>
          </cell>
        </row>
        <row r="20952">
          <cell r="A20952">
            <v>43657</v>
          </cell>
        </row>
        <row r="20953">
          <cell r="A20953">
            <v>43749</v>
          </cell>
        </row>
        <row r="20954">
          <cell r="A20954">
            <v>43156</v>
          </cell>
        </row>
        <row r="20955">
          <cell r="A20955">
            <v>43123</v>
          </cell>
        </row>
        <row r="20956">
          <cell r="A20956">
            <v>43394</v>
          </cell>
        </row>
        <row r="20957">
          <cell r="A20957">
            <v>43262</v>
          </cell>
        </row>
        <row r="20958">
          <cell r="A20958">
            <v>43290</v>
          </cell>
        </row>
        <row r="20959">
          <cell r="A20959">
            <v>43206</v>
          </cell>
        </row>
        <row r="20960">
          <cell r="A20960">
            <v>43382</v>
          </cell>
        </row>
        <row r="20961">
          <cell r="A20961">
            <v>43426</v>
          </cell>
        </row>
        <row r="20962">
          <cell r="A20962">
            <v>43911</v>
          </cell>
        </row>
        <row r="20963">
          <cell r="A20963">
            <v>43408</v>
          </cell>
        </row>
        <row r="20964">
          <cell r="A20964">
            <v>43862</v>
          </cell>
        </row>
        <row r="20965">
          <cell r="A20965">
            <v>43172</v>
          </cell>
        </row>
        <row r="20966">
          <cell r="A20966">
            <v>43239</v>
          </cell>
        </row>
        <row r="20967">
          <cell r="A20967">
            <v>43840</v>
          </cell>
        </row>
        <row r="20968">
          <cell r="A20968">
            <v>43333</v>
          </cell>
        </row>
        <row r="20969">
          <cell r="A20969">
            <v>43834</v>
          </cell>
        </row>
        <row r="20970">
          <cell r="A20970">
            <v>43252</v>
          </cell>
        </row>
        <row r="20971">
          <cell r="A20971">
            <v>43519</v>
          </cell>
        </row>
        <row r="20972">
          <cell r="A20972">
            <v>43480</v>
          </cell>
        </row>
        <row r="20973">
          <cell r="A20973">
            <v>43187</v>
          </cell>
        </row>
        <row r="20974">
          <cell r="A20974">
            <v>43420</v>
          </cell>
        </row>
        <row r="20975">
          <cell r="A20975">
            <v>43481</v>
          </cell>
        </row>
        <row r="20976">
          <cell r="A20976">
            <v>43286</v>
          </cell>
        </row>
        <row r="20977">
          <cell r="A20977">
            <v>43625</v>
          </cell>
        </row>
        <row r="20978">
          <cell r="A20978">
            <v>43667</v>
          </cell>
        </row>
        <row r="20979">
          <cell r="A20979">
            <v>43876</v>
          </cell>
        </row>
        <row r="20980">
          <cell r="A20980">
            <v>43569</v>
          </cell>
        </row>
        <row r="20981">
          <cell r="A20981">
            <v>43502</v>
          </cell>
        </row>
        <row r="20982">
          <cell r="A20982">
            <v>43803</v>
          </cell>
        </row>
        <row r="20983">
          <cell r="A20983">
            <v>43108</v>
          </cell>
        </row>
        <row r="20984">
          <cell r="A20984">
            <v>43111</v>
          </cell>
        </row>
        <row r="20985">
          <cell r="A20985">
            <v>43162</v>
          </cell>
        </row>
        <row r="20986">
          <cell r="A20986">
            <v>43526</v>
          </cell>
        </row>
        <row r="20987">
          <cell r="A20987">
            <v>43120</v>
          </cell>
        </row>
        <row r="20988">
          <cell r="A20988">
            <v>43426</v>
          </cell>
        </row>
        <row r="20989">
          <cell r="A20989">
            <v>43870</v>
          </cell>
        </row>
        <row r="20990">
          <cell r="A20990">
            <v>43172</v>
          </cell>
        </row>
        <row r="20991">
          <cell r="A20991">
            <v>43160</v>
          </cell>
        </row>
        <row r="20992">
          <cell r="A20992">
            <v>43374</v>
          </cell>
        </row>
        <row r="20993">
          <cell r="A20993">
            <v>43807</v>
          </cell>
        </row>
        <row r="20994">
          <cell r="A20994">
            <v>43452</v>
          </cell>
        </row>
        <row r="20995">
          <cell r="A20995">
            <v>43674</v>
          </cell>
        </row>
        <row r="20996">
          <cell r="A20996">
            <v>43435</v>
          </cell>
        </row>
        <row r="20997">
          <cell r="A20997">
            <v>43911</v>
          </cell>
        </row>
        <row r="20998">
          <cell r="A20998">
            <v>43805</v>
          </cell>
        </row>
        <row r="20999">
          <cell r="A20999">
            <v>43697</v>
          </cell>
        </row>
        <row r="21000">
          <cell r="A21000">
            <v>43329</v>
          </cell>
        </row>
        <row r="21001">
          <cell r="A21001">
            <v>43909</v>
          </cell>
        </row>
        <row r="21002">
          <cell r="A21002">
            <v>43144</v>
          </cell>
        </row>
        <row r="21003">
          <cell r="A21003">
            <v>43425</v>
          </cell>
        </row>
        <row r="21004">
          <cell r="A21004">
            <v>43355</v>
          </cell>
        </row>
        <row r="21005">
          <cell r="A21005">
            <v>43566</v>
          </cell>
        </row>
        <row r="21006">
          <cell r="A21006">
            <v>43126</v>
          </cell>
        </row>
        <row r="21007">
          <cell r="A21007">
            <v>43441</v>
          </cell>
        </row>
        <row r="21008">
          <cell r="A21008">
            <v>43111</v>
          </cell>
        </row>
        <row r="21009">
          <cell r="A21009">
            <v>43314</v>
          </cell>
        </row>
        <row r="21010">
          <cell r="A21010">
            <v>43495</v>
          </cell>
        </row>
        <row r="21011">
          <cell r="A21011">
            <v>43743</v>
          </cell>
        </row>
        <row r="21012">
          <cell r="A21012">
            <v>43846</v>
          </cell>
        </row>
        <row r="21013">
          <cell r="A21013">
            <v>43465</v>
          </cell>
        </row>
        <row r="21014">
          <cell r="A21014">
            <v>43668</v>
          </cell>
        </row>
        <row r="21015">
          <cell r="A21015">
            <v>43499</v>
          </cell>
        </row>
        <row r="21016">
          <cell r="A21016">
            <v>43918</v>
          </cell>
        </row>
        <row r="21017">
          <cell r="A21017">
            <v>43736</v>
          </cell>
        </row>
        <row r="21018">
          <cell r="A21018">
            <v>43168</v>
          </cell>
        </row>
        <row r="21019">
          <cell r="A21019">
            <v>43179</v>
          </cell>
        </row>
        <row r="21020">
          <cell r="A21020">
            <v>43132</v>
          </cell>
        </row>
        <row r="21021">
          <cell r="A21021">
            <v>43881</v>
          </cell>
        </row>
        <row r="21022">
          <cell r="A21022">
            <v>43676</v>
          </cell>
        </row>
        <row r="21023">
          <cell r="A21023">
            <v>43219</v>
          </cell>
        </row>
        <row r="21024">
          <cell r="A21024">
            <v>43880</v>
          </cell>
        </row>
        <row r="21025">
          <cell r="A21025">
            <v>43764</v>
          </cell>
        </row>
        <row r="21026">
          <cell r="A21026">
            <v>43199</v>
          </cell>
        </row>
        <row r="21027">
          <cell r="A21027">
            <v>43847</v>
          </cell>
        </row>
        <row r="21028">
          <cell r="A21028">
            <v>43185</v>
          </cell>
        </row>
        <row r="21029">
          <cell r="A21029">
            <v>43429</v>
          </cell>
        </row>
        <row r="21030">
          <cell r="A21030">
            <v>43567</v>
          </cell>
        </row>
        <row r="21031">
          <cell r="A21031">
            <v>43573</v>
          </cell>
        </row>
        <row r="21032">
          <cell r="A21032">
            <v>43170</v>
          </cell>
        </row>
        <row r="21033">
          <cell r="A21033">
            <v>43608</v>
          </cell>
        </row>
        <row r="21034">
          <cell r="A21034">
            <v>43218</v>
          </cell>
        </row>
        <row r="21035">
          <cell r="A21035">
            <v>43276</v>
          </cell>
        </row>
        <row r="21036">
          <cell r="A21036">
            <v>43129</v>
          </cell>
        </row>
        <row r="21037">
          <cell r="A21037">
            <v>43395</v>
          </cell>
        </row>
        <row r="21038">
          <cell r="A21038">
            <v>43689</v>
          </cell>
        </row>
        <row r="21039">
          <cell r="A21039">
            <v>43824</v>
          </cell>
        </row>
        <row r="21040">
          <cell r="A21040">
            <v>43136</v>
          </cell>
        </row>
        <row r="21041">
          <cell r="A21041">
            <v>43122</v>
          </cell>
        </row>
        <row r="21042">
          <cell r="A21042">
            <v>43646</v>
          </cell>
        </row>
        <row r="21043">
          <cell r="A21043">
            <v>43795</v>
          </cell>
        </row>
        <row r="21044">
          <cell r="A21044">
            <v>43175</v>
          </cell>
        </row>
        <row r="21045">
          <cell r="A21045">
            <v>43116</v>
          </cell>
        </row>
        <row r="21046">
          <cell r="A21046">
            <v>43645</v>
          </cell>
        </row>
        <row r="21047">
          <cell r="A21047">
            <v>43596</v>
          </cell>
        </row>
        <row r="21048">
          <cell r="A21048">
            <v>43498</v>
          </cell>
        </row>
        <row r="21049">
          <cell r="A21049">
            <v>43289</v>
          </cell>
        </row>
        <row r="21050">
          <cell r="A21050">
            <v>43474</v>
          </cell>
        </row>
        <row r="21051">
          <cell r="A21051">
            <v>43125</v>
          </cell>
        </row>
        <row r="21052">
          <cell r="A21052">
            <v>43409</v>
          </cell>
        </row>
        <row r="21053">
          <cell r="A21053">
            <v>43297</v>
          </cell>
        </row>
        <row r="21054">
          <cell r="A21054">
            <v>43362</v>
          </cell>
        </row>
        <row r="21055">
          <cell r="A21055">
            <v>43612</v>
          </cell>
        </row>
        <row r="21056">
          <cell r="A21056">
            <v>43444</v>
          </cell>
        </row>
        <row r="21057">
          <cell r="A21057">
            <v>43314</v>
          </cell>
        </row>
        <row r="21058">
          <cell r="A21058">
            <v>43597</v>
          </cell>
        </row>
        <row r="21059">
          <cell r="A21059">
            <v>43829</v>
          </cell>
        </row>
        <row r="21060">
          <cell r="A21060">
            <v>43305</v>
          </cell>
        </row>
        <row r="21061">
          <cell r="A21061">
            <v>43618</v>
          </cell>
        </row>
        <row r="21062">
          <cell r="A21062">
            <v>43487</v>
          </cell>
        </row>
        <row r="21063">
          <cell r="A21063">
            <v>43679</v>
          </cell>
        </row>
        <row r="21064">
          <cell r="A21064">
            <v>43479</v>
          </cell>
        </row>
        <row r="21065">
          <cell r="A21065">
            <v>43244</v>
          </cell>
        </row>
        <row r="21066">
          <cell r="A21066">
            <v>43196</v>
          </cell>
        </row>
        <row r="21067">
          <cell r="A21067">
            <v>43879</v>
          </cell>
        </row>
        <row r="21068">
          <cell r="A21068">
            <v>43728</v>
          </cell>
        </row>
        <row r="21069">
          <cell r="A21069">
            <v>43559</v>
          </cell>
        </row>
        <row r="21070">
          <cell r="A21070">
            <v>43625</v>
          </cell>
        </row>
        <row r="21071">
          <cell r="A21071">
            <v>43235</v>
          </cell>
        </row>
        <row r="21072">
          <cell r="A21072">
            <v>43720</v>
          </cell>
        </row>
        <row r="21073">
          <cell r="A21073">
            <v>43782</v>
          </cell>
        </row>
        <row r="21074">
          <cell r="A21074">
            <v>43912</v>
          </cell>
        </row>
        <row r="21075">
          <cell r="A21075">
            <v>43653</v>
          </cell>
        </row>
        <row r="21076">
          <cell r="A21076">
            <v>43295</v>
          </cell>
        </row>
        <row r="21077">
          <cell r="A21077">
            <v>43787</v>
          </cell>
        </row>
        <row r="21078">
          <cell r="A21078">
            <v>43730</v>
          </cell>
        </row>
        <row r="21079">
          <cell r="A21079">
            <v>43703</v>
          </cell>
        </row>
        <row r="21080">
          <cell r="A21080">
            <v>43204</v>
          </cell>
        </row>
        <row r="21081">
          <cell r="A21081">
            <v>43779</v>
          </cell>
        </row>
        <row r="21082">
          <cell r="A21082">
            <v>43919</v>
          </cell>
        </row>
        <row r="21083">
          <cell r="A21083">
            <v>43271</v>
          </cell>
        </row>
        <row r="21084">
          <cell r="A21084">
            <v>43832</v>
          </cell>
        </row>
        <row r="21085">
          <cell r="A21085">
            <v>43155</v>
          </cell>
        </row>
        <row r="21086">
          <cell r="A21086">
            <v>43460</v>
          </cell>
        </row>
        <row r="21087">
          <cell r="A21087">
            <v>43795</v>
          </cell>
        </row>
        <row r="21088">
          <cell r="A21088">
            <v>43234</v>
          </cell>
        </row>
        <row r="21089">
          <cell r="A21089">
            <v>43379</v>
          </cell>
        </row>
        <row r="21090">
          <cell r="A21090">
            <v>43886</v>
          </cell>
        </row>
        <row r="21091">
          <cell r="A21091">
            <v>43622</v>
          </cell>
        </row>
        <row r="21092">
          <cell r="A21092">
            <v>43765</v>
          </cell>
        </row>
        <row r="21093">
          <cell r="A21093">
            <v>43662</v>
          </cell>
        </row>
        <row r="21094">
          <cell r="A21094">
            <v>43343</v>
          </cell>
        </row>
        <row r="21095">
          <cell r="A21095">
            <v>43502</v>
          </cell>
        </row>
        <row r="21096">
          <cell r="A21096">
            <v>43482</v>
          </cell>
        </row>
        <row r="21097">
          <cell r="A21097">
            <v>43826</v>
          </cell>
        </row>
        <row r="21098">
          <cell r="A21098">
            <v>43435</v>
          </cell>
        </row>
        <row r="21099">
          <cell r="A21099">
            <v>43812</v>
          </cell>
        </row>
        <row r="21100">
          <cell r="A21100">
            <v>43787</v>
          </cell>
        </row>
        <row r="21101">
          <cell r="A21101">
            <v>43849</v>
          </cell>
        </row>
        <row r="21102">
          <cell r="A21102">
            <v>43512</v>
          </cell>
        </row>
        <row r="21103">
          <cell r="A21103">
            <v>43333</v>
          </cell>
        </row>
        <row r="21104">
          <cell r="A21104">
            <v>43675</v>
          </cell>
        </row>
        <row r="21105">
          <cell r="A21105">
            <v>43295</v>
          </cell>
        </row>
        <row r="21106">
          <cell r="A21106">
            <v>43839</v>
          </cell>
        </row>
        <row r="21107">
          <cell r="A21107">
            <v>43446</v>
          </cell>
        </row>
        <row r="21108">
          <cell r="A21108">
            <v>43590</v>
          </cell>
        </row>
        <row r="21109">
          <cell r="A21109">
            <v>43441</v>
          </cell>
        </row>
        <row r="21110">
          <cell r="A21110">
            <v>43532</v>
          </cell>
        </row>
        <row r="21111">
          <cell r="A21111">
            <v>43545</v>
          </cell>
        </row>
        <row r="21112">
          <cell r="A21112">
            <v>43551</v>
          </cell>
        </row>
        <row r="21113">
          <cell r="A21113">
            <v>43693</v>
          </cell>
        </row>
        <row r="21114">
          <cell r="A21114">
            <v>43268</v>
          </cell>
        </row>
        <row r="21115">
          <cell r="A21115">
            <v>43379</v>
          </cell>
        </row>
        <row r="21116">
          <cell r="A21116">
            <v>43740</v>
          </cell>
        </row>
        <row r="21117">
          <cell r="A21117">
            <v>43145</v>
          </cell>
        </row>
        <row r="21118">
          <cell r="A21118">
            <v>43292</v>
          </cell>
        </row>
        <row r="21119">
          <cell r="A21119">
            <v>43487</v>
          </cell>
        </row>
        <row r="21120">
          <cell r="A21120">
            <v>43421</v>
          </cell>
        </row>
        <row r="21121">
          <cell r="A21121">
            <v>43649</v>
          </cell>
        </row>
        <row r="21122">
          <cell r="A21122">
            <v>43200</v>
          </cell>
        </row>
        <row r="21123">
          <cell r="A21123">
            <v>43240</v>
          </cell>
        </row>
        <row r="21124">
          <cell r="A21124">
            <v>43568</v>
          </cell>
        </row>
        <row r="21125">
          <cell r="A21125">
            <v>43788</v>
          </cell>
        </row>
        <row r="21126">
          <cell r="A21126">
            <v>43588</v>
          </cell>
        </row>
        <row r="21127">
          <cell r="A21127">
            <v>43836</v>
          </cell>
        </row>
        <row r="21128">
          <cell r="A21128">
            <v>43770</v>
          </cell>
        </row>
        <row r="21129">
          <cell r="A21129">
            <v>43669</v>
          </cell>
        </row>
        <row r="21130">
          <cell r="A21130">
            <v>43630</v>
          </cell>
        </row>
        <row r="21131">
          <cell r="A21131">
            <v>43129</v>
          </cell>
        </row>
        <row r="21132">
          <cell r="A21132">
            <v>43823</v>
          </cell>
        </row>
        <row r="21133">
          <cell r="A21133">
            <v>43189</v>
          </cell>
        </row>
        <row r="21134">
          <cell r="A21134">
            <v>43785</v>
          </cell>
        </row>
        <row r="21135">
          <cell r="A21135">
            <v>43851</v>
          </cell>
        </row>
        <row r="21136">
          <cell r="A21136">
            <v>43262</v>
          </cell>
        </row>
        <row r="21137">
          <cell r="A21137">
            <v>43224</v>
          </cell>
        </row>
        <row r="21138">
          <cell r="A21138">
            <v>43836</v>
          </cell>
        </row>
        <row r="21139">
          <cell r="A21139">
            <v>43129</v>
          </cell>
        </row>
        <row r="21140">
          <cell r="A21140">
            <v>43541</v>
          </cell>
        </row>
        <row r="21141">
          <cell r="A21141">
            <v>43785</v>
          </cell>
        </row>
        <row r="21142">
          <cell r="A21142">
            <v>43903</v>
          </cell>
        </row>
        <row r="21143">
          <cell r="A21143">
            <v>43267</v>
          </cell>
        </row>
        <row r="21144">
          <cell r="A21144">
            <v>43210</v>
          </cell>
        </row>
        <row r="21145">
          <cell r="A21145">
            <v>43604</v>
          </cell>
        </row>
        <row r="21146">
          <cell r="A21146">
            <v>43206</v>
          </cell>
        </row>
        <row r="21147">
          <cell r="A21147">
            <v>43319</v>
          </cell>
        </row>
        <row r="21148">
          <cell r="A21148">
            <v>43901</v>
          </cell>
        </row>
        <row r="21149">
          <cell r="A21149">
            <v>43602</v>
          </cell>
        </row>
        <row r="21150">
          <cell r="A21150">
            <v>43540</v>
          </cell>
        </row>
        <row r="21151">
          <cell r="A21151">
            <v>43826</v>
          </cell>
        </row>
        <row r="21152">
          <cell r="A21152">
            <v>43566</v>
          </cell>
        </row>
        <row r="21153">
          <cell r="A21153">
            <v>43240</v>
          </cell>
        </row>
        <row r="21154">
          <cell r="A21154">
            <v>43711</v>
          </cell>
        </row>
        <row r="21155">
          <cell r="A21155">
            <v>43189</v>
          </cell>
        </row>
        <row r="21156">
          <cell r="A21156">
            <v>43788</v>
          </cell>
        </row>
        <row r="21157">
          <cell r="A21157">
            <v>43211</v>
          </cell>
        </row>
        <row r="21158">
          <cell r="A21158">
            <v>43779</v>
          </cell>
        </row>
        <row r="21159">
          <cell r="A21159">
            <v>43634</v>
          </cell>
        </row>
        <row r="21160">
          <cell r="A21160">
            <v>43681</v>
          </cell>
        </row>
        <row r="21161">
          <cell r="A21161">
            <v>43514</v>
          </cell>
        </row>
        <row r="21162">
          <cell r="A21162">
            <v>43135</v>
          </cell>
        </row>
        <row r="21163">
          <cell r="A21163">
            <v>43328</v>
          </cell>
        </row>
        <row r="21164">
          <cell r="A21164">
            <v>43740</v>
          </cell>
        </row>
        <row r="21165">
          <cell r="A21165">
            <v>43306</v>
          </cell>
        </row>
        <row r="21166">
          <cell r="A21166">
            <v>43420</v>
          </cell>
        </row>
        <row r="21167">
          <cell r="A21167">
            <v>43157</v>
          </cell>
        </row>
        <row r="21168">
          <cell r="A21168">
            <v>43387</v>
          </cell>
        </row>
        <row r="21169">
          <cell r="A21169">
            <v>43186</v>
          </cell>
        </row>
        <row r="21170">
          <cell r="A21170">
            <v>43721</v>
          </cell>
        </row>
        <row r="21171">
          <cell r="A21171">
            <v>43123</v>
          </cell>
        </row>
        <row r="21172">
          <cell r="A21172">
            <v>43721</v>
          </cell>
        </row>
        <row r="21173">
          <cell r="A21173">
            <v>43346</v>
          </cell>
        </row>
        <row r="21174">
          <cell r="A21174">
            <v>43401</v>
          </cell>
        </row>
        <row r="21175">
          <cell r="A21175">
            <v>43563</v>
          </cell>
        </row>
        <row r="21176">
          <cell r="A21176">
            <v>43413</v>
          </cell>
        </row>
        <row r="21177">
          <cell r="A21177">
            <v>43917</v>
          </cell>
        </row>
        <row r="21178">
          <cell r="A21178">
            <v>43434</v>
          </cell>
        </row>
        <row r="21179">
          <cell r="A21179">
            <v>43183</v>
          </cell>
        </row>
        <row r="21180">
          <cell r="A21180">
            <v>43510</v>
          </cell>
        </row>
        <row r="21181">
          <cell r="A21181">
            <v>43881</v>
          </cell>
        </row>
        <row r="21182">
          <cell r="A21182">
            <v>43799</v>
          </cell>
        </row>
        <row r="21183">
          <cell r="A21183">
            <v>43213</v>
          </cell>
        </row>
        <row r="21184">
          <cell r="A21184">
            <v>43468</v>
          </cell>
        </row>
        <row r="21185">
          <cell r="A21185">
            <v>43314</v>
          </cell>
        </row>
        <row r="21186">
          <cell r="A21186">
            <v>43416</v>
          </cell>
        </row>
        <row r="21187">
          <cell r="A21187">
            <v>43890</v>
          </cell>
        </row>
        <row r="21188">
          <cell r="A21188">
            <v>43284</v>
          </cell>
        </row>
        <row r="21189">
          <cell r="A21189">
            <v>43862</v>
          </cell>
        </row>
        <row r="21190">
          <cell r="A21190">
            <v>43215</v>
          </cell>
        </row>
        <row r="21191">
          <cell r="A21191">
            <v>43563</v>
          </cell>
        </row>
        <row r="21192">
          <cell r="A21192">
            <v>43597</v>
          </cell>
        </row>
        <row r="21193">
          <cell r="A21193">
            <v>43186</v>
          </cell>
        </row>
        <row r="21194">
          <cell r="A21194">
            <v>43505</v>
          </cell>
        </row>
        <row r="21195">
          <cell r="A21195">
            <v>43848</v>
          </cell>
        </row>
        <row r="21196">
          <cell r="A21196">
            <v>43164</v>
          </cell>
        </row>
        <row r="21197">
          <cell r="A21197">
            <v>43723</v>
          </cell>
        </row>
        <row r="21198">
          <cell r="A21198">
            <v>43848</v>
          </cell>
        </row>
        <row r="21199">
          <cell r="A21199">
            <v>43462</v>
          </cell>
        </row>
        <row r="21200">
          <cell r="A21200">
            <v>43476</v>
          </cell>
        </row>
        <row r="21201">
          <cell r="A21201">
            <v>43431</v>
          </cell>
        </row>
        <row r="21202">
          <cell r="A21202">
            <v>43329</v>
          </cell>
        </row>
        <row r="21203">
          <cell r="A21203">
            <v>43581</v>
          </cell>
        </row>
        <row r="21204">
          <cell r="A21204">
            <v>43355</v>
          </cell>
        </row>
        <row r="21205">
          <cell r="A21205">
            <v>43633</v>
          </cell>
        </row>
        <row r="21206">
          <cell r="A21206">
            <v>43487</v>
          </cell>
        </row>
        <row r="21207">
          <cell r="A21207">
            <v>43488</v>
          </cell>
        </row>
        <row r="21208">
          <cell r="A21208">
            <v>43528</v>
          </cell>
        </row>
        <row r="21209">
          <cell r="A21209">
            <v>43881</v>
          </cell>
        </row>
        <row r="21210">
          <cell r="A21210">
            <v>43522</v>
          </cell>
        </row>
        <row r="21211">
          <cell r="A21211">
            <v>43554</v>
          </cell>
        </row>
        <row r="21212">
          <cell r="A21212">
            <v>43860</v>
          </cell>
        </row>
        <row r="21213">
          <cell r="A21213">
            <v>43839</v>
          </cell>
        </row>
        <row r="21214">
          <cell r="A21214">
            <v>43794</v>
          </cell>
        </row>
        <row r="21215">
          <cell r="A21215">
            <v>43250</v>
          </cell>
        </row>
        <row r="21216">
          <cell r="A21216">
            <v>43496</v>
          </cell>
        </row>
        <row r="21217">
          <cell r="A21217">
            <v>43159</v>
          </cell>
        </row>
        <row r="21218">
          <cell r="A21218">
            <v>43710</v>
          </cell>
        </row>
        <row r="21219">
          <cell r="A21219">
            <v>43628</v>
          </cell>
        </row>
        <row r="21220">
          <cell r="A21220">
            <v>43824</v>
          </cell>
        </row>
        <row r="21221">
          <cell r="A21221">
            <v>43453</v>
          </cell>
        </row>
        <row r="21222">
          <cell r="A21222">
            <v>43533</v>
          </cell>
        </row>
        <row r="21223">
          <cell r="A21223">
            <v>43724</v>
          </cell>
        </row>
        <row r="21224">
          <cell r="A21224">
            <v>43284</v>
          </cell>
        </row>
        <row r="21225">
          <cell r="A21225">
            <v>43754</v>
          </cell>
        </row>
        <row r="21226">
          <cell r="A21226">
            <v>43396</v>
          </cell>
        </row>
        <row r="21227">
          <cell r="A21227">
            <v>43235</v>
          </cell>
        </row>
        <row r="21228">
          <cell r="A21228">
            <v>43817</v>
          </cell>
        </row>
        <row r="21229">
          <cell r="A21229">
            <v>43678</v>
          </cell>
        </row>
        <row r="21230">
          <cell r="A21230">
            <v>43875</v>
          </cell>
        </row>
        <row r="21231">
          <cell r="A21231">
            <v>43330</v>
          </cell>
        </row>
        <row r="21232">
          <cell r="A21232">
            <v>43206</v>
          </cell>
        </row>
        <row r="21233">
          <cell r="A21233">
            <v>43764</v>
          </cell>
        </row>
        <row r="21234">
          <cell r="A21234">
            <v>43212</v>
          </cell>
        </row>
        <row r="21235">
          <cell r="A21235">
            <v>43297</v>
          </cell>
        </row>
        <row r="21236">
          <cell r="A21236">
            <v>43879</v>
          </cell>
        </row>
        <row r="21237">
          <cell r="A21237">
            <v>43877</v>
          </cell>
        </row>
        <row r="21238">
          <cell r="A21238">
            <v>43538</v>
          </cell>
        </row>
        <row r="21239">
          <cell r="A21239">
            <v>43247</v>
          </cell>
        </row>
        <row r="21240">
          <cell r="A21240">
            <v>43525</v>
          </cell>
        </row>
        <row r="21241">
          <cell r="A21241">
            <v>43630</v>
          </cell>
        </row>
        <row r="21242">
          <cell r="A21242">
            <v>43425</v>
          </cell>
        </row>
        <row r="21243">
          <cell r="A21243">
            <v>43236</v>
          </cell>
        </row>
        <row r="21244">
          <cell r="A21244">
            <v>43856</v>
          </cell>
        </row>
        <row r="21245">
          <cell r="A21245">
            <v>43746</v>
          </cell>
        </row>
        <row r="21246">
          <cell r="A21246">
            <v>43587</v>
          </cell>
        </row>
        <row r="21247">
          <cell r="A21247">
            <v>43181</v>
          </cell>
        </row>
        <row r="21248">
          <cell r="A21248">
            <v>43219</v>
          </cell>
        </row>
        <row r="21249">
          <cell r="A21249">
            <v>43480</v>
          </cell>
        </row>
        <row r="21250">
          <cell r="A21250">
            <v>43285</v>
          </cell>
        </row>
        <row r="21251">
          <cell r="A21251">
            <v>43597</v>
          </cell>
        </row>
        <row r="21252">
          <cell r="A21252">
            <v>43284</v>
          </cell>
        </row>
        <row r="21253">
          <cell r="A21253">
            <v>43274</v>
          </cell>
        </row>
        <row r="21254">
          <cell r="A21254">
            <v>43196</v>
          </cell>
        </row>
        <row r="21255">
          <cell r="A21255">
            <v>43598</v>
          </cell>
        </row>
        <row r="21256">
          <cell r="A21256">
            <v>43309</v>
          </cell>
        </row>
        <row r="21257">
          <cell r="A21257">
            <v>43881</v>
          </cell>
        </row>
        <row r="21258">
          <cell r="A21258">
            <v>43666</v>
          </cell>
        </row>
        <row r="21259">
          <cell r="A21259">
            <v>43227</v>
          </cell>
        </row>
        <row r="21260">
          <cell r="A21260">
            <v>43645</v>
          </cell>
        </row>
        <row r="21261">
          <cell r="A21261">
            <v>43611</v>
          </cell>
        </row>
        <row r="21262">
          <cell r="A21262">
            <v>43497</v>
          </cell>
        </row>
        <row r="21263">
          <cell r="A21263">
            <v>43745</v>
          </cell>
        </row>
        <row r="21264">
          <cell r="A21264">
            <v>43484</v>
          </cell>
        </row>
        <row r="21265">
          <cell r="A21265">
            <v>43793</v>
          </cell>
        </row>
        <row r="21266">
          <cell r="A21266">
            <v>43723</v>
          </cell>
        </row>
        <row r="21267">
          <cell r="A21267">
            <v>43328</v>
          </cell>
        </row>
        <row r="21268">
          <cell r="A21268">
            <v>43495</v>
          </cell>
        </row>
        <row r="21269">
          <cell r="A21269">
            <v>43846</v>
          </cell>
        </row>
        <row r="21270">
          <cell r="A21270">
            <v>43569</v>
          </cell>
        </row>
        <row r="21271">
          <cell r="A21271">
            <v>43290</v>
          </cell>
        </row>
        <row r="21272">
          <cell r="A21272">
            <v>43579</v>
          </cell>
        </row>
        <row r="21273">
          <cell r="A21273">
            <v>43316</v>
          </cell>
        </row>
        <row r="21274">
          <cell r="A21274">
            <v>43513</v>
          </cell>
        </row>
        <row r="21275">
          <cell r="A21275">
            <v>43267</v>
          </cell>
        </row>
        <row r="21276">
          <cell r="A21276">
            <v>43215</v>
          </cell>
        </row>
        <row r="21277">
          <cell r="A21277">
            <v>43641</v>
          </cell>
        </row>
        <row r="21278">
          <cell r="A21278">
            <v>43720</v>
          </cell>
        </row>
        <row r="21279">
          <cell r="A21279">
            <v>43125</v>
          </cell>
        </row>
        <row r="21280">
          <cell r="A21280">
            <v>43423</v>
          </cell>
        </row>
        <row r="21281">
          <cell r="A21281">
            <v>43579</v>
          </cell>
        </row>
        <row r="21282">
          <cell r="A21282">
            <v>43421</v>
          </cell>
        </row>
        <row r="21283">
          <cell r="A21283">
            <v>43564</v>
          </cell>
        </row>
        <row r="21284">
          <cell r="A21284">
            <v>43500</v>
          </cell>
        </row>
        <row r="21285">
          <cell r="A21285">
            <v>43251</v>
          </cell>
        </row>
        <row r="21286">
          <cell r="A21286">
            <v>43342</v>
          </cell>
        </row>
        <row r="21287">
          <cell r="A21287">
            <v>43823</v>
          </cell>
        </row>
        <row r="21288">
          <cell r="A21288">
            <v>43233</v>
          </cell>
        </row>
        <row r="21289">
          <cell r="A21289">
            <v>43688</v>
          </cell>
        </row>
        <row r="21290">
          <cell r="A21290">
            <v>43224</v>
          </cell>
        </row>
        <row r="21291">
          <cell r="A21291">
            <v>43619</v>
          </cell>
        </row>
        <row r="21292">
          <cell r="A21292">
            <v>43660</v>
          </cell>
        </row>
        <row r="21293">
          <cell r="A21293">
            <v>43389</v>
          </cell>
        </row>
        <row r="21294">
          <cell r="A21294">
            <v>43766</v>
          </cell>
        </row>
        <row r="21295">
          <cell r="A21295">
            <v>43395</v>
          </cell>
        </row>
        <row r="21296">
          <cell r="A21296">
            <v>43101</v>
          </cell>
        </row>
        <row r="21297">
          <cell r="A21297">
            <v>43673</v>
          </cell>
        </row>
        <row r="21298">
          <cell r="A21298">
            <v>43706</v>
          </cell>
        </row>
        <row r="21299">
          <cell r="A21299">
            <v>43598</v>
          </cell>
        </row>
        <row r="21300">
          <cell r="A21300">
            <v>43774</v>
          </cell>
        </row>
        <row r="21301">
          <cell r="A21301">
            <v>43906</v>
          </cell>
        </row>
        <row r="21302">
          <cell r="A21302">
            <v>43458</v>
          </cell>
        </row>
        <row r="21303">
          <cell r="A21303">
            <v>43661</v>
          </cell>
        </row>
        <row r="21304">
          <cell r="A21304">
            <v>43588</v>
          </cell>
        </row>
        <row r="21305">
          <cell r="A21305">
            <v>43644</v>
          </cell>
        </row>
        <row r="21306">
          <cell r="A21306">
            <v>43658</v>
          </cell>
        </row>
        <row r="21307">
          <cell r="A21307">
            <v>43390</v>
          </cell>
        </row>
        <row r="21308">
          <cell r="A21308">
            <v>43888</v>
          </cell>
        </row>
        <row r="21309">
          <cell r="A21309">
            <v>43780</v>
          </cell>
        </row>
        <row r="21310">
          <cell r="A21310">
            <v>43522</v>
          </cell>
        </row>
        <row r="21311">
          <cell r="A21311">
            <v>43179</v>
          </cell>
        </row>
        <row r="21312">
          <cell r="A21312">
            <v>43436</v>
          </cell>
        </row>
        <row r="21313">
          <cell r="A21313">
            <v>43235</v>
          </cell>
        </row>
        <row r="21314">
          <cell r="A21314">
            <v>43378</v>
          </cell>
        </row>
        <row r="21315">
          <cell r="A21315">
            <v>43733</v>
          </cell>
        </row>
        <row r="21316">
          <cell r="A21316">
            <v>43739</v>
          </cell>
        </row>
        <row r="21317">
          <cell r="A21317">
            <v>43402</v>
          </cell>
        </row>
        <row r="21318">
          <cell r="A21318">
            <v>43830</v>
          </cell>
        </row>
        <row r="21319">
          <cell r="A21319">
            <v>43471</v>
          </cell>
        </row>
        <row r="21320">
          <cell r="A21320">
            <v>43528</v>
          </cell>
        </row>
        <row r="21321">
          <cell r="A21321">
            <v>43725</v>
          </cell>
        </row>
        <row r="21322">
          <cell r="A21322">
            <v>43858</v>
          </cell>
        </row>
        <row r="21323">
          <cell r="A21323">
            <v>43398</v>
          </cell>
        </row>
        <row r="21324">
          <cell r="A21324">
            <v>43242</v>
          </cell>
        </row>
        <row r="21325">
          <cell r="A21325">
            <v>43663</v>
          </cell>
        </row>
        <row r="21326">
          <cell r="A21326">
            <v>43169</v>
          </cell>
        </row>
        <row r="21327">
          <cell r="A21327">
            <v>43825</v>
          </cell>
        </row>
        <row r="21328">
          <cell r="A21328">
            <v>43522</v>
          </cell>
        </row>
        <row r="21329">
          <cell r="A21329">
            <v>43462</v>
          </cell>
        </row>
        <row r="21330">
          <cell r="A21330">
            <v>43169</v>
          </cell>
        </row>
        <row r="21331">
          <cell r="A21331">
            <v>43251</v>
          </cell>
        </row>
        <row r="21332">
          <cell r="A21332">
            <v>43312</v>
          </cell>
        </row>
        <row r="21333">
          <cell r="A21333">
            <v>43185</v>
          </cell>
        </row>
        <row r="21334">
          <cell r="A21334">
            <v>43446</v>
          </cell>
        </row>
        <row r="21335">
          <cell r="A21335">
            <v>43825</v>
          </cell>
        </row>
        <row r="21336">
          <cell r="A21336">
            <v>43567</v>
          </cell>
        </row>
        <row r="21337">
          <cell r="A21337">
            <v>43214</v>
          </cell>
        </row>
        <row r="21338">
          <cell r="A21338">
            <v>43493</v>
          </cell>
        </row>
        <row r="21339">
          <cell r="A21339">
            <v>43160</v>
          </cell>
        </row>
        <row r="21340">
          <cell r="A21340">
            <v>43407</v>
          </cell>
        </row>
        <row r="21341">
          <cell r="A21341">
            <v>43491</v>
          </cell>
        </row>
        <row r="21342">
          <cell r="A21342">
            <v>43203</v>
          </cell>
        </row>
        <row r="21343">
          <cell r="A21343">
            <v>43528</v>
          </cell>
        </row>
        <row r="21344">
          <cell r="A21344">
            <v>43714</v>
          </cell>
        </row>
        <row r="21345">
          <cell r="A21345">
            <v>43101</v>
          </cell>
        </row>
        <row r="21346">
          <cell r="A21346">
            <v>43169</v>
          </cell>
        </row>
        <row r="21347">
          <cell r="A21347">
            <v>43609</v>
          </cell>
        </row>
        <row r="21348">
          <cell r="A21348">
            <v>43749</v>
          </cell>
        </row>
        <row r="21349">
          <cell r="A21349">
            <v>43428</v>
          </cell>
        </row>
        <row r="21350">
          <cell r="A21350">
            <v>43702</v>
          </cell>
        </row>
        <row r="21351">
          <cell r="A21351">
            <v>43370</v>
          </cell>
        </row>
        <row r="21352">
          <cell r="A21352">
            <v>43905</v>
          </cell>
        </row>
        <row r="21353">
          <cell r="A21353">
            <v>43140</v>
          </cell>
        </row>
        <row r="21354">
          <cell r="A21354">
            <v>43333</v>
          </cell>
        </row>
        <row r="21355">
          <cell r="A21355">
            <v>43534</v>
          </cell>
        </row>
        <row r="21356">
          <cell r="A21356">
            <v>43193</v>
          </cell>
        </row>
        <row r="21357">
          <cell r="A21357">
            <v>43168</v>
          </cell>
        </row>
        <row r="21358">
          <cell r="A21358">
            <v>43274</v>
          </cell>
        </row>
        <row r="21359">
          <cell r="A21359">
            <v>43109</v>
          </cell>
        </row>
        <row r="21360">
          <cell r="A21360">
            <v>43166</v>
          </cell>
        </row>
        <row r="21361">
          <cell r="A21361">
            <v>43897</v>
          </cell>
        </row>
        <row r="21362">
          <cell r="A21362">
            <v>43786</v>
          </cell>
        </row>
        <row r="21363">
          <cell r="A21363">
            <v>43588</v>
          </cell>
        </row>
        <row r="21364">
          <cell r="A21364">
            <v>43665</v>
          </cell>
        </row>
        <row r="21365">
          <cell r="A21365">
            <v>43586</v>
          </cell>
        </row>
        <row r="21366">
          <cell r="A21366">
            <v>43860</v>
          </cell>
        </row>
        <row r="21367">
          <cell r="A21367">
            <v>43622</v>
          </cell>
        </row>
        <row r="21368">
          <cell r="A21368">
            <v>43200</v>
          </cell>
        </row>
        <row r="21369">
          <cell r="A21369">
            <v>43769</v>
          </cell>
        </row>
        <row r="21370">
          <cell r="A21370">
            <v>43662</v>
          </cell>
        </row>
        <row r="21371">
          <cell r="A21371">
            <v>43434</v>
          </cell>
        </row>
        <row r="21372">
          <cell r="A21372">
            <v>43327</v>
          </cell>
        </row>
        <row r="21373">
          <cell r="A21373">
            <v>43147</v>
          </cell>
        </row>
        <row r="21374">
          <cell r="A21374">
            <v>43311</v>
          </cell>
        </row>
        <row r="21375">
          <cell r="A21375">
            <v>43372</v>
          </cell>
        </row>
        <row r="21376">
          <cell r="A21376">
            <v>43822</v>
          </cell>
        </row>
        <row r="21377">
          <cell r="A21377">
            <v>43317</v>
          </cell>
        </row>
        <row r="21378">
          <cell r="A21378">
            <v>43483</v>
          </cell>
        </row>
        <row r="21379">
          <cell r="A21379">
            <v>43382</v>
          </cell>
        </row>
        <row r="21380">
          <cell r="A21380">
            <v>43215</v>
          </cell>
        </row>
        <row r="21381">
          <cell r="A21381">
            <v>43617</v>
          </cell>
        </row>
        <row r="21382">
          <cell r="A21382">
            <v>43631</v>
          </cell>
        </row>
        <row r="21383">
          <cell r="A21383">
            <v>43104</v>
          </cell>
        </row>
        <row r="21384">
          <cell r="A21384">
            <v>43838</v>
          </cell>
        </row>
        <row r="21385">
          <cell r="A21385">
            <v>43423</v>
          </cell>
        </row>
        <row r="21386">
          <cell r="A21386">
            <v>43381</v>
          </cell>
        </row>
        <row r="21387">
          <cell r="A21387">
            <v>43397</v>
          </cell>
        </row>
        <row r="21388">
          <cell r="A21388">
            <v>43328</v>
          </cell>
        </row>
        <row r="21389">
          <cell r="A21389">
            <v>43462</v>
          </cell>
        </row>
        <row r="21390">
          <cell r="A21390">
            <v>43379</v>
          </cell>
        </row>
        <row r="21391">
          <cell r="A21391">
            <v>43235</v>
          </cell>
        </row>
        <row r="21392">
          <cell r="A21392">
            <v>43850</v>
          </cell>
        </row>
        <row r="21393">
          <cell r="A21393">
            <v>43594</v>
          </cell>
        </row>
        <row r="21394">
          <cell r="A21394">
            <v>43553</v>
          </cell>
        </row>
        <row r="21395">
          <cell r="A21395">
            <v>43207</v>
          </cell>
        </row>
        <row r="21396">
          <cell r="A21396">
            <v>43210</v>
          </cell>
        </row>
        <row r="21397">
          <cell r="A21397">
            <v>43465</v>
          </cell>
        </row>
        <row r="21398">
          <cell r="A21398">
            <v>43688</v>
          </cell>
        </row>
        <row r="21399">
          <cell r="A21399">
            <v>43428</v>
          </cell>
        </row>
        <row r="21400">
          <cell r="A21400">
            <v>43811</v>
          </cell>
        </row>
        <row r="21401">
          <cell r="A21401">
            <v>43219</v>
          </cell>
        </row>
        <row r="21402">
          <cell r="A21402">
            <v>43299</v>
          </cell>
        </row>
        <row r="21403">
          <cell r="A21403">
            <v>43799</v>
          </cell>
        </row>
        <row r="21404">
          <cell r="A21404">
            <v>43844</v>
          </cell>
        </row>
        <row r="21405">
          <cell r="A21405">
            <v>43518</v>
          </cell>
        </row>
        <row r="21406">
          <cell r="A21406">
            <v>43726</v>
          </cell>
        </row>
        <row r="21407">
          <cell r="A21407">
            <v>43593</v>
          </cell>
        </row>
        <row r="21408">
          <cell r="A21408">
            <v>43317</v>
          </cell>
        </row>
        <row r="21409">
          <cell r="A21409">
            <v>43348</v>
          </cell>
        </row>
        <row r="21410">
          <cell r="A21410">
            <v>43618</v>
          </cell>
        </row>
        <row r="21411">
          <cell r="A21411">
            <v>43631</v>
          </cell>
        </row>
        <row r="21412">
          <cell r="A21412">
            <v>43541</v>
          </cell>
        </row>
        <row r="21413">
          <cell r="A21413">
            <v>43504</v>
          </cell>
        </row>
        <row r="21414">
          <cell r="A21414">
            <v>43526</v>
          </cell>
        </row>
        <row r="21415">
          <cell r="A21415">
            <v>43286</v>
          </cell>
        </row>
        <row r="21416">
          <cell r="A21416">
            <v>43839</v>
          </cell>
        </row>
        <row r="21417">
          <cell r="A21417">
            <v>43150</v>
          </cell>
        </row>
        <row r="21418">
          <cell r="A21418">
            <v>43315</v>
          </cell>
        </row>
        <row r="21419">
          <cell r="A21419">
            <v>43921</v>
          </cell>
        </row>
        <row r="21420">
          <cell r="A21420">
            <v>43218</v>
          </cell>
        </row>
        <row r="21421">
          <cell r="A21421">
            <v>43546</v>
          </cell>
        </row>
        <row r="21422">
          <cell r="A21422">
            <v>43275</v>
          </cell>
        </row>
        <row r="21423">
          <cell r="A21423">
            <v>43413</v>
          </cell>
        </row>
        <row r="21424">
          <cell r="A21424">
            <v>43477</v>
          </cell>
        </row>
        <row r="21425">
          <cell r="A21425">
            <v>43625</v>
          </cell>
        </row>
        <row r="21426">
          <cell r="A21426">
            <v>43182</v>
          </cell>
        </row>
        <row r="21427">
          <cell r="A21427">
            <v>43689</v>
          </cell>
        </row>
        <row r="21428">
          <cell r="A21428">
            <v>43361</v>
          </cell>
        </row>
        <row r="21429">
          <cell r="A21429">
            <v>43546</v>
          </cell>
        </row>
        <row r="21430">
          <cell r="A21430">
            <v>43711</v>
          </cell>
        </row>
        <row r="21431">
          <cell r="A21431">
            <v>43606</v>
          </cell>
        </row>
        <row r="21432">
          <cell r="A21432">
            <v>43502</v>
          </cell>
        </row>
        <row r="21433">
          <cell r="A21433">
            <v>43684</v>
          </cell>
        </row>
        <row r="21434">
          <cell r="A21434">
            <v>43642</v>
          </cell>
        </row>
        <row r="21435">
          <cell r="A21435">
            <v>43733</v>
          </cell>
        </row>
        <row r="21436">
          <cell r="A21436">
            <v>43823</v>
          </cell>
        </row>
        <row r="21437">
          <cell r="A21437">
            <v>43375</v>
          </cell>
        </row>
        <row r="21438">
          <cell r="A21438">
            <v>43354</v>
          </cell>
        </row>
        <row r="21439">
          <cell r="A21439">
            <v>43438</v>
          </cell>
        </row>
        <row r="21440">
          <cell r="A21440">
            <v>43549</v>
          </cell>
        </row>
        <row r="21441">
          <cell r="A21441">
            <v>43714</v>
          </cell>
        </row>
        <row r="21442">
          <cell r="A21442">
            <v>43371</v>
          </cell>
        </row>
        <row r="21443">
          <cell r="A21443">
            <v>43802</v>
          </cell>
        </row>
        <row r="21444">
          <cell r="A21444">
            <v>43797</v>
          </cell>
        </row>
        <row r="21445">
          <cell r="A21445">
            <v>43666</v>
          </cell>
        </row>
        <row r="21446">
          <cell r="A21446">
            <v>43339</v>
          </cell>
        </row>
        <row r="21447">
          <cell r="A21447">
            <v>43332</v>
          </cell>
        </row>
        <row r="21448">
          <cell r="A21448">
            <v>43720</v>
          </cell>
        </row>
        <row r="21449">
          <cell r="A21449">
            <v>43588</v>
          </cell>
        </row>
        <row r="21450">
          <cell r="A21450">
            <v>43858</v>
          </cell>
        </row>
        <row r="21451">
          <cell r="A21451">
            <v>43865</v>
          </cell>
        </row>
        <row r="21452">
          <cell r="A21452">
            <v>43807</v>
          </cell>
        </row>
        <row r="21453">
          <cell r="A21453">
            <v>43466</v>
          </cell>
        </row>
        <row r="21454">
          <cell r="A21454">
            <v>43850</v>
          </cell>
        </row>
        <row r="21455">
          <cell r="A21455">
            <v>43194</v>
          </cell>
        </row>
        <row r="21456">
          <cell r="A21456">
            <v>43732</v>
          </cell>
        </row>
        <row r="21457">
          <cell r="A21457">
            <v>43671</v>
          </cell>
        </row>
        <row r="21458">
          <cell r="A21458">
            <v>43559</v>
          </cell>
        </row>
        <row r="21459">
          <cell r="A21459">
            <v>43810</v>
          </cell>
        </row>
        <row r="21460">
          <cell r="A21460">
            <v>43214</v>
          </cell>
        </row>
        <row r="21461">
          <cell r="A21461">
            <v>43367</v>
          </cell>
        </row>
        <row r="21462">
          <cell r="A21462">
            <v>43871</v>
          </cell>
        </row>
        <row r="21463">
          <cell r="A21463">
            <v>43127</v>
          </cell>
        </row>
        <row r="21464">
          <cell r="A21464">
            <v>43235</v>
          </cell>
        </row>
        <row r="21465">
          <cell r="A21465">
            <v>43448</v>
          </cell>
        </row>
        <row r="21466">
          <cell r="A21466">
            <v>43666</v>
          </cell>
        </row>
        <row r="21467">
          <cell r="A21467">
            <v>43232</v>
          </cell>
        </row>
        <row r="21468">
          <cell r="A21468">
            <v>43137</v>
          </cell>
        </row>
        <row r="21469">
          <cell r="A21469">
            <v>43855</v>
          </cell>
        </row>
        <row r="21470">
          <cell r="A21470">
            <v>43226</v>
          </cell>
        </row>
        <row r="21471">
          <cell r="A21471">
            <v>43474</v>
          </cell>
        </row>
        <row r="21472">
          <cell r="A21472">
            <v>43427</v>
          </cell>
        </row>
        <row r="21473">
          <cell r="A21473">
            <v>43198</v>
          </cell>
        </row>
        <row r="21474">
          <cell r="A21474">
            <v>43253</v>
          </cell>
        </row>
        <row r="21475">
          <cell r="A21475">
            <v>43196</v>
          </cell>
        </row>
        <row r="21476">
          <cell r="A21476">
            <v>43527</v>
          </cell>
        </row>
        <row r="21477">
          <cell r="A21477">
            <v>43282</v>
          </cell>
        </row>
        <row r="21478">
          <cell r="A21478">
            <v>43875</v>
          </cell>
        </row>
        <row r="21479">
          <cell r="A21479">
            <v>43474</v>
          </cell>
        </row>
        <row r="21480">
          <cell r="A21480">
            <v>43478</v>
          </cell>
        </row>
        <row r="21481">
          <cell r="A21481">
            <v>43655</v>
          </cell>
        </row>
        <row r="21482">
          <cell r="A21482">
            <v>43620</v>
          </cell>
        </row>
        <row r="21483">
          <cell r="A21483">
            <v>43873</v>
          </cell>
        </row>
        <row r="21484">
          <cell r="A21484">
            <v>43289</v>
          </cell>
        </row>
        <row r="21485">
          <cell r="A21485">
            <v>43855</v>
          </cell>
        </row>
        <row r="21486">
          <cell r="A21486">
            <v>43715</v>
          </cell>
        </row>
        <row r="21487">
          <cell r="A21487">
            <v>43915</v>
          </cell>
        </row>
        <row r="21488">
          <cell r="A21488">
            <v>43443</v>
          </cell>
        </row>
        <row r="21489">
          <cell r="A21489">
            <v>43775</v>
          </cell>
        </row>
        <row r="21490">
          <cell r="A21490">
            <v>43884</v>
          </cell>
        </row>
        <row r="21491">
          <cell r="A21491">
            <v>43516</v>
          </cell>
        </row>
        <row r="21492">
          <cell r="A21492">
            <v>43216</v>
          </cell>
        </row>
        <row r="21493">
          <cell r="A21493">
            <v>43281</v>
          </cell>
        </row>
        <row r="21494">
          <cell r="A21494">
            <v>43205</v>
          </cell>
        </row>
        <row r="21495">
          <cell r="A21495">
            <v>43581</v>
          </cell>
        </row>
        <row r="21496">
          <cell r="A21496">
            <v>43893</v>
          </cell>
        </row>
        <row r="21497">
          <cell r="A21497">
            <v>43601</v>
          </cell>
        </row>
        <row r="21498">
          <cell r="A21498">
            <v>43620</v>
          </cell>
        </row>
        <row r="21499">
          <cell r="A21499">
            <v>43556</v>
          </cell>
        </row>
        <row r="21500">
          <cell r="A21500">
            <v>43166</v>
          </cell>
        </row>
        <row r="21501">
          <cell r="A21501">
            <v>43127</v>
          </cell>
        </row>
        <row r="21502">
          <cell r="A21502">
            <v>43875</v>
          </cell>
        </row>
        <row r="21503">
          <cell r="A21503">
            <v>43529</v>
          </cell>
        </row>
        <row r="21504">
          <cell r="A21504">
            <v>43404</v>
          </cell>
        </row>
        <row r="21505">
          <cell r="A21505">
            <v>43450</v>
          </cell>
        </row>
        <row r="21506">
          <cell r="A21506">
            <v>43317</v>
          </cell>
        </row>
        <row r="21507">
          <cell r="A21507">
            <v>43228</v>
          </cell>
        </row>
        <row r="21508">
          <cell r="A21508">
            <v>43633</v>
          </cell>
        </row>
        <row r="21509">
          <cell r="A21509">
            <v>43604</v>
          </cell>
        </row>
        <row r="21510">
          <cell r="A21510">
            <v>43382</v>
          </cell>
        </row>
        <row r="21511">
          <cell r="A21511">
            <v>43495</v>
          </cell>
        </row>
        <row r="21512">
          <cell r="A21512">
            <v>43816</v>
          </cell>
        </row>
        <row r="21513">
          <cell r="A21513">
            <v>43263</v>
          </cell>
        </row>
        <row r="21514">
          <cell r="A21514">
            <v>43363</v>
          </cell>
        </row>
        <row r="21515">
          <cell r="A21515">
            <v>43647</v>
          </cell>
        </row>
        <row r="21516">
          <cell r="A21516">
            <v>43168</v>
          </cell>
        </row>
        <row r="21517">
          <cell r="A21517">
            <v>43323</v>
          </cell>
        </row>
        <row r="21518">
          <cell r="A21518">
            <v>43424</v>
          </cell>
        </row>
        <row r="21519">
          <cell r="A21519">
            <v>43173</v>
          </cell>
        </row>
        <row r="21520">
          <cell r="A21520">
            <v>43311</v>
          </cell>
        </row>
        <row r="21521">
          <cell r="A21521">
            <v>43792</v>
          </cell>
        </row>
        <row r="21522">
          <cell r="A21522">
            <v>43309</v>
          </cell>
        </row>
        <row r="21523">
          <cell r="A21523">
            <v>43918</v>
          </cell>
        </row>
        <row r="21524">
          <cell r="A21524">
            <v>43264</v>
          </cell>
        </row>
        <row r="21525">
          <cell r="A21525">
            <v>43185</v>
          </cell>
        </row>
        <row r="21526">
          <cell r="A21526">
            <v>43817</v>
          </cell>
        </row>
        <row r="21527">
          <cell r="A21527">
            <v>43595</v>
          </cell>
        </row>
        <row r="21528">
          <cell r="A21528">
            <v>43859</v>
          </cell>
        </row>
        <row r="21529">
          <cell r="A21529">
            <v>43310</v>
          </cell>
        </row>
        <row r="21530">
          <cell r="A21530">
            <v>43571</v>
          </cell>
        </row>
        <row r="21531">
          <cell r="A21531">
            <v>43216</v>
          </cell>
        </row>
        <row r="21532">
          <cell r="A21532">
            <v>43461</v>
          </cell>
        </row>
        <row r="21533">
          <cell r="A21533">
            <v>43126</v>
          </cell>
        </row>
        <row r="21534">
          <cell r="A21534">
            <v>43706</v>
          </cell>
        </row>
        <row r="21535">
          <cell r="A21535">
            <v>43299</v>
          </cell>
        </row>
        <row r="21536">
          <cell r="A21536">
            <v>43476</v>
          </cell>
        </row>
        <row r="21537">
          <cell r="A21537">
            <v>43197</v>
          </cell>
        </row>
        <row r="21538">
          <cell r="A21538">
            <v>43391</v>
          </cell>
        </row>
        <row r="21539">
          <cell r="A21539">
            <v>43617</v>
          </cell>
        </row>
        <row r="21540">
          <cell r="A21540">
            <v>43188</v>
          </cell>
        </row>
        <row r="21541">
          <cell r="A21541">
            <v>43787</v>
          </cell>
        </row>
        <row r="21542">
          <cell r="A21542">
            <v>43176</v>
          </cell>
        </row>
        <row r="21543">
          <cell r="A21543">
            <v>43853</v>
          </cell>
        </row>
        <row r="21544">
          <cell r="A21544">
            <v>43315</v>
          </cell>
        </row>
        <row r="21545">
          <cell r="A21545">
            <v>43563</v>
          </cell>
        </row>
        <row r="21546">
          <cell r="A21546">
            <v>43573</v>
          </cell>
        </row>
        <row r="21547">
          <cell r="A21547">
            <v>43327</v>
          </cell>
        </row>
        <row r="21548">
          <cell r="A21548">
            <v>43120</v>
          </cell>
        </row>
        <row r="21549">
          <cell r="A21549">
            <v>43366</v>
          </cell>
        </row>
        <row r="21550">
          <cell r="A21550">
            <v>43608</v>
          </cell>
        </row>
        <row r="21551">
          <cell r="A21551">
            <v>43449</v>
          </cell>
        </row>
        <row r="21552">
          <cell r="A21552">
            <v>43761</v>
          </cell>
        </row>
        <row r="21553">
          <cell r="A21553">
            <v>43294</v>
          </cell>
        </row>
        <row r="21554">
          <cell r="A21554">
            <v>43630</v>
          </cell>
        </row>
        <row r="21555">
          <cell r="A21555">
            <v>43485</v>
          </cell>
        </row>
        <row r="21556">
          <cell r="A21556">
            <v>43289</v>
          </cell>
        </row>
        <row r="21557">
          <cell r="A21557">
            <v>43347</v>
          </cell>
        </row>
        <row r="21558">
          <cell r="A21558">
            <v>43913</v>
          </cell>
        </row>
        <row r="21559">
          <cell r="A21559">
            <v>43416</v>
          </cell>
        </row>
        <row r="21560">
          <cell r="A21560">
            <v>43608</v>
          </cell>
        </row>
        <row r="21561">
          <cell r="A21561">
            <v>43488</v>
          </cell>
        </row>
        <row r="21562">
          <cell r="A21562">
            <v>43121</v>
          </cell>
        </row>
        <row r="21563">
          <cell r="A21563">
            <v>43495</v>
          </cell>
        </row>
        <row r="21564">
          <cell r="A21564">
            <v>43655</v>
          </cell>
        </row>
        <row r="21565">
          <cell r="A21565">
            <v>43283</v>
          </cell>
        </row>
        <row r="21566">
          <cell r="A21566">
            <v>43486</v>
          </cell>
        </row>
        <row r="21567">
          <cell r="A21567">
            <v>43507</v>
          </cell>
        </row>
        <row r="21568">
          <cell r="A21568">
            <v>43389</v>
          </cell>
        </row>
        <row r="21569">
          <cell r="A21569">
            <v>43795</v>
          </cell>
        </row>
        <row r="21570">
          <cell r="A21570">
            <v>43247</v>
          </cell>
        </row>
        <row r="21571">
          <cell r="A21571">
            <v>43437</v>
          </cell>
        </row>
        <row r="21572">
          <cell r="A21572">
            <v>43332</v>
          </cell>
        </row>
        <row r="21573">
          <cell r="A21573">
            <v>43199</v>
          </cell>
        </row>
        <row r="21574">
          <cell r="A21574">
            <v>43578</v>
          </cell>
        </row>
        <row r="21575">
          <cell r="A21575">
            <v>43241</v>
          </cell>
        </row>
        <row r="21576">
          <cell r="A21576">
            <v>43196</v>
          </cell>
        </row>
        <row r="21577">
          <cell r="A21577">
            <v>43630</v>
          </cell>
        </row>
        <row r="21578">
          <cell r="A21578">
            <v>43537</v>
          </cell>
        </row>
        <row r="21579">
          <cell r="A21579">
            <v>43576</v>
          </cell>
        </row>
        <row r="21580">
          <cell r="A21580">
            <v>43846</v>
          </cell>
        </row>
        <row r="21581">
          <cell r="A21581">
            <v>43680</v>
          </cell>
        </row>
        <row r="21582">
          <cell r="A21582">
            <v>43268</v>
          </cell>
        </row>
        <row r="21583">
          <cell r="A21583">
            <v>43832</v>
          </cell>
        </row>
        <row r="21584">
          <cell r="A21584">
            <v>43329</v>
          </cell>
        </row>
        <row r="21585">
          <cell r="A21585">
            <v>43829</v>
          </cell>
        </row>
        <row r="21586">
          <cell r="A21586">
            <v>43117</v>
          </cell>
        </row>
        <row r="21587">
          <cell r="A21587">
            <v>43672</v>
          </cell>
        </row>
        <row r="21588">
          <cell r="A21588">
            <v>43753</v>
          </cell>
        </row>
        <row r="21589">
          <cell r="A21589">
            <v>43166</v>
          </cell>
        </row>
        <row r="21590">
          <cell r="A21590">
            <v>43804</v>
          </cell>
        </row>
        <row r="21591">
          <cell r="A21591">
            <v>43590</v>
          </cell>
        </row>
        <row r="21592">
          <cell r="A21592">
            <v>43151</v>
          </cell>
        </row>
        <row r="21593">
          <cell r="A21593">
            <v>43553</v>
          </cell>
        </row>
        <row r="21594">
          <cell r="A21594">
            <v>43688</v>
          </cell>
        </row>
        <row r="21595">
          <cell r="A21595">
            <v>43202</v>
          </cell>
        </row>
        <row r="21596">
          <cell r="A21596">
            <v>43351</v>
          </cell>
        </row>
        <row r="21597">
          <cell r="A21597">
            <v>43152</v>
          </cell>
        </row>
        <row r="21598">
          <cell r="A21598">
            <v>43668</v>
          </cell>
        </row>
        <row r="21599">
          <cell r="A21599">
            <v>43459</v>
          </cell>
        </row>
        <row r="21600">
          <cell r="A21600">
            <v>43536</v>
          </cell>
        </row>
        <row r="21601">
          <cell r="A21601">
            <v>43328</v>
          </cell>
        </row>
        <row r="21602">
          <cell r="A21602">
            <v>43760</v>
          </cell>
        </row>
        <row r="21603">
          <cell r="A21603">
            <v>43320</v>
          </cell>
        </row>
        <row r="21604">
          <cell r="A21604">
            <v>43794</v>
          </cell>
        </row>
        <row r="21605">
          <cell r="A21605">
            <v>43750</v>
          </cell>
        </row>
        <row r="21606">
          <cell r="A21606">
            <v>43689</v>
          </cell>
        </row>
        <row r="21607">
          <cell r="A21607">
            <v>43455</v>
          </cell>
        </row>
        <row r="21608">
          <cell r="A21608">
            <v>43900</v>
          </cell>
        </row>
        <row r="21609">
          <cell r="A21609">
            <v>43483</v>
          </cell>
        </row>
        <row r="21610">
          <cell r="A21610">
            <v>43800</v>
          </cell>
        </row>
        <row r="21611">
          <cell r="A21611">
            <v>43288</v>
          </cell>
        </row>
        <row r="21612">
          <cell r="A21612">
            <v>43501</v>
          </cell>
        </row>
        <row r="21613">
          <cell r="A21613">
            <v>43474</v>
          </cell>
        </row>
        <row r="21614">
          <cell r="A21614">
            <v>43808</v>
          </cell>
        </row>
        <row r="21615">
          <cell r="A21615">
            <v>43846</v>
          </cell>
        </row>
        <row r="21616">
          <cell r="A21616">
            <v>43171</v>
          </cell>
        </row>
        <row r="21617">
          <cell r="A21617">
            <v>43712</v>
          </cell>
        </row>
        <row r="21618">
          <cell r="A21618">
            <v>43394</v>
          </cell>
        </row>
        <row r="21619">
          <cell r="A21619">
            <v>43347</v>
          </cell>
        </row>
        <row r="21620">
          <cell r="A21620">
            <v>43728</v>
          </cell>
        </row>
        <row r="21621">
          <cell r="A21621">
            <v>43870</v>
          </cell>
        </row>
        <row r="21622">
          <cell r="A21622">
            <v>43840</v>
          </cell>
        </row>
        <row r="21623">
          <cell r="A21623">
            <v>43854</v>
          </cell>
        </row>
        <row r="21624">
          <cell r="A21624">
            <v>43773</v>
          </cell>
        </row>
        <row r="21625">
          <cell r="A21625">
            <v>43673</v>
          </cell>
        </row>
        <row r="21626">
          <cell r="A21626">
            <v>43314</v>
          </cell>
        </row>
        <row r="21627">
          <cell r="A21627">
            <v>43773</v>
          </cell>
        </row>
        <row r="21628">
          <cell r="A21628">
            <v>43664</v>
          </cell>
        </row>
        <row r="21629">
          <cell r="A21629">
            <v>43890</v>
          </cell>
        </row>
        <row r="21630">
          <cell r="A21630">
            <v>43156</v>
          </cell>
        </row>
        <row r="21631">
          <cell r="A21631">
            <v>43134</v>
          </cell>
        </row>
        <row r="21632">
          <cell r="A21632">
            <v>43337</v>
          </cell>
        </row>
        <row r="21633">
          <cell r="A21633">
            <v>43639</v>
          </cell>
        </row>
        <row r="21634">
          <cell r="A21634">
            <v>43546</v>
          </cell>
        </row>
        <row r="21635">
          <cell r="A21635">
            <v>43907</v>
          </cell>
        </row>
        <row r="21636">
          <cell r="A21636">
            <v>43906</v>
          </cell>
        </row>
        <row r="21637">
          <cell r="A21637">
            <v>43837</v>
          </cell>
        </row>
        <row r="21638">
          <cell r="A21638">
            <v>43905</v>
          </cell>
        </row>
        <row r="21639">
          <cell r="A21639">
            <v>43882</v>
          </cell>
        </row>
        <row r="21640">
          <cell r="A21640">
            <v>43319</v>
          </cell>
        </row>
        <row r="21641">
          <cell r="A21641">
            <v>43193</v>
          </cell>
        </row>
        <row r="21642">
          <cell r="A21642">
            <v>43810</v>
          </cell>
        </row>
        <row r="21643">
          <cell r="A21643">
            <v>43878</v>
          </cell>
        </row>
        <row r="21644">
          <cell r="A21644">
            <v>43743</v>
          </cell>
        </row>
        <row r="21645">
          <cell r="A21645">
            <v>43547</v>
          </cell>
        </row>
        <row r="21646">
          <cell r="A21646">
            <v>43504</v>
          </cell>
        </row>
        <row r="21647">
          <cell r="A21647">
            <v>43315</v>
          </cell>
        </row>
        <row r="21648">
          <cell r="A21648">
            <v>43612</v>
          </cell>
        </row>
        <row r="21649">
          <cell r="A21649">
            <v>43689</v>
          </cell>
        </row>
        <row r="21650">
          <cell r="A21650">
            <v>43203</v>
          </cell>
        </row>
        <row r="21651">
          <cell r="A21651">
            <v>43898</v>
          </cell>
        </row>
        <row r="21652">
          <cell r="A21652">
            <v>43234</v>
          </cell>
        </row>
        <row r="21653">
          <cell r="A21653">
            <v>43510</v>
          </cell>
        </row>
        <row r="21654">
          <cell r="A21654">
            <v>43527</v>
          </cell>
        </row>
        <row r="21655">
          <cell r="A21655">
            <v>43496</v>
          </cell>
        </row>
        <row r="21656">
          <cell r="A21656">
            <v>43794</v>
          </cell>
        </row>
        <row r="21657">
          <cell r="A21657">
            <v>43753</v>
          </cell>
        </row>
        <row r="21658">
          <cell r="A21658">
            <v>43653</v>
          </cell>
        </row>
        <row r="21659">
          <cell r="A21659">
            <v>43740</v>
          </cell>
        </row>
        <row r="21660">
          <cell r="A21660">
            <v>43919</v>
          </cell>
        </row>
        <row r="21661">
          <cell r="A21661">
            <v>43882</v>
          </cell>
        </row>
        <row r="21662">
          <cell r="A21662">
            <v>43508</v>
          </cell>
        </row>
        <row r="21663">
          <cell r="A21663">
            <v>43840</v>
          </cell>
        </row>
        <row r="21664">
          <cell r="A21664">
            <v>43824</v>
          </cell>
        </row>
        <row r="21665">
          <cell r="A21665">
            <v>43334</v>
          </cell>
        </row>
        <row r="21666">
          <cell r="A21666">
            <v>43761</v>
          </cell>
        </row>
        <row r="21667">
          <cell r="A21667">
            <v>43621</v>
          </cell>
        </row>
        <row r="21668">
          <cell r="A21668">
            <v>43709</v>
          </cell>
        </row>
        <row r="21669">
          <cell r="A21669">
            <v>43293</v>
          </cell>
        </row>
        <row r="21670">
          <cell r="A21670">
            <v>43278</v>
          </cell>
        </row>
        <row r="21671">
          <cell r="A21671">
            <v>43121</v>
          </cell>
        </row>
        <row r="21672">
          <cell r="A21672">
            <v>43656</v>
          </cell>
        </row>
        <row r="21673">
          <cell r="A21673">
            <v>43539</v>
          </cell>
        </row>
        <row r="21674">
          <cell r="A21674">
            <v>43835</v>
          </cell>
        </row>
        <row r="21675">
          <cell r="A21675">
            <v>43604</v>
          </cell>
        </row>
        <row r="21676">
          <cell r="A21676">
            <v>43569</v>
          </cell>
        </row>
        <row r="21677">
          <cell r="A21677">
            <v>43824</v>
          </cell>
        </row>
        <row r="21678">
          <cell r="A21678">
            <v>43235</v>
          </cell>
        </row>
        <row r="21679">
          <cell r="A21679">
            <v>43834</v>
          </cell>
        </row>
        <row r="21680">
          <cell r="A21680">
            <v>43173</v>
          </cell>
        </row>
        <row r="21681">
          <cell r="A21681">
            <v>43474</v>
          </cell>
        </row>
        <row r="21682">
          <cell r="A21682">
            <v>43434</v>
          </cell>
        </row>
        <row r="21683">
          <cell r="A21683">
            <v>43337</v>
          </cell>
        </row>
        <row r="21684">
          <cell r="A21684">
            <v>43124</v>
          </cell>
        </row>
        <row r="21685">
          <cell r="A21685">
            <v>43913</v>
          </cell>
        </row>
        <row r="21686">
          <cell r="A21686">
            <v>43320</v>
          </cell>
        </row>
        <row r="21687">
          <cell r="A21687">
            <v>43788</v>
          </cell>
        </row>
        <row r="21688">
          <cell r="A21688">
            <v>43873</v>
          </cell>
        </row>
        <row r="21689">
          <cell r="A21689">
            <v>43329</v>
          </cell>
        </row>
        <row r="21690">
          <cell r="A21690">
            <v>43260</v>
          </cell>
        </row>
        <row r="21691">
          <cell r="A21691">
            <v>43306</v>
          </cell>
        </row>
        <row r="21692">
          <cell r="A21692">
            <v>43141</v>
          </cell>
        </row>
        <row r="21693">
          <cell r="A21693">
            <v>43544</v>
          </cell>
        </row>
        <row r="21694">
          <cell r="A21694">
            <v>43540</v>
          </cell>
        </row>
        <row r="21695">
          <cell r="A21695">
            <v>43737</v>
          </cell>
        </row>
        <row r="21696">
          <cell r="A21696">
            <v>43724</v>
          </cell>
        </row>
        <row r="21697">
          <cell r="A21697">
            <v>43463</v>
          </cell>
        </row>
        <row r="21698">
          <cell r="A21698">
            <v>43377</v>
          </cell>
        </row>
        <row r="21699">
          <cell r="A21699">
            <v>43162</v>
          </cell>
        </row>
        <row r="21700">
          <cell r="A21700">
            <v>43601</v>
          </cell>
        </row>
        <row r="21701">
          <cell r="A21701">
            <v>43298</v>
          </cell>
        </row>
        <row r="21702">
          <cell r="A21702">
            <v>43460</v>
          </cell>
        </row>
        <row r="21703">
          <cell r="A21703">
            <v>43425</v>
          </cell>
        </row>
        <row r="21704">
          <cell r="A21704">
            <v>43388</v>
          </cell>
        </row>
        <row r="21705">
          <cell r="A21705">
            <v>43221</v>
          </cell>
        </row>
        <row r="21706">
          <cell r="A21706">
            <v>43670</v>
          </cell>
        </row>
        <row r="21707">
          <cell r="A21707">
            <v>43627</v>
          </cell>
        </row>
        <row r="21708">
          <cell r="A21708">
            <v>43415</v>
          </cell>
        </row>
        <row r="21709">
          <cell r="A21709">
            <v>43268</v>
          </cell>
        </row>
        <row r="21710">
          <cell r="A21710">
            <v>43159</v>
          </cell>
        </row>
        <row r="21711">
          <cell r="A21711">
            <v>43786</v>
          </cell>
        </row>
        <row r="21712">
          <cell r="A21712">
            <v>43552</v>
          </cell>
        </row>
        <row r="21713">
          <cell r="A21713">
            <v>43385</v>
          </cell>
        </row>
        <row r="21714">
          <cell r="A21714">
            <v>43512</v>
          </cell>
        </row>
        <row r="21715">
          <cell r="A21715">
            <v>43167</v>
          </cell>
        </row>
        <row r="21716">
          <cell r="A21716">
            <v>43313</v>
          </cell>
        </row>
        <row r="21717">
          <cell r="A21717">
            <v>43907</v>
          </cell>
        </row>
        <row r="21718">
          <cell r="A21718">
            <v>43174</v>
          </cell>
        </row>
        <row r="21719">
          <cell r="A21719">
            <v>43837</v>
          </cell>
        </row>
        <row r="21720">
          <cell r="A21720">
            <v>43776</v>
          </cell>
        </row>
        <row r="21721">
          <cell r="A21721">
            <v>43571</v>
          </cell>
        </row>
        <row r="21722">
          <cell r="A21722">
            <v>43155</v>
          </cell>
        </row>
        <row r="21723">
          <cell r="A21723">
            <v>43359</v>
          </cell>
        </row>
        <row r="21724">
          <cell r="A21724">
            <v>43888</v>
          </cell>
        </row>
        <row r="21725">
          <cell r="A21725">
            <v>43159</v>
          </cell>
        </row>
        <row r="21726">
          <cell r="A21726">
            <v>43915</v>
          </cell>
        </row>
        <row r="21727">
          <cell r="A21727">
            <v>43878</v>
          </cell>
        </row>
        <row r="21728">
          <cell r="A21728">
            <v>43503</v>
          </cell>
        </row>
        <row r="21729">
          <cell r="A21729">
            <v>43553</v>
          </cell>
        </row>
        <row r="21730">
          <cell r="A21730">
            <v>43450</v>
          </cell>
        </row>
        <row r="21731">
          <cell r="A21731">
            <v>43358</v>
          </cell>
        </row>
        <row r="21732">
          <cell r="A21732">
            <v>43717</v>
          </cell>
        </row>
        <row r="21733">
          <cell r="A21733">
            <v>43641</v>
          </cell>
        </row>
        <row r="21734">
          <cell r="A21734">
            <v>43352</v>
          </cell>
        </row>
        <row r="21735">
          <cell r="A21735">
            <v>43468</v>
          </cell>
        </row>
        <row r="21736">
          <cell r="A21736">
            <v>43735</v>
          </cell>
        </row>
        <row r="21737">
          <cell r="A21737">
            <v>43194</v>
          </cell>
        </row>
        <row r="21738">
          <cell r="A21738">
            <v>43412</v>
          </cell>
        </row>
        <row r="21739">
          <cell r="A21739">
            <v>43306</v>
          </cell>
        </row>
        <row r="21740">
          <cell r="A21740">
            <v>43818</v>
          </cell>
        </row>
        <row r="21741">
          <cell r="A21741">
            <v>43367</v>
          </cell>
        </row>
        <row r="21742">
          <cell r="A21742">
            <v>43799</v>
          </cell>
        </row>
        <row r="21743">
          <cell r="A21743">
            <v>43140</v>
          </cell>
        </row>
        <row r="21744">
          <cell r="A21744">
            <v>43557</v>
          </cell>
        </row>
        <row r="21745">
          <cell r="A21745">
            <v>43246</v>
          </cell>
        </row>
        <row r="21746">
          <cell r="A21746">
            <v>43177</v>
          </cell>
        </row>
        <row r="21747">
          <cell r="A21747">
            <v>43906</v>
          </cell>
        </row>
        <row r="21748">
          <cell r="A21748">
            <v>43584</v>
          </cell>
        </row>
        <row r="21749">
          <cell r="A21749">
            <v>43701</v>
          </cell>
        </row>
        <row r="21750">
          <cell r="A21750">
            <v>43780</v>
          </cell>
        </row>
        <row r="21751">
          <cell r="A21751">
            <v>43333</v>
          </cell>
        </row>
        <row r="21752">
          <cell r="A21752">
            <v>43157</v>
          </cell>
        </row>
        <row r="21753">
          <cell r="A21753">
            <v>43251</v>
          </cell>
        </row>
        <row r="21754">
          <cell r="A21754">
            <v>43761</v>
          </cell>
        </row>
        <row r="21755">
          <cell r="A21755">
            <v>43579</v>
          </cell>
        </row>
        <row r="21756">
          <cell r="A21756">
            <v>43424</v>
          </cell>
        </row>
        <row r="21757">
          <cell r="A21757">
            <v>43738</v>
          </cell>
        </row>
        <row r="21758">
          <cell r="A21758">
            <v>43240</v>
          </cell>
        </row>
        <row r="21759">
          <cell r="A21759">
            <v>43140</v>
          </cell>
        </row>
        <row r="21760">
          <cell r="A21760">
            <v>43457</v>
          </cell>
        </row>
        <row r="21761">
          <cell r="A21761">
            <v>43112</v>
          </cell>
        </row>
        <row r="21762">
          <cell r="A21762">
            <v>43611</v>
          </cell>
        </row>
        <row r="21763">
          <cell r="A21763">
            <v>43310</v>
          </cell>
        </row>
        <row r="21764">
          <cell r="A21764">
            <v>43292</v>
          </cell>
        </row>
        <row r="21765">
          <cell r="A21765">
            <v>43649</v>
          </cell>
        </row>
        <row r="21766">
          <cell r="A21766">
            <v>43701</v>
          </cell>
        </row>
        <row r="21767">
          <cell r="A21767">
            <v>43436</v>
          </cell>
        </row>
        <row r="21768">
          <cell r="A21768">
            <v>43795</v>
          </cell>
        </row>
        <row r="21769">
          <cell r="A21769">
            <v>43406</v>
          </cell>
        </row>
        <row r="21770">
          <cell r="A21770">
            <v>43302</v>
          </cell>
        </row>
        <row r="21771">
          <cell r="A21771">
            <v>43534</v>
          </cell>
        </row>
        <row r="21772">
          <cell r="A21772">
            <v>43301</v>
          </cell>
        </row>
        <row r="21773">
          <cell r="A21773">
            <v>43284</v>
          </cell>
        </row>
        <row r="21774">
          <cell r="A21774">
            <v>43470</v>
          </cell>
        </row>
        <row r="21775">
          <cell r="A21775">
            <v>43224</v>
          </cell>
        </row>
        <row r="21776">
          <cell r="A21776">
            <v>43539</v>
          </cell>
        </row>
        <row r="21777">
          <cell r="A21777">
            <v>43876</v>
          </cell>
        </row>
        <row r="21778">
          <cell r="A21778">
            <v>43322</v>
          </cell>
        </row>
        <row r="21779">
          <cell r="A21779">
            <v>43874</v>
          </cell>
        </row>
        <row r="21780">
          <cell r="A21780">
            <v>43104</v>
          </cell>
        </row>
        <row r="21781">
          <cell r="A21781">
            <v>43717</v>
          </cell>
        </row>
        <row r="21782">
          <cell r="A21782">
            <v>43621</v>
          </cell>
        </row>
        <row r="21783">
          <cell r="A21783">
            <v>43758</v>
          </cell>
        </row>
        <row r="21784">
          <cell r="A21784">
            <v>43336</v>
          </cell>
        </row>
        <row r="21785">
          <cell r="A21785">
            <v>43808</v>
          </cell>
        </row>
        <row r="21786">
          <cell r="A21786">
            <v>43740</v>
          </cell>
        </row>
        <row r="21787">
          <cell r="A21787">
            <v>43837</v>
          </cell>
        </row>
        <row r="21788">
          <cell r="A21788">
            <v>43865</v>
          </cell>
        </row>
        <row r="21789">
          <cell r="A21789">
            <v>43577</v>
          </cell>
        </row>
        <row r="21790">
          <cell r="A21790">
            <v>43268</v>
          </cell>
        </row>
        <row r="21791">
          <cell r="A21791">
            <v>43569</v>
          </cell>
        </row>
        <row r="21792">
          <cell r="A21792">
            <v>43447</v>
          </cell>
        </row>
        <row r="21793">
          <cell r="A21793">
            <v>43707</v>
          </cell>
        </row>
        <row r="21794">
          <cell r="A21794">
            <v>43912</v>
          </cell>
        </row>
        <row r="21795">
          <cell r="A21795">
            <v>43830</v>
          </cell>
        </row>
        <row r="21796">
          <cell r="A21796">
            <v>43831</v>
          </cell>
        </row>
        <row r="21797">
          <cell r="A21797">
            <v>43245</v>
          </cell>
        </row>
        <row r="21798">
          <cell r="A21798">
            <v>43391</v>
          </cell>
        </row>
        <row r="21799">
          <cell r="A21799">
            <v>43234</v>
          </cell>
        </row>
        <row r="21800">
          <cell r="A21800">
            <v>43237</v>
          </cell>
        </row>
        <row r="21801">
          <cell r="A21801">
            <v>43217</v>
          </cell>
        </row>
        <row r="21802">
          <cell r="A21802">
            <v>43416</v>
          </cell>
        </row>
        <row r="21803">
          <cell r="A21803">
            <v>43310</v>
          </cell>
        </row>
        <row r="21804">
          <cell r="A21804">
            <v>43723</v>
          </cell>
        </row>
        <row r="21805">
          <cell r="A21805">
            <v>43678</v>
          </cell>
        </row>
        <row r="21806">
          <cell r="A21806">
            <v>43813</v>
          </cell>
        </row>
        <row r="21807">
          <cell r="A21807">
            <v>43392</v>
          </cell>
        </row>
        <row r="21808">
          <cell r="A21808">
            <v>43862</v>
          </cell>
        </row>
        <row r="21809">
          <cell r="A21809">
            <v>43840</v>
          </cell>
        </row>
        <row r="21810">
          <cell r="A21810">
            <v>43891</v>
          </cell>
        </row>
        <row r="21811">
          <cell r="A21811">
            <v>43226</v>
          </cell>
        </row>
        <row r="21812">
          <cell r="A21812">
            <v>43697</v>
          </cell>
        </row>
        <row r="21813">
          <cell r="A21813">
            <v>43409</v>
          </cell>
        </row>
        <row r="21814">
          <cell r="A21814">
            <v>43888</v>
          </cell>
        </row>
        <row r="21815">
          <cell r="A21815">
            <v>43852</v>
          </cell>
        </row>
        <row r="21816">
          <cell r="A21816">
            <v>43432</v>
          </cell>
        </row>
        <row r="21817">
          <cell r="A21817">
            <v>43730</v>
          </cell>
        </row>
        <row r="21818">
          <cell r="A21818">
            <v>43101</v>
          </cell>
        </row>
        <row r="21819">
          <cell r="A21819">
            <v>43366</v>
          </cell>
        </row>
        <row r="21820">
          <cell r="A21820">
            <v>43212</v>
          </cell>
        </row>
        <row r="21821">
          <cell r="A21821">
            <v>43223</v>
          </cell>
        </row>
        <row r="21822">
          <cell r="A21822">
            <v>43332</v>
          </cell>
        </row>
        <row r="21823">
          <cell r="A21823">
            <v>43737</v>
          </cell>
        </row>
        <row r="21824">
          <cell r="A21824">
            <v>43825</v>
          </cell>
        </row>
        <row r="21825">
          <cell r="A21825">
            <v>43694</v>
          </cell>
        </row>
        <row r="21826">
          <cell r="A21826">
            <v>43338</v>
          </cell>
        </row>
        <row r="21827">
          <cell r="A21827">
            <v>43642</v>
          </cell>
        </row>
        <row r="21828">
          <cell r="A21828">
            <v>43398</v>
          </cell>
        </row>
        <row r="21829">
          <cell r="A21829">
            <v>43758</v>
          </cell>
        </row>
        <row r="21830">
          <cell r="A21830">
            <v>43882</v>
          </cell>
        </row>
        <row r="21831">
          <cell r="A21831">
            <v>43754</v>
          </cell>
        </row>
        <row r="21832">
          <cell r="A21832">
            <v>43319</v>
          </cell>
        </row>
        <row r="21833">
          <cell r="A21833">
            <v>43704</v>
          </cell>
        </row>
        <row r="21834">
          <cell r="A21834">
            <v>43236</v>
          </cell>
        </row>
        <row r="21835">
          <cell r="A21835">
            <v>43356</v>
          </cell>
        </row>
        <row r="21836">
          <cell r="A21836">
            <v>43580</v>
          </cell>
        </row>
        <row r="21837">
          <cell r="A21837">
            <v>43451</v>
          </cell>
        </row>
        <row r="21838">
          <cell r="A21838">
            <v>43750</v>
          </cell>
        </row>
        <row r="21839">
          <cell r="A21839">
            <v>43244</v>
          </cell>
        </row>
        <row r="21840">
          <cell r="A21840">
            <v>43176</v>
          </cell>
        </row>
        <row r="21841">
          <cell r="A21841">
            <v>43744</v>
          </cell>
        </row>
        <row r="21842">
          <cell r="A21842">
            <v>43654</v>
          </cell>
        </row>
        <row r="21843">
          <cell r="A21843">
            <v>43846</v>
          </cell>
        </row>
        <row r="21844">
          <cell r="A21844">
            <v>43473</v>
          </cell>
        </row>
        <row r="21845">
          <cell r="A21845">
            <v>43487</v>
          </cell>
        </row>
        <row r="21846">
          <cell r="A21846">
            <v>43504</v>
          </cell>
        </row>
        <row r="21847">
          <cell r="A21847">
            <v>43324</v>
          </cell>
        </row>
        <row r="21848">
          <cell r="A21848">
            <v>43871</v>
          </cell>
        </row>
        <row r="21849">
          <cell r="A21849">
            <v>43471</v>
          </cell>
        </row>
        <row r="21850">
          <cell r="A21850">
            <v>43691</v>
          </cell>
        </row>
        <row r="21851">
          <cell r="A21851">
            <v>43375</v>
          </cell>
        </row>
        <row r="21852">
          <cell r="A21852">
            <v>43818</v>
          </cell>
        </row>
        <row r="21853">
          <cell r="A21853">
            <v>43823</v>
          </cell>
        </row>
        <row r="21854">
          <cell r="A21854">
            <v>43583</v>
          </cell>
        </row>
        <row r="21855">
          <cell r="A21855">
            <v>43170</v>
          </cell>
        </row>
        <row r="21856">
          <cell r="A21856">
            <v>43391</v>
          </cell>
        </row>
        <row r="21857">
          <cell r="A21857">
            <v>43286</v>
          </cell>
        </row>
        <row r="21858">
          <cell r="A21858">
            <v>43456</v>
          </cell>
        </row>
        <row r="21859">
          <cell r="A21859">
            <v>43781</v>
          </cell>
        </row>
        <row r="21860">
          <cell r="A21860">
            <v>43740</v>
          </cell>
        </row>
        <row r="21861">
          <cell r="A21861">
            <v>43752</v>
          </cell>
        </row>
        <row r="21862">
          <cell r="A21862">
            <v>43221</v>
          </cell>
        </row>
        <row r="21863">
          <cell r="A21863">
            <v>43384</v>
          </cell>
        </row>
        <row r="21864">
          <cell r="A21864">
            <v>43723</v>
          </cell>
        </row>
        <row r="21865">
          <cell r="A21865">
            <v>43774</v>
          </cell>
        </row>
        <row r="21866">
          <cell r="A21866">
            <v>43463</v>
          </cell>
        </row>
        <row r="21867">
          <cell r="A21867">
            <v>43499</v>
          </cell>
        </row>
        <row r="21868">
          <cell r="A21868">
            <v>43819</v>
          </cell>
        </row>
        <row r="21869">
          <cell r="A21869">
            <v>43713</v>
          </cell>
        </row>
        <row r="21870">
          <cell r="A21870">
            <v>43630</v>
          </cell>
        </row>
        <row r="21871">
          <cell r="A21871">
            <v>43441</v>
          </cell>
        </row>
        <row r="21872">
          <cell r="A21872">
            <v>43363</v>
          </cell>
        </row>
        <row r="21873">
          <cell r="A21873">
            <v>43293</v>
          </cell>
        </row>
        <row r="21874">
          <cell r="A21874">
            <v>43149</v>
          </cell>
        </row>
        <row r="21875">
          <cell r="A21875">
            <v>43382</v>
          </cell>
        </row>
        <row r="21876">
          <cell r="A21876">
            <v>43146</v>
          </cell>
        </row>
        <row r="21877">
          <cell r="A21877">
            <v>43747</v>
          </cell>
        </row>
        <row r="21878">
          <cell r="A21878">
            <v>43302</v>
          </cell>
        </row>
        <row r="21879">
          <cell r="A21879">
            <v>43659</v>
          </cell>
        </row>
        <row r="21880">
          <cell r="A21880">
            <v>43462</v>
          </cell>
        </row>
        <row r="21881">
          <cell r="A21881">
            <v>43764</v>
          </cell>
        </row>
        <row r="21882">
          <cell r="A21882">
            <v>43550</v>
          </cell>
        </row>
        <row r="21883">
          <cell r="A21883">
            <v>43677</v>
          </cell>
        </row>
        <row r="21884">
          <cell r="A21884">
            <v>43331</v>
          </cell>
        </row>
        <row r="21885">
          <cell r="A21885">
            <v>43738</v>
          </cell>
        </row>
        <row r="21886">
          <cell r="A21886">
            <v>43714</v>
          </cell>
        </row>
        <row r="21887">
          <cell r="A21887">
            <v>43791</v>
          </cell>
        </row>
        <row r="21888">
          <cell r="A21888">
            <v>43198</v>
          </cell>
        </row>
        <row r="21889">
          <cell r="A21889">
            <v>43368</v>
          </cell>
        </row>
        <row r="21890">
          <cell r="A21890">
            <v>43813</v>
          </cell>
        </row>
        <row r="21891">
          <cell r="A21891">
            <v>43231</v>
          </cell>
        </row>
        <row r="21892">
          <cell r="A21892">
            <v>43118</v>
          </cell>
        </row>
        <row r="21893">
          <cell r="A21893">
            <v>43476</v>
          </cell>
        </row>
        <row r="21894">
          <cell r="A21894">
            <v>43486</v>
          </cell>
        </row>
        <row r="21895">
          <cell r="A21895">
            <v>43242</v>
          </cell>
        </row>
        <row r="21896">
          <cell r="A21896">
            <v>43868</v>
          </cell>
        </row>
        <row r="21897">
          <cell r="A21897">
            <v>43691</v>
          </cell>
        </row>
        <row r="21898">
          <cell r="A21898">
            <v>43364</v>
          </cell>
        </row>
        <row r="21899">
          <cell r="A21899">
            <v>43542</v>
          </cell>
        </row>
        <row r="21900">
          <cell r="A21900">
            <v>43284</v>
          </cell>
        </row>
        <row r="21901">
          <cell r="A21901">
            <v>43160</v>
          </cell>
        </row>
        <row r="21902">
          <cell r="A21902">
            <v>43704</v>
          </cell>
        </row>
        <row r="21903">
          <cell r="A21903">
            <v>43855</v>
          </cell>
        </row>
        <row r="21904">
          <cell r="A21904">
            <v>43573</v>
          </cell>
        </row>
        <row r="21905">
          <cell r="A21905">
            <v>43748</v>
          </cell>
        </row>
        <row r="21906">
          <cell r="A21906">
            <v>43434</v>
          </cell>
        </row>
        <row r="21907">
          <cell r="A21907">
            <v>43561</v>
          </cell>
        </row>
        <row r="21908">
          <cell r="A21908">
            <v>43773</v>
          </cell>
        </row>
        <row r="21909">
          <cell r="A21909">
            <v>43247</v>
          </cell>
        </row>
        <row r="21910">
          <cell r="A21910">
            <v>43493</v>
          </cell>
        </row>
        <row r="21911">
          <cell r="A21911">
            <v>43529</v>
          </cell>
        </row>
        <row r="21912">
          <cell r="A21912">
            <v>43340</v>
          </cell>
        </row>
        <row r="21913">
          <cell r="A21913">
            <v>43256</v>
          </cell>
        </row>
        <row r="21914">
          <cell r="A21914">
            <v>43682</v>
          </cell>
        </row>
        <row r="21915">
          <cell r="A21915">
            <v>43509</v>
          </cell>
        </row>
        <row r="21916">
          <cell r="A21916">
            <v>43863</v>
          </cell>
        </row>
        <row r="21917">
          <cell r="A21917">
            <v>43338</v>
          </cell>
        </row>
        <row r="21918">
          <cell r="A21918">
            <v>43912</v>
          </cell>
        </row>
        <row r="21919">
          <cell r="A21919">
            <v>43232</v>
          </cell>
        </row>
        <row r="21920">
          <cell r="A21920">
            <v>43423</v>
          </cell>
        </row>
        <row r="21921">
          <cell r="A21921">
            <v>43157</v>
          </cell>
        </row>
        <row r="21922">
          <cell r="A21922">
            <v>43423</v>
          </cell>
        </row>
        <row r="21923">
          <cell r="A21923">
            <v>43293</v>
          </cell>
        </row>
        <row r="21924">
          <cell r="A21924">
            <v>43676</v>
          </cell>
        </row>
        <row r="21925">
          <cell r="A21925">
            <v>43546</v>
          </cell>
        </row>
        <row r="21926">
          <cell r="A21926">
            <v>43616</v>
          </cell>
        </row>
        <row r="21927">
          <cell r="A21927">
            <v>43370</v>
          </cell>
        </row>
        <row r="21928">
          <cell r="A21928">
            <v>43358</v>
          </cell>
        </row>
        <row r="21929">
          <cell r="A21929">
            <v>43384</v>
          </cell>
        </row>
        <row r="21930">
          <cell r="A21930">
            <v>43345</v>
          </cell>
        </row>
        <row r="21931">
          <cell r="A21931">
            <v>43204</v>
          </cell>
        </row>
        <row r="21932">
          <cell r="A21932">
            <v>43681</v>
          </cell>
        </row>
        <row r="21933">
          <cell r="A21933">
            <v>43907</v>
          </cell>
        </row>
        <row r="21934">
          <cell r="A21934">
            <v>43632</v>
          </cell>
        </row>
        <row r="21935">
          <cell r="A21935">
            <v>43242</v>
          </cell>
        </row>
        <row r="21936">
          <cell r="A21936">
            <v>43148</v>
          </cell>
        </row>
        <row r="21937">
          <cell r="A21937">
            <v>43214</v>
          </cell>
        </row>
        <row r="21938">
          <cell r="A21938">
            <v>43112</v>
          </cell>
        </row>
        <row r="21939">
          <cell r="A21939">
            <v>43311</v>
          </cell>
        </row>
        <row r="21940">
          <cell r="A21940">
            <v>43800</v>
          </cell>
        </row>
        <row r="21941">
          <cell r="A21941">
            <v>43530</v>
          </cell>
        </row>
        <row r="21942">
          <cell r="A21942">
            <v>43670</v>
          </cell>
        </row>
        <row r="21943">
          <cell r="A21943">
            <v>43869</v>
          </cell>
        </row>
        <row r="21944">
          <cell r="A21944">
            <v>43327</v>
          </cell>
        </row>
        <row r="21945">
          <cell r="A21945">
            <v>43884</v>
          </cell>
        </row>
        <row r="21946">
          <cell r="A21946">
            <v>43783</v>
          </cell>
        </row>
        <row r="21947">
          <cell r="A21947">
            <v>43527</v>
          </cell>
        </row>
        <row r="21948">
          <cell r="A21948">
            <v>43366</v>
          </cell>
        </row>
        <row r="21949">
          <cell r="A21949">
            <v>43903</v>
          </cell>
        </row>
        <row r="21950">
          <cell r="A21950">
            <v>43241</v>
          </cell>
        </row>
        <row r="21951">
          <cell r="A21951">
            <v>43919</v>
          </cell>
        </row>
        <row r="21952">
          <cell r="A21952">
            <v>43564</v>
          </cell>
        </row>
        <row r="21953">
          <cell r="A21953">
            <v>43881</v>
          </cell>
        </row>
        <row r="21954">
          <cell r="A21954">
            <v>43392</v>
          </cell>
        </row>
        <row r="21955">
          <cell r="A21955">
            <v>43161</v>
          </cell>
        </row>
        <row r="21956">
          <cell r="A21956">
            <v>43333</v>
          </cell>
        </row>
        <row r="21957">
          <cell r="A21957">
            <v>43257</v>
          </cell>
        </row>
        <row r="21958">
          <cell r="A21958">
            <v>43261</v>
          </cell>
        </row>
        <row r="21959">
          <cell r="A21959">
            <v>43204</v>
          </cell>
        </row>
        <row r="21960">
          <cell r="A21960">
            <v>43308</v>
          </cell>
        </row>
        <row r="21961">
          <cell r="A21961">
            <v>43686</v>
          </cell>
        </row>
        <row r="21962">
          <cell r="A21962">
            <v>43605</v>
          </cell>
        </row>
        <row r="21963">
          <cell r="A21963">
            <v>43479</v>
          </cell>
        </row>
        <row r="21964">
          <cell r="A21964">
            <v>43768</v>
          </cell>
        </row>
        <row r="21965">
          <cell r="A21965">
            <v>43252</v>
          </cell>
        </row>
        <row r="21966">
          <cell r="A21966">
            <v>43755</v>
          </cell>
        </row>
        <row r="21967">
          <cell r="A21967">
            <v>43509</v>
          </cell>
        </row>
        <row r="21968">
          <cell r="A21968">
            <v>43846</v>
          </cell>
        </row>
        <row r="21969">
          <cell r="A21969">
            <v>43142</v>
          </cell>
        </row>
        <row r="21970">
          <cell r="A21970">
            <v>43173</v>
          </cell>
        </row>
        <row r="21971">
          <cell r="A21971">
            <v>43532</v>
          </cell>
        </row>
        <row r="21972">
          <cell r="A21972">
            <v>43216</v>
          </cell>
        </row>
        <row r="21973">
          <cell r="A21973">
            <v>43410</v>
          </cell>
        </row>
        <row r="21974">
          <cell r="A21974">
            <v>43564</v>
          </cell>
        </row>
        <row r="21975">
          <cell r="A21975">
            <v>43637</v>
          </cell>
        </row>
        <row r="21976">
          <cell r="A21976">
            <v>43142</v>
          </cell>
        </row>
        <row r="21977">
          <cell r="A21977">
            <v>43580</v>
          </cell>
        </row>
        <row r="21978">
          <cell r="A21978">
            <v>43795</v>
          </cell>
        </row>
        <row r="21979">
          <cell r="A21979">
            <v>43272</v>
          </cell>
        </row>
        <row r="21980">
          <cell r="A21980">
            <v>43413</v>
          </cell>
        </row>
        <row r="21981">
          <cell r="A21981">
            <v>43723</v>
          </cell>
        </row>
        <row r="21982">
          <cell r="A21982">
            <v>43576</v>
          </cell>
        </row>
        <row r="21983">
          <cell r="A21983">
            <v>43468</v>
          </cell>
        </row>
        <row r="21984">
          <cell r="A21984">
            <v>43286</v>
          </cell>
        </row>
        <row r="21985">
          <cell r="A21985">
            <v>43293</v>
          </cell>
        </row>
        <row r="21986">
          <cell r="A21986">
            <v>43760</v>
          </cell>
        </row>
        <row r="21987">
          <cell r="A21987">
            <v>43661</v>
          </cell>
        </row>
        <row r="21988">
          <cell r="A21988">
            <v>43765</v>
          </cell>
        </row>
        <row r="21989">
          <cell r="A21989">
            <v>43835</v>
          </cell>
        </row>
        <row r="21990">
          <cell r="A21990">
            <v>43423</v>
          </cell>
        </row>
        <row r="21991">
          <cell r="A21991">
            <v>43823</v>
          </cell>
        </row>
        <row r="21992">
          <cell r="A21992">
            <v>43769</v>
          </cell>
        </row>
        <row r="21993">
          <cell r="A21993">
            <v>43344</v>
          </cell>
        </row>
        <row r="21994">
          <cell r="A21994">
            <v>43412</v>
          </cell>
        </row>
        <row r="21995">
          <cell r="A21995">
            <v>43871</v>
          </cell>
        </row>
        <row r="21996">
          <cell r="A21996">
            <v>43761</v>
          </cell>
        </row>
        <row r="21997">
          <cell r="A21997">
            <v>43334</v>
          </cell>
        </row>
        <row r="21998">
          <cell r="A21998">
            <v>43455</v>
          </cell>
        </row>
        <row r="21999">
          <cell r="A21999">
            <v>43644</v>
          </cell>
        </row>
        <row r="22000">
          <cell r="A22000">
            <v>43559</v>
          </cell>
        </row>
        <row r="22001">
          <cell r="A22001">
            <v>43642</v>
          </cell>
        </row>
        <row r="22002">
          <cell r="A22002">
            <v>43376</v>
          </cell>
        </row>
        <row r="22003">
          <cell r="A22003">
            <v>43805</v>
          </cell>
        </row>
        <row r="22004">
          <cell r="A22004">
            <v>43399</v>
          </cell>
        </row>
        <row r="22005">
          <cell r="A22005">
            <v>43652</v>
          </cell>
        </row>
        <row r="22006">
          <cell r="A22006">
            <v>43732</v>
          </cell>
        </row>
        <row r="22007">
          <cell r="A22007">
            <v>43521</v>
          </cell>
        </row>
        <row r="22008">
          <cell r="A22008">
            <v>43152</v>
          </cell>
        </row>
        <row r="22009">
          <cell r="A22009">
            <v>43132</v>
          </cell>
        </row>
        <row r="22010">
          <cell r="A22010">
            <v>43503</v>
          </cell>
        </row>
        <row r="22011">
          <cell r="A22011">
            <v>43216</v>
          </cell>
        </row>
        <row r="22012">
          <cell r="A22012">
            <v>43204</v>
          </cell>
        </row>
        <row r="22013">
          <cell r="A22013">
            <v>43411</v>
          </cell>
        </row>
        <row r="22014">
          <cell r="A22014">
            <v>43312</v>
          </cell>
        </row>
        <row r="22015">
          <cell r="A22015">
            <v>43377</v>
          </cell>
        </row>
        <row r="22016">
          <cell r="A22016">
            <v>43857</v>
          </cell>
        </row>
        <row r="22017">
          <cell r="A22017">
            <v>43590</v>
          </cell>
        </row>
        <row r="22018">
          <cell r="A22018">
            <v>43234</v>
          </cell>
        </row>
        <row r="22019">
          <cell r="A22019">
            <v>43853</v>
          </cell>
        </row>
        <row r="22020">
          <cell r="A22020">
            <v>43918</v>
          </cell>
        </row>
        <row r="22021">
          <cell r="A22021">
            <v>43161</v>
          </cell>
        </row>
        <row r="22022">
          <cell r="A22022">
            <v>43851</v>
          </cell>
        </row>
        <row r="22023">
          <cell r="A22023">
            <v>43241</v>
          </cell>
        </row>
        <row r="22024">
          <cell r="A22024">
            <v>43181</v>
          </cell>
        </row>
        <row r="22025">
          <cell r="A22025">
            <v>43292</v>
          </cell>
        </row>
        <row r="22026">
          <cell r="A22026">
            <v>43766</v>
          </cell>
        </row>
        <row r="22027">
          <cell r="A22027">
            <v>43699</v>
          </cell>
        </row>
        <row r="22028">
          <cell r="A22028">
            <v>43560</v>
          </cell>
        </row>
        <row r="22029">
          <cell r="A22029">
            <v>43892</v>
          </cell>
        </row>
        <row r="22030">
          <cell r="A22030">
            <v>43604</v>
          </cell>
        </row>
        <row r="22031">
          <cell r="A22031">
            <v>43166</v>
          </cell>
        </row>
        <row r="22032">
          <cell r="A22032">
            <v>43918</v>
          </cell>
        </row>
        <row r="22033">
          <cell r="A22033">
            <v>43370</v>
          </cell>
        </row>
        <row r="22034">
          <cell r="A22034">
            <v>43251</v>
          </cell>
        </row>
        <row r="22035">
          <cell r="A22035">
            <v>43503</v>
          </cell>
        </row>
        <row r="22036">
          <cell r="A22036">
            <v>43426</v>
          </cell>
        </row>
        <row r="22037">
          <cell r="A22037">
            <v>43784</v>
          </cell>
        </row>
        <row r="22038">
          <cell r="A22038">
            <v>43898</v>
          </cell>
        </row>
        <row r="22039">
          <cell r="A22039">
            <v>43843</v>
          </cell>
        </row>
        <row r="22040">
          <cell r="A22040">
            <v>43628</v>
          </cell>
        </row>
        <row r="22041">
          <cell r="A22041">
            <v>43137</v>
          </cell>
        </row>
        <row r="22042">
          <cell r="A22042">
            <v>43369</v>
          </cell>
        </row>
        <row r="22043">
          <cell r="A22043">
            <v>43897</v>
          </cell>
        </row>
        <row r="22044">
          <cell r="A22044">
            <v>43744</v>
          </cell>
        </row>
        <row r="22045">
          <cell r="A22045">
            <v>43683</v>
          </cell>
        </row>
        <row r="22046">
          <cell r="A22046">
            <v>43544</v>
          </cell>
        </row>
        <row r="22047">
          <cell r="A22047">
            <v>43435</v>
          </cell>
        </row>
        <row r="22048">
          <cell r="A22048">
            <v>43356</v>
          </cell>
        </row>
        <row r="22049">
          <cell r="A22049">
            <v>43678</v>
          </cell>
        </row>
        <row r="22050">
          <cell r="A22050">
            <v>43213</v>
          </cell>
        </row>
        <row r="22051">
          <cell r="A22051">
            <v>43596</v>
          </cell>
        </row>
        <row r="22052">
          <cell r="A22052">
            <v>43745</v>
          </cell>
        </row>
        <row r="22053">
          <cell r="A22053">
            <v>43635</v>
          </cell>
        </row>
        <row r="22054">
          <cell r="A22054">
            <v>43236</v>
          </cell>
        </row>
        <row r="22055">
          <cell r="A22055">
            <v>43520</v>
          </cell>
        </row>
        <row r="22056">
          <cell r="A22056">
            <v>43350</v>
          </cell>
        </row>
        <row r="22057">
          <cell r="A22057">
            <v>43101</v>
          </cell>
        </row>
        <row r="22058">
          <cell r="A22058">
            <v>43265</v>
          </cell>
        </row>
        <row r="22059">
          <cell r="A22059">
            <v>43446</v>
          </cell>
        </row>
        <row r="22060">
          <cell r="A22060">
            <v>43898</v>
          </cell>
        </row>
        <row r="22061">
          <cell r="A22061">
            <v>43392</v>
          </cell>
        </row>
        <row r="22062">
          <cell r="A22062">
            <v>43595</v>
          </cell>
        </row>
        <row r="22063">
          <cell r="A22063">
            <v>43136</v>
          </cell>
        </row>
        <row r="22064">
          <cell r="A22064">
            <v>43330</v>
          </cell>
        </row>
        <row r="22065">
          <cell r="A22065">
            <v>43456</v>
          </cell>
        </row>
        <row r="22066">
          <cell r="A22066">
            <v>43233</v>
          </cell>
        </row>
        <row r="22067">
          <cell r="A22067">
            <v>43751</v>
          </cell>
        </row>
        <row r="22068">
          <cell r="A22068">
            <v>43776</v>
          </cell>
        </row>
        <row r="22069">
          <cell r="A22069">
            <v>43670</v>
          </cell>
        </row>
        <row r="22070">
          <cell r="A22070">
            <v>43635</v>
          </cell>
        </row>
        <row r="22071">
          <cell r="A22071">
            <v>43775</v>
          </cell>
        </row>
        <row r="22072">
          <cell r="A22072">
            <v>43364</v>
          </cell>
        </row>
        <row r="22073">
          <cell r="A22073">
            <v>43103</v>
          </cell>
        </row>
        <row r="22074">
          <cell r="A22074">
            <v>43735</v>
          </cell>
        </row>
        <row r="22075">
          <cell r="A22075">
            <v>43454</v>
          </cell>
        </row>
        <row r="22076">
          <cell r="A22076">
            <v>43697</v>
          </cell>
        </row>
        <row r="22077">
          <cell r="A22077">
            <v>43321</v>
          </cell>
        </row>
        <row r="22078">
          <cell r="A22078">
            <v>43873</v>
          </cell>
        </row>
        <row r="22079">
          <cell r="A22079">
            <v>43556</v>
          </cell>
        </row>
        <row r="22080">
          <cell r="A22080">
            <v>43304</v>
          </cell>
        </row>
        <row r="22081">
          <cell r="A22081">
            <v>43125</v>
          </cell>
        </row>
        <row r="22082">
          <cell r="A22082">
            <v>43497</v>
          </cell>
        </row>
        <row r="22083">
          <cell r="A22083">
            <v>43343</v>
          </cell>
        </row>
        <row r="22084">
          <cell r="A22084">
            <v>43853</v>
          </cell>
        </row>
        <row r="22085">
          <cell r="A22085">
            <v>43372</v>
          </cell>
        </row>
        <row r="22086">
          <cell r="A22086">
            <v>43199</v>
          </cell>
        </row>
        <row r="22087">
          <cell r="A22087">
            <v>43501</v>
          </cell>
        </row>
        <row r="22088">
          <cell r="A22088">
            <v>43145</v>
          </cell>
        </row>
        <row r="22089">
          <cell r="A22089">
            <v>43303</v>
          </cell>
        </row>
        <row r="22090">
          <cell r="A22090">
            <v>43666</v>
          </cell>
        </row>
        <row r="22091">
          <cell r="A22091">
            <v>43276</v>
          </cell>
        </row>
        <row r="22092">
          <cell r="A22092">
            <v>43639</v>
          </cell>
        </row>
        <row r="22093">
          <cell r="A22093">
            <v>43117</v>
          </cell>
        </row>
        <row r="22094">
          <cell r="A22094">
            <v>43857</v>
          </cell>
        </row>
        <row r="22095">
          <cell r="A22095">
            <v>43203</v>
          </cell>
        </row>
        <row r="22096">
          <cell r="A22096">
            <v>43325</v>
          </cell>
        </row>
        <row r="22097">
          <cell r="A22097">
            <v>43619</v>
          </cell>
        </row>
        <row r="22098">
          <cell r="A22098">
            <v>43601</v>
          </cell>
        </row>
        <row r="22099">
          <cell r="A22099">
            <v>43452</v>
          </cell>
        </row>
        <row r="22100">
          <cell r="A22100">
            <v>43368</v>
          </cell>
        </row>
        <row r="22101">
          <cell r="A22101">
            <v>43325</v>
          </cell>
        </row>
        <row r="22102">
          <cell r="A22102">
            <v>43228</v>
          </cell>
        </row>
        <row r="22103">
          <cell r="A22103">
            <v>43583</v>
          </cell>
        </row>
        <row r="22104">
          <cell r="A22104">
            <v>43301</v>
          </cell>
        </row>
        <row r="22105">
          <cell r="A22105">
            <v>43549</v>
          </cell>
        </row>
        <row r="22106">
          <cell r="A22106">
            <v>43121</v>
          </cell>
        </row>
        <row r="22107">
          <cell r="A22107">
            <v>43577</v>
          </cell>
        </row>
        <row r="22108">
          <cell r="A22108">
            <v>43554</v>
          </cell>
        </row>
        <row r="22109">
          <cell r="A22109">
            <v>43767</v>
          </cell>
        </row>
        <row r="22110">
          <cell r="A22110">
            <v>43536</v>
          </cell>
        </row>
        <row r="22111">
          <cell r="A22111">
            <v>43569</v>
          </cell>
        </row>
        <row r="22112">
          <cell r="A22112">
            <v>43299</v>
          </cell>
        </row>
        <row r="22113">
          <cell r="A22113">
            <v>43436</v>
          </cell>
        </row>
        <row r="22114">
          <cell r="A22114">
            <v>43336</v>
          </cell>
        </row>
        <row r="22115">
          <cell r="A22115">
            <v>43878</v>
          </cell>
        </row>
        <row r="22116">
          <cell r="A22116">
            <v>43717</v>
          </cell>
        </row>
        <row r="22117">
          <cell r="A22117">
            <v>43501</v>
          </cell>
        </row>
        <row r="22118">
          <cell r="A22118">
            <v>43832</v>
          </cell>
        </row>
        <row r="22119">
          <cell r="A22119">
            <v>43242</v>
          </cell>
        </row>
        <row r="22120">
          <cell r="A22120">
            <v>43645</v>
          </cell>
        </row>
        <row r="22121">
          <cell r="A22121">
            <v>43798</v>
          </cell>
        </row>
        <row r="22122">
          <cell r="A22122">
            <v>43869</v>
          </cell>
        </row>
        <row r="22123">
          <cell r="A22123">
            <v>43501</v>
          </cell>
        </row>
        <row r="22124">
          <cell r="A22124">
            <v>43205</v>
          </cell>
        </row>
        <row r="22125">
          <cell r="A22125">
            <v>43792</v>
          </cell>
        </row>
        <row r="22126">
          <cell r="A22126">
            <v>43168</v>
          </cell>
        </row>
        <row r="22127">
          <cell r="A22127">
            <v>43419</v>
          </cell>
        </row>
        <row r="22128">
          <cell r="A22128">
            <v>43165</v>
          </cell>
        </row>
        <row r="22129">
          <cell r="A22129">
            <v>43531</v>
          </cell>
        </row>
        <row r="22130">
          <cell r="A22130">
            <v>43667</v>
          </cell>
        </row>
        <row r="22131">
          <cell r="A22131">
            <v>43612</v>
          </cell>
        </row>
        <row r="22132">
          <cell r="A22132">
            <v>43112</v>
          </cell>
        </row>
        <row r="22133">
          <cell r="A22133">
            <v>43726</v>
          </cell>
        </row>
        <row r="22134">
          <cell r="A22134">
            <v>43840</v>
          </cell>
        </row>
        <row r="22135">
          <cell r="A22135">
            <v>43862</v>
          </cell>
        </row>
        <row r="22136">
          <cell r="A22136">
            <v>43296</v>
          </cell>
        </row>
        <row r="22137">
          <cell r="A22137">
            <v>43604</v>
          </cell>
        </row>
        <row r="22138">
          <cell r="A22138">
            <v>43691</v>
          </cell>
        </row>
        <row r="22139">
          <cell r="A22139">
            <v>43903</v>
          </cell>
        </row>
        <row r="22140">
          <cell r="A22140">
            <v>43731</v>
          </cell>
        </row>
        <row r="22141">
          <cell r="A22141">
            <v>43581</v>
          </cell>
        </row>
        <row r="22142">
          <cell r="A22142">
            <v>43572</v>
          </cell>
        </row>
        <row r="22143">
          <cell r="A22143">
            <v>43418</v>
          </cell>
        </row>
        <row r="22144">
          <cell r="A22144">
            <v>43331</v>
          </cell>
        </row>
        <row r="22145">
          <cell r="A22145">
            <v>43251</v>
          </cell>
        </row>
        <row r="22146">
          <cell r="A22146">
            <v>43527</v>
          </cell>
        </row>
        <row r="22147">
          <cell r="A22147">
            <v>43239</v>
          </cell>
        </row>
        <row r="22148">
          <cell r="A22148">
            <v>43764</v>
          </cell>
        </row>
        <row r="22149">
          <cell r="A22149">
            <v>43651</v>
          </cell>
        </row>
        <row r="22150">
          <cell r="A22150">
            <v>43906</v>
          </cell>
        </row>
        <row r="22151">
          <cell r="A22151">
            <v>43474</v>
          </cell>
        </row>
        <row r="22152">
          <cell r="A22152">
            <v>43134</v>
          </cell>
        </row>
        <row r="22153">
          <cell r="A22153">
            <v>43271</v>
          </cell>
        </row>
        <row r="22154">
          <cell r="A22154">
            <v>43668</v>
          </cell>
        </row>
        <row r="22155">
          <cell r="A22155">
            <v>43248</v>
          </cell>
        </row>
        <row r="22156">
          <cell r="A22156">
            <v>43455</v>
          </cell>
        </row>
        <row r="22157">
          <cell r="A22157">
            <v>43903</v>
          </cell>
        </row>
        <row r="22158">
          <cell r="A22158">
            <v>43666</v>
          </cell>
        </row>
        <row r="22159">
          <cell r="A22159">
            <v>43335</v>
          </cell>
        </row>
        <row r="22160">
          <cell r="A22160">
            <v>43243</v>
          </cell>
        </row>
        <row r="22161">
          <cell r="A22161">
            <v>43793</v>
          </cell>
        </row>
        <row r="22162">
          <cell r="A22162">
            <v>43270</v>
          </cell>
        </row>
        <row r="22163">
          <cell r="A22163">
            <v>43465</v>
          </cell>
        </row>
        <row r="22164">
          <cell r="A22164">
            <v>43585</v>
          </cell>
        </row>
        <row r="22165">
          <cell r="A22165">
            <v>43872</v>
          </cell>
        </row>
        <row r="22166">
          <cell r="A22166">
            <v>43322</v>
          </cell>
        </row>
        <row r="22167">
          <cell r="A22167">
            <v>43418</v>
          </cell>
        </row>
        <row r="22168">
          <cell r="A22168">
            <v>43350</v>
          </cell>
        </row>
        <row r="22169">
          <cell r="A22169">
            <v>43547</v>
          </cell>
        </row>
        <row r="22170">
          <cell r="A22170">
            <v>43317</v>
          </cell>
        </row>
        <row r="22171">
          <cell r="A22171">
            <v>43505</v>
          </cell>
        </row>
        <row r="22172">
          <cell r="A22172">
            <v>43498</v>
          </cell>
        </row>
        <row r="22173">
          <cell r="A22173">
            <v>43491</v>
          </cell>
        </row>
        <row r="22174">
          <cell r="A22174">
            <v>43290</v>
          </cell>
        </row>
        <row r="22175">
          <cell r="A22175">
            <v>43322</v>
          </cell>
        </row>
        <row r="22176">
          <cell r="A22176">
            <v>43620</v>
          </cell>
        </row>
        <row r="22177">
          <cell r="A22177">
            <v>43680</v>
          </cell>
        </row>
        <row r="22178">
          <cell r="A22178">
            <v>43529</v>
          </cell>
        </row>
        <row r="22179">
          <cell r="A22179">
            <v>43571</v>
          </cell>
        </row>
        <row r="22180">
          <cell r="A22180">
            <v>43697</v>
          </cell>
        </row>
        <row r="22181">
          <cell r="A22181">
            <v>43411</v>
          </cell>
        </row>
        <row r="22182">
          <cell r="A22182">
            <v>43812</v>
          </cell>
        </row>
        <row r="22183">
          <cell r="A22183">
            <v>43630</v>
          </cell>
        </row>
        <row r="22184">
          <cell r="A22184">
            <v>43178</v>
          </cell>
        </row>
        <row r="22185">
          <cell r="A22185">
            <v>43792</v>
          </cell>
        </row>
        <row r="22186">
          <cell r="A22186">
            <v>43396</v>
          </cell>
        </row>
        <row r="22187">
          <cell r="A22187">
            <v>43819</v>
          </cell>
        </row>
        <row r="22188">
          <cell r="A22188">
            <v>43415</v>
          </cell>
        </row>
        <row r="22189">
          <cell r="A22189">
            <v>43901</v>
          </cell>
        </row>
        <row r="22190">
          <cell r="A22190">
            <v>43537</v>
          </cell>
        </row>
        <row r="22191">
          <cell r="A22191">
            <v>43873</v>
          </cell>
        </row>
        <row r="22192">
          <cell r="A22192">
            <v>43856</v>
          </cell>
        </row>
        <row r="22193">
          <cell r="A22193">
            <v>43767</v>
          </cell>
        </row>
        <row r="22194">
          <cell r="A22194">
            <v>43348</v>
          </cell>
        </row>
        <row r="22195">
          <cell r="A22195">
            <v>43401</v>
          </cell>
        </row>
        <row r="22196">
          <cell r="A22196">
            <v>43534</v>
          </cell>
        </row>
        <row r="22197">
          <cell r="A22197">
            <v>43108</v>
          </cell>
        </row>
        <row r="22198">
          <cell r="A22198">
            <v>43243</v>
          </cell>
        </row>
        <row r="22199">
          <cell r="A22199">
            <v>43701</v>
          </cell>
        </row>
        <row r="22200">
          <cell r="A22200">
            <v>43494</v>
          </cell>
        </row>
        <row r="22201">
          <cell r="A22201">
            <v>43850</v>
          </cell>
        </row>
        <row r="22202">
          <cell r="A22202">
            <v>43873</v>
          </cell>
        </row>
        <row r="22203">
          <cell r="A22203">
            <v>43351</v>
          </cell>
        </row>
        <row r="22204">
          <cell r="A22204">
            <v>43349</v>
          </cell>
        </row>
        <row r="22205">
          <cell r="A22205">
            <v>43393</v>
          </cell>
        </row>
        <row r="22206">
          <cell r="A22206">
            <v>43761</v>
          </cell>
        </row>
        <row r="22207">
          <cell r="A22207">
            <v>43258</v>
          </cell>
        </row>
        <row r="22208">
          <cell r="A22208">
            <v>43525</v>
          </cell>
        </row>
        <row r="22209">
          <cell r="A22209">
            <v>43347</v>
          </cell>
        </row>
        <row r="22210">
          <cell r="A22210">
            <v>43229</v>
          </cell>
        </row>
        <row r="22211">
          <cell r="A22211">
            <v>43510</v>
          </cell>
        </row>
        <row r="22212">
          <cell r="A22212">
            <v>43113</v>
          </cell>
        </row>
        <row r="22213">
          <cell r="A22213">
            <v>43182</v>
          </cell>
        </row>
        <row r="22214">
          <cell r="A22214">
            <v>43428</v>
          </cell>
        </row>
        <row r="22215">
          <cell r="A22215">
            <v>43404</v>
          </cell>
        </row>
        <row r="22216">
          <cell r="A22216">
            <v>43756</v>
          </cell>
        </row>
        <row r="22217">
          <cell r="A22217">
            <v>43802</v>
          </cell>
        </row>
        <row r="22218">
          <cell r="A22218">
            <v>43162</v>
          </cell>
        </row>
        <row r="22219">
          <cell r="A22219">
            <v>43314</v>
          </cell>
        </row>
        <row r="22220">
          <cell r="A22220">
            <v>43358</v>
          </cell>
        </row>
        <row r="22221">
          <cell r="A22221">
            <v>43832</v>
          </cell>
        </row>
        <row r="22222">
          <cell r="A22222">
            <v>43357</v>
          </cell>
        </row>
        <row r="22223">
          <cell r="A22223">
            <v>43408</v>
          </cell>
        </row>
        <row r="22224">
          <cell r="A22224">
            <v>43598</v>
          </cell>
        </row>
        <row r="22225">
          <cell r="A22225">
            <v>43225</v>
          </cell>
        </row>
        <row r="22226">
          <cell r="A22226">
            <v>43280</v>
          </cell>
        </row>
        <row r="22227">
          <cell r="A22227">
            <v>43595</v>
          </cell>
        </row>
        <row r="22228">
          <cell r="A22228">
            <v>43589</v>
          </cell>
        </row>
        <row r="22229">
          <cell r="A22229">
            <v>43206</v>
          </cell>
        </row>
        <row r="22230">
          <cell r="A22230">
            <v>43720</v>
          </cell>
        </row>
        <row r="22231">
          <cell r="A22231">
            <v>43138</v>
          </cell>
        </row>
        <row r="22232">
          <cell r="A22232">
            <v>43563</v>
          </cell>
        </row>
        <row r="22233">
          <cell r="A22233">
            <v>43539</v>
          </cell>
        </row>
        <row r="22234">
          <cell r="A22234">
            <v>43886</v>
          </cell>
        </row>
        <row r="22235">
          <cell r="A22235">
            <v>43635</v>
          </cell>
        </row>
        <row r="22236">
          <cell r="A22236">
            <v>43585</v>
          </cell>
        </row>
        <row r="22237">
          <cell r="A22237">
            <v>43344</v>
          </cell>
        </row>
        <row r="22238">
          <cell r="A22238">
            <v>43910</v>
          </cell>
        </row>
        <row r="22239">
          <cell r="A22239">
            <v>43334</v>
          </cell>
        </row>
        <row r="22240">
          <cell r="A22240">
            <v>43529</v>
          </cell>
        </row>
        <row r="22241">
          <cell r="A22241">
            <v>43556</v>
          </cell>
        </row>
        <row r="22242">
          <cell r="A22242">
            <v>43636</v>
          </cell>
        </row>
        <row r="22243">
          <cell r="A22243">
            <v>43170</v>
          </cell>
        </row>
        <row r="22244">
          <cell r="A22244">
            <v>43463</v>
          </cell>
        </row>
        <row r="22245">
          <cell r="A22245">
            <v>43166</v>
          </cell>
        </row>
        <row r="22246">
          <cell r="A22246">
            <v>43484</v>
          </cell>
        </row>
        <row r="22247">
          <cell r="A22247">
            <v>43782</v>
          </cell>
        </row>
        <row r="22248">
          <cell r="A22248">
            <v>43916</v>
          </cell>
        </row>
        <row r="22249">
          <cell r="A22249">
            <v>43776</v>
          </cell>
        </row>
        <row r="22250">
          <cell r="A22250">
            <v>43445</v>
          </cell>
        </row>
        <row r="22251">
          <cell r="A22251">
            <v>43373</v>
          </cell>
        </row>
        <row r="22252">
          <cell r="A22252">
            <v>43710</v>
          </cell>
        </row>
        <row r="22253">
          <cell r="A22253">
            <v>43144</v>
          </cell>
        </row>
        <row r="22254">
          <cell r="A22254">
            <v>43472</v>
          </cell>
        </row>
        <row r="22255">
          <cell r="A22255">
            <v>43277</v>
          </cell>
        </row>
        <row r="22256">
          <cell r="A22256">
            <v>43788</v>
          </cell>
        </row>
        <row r="22257">
          <cell r="A22257">
            <v>43819</v>
          </cell>
        </row>
        <row r="22258">
          <cell r="A22258">
            <v>43461</v>
          </cell>
        </row>
        <row r="22259">
          <cell r="A22259">
            <v>43442</v>
          </cell>
        </row>
        <row r="22260">
          <cell r="A22260">
            <v>43377</v>
          </cell>
        </row>
        <row r="22261">
          <cell r="A22261">
            <v>43527</v>
          </cell>
        </row>
        <row r="22262">
          <cell r="A22262">
            <v>43864</v>
          </cell>
        </row>
        <row r="22263">
          <cell r="A22263">
            <v>43123</v>
          </cell>
        </row>
        <row r="22264">
          <cell r="A22264">
            <v>43340</v>
          </cell>
        </row>
        <row r="22265">
          <cell r="A22265">
            <v>43182</v>
          </cell>
        </row>
        <row r="22266">
          <cell r="A22266">
            <v>43439</v>
          </cell>
        </row>
        <row r="22267">
          <cell r="A22267">
            <v>43492</v>
          </cell>
        </row>
        <row r="22268">
          <cell r="A22268">
            <v>43132</v>
          </cell>
        </row>
        <row r="22269">
          <cell r="A22269">
            <v>43484</v>
          </cell>
        </row>
        <row r="22270">
          <cell r="A22270">
            <v>43609</v>
          </cell>
        </row>
        <row r="22271">
          <cell r="A22271">
            <v>43542</v>
          </cell>
        </row>
        <row r="22272">
          <cell r="A22272">
            <v>43270</v>
          </cell>
        </row>
        <row r="22273">
          <cell r="A22273">
            <v>43493</v>
          </cell>
        </row>
        <row r="22274">
          <cell r="A22274">
            <v>43604</v>
          </cell>
        </row>
        <row r="22275">
          <cell r="A22275">
            <v>43234</v>
          </cell>
        </row>
        <row r="22276">
          <cell r="A22276">
            <v>43109</v>
          </cell>
        </row>
        <row r="22277">
          <cell r="A22277">
            <v>43338</v>
          </cell>
        </row>
        <row r="22278">
          <cell r="A22278">
            <v>43887</v>
          </cell>
        </row>
        <row r="22279">
          <cell r="A22279">
            <v>43589</v>
          </cell>
        </row>
        <row r="22280">
          <cell r="A22280">
            <v>43293</v>
          </cell>
        </row>
        <row r="22281">
          <cell r="A22281">
            <v>43223</v>
          </cell>
        </row>
        <row r="22282">
          <cell r="A22282">
            <v>43131</v>
          </cell>
        </row>
        <row r="22283">
          <cell r="A22283">
            <v>43185</v>
          </cell>
        </row>
        <row r="22284">
          <cell r="A22284">
            <v>43852</v>
          </cell>
        </row>
        <row r="22285">
          <cell r="A22285">
            <v>43272</v>
          </cell>
        </row>
        <row r="22286">
          <cell r="A22286">
            <v>43768</v>
          </cell>
        </row>
        <row r="22287">
          <cell r="A22287">
            <v>43243</v>
          </cell>
        </row>
        <row r="22288">
          <cell r="A22288">
            <v>43307</v>
          </cell>
        </row>
        <row r="22289">
          <cell r="A22289">
            <v>43802</v>
          </cell>
        </row>
        <row r="22290">
          <cell r="A22290">
            <v>43662</v>
          </cell>
        </row>
        <row r="22291">
          <cell r="A22291">
            <v>43887</v>
          </cell>
        </row>
        <row r="22292">
          <cell r="A22292">
            <v>43787</v>
          </cell>
        </row>
        <row r="22293">
          <cell r="A22293">
            <v>43795</v>
          </cell>
        </row>
        <row r="22294">
          <cell r="A22294">
            <v>43688</v>
          </cell>
        </row>
        <row r="22295">
          <cell r="A22295">
            <v>43443</v>
          </cell>
        </row>
        <row r="22296">
          <cell r="A22296">
            <v>43515</v>
          </cell>
        </row>
        <row r="22297">
          <cell r="A22297">
            <v>43534</v>
          </cell>
        </row>
        <row r="22298">
          <cell r="A22298">
            <v>43501</v>
          </cell>
        </row>
        <row r="22299">
          <cell r="A22299">
            <v>43180</v>
          </cell>
        </row>
        <row r="22300">
          <cell r="A22300">
            <v>43802</v>
          </cell>
        </row>
        <row r="22301">
          <cell r="A22301">
            <v>43429</v>
          </cell>
        </row>
        <row r="22302">
          <cell r="A22302">
            <v>43707</v>
          </cell>
        </row>
        <row r="22303">
          <cell r="A22303">
            <v>43648</v>
          </cell>
        </row>
        <row r="22304">
          <cell r="A22304">
            <v>43369</v>
          </cell>
        </row>
        <row r="22305">
          <cell r="A22305">
            <v>43796</v>
          </cell>
        </row>
        <row r="22306">
          <cell r="A22306">
            <v>43293</v>
          </cell>
        </row>
        <row r="22307">
          <cell r="A22307">
            <v>43490</v>
          </cell>
        </row>
        <row r="22308">
          <cell r="A22308">
            <v>43341</v>
          </cell>
        </row>
        <row r="22309">
          <cell r="A22309">
            <v>43716</v>
          </cell>
        </row>
        <row r="22310">
          <cell r="A22310">
            <v>43147</v>
          </cell>
        </row>
        <row r="22311">
          <cell r="A22311">
            <v>43825</v>
          </cell>
        </row>
        <row r="22312">
          <cell r="A22312">
            <v>43897</v>
          </cell>
        </row>
        <row r="22313">
          <cell r="A22313">
            <v>43557</v>
          </cell>
        </row>
        <row r="22314">
          <cell r="A22314">
            <v>43890</v>
          </cell>
        </row>
        <row r="22315">
          <cell r="A22315">
            <v>43273</v>
          </cell>
        </row>
        <row r="22316">
          <cell r="A22316">
            <v>43495</v>
          </cell>
        </row>
        <row r="22317">
          <cell r="A22317">
            <v>43435</v>
          </cell>
        </row>
        <row r="22318">
          <cell r="A22318">
            <v>43207</v>
          </cell>
        </row>
        <row r="22319">
          <cell r="A22319">
            <v>43333</v>
          </cell>
        </row>
        <row r="22320">
          <cell r="A22320">
            <v>43752</v>
          </cell>
        </row>
        <row r="22321">
          <cell r="A22321">
            <v>43701</v>
          </cell>
        </row>
        <row r="22322">
          <cell r="A22322">
            <v>43802</v>
          </cell>
        </row>
        <row r="22323">
          <cell r="A22323">
            <v>43156</v>
          </cell>
        </row>
        <row r="22324">
          <cell r="A22324">
            <v>43454</v>
          </cell>
        </row>
        <row r="22325">
          <cell r="A22325">
            <v>43158</v>
          </cell>
        </row>
        <row r="22326">
          <cell r="A22326">
            <v>43540</v>
          </cell>
        </row>
        <row r="22327">
          <cell r="A22327">
            <v>43176</v>
          </cell>
        </row>
        <row r="22328">
          <cell r="A22328">
            <v>43861</v>
          </cell>
        </row>
        <row r="22329">
          <cell r="A22329">
            <v>43605</v>
          </cell>
        </row>
        <row r="22330">
          <cell r="A22330">
            <v>43876</v>
          </cell>
        </row>
        <row r="22331">
          <cell r="A22331">
            <v>43499</v>
          </cell>
        </row>
        <row r="22332">
          <cell r="A22332">
            <v>43812</v>
          </cell>
        </row>
        <row r="22333">
          <cell r="A22333">
            <v>43694</v>
          </cell>
        </row>
        <row r="22334">
          <cell r="A22334">
            <v>43225</v>
          </cell>
        </row>
        <row r="22335">
          <cell r="A22335">
            <v>43866</v>
          </cell>
        </row>
        <row r="22336">
          <cell r="A22336">
            <v>43133</v>
          </cell>
        </row>
        <row r="22337">
          <cell r="A22337">
            <v>43513</v>
          </cell>
        </row>
        <row r="22338">
          <cell r="A22338">
            <v>43293</v>
          </cell>
        </row>
        <row r="22339">
          <cell r="A22339">
            <v>43430</v>
          </cell>
        </row>
        <row r="22340">
          <cell r="A22340">
            <v>43122</v>
          </cell>
        </row>
        <row r="22341">
          <cell r="A22341">
            <v>43193</v>
          </cell>
        </row>
        <row r="22342">
          <cell r="A22342">
            <v>43353</v>
          </cell>
        </row>
        <row r="22343">
          <cell r="A22343">
            <v>43542</v>
          </cell>
        </row>
        <row r="22344">
          <cell r="A22344">
            <v>43298</v>
          </cell>
        </row>
        <row r="22345">
          <cell r="A22345">
            <v>43481</v>
          </cell>
        </row>
        <row r="22346">
          <cell r="A22346">
            <v>43867</v>
          </cell>
        </row>
        <row r="22347">
          <cell r="A22347">
            <v>43531</v>
          </cell>
        </row>
        <row r="22348">
          <cell r="A22348">
            <v>43759</v>
          </cell>
        </row>
        <row r="22349">
          <cell r="A22349">
            <v>43753</v>
          </cell>
        </row>
        <row r="22350">
          <cell r="A22350">
            <v>43857</v>
          </cell>
        </row>
        <row r="22351">
          <cell r="A22351">
            <v>43203</v>
          </cell>
        </row>
        <row r="22352">
          <cell r="A22352">
            <v>43739</v>
          </cell>
        </row>
        <row r="22353">
          <cell r="A22353">
            <v>43167</v>
          </cell>
        </row>
        <row r="22354">
          <cell r="A22354">
            <v>43546</v>
          </cell>
        </row>
        <row r="22355">
          <cell r="A22355">
            <v>43384</v>
          </cell>
        </row>
        <row r="22356">
          <cell r="A22356">
            <v>43637</v>
          </cell>
        </row>
        <row r="22357">
          <cell r="A22357">
            <v>43654</v>
          </cell>
        </row>
        <row r="22358">
          <cell r="A22358">
            <v>43856</v>
          </cell>
        </row>
        <row r="22359">
          <cell r="A22359">
            <v>43847</v>
          </cell>
        </row>
        <row r="22360">
          <cell r="A22360">
            <v>43328</v>
          </cell>
        </row>
        <row r="22361">
          <cell r="A22361">
            <v>43754</v>
          </cell>
        </row>
        <row r="22362">
          <cell r="A22362">
            <v>43856</v>
          </cell>
        </row>
        <row r="22363">
          <cell r="A22363">
            <v>43721</v>
          </cell>
        </row>
        <row r="22364">
          <cell r="A22364">
            <v>43805</v>
          </cell>
        </row>
        <row r="22365">
          <cell r="A22365">
            <v>43389</v>
          </cell>
        </row>
        <row r="22366">
          <cell r="A22366">
            <v>43896</v>
          </cell>
        </row>
        <row r="22367">
          <cell r="A22367">
            <v>43641</v>
          </cell>
        </row>
        <row r="22368">
          <cell r="A22368">
            <v>43118</v>
          </cell>
        </row>
        <row r="22369">
          <cell r="A22369">
            <v>43684</v>
          </cell>
        </row>
        <row r="22370">
          <cell r="A22370">
            <v>43683</v>
          </cell>
        </row>
        <row r="22371">
          <cell r="A22371">
            <v>43434</v>
          </cell>
        </row>
        <row r="22372">
          <cell r="A22372">
            <v>43146</v>
          </cell>
        </row>
        <row r="22373">
          <cell r="A22373">
            <v>43799</v>
          </cell>
        </row>
        <row r="22374">
          <cell r="A22374">
            <v>43549</v>
          </cell>
        </row>
        <row r="22375">
          <cell r="A22375">
            <v>43239</v>
          </cell>
        </row>
        <row r="22376">
          <cell r="A22376">
            <v>43311</v>
          </cell>
        </row>
        <row r="22377">
          <cell r="A22377">
            <v>43806</v>
          </cell>
        </row>
        <row r="22378">
          <cell r="A22378">
            <v>43846</v>
          </cell>
        </row>
        <row r="22379">
          <cell r="A22379">
            <v>43640</v>
          </cell>
        </row>
        <row r="22380">
          <cell r="A22380">
            <v>43901</v>
          </cell>
        </row>
        <row r="22381">
          <cell r="A22381">
            <v>43271</v>
          </cell>
        </row>
        <row r="22382">
          <cell r="A22382">
            <v>43657</v>
          </cell>
        </row>
        <row r="22383">
          <cell r="A22383">
            <v>43896</v>
          </cell>
        </row>
        <row r="22384">
          <cell r="A22384">
            <v>43746</v>
          </cell>
        </row>
        <row r="22385">
          <cell r="A22385">
            <v>43256</v>
          </cell>
        </row>
        <row r="22386">
          <cell r="A22386">
            <v>43186</v>
          </cell>
        </row>
        <row r="22387">
          <cell r="A22387">
            <v>43795</v>
          </cell>
        </row>
        <row r="22388">
          <cell r="A22388">
            <v>43744</v>
          </cell>
        </row>
        <row r="22389">
          <cell r="A22389">
            <v>43805</v>
          </cell>
        </row>
        <row r="22390">
          <cell r="A22390">
            <v>43370</v>
          </cell>
        </row>
        <row r="22391">
          <cell r="A22391">
            <v>43747</v>
          </cell>
        </row>
        <row r="22392">
          <cell r="A22392">
            <v>43379</v>
          </cell>
        </row>
        <row r="22393">
          <cell r="A22393">
            <v>43651</v>
          </cell>
        </row>
        <row r="22394">
          <cell r="A22394">
            <v>43370</v>
          </cell>
        </row>
        <row r="22395">
          <cell r="A22395">
            <v>43410</v>
          </cell>
        </row>
        <row r="22396">
          <cell r="A22396">
            <v>43709</v>
          </cell>
        </row>
        <row r="22397">
          <cell r="A22397">
            <v>43352</v>
          </cell>
        </row>
        <row r="22398">
          <cell r="A22398">
            <v>43201</v>
          </cell>
        </row>
        <row r="22399">
          <cell r="A22399">
            <v>43678</v>
          </cell>
        </row>
        <row r="22400">
          <cell r="A22400">
            <v>43192</v>
          </cell>
        </row>
        <row r="22401">
          <cell r="A22401">
            <v>43140</v>
          </cell>
        </row>
        <row r="22402">
          <cell r="A22402">
            <v>43133</v>
          </cell>
        </row>
        <row r="22403">
          <cell r="A22403">
            <v>43682</v>
          </cell>
        </row>
        <row r="22404">
          <cell r="A22404">
            <v>43428</v>
          </cell>
        </row>
        <row r="22405">
          <cell r="A22405">
            <v>43175</v>
          </cell>
        </row>
        <row r="22406">
          <cell r="A22406">
            <v>43476</v>
          </cell>
        </row>
        <row r="22407">
          <cell r="A22407">
            <v>43228</v>
          </cell>
        </row>
        <row r="22408">
          <cell r="A22408">
            <v>43831</v>
          </cell>
        </row>
        <row r="22409">
          <cell r="A22409">
            <v>43670</v>
          </cell>
        </row>
        <row r="22410">
          <cell r="A22410">
            <v>43272</v>
          </cell>
        </row>
        <row r="22411">
          <cell r="A22411">
            <v>43645</v>
          </cell>
        </row>
        <row r="22412">
          <cell r="A22412">
            <v>43407</v>
          </cell>
        </row>
        <row r="22413">
          <cell r="A22413">
            <v>43794</v>
          </cell>
        </row>
        <row r="22414">
          <cell r="A22414">
            <v>43581</v>
          </cell>
        </row>
        <row r="22415">
          <cell r="A22415">
            <v>43117</v>
          </cell>
        </row>
        <row r="22416">
          <cell r="A22416">
            <v>43163</v>
          </cell>
        </row>
        <row r="22417">
          <cell r="A22417">
            <v>43497</v>
          </cell>
        </row>
        <row r="22418">
          <cell r="A22418">
            <v>43291</v>
          </cell>
        </row>
        <row r="22419">
          <cell r="A22419">
            <v>43336</v>
          </cell>
        </row>
        <row r="22420">
          <cell r="A22420">
            <v>43461</v>
          </cell>
        </row>
        <row r="22421">
          <cell r="A22421">
            <v>43466</v>
          </cell>
        </row>
        <row r="22422">
          <cell r="A22422">
            <v>43640</v>
          </cell>
        </row>
        <row r="22423">
          <cell r="A22423">
            <v>43762</v>
          </cell>
        </row>
        <row r="22424">
          <cell r="A22424">
            <v>43267</v>
          </cell>
        </row>
        <row r="22425">
          <cell r="A22425">
            <v>43497</v>
          </cell>
        </row>
        <row r="22426">
          <cell r="A22426">
            <v>43706</v>
          </cell>
        </row>
        <row r="22427">
          <cell r="A22427">
            <v>43307</v>
          </cell>
        </row>
        <row r="22428">
          <cell r="A22428">
            <v>43566</v>
          </cell>
        </row>
        <row r="22429">
          <cell r="A22429">
            <v>43725</v>
          </cell>
        </row>
        <row r="22430">
          <cell r="A22430">
            <v>43773</v>
          </cell>
        </row>
        <row r="22431">
          <cell r="A22431">
            <v>43336</v>
          </cell>
        </row>
        <row r="22432">
          <cell r="A22432">
            <v>43511</v>
          </cell>
        </row>
        <row r="22433">
          <cell r="A22433">
            <v>43176</v>
          </cell>
        </row>
        <row r="22434">
          <cell r="A22434">
            <v>43818</v>
          </cell>
        </row>
        <row r="22435">
          <cell r="A22435">
            <v>43882</v>
          </cell>
        </row>
        <row r="22436">
          <cell r="A22436">
            <v>43254</v>
          </cell>
        </row>
        <row r="22437">
          <cell r="A22437">
            <v>43106</v>
          </cell>
        </row>
        <row r="22438">
          <cell r="A22438">
            <v>43589</v>
          </cell>
        </row>
        <row r="22439">
          <cell r="A22439">
            <v>43123</v>
          </cell>
        </row>
        <row r="22440">
          <cell r="A22440">
            <v>43690</v>
          </cell>
        </row>
        <row r="22441">
          <cell r="A22441">
            <v>43385</v>
          </cell>
        </row>
        <row r="22442">
          <cell r="A22442">
            <v>43506</v>
          </cell>
        </row>
        <row r="22443">
          <cell r="A22443">
            <v>43548</v>
          </cell>
        </row>
        <row r="22444">
          <cell r="A22444">
            <v>43275</v>
          </cell>
        </row>
        <row r="22445">
          <cell r="A22445">
            <v>43332</v>
          </cell>
        </row>
        <row r="22446">
          <cell r="A22446">
            <v>43481</v>
          </cell>
        </row>
        <row r="22447">
          <cell r="A22447">
            <v>43194</v>
          </cell>
        </row>
        <row r="22448">
          <cell r="A22448">
            <v>43252</v>
          </cell>
        </row>
        <row r="22449">
          <cell r="A22449">
            <v>43428</v>
          </cell>
        </row>
        <row r="22450">
          <cell r="A22450">
            <v>43343</v>
          </cell>
        </row>
        <row r="22451">
          <cell r="A22451">
            <v>43593</v>
          </cell>
        </row>
        <row r="22452">
          <cell r="A22452">
            <v>43606</v>
          </cell>
        </row>
        <row r="22453">
          <cell r="A22453">
            <v>43745</v>
          </cell>
        </row>
        <row r="22454">
          <cell r="A22454">
            <v>43178</v>
          </cell>
        </row>
        <row r="22455">
          <cell r="A22455">
            <v>43417</v>
          </cell>
        </row>
        <row r="22456">
          <cell r="A22456">
            <v>43383</v>
          </cell>
        </row>
        <row r="22457">
          <cell r="A22457">
            <v>43149</v>
          </cell>
        </row>
        <row r="22458">
          <cell r="A22458">
            <v>43637</v>
          </cell>
        </row>
        <row r="22459">
          <cell r="A22459">
            <v>43203</v>
          </cell>
        </row>
        <row r="22460">
          <cell r="A22460">
            <v>43298</v>
          </cell>
        </row>
        <row r="22461">
          <cell r="A22461">
            <v>43124</v>
          </cell>
        </row>
        <row r="22462">
          <cell r="A22462">
            <v>43322</v>
          </cell>
        </row>
        <row r="22463">
          <cell r="A22463">
            <v>43219</v>
          </cell>
        </row>
        <row r="22464">
          <cell r="A22464">
            <v>43231</v>
          </cell>
        </row>
        <row r="22465">
          <cell r="A22465">
            <v>43900</v>
          </cell>
        </row>
        <row r="22466">
          <cell r="A22466">
            <v>43413</v>
          </cell>
        </row>
        <row r="22467">
          <cell r="A22467">
            <v>43104</v>
          </cell>
        </row>
        <row r="22468">
          <cell r="A22468">
            <v>43570</v>
          </cell>
        </row>
        <row r="22469">
          <cell r="A22469">
            <v>43259</v>
          </cell>
        </row>
        <row r="22470">
          <cell r="A22470">
            <v>43340</v>
          </cell>
        </row>
        <row r="22471">
          <cell r="A22471">
            <v>43883</v>
          </cell>
        </row>
        <row r="22472">
          <cell r="A22472">
            <v>43492</v>
          </cell>
        </row>
        <row r="22473">
          <cell r="A22473">
            <v>43369</v>
          </cell>
        </row>
        <row r="22474">
          <cell r="A22474">
            <v>43663</v>
          </cell>
        </row>
        <row r="22475">
          <cell r="A22475">
            <v>43645</v>
          </cell>
        </row>
        <row r="22476">
          <cell r="A22476">
            <v>43197</v>
          </cell>
        </row>
        <row r="22477">
          <cell r="A22477">
            <v>43504</v>
          </cell>
        </row>
        <row r="22478">
          <cell r="A22478">
            <v>43114</v>
          </cell>
        </row>
        <row r="22479">
          <cell r="A22479">
            <v>43805</v>
          </cell>
        </row>
        <row r="22480">
          <cell r="A22480">
            <v>43726</v>
          </cell>
        </row>
        <row r="22481">
          <cell r="A22481">
            <v>43690</v>
          </cell>
        </row>
        <row r="22482">
          <cell r="A22482">
            <v>43180</v>
          </cell>
        </row>
        <row r="22483">
          <cell r="A22483">
            <v>43729</v>
          </cell>
        </row>
        <row r="22484">
          <cell r="A22484">
            <v>43159</v>
          </cell>
        </row>
        <row r="22485">
          <cell r="A22485">
            <v>43878</v>
          </cell>
        </row>
        <row r="22486">
          <cell r="A22486">
            <v>43814</v>
          </cell>
        </row>
        <row r="22487">
          <cell r="A22487">
            <v>43139</v>
          </cell>
        </row>
        <row r="22488">
          <cell r="A22488">
            <v>43771</v>
          </cell>
        </row>
        <row r="22489">
          <cell r="A22489">
            <v>43748</v>
          </cell>
        </row>
        <row r="22490">
          <cell r="A22490">
            <v>43426</v>
          </cell>
        </row>
        <row r="22491">
          <cell r="A22491">
            <v>43811</v>
          </cell>
        </row>
        <row r="22492">
          <cell r="A22492">
            <v>43227</v>
          </cell>
        </row>
        <row r="22493">
          <cell r="A22493">
            <v>43225</v>
          </cell>
        </row>
        <row r="22494">
          <cell r="A22494">
            <v>43883</v>
          </cell>
        </row>
        <row r="22495">
          <cell r="A22495">
            <v>43599</v>
          </cell>
        </row>
        <row r="22496">
          <cell r="A22496">
            <v>43745</v>
          </cell>
        </row>
        <row r="22497">
          <cell r="A22497">
            <v>43757</v>
          </cell>
        </row>
        <row r="22498">
          <cell r="A22498">
            <v>43719</v>
          </cell>
        </row>
        <row r="22499">
          <cell r="A22499">
            <v>43630</v>
          </cell>
        </row>
        <row r="22500">
          <cell r="A22500">
            <v>43588</v>
          </cell>
        </row>
        <row r="22501">
          <cell r="A22501">
            <v>43382</v>
          </cell>
        </row>
        <row r="22502">
          <cell r="A22502">
            <v>43265</v>
          </cell>
        </row>
        <row r="22503">
          <cell r="A22503">
            <v>43342</v>
          </cell>
        </row>
        <row r="22504">
          <cell r="A22504">
            <v>43744</v>
          </cell>
        </row>
        <row r="22505">
          <cell r="A22505">
            <v>43735</v>
          </cell>
        </row>
        <row r="22506">
          <cell r="A22506">
            <v>43360</v>
          </cell>
        </row>
        <row r="22507">
          <cell r="A22507">
            <v>43528</v>
          </cell>
        </row>
        <row r="22508">
          <cell r="A22508">
            <v>43499</v>
          </cell>
        </row>
        <row r="22509">
          <cell r="A22509">
            <v>43570</v>
          </cell>
        </row>
        <row r="22510">
          <cell r="A22510">
            <v>43702</v>
          </cell>
        </row>
        <row r="22511">
          <cell r="A22511">
            <v>43857</v>
          </cell>
        </row>
        <row r="22512">
          <cell r="A22512">
            <v>43739</v>
          </cell>
        </row>
        <row r="22513">
          <cell r="A22513">
            <v>43416</v>
          </cell>
        </row>
        <row r="22514">
          <cell r="A22514">
            <v>43878</v>
          </cell>
        </row>
        <row r="22515">
          <cell r="A22515">
            <v>43164</v>
          </cell>
        </row>
        <row r="22516">
          <cell r="A22516">
            <v>43183</v>
          </cell>
        </row>
        <row r="22517">
          <cell r="A22517">
            <v>43370</v>
          </cell>
        </row>
        <row r="22518">
          <cell r="A22518">
            <v>43529</v>
          </cell>
        </row>
        <row r="22519">
          <cell r="A22519">
            <v>43456</v>
          </cell>
        </row>
        <row r="22520">
          <cell r="A22520">
            <v>43435</v>
          </cell>
        </row>
        <row r="22521">
          <cell r="A22521">
            <v>43694</v>
          </cell>
        </row>
        <row r="22522">
          <cell r="A22522">
            <v>43461</v>
          </cell>
        </row>
        <row r="22523">
          <cell r="A22523">
            <v>43565</v>
          </cell>
        </row>
        <row r="22524">
          <cell r="A22524">
            <v>43693</v>
          </cell>
        </row>
        <row r="22525">
          <cell r="A22525">
            <v>43766</v>
          </cell>
        </row>
        <row r="22526">
          <cell r="A22526">
            <v>43494</v>
          </cell>
        </row>
        <row r="22527">
          <cell r="A22527">
            <v>43401</v>
          </cell>
        </row>
        <row r="22528">
          <cell r="A22528">
            <v>43194</v>
          </cell>
        </row>
        <row r="22529">
          <cell r="A22529">
            <v>43438</v>
          </cell>
        </row>
        <row r="22530">
          <cell r="A22530">
            <v>43702</v>
          </cell>
        </row>
        <row r="22531">
          <cell r="A22531">
            <v>43203</v>
          </cell>
        </row>
        <row r="22532">
          <cell r="A22532">
            <v>43220</v>
          </cell>
        </row>
        <row r="22533">
          <cell r="A22533">
            <v>43782</v>
          </cell>
        </row>
        <row r="22534">
          <cell r="A22534">
            <v>43475</v>
          </cell>
        </row>
        <row r="22535">
          <cell r="A22535">
            <v>43362</v>
          </cell>
        </row>
        <row r="22536">
          <cell r="A22536">
            <v>43445</v>
          </cell>
        </row>
        <row r="22537">
          <cell r="A22537">
            <v>43804</v>
          </cell>
        </row>
        <row r="22538">
          <cell r="A22538">
            <v>43482</v>
          </cell>
        </row>
        <row r="22539">
          <cell r="A22539">
            <v>43222</v>
          </cell>
        </row>
        <row r="22540">
          <cell r="A22540">
            <v>43685</v>
          </cell>
        </row>
        <row r="22541">
          <cell r="A22541">
            <v>43254</v>
          </cell>
        </row>
        <row r="22542">
          <cell r="A22542">
            <v>43845</v>
          </cell>
        </row>
        <row r="22543">
          <cell r="A22543">
            <v>43333</v>
          </cell>
        </row>
        <row r="22544">
          <cell r="A22544">
            <v>43355</v>
          </cell>
        </row>
        <row r="22545">
          <cell r="A22545">
            <v>43131</v>
          </cell>
        </row>
        <row r="22546">
          <cell r="A22546">
            <v>43437</v>
          </cell>
        </row>
        <row r="22547">
          <cell r="A22547">
            <v>43862</v>
          </cell>
        </row>
        <row r="22548">
          <cell r="A22548">
            <v>43473</v>
          </cell>
        </row>
        <row r="22549">
          <cell r="A22549">
            <v>43900</v>
          </cell>
        </row>
        <row r="22550">
          <cell r="A22550">
            <v>43757</v>
          </cell>
        </row>
        <row r="22551">
          <cell r="A22551">
            <v>43910</v>
          </cell>
        </row>
        <row r="22552">
          <cell r="A22552">
            <v>43447</v>
          </cell>
        </row>
        <row r="22553">
          <cell r="A22553">
            <v>43825</v>
          </cell>
        </row>
        <row r="22554">
          <cell r="A22554">
            <v>43519</v>
          </cell>
        </row>
        <row r="22555">
          <cell r="A22555">
            <v>43255</v>
          </cell>
        </row>
        <row r="22556">
          <cell r="A22556">
            <v>43768</v>
          </cell>
        </row>
        <row r="22557">
          <cell r="A22557">
            <v>43383</v>
          </cell>
        </row>
        <row r="22558">
          <cell r="A22558">
            <v>43132</v>
          </cell>
        </row>
        <row r="22559">
          <cell r="A22559">
            <v>43682</v>
          </cell>
        </row>
        <row r="22560">
          <cell r="A22560">
            <v>43258</v>
          </cell>
        </row>
        <row r="22561">
          <cell r="A22561">
            <v>43290</v>
          </cell>
        </row>
        <row r="22562">
          <cell r="A22562">
            <v>43489</v>
          </cell>
        </row>
        <row r="22563">
          <cell r="A22563">
            <v>43918</v>
          </cell>
        </row>
        <row r="22564">
          <cell r="A22564">
            <v>43414</v>
          </cell>
        </row>
        <row r="22565">
          <cell r="A22565">
            <v>43688</v>
          </cell>
        </row>
        <row r="22566">
          <cell r="A22566">
            <v>43362</v>
          </cell>
        </row>
        <row r="22567">
          <cell r="A22567">
            <v>43539</v>
          </cell>
        </row>
        <row r="22568">
          <cell r="A22568">
            <v>43812</v>
          </cell>
        </row>
        <row r="22569">
          <cell r="A22569">
            <v>43112</v>
          </cell>
        </row>
        <row r="22570">
          <cell r="A22570">
            <v>43838</v>
          </cell>
        </row>
        <row r="22571">
          <cell r="A22571">
            <v>43299</v>
          </cell>
        </row>
        <row r="22572">
          <cell r="A22572">
            <v>43293</v>
          </cell>
        </row>
        <row r="22573">
          <cell r="A22573">
            <v>43268</v>
          </cell>
        </row>
        <row r="22574">
          <cell r="A22574">
            <v>43684</v>
          </cell>
        </row>
        <row r="22575">
          <cell r="A22575">
            <v>43603</v>
          </cell>
        </row>
        <row r="22576">
          <cell r="A22576">
            <v>43899</v>
          </cell>
        </row>
        <row r="22577">
          <cell r="A22577">
            <v>43250</v>
          </cell>
        </row>
        <row r="22578">
          <cell r="A22578">
            <v>43164</v>
          </cell>
        </row>
        <row r="22579">
          <cell r="A22579">
            <v>43594</v>
          </cell>
        </row>
        <row r="22580">
          <cell r="A22580">
            <v>43448</v>
          </cell>
        </row>
        <row r="22581">
          <cell r="A22581">
            <v>43280</v>
          </cell>
        </row>
        <row r="22582">
          <cell r="A22582">
            <v>43761</v>
          </cell>
        </row>
        <row r="22583">
          <cell r="A22583">
            <v>43676</v>
          </cell>
        </row>
        <row r="22584">
          <cell r="A22584">
            <v>43783</v>
          </cell>
        </row>
        <row r="22585">
          <cell r="A22585">
            <v>43401</v>
          </cell>
        </row>
        <row r="22586">
          <cell r="A22586">
            <v>43462</v>
          </cell>
        </row>
        <row r="22587">
          <cell r="A22587">
            <v>43265</v>
          </cell>
        </row>
        <row r="22588">
          <cell r="A22588">
            <v>43358</v>
          </cell>
        </row>
        <row r="22589">
          <cell r="A22589">
            <v>43521</v>
          </cell>
        </row>
        <row r="22590">
          <cell r="A22590">
            <v>43663</v>
          </cell>
        </row>
        <row r="22591">
          <cell r="A22591">
            <v>43210</v>
          </cell>
        </row>
        <row r="22592">
          <cell r="A22592">
            <v>43166</v>
          </cell>
        </row>
        <row r="22593">
          <cell r="A22593">
            <v>43506</v>
          </cell>
        </row>
        <row r="22594">
          <cell r="A22594">
            <v>43220</v>
          </cell>
        </row>
        <row r="22595">
          <cell r="A22595">
            <v>43830</v>
          </cell>
        </row>
        <row r="22596">
          <cell r="A22596">
            <v>43268</v>
          </cell>
        </row>
        <row r="22597">
          <cell r="A22597">
            <v>43434</v>
          </cell>
        </row>
        <row r="22598">
          <cell r="A22598">
            <v>43665</v>
          </cell>
        </row>
        <row r="22599">
          <cell r="A22599">
            <v>43616</v>
          </cell>
        </row>
        <row r="22600">
          <cell r="A22600">
            <v>43173</v>
          </cell>
        </row>
        <row r="22601">
          <cell r="A22601">
            <v>43448</v>
          </cell>
        </row>
        <row r="22602">
          <cell r="A22602">
            <v>43612</v>
          </cell>
        </row>
        <row r="22603">
          <cell r="A22603">
            <v>43785</v>
          </cell>
        </row>
        <row r="22604">
          <cell r="A22604">
            <v>43320</v>
          </cell>
        </row>
        <row r="22605">
          <cell r="A22605">
            <v>43691</v>
          </cell>
        </row>
        <row r="22606">
          <cell r="A22606">
            <v>43308</v>
          </cell>
        </row>
        <row r="22607">
          <cell r="A22607">
            <v>43193</v>
          </cell>
        </row>
        <row r="22608">
          <cell r="A22608">
            <v>43542</v>
          </cell>
        </row>
        <row r="22609">
          <cell r="A22609">
            <v>43774</v>
          </cell>
        </row>
        <row r="22610">
          <cell r="A22610">
            <v>43577</v>
          </cell>
        </row>
        <row r="22611">
          <cell r="A22611">
            <v>43214</v>
          </cell>
        </row>
        <row r="22612">
          <cell r="A22612">
            <v>43584</v>
          </cell>
        </row>
        <row r="22613">
          <cell r="A22613">
            <v>43393</v>
          </cell>
        </row>
        <row r="22614">
          <cell r="A22614">
            <v>43900</v>
          </cell>
        </row>
        <row r="22615">
          <cell r="A22615">
            <v>43709</v>
          </cell>
        </row>
        <row r="22616">
          <cell r="A22616">
            <v>43317</v>
          </cell>
        </row>
        <row r="22617">
          <cell r="A22617">
            <v>43725</v>
          </cell>
        </row>
        <row r="22618">
          <cell r="A22618">
            <v>43244</v>
          </cell>
        </row>
        <row r="22619">
          <cell r="A22619">
            <v>43332</v>
          </cell>
        </row>
        <row r="22620">
          <cell r="A22620">
            <v>43687</v>
          </cell>
        </row>
        <row r="22621">
          <cell r="A22621">
            <v>43721</v>
          </cell>
        </row>
        <row r="22622">
          <cell r="A22622">
            <v>43590</v>
          </cell>
        </row>
        <row r="22623">
          <cell r="A22623">
            <v>43806</v>
          </cell>
        </row>
        <row r="22624">
          <cell r="A22624">
            <v>43851</v>
          </cell>
        </row>
        <row r="22625">
          <cell r="A22625">
            <v>43481</v>
          </cell>
        </row>
        <row r="22626">
          <cell r="A22626">
            <v>43820</v>
          </cell>
        </row>
        <row r="22627">
          <cell r="A22627">
            <v>43495</v>
          </cell>
        </row>
        <row r="22628">
          <cell r="A22628">
            <v>43177</v>
          </cell>
        </row>
        <row r="22629">
          <cell r="A22629">
            <v>43170</v>
          </cell>
        </row>
        <row r="22630">
          <cell r="A22630">
            <v>43730</v>
          </cell>
        </row>
        <row r="22631">
          <cell r="A22631">
            <v>43129</v>
          </cell>
        </row>
        <row r="22632">
          <cell r="A22632">
            <v>43170</v>
          </cell>
        </row>
        <row r="22633">
          <cell r="A22633">
            <v>43214</v>
          </cell>
        </row>
        <row r="22634">
          <cell r="A22634">
            <v>43496</v>
          </cell>
        </row>
        <row r="22635">
          <cell r="A22635">
            <v>43764</v>
          </cell>
        </row>
        <row r="22636">
          <cell r="A22636">
            <v>43887</v>
          </cell>
        </row>
        <row r="22637">
          <cell r="A22637">
            <v>43692</v>
          </cell>
        </row>
        <row r="22638">
          <cell r="A22638">
            <v>43710</v>
          </cell>
        </row>
        <row r="22639">
          <cell r="A22639">
            <v>43340</v>
          </cell>
        </row>
        <row r="22640">
          <cell r="A22640">
            <v>43270</v>
          </cell>
        </row>
        <row r="22641">
          <cell r="A22641">
            <v>43515</v>
          </cell>
        </row>
        <row r="22642">
          <cell r="A22642">
            <v>43298</v>
          </cell>
        </row>
        <row r="22643">
          <cell r="A22643">
            <v>43359</v>
          </cell>
        </row>
        <row r="22644">
          <cell r="A22644">
            <v>43398</v>
          </cell>
        </row>
        <row r="22645">
          <cell r="A22645">
            <v>43867</v>
          </cell>
        </row>
        <row r="22646">
          <cell r="A22646">
            <v>43790</v>
          </cell>
        </row>
        <row r="22647">
          <cell r="A22647">
            <v>43719</v>
          </cell>
        </row>
        <row r="22648">
          <cell r="A22648">
            <v>43545</v>
          </cell>
        </row>
        <row r="22649">
          <cell r="A22649">
            <v>43141</v>
          </cell>
        </row>
        <row r="22650">
          <cell r="A22650">
            <v>43246</v>
          </cell>
        </row>
        <row r="22651">
          <cell r="A22651">
            <v>43169</v>
          </cell>
        </row>
        <row r="22652">
          <cell r="A22652">
            <v>43259</v>
          </cell>
        </row>
        <row r="22653">
          <cell r="A22653">
            <v>43704</v>
          </cell>
        </row>
        <row r="22654">
          <cell r="A22654">
            <v>43767</v>
          </cell>
        </row>
        <row r="22655">
          <cell r="A22655">
            <v>43408</v>
          </cell>
        </row>
        <row r="22656">
          <cell r="A22656">
            <v>43807</v>
          </cell>
        </row>
        <row r="22657">
          <cell r="A22657">
            <v>43354</v>
          </cell>
        </row>
        <row r="22658">
          <cell r="A22658">
            <v>43692</v>
          </cell>
        </row>
        <row r="22659">
          <cell r="A22659">
            <v>43230</v>
          </cell>
        </row>
        <row r="22660">
          <cell r="A22660">
            <v>43884</v>
          </cell>
        </row>
        <row r="22661">
          <cell r="A22661">
            <v>43761</v>
          </cell>
        </row>
        <row r="22662">
          <cell r="A22662">
            <v>43867</v>
          </cell>
        </row>
        <row r="22663">
          <cell r="A22663">
            <v>43471</v>
          </cell>
        </row>
        <row r="22664">
          <cell r="A22664">
            <v>43695</v>
          </cell>
        </row>
        <row r="22665">
          <cell r="A22665">
            <v>43375</v>
          </cell>
        </row>
        <row r="22666">
          <cell r="A22666">
            <v>43255</v>
          </cell>
        </row>
        <row r="22667">
          <cell r="A22667">
            <v>43342</v>
          </cell>
        </row>
        <row r="22668">
          <cell r="A22668">
            <v>43114</v>
          </cell>
        </row>
        <row r="22669">
          <cell r="A22669">
            <v>43458</v>
          </cell>
        </row>
        <row r="22670">
          <cell r="A22670">
            <v>43250</v>
          </cell>
        </row>
        <row r="22671">
          <cell r="A22671">
            <v>43831</v>
          </cell>
        </row>
        <row r="22672">
          <cell r="A22672">
            <v>43911</v>
          </cell>
        </row>
        <row r="22673">
          <cell r="A22673">
            <v>43507</v>
          </cell>
        </row>
        <row r="22674">
          <cell r="A22674">
            <v>43554</v>
          </cell>
        </row>
        <row r="22675">
          <cell r="A22675">
            <v>43172</v>
          </cell>
        </row>
        <row r="22676">
          <cell r="A22676">
            <v>43570</v>
          </cell>
        </row>
        <row r="22677">
          <cell r="A22677">
            <v>43126</v>
          </cell>
        </row>
        <row r="22678">
          <cell r="A22678">
            <v>43718</v>
          </cell>
        </row>
        <row r="22679">
          <cell r="A22679">
            <v>43871</v>
          </cell>
        </row>
        <row r="22680">
          <cell r="A22680">
            <v>43760</v>
          </cell>
        </row>
        <row r="22681">
          <cell r="A22681">
            <v>43903</v>
          </cell>
        </row>
        <row r="22682">
          <cell r="A22682">
            <v>43618</v>
          </cell>
        </row>
        <row r="22683">
          <cell r="A22683">
            <v>43637</v>
          </cell>
        </row>
        <row r="22684">
          <cell r="A22684">
            <v>43115</v>
          </cell>
        </row>
        <row r="22685">
          <cell r="A22685">
            <v>43226</v>
          </cell>
        </row>
        <row r="22686">
          <cell r="A22686">
            <v>43533</v>
          </cell>
        </row>
        <row r="22687">
          <cell r="A22687">
            <v>43306</v>
          </cell>
        </row>
        <row r="22688">
          <cell r="A22688">
            <v>43605</v>
          </cell>
        </row>
        <row r="22689">
          <cell r="A22689">
            <v>43464</v>
          </cell>
        </row>
        <row r="22690">
          <cell r="A22690">
            <v>43238</v>
          </cell>
        </row>
        <row r="22691">
          <cell r="A22691">
            <v>43855</v>
          </cell>
        </row>
        <row r="22692">
          <cell r="A22692">
            <v>43704</v>
          </cell>
        </row>
        <row r="22693">
          <cell r="A22693">
            <v>43527</v>
          </cell>
        </row>
        <row r="22694">
          <cell r="A22694">
            <v>43249</v>
          </cell>
        </row>
        <row r="22695">
          <cell r="A22695">
            <v>43716</v>
          </cell>
        </row>
        <row r="22696">
          <cell r="A22696">
            <v>43226</v>
          </cell>
        </row>
        <row r="22697">
          <cell r="A22697">
            <v>43435</v>
          </cell>
        </row>
        <row r="22698">
          <cell r="A22698">
            <v>43472</v>
          </cell>
        </row>
        <row r="22699">
          <cell r="A22699">
            <v>43415</v>
          </cell>
        </row>
        <row r="22700">
          <cell r="A22700">
            <v>43819</v>
          </cell>
        </row>
        <row r="22701">
          <cell r="A22701">
            <v>43304</v>
          </cell>
        </row>
        <row r="22702">
          <cell r="A22702">
            <v>43843</v>
          </cell>
        </row>
        <row r="22703">
          <cell r="A22703">
            <v>43670</v>
          </cell>
        </row>
        <row r="22704">
          <cell r="A22704">
            <v>43171</v>
          </cell>
        </row>
        <row r="22705">
          <cell r="A22705">
            <v>43421</v>
          </cell>
        </row>
        <row r="22706">
          <cell r="A22706">
            <v>43670</v>
          </cell>
        </row>
        <row r="22707">
          <cell r="A22707">
            <v>43724</v>
          </cell>
        </row>
        <row r="22708">
          <cell r="A22708">
            <v>43621</v>
          </cell>
        </row>
        <row r="22709">
          <cell r="A22709">
            <v>43462</v>
          </cell>
        </row>
        <row r="22710">
          <cell r="A22710">
            <v>43251</v>
          </cell>
        </row>
        <row r="22711">
          <cell r="A22711">
            <v>43328</v>
          </cell>
        </row>
        <row r="22712">
          <cell r="A22712">
            <v>43549</v>
          </cell>
        </row>
        <row r="22713">
          <cell r="A22713">
            <v>43904</v>
          </cell>
        </row>
        <row r="22714">
          <cell r="A22714">
            <v>43255</v>
          </cell>
        </row>
        <row r="22715">
          <cell r="A22715">
            <v>43414</v>
          </cell>
        </row>
        <row r="22716">
          <cell r="A22716">
            <v>43424</v>
          </cell>
        </row>
        <row r="22717">
          <cell r="A22717">
            <v>43611</v>
          </cell>
        </row>
        <row r="22718">
          <cell r="A22718">
            <v>43583</v>
          </cell>
        </row>
        <row r="22719">
          <cell r="A22719">
            <v>43143</v>
          </cell>
        </row>
        <row r="22720">
          <cell r="A22720">
            <v>43110</v>
          </cell>
        </row>
        <row r="22721">
          <cell r="A22721">
            <v>43814</v>
          </cell>
        </row>
        <row r="22722">
          <cell r="A22722">
            <v>43165</v>
          </cell>
        </row>
        <row r="22723">
          <cell r="A22723">
            <v>43776</v>
          </cell>
        </row>
        <row r="22724">
          <cell r="A22724">
            <v>43478</v>
          </cell>
        </row>
        <row r="22725">
          <cell r="A22725">
            <v>43155</v>
          </cell>
        </row>
        <row r="22726">
          <cell r="A22726">
            <v>43616</v>
          </cell>
        </row>
        <row r="22727">
          <cell r="A22727">
            <v>43553</v>
          </cell>
        </row>
        <row r="22728">
          <cell r="A22728">
            <v>43602</v>
          </cell>
        </row>
        <row r="22729">
          <cell r="A22729">
            <v>43494</v>
          </cell>
        </row>
        <row r="22730">
          <cell r="A22730">
            <v>43209</v>
          </cell>
        </row>
        <row r="22731">
          <cell r="A22731">
            <v>43171</v>
          </cell>
        </row>
        <row r="22732">
          <cell r="A22732">
            <v>43662</v>
          </cell>
        </row>
        <row r="22733">
          <cell r="A22733">
            <v>43289</v>
          </cell>
        </row>
        <row r="22734">
          <cell r="A22734">
            <v>43405</v>
          </cell>
        </row>
        <row r="22735">
          <cell r="A22735">
            <v>43190</v>
          </cell>
        </row>
        <row r="22736">
          <cell r="A22736">
            <v>43783</v>
          </cell>
        </row>
        <row r="22737">
          <cell r="A22737">
            <v>43133</v>
          </cell>
        </row>
        <row r="22738">
          <cell r="A22738">
            <v>43718</v>
          </cell>
        </row>
        <row r="22739">
          <cell r="A22739">
            <v>43884</v>
          </cell>
        </row>
        <row r="22740">
          <cell r="A22740">
            <v>43199</v>
          </cell>
        </row>
        <row r="22741">
          <cell r="A22741">
            <v>43649</v>
          </cell>
        </row>
        <row r="22742">
          <cell r="A22742">
            <v>43225</v>
          </cell>
        </row>
        <row r="22743">
          <cell r="A22743">
            <v>43677</v>
          </cell>
        </row>
        <row r="22744">
          <cell r="A22744">
            <v>43632</v>
          </cell>
        </row>
        <row r="22745">
          <cell r="A22745">
            <v>43430</v>
          </cell>
        </row>
        <row r="22746">
          <cell r="A22746">
            <v>43675</v>
          </cell>
        </row>
        <row r="22747">
          <cell r="A22747">
            <v>43770</v>
          </cell>
        </row>
        <row r="22748">
          <cell r="A22748">
            <v>43163</v>
          </cell>
        </row>
        <row r="22749">
          <cell r="A22749">
            <v>43173</v>
          </cell>
        </row>
        <row r="22750">
          <cell r="A22750">
            <v>43203</v>
          </cell>
        </row>
        <row r="22751">
          <cell r="A22751">
            <v>43800</v>
          </cell>
        </row>
        <row r="22752">
          <cell r="A22752">
            <v>43622</v>
          </cell>
        </row>
        <row r="22753">
          <cell r="A22753">
            <v>43841</v>
          </cell>
        </row>
        <row r="22754">
          <cell r="A22754">
            <v>43844</v>
          </cell>
        </row>
        <row r="22755">
          <cell r="A22755">
            <v>43327</v>
          </cell>
        </row>
        <row r="22756">
          <cell r="A22756">
            <v>43283</v>
          </cell>
        </row>
        <row r="22757">
          <cell r="A22757">
            <v>43652</v>
          </cell>
        </row>
        <row r="22758">
          <cell r="A22758">
            <v>43171</v>
          </cell>
        </row>
        <row r="22759">
          <cell r="A22759">
            <v>43482</v>
          </cell>
        </row>
        <row r="22760">
          <cell r="A22760">
            <v>43795</v>
          </cell>
        </row>
        <row r="22761">
          <cell r="A22761">
            <v>43564</v>
          </cell>
        </row>
        <row r="22762">
          <cell r="A22762">
            <v>43282</v>
          </cell>
        </row>
        <row r="22763">
          <cell r="A22763">
            <v>43774</v>
          </cell>
        </row>
        <row r="22764">
          <cell r="A22764">
            <v>43217</v>
          </cell>
        </row>
        <row r="22765">
          <cell r="A22765">
            <v>43707</v>
          </cell>
        </row>
        <row r="22766">
          <cell r="A22766">
            <v>43912</v>
          </cell>
        </row>
        <row r="22767">
          <cell r="A22767">
            <v>43251</v>
          </cell>
        </row>
        <row r="22768">
          <cell r="A22768">
            <v>43311</v>
          </cell>
        </row>
        <row r="22769">
          <cell r="A22769">
            <v>43650</v>
          </cell>
        </row>
        <row r="22770">
          <cell r="A22770">
            <v>43685</v>
          </cell>
        </row>
        <row r="22771">
          <cell r="A22771">
            <v>43847</v>
          </cell>
        </row>
        <row r="22772">
          <cell r="A22772">
            <v>43502</v>
          </cell>
        </row>
        <row r="22773">
          <cell r="A22773">
            <v>43260</v>
          </cell>
        </row>
        <row r="22774">
          <cell r="A22774">
            <v>43656</v>
          </cell>
        </row>
        <row r="22775">
          <cell r="A22775">
            <v>43586</v>
          </cell>
        </row>
        <row r="22776">
          <cell r="A22776">
            <v>43685</v>
          </cell>
        </row>
        <row r="22777">
          <cell r="A22777">
            <v>43729</v>
          </cell>
        </row>
        <row r="22778">
          <cell r="A22778">
            <v>43803</v>
          </cell>
        </row>
        <row r="22779">
          <cell r="A22779">
            <v>43137</v>
          </cell>
        </row>
        <row r="22780">
          <cell r="A22780">
            <v>43474</v>
          </cell>
        </row>
        <row r="22781">
          <cell r="A22781">
            <v>43524</v>
          </cell>
        </row>
        <row r="22782">
          <cell r="A22782">
            <v>43831</v>
          </cell>
        </row>
        <row r="22783">
          <cell r="A22783">
            <v>43710</v>
          </cell>
        </row>
        <row r="22784">
          <cell r="A22784">
            <v>43433</v>
          </cell>
        </row>
        <row r="22785">
          <cell r="A22785">
            <v>43686</v>
          </cell>
        </row>
        <row r="22786">
          <cell r="A22786">
            <v>43340</v>
          </cell>
        </row>
        <row r="22787">
          <cell r="A22787">
            <v>43532</v>
          </cell>
        </row>
        <row r="22788">
          <cell r="A22788">
            <v>43725</v>
          </cell>
        </row>
        <row r="22789">
          <cell r="A22789">
            <v>43345</v>
          </cell>
        </row>
        <row r="22790">
          <cell r="A22790">
            <v>43743</v>
          </cell>
        </row>
        <row r="22791">
          <cell r="A22791">
            <v>43116</v>
          </cell>
        </row>
        <row r="22792">
          <cell r="A22792">
            <v>43131</v>
          </cell>
        </row>
        <row r="22793">
          <cell r="A22793">
            <v>43907</v>
          </cell>
        </row>
        <row r="22794">
          <cell r="A22794">
            <v>43840</v>
          </cell>
        </row>
        <row r="22795">
          <cell r="A22795">
            <v>43251</v>
          </cell>
        </row>
        <row r="22796">
          <cell r="A22796">
            <v>43701</v>
          </cell>
        </row>
        <row r="22797">
          <cell r="A22797">
            <v>43649</v>
          </cell>
        </row>
        <row r="22798">
          <cell r="A22798">
            <v>43160</v>
          </cell>
        </row>
        <row r="22799">
          <cell r="A22799">
            <v>43866</v>
          </cell>
        </row>
        <row r="22800">
          <cell r="A22800">
            <v>43279</v>
          </cell>
        </row>
        <row r="22801">
          <cell r="A22801">
            <v>43469</v>
          </cell>
        </row>
        <row r="22802">
          <cell r="A22802">
            <v>43325</v>
          </cell>
        </row>
        <row r="22803">
          <cell r="A22803">
            <v>43346</v>
          </cell>
        </row>
        <row r="22804">
          <cell r="A22804">
            <v>43913</v>
          </cell>
        </row>
        <row r="22805">
          <cell r="A22805">
            <v>43170</v>
          </cell>
        </row>
        <row r="22806">
          <cell r="A22806">
            <v>43271</v>
          </cell>
        </row>
        <row r="22807">
          <cell r="A22807">
            <v>43505</v>
          </cell>
        </row>
        <row r="22808">
          <cell r="A22808">
            <v>43129</v>
          </cell>
        </row>
        <row r="22809">
          <cell r="A22809">
            <v>43816</v>
          </cell>
        </row>
        <row r="22810">
          <cell r="A22810">
            <v>43503</v>
          </cell>
        </row>
        <row r="22811">
          <cell r="A22811">
            <v>43751</v>
          </cell>
        </row>
        <row r="22812">
          <cell r="A22812">
            <v>43212</v>
          </cell>
        </row>
        <row r="22813">
          <cell r="A22813">
            <v>43912</v>
          </cell>
        </row>
        <row r="22814">
          <cell r="A22814">
            <v>43868</v>
          </cell>
        </row>
        <row r="22815">
          <cell r="A22815">
            <v>43467</v>
          </cell>
        </row>
        <row r="22816">
          <cell r="A22816">
            <v>43374</v>
          </cell>
        </row>
        <row r="22817">
          <cell r="A22817">
            <v>43702</v>
          </cell>
        </row>
        <row r="22818">
          <cell r="A22818">
            <v>43650</v>
          </cell>
        </row>
        <row r="22819">
          <cell r="A22819">
            <v>43675</v>
          </cell>
        </row>
        <row r="22820">
          <cell r="A22820">
            <v>43817</v>
          </cell>
        </row>
        <row r="22821">
          <cell r="A22821">
            <v>43646</v>
          </cell>
        </row>
        <row r="22822">
          <cell r="A22822">
            <v>43390</v>
          </cell>
        </row>
        <row r="22823">
          <cell r="A22823">
            <v>43181</v>
          </cell>
        </row>
        <row r="22824">
          <cell r="A22824">
            <v>43523</v>
          </cell>
        </row>
        <row r="22825">
          <cell r="A22825">
            <v>43110</v>
          </cell>
        </row>
        <row r="22826">
          <cell r="A22826">
            <v>43355</v>
          </cell>
        </row>
        <row r="22827">
          <cell r="A22827">
            <v>43132</v>
          </cell>
        </row>
        <row r="22828">
          <cell r="A22828">
            <v>43645</v>
          </cell>
        </row>
        <row r="22829">
          <cell r="A22829">
            <v>43588</v>
          </cell>
        </row>
        <row r="22830">
          <cell r="A22830">
            <v>43749</v>
          </cell>
        </row>
        <row r="22831">
          <cell r="A22831">
            <v>43885</v>
          </cell>
        </row>
        <row r="22832">
          <cell r="A22832">
            <v>43459</v>
          </cell>
        </row>
        <row r="22833">
          <cell r="A22833">
            <v>43296</v>
          </cell>
        </row>
        <row r="22834">
          <cell r="A22834">
            <v>43459</v>
          </cell>
        </row>
        <row r="22835">
          <cell r="A22835">
            <v>43908</v>
          </cell>
        </row>
        <row r="22836">
          <cell r="A22836">
            <v>43270</v>
          </cell>
        </row>
        <row r="22837">
          <cell r="A22837">
            <v>43281</v>
          </cell>
        </row>
        <row r="22838">
          <cell r="A22838">
            <v>43315</v>
          </cell>
        </row>
        <row r="22839">
          <cell r="A22839">
            <v>43405</v>
          </cell>
        </row>
        <row r="22840">
          <cell r="A22840">
            <v>43906</v>
          </cell>
        </row>
        <row r="22841">
          <cell r="A22841">
            <v>43742</v>
          </cell>
        </row>
        <row r="22842">
          <cell r="A22842">
            <v>43186</v>
          </cell>
        </row>
        <row r="22843">
          <cell r="A22843">
            <v>43118</v>
          </cell>
        </row>
        <row r="22844">
          <cell r="A22844">
            <v>43560</v>
          </cell>
        </row>
        <row r="22845">
          <cell r="A22845">
            <v>43895</v>
          </cell>
        </row>
        <row r="22846">
          <cell r="A22846">
            <v>43128</v>
          </cell>
        </row>
        <row r="22847">
          <cell r="A22847">
            <v>43528</v>
          </cell>
        </row>
        <row r="22848">
          <cell r="A22848">
            <v>43407</v>
          </cell>
        </row>
        <row r="22849">
          <cell r="A22849">
            <v>43284</v>
          </cell>
        </row>
        <row r="22850">
          <cell r="A22850">
            <v>43793</v>
          </cell>
        </row>
        <row r="22851">
          <cell r="A22851">
            <v>43315</v>
          </cell>
        </row>
        <row r="22852">
          <cell r="A22852">
            <v>43641</v>
          </cell>
        </row>
        <row r="22853">
          <cell r="A22853">
            <v>43743</v>
          </cell>
        </row>
        <row r="22854">
          <cell r="A22854">
            <v>43226</v>
          </cell>
        </row>
        <row r="22855">
          <cell r="A22855">
            <v>43411</v>
          </cell>
        </row>
        <row r="22856">
          <cell r="A22856">
            <v>43833</v>
          </cell>
        </row>
        <row r="22857">
          <cell r="A22857">
            <v>43599</v>
          </cell>
        </row>
        <row r="22858">
          <cell r="A22858">
            <v>43717</v>
          </cell>
        </row>
        <row r="22859">
          <cell r="A22859">
            <v>43460</v>
          </cell>
        </row>
        <row r="22860">
          <cell r="A22860">
            <v>43344</v>
          </cell>
        </row>
        <row r="22861">
          <cell r="A22861">
            <v>43889</v>
          </cell>
        </row>
        <row r="22862">
          <cell r="A22862">
            <v>43294</v>
          </cell>
        </row>
        <row r="22863">
          <cell r="A22863">
            <v>43883</v>
          </cell>
        </row>
        <row r="22864">
          <cell r="A22864">
            <v>43149</v>
          </cell>
        </row>
        <row r="22865">
          <cell r="A22865">
            <v>43822</v>
          </cell>
        </row>
        <row r="22866">
          <cell r="A22866">
            <v>43320</v>
          </cell>
        </row>
        <row r="22867">
          <cell r="A22867">
            <v>43894</v>
          </cell>
        </row>
        <row r="22868">
          <cell r="A22868">
            <v>43815</v>
          </cell>
        </row>
        <row r="22869">
          <cell r="A22869">
            <v>43614</v>
          </cell>
        </row>
        <row r="22870">
          <cell r="A22870">
            <v>43743</v>
          </cell>
        </row>
        <row r="22871">
          <cell r="A22871">
            <v>43583</v>
          </cell>
        </row>
        <row r="22872">
          <cell r="A22872">
            <v>43119</v>
          </cell>
        </row>
        <row r="22873">
          <cell r="A22873">
            <v>43605</v>
          </cell>
        </row>
        <row r="22874">
          <cell r="A22874">
            <v>43569</v>
          </cell>
        </row>
        <row r="22875">
          <cell r="A22875">
            <v>43149</v>
          </cell>
        </row>
        <row r="22876">
          <cell r="A22876">
            <v>43815</v>
          </cell>
        </row>
        <row r="22877">
          <cell r="A22877">
            <v>43299</v>
          </cell>
        </row>
        <row r="22878">
          <cell r="A22878">
            <v>43274</v>
          </cell>
        </row>
        <row r="22879">
          <cell r="A22879">
            <v>43119</v>
          </cell>
        </row>
        <row r="22880">
          <cell r="A22880">
            <v>43642</v>
          </cell>
        </row>
        <row r="22881">
          <cell r="A22881">
            <v>43137</v>
          </cell>
        </row>
        <row r="22882">
          <cell r="A22882">
            <v>43296</v>
          </cell>
        </row>
        <row r="22883">
          <cell r="A22883">
            <v>43576</v>
          </cell>
        </row>
        <row r="22884">
          <cell r="A22884">
            <v>43424</v>
          </cell>
        </row>
        <row r="22885">
          <cell r="A22885">
            <v>43690</v>
          </cell>
        </row>
        <row r="22886">
          <cell r="A22886">
            <v>43525</v>
          </cell>
        </row>
        <row r="22887">
          <cell r="A22887">
            <v>43643</v>
          </cell>
        </row>
        <row r="22888">
          <cell r="A22888">
            <v>43120</v>
          </cell>
        </row>
        <row r="22889">
          <cell r="A22889">
            <v>43341</v>
          </cell>
        </row>
        <row r="22890">
          <cell r="A22890">
            <v>43368</v>
          </cell>
        </row>
        <row r="22891">
          <cell r="A22891">
            <v>43260</v>
          </cell>
        </row>
        <row r="22892">
          <cell r="A22892">
            <v>43921</v>
          </cell>
        </row>
        <row r="22893">
          <cell r="A22893">
            <v>43335</v>
          </cell>
        </row>
        <row r="22894">
          <cell r="A22894">
            <v>43689</v>
          </cell>
        </row>
        <row r="22895">
          <cell r="A22895">
            <v>43633</v>
          </cell>
        </row>
        <row r="22896">
          <cell r="A22896">
            <v>43513</v>
          </cell>
        </row>
        <row r="22897">
          <cell r="A22897">
            <v>43856</v>
          </cell>
        </row>
        <row r="22898">
          <cell r="A22898">
            <v>43302</v>
          </cell>
        </row>
        <row r="22899">
          <cell r="A22899">
            <v>43636</v>
          </cell>
        </row>
        <row r="22900">
          <cell r="A22900">
            <v>43466</v>
          </cell>
        </row>
        <row r="22901">
          <cell r="A22901">
            <v>43867</v>
          </cell>
        </row>
        <row r="22902">
          <cell r="A22902">
            <v>43723</v>
          </cell>
        </row>
        <row r="22903">
          <cell r="A22903">
            <v>43494</v>
          </cell>
        </row>
        <row r="22904">
          <cell r="A22904">
            <v>43133</v>
          </cell>
        </row>
        <row r="22905">
          <cell r="A22905">
            <v>43668</v>
          </cell>
        </row>
        <row r="22906">
          <cell r="A22906">
            <v>43216</v>
          </cell>
        </row>
        <row r="22907">
          <cell r="A22907">
            <v>43242</v>
          </cell>
        </row>
        <row r="22908">
          <cell r="A22908">
            <v>43387</v>
          </cell>
        </row>
        <row r="22909">
          <cell r="A22909">
            <v>43465</v>
          </cell>
        </row>
        <row r="22910">
          <cell r="A22910">
            <v>43377</v>
          </cell>
        </row>
        <row r="22911">
          <cell r="A22911">
            <v>43324</v>
          </cell>
        </row>
        <row r="22912">
          <cell r="A22912">
            <v>43220</v>
          </cell>
        </row>
        <row r="22913">
          <cell r="A22913">
            <v>43877</v>
          </cell>
        </row>
        <row r="22914">
          <cell r="A22914">
            <v>43878</v>
          </cell>
        </row>
        <row r="22915">
          <cell r="A22915">
            <v>43298</v>
          </cell>
        </row>
        <row r="22916">
          <cell r="A22916">
            <v>43290</v>
          </cell>
        </row>
        <row r="22917">
          <cell r="A22917">
            <v>43892</v>
          </cell>
        </row>
        <row r="22918">
          <cell r="A22918">
            <v>43148</v>
          </cell>
        </row>
        <row r="22919">
          <cell r="A22919">
            <v>43756</v>
          </cell>
        </row>
        <row r="22920">
          <cell r="A22920">
            <v>43515</v>
          </cell>
        </row>
        <row r="22921">
          <cell r="A22921">
            <v>43449</v>
          </cell>
        </row>
        <row r="22922">
          <cell r="A22922">
            <v>43574</v>
          </cell>
        </row>
        <row r="22923">
          <cell r="A22923">
            <v>43426</v>
          </cell>
        </row>
        <row r="22924">
          <cell r="A22924">
            <v>43486</v>
          </cell>
        </row>
        <row r="22925">
          <cell r="A22925">
            <v>43679</v>
          </cell>
        </row>
        <row r="22926">
          <cell r="A22926">
            <v>43163</v>
          </cell>
        </row>
        <row r="22927">
          <cell r="A22927">
            <v>43602</v>
          </cell>
        </row>
        <row r="22928">
          <cell r="A22928">
            <v>43470</v>
          </cell>
        </row>
        <row r="22929">
          <cell r="A22929">
            <v>43560</v>
          </cell>
        </row>
        <row r="22930">
          <cell r="A22930">
            <v>43260</v>
          </cell>
        </row>
        <row r="22931">
          <cell r="A22931">
            <v>43708</v>
          </cell>
        </row>
        <row r="22932">
          <cell r="A22932">
            <v>43656</v>
          </cell>
        </row>
        <row r="22933">
          <cell r="A22933">
            <v>43606</v>
          </cell>
        </row>
        <row r="22934">
          <cell r="A22934">
            <v>43658</v>
          </cell>
        </row>
        <row r="22935">
          <cell r="A22935">
            <v>43272</v>
          </cell>
        </row>
        <row r="22936">
          <cell r="A22936">
            <v>43466</v>
          </cell>
        </row>
        <row r="22937">
          <cell r="A22937">
            <v>43772</v>
          </cell>
        </row>
        <row r="22938">
          <cell r="A22938">
            <v>43450</v>
          </cell>
        </row>
        <row r="22939">
          <cell r="A22939">
            <v>43846</v>
          </cell>
        </row>
        <row r="22940">
          <cell r="A22940">
            <v>43473</v>
          </cell>
        </row>
        <row r="22941">
          <cell r="A22941">
            <v>43359</v>
          </cell>
        </row>
        <row r="22942">
          <cell r="A22942">
            <v>43258</v>
          </cell>
        </row>
        <row r="22943">
          <cell r="A22943">
            <v>43103</v>
          </cell>
        </row>
        <row r="22944">
          <cell r="A22944">
            <v>43199</v>
          </cell>
        </row>
        <row r="22945">
          <cell r="A22945">
            <v>43364</v>
          </cell>
        </row>
        <row r="22946">
          <cell r="A22946">
            <v>43766</v>
          </cell>
        </row>
        <row r="22947">
          <cell r="A22947">
            <v>43425</v>
          </cell>
        </row>
        <row r="22948">
          <cell r="A22948">
            <v>43417</v>
          </cell>
        </row>
        <row r="22949">
          <cell r="A22949">
            <v>43453</v>
          </cell>
        </row>
        <row r="22950">
          <cell r="A22950">
            <v>43299</v>
          </cell>
        </row>
        <row r="22951">
          <cell r="A22951">
            <v>43454</v>
          </cell>
        </row>
        <row r="22952">
          <cell r="A22952">
            <v>43672</v>
          </cell>
        </row>
        <row r="22953">
          <cell r="A22953">
            <v>43209</v>
          </cell>
        </row>
        <row r="22954">
          <cell r="A22954">
            <v>43830</v>
          </cell>
        </row>
        <row r="22955">
          <cell r="A22955">
            <v>43700</v>
          </cell>
        </row>
        <row r="22956">
          <cell r="A22956">
            <v>43403</v>
          </cell>
        </row>
        <row r="22957">
          <cell r="A22957">
            <v>43277</v>
          </cell>
        </row>
        <row r="22958">
          <cell r="A22958">
            <v>43606</v>
          </cell>
        </row>
        <row r="22959">
          <cell r="A22959">
            <v>43532</v>
          </cell>
        </row>
        <row r="22960">
          <cell r="A22960">
            <v>43206</v>
          </cell>
        </row>
        <row r="22961">
          <cell r="A22961">
            <v>43631</v>
          </cell>
        </row>
        <row r="22962">
          <cell r="A22962">
            <v>43176</v>
          </cell>
        </row>
        <row r="22963">
          <cell r="A22963">
            <v>43794</v>
          </cell>
        </row>
        <row r="22964">
          <cell r="A22964">
            <v>43656</v>
          </cell>
        </row>
        <row r="22965">
          <cell r="A22965">
            <v>43361</v>
          </cell>
        </row>
        <row r="22966">
          <cell r="A22966">
            <v>43497</v>
          </cell>
        </row>
        <row r="22967">
          <cell r="A22967">
            <v>43699</v>
          </cell>
        </row>
        <row r="22968">
          <cell r="A22968">
            <v>43537</v>
          </cell>
        </row>
        <row r="22969">
          <cell r="A22969">
            <v>43897</v>
          </cell>
        </row>
        <row r="22970">
          <cell r="A22970">
            <v>43650</v>
          </cell>
        </row>
        <row r="22971">
          <cell r="A22971">
            <v>43886</v>
          </cell>
        </row>
        <row r="22972">
          <cell r="A22972">
            <v>43655</v>
          </cell>
        </row>
        <row r="22973">
          <cell r="A22973">
            <v>43101</v>
          </cell>
        </row>
        <row r="22974">
          <cell r="A22974">
            <v>43788</v>
          </cell>
        </row>
        <row r="22975">
          <cell r="A22975">
            <v>43202</v>
          </cell>
        </row>
        <row r="22976">
          <cell r="A22976">
            <v>43888</v>
          </cell>
        </row>
        <row r="22977">
          <cell r="A22977">
            <v>43454</v>
          </cell>
        </row>
        <row r="22978">
          <cell r="A22978">
            <v>43589</v>
          </cell>
        </row>
        <row r="22979">
          <cell r="A22979">
            <v>43874</v>
          </cell>
        </row>
        <row r="22980">
          <cell r="A22980">
            <v>43673</v>
          </cell>
        </row>
        <row r="22981">
          <cell r="A22981">
            <v>43331</v>
          </cell>
        </row>
        <row r="22982">
          <cell r="A22982">
            <v>43566</v>
          </cell>
        </row>
        <row r="22983">
          <cell r="A22983">
            <v>43495</v>
          </cell>
        </row>
        <row r="22984">
          <cell r="A22984">
            <v>43634</v>
          </cell>
        </row>
        <row r="22985">
          <cell r="A22985">
            <v>43201</v>
          </cell>
        </row>
        <row r="22986">
          <cell r="A22986">
            <v>43502</v>
          </cell>
        </row>
        <row r="22987">
          <cell r="A22987">
            <v>43376</v>
          </cell>
        </row>
        <row r="22988">
          <cell r="A22988">
            <v>43374</v>
          </cell>
        </row>
        <row r="22989">
          <cell r="A22989">
            <v>43529</v>
          </cell>
        </row>
        <row r="22990">
          <cell r="A22990">
            <v>43774</v>
          </cell>
        </row>
        <row r="22991">
          <cell r="A22991">
            <v>43674</v>
          </cell>
        </row>
        <row r="22992">
          <cell r="A22992">
            <v>43321</v>
          </cell>
        </row>
        <row r="22993">
          <cell r="A22993">
            <v>43564</v>
          </cell>
        </row>
        <row r="22994">
          <cell r="A22994">
            <v>43421</v>
          </cell>
        </row>
        <row r="22995">
          <cell r="A22995">
            <v>43398</v>
          </cell>
        </row>
        <row r="22996">
          <cell r="A22996">
            <v>43880</v>
          </cell>
        </row>
        <row r="22997">
          <cell r="A22997">
            <v>43701</v>
          </cell>
        </row>
        <row r="22998">
          <cell r="A22998">
            <v>43128</v>
          </cell>
        </row>
        <row r="22999">
          <cell r="A22999">
            <v>43506</v>
          </cell>
        </row>
        <row r="23000">
          <cell r="A23000">
            <v>43906</v>
          </cell>
        </row>
        <row r="23001">
          <cell r="A23001">
            <v>43416</v>
          </cell>
        </row>
        <row r="23002">
          <cell r="A23002">
            <v>43147</v>
          </cell>
        </row>
        <row r="23003">
          <cell r="A23003">
            <v>43153</v>
          </cell>
        </row>
        <row r="23004">
          <cell r="A23004">
            <v>43351</v>
          </cell>
        </row>
        <row r="23005">
          <cell r="A23005">
            <v>43629</v>
          </cell>
        </row>
        <row r="23006">
          <cell r="A23006">
            <v>43339</v>
          </cell>
        </row>
        <row r="23007">
          <cell r="A23007">
            <v>43580</v>
          </cell>
        </row>
        <row r="23008">
          <cell r="A23008">
            <v>43551</v>
          </cell>
        </row>
        <row r="23009">
          <cell r="A23009">
            <v>43106</v>
          </cell>
        </row>
        <row r="23010">
          <cell r="A23010">
            <v>43273</v>
          </cell>
        </row>
        <row r="23011">
          <cell r="A23011">
            <v>43507</v>
          </cell>
        </row>
        <row r="23012">
          <cell r="A23012">
            <v>43641</v>
          </cell>
        </row>
        <row r="23013">
          <cell r="A23013">
            <v>43337</v>
          </cell>
        </row>
        <row r="23014">
          <cell r="A23014">
            <v>43393</v>
          </cell>
        </row>
        <row r="23015">
          <cell r="A23015">
            <v>43609</v>
          </cell>
        </row>
        <row r="23016">
          <cell r="A23016">
            <v>43491</v>
          </cell>
        </row>
        <row r="23017">
          <cell r="A23017">
            <v>43372</v>
          </cell>
        </row>
        <row r="23018">
          <cell r="A23018">
            <v>43253</v>
          </cell>
        </row>
        <row r="23019">
          <cell r="A23019">
            <v>43245</v>
          </cell>
        </row>
        <row r="23020">
          <cell r="A23020">
            <v>43589</v>
          </cell>
        </row>
        <row r="23021">
          <cell r="A23021">
            <v>43604</v>
          </cell>
        </row>
        <row r="23022">
          <cell r="A23022">
            <v>43462</v>
          </cell>
        </row>
        <row r="23023">
          <cell r="A23023">
            <v>43514</v>
          </cell>
        </row>
        <row r="23024">
          <cell r="A23024">
            <v>43231</v>
          </cell>
        </row>
        <row r="23025">
          <cell r="A23025">
            <v>43908</v>
          </cell>
        </row>
        <row r="23026">
          <cell r="A23026">
            <v>43275</v>
          </cell>
        </row>
        <row r="23027">
          <cell r="A23027">
            <v>43837</v>
          </cell>
        </row>
        <row r="23028">
          <cell r="A23028">
            <v>43562</v>
          </cell>
        </row>
        <row r="23029">
          <cell r="A23029">
            <v>43579</v>
          </cell>
        </row>
        <row r="23030">
          <cell r="A23030">
            <v>43878</v>
          </cell>
        </row>
        <row r="23031">
          <cell r="A23031">
            <v>43199</v>
          </cell>
        </row>
        <row r="23032">
          <cell r="A23032">
            <v>43172</v>
          </cell>
        </row>
        <row r="23033">
          <cell r="A23033">
            <v>43274</v>
          </cell>
        </row>
        <row r="23034">
          <cell r="A23034">
            <v>43631</v>
          </cell>
        </row>
        <row r="23035">
          <cell r="A23035">
            <v>43593</v>
          </cell>
        </row>
        <row r="23036">
          <cell r="A23036">
            <v>43534</v>
          </cell>
        </row>
        <row r="23037">
          <cell r="A23037">
            <v>43351</v>
          </cell>
        </row>
        <row r="23038">
          <cell r="A23038">
            <v>43598</v>
          </cell>
        </row>
        <row r="23039">
          <cell r="A23039">
            <v>43179</v>
          </cell>
        </row>
        <row r="23040">
          <cell r="A23040">
            <v>43873</v>
          </cell>
        </row>
        <row r="23041">
          <cell r="A23041">
            <v>43149</v>
          </cell>
        </row>
        <row r="23042">
          <cell r="A23042">
            <v>43134</v>
          </cell>
        </row>
        <row r="23043">
          <cell r="A23043">
            <v>43108</v>
          </cell>
        </row>
        <row r="23044">
          <cell r="A23044">
            <v>43651</v>
          </cell>
        </row>
        <row r="23045">
          <cell r="A23045">
            <v>43497</v>
          </cell>
        </row>
        <row r="23046">
          <cell r="A23046">
            <v>43812</v>
          </cell>
        </row>
        <row r="23047">
          <cell r="A23047">
            <v>43125</v>
          </cell>
        </row>
        <row r="23048">
          <cell r="A23048">
            <v>43540</v>
          </cell>
        </row>
        <row r="23049">
          <cell r="A23049">
            <v>43203</v>
          </cell>
        </row>
        <row r="23050">
          <cell r="A23050">
            <v>43454</v>
          </cell>
        </row>
        <row r="23051">
          <cell r="A23051">
            <v>43629</v>
          </cell>
        </row>
        <row r="23052">
          <cell r="A23052">
            <v>43602</v>
          </cell>
        </row>
        <row r="23053">
          <cell r="A23053">
            <v>43405</v>
          </cell>
        </row>
        <row r="23054">
          <cell r="A23054">
            <v>43130</v>
          </cell>
        </row>
        <row r="23055">
          <cell r="A23055">
            <v>43260</v>
          </cell>
        </row>
        <row r="23056">
          <cell r="A23056">
            <v>43490</v>
          </cell>
        </row>
        <row r="23057">
          <cell r="A23057">
            <v>43542</v>
          </cell>
        </row>
        <row r="23058">
          <cell r="A23058">
            <v>43315</v>
          </cell>
        </row>
        <row r="23059">
          <cell r="A23059">
            <v>43509</v>
          </cell>
        </row>
        <row r="23060">
          <cell r="A23060">
            <v>43129</v>
          </cell>
        </row>
        <row r="23061">
          <cell r="A23061">
            <v>43184</v>
          </cell>
        </row>
        <row r="23062">
          <cell r="A23062">
            <v>43810</v>
          </cell>
        </row>
        <row r="23063">
          <cell r="A23063">
            <v>43360</v>
          </cell>
        </row>
        <row r="23064">
          <cell r="A23064">
            <v>43762</v>
          </cell>
        </row>
        <row r="23065">
          <cell r="A23065">
            <v>43298</v>
          </cell>
        </row>
        <row r="23066">
          <cell r="A23066">
            <v>43310</v>
          </cell>
        </row>
        <row r="23067">
          <cell r="A23067">
            <v>43889</v>
          </cell>
        </row>
        <row r="23068">
          <cell r="A23068">
            <v>43129</v>
          </cell>
        </row>
        <row r="23069">
          <cell r="A23069">
            <v>43624</v>
          </cell>
        </row>
        <row r="23070">
          <cell r="A23070">
            <v>43692</v>
          </cell>
        </row>
        <row r="23071">
          <cell r="A23071">
            <v>43342</v>
          </cell>
        </row>
        <row r="23072">
          <cell r="A23072">
            <v>43799</v>
          </cell>
        </row>
        <row r="23073">
          <cell r="A23073">
            <v>43245</v>
          </cell>
        </row>
        <row r="23074">
          <cell r="A23074">
            <v>43813</v>
          </cell>
        </row>
        <row r="23075">
          <cell r="A23075">
            <v>43890</v>
          </cell>
        </row>
        <row r="23076">
          <cell r="A23076">
            <v>43883</v>
          </cell>
        </row>
        <row r="23077">
          <cell r="A23077">
            <v>43267</v>
          </cell>
        </row>
        <row r="23078">
          <cell r="A23078">
            <v>43777</v>
          </cell>
        </row>
        <row r="23079">
          <cell r="A23079">
            <v>43645</v>
          </cell>
        </row>
        <row r="23080">
          <cell r="A23080">
            <v>43375</v>
          </cell>
        </row>
        <row r="23081">
          <cell r="A23081">
            <v>43490</v>
          </cell>
        </row>
        <row r="23082">
          <cell r="A23082">
            <v>43293</v>
          </cell>
        </row>
        <row r="23083">
          <cell r="A23083">
            <v>43608</v>
          </cell>
        </row>
        <row r="23084">
          <cell r="A23084">
            <v>43326</v>
          </cell>
        </row>
        <row r="23085">
          <cell r="A23085">
            <v>43780</v>
          </cell>
        </row>
        <row r="23086">
          <cell r="A23086">
            <v>43480</v>
          </cell>
        </row>
        <row r="23087">
          <cell r="A23087">
            <v>43749</v>
          </cell>
        </row>
        <row r="23088">
          <cell r="A23088">
            <v>43397</v>
          </cell>
        </row>
        <row r="23089">
          <cell r="A23089">
            <v>43688</v>
          </cell>
        </row>
        <row r="23090">
          <cell r="A23090">
            <v>43194</v>
          </cell>
        </row>
        <row r="23091">
          <cell r="A23091">
            <v>43315</v>
          </cell>
        </row>
        <row r="23092">
          <cell r="A23092">
            <v>43280</v>
          </cell>
        </row>
        <row r="23093">
          <cell r="A23093">
            <v>43838</v>
          </cell>
        </row>
        <row r="23094">
          <cell r="A23094">
            <v>43330</v>
          </cell>
        </row>
        <row r="23095">
          <cell r="A23095">
            <v>43362</v>
          </cell>
        </row>
        <row r="23096">
          <cell r="A23096">
            <v>43909</v>
          </cell>
        </row>
        <row r="23097">
          <cell r="A23097">
            <v>43307</v>
          </cell>
        </row>
        <row r="23098">
          <cell r="A23098">
            <v>43661</v>
          </cell>
        </row>
        <row r="23099">
          <cell r="A23099">
            <v>43622</v>
          </cell>
        </row>
        <row r="23100">
          <cell r="A23100">
            <v>43632</v>
          </cell>
        </row>
        <row r="23101">
          <cell r="A23101">
            <v>43266</v>
          </cell>
        </row>
        <row r="23102">
          <cell r="A23102">
            <v>43139</v>
          </cell>
        </row>
        <row r="23103">
          <cell r="A23103">
            <v>43367</v>
          </cell>
        </row>
        <row r="23104">
          <cell r="A23104">
            <v>43477</v>
          </cell>
        </row>
        <row r="23105">
          <cell r="A23105">
            <v>43889</v>
          </cell>
        </row>
        <row r="23106">
          <cell r="A23106">
            <v>43158</v>
          </cell>
        </row>
        <row r="23107">
          <cell r="A23107">
            <v>43269</v>
          </cell>
        </row>
        <row r="23108">
          <cell r="A23108">
            <v>43255</v>
          </cell>
        </row>
        <row r="23109">
          <cell r="A23109">
            <v>43660</v>
          </cell>
        </row>
        <row r="23110">
          <cell r="A23110">
            <v>43629</v>
          </cell>
        </row>
        <row r="23111">
          <cell r="A23111">
            <v>43421</v>
          </cell>
        </row>
        <row r="23112">
          <cell r="A23112">
            <v>43471</v>
          </cell>
        </row>
        <row r="23113">
          <cell r="A23113">
            <v>43157</v>
          </cell>
        </row>
        <row r="23114">
          <cell r="A23114">
            <v>43875</v>
          </cell>
        </row>
        <row r="23115">
          <cell r="A23115">
            <v>43275</v>
          </cell>
        </row>
        <row r="23116">
          <cell r="A23116">
            <v>43842</v>
          </cell>
        </row>
        <row r="23117">
          <cell r="A23117">
            <v>43487</v>
          </cell>
        </row>
        <row r="23118">
          <cell r="A23118">
            <v>43886</v>
          </cell>
        </row>
        <row r="23119">
          <cell r="A23119">
            <v>43606</v>
          </cell>
        </row>
        <row r="23120">
          <cell r="A23120">
            <v>43570</v>
          </cell>
        </row>
        <row r="23121">
          <cell r="A23121">
            <v>43422</v>
          </cell>
        </row>
        <row r="23122">
          <cell r="A23122">
            <v>43339</v>
          </cell>
        </row>
        <row r="23123">
          <cell r="A23123">
            <v>43700</v>
          </cell>
        </row>
        <row r="23124">
          <cell r="A23124">
            <v>43847</v>
          </cell>
        </row>
        <row r="23125">
          <cell r="A23125">
            <v>43662</v>
          </cell>
        </row>
        <row r="23126">
          <cell r="A23126">
            <v>43346</v>
          </cell>
        </row>
        <row r="23127">
          <cell r="A23127">
            <v>43402</v>
          </cell>
        </row>
        <row r="23128">
          <cell r="A23128">
            <v>43299</v>
          </cell>
        </row>
        <row r="23129">
          <cell r="A23129">
            <v>43245</v>
          </cell>
        </row>
        <row r="23130">
          <cell r="A23130">
            <v>43515</v>
          </cell>
        </row>
        <row r="23131">
          <cell r="A23131">
            <v>43764</v>
          </cell>
        </row>
        <row r="23132">
          <cell r="A23132">
            <v>43456</v>
          </cell>
        </row>
        <row r="23133">
          <cell r="A23133">
            <v>43349</v>
          </cell>
        </row>
        <row r="23134">
          <cell r="A23134">
            <v>43531</v>
          </cell>
        </row>
        <row r="23135">
          <cell r="A23135">
            <v>43418</v>
          </cell>
        </row>
        <row r="23136">
          <cell r="A23136">
            <v>43862</v>
          </cell>
        </row>
        <row r="23137">
          <cell r="A23137">
            <v>43546</v>
          </cell>
        </row>
        <row r="23138">
          <cell r="A23138">
            <v>43364</v>
          </cell>
        </row>
        <row r="23139">
          <cell r="A23139">
            <v>43220</v>
          </cell>
        </row>
        <row r="23140">
          <cell r="A23140">
            <v>43745</v>
          </cell>
        </row>
        <row r="23141">
          <cell r="A23141">
            <v>43492</v>
          </cell>
        </row>
        <row r="23142">
          <cell r="A23142">
            <v>43462</v>
          </cell>
        </row>
        <row r="23143">
          <cell r="A23143">
            <v>43323</v>
          </cell>
        </row>
        <row r="23144">
          <cell r="A23144">
            <v>43572</v>
          </cell>
        </row>
        <row r="23145">
          <cell r="A23145">
            <v>43711</v>
          </cell>
        </row>
        <row r="23146">
          <cell r="A23146">
            <v>43411</v>
          </cell>
        </row>
        <row r="23147">
          <cell r="A23147">
            <v>43134</v>
          </cell>
        </row>
        <row r="23148">
          <cell r="A23148">
            <v>43610</v>
          </cell>
        </row>
        <row r="23149">
          <cell r="A23149">
            <v>43814</v>
          </cell>
        </row>
        <row r="23150">
          <cell r="A23150">
            <v>43489</v>
          </cell>
        </row>
        <row r="23151">
          <cell r="A23151">
            <v>43710</v>
          </cell>
        </row>
        <row r="23152">
          <cell r="A23152">
            <v>43559</v>
          </cell>
        </row>
        <row r="23153">
          <cell r="A23153">
            <v>43226</v>
          </cell>
        </row>
        <row r="23154">
          <cell r="A23154">
            <v>43150</v>
          </cell>
        </row>
        <row r="23155">
          <cell r="A23155">
            <v>43246</v>
          </cell>
        </row>
        <row r="23156">
          <cell r="A23156">
            <v>43728</v>
          </cell>
        </row>
        <row r="23157">
          <cell r="A23157">
            <v>43522</v>
          </cell>
        </row>
        <row r="23158">
          <cell r="A23158">
            <v>43760</v>
          </cell>
        </row>
        <row r="23159">
          <cell r="A23159">
            <v>43222</v>
          </cell>
        </row>
        <row r="23160">
          <cell r="A23160">
            <v>43462</v>
          </cell>
        </row>
        <row r="23161">
          <cell r="A23161">
            <v>43225</v>
          </cell>
        </row>
        <row r="23162">
          <cell r="A23162">
            <v>43825</v>
          </cell>
        </row>
        <row r="23163">
          <cell r="A23163">
            <v>43432</v>
          </cell>
        </row>
        <row r="23164">
          <cell r="A23164">
            <v>43199</v>
          </cell>
        </row>
        <row r="23165">
          <cell r="A23165">
            <v>43282</v>
          </cell>
        </row>
        <row r="23166">
          <cell r="A23166">
            <v>43619</v>
          </cell>
        </row>
        <row r="23167">
          <cell r="A23167">
            <v>43583</v>
          </cell>
        </row>
        <row r="23168">
          <cell r="A23168">
            <v>43702</v>
          </cell>
        </row>
        <row r="23169">
          <cell r="A23169">
            <v>43357</v>
          </cell>
        </row>
        <row r="23170">
          <cell r="A23170">
            <v>43541</v>
          </cell>
        </row>
        <row r="23171">
          <cell r="A23171">
            <v>43301</v>
          </cell>
        </row>
        <row r="23172">
          <cell r="A23172">
            <v>43840</v>
          </cell>
        </row>
        <row r="23173">
          <cell r="A23173">
            <v>43921</v>
          </cell>
        </row>
        <row r="23174">
          <cell r="A23174">
            <v>43289</v>
          </cell>
        </row>
        <row r="23175">
          <cell r="A23175">
            <v>43168</v>
          </cell>
        </row>
        <row r="23176">
          <cell r="A23176">
            <v>43842</v>
          </cell>
        </row>
        <row r="23177">
          <cell r="A23177">
            <v>43785</v>
          </cell>
        </row>
        <row r="23178">
          <cell r="A23178">
            <v>43319</v>
          </cell>
        </row>
        <row r="23179">
          <cell r="A23179">
            <v>43271</v>
          </cell>
        </row>
        <row r="23180">
          <cell r="A23180">
            <v>43219</v>
          </cell>
        </row>
        <row r="23181">
          <cell r="A23181">
            <v>43561</v>
          </cell>
        </row>
        <row r="23182">
          <cell r="A23182">
            <v>43725</v>
          </cell>
        </row>
        <row r="23183">
          <cell r="A23183">
            <v>43257</v>
          </cell>
        </row>
        <row r="23184">
          <cell r="A23184">
            <v>43813</v>
          </cell>
        </row>
        <row r="23185">
          <cell r="A23185">
            <v>43230</v>
          </cell>
        </row>
        <row r="23186">
          <cell r="A23186">
            <v>43546</v>
          </cell>
        </row>
        <row r="23187">
          <cell r="A23187">
            <v>43885</v>
          </cell>
        </row>
        <row r="23188">
          <cell r="A23188">
            <v>43225</v>
          </cell>
        </row>
        <row r="23189">
          <cell r="A23189">
            <v>43843</v>
          </cell>
        </row>
        <row r="23190">
          <cell r="A23190">
            <v>43377</v>
          </cell>
        </row>
        <row r="23191">
          <cell r="A23191">
            <v>43300</v>
          </cell>
        </row>
        <row r="23192">
          <cell r="A23192">
            <v>43757</v>
          </cell>
        </row>
        <row r="23193">
          <cell r="A23193">
            <v>43106</v>
          </cell>
        </row>
        <row r="23194">
          <cell r="A23194">
            <v>43739</v>
          </cell>
        </row>
        <row r="23195">
          <cell r="A23195">
            <v>43232</v>
          </cell>
        </row>
        <row r="23196">
          <cell r="A23196">
            <v>43481</v>
          </cell>
        </row>
        <row r="23197">
          <cell r="A23197">
            <v>43564</v>
          </cell>
        </row>
        <row r="23198">
          <cell r="A23198">
            <v>43493</v>
          </cell>
        </row>
        <row r="23199">
          <cell r="A23199">
            <v>43455</v>
          </cell>
        </row>
        <row r="23200">
          <cell r="A23200">
            <v>43314</v>
          </cell>
        </row>
        <row r="23201">
          <cell r="A23201">
            <v>43830</v>
          </cell>
        </row>
        <row r="23202">
          <cell r="A23202">
            <v>43344</v>
          </cell>
        </row>
        <row r="23203">
          <cell r="A23203">
            <v>43821</v>
          </cell>
        </row>
        <row r="23204">
          <cell r="A23204">
            <v>43560</v>
          </cell>
        </row>
        <row r="23205">
          <cell r="A23205">
            <v>43536</v>
          </cell>
        </row>
        <row r="23206">
          <cell r="A23206">
            <v>43265</v>
          </cell>
        </row>
        <row r="23207">
          <cell r="A23207">
            <v>43722</v>
          </cell>
        </row>
        <row r="23208">
          <cell r="A23208">
            <v>43689</v>
          </cell>
        </row>
        <row r="23209">
          <cell r="A23209">
            <v>43420</v>
          </cell>
        </row>
        <row r="23210">
          <cell r="A23210">
            <v>43153</v>
          </cell>
        </row>
        <row r="23211">
          <cell r="A23211">
            <v>43864</v>
          </cell>
        </row>
        <row r="23212">
          <cell r="A23212">
            <v>43602</v>
          </cell>
        </row>
        <row r="23213">
          <cell r="A23213">
            <v>43494</v>
          </cell>
        </row>
        <row r="23214">
          <cell r="A23214">
            <v>43789</v>
          </cell>
        </row>
        <row r="23215">
          <cell r="A23215">
            <v>43780</v>
          </cell>
        </row>
        <row r="23216">
          <cell r="A23216">
            <v>43866</v>
          </cell>
        </row>
        <row r="23217">
          <cell r="A23217">
            <v>43710</v>
          </cell>
        </row>
        <row r="23218">
          <cell r="A23218">
            <v>43210</v>
          </cell>
        </row>
        <row r="23219">
          <cell r="A23219">
            <v>43111</v>
          </cell>
        </row>
        <row r="23220">
          <cell r="A23220">
            <v>43383</v>
          </cell>
        </row>
        <row r="23221">
          <cell r="A23221">
            <v>43245</v>
          </cell>
        </row>
        <row r="23222">
          <cell r="A23222">
            <v>43327</v>
          </cell>
        </row>
        <row r="23223">
          <cell r="A23223">
            <v>43374</v>
          </cell>
        </row>
        <row r="23224">
          <cell r="A23224">
            <v>43727</v>
          </cell>
        </row>
        <row r="23225">
          <cell r="A23225">
            <v>43897</v>
          </cell>
        </row>
        <row r="23226">
          <cell r="A23226">
            <v>43762</v>
          </cell>
        </row>
        <row r="23227">
          <cell r="A23227">
            <v>43438</v>
          </cell>
        </row>
        <row r="23228">
          <cell r="A23228">
            <v>43461</v>
          </cell>
        </row>
        <row r="23229">
          <cell r="A23229">
            <v>43390</v>
          </cell>
        </row>
        <row r="23230">
          <cell r="A23230">
            <v>43396</v>
          </cell>
        </row>
        <row r="23231">
          <cell r="A23231">
            <v>43696</v>
          </cell>
        </row>
        <row r="23232">
          <cell r="A23232">
            <v>43570</v>
          </cell>
        </row>
        <row r="23233">
          <cell r="A23233">
            <v>43262</v>
          </cell>
        </row>
        <row r="23234">
          <cell r="A23234">
            <v>43463</v>
          </cell>
        </row>
        <row r="23235">
          <cell r="A23235">
            <v>43791</v>
          </cell>
        </row>
        <row r="23236">
          <cell r="A23236">
            <v>43161</v>
          </cell>
        </row>
        <row r="23237">
          <cell r="A23237">
            <v>43433</v>
          </cell>
        </row>
        <row r="23238">
          <cell r="A23238">
            <v>43315</v>
          </cell>
        </row>
        <row r="23239">
          <cell r="A23239">
            <v>43422</v>
          </cell>
        </row>
        <row r="23240">
          <cell r="A23240">
            <v>43113</v>
          </cell>
        </row>
        <row r="23241">
          <cell r="A23241">
            <v>43867</v>
          </cell>
        </row>
        <row r="23242">
          <cell r="A23242">
            <v>43651</v>
          </cell>
        </row>
        <row r="23243">
          <cell r="A23243">
            <v>43321</v>
          </cell>
        </row>
        <row r="23244">
          <cell r="A23244">
            <v>43596</v>
          </cell>
        </row>
        <row r="23245">
          <cell r="A23245">
            <v>43461</v>
          </cell>
        </row>
        <row r="23246">
          <cell r="A23246">
            <v>43216</v>
          </cell>
        </row>
        <row r="23247">
          <cell r="A23247">
            <v>43541</v>
          </cell>
        </row>
        <row r="23248">
          <cell r="A23248">
            <v>43102</v>
          </cell>
        </row>
        <row r="23249">
          <cell r="A23249">
            <v>43775</v>
          </cell>
        </row>
        <row r="23250">
          <cell r="A23250">
            <v>43222</v>
          </cell>
        </row>
        <row r="23251">
          <cell r="A23251">
            <v>43784</v>
          </cell>
        </row>
        <row r="23252">
          <cell r="A23252">
            <v>43396</v>
          </cell>
        </row>
        <row r="23253">
          <cell r="A23253">
            <v>43476</v>
          </cell>
        </row>
        <row r="23254">
          <cell r="A23254">
            <v>43756</v>
          </cell>
        </row>
        <row r="23255">
          <cell r="A23255">
            <v>43407</v>
          </cell>
        </row>
        <row r="23256">
          <cell r="A23256">
            <v>43414</v>
          </cell>
        </row>
        <row r="23257">
          <cell r="A23257">
            <v>43744</v>
          </cell>
        </row>
        <row r="23258">
          <cell r="A23258">
            <v>43192</v>
          </cell>
        </row>
        <row r="23259">
          <cell r="A23259">
            <v>43422</v>
          </cell>
        </row>
        <row r="23260">
          <cell r="A23260">
            <v>43591</v>
          </cell>
        </row>
        <row r="23261">
          <cell r="A23261">
            <v>43265</v>
          </cell>
        </row>
        <row r="23262">
          <cell r="A23262">
            <v>43147</v>
          </cell>
        </row>
        <row r="23263">
          <cell r="A23263">
            <v>43322</v>
          </cell>
        </row>
        <row r="23264">
          <cell r="A23264">
            <v>43763</v>
          </cell>
        </row>
        <row r="23265">
          <cell r="A23265">
            <v>43574</v>
          </cell>
        </row>
        <row r="23266">
          <cell r="A23266">
            <v>43101</v>
          </cell>
        </row>
        <row r="23267">
          <cell r="A23267">
            <v>43213</v>
          </cell>
        </row>
        <row r="23268">
          <cell r="A23268">
            <v>43391</v>
          </cell>
        </row>
        <row r="23269">
          <cell r="A23269">
            <v>43719</v>
          </cell>
        </row>
        <row r="23270">
          <cell r="A23270">
            <v>43631</v>
          </cell>
        </row>
        <row r="23271">
          <cell r="A23271">
            <v>43354</v>
          </cell>
        </row>
        <row r="23272">
          <cell r="A23272">
            <v>43534</v>
          </cell>
        </row>
        <row r="23273">
          <cell r="A23273">
            <v>43194</v>
          </cell>
        </row>
        <row r="23274">
          <cell r="A23274">
            <v>43137</v>
          </cell>
        </row>
        <row r="23275">
          <cell r="A23275">
            <v>43903</v>
          </cell>
        </row>
        <row r="23276">
          <cell r="A23276">
            <v>43473</v>
          </cell>
        </row>
        <row r="23277">
          <cell r="A23277">
            <v>43320</v>
          </cell>
        </row>
        <row r="23278">
          <cell r="A23278">
            <v>43378</v>
          </cell>
        </row>
        <row r="23279">
          <cell r="A23279">
            <v>43594</v>
          </cell>
        </row>
        <row r="23280">
          <cell r="A23280">
            <v>43212</v>
          </cell>
        </row>
        <row r="23281">
          <cell r="A23281">
            <v>43338</v>
          </cell>
        </row>
        <row r="23282">
          <cell r="A23282">
            <v>43573</v>
          </cell>
        </row>
        <row r="23283">
          <cell r="A23283">
            <v>43106</v>
          </cell>
        </row>
        <row r="23284">
          <cell r="A23284">
            <v>43155</v>
          </cell>
        </row>
        <row r="23285">
          <cell r="A23285">
            <v>43473</v>
          </cell>
        </row>
        <row r="23286">
          <cell r="A23286">
            <v>43823</v>
          </cell>
        </row>
        <row r="23287">
          <cell r="A23287">
            <v>43887</v>
          </cell>
        </row>
        <row r="23288">
          <cell r="A23288">
            <v>43489</v>
          </cell>
        </row>
        <row r="23289">
          <cell r="A23289">
            <v>43533</v>
          </cell>
        </row>
        <row r="23290">
          <cell r="A23290">
            <v>43433</v>
          </cell>
        </row>
        <row r="23291">
          <cell r="A23291">
            <v>43633</v>
          </cell>
        </row>
        <row r="23292">
          <cell r="A23292">
            <v>43608</v>
          </cell>
        </row>
        <row r="23293">
          <cell r="A23293">
            <v>43661</v>
          </cell>
        </row>
        <row r="23294">
          <cell r="A23294">
            <v>43484</v>
          </cell>
        </row>
        <row r="23295">
          <cell r="A23295">
            <v>43219</v>
          </cell>
        </row>
        <row r="23296">
          <cell r="A23296">
            <v>43854</v>
          </cell>
        </row>
        <row r="23297">
          <cell r="A23297">
            <v>43483</v>
          </cell>
        </row>
        <row r="23298">
          <cell r="A23298">
            <v>43201</v>
          </cell>
        </row>
        <row r="23299">
          <cell r="A23299">
            <v>43504</v>
          </cell>
        </row>
        <row r="23300">
          <cell r="A23300">
            <v>43715</v>
          </cell>
        </row>
        <row r="23301">
          <cell r="A23301">
            <v>43354</v>
          </cell>
        </row>
        <row r="23302">
          <cell r="A23302">
            <v>43652</v>
          </cell>
        </row>
        <row r="23303">
          <cell r="A23303">
            <v>43836</v>
          </cell>
        </row>
        <row r="23304">
          <cell r="A23304">
            <v>43385</v>
          </cell>
        </row>
        <row r="23305">
          <cell r="A23305">
            <v>43572</v>
          </cell>
        </row>
        <row r="23306">
          <cell r="A23306">
            <v>43440</v>
          </cell>
        </row>
        <row r="23307">
          <cell r="A23307">
            <v>43553</v>
          </cell>
        </row>
        <row r="23308">
          <cell r="A23308">
            <v>43109</v>
          </cell>
        </row>
        <row r="23309">
          <cell r="A23309">
            <v>43659</v>
          </cell>
        </row>
        <row r="23310">
          <cell r="A23310">
            <v>43762</v>
          </cell>
        </row>
        <row r="23311">
          <cell r="A23311">
            <v>43763</v>
          </cell>
        </row>
        <row r="23312">
          <cell r="A23312">
            <v>43801</v>
          </cell>
        </row>
        <row r="23313">
          <cell r="A23313">
            <v>43298</v>
          </cell>
        </row>
        <row r="23314">
          <cell r="A23314">
            <v>43104</v>
          </cell>
        </row>
        <row r="23315">
          <cell r="A23315">
            <v>43302</v>
          </cell>
        </row>
        <row r="23316">
          <cell r="A23316">
            <v>43155</v>
          </cell>
        </row>
        <row r="23317">
          <cell r="A23317">
            <v>43671</v>
          </cell>
        </row>
        <row r="23318">
          <cell r="A23318">
            <v>43782</v>
          </cell>
        </row>
        <row r="23319">
          <cell r="A23319">
            <v>43894</v>
          </cell>
        </row>
        <row r="23320">
          <cell r="A23320">
            <v>43135</v>
          </cell>
        </row>
        <row r="23321">
          <cell r="A23321">
            <v>43714</v>
          </cell>
        </row>
        <row r="23322">
          <cell r="A23322">
            <v>43327</v>
          </cell>
        </row>
        <row r="23323">
          <cell r="A23323">
            <v>43621</v>
          </cell>
        </row>
        <row r="23324">
          <cell r="A23324">
            <v>43119</v>
          </cell>
        </row>
        <row r="23325">
          <cell r="A23325">
            <v>43109</v>
          </cell>
        </row>
        <row r="23326">
          <cell r="A23326">
            <v>43647</v>
          </cell>
        </row>
        <row r="23327">
          <cell r="A23327">
            <v>43689</v>
          </cell>
        </row>
        <row r="23328">
          <cell r="A23328">
            <v>43623</v>
          </cell>
        </row>
        <row r="23329">
          <cell r="A23329">
            <v>43291</v>
          </cell>
        </row>
        <row r="23330">
          <cell r="A23330">
            <v>43906</v>
          </cell>
        </row>
        <row r="23331">
          <cell r="A23331">
            <v>43785</v>
          </cell>
        </row>
        <row r="23332">
          <cell r="A23332">
            <v>43540</v>
          </cell>
        </row>
        <row r="23333">
          <cell r="A23333">
            <v>43591</v>
          </cell>
        </row>
        <row r="23334">
          <cell r="A23334">
            <v>43678</v>
          </cell>
        </row>
        <row r="23335">
          <cell r="A23335">
            <v>43525</v>
          </cell>
        </row>
        <row r="23336">
          <cell r="A23336">
            <v>43244</v>
          </cell>
        </row>
        <row r="23337">
          <cell r="A23337">
            <v>43197</v>
          </cell>
        </row>
        <row r="23338">
          <cell r="A23338">
            <v>43229</v>
          </cell>
        </row>
        <row r="23339">
          <cell r="A23339">
            <v>43111</v>
          </cell>
        </row>
        <row r="23340">
          <cell r="A23340">
            <v>43432</v>
          </cell>
        </row>
        <row r="23341">
          <cell r="A23341">
            <v>43545</v>
          </cell>
        </row>
        <row r="23342">
          <cell r="A23342">
            <v>43348</v>
          </cell>
        </row>
        <row r="23343">
          <cell r="A23343">
            <v>43355</v>
          </cell>
        </row>
        <row r="23344">
          <cell r="A23344">
            <v>43579</v>
          </cell>
        </row>
        <row r="23345">
          <cell r="A23345">
            <v>43887</v>
          </cell>
        </row>
        <row r="23346">
          <cell r="A23346">
            <v>43283</v>
          </cell>
        </row>
        <row r="23347">
          <cell r="A23347">
            <v>43370</v>
          </cell>
        </row>
        <row r="23348">
          <cell r="A23348">
            <v>43631</v>
          </cell>
        </row>
        <row r="23349">
          <cell r="A23349">
            <v>43704</v>
          </cell>
        </row>
        <row r="23350">
          <cell r="A23350">
            <v>43736</v>
          </cell>
        </row>
        <row r="23351">
          <cell r="A23351">
            <v>43509</v>
          </cell>
        </row>
        <row r="23352">
          <cell r="A23352">
            <v>43519</v>
          </cell>
        </row>
        <row r="23353">
          <cell r="A23353">
            <v>43735</v>
          </cell>
        </row>
        <row r="23354">
          <cell r="A23354">
            <v>43763</v>
          </cell>
        </row>
        <row r="23355">
          <cell r="A23355">
            <v>43909</v>
          </cell>
        </row>
        <row r="23356">
          <cell r="A23356">
            <v>43909</v>
          </cell>
        </row>
        <row r="23357">
          <cell r="A23357">
            <v>43720</v>
          </cell>
        </row>
        <row r="23358">
          <cell r="A23358">
            <v>43572</v>
          </cell>
        </row>
        <row r="23359">
          <cell r="A23359">
            <v>43152</v>
          </cell>
        </row>
        <row r="23360">
          <cell r="A23360">
            <v>43155</v>
          </cell>
        </row>
        <row r="23361">
          <cell r="A23361">
            <v>43165</v>
          </cell>
        </row>
        <row r="23362">
          <cell r="A23362">
            <v>43808</v>
          </cell>
        </row>
        <row r="23363">
          <cell r="A23363">
            <v>43677</v>
          </cell>
        </row>
        <row r="23364">
          <cell r="A23364">
            <v>43395</v>
          </cell>
        </row>
        <row r="23365">
          <cell r="A23365">
            <v>43215</v>
          </cell>
        </row>
        <row r="23366">
          <cell r="A23366">
            <v>43563</v>
          </cell>
        </row>
        <row r="23367">
          <cell r="A23367">
            <v>43718</v>
          </cell>
        </row>
        <row r="23368">
          <cell r="A23368">
            <v>43256</v>
          </cell>
        </row>
        <row r="23369">
          <cell r="A23369">
            <v>43173</v>
          </cell>
        </row>
        <row r="23370">
          <cell r="A23370">
            <v>43569</v>
          </cell>
        </row>
        <row r="23371">
          <cell r="A23371">
            <v>43481</v>
          </cell>
        </row>
        <row r="23372">
          <cell r="A23372">
            <v>43677</v>
          </cell>
        </row>
        <row r="23373">
          <cell r="A23373">
            <v>43433</v>
          </cell>
        </row>
        <row r="23374">
          <cell r="A23374">
            <v>43758</v>
          </cell>
        </row>
        <row r="23375">
          <cell r="A23375">
            <v>43222</v>
          </cell>
        </row>
        <row r="23376">
          <cell r="A23376">
            <v>43353</v>
          </cell>
        </row>
        <row r="23377">
          <cell r="A23377">
            <v>43402</v>
          </cell>
        </row>
        <row r="23378">
          <cell r="A23378">
            <v>43336</v>
          </cell>
        </row>
        <row r="23379">
          <cell r="A23379">
            <v>43229</v>
          </cell>
        </row>
        <row r="23380">
          <cell r="A23380">
            <v>43545</v>
          </cell>
        </row>
        <row r="23381">
          <cell r="A23381">
            <v>43158</v>
          </cell>
        </row>
        <row r="23382">
          <cell r="A23382">
            <v>43231</v>
          </cell>
        </row>
        <row r="23383">
          <cell r="A23383">
            <v>43313</v>
          </cell>
        </row>
        <row r="23384">
          <cell r="A23384">
            <v>43157</v>
          </cell>
        </row>
        <row r="23385">
          <cell r="A23385">
            <v>43233</v>
          </cell>
        </row>
        <row r="23386">
          <cell r="A23386">
            <v>43101</v>
          </cell>
        </row>
        <row r="23387">
          <cell r="A23387">
            <v>43674</v>
          </cell>
        </row>
        <row r="23388">
          <cell r="A23388">
            <v>43916</v>
          </cell>
        </row>
        <row r="23389">
          <cell r="A23389">
            <v>43254</v>
          </cell>
        </row>
        <row r="23390">
          <cell r="A23390">
            <v>43145</v>
          </cell>
        </row>
        <row r="23391">
          <cell r="A23391">
            <v>43197</v>
          </cell>
        </row>
        <row r="23392">
          <cell r="A23392">
            <v>43132</v>
          </cell>
        </row>
        <row r="23393">
          <cell r="A23393">
            <v>43174</v>
          </cell>
        </row>
        <row r="23394">
          <cell r="A23394">
            <v>43515</v>
          </cell>
        </row>
        <row r="23395">
          <cell r="A23395">
            <v>43102</v>
          </cell>
        </row>
        <row r="23396">
          <cell r="A23396">
            <v>43666</v>
          </cell>
        </row>
        <row r="23397">
          <cell r="A23397">
            <v>43401</v>
          </cell>
        </row>
        <row r="23398">
          <cell r="A23398">
            <v>43651</v>
          </cell>
        </row>
        <row r="23399">
          <cell r="A23399">
            <v>43214</v>
          </cell>
        </row>
        <row r="23400">
          <cell r="A23400">
            <v>43457</v>
          </cell>
        </row>
        <row r="23401">
          <cell r="A23401">
            <v>43742</v>
          </cell>
        </row>
        <row r="23402">
          <cell r="A23402">
            <v>43644</v>
          </cell>
        </row>
        <row r="23403">
          <cell r="A23403">
            <v>43584</v>
          </cell>
        </row>
        <row r="23404">
          <cell r="A23404">
            <v>43634</v>
          </cell>
        </row>
        <row r="23405">
          <cell r="A23405">
            <v>43894</v>
          </cell>
        </row>
        <row r="23406">
          <cell r="A23406">
            <v>43227</v>
          </cell>
        </row>
        <row r="23407">
          <cell r="A23407">
            <v>43129</v>
          </cell>
        </row>
        <row r="23408">
          <cell r="A23408">
            <v>43371</v>
          </cell>
        </row>
        <row r="23409">
          <cell r="A23409">
            <v>43490</v>
          </cell>
        </row>
        <row r="23410">
          <cell r="A23410">
            <v>43265</v>
          </cell>
        </row>
        <row r="23411">
          <cell r="A23411">
            <v>43387</v>
          </cell>
        </row>
        <row r="23412">
          <cell r="A23412">
            <v>43702</v>
          </cell>
        </row>
        <row r="23413">
          <cell r="A23413">
            <v>43867</v>
          </cell>
        </row>
        <row r="23414">
          <cell r="A23414">
            <v>43848</v>
          </cell>
        </row>
        <row r="23415">
          <cell r="A23415">
            <v>43555</v>
          </cell>
        </row>
        <row r="23416">
          <cell r="A23416">
            <v>43369</v>
          </cell>
        </row>
        <row r="23417">
          <cell r="A23417">
            <v>43233</v>
          </cell>
        </row>
        <row r="23418">
          <cell r="A23418">
            <v>43616</v>
          </cell>
        </row>
        <row r="23419">
          <cell r="A23419">
            <v>43841</v>
          </cell>
        </row>
        <row r="23420">
          <cell r="A23420">
            <v>43330</v>
          </cell>
        </row>
        <row r="23421">
          <cell r="A23421">
            <v>43110</v>
          </cell>
        </row>
        <row r="23422">
          <cell r="A23422">
            <v>43589</v>
          </cell>
        </row>
        <row r="23423">
          <cell r="A23423">
            <v>43763</v>
          </cell>
        </row>
        <row r="23424">
          <cell r="A23424">
            <v>43157</v>
          </cell>
        </row>
        <row r="23425">
          <cell r="A23425">
            <v>43513</v>
          </cell>
        </row>
        <row r="23426">
          <cell r="A23426">
            <v>43733</v>
          </cell>
        </row>
        <row r="23427">
          <cell r="A23427">
            <v>43178</v>
          </cell>
        </row>
        <row r="23428">
          <cell r="A23428">
            <v>43134</v>
          </cell>
        </row>
        <row r="23429">
          <cell r="A23429">
            <v>43857</v>
          </cell>
        </row>
        <row r="23430">
          <cell r="A23430">
            <v>43851</v>
          </cell>
        </row>
        <row r="23431">
          <cell r="A23431">
            <v>43660</v>
          </cell>
        </row>
        <row r="23432">
          <cell r="A23432">
            <v>43851</v>
          </cell>
        </row>
        <row r="23433">
          <cell r="A23433">
            <v>43296</v>
          </cell>
        </row>
        <row r="23434">
          <cell r="A23434">
            <v>43256</v>
          </cell>
        </row>
        <row r="23435">
          <cell r="A23435">
            <v>43898</v>
          </cell>
        </row>
        <row r="23436">
          <cell r="A23436">
            <v>43471</v>
          </cell>
        </row>
        <row r="23437">
          <cell r="A23437">
            <v>43397</v>
          </cell>
        </row>
        <row r="23438">
          <cell r="A23438">
            <v>43266</v>
          </cell>
        </row>
        <row r="23439">
          <cell r="A23439">
            <v>43330</v>
          </cell>
        </row>
        <row r="23440">
          <cell r="A23440">
            <v>43892</v>
          </cell>
        </row>
        <row r="23441">
          <cell r="A23441">
            <v>43304</v>
          </cell>
        </row>
        <row r="23442">
          <cell r="A23442">
            <v>43157</v>
          </cell>
        </row>
        <row r="23443">
          <cell r="A23443">
            <v>43727</v>
          </cell>
        </row>
        <row r="23444">
          <cell r="A23444">
            <v>43598</v>
          </cell>
        </row>
        <row r="23445">
          <cell r="A23445">
            <v>43491</v>
          </cell>
        </row>
        <row r="23446">
          <cell r="A23446">
            <v>43147</v>
          </cell>
        </row>
        <row r="23447">
          <cell r="A23447">
            <v>43437</v>
          </cell>
        </row>
        <row r="23448">
          <cell r="A23448">
            <v>43412</v>
          </cell>
        </row>
        <row r="23449">
          <cell r="A23449">
            <v>43522</v>
          </cell>
        </row>
        <row r="23450">
          <cell r="A23450">
            <v>43702</v>
          </cell>
        </row>
        <row r="23451">
          <cell r="A23451">
            <v>43663</v>
          </cell>
        </row>
        <row r="23452">
          <cell r="A23452">
            <v>43846</v>
          </cell>
        </row>
        <row r="23453">
          <cell r="A23453">
            <v>43813</v>
          </cell>
        </row>
        <row r="23454">
          <cell r="A23454">
            <v>43505</v>
          </cell>
        </row>
        <row r="23455">
          <cell r="A23455">
            <v>43131</v>
          </cell>
        </row>
        <row r="23456">
          <cell r="A23456">
            <v>43246</v>
          </cell>
        </row>
        <row r="23457">
          <cell r="A23457">
            <v>43717</v>
          </cell>
        </row>
        <row r="23458">
          <cell r="A23458">
            <v>43709</v>
          </cell>
        </row>
        <row r="23459">
          <cell r="A23459">
            <v>43377</v>
          </cell>
        </row>
        <row r="23460">
          <cell r="A23460">
            <v>43287</v>
          </cell>
        </row>
        <row r="23461">
          <cell r="A23461">
            <v>43130</v>
          </cell>
        </row>
        <row r="23462">
          <cell r="A23462">
            <v>43563</v>
          </cell>
        </row>
        <row r="23463">
          <cell r="A23463">
            <v>43799</v>
          </cell>
        </row>
        <row r="23464">
          <cell r="A23464">
            <v>43637</v>
          </cell>
        </row>
        <row r="23465">
          <cell r="A23465">
            <v>43245</v>
          </cell>
        </row>
        <row r="23466">
          <cell r="A23466">
            <v>43222</v>
          </cell>
        </row>
        <row r="23467">
          <cell r="A23467">
            <v>43896</v>
          </cell>
        </row>
        <row r="23468">
          <cell r="A23468">
            <v>43192</v>
          </cell>
        </row>
        <row r="23469">
          <cell r="A23469">
            <v>43754</v>
          </cell>
        </row>
        <row r="23470">
          <cell r="A23470">
            <v>43622</v>
          </cell>
        </row>
        <row r="23471">
          <cell r="A23471">
            <v>43252</v>
          </cell>
        </row>
        <row r="23472">
          <cell r="A23472">
            <v>43401</v>
          </cell>
        </row>
        <row r="23473">
          <cell r="A23473">
            <v>43839</v>
          </cell>
        </row>
        <row r="23474">
          <cell r="A23474">
            <v>43909</v>
          </cell>
        </row>
        <row r="23475">
          <cell r="A23475">
            <v>43385</v>
          </cell>
        </row>
        <row r="23476">
          <cell r="A23476">
            <v>43114</v>
          </cell>
        </row>
        <row r="23477">
          <cell r="A23477">
            <v>43518</v>
          </cell>
        </row>
        <row r="23478">
          <cell r="A23478">
            <v>43503</v>
          </cell>
        </row>
        <row r="23479">
          <cell r="A23479">
            <v>43524</v>
          </cell>
        </row>
        <row r="23480">
          <cell r="A23480">
            <v>43549</v>
          </cell>
        </row>
        <row r="23481">
          <cell r="A23481">
            <v>43102</v>
          </cell>
        </row>
        <row r="23482">
          <cell r="A23482">
            <v>43696</v>
          </cell>
        </row>
        <row r="23483">
          <cell r="A23483">
            <v>43876</v>
          </cell>
        </row>
        <row r="23484">
          <cell r="A23484">
            <v>43798</v>
          </cell>
        </row>
        <row r="23485">
          <cell r="A23485">
            <v>43493</v>
          </cell>
        </row>
        <row r="23486">
          <cell r="A23486">
            <v>43233</v>
          </cell>
        </row>
        <row r="23487">
          <cell r="A23487">
            <v>43861</v>
          </cell>
        </row>
        <row r="23488">
          <cell r="A23488">
            <v>43847</v>
          </cell>
        </row>
        <row r="23489">
          <cell r="A23489">
            <v>43461</v>
          </cell>
        </row>
        <row r="23490">
          <cell r="A23490">
            <v>43218</v>
          </cell>
        </row>
        <row r="23491">
          <cell r="A23491">
            <v>43490</v>
          </cell>
        </row>
        <row r="23492">
          <cell r="A23492">
            <v>43155</v>
          </cell>
        </row>
        <row r="23493">
          <cell r="A23493">
            <v>43184</v>
          </cell>
        </row>
        <row r="23494">
          <cell r="A23494">
            <v>43790</v>
          </cell>
        </row>
        <row r="23495">
          <cell r="A23495">
            <v>43202</v>
          </cell>
        </row>
        <row r="23496">
          <cell r="A23496">
            <v>43108</v>
          </cell>
        </row>
        <row r="23497">
          <cell r="A23497">
            <v>43562</v>
          </cell>
        </row>
        <row r="23498">
          <cell r="A23498">
            <v>43911</v>
          </cell>
        </row>
        <row r="23499">
          <cell r="A23499">
            <v>43537</v>
          </cell>
        </row>
        <row r="23500">
          <cell r="A23500">
            <v>43843</v>
          </cell>
        </row>
        <row r="23501">
          <cell r="A23501">
            <v>43375</v>
          </cell>
        </row>
        <row r="23502">
          <cell r="A23502">
            <v>43480</v>
          </cell>
        </row>
        <row r="23503">
          <cell r="A23503">
            <v>43613</v>
          </cell>
        </row>
        <row r="23504">
          <cell r="A23504">
            <v>43559</v>
          </cell>
        </row>
        <row r="23505">
          <cell r="A23505">
            <v>43387</v>
          </cell>
        </row>
        <row r="23506">
          <cell r="A23506">
            <v>43900</v>
          </cell>
        </row>
        <row r="23507">
          <cell r="A23507">
            <v>43231</v>
          </cell>
        </row>
        <row r="23508">
          <cell r="A23508">
            <v>43561</v>
          </cell>
        </row>
        <row r="23509">
          <cell r="A23509">
            <v>43144</v>
          </cell>
        </row>
        <row r="23510">
          <cell r="A23510">
            <v>43369</v>
          </cell>
        </row>
        <row r="23511">
          <cell r="A23511">
            <v>43856</v>
          </cell>
        </row>
        <row r="23512">
          <cell r="A23512">
            <v>43251</v>
          </cell>
        </row>
        <row r="23513">
          <cell r="A23513">
            <v>43846</v>
          </cell>
        </row>
        <row r="23514">
          <cell r="A23514">
            <v>43507</v>
          </cell>
        </row>
        <row r="23515">
          <cell r="A23515">
            <v>43903</v>
          </cell>
        </row>
        <row r="23516">
          <cell r="A23516">
            <v>43718</v>
          </cell>
        </row>
        <row r="23517">
          <cell r="A23517">
            <v>43490</v>
          </cell>
        </row>
        <row r="23518">
          <cell r="A23518">
            <v>43115</v>
          </cell>
        </row>
        <row r="23519">
          <cell r="A23519">
            <v>43879</v>
          </cell>
        </row>
        <row r="23520">
          <cell r="A23520">
            <v>43298</v>
          </cell>
        </row>
        <row r="23521">
          <cell r="A23521">
            <v>43579</v>
          </cell>
        </row>
        <row r="23522">
          <cell r="A23522">
            <v>43177</v>
          </cell>
        </row>
        <row r="23523">
          <cell r="A23523">
            <v>43534</v>
          </cell>
        </row>
        <row r="23524">
          <cell r="A23524">
            <v>43665</v>
          </cell>
        </row>
        <row r="23525">
          <cell r="A23525">
            <v>43603</v>
          </cell>
        </row>
        <row r="23526">
          <cell r="A23526">
            <v>43416</v>
          </cell>
        </row>
        <row r="23527">
          <cell r="A23527">
            <v>43507</v>
          </cell>
        </row>
        <row r="23528">
          <cell r="A23528">
            <v>43183</v>
          </cell>
        </row>
        <row r="23529">
          <cell r="A23529">
            <v>43163</v>
          </cell>
        </row>
        <row r="23530">
          <cell r="A23530">
            <v>43429</v>
          </cell>
        </row>
        <row r="23531">
          <cell r="A23531">
            <v>43247</v>
          </cell>
        </row>
        <row r="23532">
          <cell r="A23532">
            <v>43713</v>
          </cell>
        </row>
        <row r="23533">
          <cell r="A23533">
            <v>43662</v>
          </cell>
        </row>
        <row r="23534">
          <cell r="A23534">
            <v>43894</v>
          </cell>
        </row>
        <row r="23535">
          <cell r="A23535">
            <v>43254</v>
          </cell>
        </row>
        <row r="23536">
          <cell r="A23536">
            <v>43116</v>
          </cell>
        </row>
        <row r="23537">
          <cell r="A23537">
            <v>43255</v>
          </cell>
        </row>
        <row r="23538">
          <cell r="A23538">
            <v>43583</v>
          </cell>
        </row>
        <row r="23539">
          <cell r="A23539">
            <v>43724</v>
          </cell>
        </row>
        <row r="23540">
          <cell r="A23540">
            <v>43673</v>
          </cell>
        </row>
        <row r="23541">
          <cell r="A23541">
            <v>43152</v>
          </cell>
        </row>
        <row r="23542">
          <cell r="A23542">
            <v>43659</v>
          </cell>
        </row>
        <row r="23543">
          <cell r="A23543">
            <v>43153</v>
          </cell>
        </row>
        <row r="23544">
          <cell r="A23544">
            <v>43620</v>
          </cell>
        </row>
        <row r="23545">
          <cell r="A23545">
            <v>43584</v>
          </cell>
        </row>
        <row r="23546">
          <cell r="A23546">
            <v>43843</v>
          </cell>
        </row>
        <row r="23547">
          <cell r="A23547">
            <v>43414</v>
          </cell>
        </row>
        <row r="23548">
          <cell r="A23548">
            <v>43691</v>
          </cell>
        </row>
        <row r="23549">
          <cell r="A23549">
            <v>43491</v>
          </cell>
        </row>
        <row r="23550">
          <cell r="A23550">
            <v>43216</v>
          </cell>
        </row>
        <row r="23551">
          <cell r="A23551">
            <v>43615</v>
          </cell>
        </row>
        <row r="23552">
          <cell r="A23552">
            <v>43709</v>
          </cell>
        </row>
        <row r="23553">
          <cell r="A23553">
            <v>43892</v>
          </cell>
        </row>
        <row r="23554">
          <cell r="A23554">
            <v>43626</v>
          </cell>
        </row>
        <row r="23555">
          <cell r="A23555">
            <v>43159</v>
          </cell>
        </row>
        <row r="23556">
          <cell r="A23556">
            <v>43311</v>
          </cell>
        </row>
        <row r="23557">
          <cell r="A23557">
            <v>43167</v>
          </cell>
        </row>
        <row r="23558">
          <cell r="A23558">
            <v>43665</v>
          </cell>
        </row>
        <row r="23559">
          <cell r="A23559">
            <v>43186</v>
          </cell>
        </row>
        <row r="23560">
          <cell r="A23560">
            <v>43800</v>
          </cell>
        </row>
        <row r="23561">
          <cell r="A23561">
            <v>43428</v>
          </cell>
        </row>
        <row r="23562">
          <cell r="A23562">
            <v>43627</v>
          </cell>
        </row>
        <row r="23563">
          <cell r="A23563">
            <v>43891</v>
          </cell>
        </row>
        <row r="23564">
          <cell r="A23564">
            <v>43469</v>
          </cell>
        </row>
        <row r="23565">
          <cell r="A23565">
            <v>43439</v>
          </cell>
        </row>
        <row r="23566">
          <cell r="A23566">
            <v>43451</v>
          </cell>
        </row>
        <row r="23567">
          <cell r="A23567">
            <v>43432</v>
          </cell>
        </row>
        <row r="23568">
          <cell r="A23568">
            <v>43117</v>
          </cell>
        </row>
        <row r="23569">
          <cell r="A23569">
            <v>43816</v>
          </cell>
        </row>
        <row r="23570">
          <cell r="A23570">
            <v>43163</v>
          </cell>
        </row>
        <row r="23571">
          <cell r="A23571">
            <v>43299</v>
          </cell>
        </row>
        <row r="23572">
          <cell r="A23572">
            <v>43184</v>
          </cell>
        </row>
        <row r="23573">
          <cell r="A23573">
            <v>43450</v>
          </cell>
        </row>
        <row r="23574">
          <cell r="A23574">
            <v>43758</v>
          </cell>
        </row>
        <row r="23575">
          <cell r="A23575">
            <v>43517</v>
          </cell>
        </row>
        <row r="23576">
          <cell r="A23576">
            <v>43647</v>
          </cell>
        </row>
        <row r="23577">
          <cell r="A23577">
            <v>43676</v>
          </cell>
        </row>
        <row r="23578">
          <cell r="A23578">
            <v>43324</v>
          </cell>
        </row>
        <row r="23579">
          <cell r="A23579">
            <v>43706</v>
          </cell>
        </row>
        <row r="23580">
          <cell r="A23580">
            <v>43149</v>
          </cell>
        </row>
        <row r="23581">
          <cell r="A23581">
            <v>43864</v>
          </cell>
        </row>
        <row r="23582">
          <cell r="A23582">
            <v>43487</v>
          </cell>
        </row>
        <row r="23583">
          <cell r="A23583">
            <v>43445</v>
          </cell>
        </row>
        <row r="23584">
          <cell r="A23584">
            <v>43822</v>
          </cell>
        </row>
        <row r="23585">
          <cell r="A23585">
            <v>43615</v>
          </cell>
        </row>
        <row r="23586">
          <cell r="A23586">
            <v>43530</v>
          </cell>
        </row>
        <row r="23587">
          <cell r="A23587">
            <v>43559</v>
          </cell>
        </row>
        <row r="23588">
          <cell r="A23588">
            <v>43212</v>
          </cell>
        </row>
        <row r="23589">
          <cell r="A23589">
            <v>43301</v>
          </cell>
        </row>
        <row r="23590">
          <cell r="A23590">
            <v>43185</v>
          </cell>
        </row>
        <row r="23591">
          <cell r="A23591">
            <v>43342</v>
          </cell>
        </row>
        <row r="23592">
          <cell r="A23592">
            <v>43522</v>
          </cell>
        </row>
        <row r="23593">
          <cell r="A23593">
            <v>43685</v>
          </cell>
        </row>
        <row r="23594">
          <cell r="A23594">
            <v>43519</v>
          </cell>
        </row>
        <row r="23595">
          <cell r="A23595">
            <v>43141</v>
          </cell>
        </row>
        <row r="23596">
          <cell r="A23596">
            <v>43394</v>
          </cell>
        </row>
        <row r="23597">
          <cell r="A23597">
            <v>43216</v>
          </cell>
        </row>
        <row r="23598">
          <cell r="A23598">
            <v>43156</v>
          </cell>
        </row>
        <row r="23599">
          <cell r="A23599">
            <v>43896</v>
          </cell>
        </row>
        <row r="23600">
          <cell r="A23600">
            <v>43701</v>
          </cell>
        </row>
        <row r="23601">
          <cell r="A23601">
            <v>43123</v>
          </cell>
        </row>
        <row r="23602">
          <cell r="A23602">
            <v>43580</v>
          </cell>
        </row>
        <row r="23603">
          <cell r="A23603">
            <v>43648</v>
          </cell>
        </row>
        <row r="23604">
          <cell r="A23604">
            <v>43382</v>
          </cell>
        </row>
        <row r="23605">
          <cell r="A23605">
            <v>43177</v>
          </cell>
        </row>
        <row r="23606">
          <cell r="A23606">
            <v>43351</v>
          </cell>
        </row>
        <row r="23607">
          <cell r="A23607">
            <v>43463</v>
          </cell>
        </row>
        <row r="23608">
          <cell r="A23608">
            <v>43121</v>
          </cell>
        </row>
        <row r="23609">
          <cell r="A23609">
            <v>43847</v>
          </cell>
        </row>
        <row r="23610">
          <cell r="A23610">
            <v>43448</v>
          </cell>
        </row>
        <row r="23611">
          <cell r="A23611">
            <v>43474</v>
          </cell>
        </row>
        <row r="23612">
          <cell r="A23612">
            <v>43522</v>
          </cell>
        </row>
        <row r="23613">
          <cell r="A23613">
            <v>43181</v>
          </cell>
        </row>
        <row r="23614">
          <cell r="A23614">
            <v>43408</v>
          </cell>
        </row>
        <row r="23615">
          <cell r="A23615">
            <v>43113</v>
          </cell>
        </row>
        <row r="23616">
          <cell r="A23616">
            <v>43118</v>
          </cell>
        </row>
        <row r="23617">
          <cell r="A23617">
            <v>43821</v>
          </cell>
        </row>
        <row r="23618">
          <cell r="A23618">
            <v>43812</v>
          </cell>
        </row>
        <row r="23619">
          <cell r="A23619">
            <v>43427</v>
          </cell>
        </row>
        <row r="23620">
          <cell r="A23620">
            <v>43277</v>
          </cell>
        </row>
        <row r="23621">
          <cell r="A23621">
            <v>43539</v>
          </cell>
        </row>
        <row r="23622">
          <cell r="A23622">
            <v>43626</v>
          </cell>
        </row>
        <row r="23623">
          <cell r="A23623">
            <v>43886</v>
          </cell>
        </row>
        <row r="23624">
          <cell r="A23624">
            <v>43282</v>
          </cell>
        </row>
        <row r="23625">
          <cell r="A23625">
            <v>43149</v>
          </cell>
        </row>
        <row r="23626">
          <cell r="A23626">
            <v>43427</v>
          </cell>
        </row>
        <row r="23627">
          <cell r="A23627">
            <v>43607</v>
          </cell>
        </row>
        <row r="23628">
          <cell r="A23628">
            <v>43234</v>
          </cell>
        </row>
        <row r="23629">
          <cell r="A23629">
            <v>43522</v>
          </cell>
        </row>
        <row r="23630">
          <cell r="A23630">
            <v>43867</v>
          </cell>
        </row>
        <row r="23631">
          <cell r="A23631">
            <v>43663</v>
          </cell>
        </row>
        <row r="23632">
          <cell r="A23632">
            <v>43344</v>
          </cell>
        </row>
        <row r="23633">
          <cell r="A23633">
            <v>43697</v>
          </cell>
        </row>
        <row r="23634">
          <cell r="A23634">
            <v>43813</v>
          </cell>
        </row>
        <row r="23635">
          <cell r="A23635">
            <v>43253</v>
          </cell>
        </row>
        <row r="23636">
          <cell r="A23636">
            <v>43610</v>
          </cell>
        </row>
        <row r="23637">
          <cell r="A23637">
            <v>43239</v>
          </cell>
        </row>
        <row r="23638">
          <cell r="A23638">
            <v>43850</v>
          </cell>
        </row>
        <row r="23639">
          <cell r="A23639">
            <v>43516</v>
          </cell>
        </row>
        <row r="23640">
          <cell r="A23640">
            <v>43405</v>
          </cell>
        </row>
        <row r="23641">
          <cell r="A23641">
            <v>43121</v>
          </cell>
        </row>
        <row r="23642">
          <cell r="A23642">
            <v>43216</v>
          </cell>
        </row>
        <row r="23643">
          <cell r="A23643">
            <v>43511</v>
          </cell>
        </row>
        <row r="23644">
          <cell r="A23644">
            <v>43294</v>
          </cell>
        </row>
        <row r="23645">
          <cell r="A23645">
            <v>43569</v>
          </cell>
        </row>
        <row r="23646">
          <cell r="A23646">
            <v>43426</v>
          </cell>
        </row>
        <row r="23647">
          <cell r="A23647">
            <v>43860</v>
          </cell>
        </row>
        <row r="23648">
          <cell r="A23648">
            <v>43298</v>
          </cell>
        </row>
        <row r="23649">
          <cell r="A23649">
            <v>43151</v>
          </cell>
        </row>
        <row r="23650">
          <cell r="A23650">
            <v>43383</v>
          </cell>
        </row>
        <row r="23651">
          <cell r="A23651">
            <v>43838</v>
          </cell>
        </row>
        <row r="23652">
          <cell r="A23652">
            <v>43119</v>
          </cell>
        </row>
        <row r="23653">
          <cell r="A23653">
            <v>43121</v>
          </cell>
        </row>
        <row r="23654">
          <cell r="A23654">
            <v>43343</v>
          </cell>
        </row>
        <row r="23655">
          <cell r="A23655">
            <v>43831</v>
          </cell>
        </row>
        <row r="23656">
          <cell r="A23656">
            <v>43552</v>
          </cell>
        </row>
        <row r="23657">
          <cell r="A23657">
            <v>43679</v>
          </cell>
        </row>
        <row r="23658">
          <cell r="A23658">
            <v>43920</v>
          </cell>
        </row>
        <row r="23659">
          <cell r="A23659">
            <v>43482</v>
          </cell>
        </row>
        <row r="23660">
          <cell r="A23660">
            <v>43606</v>
          </cell>
        </row>
        <row r="23661">
          <cell r="A23661">
            <v>43697</v>
          </cell>
        </row>
        <row r="23662">
          <cell r="A23662">
            <v>43456</v>
          </cell>
        </row>
        <row r="23663">
          <cell r="A23663">
            <v>43885</v>
          </cell>
        </row>
        <row r="23664">
          <cell r="A23664">
            <v>43696</v>
          </cell>
        </row>
        <row r="23665">
          <cell r="A23665">
            <v>43729</v>
          </cell>
        </row>
        <row r="23666">
          <cell r="A23666">
            <v>43874</v>
          </cell>
        </row>
        <row r="23667">
          <cell r="A23667">
            <v>43764</v>
          </cell>
        </row>
        <row r="23668">
          <cell r="A23668">
            <v>43108</v>
          </cell>
        </row>
        <row r="23669">
          <cell r="A23669">
            <v>43559</v>
          </cell>
        </row>
        <row r="23670">
          <cell r="A23670">
            <v>43450</v>
          </cell>
        </row>
        <row r="23671">
          <cell r="A23671">
            <v>43787</v>
          </cell>
        </row>
        <row r="23672">
          <cell r="A23672">
            <v>43748</v>
          </cell>
        </row>
        <row r="23673">
          <cell r="A23673">
            <v>43887</v>
          </cell>
        </row>
        <row r="23674">
          <cell r="A23674">
            <v>43789</v>
          </cell>
        </row>
        <row r="23675">
          <cell r="A23675">
            <v>43352</v>
          </cell>
        </row>
        <row r="23676">
          <cell r="A23676">
            <v>43210</v>
          </cell>
        </row>
        <row r="23677">
          <cell r="A23677">
            <v>43539</v>
          </cell>
        </row>
        <row r="23678">
          <cell r="A23678">
            <v>43804</v>
          </cell>
        </row>
        <row r="23679">
          <cell r="A23679">
            <v>43790</v>
          </cell>
        </row>
        <row r="23680">
          <cell r="A23680">
            <v>43915</v>
          </cell>
        </row>
        <row r="23681">
          <cell r="A23681">
            <v>43668</v>
          </cell>
        </row>
        <row r="23682">
          <cell r="A23682">
            <v>43141</v>
          </cell>
        </row>
        <row r="23683">
          <cell r="A23683">
            <v>43454</v>
          </cell>
        </row>
        <row r="23684">
          <cell r="A23684">
            <v>43401</v>
          </cell>
        </row>
        <row r="23685">
          <cell r="A23685">
            <v>43263</v>
          </cell>
        </row>
        <row r="23686">
          <cell r="A23686">
            <v>43358</v>
          </cell>
        </row>
        <row r="23687">
          <cell r="A23687">
            <v>43158</v>
          </cell>
        </row>
        <row r="23688">
          <cell r="A23688">
            <v>43135</v>
          </cell>
        </row>
        <row r="23689">
          <cell r="A23689">
            <v>43228</v>
          </cell>
        </row>
        <row r="23690">
          <cell r="A23690">
            <v>43462</v>
          </cell>
        </row>
        <row r="23691">
          <cell r="A23691">
            <v>43598</v>
          </cell>
        </row>
        <row r="23692">
          <cell r="A23692">
            <v>43775</v>
          </cell>
        </row>
        <row r="23693">
          <cell r="A23693">
            <v>43651</v>
          </cell>
        </row>
        <row r="23694">
          <cell r="A23694">
            <v>43603</v>
          </cell>
        </row>
        <row r="23695">
          <cell r="A23695">
            <v>43889</v>
          </cell>
        </row>
        <row r="23696">
          <cell r="A23696">
            <v>43236</v>
          </cell>
        </row>
        <row r="23697">
          <cell r="A23697">
            <v>43594</v>
          </cell>
        </row>
        <row r="23698">
          <cell r="A23698">
            <v>43207</v>
          </cell>
        </row>
        <row r="23699">
          <cell r="A23699">
            <v>43442</v>
          </cell>
        </row>
        <row r="23700">
          <cell r="A23700">
            <v>43565</v>
          </cell>
        </row>
        <row r="23701">
          <cell r="A23701">
            <v>43446</v>
          </cell>
        </row>
        <row r="23702">
          <cell r="A23702">
            <v>43350</v>
          </cell>
        </row>
        <row r="23703">
          <cell r="A23703">
            <v>43702</v>
          </cell>
        </row>
        <row r="23704">
          <cell r="A23704">
            <v>43518</v>
          </cell>
        </row>
        <row r="23705">
          <cell r="A23705">
            <v>43854</v>
          </cell>
        </row>
        <row r="23706">
          <cell r="A23706">
            <v>43272</v>
          </cell>
        </row>
        <row r="23707">
          <cell r="A23707">
            <v>43840</v>
          </cell>
        </row>
        <row r="23708">
          <cell r="A23708">
            <v>43848</v>
          </cell>
        </row>
        <row r="23709">
          <cell r="A23709">
            <v>43544</v>
          </cell>
        </row>
        <row r="23710">
          <cell r="A23710">
            <v>43808</v>
          </cell>
        </row>
        <row r="23711">
          <cell r="A23711">
            <v>43223</v>
          </cell>
        </row>
        <row r="23712">
          <cell r="A23712">
            <v>43609</v>
          </cell>
        </row>
        <row r="23713">
          <cell r="A23713">
            <v>43917</v>
          </cell>
        </row>
        <row r="23714">
          <cell r="A23714">
            <v>43529</v>
          </cell>
        </row>
        <row r="23715">
          <cell r="A23715">
            <v>43525</v>
          </cell>
        </row>
        <row r="23716">
          <cell r="A23716">
            <v>43590</v>
          </cell>
        </row>
        <row r="23717">
          <cell r="A23717">
            <v>43492</v>
          </cell>
        </row>
        <row r="23718">
          <cell r="A23718">
            <v>43665</v>
          </cell>
        </row>
        <row r="23719">
          <cell r="A23719">
            <v>43215</v>
          </cell>
        </row>
        <row r="23720">
          <cell r="A23720">
            <v>43667</v>
          </cell>
        </row>
        <row r="23721">
          <cell r="A23721">
            <v>43448</v>
          </cell>
        </row>
        <row r="23722">
          <cell r="A23722">
            <v>43354</v>
          </cell>
        </row>
        <row r="23723">
          <cell r="A23723">
            <v>43482</v>
          </cell>
        </row>
        <row r="23724">
          <cell r="A23724">
            <v>43468</v>
          </cell>
        </row>
        <row r="23725">
          <cell r="A23725">
            <v>43670</v>
          </cell>
        </row>
        <row r="23726">
          <cell r="A23726">
            <v>43491</v>
          </cell>
        </row>
        <row r="23727">
          <cell r="A23727">
            <v>43629</v>
          </cell>
        </row>
        <row r="23728">
          <cell r="A23728">
            <v>43266</v>
          </cell>
        </row>
        <row r="23729">
          <cell r="A23729">
            <v>43679</v>
          </cell>
        </row>
        <row r="23730">
          <cell r="A23730">
            <v>43194</v>
          </cell>
        </row>
        <row r="23731">
          <cell r="A23731">
            <v>43230</v>
          </cell>
        </row>
        <row r="23732">
          <cell r="A23732">
            <v>43603</v>
          </cell>
        </row>
        <row r="23733">
          <cell r="A23733">
            <v>43537</v>
          </cell>
        </row>
        <row r="23734">
          <cell r="A23734">
            <v>43636</v>
          </cell>
        </row>
        <row r="23735">
          <cell r="A23735">
            <v>43883</v>
          </cell>
        </row>
        <row r="23736">
          <cell r="A23736">
            <v>43393</v>
          </cell>
        </row>
        <row r="23737">
          <cell r="A23737">
            <v>43250</v>
          </cell>
        </row>
        <row r="23738">
          <cell r="A23738">
            <v>43770</v>
          </cell>
        </row>
        <row r="23739">
          <cell r="A23739">
            <v>43393</v>
          </cell>
        </row>
        <row r="23740">
          <cell r="A23740">
            <v>43260</v>
          </cell>
        </row>
        <row r="23741">
          <cell r="A23741">
            <v>43817</v>
          </cell>
        </row>
        <row r="23742">
          <cell r="A23742">
            <v>43558</v>
          </cell>
        </row>
        <row r="23743">
          <cell r="A23743">
            <v>43165</v>
          </cell>
        </row>
        <row r="23744">
          <cell r="A23744">
            <v>43792</v>
          </cell>
        </row>
        <row r="23745">
          <cell r="A23745">
            <v>43112</v>
          </cell>
        </row>
        <row r="23746">
          <cell r="A23746">
            <v>43598</v>
          </cell>
        </row>
        <row r="23747">
          <cell r="A23747">
            <v>43305</v>
          </cell>
        </row>
        <row r="23748">
          <cell r="A23748">
            <v>43241</v>
          </cell>
        </row>
        <row r="23749">
          <cell r="A23749">
            <v>43150</v>
          </cell>
        </row>
        <row r="23750">
          <cell r="A23750">
            <v>43828</v>
          </cell>
        </row>
        <row r="23751">
          <cell r="A23751">
            <v>43670</v>
          </cell>
        </row>
        <row r="23752">
          <cell r="A23752">
            <v>43668</v>
          </cell>
        </row>
        <row r="23753">
          <cell r="A23753">
            <v>43870</v>
          </cell>
        </row>
        <row r="23754">
          <cell r="A23754">
            <v>43534</v>
          </cell>
        </row>
        <row r="23755">
          <cell r="A23755">
            <v>43720</v>
          </cell>
        </row>
        <row r="23756">
          <cell r="A23756">
            <v>43507</v>
          </cell>
        </row>
        <row r="23757">
          <cell r="A23757">
            <v>43611</v>
          </cell>
        </row>
        <row r="23758">
          <cell r="A23758">
            <v>43227</v>
          </cell>
        </row>
        <row r="23759">
          <cell r="A23759">
            <v>43491</v>
          </cell>
        </row>
        <row r="23760">
          <cell r="A23760">
            <v>43172</v>
          </cell>
        </row>
        <row r="23761">
          <cell r="A23761">
            <v>43232</v>
          </cell>
        </row>
        <row r="23762">
          <cell r="A23762">
            <v>43215</v>
          </cell>
        </row>
        <row r="23763">
          <cell r="A23763">
            <v>43507</v>
          </cell>
        </row>
        <row r="23764">
          <cell r="A23764">
            <v>43668</v>
          </cell>
        </row>
        <row r="23765">
          <cell r="A23765">
            <v>43777</v>
          </cell>
        </row>
        <row r="23766">
          <cell r="A23766">
            <v>43289</v>
          </cell>
        </row>
        <row r="23767">
          <cell r="A23767">
            <v>43374</v>
          </cell>
        </row>
        <row r="23768">
          <cell r="A23768">
            <v>43270</v>
          </cell>
        </row>
        <row r="23769">
          <cell r="A23769">
            <v>43477</v>
          </cell>
        </row>
        <row r="23770">
          <cell r="A23770">
            <v>43803</v>
          </cell>
        </row>
        <row r="23771">
          <cell r="A23771">
            <v>43444</v>
          </cell>
        </row>
        <row r="23772">
          <cell r="A23772">
            <v>43891</v>
          </cell>
        </row>
        <row r="23773">
          <cell r="A23773">
            <v>43673</v>
          </cell>
        </row>
        <row r="23774">
          <cell r="A23774">
            <v>43468</v>
          </cell>
        </row>
        <row r="23775">
          <cell r="A23775">
            <v>43721</v>
          </cell>
        </row>
        <row r="23776">
          <cell r="A23776">
            <v>43285</v>
          </cell>
        </row>
        <row r="23777">
          <cell r="A23777">
            <v>43670</v>
          </cell>
        </row>
        <row r="23778">
          <cell r="A23778">
            <v>43523</v>
          </cell>
        </row>
        <row r="23779">
          <cell r="A23779">
            <v>43785</v>
          </cell>
        </row>
        <row r="23780">
          <cell r="A23780">
            <v>43374</v>
          </cell>
        </row>
        <row r="23781">
          <cell r="A23781">
            <v>43154</v>
          </cell>
        </row>
        <row r="23782">
          <cell r="A23782">
            <v>43532</v>
          </cell>
        </row>
        <row r="23783">
          <cell r="A23783">
            <v>43889</v>
          </cell>
        </row>
        <row r="23784">
          <cell r="A23784">
            <v>43521</v>
          </cell>
        </row>
        <row r="23785">
          <cell r="A23785">
            <v>43546</v>
          </cell>
        </row>
        <row r="23786">
          <cell r="A23786">
            <v>43191</v>
          </cell>
        </row>
        <row r="23787">
          <cell r="A23787">
            <v>43617</v>
          </cell>
        </row>
        <row r="23788">
          <cell r="A23788">
            <v>43265</v>
          </cell>
        </row>
        <row r="23789">
          <cell r="A23789">
            <v>43794</v>
          </cell>
        </row>
        <row r="23790">
          <cell r="A23790">
            <v>43380</v>
          </cell>
        </row>
        <row r="23791">
          <cell r="A23791">
            <v>43546</v>
          </cell>
        </row>
        <row r="23792">
          <cell r="A23792">
            <v>43199</v>
          </cell>
        </row>
        <row r="23793">
          <cell r="A23793">
            <v>43102</v>
          </cell>
        </row>
        <row r="23794">
          <cell r="A23794">
            <v>43444</v>
          </cell>
        </row>
        <row r="23795">
          <cell r="A23795">
            <v>43518</v>
          </cell>
        </row>
        <row r="23796">
          <cell r="A23796">
            <v>43378</v>
          </cell>
        </row>
        <row r="23797">
          <cell r="A23797">
            <v>43260</v>
          </cell>
        </row>
        <row r="23798">
          <cell r="A23798">
            <v>43245</v>
          </cell>
        </row>
        <row r="23799">
          <cell r="A23799">
            <v>43597</v>
          </cell>
        </row>
        <row r="23800">
          <cell r="A23800">
            <v>43424</v>
          </cell>
        </row>
        <row r="23801">
          <cell r="A23801">
            <v>43164</v>
          </cell>
        </row>
        <row r="23802">
          <cell r="A23802">
            <v>43483</v>
          </cell>
        </row>
        <row r="23803">
          <cell r="A23803">
            <v>43315</v>
          </cell>
        </row>
        <row r="23804">
          <cell r="A23804">
            <v>43564</v>
          </cell>
        </row>
        <row r="23805">
          <cell r="A23805">
            <v>43783</v>
          </cell>
        </row>
        <row r="23806">
          <cell r="A23806">
            <v>43346</v>
          </cell>
        </row>
        <row r="23807">
          <cell r="A23807">
            <v>43268</v>
          </cell>
        </row>
        <row r="23808">
          <cell r="A23808">
            <v>43827</v>
          </cell>
        </row>
        <row r="23809">
          <cell r="A23809">
            <v>43425</v>
          </cell>
        </row>
        <row r="23810">
          <cell r="A23810">
            <v>43122</v>
          </cell>
        </row>
        <row r="23811">
          <cell r="A23811">
            <v>43109</v>
          </cell>
        </row>
        <row r="23812">
          <cell r="A23812">
            <v>43354</v>
          </cell>
        </row>
        <row r="23813">
          <cell r="A23813">
            <v>43194</v>
          </cell>
        </row>
        <row r="23814">
          <cell r="A23814">
            <v>43867</v>
          </cell>
        </row>
        <row r="23815">
          <cell r="A23815">
            <v>43871</v>
          </cell>
        </row>
        <row r="23816">
          <cell r="A23816">
            <v>43848</v>
          </cell>
        </row>
        <row r="23817">
          <cell r="A23817">
            <v>43855</v>
          </cell>
        </row>
        <row r="23818">
          <cell r="A23818">
            <v>43209</v>
          </cell>
        </row>
        <row r="23819">
          <cell r="A23819">
            <v>43793</v>
          </cell>
        </row>
        <row r="23820">
          <cell r="A23820">
            <v>43113</v>
          </cell>
        </row>
        <row r="23821">
          <cell r="A23821">
            <v>43890</v>
          </cell>
        </row>
        <row r="23822">
          <cell r="A23822">
            <v>43240</v>
          </cell>
        </row>
        <row r="23823">
          <cell r="A23823">
            <v>43170</v>
          </cell>
        </row>
        <row r="23824">
          <cell r="A23824">
            <v>43657</v>
          </cell>
        </row>
        <row r="23825">
          <cell r="A23825">
            <v>43586</v>
          </cell>
        </row>
        <row r="23826">
          <cell r="A23826">
            <v>43426</v>
          </cell>
        </row>
        <row r="23827">
          <cell r="A23827">
            <v>43599</v>
          </cell>
        </row>
        <row r="23828">
          <cell r="A23828">
            <v>43117</v>
          </cell>
        </row>
        <row r="23829">
          <cell r="A23829">
            <v>43669</v>
          </cell>
        </row>
        <row r="23830">
          <cell r="A23830">
            <v>43121</v>
          </cell>
        </row>
        <row r="23831">
          <cell r="A23831">
            <v>43643</v>
          </cell>
        </row>
        <row r="23832">
          <cell r="A23832">
            <v>43179</v>
          </cell>
        </row>
        <row r="23833">
          <cell r="A23833">
            <v>43191</v>
          </cell>
        </row>
        <row r="23834">
          <cell r="A23834">
            <v>43207</v>
          </cell>
        </row>
        <row r="23835">
          <cell r="A23835">
            <v>43482</v>
          </cell>
        </row>
        <row r="23836">
          <cell r="A23836">
            <v>43462</v>
          </cell>
        </row>
        <row r="23837">
          <cell r="A23837">
            <v>43289</v>
          </cell>
        </row>
        <row r="23838">
          <cell r="A23838">
            <v>43562</v>
          </cell>
        </row>
        <row r="23839">
          <cell r="A23839">
            <v>43224</v>
          </cell>
        </row>
        <row r="23840">
          <cell r="A23840">
            <v>43307</v>
          </cell>
        </row>
        <row r="23841">
          <cell r="A23841">
            <v>43860</v>
          </cell>
        </row>
        <row r="23842">
          <cell r="A23842">
            <v>43498</v>
          </cell>
        </row>
        <row r="23843">
          <cell r="A23843">
            <v>43400</v>
          </cell>
        </row>
        <row r="23844">
          <cell r="A23844">
            <v>43251</v>
          </cell>
        </row>
        <row r="23845">
          <cell r="A23845">
            <v>43220</v>
          </cell>
        </row>
        <row r="23846">
          <cell r="A23846">
            <v>43465</v>
          </cell>
        </row>
        <row r="23847">
          <cell r="A23847">
            <v>43872</v>
          </cell>
        </row>
        <row r="23848">
          <cell r="A23848">
            <v>43335</v>
          </cell>
        </row>
        <row r="23849">
          <cell r="A23849">
            <v>43170</v>
          </cell>
        </row>
        <row r="23850">
          <cell r="A23850">
            <v>43293</v>
          </cell>
        </row>
        <row r="23851">
          <cell r="A23851">
            <v>43741</v>
          </cell>
        </row>
        <row r="23852">
          <cell r="A23852">
            <v>43653</v>
          </cell>
        </row>
        <row r="23853">
          <cell r="A23853">
            <v>43705</v>
          </cell>
        </row>
        <row r="23854">
          <cell r="A23854">
            <v>43151</v>
          </cell>
        </row>
        <row r="23855">
          <cell r="A23855">
            <v>43629</v>
          </cell>
        </row>
        <row r="23856">
          <cell r="A23856">
            <v>43401</v>
          </cell>
        </row>
        <row r="23857">
          <cell r="A23857">
            <v>43295</v>
          </cell>
        </row>
        <row r="23858">
          <cell r="A23858">
            <v>43335</v>
          </cell>
        </row>
        <row r="23859">
          <cell r="A23859">
            <v>43207</v>
          </cell>
        </row>
        <row r="23860">
          <cell r="A23860">
            <v>43471</v>
          </cell>
        </row>
        <row r="23861">
          <cell r="A23861">
            <v>43495</v>
          </cell>
        </row>
        <row r="23862">
          <cell r="A23862">
            <v>43188</v>
          </cell>
        </row>
        <row r="23863">
          <cell r="A23863">
            <v>43121</v>
          </cell>
        </row>
        <row r="23864">
          <cell r="A23864">
            <v>43361</v>
          </cell>
        </row>
        <row r="23865">
          <cell r="A23865">
            <v>43603</v>
          </cell>
        </row>
        <row r="23866">
          <cell r="A23866">
            <v>43523</v>
          </cell>
        </row>
        <row r="23867">
          <cell r="A23867">
            <v>43308</v>
          </cell>
        </row>
        <row r="23868">
          <cell r="A23868">
            <v>43561</v>
          </cell>
        </row>
        <row r="23869">
          <cell r="A23869">
            <v>43562</v>
          </cell>
        </row>
        <row r="23870">
          <cell r="A23870">
            <v>43330</v>
          </cell>
        </row>
        <row r="23871">
          <cell r="A23871">
            <v>43525</v>
          </cell>
        </row>
        <row r="23872">
          <cell r="A23872">
            <v>43367</v>
          </cell>
        </row>
        <row r="23873">
          <cell r="A23873">
            <v>43668</v>
          </cell>
        </row>
        <row r="23874">
          <cell r="A23874">
            <v>43355</v>
          </cell>
        </row>
        <row r="23875">
          <cell r="A23875">
            <v>43538</v>
          </cell>
        </row>
        <row r="23876">
          <cell r="A23876">
            <v>43900</v>
          </cell>
        </row>
        <row r="23877">
          <cell r="A23877">
            <v>43232</v>
          </cell>
        </row>
        <row r="23878">
          <cell r="A23878">
            <v>43561</v>
          </cell>
        </row>
        <row r="23879">
          <cell r="A23879">
            <v>43507</v>
          </cell>
        </row>
        <row r="23880">
          <cell r="A23880">
            <v>43820</v>
          </cell>
        </row>
        <row r="23881">
          <cell r="A23881">
            <v>43749</v>
          </cell>
        </row>
        <row r="23882">
          <cell r="A23882">
            <v>43425</v>
          </cell>
        </row>
        <row r="23883">
          <cell r="A23883">
            <v>43472</v>
          </cell>
        </row>
        <row r="23884">
          <cell r="A23884">
            <v>43392</v>
          </cell>
        </row>
        <row r="23885">
          <cell r="A23885">
            <v>43734</v>
          </cell>
        </row>
        <row r="23886">
          <cell r="A23886">
            <v>43792</v>
          </cell>
        </row>
        <row r="23887">
          <cell r="A23887">
            <v>43556</v>
          </cell>
        </row>
        <row r="23888">
          <cell r="A23888">
            <v>43552</v>
          </cell>
        </row>
        <row r="23889">
          <cell r="A23889">
            <v>43665</v>
          </cell>
        </row>
        <row r="23890">
          <cell r="A23890">
            <v>43360</v>
          </cell>
        </row>
        <row r="23891">
          <cell r="A23891">
            <v>43770</v>
          </cell>
        </row>
        <row r="23892">
          <cell r="A23892">
            <v>43342</v>
          </cell>
        </row>
        <row r="23893">
          <cell r="A23893">
            <v>43749</v>
          </cell>
        </row>
        <row r="23894">
          <cell r="A23894">
            <v>43909</v>
          </cell>
        </row>
        <row r="23895">
          <cell r="A23895">
            <v>43180</v>
          </cell>
        </row>
        <row r="23896">
          <cell r="A23896">
            <v>43135</v>
          </cell>
        </row>
        <row r="23897">
          <cell r="A23897">
            <v>43310</v>
          </cell>
        </row>
        <row r="23898">
          <cell r="A23898">
            <v>43721</v>
          </cell>
        </row>
        <row r="23899">
          <cell r="A23899">
            <v>43821</v>
          </cell>
        </row>
        <row r="23900">
          <cell r="A23900">
            <v>43411</v>
          </cell>
        </row>
        <row r="23901">
          <cell r="A23901">
            <v>43302</v>
          </cell>
        </row>
        <row r="23902">
          <cell r="A23902">
            <v>43132</v>
          </cell>
        </row>
        <row r="23903">
          <cell r="A23903">
            <v>43451</v>
          </cell>
        </row>
        <row r="23904">
          <cell r="A23904">
            <v>43752</v>
          </cell>
        </row>
        <row r="23905">
          <cell r="A23905">
            <v>43145</v>
          </cell>
        </row>
        <row r="23906">
          <cell r="A23906">
            <v>43786</v>
          </cell>
        </row>
        <row r="23907">
          <cell r="A23907">
            <v>43435</v>
          </cell>
        </row>
        <row r="23908">
          <cell r="A23908">
            <v>43349</v>
          </cell>
        </row>
        <row r="23909">
          <cell r="A23909">
            <v>43851</v>
          </cell>
        </row>
        <row r="23910">
          <cell r="A23910">
            <v>43139</v>
          </cell>
        </row>
        <row r="23911">
          <cell r="A23911">
            <v>43135</v>
          </cell>
        </row>
        <row r="23912">
          <cell r="A23912">
            <v>43768</v>
          </cell>
        </row>
        <row r="23913">
          <cell r="A23913">
            <v>43176</v>
          </cell>
        </row>
        <row r="23914">
          <cell r="A23914">
            <v>43508</v>
          </cell>
        </row>
        <row r="23915">
          <cell r="A23915">
            <v>43903</v>
          </cell>
        </row>
        <row r="23916">
          <cell r="A23916">
            <v>43688</v>
          </cell>
        </row>
        <row r="23917">
          <cell r="A23917">
            <v>43853</v>
          </cell>
        </row>
        <row r="23918">
          <cell r="A23918">
            <v>43816</v>
          </cell>
        </row>
        <row r="23919">
          <cell r="A23919">
            <v>43850</v>
          </cell>
        </row>
        <row r="23920">
          <cell r="A23920">
            <v>43374</v>
          </cell>
        </row>
        <row r="23921">
          <cell r="A23921">
            <v>43299</v>
          </cell>
        </row>
        <row r="23922">
          <cell r="A23922">
            <v>43307</v>
          </cell>
        </row>
        <row r="23923">
          <cell r="A23923">
            <v>43911</v>
          </cell>
        </row>
        <row r="23924">
          <cell r="A23924">
            <v>43355</v>
          </cell>
        </row>
        <row r="23925">
          <cell r="A23925">
            <v>43698</v>
          </cell>
        </row>
        <row r="23926">
          <cell r="A23926">
            <v>43675</v>
          </cell>
        </row>
        <row r="23927">
          <cell r="A23927">
            <v>43794</v>
          </cell>
        </row>
        <row r="23928">
          <cell r="A23928">
            <v>43307</v>
          </cell>
        </row>
        <row r="23929">
          <cell r="A23929">
            <v>43783</v>
          </cell>
        </row>
        <row r="23930">
          <cell r="A23930">
            <v>43275</v>
          </cell>
        </row>
        <row r="23931">
          <cell r="A23931">
            <v>43260</v>
          </cell>
        </row>
        <row r="23932">
          <cell r="A23932">
            <v>43811</v>
          </cell>
        </row>
        <row r="23933">
          <cell r="A23933">
            <v>43687</v>
          </cell>
        </row>
        <row r="23934">
          <cell r="A23934">
            <v>43440</v>
          </cell>
        </row>
        <row r="23935">
          <cell r="A23935">
            <v>43369</v>
          </cell>
        </row>
        <row r="23936">
          <cell r="A23936">
            <v>43149</v>
          </cell>
        </row>
        <row r="23937">
          <cell r="A23937">
            <v>43469</v>
          </cell>
        </row>
        <row r="23938">
          <cell r="A23938">
            <v>43745</v>
          </cell>
        </row>
        <row r="23939">
          <cell r="A23939">
            <v>43162</v>
          </cell>
        </row>
        <row r="23940">
          <cell r="A23940">
            <v>43609</v>
          </cell>
        </row>
        <row r="23941">
          <cell r="A23941">
            <v>43238</v>
          </cell>
        </row>
        <row r="23942">
          <cell r="A23942">
            <v>43885</v>
          </cell>
        </row>
        <row r="23943">
          <cell r="A23943">
            <v>43450</v>
          </cell>
        </row>
        <row r="23944">
          <cell r="A23944">
            <v>43208</v>
          </cell>
        </row>
        <row r="23945">
          <cell r="A23945">
            <v>43209</v>
          </cell>
        </row>
        <row r="23946">
          <cell r="A23946">
            <v>43134</v>
          </cell>
        </row>
        <row r="23947">
          <cell r="A23947">
            <v>43288</v>
          </cell>
        </row>
        <row r="23948">
          <cell r="A23948">
            <v>43853</v>
          </cell>
        </row>
        <row r="23949">
          <cell r="A23949">
            <v>43690</v>
          </cell>
        </row>
        <row r="23950">
          <cell r="A23950">
            <v>43378</v>
          </cell>
        </row>
        <row r="23951">
          <cell r="A23951">
            <v>43499</v>
          </cell>
        </row>
        <row r="23952">
          <cell r="A23952">
            <v>43839</v>
          </cell>
        </row>
        <row r="23953">
          <cell r="A23953">
            <v>43812</v>
          </cell>
        </row>
        <row r="23954">
          <cell r="A23954">
            <v>43696</v>
          </cell>
        </row>
        <row r="23955">
          <cell r="A23955">
            <v>43723</v>
          </cell>
        </row>
        <row r="23956">
          <cell r="A23956">
            <v>43710</v>
          </cell>
        </row>
        <row r="23957">
          <cell r="A23957">
            <v>43313</v>
          </cell>
        </row>
        <row r="23958">
          <cell r="A23958">
            <v>43794</v>
          </cell>
        </row>
        <row r="23959">
          <cell r="A23959">
            <v>43757</v>
          </cell>
        </row>
        <row r="23960">
          <cell r="A23960">
            <v>43473</v>
          </cell>
        </row>
        <row r="23961">
          <cell r="A23961">
            <v>43750</v>
          </cell>
        </row>
        <row r="23962">
          <cell r="A23962">
            <v>43329</v>
          </cell>
        </row>
        <row r="23963">
          <cell r="A23963">
            <v>43277</v>
          </cell>
        </row>
        <row r="23964">
          <cell r="A23964">
            <v>43764</v>
          </cell>
        </row>
        <row r="23965">
          <cell r="A23965">
            <v>43583</v>
          </cell>
        </row>
        <row r="23966">
          <cell r="A23966">
            <v>43745</v>
          </cell>
        </row>
        <row r="23967">
          <cell r="A23967">
            <v>43699</v>
          </cell>
        </row>
        <row r="23968">
          <cell r="A23968">
            <v>43428</v>
          </cell>
        </row>
        <row r="23969">
          <cell r="A23969">
            <v>43388</v>
          </cell>
        </row>
        <row r="23970">
          <cell r="A23970">
            <v>43719</v>
          </cell>
        </row>
        <row r="23971">
          <cell r="A23971">
            <v>43761</v>
          </cell>
        </row>
        <row r="23972">
          <cell r="A23972">
            <v>43404</v>
          </cell>
        </row>
        <row r="23973">
          <cell r="A23973">
            <v>43902</v>
          </cell>
        </row>
        <row r="23974">
          <cell r="A23974">
            <v>43577</v>
          </cell>
        </row>
        <row r="23975">
          <cell r="A23975">
            <v>43452</v>
          </cell>
        </row>
        <row r="23976">
          <cell r="A23976">
            <v>43461</v>
          </cell>
        </row>
        <row r="23977">
          <cell r="A23977">
            <v>43234</v>
          </cell>
        </row>
        <row r="23978">
          <cell r="A23978">
            <v>43448</v>
          </cell>
        </row>
        <row r="23979">
          <cell r="A23979">
            <v>43251</v>
          </cell>
        </row>
        <row r="23980">
          <cell r="A23980">
            <v>43843</v>
          </cell>
        </row>
        <row r="23981">
          <cell r="A23981">
            <v>43324</v>
          </cell>
        </row>
        <row r="23982">
          <cell r="A23982">
            <v>43570</v>
          </cell>
        </row>
        <row r="23983">
          <cell r="A23983">
            <v>43189</v>
          </cell>
        </row>
        <row r="23984">
          <cell r="A23984">
            <v>43117</v>
          </cell>
        </row>
        <row r="23985">
          <cell r="A23985">
            <v>43413</v>
          </cell>
        </row>
        <row r="23986">
          <cell r="A23986">
            <v>43766</v>
          </cell>
        </row>
        <row r="23987">
          <cell r="A23987">
            <v>43209</v>
          </cell>
        </row>
        <row r="23988">
          <cell r="A23988">
            <v>43731</v>
          </cell>
        </row>
        <row r="23989">
          <cell r="A23989">
            <v>43893</v>
          </cell>
        </row>
        <row r="23990">
          <cell r="A23990">
            <v>43560</v>
          </cell>
        </row>
        <row r="23991">
          <cell r="A23991">
            <v>43150</v>
          </cell>
        </row>
        <row r="23992">
          <cell r="A23992">
            <v>43613</v>
          </cell>
        </row>
        <row r="23993">
          <cell r="A23993">
            <v>43752</v>
          </cell>
        </row>
        <row r="23994">
          <cell r="A23994">
            <v>43311</v>
          </cell>
        </row>
        <row r="23995">
          <cell r="A23995">
            <v>43856</v>
          </cell>
        </row>
        <row r="23996">
          <cell r="A23996">
            <v>43347</v>
          </cell>
        </row>
        <row r="23997">
          <cell r="A23997">
            <v>43436</v>
          </cell>
        </row>
        <row r="23998">
          <cell r="A23998">
            <v>43602</v>
          </cell>
        </row>
        <row r="23999">
          <cell r="A23999">
            <v>43370</v>
          </cell>
        </row>
        <row r="24000">
          <cell r="A24000">
            <v>43309</v>
          </cell>
        </row>
        <row r="24001">
          <cell r="A24001">
            <v>43316</v>
          </cell>
        </row>
        <row r="24002">
          <cell r="A24002">
            <v>43293</v>
          </cell>
        </row>
        <row r="24003">
          <cell r="A24003">
            <v>43901</v>
          </cell>
        </row>
        <row r="24004">
          <cell r="A24004">
            <v>43304</v>
          </cell>
        </row>
        <row r="24005">
          <cell r="A24005">
            <v>43774</v>
          </cell>
        </row>
        <row r="24006">
          <cell r="A24006">
            <v>43182</v>
          </cell>
        </row>
        <row r="24007">
          <cell r="A24007">
            <v>43315</v>
          </cell>
        </row>
        <row r="24008">
          <cell r="A24008">
            <v>43411</v>
          </cell>
        </row>
        <row r="24009">
          <cell r="A24009">
            <v>43412</v>
          </cell>
        </row>
        <row r="24010">
          <cell r="A24010">
            <v>43643</v>
          </cell>
        </row>
        <row r="24011">
          <cell r="A24011">
            <v>43829</v>
          </cell>
        </row>
        <row r="24012">
          <cell r="A24012">
            <v>43648</v>
          </cell>
        </row>
        <row r="24013">
          <cell r="A24013">
            <v>43523</v>
          </cell>
        </row>
        <row r="24014">
          <cell r="A24014">
            <v>43871</v>
          </cell>
        </row>
        <row r="24015">
          <cell r="A24015">
            <v>43771</v>
          </cell>
        </row>
        <row r="24016">
          <cell r="A24016">
            <v>43311</v>
          </cell>
        </row>
        <row r="24017">
          <cell r="A24017">
            <v>43431</v>
          </cell>
        </row>
        <row r="24018">
          <cell r="A24018">
            <v>43515</v>
          </cell>
        </row>
        <row r="24019">
          <cell r="A24019">
            <v>43209</v>
          </cell>
        </row>
        <row r="24020">
          <cell r="A24020">
            <v>43502</v>
          </cell>
        </row>
        <row r="24021">
          <cell r="A24021">
            <v>43161</v>
          </cell>
        </row>
        <row r="24022">
          <cell r="A24022">
            <v>43460</v>
          </cell>
        </row>
        <row r="24023">
          <cell r="A24023">
            <v>43670</v>
          </cell>
        </row>
        <row r="24024">
          <cell r="A24024">
            <v>43864</v>
          </cell>
        </row>
        <row r="24025">
          <cell r="A24025">
            <v>43383</v>
          </cell>
        </row>
        <row r="24026">
          <cell r="A24026">
            <v>43259</v>
          </cell>
        </row>
        <row r="24027">
          <cell r="A24027">
            <v>43403</v>
          </cell>
        </row>
        <row r="24028">
          <cell r="A24028">
            <v>43903</v>
          </cell>
        </row>
        <row r="24029">
          <cell r="A24029">
            <v>43131</v>
          </cell>
        </row>
        <row r="24030">
          <cell r="A24030">
            <v>43157</v>
          </cell>
        </row>
        <row r="24031">
          <cell r="A24031">
            <v>43554</v>
          </cell>
        </row>
        <row r="24032">
          <cell r="A24032">
            <v>43777</v>
          </cell>
        </row>
        <row r="24033">
          <cell r="A24033">
            <v>43216</v>
          </cell>
        </row>
        <row r="24034">
          <cell r="A24034">
            <v>43877</v>
          </cell>
        </row>
        <row r="24035">
          <cell r="A24035">
            <v>43763</v>
          </cell>
        </row>
        <row r="24036">
          <cell r="A24036">
            <v>43150</v>
          </cell>
        </row>
        <row r="24037">
          <cell r="A24037">
            <v>43817</v>
          </cell>
        </row>
        <row r="24038">
          <cell r="A24038">
            <v>43918</v>
          </cell>
        </row>
        <row r="24039">
          <cell r="A24039">
            <v>43733</v>
          </cell>
        </row>
        <row r="24040">
          <cell r="A24040">
            <v>43701</v>
          </cell>
        </row>
        <row r="24041">
          <cell r="A24041">
            <v>43877</v>
          </cell>
        </row>
        <row r="24042">
          <cell r="A24042">
            <v>43579</v>
          </cell>
        </row>
        <row r="24043">
          <cell r="A24043">
            <v>43517</v>
          </cell>
        </row>
        <row r="24044">
          <cell r="A24044">
            <v>43492</v>
          </cell>
        </row>
        <row r="24045">
          <cell r="A24045">
            <v>43790</v>
          </cell>
        </row>
        <row r="24046">
          <cell r="A24046">
            <v>43670</v>
          </cell>
        </row>
        <row r="24047">
          <cell r="A24047">
            <v>43913</v>
          </cell>
        </row>
        <row r="24048">
          <cell r="A24048">
            <v>43865</v>
          </cell>
        </row>
        <row r="24049">
          <cell r="A24049">
            <v>43179</v>
          </cell>
        </row>
        <row r="24050">
          <cell r="A24050">
            <v>43616</v>
          </cell>
        </row>
        <row r="24051">
          <cell r="A24051">
            <v>43706</v>
          </cell>
        </row>
        <row r="24052">
          <cell r="A24052">
            <v>43260</v>
          </cell>
        </row>
        <row r="24053">
          <cell r="A24053">
            <v>43842</v>
          </cell>
        </row>
        <row r="24054">
          <cell r="A24054">
            <v>43271</v>
          </cell>
        </row>
        <row r="24055">
          <cell r="A24055">
            <v>43508</v>
          </cell>
        </row>
        <row r="24056">
          <cell r="A24056">
            <v>43230</v>
          </cell>
        </row>
        <row r="24057">
          <cell r="A24057">
            <v>43187</v>
          </cell>
        </row>
        <row r="24058">
          <cell r="A24058">
            <v>43705</v>
          </cell>
        </row>
        <row r="24059">
          <cell r="A24059">
            <v>43857</v>
          </cell>
        </row>
        <row r="24060">
          <cell r="A24060">
            <v>43716</v>
          </cell>
        </row>
        <row r="24061">
          <cell r="A24061">
            <v>43858</v>
          </cell>
        </row>
        <row r="24062">
          <cell r="A24062">
            <v>43348</v>
          </cell>
        </row>
        <row r="24063">
          <cell r="A24063">
            <v>43542</v>
          </cell>
        </row>
        <row r="24064">
          <cell r="A24064">
            <v>43766</v>
          </cell>
        </row>
        <row r="24065">
          <cell r="A24065">
            <v>43171</v>
          </cell>
        </row>
        <row r="24066">
          <cell r="A24066">
            <v>43475</v>
          </cell>
        </row>
        <row r="24067">
          <cell r="A24067">
            <v>43384</v>
          </cell>
        </row>
        <row r="24068">
          <cell r="A24068">
            <v>43869</v>
          </cell>
        </row>
        <row r="24069">
          <cell r="A24069">
            <v>43264</v>
          </cell>
        </row>
        <row r="24070">
          <cell r="A24070">
            <v>43544</v>
          </cell>
        </row>
        <row r="24071">
          <cell r="A24071">
            <v>43905</v>
          </cell>
        </row>
        <row r="24072">
          <cell r="A24072">
            <v>43747</v>
          </cell>
        </row>
        <row r="24073">
          <cell r="A24073">
            <v>43113</v>
          </cell>
        </row>
        <row r="24074">
          <cell r="A24074">
            <v>43181</v>
          </cell>
        </row>
        <row r="24075">
          <cell r="A24075">
            <v>43433</v>
          </cell>
        </row>
        <row r="24076">
          <cell r="A24076">
            <v>43461</v>
          </cell>
        </row>
        <row r="24077">
          <cell r="A24077">
            <v>43718</v>
          </cell>
        </row>
        <row r="24078">
          <cell r="A24078">
            <v>43487</v>
          </cell>
        </row>
        <row r="24079">
          <cell r="A24079">
            <v>43786</v>
          </cell>
        </row>
        <row r="24080">
          <cell r="A24080">
            <v>43472</v>
          </cell>
        </row>
        <row r="24081">
          <cell r="A24081">
            <v>43903</v>
          </cell>
        </row>
        <row r="24082">
          <cell r="A24082">
            <v>43517</v>
          </cell>
        </row>
        <row r="24083">
          <cell r="A24083">
            <v>43136</v>
          </cell>
        </row>
        <row r="24084">
          <cell r="A24084">
            <v>43511</v>
          </cell>
        </row>
        <row r="24085">
          <cell r="A24085">
            <v>43209</v>
          </cell>
        </row>
        <row r="24086">
          <cell r="A24086">
            <v>43569</v>
          </cell>
        </row>
        <row r="24087">
          <cell r="A24087">
            <v>43466</v>
          </cell>
        </row>
        <row r="24088">
          <cell r="A24088">
            <v>43132</v>
          </cell>
        </row>
        <row r="24089">
          <cell r="A24089">
            <v>43291</v>
          </cell>
        </row>
        <row r="24090">
          <cell r="A24090">
            <v>43293</v>
          </cell>
        </row>
        <row r="24091">
          <cell r="A24091">
            <v>43243</v>
          </cell>
        </row>
        <row r="24092">
          <cell r="A24092">
            <v>43796</v>
          </cell>
        </row>
        <row r="24093">
          <cell r="A24093">
            <v>43322</v>
          </cell>
        </row>
        <row r="24094">
          <cell r="A24094">
            <v>43172</v>
          </cell>
        </row>
        <row r="24095">
          <cell r="A24095">
            <v>43678</v>
          </cell>
        </row>
        <row r="24096">
          <cell r="A24096">
            <v>43751</v>
          </cell>
        </row>
        <row r="24097">
          <cell r="A24097">
            <v>43718</v>
          </cell>
        </row>
        <row r="24098">
          <cell r="A24098">
            <v>43688</v>
          </cell>
        </row>
        <row r="24099">
          <cell r="A24099">
            <v>43881</v>
          </cell>
        </row>
        <row r="24100">
          <cell r="A24100">
            <v>43880</v>
          </cell>
        </row>
        <row r="24101">
          <cell r="A24101">
            <v>43259</v>
          </cell>
        </row>
        <row r="24102">
          <cell r="A24102">
            <v>43715</v>
          </cell>
        </row>
        <row r="24103">
          <cell r="A24103">
            <v>43295</v>
          </cell>
        </row>
        <row r="24104">
          <cell r="A24104">
            <v>43172</v>
          </cell>
        </row>
        <row r="24105">
          <cell r="A24105">
            <v>43570</v>
          </cell>
        </row>
        <row r="24106">
          <cell r="A24106">
            <v>43469</v>
          </cell>
        </row>
        <row r="24107">
          <cell r="A24107">
            <v>43833</v>
          </cell>
        </row>
        <row r="24108">
          <cell r="A24108">
            <v>43130</v>
          </cell>
        </row>
        <row r="24109">
          <cell r="A24109">
            <v>43236</v>
          </cell>
        </row>
        <row r="24110">
          <cell r="A24110">
            <v>43328</v>
          </cell>
        </row>
        <row r="24111">
          <cell r="A24111">
            <v>43180</v>
          </cell>
        </row>
        <row r="24112">
          <cell r="A24112">
            <v>43550</v>
          </cell>
        </row>
        <row r="24113">
          <cell r="A24113">
            <v>43373</v>
          </cell>
        </row>
        <row r="24114">
          <cell r="A24114">
            <v>43422</v>
          </cell>
        </row>
        <row r="24115">
          <cell r="A24115">
            <v>43249</v>
          </cell>
        </row>
        <row r="24116">
          <cell r="A24116">
            <v>43915</v>
          </cell>
        </row>
        <row r="24117">
          <cell r="A24117">
            <v>43705</v>
          </cell>
        </row>
        <row r="24118">
          <cell r="A24118">
            <v>43745</v>
          </cell>
        </row>
        <row r="24119">
          <cell r="A24119">
            <v>43301</v>
          </cell>
        </row>
        <row r="24120">
          <cell r="A24120">
            <v>43175</v>
          </cell>
        </row>
        <row r="24121">
          <cell r="A24121">
            <v>43707</v>
          </cell>
        </row>
        <row r="24122">
          <cell r="A24122">
            <v>43327</v>
          </cell>
        </row>
        <row r="24123">
          <cell r="A24123">
            <v>43896</v>
          </cell>
        </row>
        <row r="24124">
          <cell r="A24124">
            <v>43307</v>
          </cell>
        </row>
        <row r="24125">
          <cell r="A24125">
            <v>43422</v>
          </cell>
        </row>
        <row r="24126">
          <cell r="A24126">
            <v>43392</v>
          </cell>
        </row>
        <row r="24127">
          <cell r="A24127">
            <v>43136</v>
          </cell>
        </row>
        <row r="24128">
          <cell r="A24128">
            <v>43431</v>
          </cell>
        </row>
        <row r="24129">
          <cell r="A24129">
            <v>43319</v>
          </cell>
        </row>
        <row r="24130">
          <cell r="A24130">
            <v>43671</v>
          </cell>
        </row>
        <row r="24131">
          <cell r="A24131">
            <v>43651</v>
          </cell>
        </row>
        <row r="24132">
          <cell r="A24132">
            <v>43493</v>
          </cell>
        </row>
        <row r="24133">
          <cell r="A24133">
            <v>43270</v>
          </cell>
        </row>
        <row r="24134">
          <cell r="A24134">
            <v>43816</v>
          </cell>
        </row>
        <row r="24135">
          <cell r="A24135">
            <v>43586</v>
          </cell>
        </row>
        <row r="24136">
          <cell r="A24136">
            <v>43690</v>
          </cell>
        </row>
        <row r="24137">
          <cell r="A24137">
            <v>43217</v>
          </cell>
        </row>
        <row r="24138">
          <cell r="A24138">
            <v>43401</v>
          </cell>
        </row>
        <row r="24139">
          <cell r="A24139">
            <v>43919</v>
          </cell>
        </row>
        <row r="24140">
          <cell r="A24140">
            <v>43710</v>
          </cell>
        </row>
        <row r="24141">
          <cell r="A24141">
            <v>43399</v>
          </cell>
        </row>
        <row r="24142">
          <cell r="A24142">
            <v>43425</v>
          </cell>
        </row>
        <row r="24143">
          <cell r="A24143">
            <v>43216</v>
          </cell>
        </row>
        <row r="24144">
          <cell r="A24144">
            <v>43734</v>
          </cell>
        </row>
        <row r="24145">
          <cell r="A24145">
            <v>43712</v>
          </cell>
        </row>
        <row r="24146">
          <cell r="A24146">
            <v>43698</v>
          </cell>
        </row>
        <row r="24147">
          <cell r="A24147">
            <v>43193</v>
          </cell>
        </row>
        <row r="24148">
          <cell r="A24148">
            <v>43738</v>
          </cell>
        </row>
        <row r="24149">
          <cell r="A24149">
            <v>43789</v>
          </cell>
        </row>
        <row r="24150">
          <cell r="A24150">
            <v>43496</v>
          </cell>
        </row>
        <row r="24151">
          <cell r="A24151">
            <v>43689</v>
          </cell>
        </row>
        <row r="24152">
          <cell r="A24152">
            <v>43263</v>
          </cell>
        </row>
        <row r="24153">
          <cell r="A24153">
            <v>43509</v>
          </cell>
        </row>
        <row r="24154">
          <cell r="A24154">
            <v>43429</v>
          </cell>
        </row>
        <row r="24155">
          <cell r="A24155">
            <v>43606</v>
          </cell>
        </row>
        <row r="24156">
          <cell r="A24156">
            <v>43563</v>
          </cell>
        </row>
        <row r="24157">
          <cell r="A24157">
            <v>43260</v>
          </cell>
        </row>
        <row r="24158">
          <cell r="A24158">
            <v>43321</v>
          </cell>
        </row>
        <row r="24159">
          <cell r="A24159">
            <v>43578</v>
          </cell>
        </row>
        <row r="24160">
          <cell r="A24160">
            <v>43893</v>
          </cell>
        </row>
        <row r="24161">
          <cell r="A24161">
            <v>43334</v>
          </cell>
        </row>
        <row r="24162">
          <cell r="A24162">
            <v>43573</v>
          </cell>
        </row>
        <row r="24163">
          <cell r="A24163">
            <v>43522</v>
          </cell>
        </row>
        <row r="24164">
          <cell r="A24164">
            <v>43233</v>
          </cell>
        </row>
        <row r="24165">
          <cell r="A24165">
            <v>43297</v>
          </cell>
        </row>
        <row r="24166">
          <cell r="A24166">
            <v>43442</v>
          </cell>
        </row>
        <row r="24167">
          <cell r="A24167">
            <v>43314</v>
          </cell>
        </row>
        <row r="24168">
          <cell r="A24168">
            <v>43803</v>
          </cell>
        </row>
        <row r="24169">
          <cell r="A24169">
            <v>43272</v>
          </cell>
        </row>
        <row r="24170">
          <cell r="A24170">
            <v>43505</v>
          </cell>
        </row>
        <row r="24171">
          <cell r="A24171">
            <v>43314</v>
          </cell>
        </row>
        <row r="24172">
          <cell r="A24172">
            <v>43909</v>
          </cell>
        </row>
        <row r="24173">
          <cell r="A24173">
            <v>43479</v>
          </cell>
        </row>
        <row r="24174">
          <cell r="A24174">
            <v>43289</v>
          </cell>
        </row>
        <row r="24175">
          <cell r="A24175">
            <v>43721</v>
          </cell>
        </row>
        <row r="24176">
          <cell r="A24176">
            <v>43778</v>
          </cell>
        </row>
        <row r="24177">
          <cell r="A24177">
            <v>43718</v>
          </cell>
        </row>
        <row r="24178">
          <cell r="A24178">
            <v>43348</v>
          </cell>
        </row>
        <row r="24179">
          <cell r="A24179">
            <v>43720</v>
          </cell>
        </row>
        <row r="24180">
          <cell r="A24180">
            <v>43370</v>
          </cell>
        </row>
        <row r="24181">
          <cell r="A24181">
            <v>43878</v>
          </cell>
        </row>
        <row r="24182">
          <cell r="A24182">
            <v>43203</v>
          </cell>
        </row>
        <row r="24183">
          <cell r="A24183">
            <v>43655</v>
          </cell>
        </row>
        <row r="24184">
          <cell r="A24184">
            <v>43235</v>
          </cell>
        </row>
        <row r="24185">
          <cell r="A24185">
            <v>43669</v>
          </cell>
        </row>
        <row r="24186">
          <cell r="A24186">
            <v>43143</v>
          </cell>
        </row>
        <row r="24187">
          <cell r="A24187">
            <v>43523</v>
          </cell>
        </row>
        <row r="24188">
          <cell r="A24188">
            <v>43617</v>
          </cell>
        </row>
        <row r="24189">
          <cell r="A24189">
            <v>43693</v>
          </cell>
        </row>
        <row r="24190">
          <cell r="A24190">
            <v>43548</v>
          </cell>
        </row>
        <row r="24191">
          <cell r="A24191">
            <v>43345</v>
          </cell>
        </row>
        <row r="24192">
          <cell r="A24192">
            <v>43748</v>
          </cell>
        </row>
        <row r="24193">
          <cell r="A24193">
            <v>43703</v>
          </cell>
        </row>
        <row r="24194">
          <cell r="A24194">
            <v>43521</v>
          </cell>
        </row>
        <row r="24195">
          <cell r="A24195">
            <v>43122</v>
          </cell>
        </row>
        <row r="24196">
          <cell r="A24196">
            <v>43349</v>
          </cell>
        </row>
        <row r="24197">
          <cell r="A24197">
            <v>43894</v>
          </cell>
        </row>
        <row r="24198">
          <cell r="A24198">
            <v>43246</v>
          </cell>
        </row>
        <row r="24199">
          <cell r="A24199">
            <v>43872</v>
          </cell>
        </row>
        <row r="24200">
          <cell r="A24200">
            <v>43689</v>
          </cell>
        </row>
        <row r="24201">
          <cell r="A24201">
            <v>43214</v>
          </cell>
        </row>
        <row r="24202">
          <cell r="A24202">
            <v>43291</v>
          </cell>
        </row>
        <row r="24203">
          <cell r="A24203">
            <v>43609</v>
          </cell>
        </row>
        <row r="24204">
          <cell r="A24204">
            <v>43337</v>
          </cell>
        </row>
        <row r="24205">
          <cell r="A24205">
            <v>43807</v>
          </cell>
        </row>
        <row r="24206">
          <cell r="A24206">
            <v>43496</v>
          </cell>
        </row>
        <row r="24207">
          <cell r="A24207">
            <v>43888</v>
          </cell>
        </row>
        <row r="24208">
          <cell r="A24208">
            <v>43480</v>
          </cell>
        </row>
        <row r="24209">
          <cell r="A24209">
            <v>43552</v>
          </cell>
        </row>
        <row r="24210">
          <cell r="A24210">
            <v>43394</v>
          </cell>
        </row>
        <row r="24211">
          <cell r="A24211">
            <v>43393</v>
          </cell>
        </row>
        <row r="24212">
          <cell r="A24212">
            <v>43470</v>
          </cell>
        </row>
        <row r="24213">
          <cell r="A24213">
            <v>43751</v>
          </cell>
        </row>
        <row r="24214">
          <cell r="A24214">
            <v>43254</v>
          </cell>
        </row>
        <row r="24215">
          <cell r="A24215">
            <v>43807</v>
          </cell>
        </row>
        <row r="24216">
          <cell r="A24216">
            <v>43910</v>
          </cell>
        </row>
        <row r="24217">
          <cell r="A24217">
            <v>43295</v>
          </cell>
        </row>
        <row r="24218">
          <cell r="A24218">
            <v>43680</v>
          </cell>
        </row>
        <row r="24219">
          <cell r="A24219">
            <v>43709</v>
          </cell>
        </row>
        <row r="24220">
          <cell r="A24220">
            <v>43675</v>
          </cell>
        </row>
        <row r="24221">
          <cell r="A24221">
            <v>43682</v>
          </cell>
        </row>
        <row r="24222">
          <cell r="A24222">
            <v>43523</v>
          </cell>
        </row>
        <row r="24223">
          <cell r="A24223">
            <v>43736</v>
          </cell>
        </row>
        <row r="24224">
          <cell r="A24224">
            <v>43797</v>
          </cell>
        </row>
        <row r="24225">
          <cell r="A24225">
            <v>43362</v>
          </cell>
        </row>
        <row r="24226">
          <cell r="A24226">
            <v>43179</v>
          </cell>
        </row>
        <row r="24227">
          <cell r="A24227">
            <v>43339</v>
          </cell>
        </row>
        <row r="24228">
          <cell r="A24228">
            <v>43266</v>
          </cell>
        </row>
        <row r="24229">
          <cell r="A24229">
            <v>43736</v>
          </cell>
        </row>
        <row r="24230">
          <cell r="A24230">
            <v>43759</v>
          </cell>
        </row>
        <row r="24231">
          <cell r="A24231">
            <v>43443</v>
          </cell>
        </row>
        <row r="24232">
          <cell r="A24232">
            <v>43240</v>
          </cell>
        </row>
        <row r="24233">
          <cell r="A24233">
            <v>43611</v>
          </cell>
        </row>
        <row r="24234">
          <cell r="A24234">
            <v>43725</v>
          </cell>
        </row>
        <row r="24235">
          <cell r="A24235">
            <v>43583</v>
          </cell>
        </row>
        <row r="24236">
          <cell r="A24236">
            <v>43616</v>
          </cell>
        </row>
        <row r="24237">
          <cell r="A24237">
            <v>43890</v>
          </cell>
        </row>
        <row r="24238">
          <cell r="A24238">
            <v>43273</v>
          </cell>
        </row>
        <row r="24239">
          <cell r="A24239">
            <v>43667</v>
          </cell>
        </row>
        <row r="24240">
          <cell r="A24240">
            <v>43473</v>
          </cell>
        </row>
        <row r="24241">
          <cell r="A24241">
            <v>43530</v>
          </cell>
        </row>
        <row r="24242">
          <cell r="A24242">
            <v>43400</v>
          </cell>
        </row>
        <row r="24243">
          <cell r="A24243">
            <v>43373</v>
          </cell>
        </row>
        <row r="24244">
          <cell r="A24244">
            <v>43872</v>
          </cell>
        </row>
        <row r="24245">
          <cell r="A24245">
            <v>43116</v>
          </cell>
        </row>
        <row r="24246">
          <cell r="A24246">
            <v>43153</v>
          </cell>
        </row>
        <row r="24247">
          <cell r="A24247">
            <v>43586</v>
          </cell>
        </row>
        <row r="24248">
          <cell r="A24248">
            <v>43405</v>
          </cell>
        </row>
        <row r="24249">
          <cell r="A24249">
            <v>43256</v>
          </cell>
        </row>
        <row r="24250">
          <cell r="A24250">
            <v>43912</v>
          </cell>
        </row>
        <row r="24251">
          <cell r="A24251">
            <v>43421</v>
          </cell>
        </row>
        <row r="24252">
          <cell r="A24252">
            <v>43230</v>
          </cell>
        </row>
        <row r="24253">
          <cell r="A24253">
            <v>43549</v>
          </cell>
        </row>
        <row r="24254">
          <cell r="A24254">
            <v>43123</v>
          </cell>
        </row>
        <row r="24255">
          <cell r="A24255">
            <v>43217</v>
          </cell>
        </row>
        <row r="24256">
          <cell r="A24256">
            <v>43582</v>
          </cell>
        </row>
        <row r="24257">
          <cell r="A24257">
            <v>43433</v>
          </cell>
        </row>
        <row r="24258">
          <cell r="A24258">
            <v>43542</v>
          </cell>
        </row>
        <row r="24259">
          <cell r="A24259">
            <v>43917</v>
          </cell>
        </row>
        <row r="24260">
          <cell r="A24260">
            <v>43612</v>
          </cell>
        </row>
        <row r="24261">
          <cell r="A24261">
            <v>43357</v>
          </cell>
        </row>
        <row r="24262">
          <cell r="A24262">
            <v>43421</v>
          </cell>
        </row>
        <row r="24263">
          <cell r="A24263">
            <v>43852</v>
          </cell>
        </row>
        <row r="24264">
          <cell r="A24264">
            <v>43853</v>
          </cell>
        </row>
        <row r="24265">
          <cell r="A24265">
            <v>43848</v>
          </cell>
        </row>
        <row r="24266">
          <cell r="A24266">
            <v>43198</v>
          </cell>
        </row>
        <row r="24267">
          <cell r="A24267">
            <v>43418</v>
          </cell>
        </row>
        <row r="24268">
          <cell r="A24268">
            <v>43822</v>
          </cell>
        </row>
        <row r="24269">
          <cell r="A24269">
            <v>43185</v>
          </cell>
        </row>
        <row r="24270">
          <cell r="A24270">
            <v>43240</v>
          </cell>
        </row>
        <row r="24271">
          <cell r="A24271">
            <v>43878</v>
          </cell>
        </row>
        <row r="24272">
          <cell r="A24272">
            <v>43312</v>
          </cell>
        </row>
        <row r="24273">
          <cell r="A24273">
            <v>43796</v>
          </cell>
        </row>
        <row r="24274">
          <cell r="A24274">
            <v>43710</v>
          </cell>
        </row>
        <row r="24275">
          <cell r="A24275">
            <v>43876</v>
          </cell>
        </row>
        <row r="24276">
          <cell r="A24276">
            <v>43891</v>
          </cell>
        </row>
        <row r="24277">
          <cell r="A24277">
            <v>43533</v>
          </cell>
        </row>
        <row r="24278">
          <cell r="A24278">
            <v>43119</v>
          </cell>
        </row>
        <row r="24279">
          <cell r="A24279">
            <v>43265</v>
          </cell>
        </row>
        <row r="24280">
          <cell r="A24280">
            <v>43803</v>
          </cell>
        </row>
        <row r="24281">
          <cell r="A24281">
            <v>43165</v>
          </cell>
        </row>
        <row r="24282">
          <cell r="A24282">
            <v>43860</v>
          </cell>
        </row>
        <row r="24283">
          <cell r="A24283">
            <v>43148</v>
          </cell>
        </row>
        <row r="24284">
          <cell r="A24284">
            <v>43642</v>
          </cell>
        </row>
        <row r="24285">
          <cell r="A24285">
            <v>43338</v>
          </cell>
        </row>
        <row r="24286">
          <cell r="A24286">
            <v>43502</v>
          </cell>
        </row>
        <row r="24287">
          <cell r="A24287">
            <v>43387</v>
          </cell>
        </row>
        <row r="24288">
          <cell r="A24288">
            <v>43785</v>
          </cell>
        </row>
        <row r="24289">
          <cell r="A24289">
            <v>43615</v>
          </cell>
        </row>
        <row r="24290">
          <cell r="A24290">
            <v>43647</v>
          </cell>
        </row>
        <row r="24291">
          <cell r="A24291">
            <v>43830</v>
          </cell>
        </row>
        <row r="24292">
          <cell r="A24292">
            <v>43359</v>
          </cell>
        </row>
        <row r="24293">
          <cell r="A24293">
            <v>43905</v>
          </cell>
        </row>
        <row r="24294">
          <cell r="A24294">
            <v>43126</v>
          </cell>
        </row>
        <row r="24295">
          <cell r="A24295">
            <v>43254</v>
          </cell>
        </row>
        <row r="24296">
          <cell r="A24296">
            <v>43784</v>
          </cell>
        </row>
        <row r="24297">
          <cell r="A24297">
            <v>43650</v>
          </cell>
        </row>
        <row r="24298">
          <cell r="A24298">
            <v>43270</v>
          </cell>
        </row>
        <row r="24299">
          <cell r="A24299">
            <v>43753</v>
          </cell>
        </row>
        <row r="24300">
          <cell r="A24300">
            <v>43378</v>
          </cell>
        </row>
        <row r="24301">
          <cell r="A24301">
            <v>43269</v>
          </cell>
        </row>
        <row r="24302">
          <cell r="A24302">
            <v>43307</v>
          </cell>
        </row>
        <row r="24303">
          <cell r="A24303">
            <v>43193</v>
          </cell>
        </row>
        <row r="24304">
          <cell r="A24304">
            <v>43921</v>
          </cell>
        </row>
        <row r="24305">
          <cell r="A24305">
            <v>43616</v>
          </cell>
        </row>
        <row r="24306">
          <cell r="A24306">
            <v>43413</v>
          </cell>
        </row>
        <row r="24307">
          <cell r="A24307">
            <v>43574</v>
          </cell>
        </row>
        <row r="24308">
          <cell r="A24308">
            <v>43614</v>
          </cell>
        </row>
        <row r="24309">
          <cell r="A24309">
            <v>43288</v>
          </cell>
        </row>
        <row r="24310">
          <cell r="A24310">
            <v>43777</v>
          </cell>
        </row>
        <row r="24311">
          <cell r="A24311">
            <v>43874</v>
          </cell>
        </row>
        <row r="24312">
          <cell r="A24312">
            <v>43206</v>
          </cell>
        </row>
        <row r="24313">
          <cell r="A24313">
            <v>43627</v>
          </cell>
        </row>
        <row r="24314">
          <cell r="A24314">
            <v>43505</v>
          </cell>
        </row>
        <row r="24315">
          <cell r="A24315">
            <v>43337</v>
          </cell>
        </row>
        <row r="24316">
          <cell r="A24316">
            <v>43498</v>
          </cell>
        </row>
        <row r="24317">
          <cell r="A24317">
            <v>43500</v>
          </cell>
        </row>
        <row r="24318">
          <cell r="A24318">
            <v>43660</v>
          </cell>
        </row>
        <row r="24319">
          <cell r="A24319">
            <v>43538</v>
          </cell>
        </row>
        <row r="24320">
          <cell r="A24320">
            <v>43736</v>
          </cell>
        </row>
        <row r="24321">
          <cell r="A24321">
            <v>43271</v>
          </cell>
        </row>
        <row r="24322">
          <cell r="A24322">
            <v>43654</v>
          </cell>
        </row>
        <row r="24323">
          <cell r="A24323">
            <v>43569</v>
          </cell>
        </row>
        <row r="24324">
          <cell r="A24324">
            <v>43189</v>
          </cell>
        </row>
        <row r="24325">
          <cell r="A24325">
            <v>43756</v>
          </cell>
        </row>
        <row r="24326">
          <cell r="A24326">
            <v>43130</v>
          </cell>
        </row>
        <row r="24327">
          <cell r="A24327">
            <v>43121</v>
          </cell>
        </row>
        <row r="24328">
          <cell r="A24328">
            <v>43278</v>
          </cell>
        </row>
        <row r="24329">
          <cell r="A24329">
            <v>43314</v>
          </cell>
        </row>
        <row r="24330">
          <cell r="A24330">
            <v>43117</v>
          </cell>
        </row>
        <row r="24331">
          <cell r="A24331">
            <v>43595</v>
          </cell>
        </row>
        <row r="24332">
          <cell r="A24332">
            <v>43834</v>
          </cell>
        </row>
        <row r="24333">
          <cell r="A24333">
            <v>43635</v>
          </cell>
        </row>
        <row r="24334">
          <cell r="A24334">
            <v>43873</v>
          </cell>
        </row>
        <row r="24335">
          <cell r="A24335">
            <v>43618</v>
          </cell>
        </row>
        <row r="24336">
          <cell r="A24336">
            <v>43316</v>
          </cell>
        </row>
        <row r="24337">
          <cell r="A24337">
            <v>43669</v>
          </cell>
        </row>
        <row r="24338">
          <cell r="A24338">
            <v>43723</v>
          </cell>
        </row>
        <row r="24339">
          <cell r="A24339">
            <v>43361</v>
          </cell>
        </row>
        <row r="24340">
          <cell r="A24340">
            <v>43721</v>
          </cell>
        </row>
        <row r="24341">
          <cell r="A24341">
            <v>43751</v>
          </cell>
        </row>
        <row r="24342">
          <cell r="A24342">
            <v>43715</v>
          </cell>
        </row>
        <row r="24343">
          <cell r="A24343">
            <v>43106</v>
          </cell>
        </row>
        <row r="24344">
          <cell r="A24344">
            <v>43498</v>
          </cell>
        </row>
        <row r="24345">
          <cell r="A24345">
            <v>43550</v>
          </cell>
        </row>
        <row r="24346">
          <cell r="A24346">
            <v>43650</v>
          </cell>
        </row>
        <row r="24347">
          <cell r="A24347">
            <v>43104</v>
          </cell>
        </row>
        <row r="24348">
          <cell r="A24348">
            <v>43902</v>
          </cell>
        </row>
        <row r="24349">
          <cell r="A24349">
            <v>43190</v>
          </cell>
        </row>
        <row r="24350">
          <cell r="A24350">
            <v>43508</v>
          </cell>
        </row>
        <row r="24351">
          <cell r="A24351">
            <v>43174</v>
          </cell>
        </row>
        <row r="24352">
          <cell r="A24352">
            <v>43357</v>
          </cell>
        </row>
        <row r="24353">
          <cell r="A24353">
            <v>43898</v>
          </cell>
        </row>
        <row r="24354">
          <cell r="A24354">
            <v>43813</v>
          </cell>
        </row>
        <row r="24355">
          <cell r="A24355">
            <v>43238</v>
          </cell>
        </row>
        <row r="24356">
          <cell r="A24356">
            <v>43663</v>
          </cell>
        </row>
        <row r="24357">
          <cell r="A24357">
            <v>43379</v>
          </cell>
        </row>
        <row r="24358">
          <cell r="A24358">
            <v>43445</v>
          </cell>
        </row>
        <row r="24359">
          <cell r="A24359">
            <v>43237</v>
          </cell>
        </row>
        <row r="24360">
          <cell r="A24360">
            <v>43246</v>
          </cell>
        </row>
        <row r="24361">
          <cell r="A24361">
            <v>43254</v>
          </cell>
        </row>
        <row r="24362">
          <cell r="A24362">
            <v>43752</v>
          </cell>
        </row>
        <row r="24363">
          <cell r="A24363">
            <v>43708</v>
          </cell>
        </row>
        <row r="24364">
          <cell r="A24364">
            <v>43488</v>
          </cell>
        </row>
        <row r="24365">
          <cell r="A24365">
            <v>43769</v>
          </cell>
        </row>
        <row r="24366">
          <cell r="A24366">
            <v>43699</v>
          </cell>
        </row>
        <row r="24367">
          <cell r="A24367">
            <v>43781</v>
          </cell>
        </row>
        <row r="24368">
          <cell r="A24368">
            <v>43467</v>
          </cell>
        </row>
        <row r="24369">
          <cell r="A24369">
            <v>43611</v>
          </cell>
        </row>
        <row r="24370">
          <cell r="A24370">
            <v>43701</v>
          </cell>
        </row>
        <row r="24371">
          <cell r="A24371">
            <v>43478</v>
          </cell>
        </row>
        <row r="24372">
          <cell r="A24372">
            <v>43202</v>
          </cell>
        </row>
        <row r="24373">
          <cell r="A24373">
            <v>43558</v>
          </cell>
        </row>
        <row r="24374">
          <cell r="A24374">
            <v>43184</v>
          </cell>
        </row>
        <row r="24375">
          <cell r="A24375">
            <v>43116</v>
          </cell>
        </row>
        <row r="24376">
          <cell r="A24376">
            <v>43902</v>
          </cell>
        </row>
        <row r="24377">
          <cell r="A24377">
            <v>43575</v>
          </cell>
        </row>
        <row r="24378">
          <cell r="A24378">
            <v>43486</v>
          </cell>
        </row>
        <row r="24379">
          <cell r="A24379">
            <v>43893</v>
          </cell>
        </row>
        <row r="24380">
          <cell r="A24380">
            <v>43641</v>
          </cell>
        </row>
        <row r="24381">
          <cell r="A24381">
            <v>43838</v>
          </cell>
        </row>
        <row r="24382">
          <cell r="A24382">
            <v>43818</v>
          </cell>
        </row>
        <row r="24383">
          <cell r="A24383">
            <v>43483</v>
          </cell>
        </row>
        <row r="24384">
          <cell r="A24384">
            <v>43540</v>
          </cell>
        </row>
        <row r="24385">
          <cell r="A24385">
            <v>43504</v>
          </cell>
        </row>
        <row r="24386">
          <cell r="A24386">
            <v>43689</v>
          </cell>
        </row>
        <row r="24387">
          <cell r="A24387">
            <v>43906</v>
          </cell>
        </row>
        <row r="24388">
          <cell r="A24388">
            <v>43464</v>
          </cell>
        </row>
        <row r="24389">
          <cell r="A24389">
            <v>43307</v>
          </cell>
        </row>
        <row r="24390">
          <cell r="A24390">
            <v>43372</v>
          </cell>
        </row>
        <row r="24391">
          <cell r="A24391">
            <v>43550</v>
          </cell>
        </row>
        <row r="24392">
          <cell r="A24392">
            <v>43848</v>
          </cell>
        </row>
        <row r="24393">
          <cell r="A24393">
            <v>43209</v>
          </cell>
        </row>
        <row r="24394">
          <cell r="A24394">
            <v>43534</v>
          </cell>
        </row>
        <row r="24395">
          <cell r="A24395">
            <v>43199</v>
          </cell>
        </row>
        <row r="24396">
          <cell r="A24396">
            <v>43641</v>
          </cell>
        </row>
        <row r="24397">
          <cell r="A24397">
            <v>43813</v>
          </cell>
        </row>
        <row r="24398">
          <cell r="A24398">
            <v>43390</v>
          </cell>
        </row>
        <row r="24399">
          <cell r="A24399">
            <v>43199</v>
          </cell>
        </row>
        <row r="24400">
          <cell r="A24400">
            <v>43664</v>
          </cell>
        </row>
        <row r="24401">
          <cell r="A24401">
            <v>43166</v>
          </cell>
        </row>
        <row r="24402">
          <cell r="A24402">
            <v>43410</v>
          </cell>
        </row>
        <row r="24403">
          <cell r="A24403">
            <v>43826</v>
          </cell>
        </row>
        <row r="24404">
          <cell r="A24404">
            <v>43713</v>
          </cell>
        </row>
        <row r="24405">
          <cell r="A24405">
            <v>43840</v>
          </cell>
        </row>
        <row r="24406">
          <cell r="A24406">
            <v>43846</v>
          </cell>
        </row>
        <row r="24407">
          <cell r="A24407">
            <v>43346</v>
          </cell>
        </row>
        <row r="24408">
          <cell r="A24408">
            <v>43207</v>
          </cell>
        </row>
        <row r="24409">
          <cell r="A24409">
            <v>43750</v>
          </cell>
        </row>
        <row r="24410">
          <cell r="A24410">
            <v>43599</v>
          </cell>
        </row>
        <row r="24411">
          <cell r="A24411">
            <v>43372</v>
          </cell>
        </row>
        <row r="24412">
          <cell r="A24412">
            <v>43595</v>
          </cell>
        </row>
        <row r="24413">
          <cell r="A24413">
            <v>43676</v>
          </cell>
        </row>
        <row r="24414">
          <cell r="A24414">
            <v>43744</v>
          </cell>
        </row>
        <row r="24415">
          <cell r="A24415">
            <v>43116</v>
          </cell>
        </row>
        <row r="24416">
          <cell r="A24416">
            <v>43532</v>
          </cell>
        </row>
        <row r="24417">
          <cell r="A24417">
            <v>43156</v>
          </cell>
        </row>
        <row r="24418">
          <cell r="A24418">
            <v>43698</v>
          </cell>
        </row>
        <row r="24419">
          <cell r="A24419">
            <v>43280</v>
          </cell>
        </row>
        <row r="24420">
          <cell r="A24420">
            <v>43521</v>
          </cell>
        </row>
        <row r="24421">
          <cell r="A24421">
            <v>43641</v>
          </cell>
        </row>
        <row r="24422">
          <cell r="A24422">
            <v>43188</v>
          </cell>
        </row>
        <row r="24423">
          <cell r="A24423">
            <v>43416</v>
          </cell>
        </row>
        <row r="24424">
          <cell r="A24424">
            <v>43763</v>
          </cell>
        </row>
        <row r="24425">
          <cell r="A24425">
            <v>43202</v>
          </cell>
        </row>
        <row r="24426">
          <cell r="A24426">
            <v>43466</v>
          </cell>
        </row>
        <row r="24427">
          <cell r="A24427">
            <v>43596</v>
          </cell>
        </row>
        <row r="24428">
          <cell r="A24428">
            <v>43278</v>
          </cell>
        </row>
        <row r="24429">
          <cell r="A24429">
            <v>43711</v>
          </cell>
        </row>
        <row r="24430">
          <cell r="A24430">
            <v>43194</v>
          </cell>
        </row>
        <row r="24431">
          <cell r="A24431">
            <v>43559</v>
          </cell>
        </row>
        <row r="24432">
          <cell r="A24432">
            <v>43299</v>
          </cell>
        </row>
        <row r="24433">
          <cell r="A24433">
            <v>43616</v>
          </cell>
        </row>
        <row r="24434">
          <cell r="A24434">
            <v>43771</v>
          </cell>
        </row>
        <row r="24435">
          <cell r="A24435">
            <v>43114</v>
          </cell>
        </row>
        <row r="24436">
          <cell r="A24436">
            <v>43498</v>
          </cell>
        </row>
        <row r="24437">
          <cell r="A24437">
            <v>43417</v>
          </cell>
        </row>
        <row r="24438">
          <cell r="A24438">
            <v>43683</v>
          </cell>
        </row>
        <row r="24439">
          <cell r="A24439">
            <v>43608</v>
          </cell>
        </row>
        <row r="24440">
          <cell r="A24440">
            <v>43301</v>
          </cell>
        </row>
        <row r="24441">
          <cell r="A24441">
            <v>43499</v>
          </cell>
        </row>
        <row r="24442">
          <cell r="A24442">
            <v>43194</v>
          </cell>
        </row>
        <row r="24443">
          <cell r="A24443">
            <v>43120</v>
          </cell>
        </row>
        <row r="24444">
          <cell r="A24444">
            <v>43654</v>
          </cell>
        </row>
        <row r="24445">
          <cell r="A24445">
            <v>43808</v>
          </cell>
        </row>
        <row r="24446">
          <cell r="A24446">
            <v>43705</v>
          </cell>
        </row>
        <row r="24447">
          <cell r="A24447">
            <v>43274</v>
          </cell>
        </row>
        <row r="24448">
          <cell r="A24448">
            <v>43872</v>
          </cell>
        </row>
        <row r="24449">
          <cell r="A24449">
            <v>43555</v>
          </cell>
        </row>
        <row r="24450">
          <cell r="A24450">
            <v>43166</v>
          </cell>
        </row>
        <row r="24451">
          <cell r="A24451">
            <v>43531</v>
          </cell>
        </row>
        <row r="24452">
          <cell r="A24452">
            <v>43609</v>
          </cell>
        </row>
        <row r="24453">
          <cell r="A24453">
            <v>43627</v>
          </cell>
        </row>
        <row r="24454">
          <cell r="A24454">
            <v>43810</v>
          </cell>
        </row>
        <row r="24455">
          <cell r="A24455">
            <v>43309</v>
          </cell>
        </row>
        <row r="24456">
          <cell r="A24456">
            <v>43232</v>
          </cell>
        </row>
        <row r="24457">
          <cell r="A24457">
            <v>43793</v>
          </cell>
        </row>
        <row r="24458">
          <cell r="A24458">
            <v>43360</v>
          </cell>
        </row>
        <row r="24459">
          <cell r="A24459">
            <v>43388</v>
          </cell>
        </row>
        <row r="24460">
          <cell r="A24460">
            <v>43513</v>
          </cell>
        </row>
        <row r="24461">
          <cell r="A24461">
            <v>43317</v>
          </cell>
        </row>
        <row r="24462">
          <cell r="A24462">
            <v>43233</v>
          </cell>
        </row>
        <row r="24463">
          <cell r="A24463">
            <v>43840</v>
          </cell>
        </row>
        <row r="24464">
          <cell r="A24464">
            <v>43268</v>
          </cell>
        </row>
        <row r="24465">
          <cell r="A24465">
            <v>43661</v>
          </cell>
        </row>
        <row r="24466">
          <cell r="A24466">
            <v>43110</v>
          </cell>
        </row>
        <row r="24467">
          <cell r="A24467">
            <v>43905</v>
          </cell>
        </row>
        <row r="24468">
          <cell r="A24468">
            <v>43730</v>
          </cell>
        </row>
        <row r="24469">
          <cell r="A24469">
            <v>43181</v>
          </cell>
        </row>
        <row r="24470">
          <cell r="A24470">
            <v>43567</v>
          </cell>
        </row>
        <row r="24471">
          <cell r="A24471">
            <v>43264</v>
          </cell>
        </row>
        <row r="24472">
          <cell r="A24472">
            <v>43344</v>
          </cell>
        </row>
        <row r="24473">
          <cell r="A24473">
            <v>43295</v>
          </cell>
        </row>
        <row r="24474">
          <cell r="A24474">
            <v>43109</v>
          </cell>
        </row>
        <row r="24475">
          <cell r="A24475">
            <v>43313</v>
          </cell>
        </row>
        <row r="24476">
          <cell r="A24476">
            <v>43473</v>
          </cell>
        </row>
        <row r="24477">
          <cell r="A24477">
            <v>43432</v>
          </cell>
        </row>
        <row r="24478">
          <cell r="A24478">
            <v>43495</v>
          </cell>
        </row>
        <row r="24479">
          <cell r="A24479">
            <v>43408</v>
          </cell>
        </row>
        <row r="24480">
          <cell r="A24480">
            <v>43308</v>
          </cell>
        </row>
        <row r="24481">
          <cell r="A24481">
            <v>43243</v>
          </cell>
        </row>
        <row r="24482">
          <cell r="A24482">
            <v>43915</v>
          </cell>
        </row>
        <row r="24483">
          <cell r="A24483">
            <v>43574</v>
          </cell>
        </row>
        <row r="24484">
          <cell r="A24484">
            <v>43371</v>
          </cell>
        </row>
        <row r="24485">
          <cell r="A24485">
            <v>43883</v>
          </cell>
        </row>
        <row r="24486">
          <cell r="A24486">
            <v>43635</v>
          </cell>
        </row>
        <row r="24487">
          <cell r="A24487">
            <v>43919</v>
          </cell>
        </row>
        <row r="24488">
          <cell r="A24488">
            <v>43431</v>
          </cell>
        </row>
        <row r="24489">
          <cell r="A24489">
            <v>43802</v>
          </cell>
        </row>
        <row r="24490">
          <cell r="A24490">
            <v>43849</v>
          </cell>
        </row>
        <row r="24491">
          <cell r="A24491">
            <v>43569</v>
          </cell>
        </row>
        <row r="24492">
          <cell r="A24492">
            <v>43539</v>
          </cell>
        </row>
        <row r="24493">
          <cell r="A24493">
            <v>43346</v>
          </cell>
        </row>
        <row r="24494">
          <cell r="A24494">
            <v>43520</v>
          </cell>
        </row>
        <row r="24495">
          <cell r="A24495">
            <v>43649</v>
          </cell>
        </row>
        <row r="24496">
          <cell r="A24496">
            <v>43732</v>
          </cell>
        </row>
        <row r="24497">
          <cell r="A24497">
            <v>43843</v>
          </cell>
        </row>
        <row r="24498">
          <cell r="A24498">
            <v>43826</v>
          </cell>
        </row>
        <row r="24499">
          <cell r="A24499">
            <v>43510</v>
          </cell>
        </row>
        <row r="24500">
          <cell r="A24500">
            <v>43339</v>
          </cell>
        </row>
        <row r="24501">
          <cell r="A24501">
            <v>43124</v>
          </cell>
        </row>
        <row r="24502">
          <cell r="A24502">
            <v>43717</v>
          </cell>
        </row>
        <row r="24503">
          <cell r="A24503">
            <v>43266</v>
          </cell>
        </row>
        <row r="24504">
          <cell r="A24504">
            <v>43572</v>
          </cell>
        </row>
        <row r="24505">
          <cell r="A24505">
            <v>43410</v>
          </cell>
        </row>
        <row r="24506">
          <cell r="A24506">
            <v>43364</v>
          </cell>
        </row>
        <row r="24507">
          <cell r="A24507">
            <v>43765</v>
          </cell>
        </row>
        <row r="24508">
          <cell r="A24508">
            <v>43687</v>
          </cell>
        </row>
        <row r="24509">
          <cell r="A24509">
            <v>43711</v>
          </cell>
        </row>
        <row r="24510">
          <cell r="A24510">
            <v>43294</v>
          </cell>
        </row>
        <row r="24511">
          <cell r="A24511">
            <v>43866</v>
          </cell>
        </row>
        <row r="24512">
          <cell r="A24512">
            <v>43659</v>
          </cell>
        </row>
        <row r="24513">
          <cell r="A24513">
            <v>43471</v>
          </cell>
        </row>
        <row r="24514">
          <cell r="A24514">
            <v>43302</v>
          </cell>
        </row>
        <row r="24515">
          <cell r="A24515">
            <v>43106</v>
          </cell>
        </row>
        <row r="24516">
          <cell r="A24516">
            <v>43330</v>
          </cell>
        </row>
        <row r="24517">
          <cell r="A24517">
            <v>43758</v>
          </cell>
        </row>
        <row r="24518">
          <cell r="A24518">
            <v>43678</v>
          </cell>
        </row>
        <row r="24519">
          <cell r="A24519">
            <v>43423</v>
          </cell>
        </row>
        <row r="24520">
          <cell r="A24520">
            <v>43846</v>
          </cell>
        </row>
        <row r="24521">
          <cell r="A24521">
            <v>43765</v>
          </cell>
        </row>
        <row r="24522">
          <cell r="A24522">
            <v>43501</v>
          </cell>
        </row>
        <row r="24523">
          <cell r="A24523">
            <v>43738</v>
          </cell>
        </row>
        <row r="24524">
          <cell r="A24524">
            <v>43705</v>
          </cell>
        </row>
        <row r="24525">
          <cell r="A24525">
            <v>43651</v>
          </cell>
        </row>
        <row r="24526">
          <cell r="A24526">
            <v>43658</v>
          </cell>
        </row>
        <row r="24527">
          <cell r="A24527">
            <v>43676</v>
          </cell>
        </row>
        <row r="24528">
          <cell r="A24528">
            <v>43900</v>
          </cell>
        </row>
        <row r="24529">
          <cell r="A24529">
            <v>43651</v>
          </cell>
        </row>
        <row r="24530">
          <cell r="A24530">
            <v>43386</v>
          </cell>
        </row>
        <row r="24531">
          <cell r="A24531">
            <v>43660</v>
          </cell>
        </row>
        <row r="24532">
          <cell r="A24532">
            <v>43210</v>
          </cell>
        </row>
        <row r="24533">
          <cell r="A24533">
            <v>43304</v>
          </cell>
        </row>
        <row r="24534">
          <cell r="A24534">
            <v>43200</v>
          </cell>
        </row>
        <row r="24535">
          <cell r="A24535">
            <v>43409</v>
          </cell>
        </row>
        <row r="24536">
          <cell r="A24536">
            <v>43798</v>
          </cell>
        </row>
        <row r="24537">
          <cell r="A24537">
            <v>43778</v>
          </cell>
        </row>
        <row r="24538">
          <cell r="A24538">
            <v>43340</v>
          </cell>
        </row>
        <row r="24539">
          <cell r="A24539">
            <v>43442</v>
          </cell>
        </row>
        <row r="24540">
          <cell r="A24540">
            <v>43848</v>
          </cell>
        </row>
        <row r="24541">
          <cell r="A24541">
            <v>43480</v>
          </cell>
        </row>
        <row r="24542">
          <cell r="A24542">
            <v>43412</v>
          </cell>
        </row>
        <row r="24543">
          <cell r="A24543">
            <v>43284</v>
          </cell>
        </row>
        <row r="24544">
          <cell r="A24544">
            <v>43246</v>
          </cell>
        </row>
        <row r="24545">
          <cell r="A24545">
            <v>43286</v>
          </cell>
        </row>
        <row r="24546">
          <cell r="A24546">
            <v>43101</v>
          </cell>
        </row>
        <row r="24547">
          <cell r="A24547">
            <v>43101</v>
          </cell>
        </row>
        <row r="24548">
          <cell r="A24548">
            <v>43330</v>
          </cell>
        </row>
        <row r="24549">
          <cell r="A24549">
            <v>43788</v>
          </cell>
        </row>
        <row r="24550">
          <cell r="A24550">
            <v>43554</v>
          </cell>
        </row>
        <row r="24551">
          <cell r="A24551">
            <v>43293</v>
          </cell>
        </row>
        <row r="24552">
          <cell r="A24552">
            <v>43258</v>
          </cell>
        </row>
        <row r="24553">
          <cell r="A24553">
            <v>43836</v>
          </cell>
        </row>
        <row r="24554">
          <cell r="A24554">
            <v>43284</v>
          </cell>
        </row>
        <row r="24555">
          <cell r="A24555">
            <v>43443</v>
          </cell>
        </row>
        <row r="24556">
          <cell r="A24556">
            <v>43709</v>
          </cell>
        </row>
        <row r="24557">
          <cell r="A24557">
            <v>43127</v>
          </cell>
        </row>
        <row r="24558">
          <cell r="A24558">
            <v>43490</v>
          </cell>
        </row>
        <row r="24559">
          <cell r="A24559">
            <v>43527</v>
          </cell>
        </row>
        <row r="24560">
          <cell r="A24560">
            <v>43623</v>
          </cell>
        </row>
        <row r="24561">
          <cell r="A24561">
            <v>43446</v>
          </cell>
        </row>
        <row r="24562">
          <cell r="A24562">
            <v>43539</v>
          </cell>
        </row>
        <row r="24563">
          <cell r="A24563">
            <v>43269</v>
          </cell>
        </row>
        <row r="24564">
          <cell r="A24564">
            <v>43863</v>
          </cell>
        </row>
        <row r="24565">
          <cell r="A24565">
            <v>43382</v>
          </cell>
        </row>
        <row r="24566">
          <cell r="A24566">
            <v>43436</v>
          </cell>
        </row>
        <row r="24567">
          <cell r="A24567">
            <v>43649</v>
          </cell>
        </row>
        <row r="24568">
          <cell r="A24568">
            <v>43744</v>
          </cell>
        </row>
        <row r="24569">
          <cell r="A24569">
            <v>43583</v>
          </cell>
        </row>
        <row r="24570">
          <cell r="A24570">
            <v>43652</v>
          </cell>
        </row>
        <row r="24571">
          <cell r="A24571">
            <v>43297</v>
          </cell>
        </row>
        <row r="24572">
          <cell r="A24572">
            <v>43166</v>
          </cell>
        </row>
        <row r="24573">
          <cell r="A24573">
            <v>43819</v>
          </cell>
        </row>
        <row r="24574">
          <cell r="A24574">
            <v>43395</v>
          </cell>
        </row>
        <row r="24575">
          <cell r="A24575">
            <v>43419</v>
          </cell>
        </row>
        <row r="24576">
          <cell r="A24576">
            <v>43474</v>
          </cell>
        </row>
        <row r="24577">
          <cell r="A24577">
            <v>43679</v>
          </cell>
        </row>
        <row r="24578">
          <cell r="A24578">
            <v>43590</v>
          </cell>
        </row>
        <row r="24579">
          <cell r="A24579">
            <v>43886</v>
          </cell>
        </row>
        <row r="24580">
          <cell r="A24580">
            <v>43508</v>
          </cell>
        </row>
        <row r="24581">
          <cell r="A24581">
            <v>43561</v>
          </cell>
        </row>
        <row r="24582">
          <cell r="A24582">
            <v>43679</v>
          </cell>
        </row>
        <row r="24583">
          <cell r="A24583">
            <v>43260</v>
          </cell>
        </row>
        <row r="24584">
          <cell r="A24584">
            <v>43891</v>
          </cell>
        </row>
        <row r="24585">
          <cell r="A24585">
            <v>43423</v>
          </cell>
        </row>
        <row r="24586">
          <cell r="A24586">
            <v>43829</v>
          </cell>
        </row>
        <row r="24587">
          <cell r="A24587">
            <v>43308</v>
          </cell>
        </row>
        <row r="24588">
          <cell r="A24588">
            <v>43551</v>
          </cell>
        </row>
        <row r="24589">
          <cell r="A24589">
            <v>43861</v>
          </cell>
        </row>
        <row r="24590">
          <cell r="A24590">
            <v>43510</v>
          </cell>
        </row>
        <row r="24591">
          <cell r="A24591">
            <v>43335</v>
          </cell>
        </row>
        <row r="24592">
          <cell r="A24592">
            <v>43866</v>
          </cell>
        </row>
        <row r="24593">
          <cell r="A24593">
            <v>43234</v>
          </cell>
        </row>
        <row r="24594">
          <cell r="A24594">
            <v>43482</v>
          </cell>
        </row>
        <row r="24595">
          <cell r="A24595">
            <v>43814</v>
          </cell>
        </row>
        <row r="24596">
          <cell r="A24596">
            <v>43516</v>
          </cell>
        </row>
        <row r="24597">
          <cell r="A24597">
            <v>43406</v>
          </cell>
        </row>
        <row r="24598">
          <cell r="A24598">
            <v>43526</v>
          </cell>
        </row>
        <row r="24599">
          <cell r="A24599">
            <v>43710</v>
          </cell>
        </row>
        <row r="24600">
          <cell r="A24600">
            <v>43153</v>
          </cell>
        </row>
        <row r="24601">
          <cell r="A24601">
            <v>43517</v>
          </cell>
        </row>
        <row r="24602">
          <cell r="A24602">
            <v>43627</v>
          </cell>
        </row>
        <row r="24603">
          <cell r="A24603">
            <v>43503</v>
          </cell>
        </row>
        <row r="24604">
          <cell r="A24604">
            <v>43871</v>
          </cell>
        </row>
        <row r="24605">
          <cell r="A24605">
            <v>43291</v>
          </cell>
        </row>
        <row r="24606">
          <cell r="A24606">
            <v>43568</v>
          </cell>
        </row>
        <row r="24607">
          <cell r="A24607">
            <v>43645</v>
          </cell>
        </row>
        <row r="24608">
          <cell r="A24608">
            <v>43506</v>
          </cell>
        </row>
        <row r="24609">
          <cell r="A24609">
            <v>43220</v>
          </cell>
        </row>
        <row r="24610">
          <cell r="A24610">
            <v>43551</v>
          </cell>
        </row>
        <row r="24611">
          <cell r="A24611">
            <v>43336</v>
          </cell>
        </row>
        <row r="24612">
          <cell r="A24612">
            <v>43677</v>
          </cell>
        </row>
        <row r="24613">
          <cell r="A24613">
            <v>43383</v>
          </cell>
        </row>
        <row r="24614">
          <cell r="A24614">
            <v>43361</v>
          </cell>
        </row>
        <row r="24615">
          <cell r="A24615">
            <v>43665</v>
          </cell>
        </row>
        <row r="24616">
          <cell r="A24616">
            <v>43793</v>
          </cell>
        </row>
        <row r="24617">
          <cell r="A24617">
            <v>43611</v>
          </cell>
        </row>
        <row r="24618">
          <cell r="A24618">
            <v>43279</v>
          </cell>
        </row>
        <row r="24619">
          <cell r="A24619">
            <v>43854</v>
          </cell>
        </row>
        <row r="24620">
          <cell r="A24620">
            <v>43887</v>
          </cell>
        </row>
        <row r="24621">
          <cell r="A24621">
            <v>43404</v>
          </cell>
        </row>
        <row r="24622">
          <cell r="A24622">
            <v>43693</v>
          </cell>
        </row>
        <row r="24623">
          <cell r="A24623">
            <v>43759</v>
          </cell>
        </row>
        <row r="24624">
          <cell r="A24624">
            <v>43517</v>
          </cell>
        </row>
        <row r="24625">
          <cell r="A24625">
            <v>43490</v>
          </cell>
        </row>
        <row r="24626">
          <cell r="A24626">
            <v>43634</v>
          </cell>
        </row>
        <row r="24627">
          <cell r="A24627">
            <v>43549</v>
          </cell>
        </row>
        <row r="24628">
          <cell r="A24628">
            <v>43216</v>
          </cell>
        </row>
        <row r="24629">
          <cell r="A24629">
            <v>43725</v>
          </cell>
        </row>
        <row r="24630">
          <cell r="A24630">
            <v>43312</v>
          </cell>
        </row>
        <row r="24631">
          <cell r="A24631">
            <v>43357</v>
          </cell>
        </row>
        <row r="24632">
          <cell r="A24632">
            <v>43147</v>
          </cell>
        </row>
        <row r="24633">
          <cell r="A24633">
            <v>43799</v>
          </cell>
        </row>
        <row r="24634">
          <cell r="A24634">
            <v>43312</v>
          </cell>
        </row>
        <row r="24635">
          <cell r="A24635">
            <v>43160</v>
          </cell>
        </row>
        <row r="24636">
          <cell r="A24636">
            <v>43119</v>
          </cell>
        </row>
        <row r="24637">
          <cell r="A24637">
            <v>43588</v>
          </cell>
        </row>
        <row r="24638">
          <cell r="A24638">
            <v>43609</v>
          </cell>
        </row>
        <row r="24639">
          <cell r="A24639">
            <v>43301</v>
          </cell>
        </row>
        <row r="24640">
          <cell r="A24640">
            <v>43372</v>
          </cell>
        </row>
        <row r="24641">
          <cell r="A24641">
            <v>43452</v>
          </cell>
        </row>
        <row r="24642">
          <cell r="A24642">
            <v>43367</v>
          </cell>
        </row>
        <row r="24643">
          <cell r="A24643">
            <v>43113</v>
          </cell>
        </row>
        <row r="24644">
          <cell r="A24644">
            <v>43170</v>
          </cell>
        </row>
        <row r="24645">
          <cell r="A24645">
            <v>43384</v>
          </cell>
        </row>
        <row r="24646">
          <cell r="A24646">
            <v>43878</v>
          </cell>
        </row>
        <row r="24647">
          <cell r="A24647">
            <v>43563</v>
          </cell>
        </row>
        <row r="24648">
          <cell r="A24648">
            <v>43532</v>
          </cell>
        </row>
        <row r="24649">
          <cell r="A24649">
            <v>43759</v>
          </cell>
        </row>
        <row r="24650">
          <cell r="A24650">
            <v>43669</v>
          </cell>
        </row>
        <row r="24651">
          <cell r="A24651">
            <v>43328</v>
          </cell>
        </row>
        <row r="24652">
          <cell r="A24652">
            <v>43494</v>
          </cell>
        </row>
        <row r="24653">
          <cell r="A24653">
            <v>43283</v>
          </cell>
        </row>
        <row r="24654">
          <cell r="A24654">
            <v>43327</v>
          </cell>
        </row>
        <row r="24655">
          <cell r="A24655">
            <v>43531</v>
          </cell>
        </row>
        <row r="24656">
          <cell r="A24656">
            <v>43614</v>
          </cell>
        </row>
        <row r="24657">
          <cell r="A24657">
            <v>43616</v>
          </cell>
        </row>
        <row r="24658">
          <cell r="A24658">
            <v>43252</v>
          </cell>
        </row>
        <row r="24659">
          <cell r="A24659">
            <v>43284</v>
          </cell>
        </row>
        <row r="24660">
          <cell r="A24660">
            <v>43209</v>
          </cell>
        </row>
        <row r="24661">
          <cell r="A24661">
            <v>43287</v>
          </cell>
        </row>
        <row r="24662">
          <cell r="A24662">
            <v>43524</v>
          </cell>
        </row>
        <row r="24663">
          <cell r="A24663">
            <v>43610</v>
          </cell>
        </row>
        <row r="24664">
          <cell r="A24664">
            <v>43324</v>
          </cell>
        </row>
        <row r="24665">
          <cell r="A24665">
            <v>43494</v>
          </cell>
        </row>
        <row r="24666">
          <cell r="A24666">
            <v>43593</v>
          </cell>
        </row>
        <row r="24667">
          <cell r="A24667">
            <v>43189</v>
          </cell>
        </row>
        <row r="24668">
          <cell r="A24668">
            <v>43582</v>
          </cell>
        </row>
        <row r="24669">
          <cell r="A24669">
            <v>43896</v>
          </cell>
        </row>
        <row r="24670">
          <cell r="A24670">
            <v>43541</v>
          </cell>
        </row>
        <row r="24671">
          <cell r="A24671">
            <v>43421</v>
          </cell>
        </row>
        <row r="24672">
          <cell r="A24672">
            <v>43272</v>
          </cell>
        </row>
        <row r="24673">
          <cell r="A24673">
            <v>43717</v>
          </cell>
        </row>
        <row r="24674">
          <cell r="A24674">
            <v>43809</v>
          </cell>
        </row>
        <row r="24675">
          <cell r="A24675">
            <v>43665</v>
          </cell>
        </row>
        <row r="24676">
          <cell r="A24676">
            <v>43601</v>
          </cell>
        </row>
        <row r="24677">
          <cell r="A24677">
            <v>43906</v>
          </cell>
        </row>
        <row r="24678">
          <cell r="A24678">
            <v>43330</v>
          </cell>
        </row>
        <row r="24679">
          <cell r="A24679">
            <v>43236</v>
          </cell>
        </row>
        <row r="24680">
          <cell r="A24680">
            <v>43686</v>
          </cell>
        </row>
        <row r="24681">
          <cell r="A24681">
            <v>43442</v>
          </cell>
        </row>
        <row r="24682">
          <cell r="A24682">
            <v>43638</v>
          </cell>
        </row>
        <row r="24683">
          <cell r="A24683">
            <v>43407</v>
          </cell>
        </row>
        <row r="24684">
          <cell r="A24684">
            <v>43266</v>
          </cell>
        </row>
        <row r="24685">
          <cell r="A24685">
            <v>43524</v>
          </cell>
        </row>
        <row r="24686">
          <cell r="A24686">
            <v>43773</v>
          </cell>
        </row>
        <row r="24687">
          <cell r="A24687">
            <v>43132</v>
          </cell>
        </row>
        <row r="24688">
          <cell r="A24688">
            <v>43849</v>
          </cell>
        </row>
        <row r="24689">
          <cell r="A24689">
            <v>43419</v>
          </cell>
        </row>
        <row r="24690">
          <cell r="A24690">
            <v>43814</v>
          </cell>
        </row>
        <row r="24691">
          <cell r="A24691">
            <v>43852</v>
          </cell>
        </row>
        <row r="24692">
          <cell r="A24692">
            <v>43353</v>
          </cell>
        </row>
        <row r="24693">
          <cell r="A24693">
            <v>43588</v>
          </cell>
        </row>
        <row r="24694">
          <cell r="A24694">
            <v>43710</v>
          </cell>
        </row>
        <row r="24695">
          <cell r="A24695">
            <v>43897</v>
          </cell>
        </row>
        <row r="24696">
          <cell r="A24696">
            <v>43314</v>
          </cell>
        </row>
        <row r="24697">
          <cell r="A24697">
            <v>43273</v>
          </cell>
        </row>
        <row r="24698">
          <cell r="A24698">
            <v>43740</v>
          </cell>
        </row>
        <row r="24699">
          <cell r="A24699">
            <v>43265</v>
          </cell>
        </row>
        <row r="24700">
          <cell r="A24700">
            <v>43600</v>
          </cell>
        </row>
        <row r="24701">
          <cell r="A24701">
            <v>43760</v>
          </cell>
        </row>
        <row r="24702">
          <cell r="A24702">
            <v>43804</v>
          </cell>
        </row>
        <row r="24703">
          <cell r="A24703">
            <v>43297</v>
          </cell>
        </row>
        <row r="24704">
          <cell r="A24704">
            <v>43823</v>
          </cell>
        </row>
        <row r="24705">
          <cell r="A24705">
            <v>43537</v>
          </cell>
        </row>
        <row r="24706">
          <cell r="A24706">
            <v>43619</v>
          </cell>
        </row>
        <row r="24707">
          <cell r="A24707">
            <v>43307</v>
          </cell>
        </row>
        <row r="24708">
          <cell r="A24708">
            <v>43127</v>
          </cell>
        </row>
        <row r="24709">
          <cell r="A24709">
            <v>43381</v>
          </cell>
        </row>
        <row r="24710">
          <cell r="A24710">
            <v>43413</v>
          </cell>
        </row>
        <row r="24711">
          <cell r="A24711">
            <v>43171</v>
          </cell>
        </row>
        <row r="24712">
          <cell r="A24712">
            <v>43562</v>
          </cell>
        </row>
        <row r="24713">
          <cell r="A24713">
            <v>43708</v>
          </cell>
        </row>
        <row r="24714">
          <cell r="A24714">
            <v>43313</v>
          </cell>
        </row>
        <row r="24715">
          <cell r="A24715">
            <v>43920</v>
          </cell>
        </row>
        <row r="24716">
          <cell r="A24716">
            <v>43109</v>
          </cell>
        </row>
        <row r="24717">
          <cell r="A24717">
            <v>43660</v>
          </cell>
        </row>
        <row r="24718">
          <cell r="A24718">
            <v>43779</v>
          </cell>
        </row>
        <row r="24719">
          <cell r="A24719">
            <v>43709</v>
          </cell>
        </row>
        <row r="24720">
          <cell r="A24720">
            <v>43386</v>
          </cell>
        </row>
        <row r="24721">
          <cell r="A24721">
            <v>43757</v>
          </cell>
        </row>
        <row r="24722">
          <cell r="A24722">
            <v>43380</v>
          </cell>
        </row>
        <row r="24723">
          <cell r="A24723">
            <v>43912</v>
          </cell>
        </row>
        <row r="24724">
          <cell r="A24724">
            <v>43715</v>
          </cell>
        </row>
        <row r="24725">
          <cell r="A24725">
            <v>43541</v>
          </cell>
        </row>
        <row r="24726">
          <cell r="A24726">
            <v>43550</v>
          </cell>
        </row>
        <row r="24727">
          <cell r="A24727">
            <v>43375</v>
          </cell>
        </row>
        <row r="24728">
          <cell r="A24728">
            <v>43508</v>
          </cell>
        </row>
        <row r="24729">
          <cell r="A24729">
            <v>43715</v>
          </cell>
        </row>
        <row r="24730">
          <cell r="A24730">
            <v>43278</v>
          </cell>
        </row>
        <row r="24731">
          <cell r="A24731">
            <v>43511</v>
          </cell>
        </row>
        <row r="24732">
          <cell r="A24732">
            <v>43123</v>
          </cell>
        </row>
        <row r="24733">
          <cell r="A24733">
            <v>43315</v>
          </cell>
        </row>
        <row r="24734">
          <cell r="A24734">
            <v>43258</v>
          </cell>
        </row>
        <row r="24735">
          <cell r="A24735">
            <v>43382</v>
          </cell>
        </row>
        <row r="24736">
          <cell r="A24736">
            <v>43410</v>
          </cell>
        </row>
        <row r="24737">
          <cell r="A24737">
            <v>43601</v>
          </cell>
        </row>
        <row r="24738">
          <cell r="A24738">
            <v>43128</v>
          </cell>
        </row>
        <row r="24739">
          <cell r="A24739">
            <v>43748</v>
          </cell>
        </row>
        <row r="24740">
          <cell r="A24740">
            <v>43444</v>
          </cell>
        </row>
        <row r="24741">
          <cell r="A24741">
            <v>43508</v>
          </cell>
        </row>
        <row r="24742">
          <cell r="A24742">
            <v>43451</v>
          </cell>
        </row>
        <row r="24743">
          <cell r="A24743">
            <v>43637</v>
          </cell>
        </row>
        <row r="24744">
          <cell r="A24744">
            <v>43146</v>
          </cell>
        </row>
        <row r="24745">
          <cell r="A24745">
            <v>43678</v>
          </cell>
        </row>
        <row r="24746">
          <cell r="A24746">
            <v>43185</v>
          </cell>
        </row>
        <row r="24747">
          <cell r="A24747">
            <v>43258</v>
          </cell>
        </row>
        <row r="24748">
          <cell r="A24748">
            <v>43416</v>
          </cell>
        </row>
        <row r="24749">
          <cell r="A24749">
            <v>43589</v>
          </cell>
        </row>
        <row r="24750">
          <cell r="A24750">
            <v>43545</v>
          </cell>
        </row>
        <row r="24751">
          <cell r="A24751">
            <v>43770</v>
          </cell>
        </row>
        <row r="24752">
          <cell r="A24752">
            <v>43347</v>
          </cell>
        </row>
        <row r="24753">
          <cell r="A24753">
            <v>43467</v>
          </cell>
        </row>
        <row r="24754">
          <cell r="A24754">
            <v>43318</v>
          </cell>
        </row>
        <row r="24755">
          <cell r="A24755">
            <v>43415</v>
          </cell>
        </row>
        <row r="24756">
          <cell r="A24756">
            <v>43554</v>
          </cell>
        </row>
        <row r="24757">
          <cell r="A24757">
            <v>43604</v>
          </cell>
        </row>
        <row r="24758">
          <cell r="A24758">
            <v>43815</v>
          </cell>
        </row>
        <row r="24759">
          <cell r="A24759">
            <v>43141</v>
          </cell>
        </row>
        <row r="24760">
          <cell r="A24760">
            <v>43792</v>
          </cell>
        </row>
        <row r="24761">
          <cell r="A24761">
            <v>43261</v>
          </cell>
        </row>
        <row r="24762">
          <cell r="A24762">
            <v>43515</v>
          </cell>
        </row>
        <row r="24763">
          <cell r="A24763">
            <v>43681</v>
          </cell>
        </row>
        <row r="24764">
          <cell r="A24764">
            <v>43224</v>
          </cell>
        </row>
        <row r="24765">
          <cell r="A24765">
            <v>43698</v>
          </cell>
        </row>
        <row r="24766">
          <cell r="A24766">
            <v>43421</v>
          </cell>
        </row>
        <row r="24767">
          <cell r="A24767">
            <v>43238</v>
          </cell>
        </row>
        <row r="24768">
          <cell r="A24768">
            <v>43608</v>
          </cell>
        </row>
        <row r="24769">
          <cell r="A24769">
            <v>43455</v>
          </cell>
        </row>
        <row r="24770">
          <cell r="A24770">
            <v>43532</v>
          </cell>
        </row>
        <row r="24771">
          <cell r="A24771">
            <v>43201</v>
          </cell>
        </row>
        <row r="24772">
          <cell r="A24772">
            <v>43512</v>
          </cell>
        </row>
        <row r="24773">
          <cell r="A24773">
            <v>43356</v>
          </cell>
        </row>
        <row r="24774">
          <cell r="A24774">
            <v>43863</v>
          </cell>
        </row>
        <row r="24775">
          <cell r="A24775">
            <v>43258</v>
          </cell>
        </row>
        <row r="24776">
          <cell r="A24776">
            <v>43395</v>
          </cell>
        </row>
        <row r="24777">
          <cell r="A24777">
            <v>43596</v>
          </cell>
        </row>
        <row r="24778">
          <cell r="A24778">
            <v>43586</v>
          </cell>
        </row>
        <row r="24779">
          <cell r="A24779">
            <v>43598</v>
          </cell>
        </row>
        <row r="24780">
          <cell r="A24780">
            <v>43368</v>
          </cell>
        </row>
        <row r="24781">
          <cell r="A24781">
            <v>43671</v>
          </cell>
        </row>
        <row r="24782">
          <cell r="A24782">
            <v>43220</v>
          </cell>
        </row>
        <row r="24783">
          <cell r="A24783">
            <v>43615</v>
          </cell>
        </row>
        <row r="24784">
          <cell r="A24784">
            <v>43413</v>
          </cell>
        </row>
        <row r="24785">
          <cell r="A24785">
            <v>43711</v>
          </cell>
        </row>
        <row r="24786">
          <cell r="A24786">
            <v>43620</v>
          </cell>
        </row>
        <row r="24787">
          <cell r="A24787">
            <v>43598</v>
          </cell>
        </row>
        <row r="24788">
          <cell r="A24788">
            <v>43351</v>
          </cell>
        </row>
        <row r="24789">
          <cell r="A24789">
            <v>43288</v>
          </cell>
        </row>
        <row r="24790">
          <cell r="A24790">
            <v>43651</v>
          </cell>
        </row>
        <row r="24791">
          <cell r="A24791">
            <v>43154</v>
          </cell>
        </row>
        <row r="24792">
          <cell r="A24792">
            <v>43431</v>
          </cell>
        </row>
        <row r="24793">
          <cell r="A24793">
            <v>43652</v>
          </cell>
        </row>
        <row r="24794">
          <cell r="A24794">
            <v>43556</v>
          </cell>
        </row>
        <row r="24795">
          <cell r="A24795">
            <v>43172</v>
          </cell>
        </row>
        <row r="24796">
          <cell r="A24796">
            <v>43706</v>
          </cell>
        </row>
        <row r="24797">
          <cell r="A24797">
            <v>43152</v>
          </cell>
        </row>
        <row r="24798">
          <cell r="A24798">
            <v>43445</v>
          </cell>
        </row>
        <row r="24799">
          <cell r="A24799">
            <v>43215</v>
          </cell>
        </row>
        <row r="24800">
          <cell r="A24800">
            <v>43652</v>
          </cell>
        </row>
        <row r="24801">
          <cell r="A24801">
            <v>43605</v>
          </cell>
        </row>
        <row r="24802">
          <cell r="A24802">
            <v>43776</v>
          </cell>
        </row>
        <row r="24803">
          <cell r="A24803">
            <v>43278</v>
          </cell>
        </row>
        <row r="24804">
          <cell r="A24804">
            <v>43428</v>
          </cell>
        </row>
        <row r="24805">
          <cell r="A24805">
            <v>43902</v>
          </cell>
        </row>
        <row r="24806">
          <cell r="A24806">
            <v>43277</v>
          </cell>
        </row>
        <row r="24807">
          <cell r="A24807">
            <v>43279</v>
          </cell>
        </row>
        <row r="24808">
          <cell r="A24808">
            <v>43395</v>
          </cell>
        </row>
        <row r="24809">
          <cell r="A24809">
            <v>43365</v>
          </cell>
        </row>
        <row r="24810">
          <cell r="A24810">
            <v>43364</v>
          </cell>
        </row>
        <row r="24811">
          <cell r="A24811">
            <v>43725</v>
          </cell>
        </row>
        <row r="24812">
          <cell r="A24812">
            <v>43673</v>
          </cell>
        </row>
        <row r="24813">
          <cell r="A24813">
            <v>43752</v>
          </cell>
        </row>
        <row r="24814">
          <cell r="A24814">
            <v>43441</v>
          </cell>
        </row>
        <row r="24815">
          <cell r="A24815">
            <v>43605</v>
          </cell>
        </row>
        <row r="24816">
          <cell r="A24816">
            <v>43517</v>
          </cell>
        </row>
        <row r="24817">
          <cell r="A24817">
            <v>43192</v>
          </cell>
        </row>
        <row r="24818">
          <cell r="A24818">
            <v>43127</v>
          </cell>
        </row>
        <row r="24819">
          <cell r="A24819">
            <v>43674</v>
          </cell>
        </row>
        <row r="24820">
          <cell r="A24820">
            <v>43369</v>
          </cell>
        </row>
        <row r="24821">
          <cell r="A24821">
            <v>43660</v>
          </cell>
        </row>
        <row r="24822">
          <cell r="A24822">
            <v>43519</v>
          </cell>
        </row>
        <row r="24823">
          <cell r="A24823">
            <v>43215</v>
          </cell>
        </row>
        <row r="24824">
          <cell r="A24824">
            <v>43739</v>
          </cell>
        </row>
        <row r="24825">
          <cell r="A24825">
            <v>43740</v>
          </cell>
        </row>
        <row r="24826">
          <cell r="A24826">
            <v>43499</v>
          </cell>
        </row>
        <row r="24827">
          <cell r="A24827">
            <v>43229</v>
          </cell>
        </row>
        <row r="24828">
          <cell r="A24828">
            <v>43250</v>
          </cell>
        </row>
        <row r="24829">
          <cell r="A24829">
            <v>43648</v>
          </cell>
        </row>
        <row r="24830">
          <cell r="A24830">
            <v>43383</v>
          </cell>
        </row>
        <row r="24831">
          <cell r="A24831">
            <v>43790</v>
          </cell>
        </row>
        <row r="24832">
          <cell r="A24832">
            <v>43270</v>
          </cell>
        </row>
        <row r="24833">
          <cell r="A24833">
            <v>43288</v>
          </cell>
        </row>
        <row r="24834">
          <cell r="A24834">
            <v>43752</v>
          </cell>
        </row>
        <row r="24835">
          <cell r="A24835">
            <v>43364</v>
          </cell>
        </row>
        <row r="24836">
          <cell r="A24836">
            <v>43375</v>
          </cell>
        </row>
        <row r="24837">
          <cell r="A24837">
            <v>43683</v>
          </cell>
        </row>
        <row r="24838">
          <cell r="A24838">
            <v>43900</v>
          </cell>
        </row>
        <row r="24839">
          <cell r="A24839">
            <v>43848</v>
          </cell>
        </row>
        <row r="24840">
          <cell r="A24840">
            <v>43718</v>
          </cell>
        </row>
        <row r="24841">
          <cell r="A24841">
            <v>43645</v>
          </cell>
        </row>
        <row r="24842">
          <cell r="A24842">
            <v>43759</v>
          </cell>
        </row>
        <row r="24843">
          <cell r="A24843">
            <v>43384</v>
          </cell>
        </row>
        <row r="24844">
          <cell r="A24844">
            <v>43844</v>
          </cell>
        </row>
        <row r="24845">
          <cell r="A24845">
            <v>43276</v>
          </cell>
        </row>
        <row r="24846">
          <cell r="A24846">
            <v>43857</v>
          </cell>
        </row>
        <row r="24847">
          <cell r="A24847">
            <v>43610</v>
          </cell>
        </row>
        <row r="24848">
          <cell r="A24848">
            <v>43878</v>
          </cell>
        </row>
        <row r="24849">
          <cell r="A24849">
            <v>43214</v>
          </cell>
        </row>
        <row r="24850">
          <cell r="A24850">
            <v>43650</v>
          </cell>
        </row>
        <row r="24851">
          <cell r="A24851">
            <v>43693</v>
          </cell>
        </row>
        <row r="24852">
          <cell r="A24852">
            <v>43503</v>
          </cell>
        </row>
        <row r="24853">
          <cell r="A24853">
            <v>43622</v>
          </cell>
        </row>
        <row r="24854">
          <cell r="A24854">
            <v>43801</v>
          </cell>
        </row>
        <row r="24855">
          <cell r="A24855">
            <v>43803</v>
          </cell>
        </row>
        <row r="24856">
          <cell r="A24856">
            <v>43665</v>
          </cell>
        </row>
        <row r="24857">
          <cell r="A24857">
            <v>43509</v>
          </cell>
        </row>
        <row r="24858">
          <cell r="A24858">
            <v>43195</v>
          </cell>
        </row>
        <row r="24859">
          <cell r="A24859">
            <v>43640</v>
          </cell>
        </row>
        <row r="24860">
          <cell r="A24860">
            <v>43809</v>
          </cell>
        </row>
        <row r="24861">
          <cell r="A24861">
            <v>43152</v>
          </cell>
        </row>
        <row r="24862">
          <cell r="A24862">
            <v>43161</v>
          </cell>
        </row>
        <row r="24863">
          <cell r="A24863">
            <v>43568</v>
          </cell>
        </row>
        <row r="24864">
          <cell r="A24864">
            <v>43610</v>
          </cell>
        </row>
        <row r="24865">
          <cell r="A24865">
            <v>43262</v>
          </cell>
        </row>
        <row r="24866">
          <cell r="A24866">
            <v>43602</v>
          </cell>
        </row>
        <row r="24867">
          <cell r="A24867">
            <v>43845</v>
          </cell>
        </row>
        <row r="24868">
          <cell r="A24868">
            <v>43792</v>
          </cell>
        </row>
        <row r="24869">
          <cell r="A24869">
            <v>43123</v>
          </cell>
        </row>
        <row r="24870">
          <cell r="A24870">
            <v>43673</v>
          </cell>
        </row>
        <row r="24871">
          <cell r="A24871">
            <v>43337</v>
          </cell>
        </row>
        <row r="24872">
          <cell r="A24872">
            <v>43373</v>
          </cell>
        </row>
        <row r="24873">
          <cell r="A24873">
            <v>43762</v>
          </cell>
        </row>
        <row r="24874">
          <cell r="A24874">
            <v>43705</v>
          </cell>
        </row>
        <row r="24875">
          <cell r="A24875">
            <v>43634</v>
          </cell>
        </row>
        <row r="24876">
          <cell r="A24876">
            <v>43326</v>
          </cell>
        </row>
        <row r="24877">
          <cell r="A24877">
            <v>43703</v>
          </cell>
        </row>
        <row r="24878">
          <cell r="A24878">
            <v>43702</v>
          </cell>
        </row>
        <row r="24879">
          <cell r="A24879">
            <v>43604</v>
          </cell>
        </row>
        <row r="24880">
          <cell r="A24880">
            <v>43478</v>
          </cell>
        </row>
        <row r="24881">
          <cell r="A24881">
            <v>43706</v>
          </cell>
        </row>
        <row r="24882">
          <cell r="A24882">
            <v>43219</v>
          </cell>
        </row>
        <row r="24883">
          <cell r="A24883">
            <v>43246</v>
          </cell>
        </row>
        <row r="24884">
          <cell r="A24884">
            <v>43406</v>
          </cell>
        </row>
        <row r="24885">
          <cell r="A24885">
            <v>43253</v>
          </cell>
        </row>
        <row r="24886">
          <cell r="A24886">
            <v>43903</v>
          </cell>
        </row>
        <row r="24887">
          <cell r="A24887">
            <v>43856</v>
          </cell>
        </row>
        <row r="24888">
          <cell r="A24888">
            <v>43770</v>
          </cell>
        </row>
        <row r="24889">
          <cell r="A24889">
            <v>43445</v>
          </cell>
        </row>
        <row r="24890">
          <cell r="A24890">
            <v>43765</v>
          </cell>
        </row>
        <row r="24891">
          <cell r="A24891">
            <v>43590</v>
          </cell>
        </row>
        <row r="24892">
          <cell r="A24892">
            <v>43200</v>
          </cell>
        </row>
        <row r="24893">
          <cell r="A24893">
            <v>43523</v>
          </cell>
        </row>
        <row r="24894">
          <cell r="A24894">
            <v>43365</v>
          </cell>
        </row>
        <row r="24895">
          <cell r="A24895">
            <v>43502</v>
          </cell>
        </row>
        <row r="24896">
          <cell r="A24896">
            <v>43212</v>
          </cell>
        </row>
        <row r="24897">
          <cell r="A24897">
            <v>43539</v>
          </cell>
        </row>
        <row r="24898">
          <cell r="A24898">
            <v>43369</v>
          </cell>
        </row>
        <row r="24899">
          <cell r="A24899">
            <v>43719</v>
          </cell>
        </row>
        <row r="24900">
          <cell r="A24900">
            <v>43897</v>
          </cell>
        </row>
        <row r="24901">
          <cell r="A24901">
            <v>43109</v>
          </cell>
        </row>
        <row r="24902">
          <cell r="A24902">
            <v>43808</v>
          </cell>
        </row>
        <row r="24903">
          <cell r="A24903">
            <v>43867</v>
          </cell>
        </row>
        <row r="24904">
          <cell r="A24904">
            <v>43542</v>
          </cell>
        </row>
        <row r="24905">
          <cell r="A24905">
            <v>43413</v>
          </cell>
        </row>
        <row r="24906">
          <cell r="A24906">
            <v>43508</v>
          </cell>
        </row>
        <row r="24907">
          <cell r="A24907">
            <v>43570</v>
          </cell>
        </row>
        <row r="24908">
          <cell r="A24908">
            <v>43206</v>
          </cell>
        </row>
        <row r="24909">
          <cell r="A24909">
            <v>43769</v>
          </cell>
        </row>
        <row r="24910">
          <cell r="A24910">
            <v>43195</v>
          </cell>
        </row>
        <row r="24911">
          <cell r="A24911">
            <v>43636</v>
          </cell>
        </row>
        <row r="24912">
          <cell r="A24912">
            <v>43858</v>
          </cell>
        </row>
        <row r="24913">
          <cell r="A24913">
            <v>43828</v>
          </cell>
        </row>
        <row r="24914">
          <cell r="A24914">
            <v>43911</v>
          </cell>
        </row>
        <row r="24915">
          <cell r="A24915">
            <v>43764</v>
          </cell>
        </row>
        <row r="24916">
          <cell r="A24916">
            <v>43511</v>
          </cell>
        </row>
        <row r="24917">
          <cell r="A24917">
            <v>43386</v>
          </cell>
        </row>
        <row r="24918">
          <cell r="A24918">
            <v>43451</v>
          </cell>
        </row>
        <row r="24919">
          <cell r="A24919">
            <v>43886</v>
          </cell>
        </row>
        <row r="24920">
          <cell r="A24920">
            <v>43222</v>
          </cell>
        </row>
        <row r="24921">
          <cell r="A24921">
            <v>43549</v>
          </cell>
        </row>
        <row r="24922">
          <cell r="A24922">
            <v>43306</v>
          </cell>
        </row>
        <row r="24923">
          <cell r="A24923">
            <v>43586</v>
          </cell>
        </row>
        <row r="24924">
          <cell r="A24924">
            <v>43438</v>
          </cell>
        </row>
        <row r="24925">
          <cell r="A24925">
            <v>43278</v>
          </cell>
        </row>
        <row r="24926">
          <cell r="A24926">
            <v>43658</v>
          </cell>
        </row>
        <row r="24927">
          <cell r="A24927">
            <v>43526</v>
          </cell>
        </row>
        <row r="24928">
          <cell r="A24928">
            <v>43618</v>
          </cell>
        </row>
        <row r="24929">
          <cell r="A24929">
            <v>43405</v>
          </cell>
        </row>
        <row r="24930">
          <cell r="A24930">
            <v>43246</v>
          </cell>
        </row>
        <row r="24931">
          <cell r="A24931">
            <v>43310</v>
          </cell>
        </row>
        <row r="24932">
          <cell r="A24932">
            <v>43553</v>
          </cell>
        </row>
        <row r="24933">
          <cell r="A24933">
            <v>43248</v>
          </cell>
        </row>
        <row r="24934">
          <cell r="A24934">
            <v>43530</v>
          </cell>
        </row>
        <row r="24935">
          <cell r="A24935">
            <v>43591</v>
          </cell>
        </row>
        <row r="24936">
          <cell r="A24936">
            <v>43850</v>
          </cell>
        </row>
        <row r="24937">
          <cell r="A24937">
            <v>43905</v>
          </cell>
        </row>
        <row r="24938">
          <cell r="A24938">
            <v>43660</v>
          </cell>
        </row>
        <row r="24939">
          <cell r="A24939">
            <v>43515</v>
          </cell>
        </row>
        <row r="24940">
          <cell r="A24940">
            <v>43366</v>
          </cell>
        </row>
        <row r="24941">
          <cell r="A24941">
            <v>43162</v>
          </cell>
        </row>
        <row r="24942">
          <cell r="A24942">
            <v>43623</v>
          </cell>
        </row>
        <row r="24943">
          <cell r="A24943">
            <v>43695</v>
          </cell>
        </row>
        <row r="24944">
          <cell r="A24944">
            <v>43543</v>
          </cell>
        </row>
        <row r="24945">
          <cell r="A24945">
            <v>43478</v>
          </cell>
        </row>
        <row r="24946">
          <cell r="A24946">
            <v>43145</v>
          </cell>
        </row>
        <row r="24947">
          <cell r="A24947">
            <v>43642</v>
          </cell>
        </row>
        <row r="24948">
          <cell r="A24948">
            <v>43574</v>
          </cell>
        </row>
        <row r="24949">
          <cell r="A24949">
            <v>43182</v>
          </cell>
        </row>
        <row r="24950">
          <cell r="A24950">
            <v>43670</v>
          </cell>
        </row>
        <row r="24951">
          <cell r="A24951">
            <v>43377</v>
          </cell>
        </row>
        <row r="24952">
          <cell r="A24952">
            <v>43473</v>
          </cell>
        </row>
        <row r="24953">
          <cell r="A24953">
            <v>43784</v>
          </cell>
        </row>
        <row r="24954">
          <cell r="A24954">
            <v>43353</v>
          </cell>
        </row>
        <row r="24955">
          <cell r="A24955">
            <v>43663</v>
          </cell>
        </row>
        <row r="24956">
          <cell r="A24956">
            <v>43625</v>
          </cell>
        </row>
        <row r="24957">
          <cell r="A24957">
            <v>43232</v>
          </cell>
        </row>
        <row r="24958">
          <cell r="A24958">
            <v>43119</v>
          </cell>
        </row>
        <row r="24959">
          <cell r="A24959">
            <v>43287</v>
          </cell>
        </row>
        <row r="24960">
          <cell r="A24960">
            <v>43410</v>
          </cell>
        </row>
        <row r="24961">
          <cell r="A24961">
            <v>43648</v>
          </cell>
        </row>
        <row r="24962">
          <cell r="A24962">
            <v>43296</v>
          </cell>
        </row>
        <row r="24963">
          <cell r="A24963">
            <v>43428</v>
          </cell>
        </row>
        <row r="24964">
          <cell r="A24964">
            <v>43492</v>
          </cell>
        </row>
        <row r="24965">
          <cell r="A24965">
            <v>43782</v>
          </cell>
        </row>
        <row r="24966">
          <cell r="A24966">
            <v>43873</v>
          </cell>
        </row>
        <row r="24967">
          <cell r="A24967">
            <v>43400</v>
          </cell>
        </row>
        <row r="24968">
          <cell r="A24968">
            <v>43833</v>
          </cell>
        </row>
        <row r="24969">
          <cell r="A24969">
            <v>43905</v>
          </cell>
        </row>
        <row r="24970">
          <cell r="A24970">
            <v>43838</v>
          </cell>
        </row>
        <row r="24971">
          <cell r="A24971">
            <v>43397</v>
          </cell>
        </row>
        <row r="24972">
          <cell r="A24972">
            <v>43111</v>
          </cell>
        </row>
        <row r="24973">
          <cell r="A24973">
            <v>43283</v>
          </cell>
        </row>
        <row r="24974">
          <cell r="A24974">
            <v>43476</v>
          </cell>
        </row>
        <row r="24975">
          <cell r="A24975">
            <v>43612</v>
          </cell>
        </row>
        <row r="24976">
          <cell r="A24976">
            <v>43315</v>
          </cell>
        </row>
        <row r="24977">
          <cell r="A24977">
            <v>43578</v>
          </cell>
        </row>
        <row r="24978">
          <cell r="A24978">
            <v>43875</v>
          </cell>
        </row>
        <row r="24979">
          <cell r="A24979">
            <v>43327</v>
          </cell>
        </row>
        <row r="24980">
          <cell r="A24980">
            <v>43626</v>
          </cell>
        </row>
        <row r="24981">
          <cell r="A24981">
            <v>43130</v>
          </cell>
        </row>
        <row r="24982">
          <cell r="A24982">
            <v>43197</v>
          </cell>
        </row>
        <row r="24983">
          <cell r="A24983">
            <v>43163</v>
          </cell>
        </row>
        <row r="24984">
          <cell r="A24984">
            <v>43755</v>
          </cell>
        </row>
        <row r="24985">
          <cell r="A24985">
            <v>43629</v>
          </cell>
        </row>
        <row r="24986">
          <cell r="A24986">
            <v>43641</v>
          </cell>
        </row>
        <row r="24987">
          <cell r="A24987">
            <v>43519</v>
          </cell>
        </row>
        <row r="24988">
          <cell r="A24988">
            <v>43143</v>
          </cell>
        </row>
        <row r="24989">
          <cell r="A24989">
            <v>43728</v>
          </cell>
        </row>
        <row r="24990">
          <cell r="A24990">
            <v>43217</v>
          </cell>
        </row>
        <row r="24991">
          <cell r="A24991">
            <v>43485</v>
          </cell>
        </row>
        <row r="24992">
          <cell r="A24992">
            <v>43302</v>
          </cell>
        </row>
        <row r="24993">
          <cell r="A24993">
            <v>43540</v>
          </cell>
        </row>
        <row r="24994">
          <cell r="A24994">
            <v>43444</v>
          </cell>
        </row>
        <row r="24995">
          <cell r="A24995">
            <v>43280</v>
          </cell>
        </row>
        <row r="24996">
          <cell r="A24996">
            <v>43402</v>
          </cell>
        </row>
        <row r="24997">
          <cell r="A24997">
            <v>43833</v>
          </cell>
        </row>
        <row r="24998">
          <cell r="A24998">
            <v>43239</v>
          </cell>
        </row>
        <row r="24999">
          <cell r="A24999">
            <v>43720</v>
          </cell>
        </row>
        <row r="25000">
          <cell r="A25000">
            <v>43580</v>
          </cell>
        </row>
        <row r="25001">
          <cell r="A25001">
            <v>43370</v>
          </cell>
        </row>
        <row r="25002">
          <cell r="A25002">
            <v>43609</v>
          </cell>
        </row>
        <row r="25003">
          <cell r="A25003">
            <v>43433</v>
          </cell>
        </row>
        <row r="25004">
          <cell r="A25004">
            <v>43424</v>
          </cell>
        </row>
        <row r="25005">
          <cell r="A25005">
            <v>43642</v>
          </cell>
        </row>
        <row r="25006">
          <cell r="A25006">
            <v>43259</v>
          </cell>
        </row>
        <row r="25007">
          <cell r="A25007">
            <v>43408</v>
          </cell>
        </row>
        <row r="25008">
          <cell r="A25008">
            <v>43720</v>
          </cell>
        </row>
        <row r="25009">
          <cell r="A25009">
            <v>43789</v>
          </cell>
        </row>
        <row r="25010">
          <cell r="A25010">
            <v>43896</v>
          </cell>
        </row>
        <row r="25011">
          <cell r="A25011">
            <v>43897</v>
          </cell>
        </row>
        <row r="25012">
          <cell r="A25012">
            <v>43642</v>
          </cell>
        </row>
        <row r="25013">
          <cell r="A25013">
            <v>43677</v>
          </cell>
        </row>
        <row r="25014">
          <cell r="A25014">
            <v>43826</v>
          </cell>
        </row>
        <row r="25015">
          <cell r="A25015">
            <v>43175</v>
          </cell>
        </row>
        <row r="25016">
          <cell r="A25016">
            <v>43134</v>
          </cell>
        </row>
        <row r="25017">
          <cell r="A25017">
            <v>43339</v>
          </cell>
        </row>
        <row r="25018">
          <cell r="A25018">
            <v>43330</v>
          </cell>
        </row>
        <row r="25019">
          <cell r="A25019">
            <v>43256</v>
          </cell>
        </row>
        <row r="25020">
          <cell r="A25020">
            <v>43423</v>
          </cell>
        </row>
        <row r="25021">
          <cell r="A25021">
            <v>43201</v>
          </cell>
        </row>
        <row r="25022">
          <cell r="A25022">
            <v>43776</v>
          </cell>
        </row>
        <row r="25023">
          <cell r="A25023">
            <v>43411</v>
          </cell>
        </row>
        <row r="25024">
          <cell r="A25024">
            <v>43542</v>
          </cell>
        </row>
        <row r="25025">
          <cell r="A25025">
            <v>43841</v>
          </cell>
        </row>
        <row r="25026">
          <cell r="A25026">
            <v>43859</v>
          </cell>
        </row>
        <row r="25027">
          <cell r="A25027">
            <v>43510</v>
          </cell>
        </row>
        <row r="25028">
          <cell r="A25028">
            <v>43717</v>
          </cell>
        </row>
        <row r="25029">
          <cell r="A25029">
            <v>43761</v>
          </cell>
        </row>
        <row r="25030">
          <cell r="A25030">
            <v>43523</v>
          </cell>
        </row>
        <row r="25031">
          <cell r="A25031">
            <v>43395</v>
          </cell>
        </row>
        <row r="25032">
          <cell r="A25032">
            <v>43223</v>
          </cell>
        </row>
        <row r="25033">
          <cell r="A25033">
            <v>43735</v>
          </cell>
        </row>
        <row r="25034">
          <cell r="A25034">
            <v>43390</v>
          </cell>
        </row>
        <row r="25035">
          <cell r="A25035">
            <v>43654</v>
          </cell>
        </row>
        <row r="25036">
          <cell r="A25036">
            <v>43793</v>
          </cell>
        </row>
        <row r="25037">
          <cell r="A25037">
            <v>43282</v>
          </cell>
        </row>
        <row r="25038">
          <cell r="A25038">
            <v>43287</v>
          </cell>
        </row>
        <row r="25039">
          <cell r="A25039">
            <v>43697</v>
          </cell>
        </row>
        <row r="25040">
          <cell r="A25040">
            <v>43855</v>
          </cell>
        </row>
        <row r="25041">
          <cell r="A25041">
            <v>43467</v>
          </cell>
        </row>
        <row r="25042">
          <cell r="A25042">
            <v>43166</v>
          </cell>
        </row>
        <row r="25043">
          <cell r="A25043">
            <v>43455</v>
          </cell>
        </row>
        <row r="25044">
          <cell r="A25044">
            <v>43519</v>
          </cell>
        </row>
        <row r="25045">
          <cell r="A25045">
            <v>43494</v>
          </cell>
        </row>
        <row r="25046">
          <cell r="A25046">
            <v>43329</v>
          </cell>
        </row>
        <row r="25047">
          <cell r="A25047">
            <v>43855</v>
          </cell>
        </row>
        <row r="25048">
          <cell r="A25048">
            <v>43824</v>
          </cell>
        </row>
        <row r="25049">
          <cell r="A25049">
            <v>43443</v>
          </cell>
        </row>
        <row r="25050">
          <cell r="A25050">
            <v>43793</v>
          </cell>
        </row>
        <row r="25051">
          <cell r="A25051">
            <v>43843</v>
          </cell>
        </row>
        <row r="25052">
          <cell r="A25052">
            <v>43867</v>
          </cell>
        </row>
        <row r="25053">
          <cell r="A25053">
            <v>43694</v>
          </cell>
        </row>
        <row r="25054">
          <cell r="A25054">
            <v>43626</v>
          </cell>
        </row>
        <row r="25055">
          <cell r="A25055">
            <v>43625</v>
          </cell>
        </row>
        <row r="25056">
          <cell r="A25056">
            <v>43844</v>
          </cell>
        </row>
        <row r="25057">
          <cell r="A25057">
            <v>43443</v>
          </cell>
        </row>
        <row r="25058">
          <cell r="A25058">
            <v>43658</v>
          </cell>
        </row>
        <row r="25059">
          <cell r="A25059">
            <v>43502</v>
          </cell>
        </row>
        <row r="25060">
          <cell r="A25060">
            <v>43262</v>
          </cell>
        </row>
        <row r="25061">
          <cell r="A25061">
            <v>43792</v>
          </cell>
        </row>
        <row r="25062">
          <cell r="A25062">
            <v>43785</v>
          </cell>
        </row>
        <row r="25063">
          <cell r="A25063">
            <v>43766</v>
          </cell>
        </row>
        <row r="25064">
          <cell r="A25064">
            <v>43604</v>
          </cell>
        </row>
        <row r="25065">
          <cell r="A25065">
            <v>43365</v>
          </cell>
        </row>
        <row r="25066">
          <cell r="A25066">
            <v>43269</v>
          </cell>
        </row>
        <row r="25067">
          <cell r="A25067">
            <v>43866</v>
          </cell>
        </row>
        <row r="25068">
          <cell r="A25068">
            <v>43264</v>
          </cell>
        </row>
        <row r="25069">
          <cell r="A25069">
            <v>43554</v>
          </cell>
        </row>
        <row r="25070">
          <cell r="A25070">
            <v>43390</v>
          </cell>
        </row>
        <row r="25071">
          <cell r="A25071">
            <v>43550</v>
          </cell>
        </row>
        <row r="25072">
          <cell r="A25072">
            <v>43401</v>
          </cell>
        </row>
        <row r="25073">
          <cell r="A25073">
            <v>43420</v>
          </cell>
        </row>
        <row r="25074">
          <cell r="A25074">
            <v>43497</v>
          </cell>
        </row>
        <row r="25075">
          <cell r="A25075">
            <v>43170</v>
          </cell>
        </row>
        <row r="25076">
          <cell r="A25076">
            <v>43855</v>
          </cell>
        </row>
        <row r="25077">
          <cell r="A25077">
            <v>43875</v>
          </cell>
        </row>
        <row r="25078">
          <cell r="A25078">
            <v>43890</v>
          </cell>
        </row>
        <row r="25079">
          <cell r="A25079">
            <v>43104</v>
          </cell>
        </row>
        <row r="25080">
          <cell r="A25080">
            <v>43719</v>
          </cell>
        </row>
        <row r="25081">
          <cell r="A25081">
            <v>43642</v>
          </cell>
        </row>
        <row r="25082">
          <cell r="A25082">
            <v>43461</v>
          </cell>
        </row>
        <row r="25083">
          <cell r="A25083">
            <v>43647</v>
          </cell>
        </row>
        <row r="25084">
          <cell r="A25084">
            <v>43918</v>
          </cell>
        </row>
        <row r="25085">
          <cell r="A25085">
            <v>43790</v>
          </cell>
        </row>
        <row r="25086">
          <cell r="A25086">
            <v>43574</v>
          </cell>
        </row>
        <row r="25087">
          <cell r="A25087">
            <v>43317</v>
          </cell>
        </row>
        <row r="25088">
          <cell r="A25088">
            <v>43889</v>
          </cell>
        </row>
        <row r="25089">
          <cell r="A25089">
            <v>43444</v>
          </cell>
        </row>
        <row r="25090">
          <cell r="A25090">
            <v>43666</v>
          </cell>
        </row>
        <row r="25091">
          <cell r="A25091">
            <v>43104</v>
          </cell>
        </row>
        <row r="25092">
          <cell r="A25092">
            <v>43458</v>
          </cell>
        </row>
        <row r="25093">
          <cell r="A25093">
            <v>43152</v>
          </cell>
        </row>
        <row r="25094">
          <cell r="A25094">
            <v>43915</v>
          </cell>
        </row>
        <row r="25095">
          <cell r="A25095">
            <v>43325</v>
          </cell>
        </row>
        <row r="25096">
          <cell r="A25096">
            <v>43811</v>
          </cell>
        </row>
        <row r="25097">
          <cell r="A25097">
            <v>43784</v>
          </cell>
        </row>
        <row r="25098">
          <cell r="A25098">
            <v>43779</v>
          </cell>
        </row>
        <row r="25099">
          <cell r="A25099">
            <v>43343</v>
          </cell>
        </row>
        <row r="25100">
          <cell r="A25100">
            <v>43795</v>
          </cell>
        </row>
        <row r="25101">
          <cell r="A25101">
            <v>43437</v>
          </cell>
        </row>
        <row r="25102">
          <cell r="A25102">
            <v>43572</v>
          </cell>
        </row>
        <row r="25103">
          <cell r="A25103">
            <v>43305</v>
          </cell>
        </row>
        <row r="25104">
          <cell r="A25104">
            <v>43680</v>
          </cell>
        </row>
        <row r="25105">
          <cell r="A25105">
            <v>43835</v>
          </cell>
        </row>
        <row r="25106">
          <cell r="A25106">
            <v>43353</v>
          </cell>
        </row>
        <row r="25107">
          <cell r="A25107">
            <v>43722</v>
          </cell>
        </row>
        <row r="25108">
          <cell r="A25108">
            <v>43258</v>
          </cell>
        </row>
        <row r="25109">
          <cell r="A25109">
            <v>43639</v>
          </cell>
        </row>
        <row r="25110">
          <cell r="A25110">
            <v>43606</v>
          </cell>
        </row>
        <row r="25111">
          <cell r="A25111">
            <v>43796</v>
          </cell>
        </row>
        <row r="25112">
          <cell r="A25112">
            <v>43523</v>
          </cell>
        </row>
        <row r="25113">
          <cell r="A25113">
            <v>43632</v>
          </cell>
        </row>
        <row r="25114">
          <cell r="A25114">
            <v>43207</v>
          </cell>
        </row>
        <row r="25115">
          <cell r="A25115">
            <v>43527</v>
          </cell>
        </row>
        <row r="25116">
          <cell r="A25116">
            <v>43722</v>
          </cell>
        </row>
        <row r="25117">
          <cell r="A25117">
            <v>43780</v>
          </cell>
        </row>
        <row r="25118">
          <cell r="A25118">
            <v>43148</v>
          </cell>
        </row>
        <row r="25119">
          <cell r="A25119">
            <v>43590</v>
          </cell>
        </row>
        <row r="25120">
          <cell r="A25120">
            <v>43695</v>
          </cell>
        </row>
        <row r="25121">
          <cell r="A25121">
            <v>43732</v>
          </cell>
        </row>
        <row r="25122">
          <cell r="A25122">
            <v>43395</v>
          </cell>
        </row>
        <row r="25123">
          <cell r="A25123">
            <v>43678</v>
          </cell>
        </row>
        <row r="25124">
          <cell r="A25124">
            <v>43418</v>
          </cell>
        </row>
        <row r="25125">
          <cell r="A25125">
            <v>43550</v>
          </cell>
        </row>
        <row r="25126">
          <cell r="A25126">
            <v>43462</v>
          </cell>
        </row>
        <row r="25127">
          <cell r="A25127">
            <v>43402</v>
          </cell>
        </row>
        <row r="25128">
          <cell r="A25128">
            <v>43778</v>
          </cell>
        </row>
        <row r="25129">
          <cell r="A25129">
            <v>43586</v>
          </cell>
        </row>
        <row r="25130">
          <cell r="A25130">
            <v>43461</v>
          </cell>
        </row>
        <row r="25131">
          <cell r="A25131">
            <v>43718</v>
          </cell>
        </row>
        <row r="25132">
          <cell r="A25132">
            <v>43851</v>
          </cell>
        </row>
        <row r="25133">
          <cell r="A25133">
            <v>43425</v>
          </cell>
        </row>
        <row r="25134">
          <cell r="A25134">
            <v>43489</v>
          </cell>
        </row>
        <row r="25135">
          <cell r="A25135">
            <v>43850</v>
          </cell>
        </row>
        <row r="25136">
          <cell r="A25136">
            <v>43701</v>
          </cell>
        </row>
        <row r="25137">
          <cell r="A25137">
            <v>43837</v>
          </cell>
        </row>
        <row r="25138">
          <cell r="A25138">
            <v>43485</v>
          </cell>
        </row>
        <row r="25139">
          <cell r="A25139">
            <v>43679</v>
          </cell>
        </row>
        <row r="25140">
          <cell r="A25140">
            <v>43334</v>
          </cell>
        </row>
        <row r="25141">
          <cell r="A25141">
            <v>43205</v>
          </cell>
        </row>
        <row r="25142">
          <cell r="A25142">
            <v>43796</v>
          </cell>
        </row>
        <row r="25143">
          <cell r="A25143">
            <v>43177</v>
          </cell>
        </row>
        <row r="25144">
          <cell r="A25144">
            <v>43898</v>
          </cell>
        </row>
        <row r="25145">
          <cell r="A25145">
            <v>43325</v>
          </cell>
        </row>
        <row r="25146">
          <cell r="A25146">
            <v>43221</v>
          </cell>
        </row>
        <row r="25147">
          <cell r="A25147">
            <v>43683</v>
          </cell>
        </row>
        <row r="25148">
          <cell r="A25148">
            <v>43519</v>
          </cell>
        </row>
        <row r="25149">
          <cell r="A25149">
            <v>43254</v>
          </cell>
        </row>
        <row r="25150">
          <cell r="A25150">
            <v>43388</v>
          </cell>
        </row>
        <row r="25151">
          <cell r="A25151">
            <v>43628</v>
          </cell>
        </row>
        <row r="25152">
          <cell r="A25152">
            <v>43642</v>
          </cell>
        </row>
        <row r="25153">
          <cell r="A25153">
            <v>43160</v>
          </cell>
        </row>
        <row r="25154">
          <cell r="A25154">
            <v>43539</v>
          </cell>
        </row>
        <row r="25155">
          <cell r="A25155">
            <v>43851</v>
          </cell>
        </row>
        <row r="25156">
          <cell r="A25156">
            <v>43881</v>
          </cell>
        </row>
        <row r="25157">
          <cell r="A25157">
            <v>43788</v>
          </cell>
        </row>
        <row r="25158">
          <cell r="A25158">
            <v>43441</v>
          </cell>
        </row>
        <row r="25159">
          <cell r="A25159">
            <v>43116</v>
          </cell>
        </row>
        <row r="25160">
          <cell r="A25160">
            <v>43406</v>
          </cell>
        </row>
        <row r="25161">
          <cell r="A25161">
            <v>43140</v>
          </cell>
        </row>
        <row r="25162">
          <cell r="A25162">
            <v>43361</v>
          </cell>
        </row>
        <row r="25163">
          <cell r="A25163">
            <v>43743</v>
          </cell>
        </row>
        <row r="25164">
          <cell r="A25164">
            <v>43110</v>
          </cell>
        </row>
        <row r="25165">
          <cell r="A25165">
            <v>43903</v>
          </cell>
        </row>
        <row r="25166">
          <cell r="A25166">
            <v>43509</v>
          </cell>
        </row>
        <row r="25167">
          <cell r="A25167">
            <v>43526</v>
          </cell>
        </row>
        <row r="25168">
          <cell r="A25168">
            <v>43278</v>
          </cell>
        </row>
        <row r="25169">
          <cell r="A25169">
            <v>43908</v>
          </cell>
        </row>
        <row r="25170">
          <cell r="A25170">
            <v>43301</v>
          </cell>
        </row>
        <row r="25171">
          <cell r="A25171">
            <v>43149</v>
          </cell>
        </row>
        <row r="25172">
          <cell r="A25172">
            <v>43737</v>
          </cell>
        </row>
        <row r="25173">
          <cell r="A25173">
            <v>43447</v>
          </cell>
        </row>
        <row r="25174">
          <cell r="A25174">
            <v>43245</v>
          </cell>
        </row>
        <row r="25175">
          <cell r="A25175">
            <v>43172</v>
          </cell>
        </row>
        <row r="25176">
          <cell r="A25176">
            <v>43379</v>
          </cell>
        </row>
        <row r="25177">
          <cell r="A25177">
            <v>43116</v>
          </cell>
        </row>
        <row r="25178">
          <cell r="A25178">
            <v>43763</v>
          </cell>
        </row>
        <row r="25179">
          <cell r="A25179">
            <v>43560</v>
          </cell>
        </row>
        <row r="25180">
          <cell r="A25180">
            <v>43294</v>
          </cell>
        </row>
        <row r="25181">
          <cell r="A25181">
            <v>43244</v>
          </cell>
        </row>
        <row r="25182">
          <cell r="A25182">
            <v>43762</v>
          </cell>
        </row>
        <row r="25183">
          <cell r="A25183">
            <v>43297</v>
          </cell>
        </row>
        <row r="25184">
          <cell r="A25184">
            <v>43115</v>
          </cell>
        </row>
        <row r="25185">
          <cell r="A25185">
            <v>43117</v>
          </cell>
        </row>
        <row r="25186">
          <cell r="A25186">
            <v>43624</v>
          </cell>
        </row>
        <row r="25187">
          <cell r="A25187">
            <v>43609</v>
          </cell>
        </row>
        <row r="25188">
          <cell r="A25188">
            <v>43106</v>
          </cell>
        </row>
        <row r="25189">
          <cell r="A25189">
            <v>43919</v>
          </cell>
        </row>
        <row r="25190">
          <cell r="A25190">
            <v>43745</v>
          </cell>
        </row>
        <row r="25191">
          <cell r="A25191">
            <v>43371</v>
          </cell>
        </row>
        <row r="25192">
          <cell r="A25192">
            <v>43300</v>
          </cell>
        </row>
        <row r="25193">
          <cell r="A25193">
            <v>43409</v>
          </cell>
        </row>
        <row r="25194">
          <cell r="A25194">
            <v>43692</v>
          </cell>
        </row>
        <row r="25195">
          <cell r="A25195">
            <v>43159</v>
          </cell>
        </row>
        <row r="25196">
          <cell r="A25196">
            <v>43202</v>
          </cell>
        </row>
        <row r="25197">
          <cell r="A25197">
            <v>43760</v>
          </cell>
        </row>
        <row r="25198">
          <cell r="A25198">
            <v>43309</v>
          </cell>
        </row>
        <row r="25199">
          <cell r="A25199">
            <v>43250</v>
          </cell>
        </row>
        <row r="25200">
          <cell r="A25200">
            <v>43382</v>
          </cell>
        </row>
        <row r="25201">
          <cell r="A25201">
            <v>43676</v>
          </cell>
        </row>
        <row r="25202">
          <cell r="A25202">
            <v>43202</v>
          </cell>
        </row>
        <row r="25203">
          <cell r="A25203">
            <v>43535</v>
          </cell>
        </row>
        <row r="25204">
          <cell r="A25204">
            <v>43509</v>
          </cell>
        </row>
        <row r="25205">
          <cell r="A25205">
            <v>43441</v>
          </cell>
        </row>
        <row r="25206">
          <cell r="A25206">
            <v>43662</v>
          </cell>
        </row>
        <row r="25207">
          <cell r="A25207">
            <v>43627</v>
          </cell>
        </row>
        <row r="25208">
          <cell r="A25208">
            <v>43158</v>
          </cell>
        </row>
        <row r="25209">
          <cell r="A25209">
            <v>43581</v>
          </cell>
        </row>
        <row r="25210">
          <cell r="A25210">
            <v>43838</v>
          </cell>
        </row>
        <row r="25211">
          <cell r="A25211">
            <v>43127</v>
          </cell>
        </row>
        <row r="25212">
          <cell r="A25212">
            <v>43238</v>
          </cell>
        </row>
        <row r="25213">
          <cell r="A25213">
            <v>43137</v>
          </cell>
        </row>
        <row r="25214">
          <cell r="A25214">
            <v>43765</v>
          </cell>
        </row>
        <row r="25215">
          <cell r="A25215">
            <v>43329</v>
          </cell>
        </row>
        <row r="25216">
          <cell r="A25216">
            <v>43419</v>
          </cell>
        </row>
        <row r="25217">
          <cell r="A25217">
            <v>43850</v>
          </cell>
        </row>
        <row r="25218">
          <cell r="A25218">
            <v>43536</v>
          </cell>
        </row>
        <row r="25219">
          <cell r="A25219">
            <v>43303</v>
          </cell>
        </row>
        <row r="25220">
          <cell r="A25220">
            <v>43578</v>
          </cell>
        </row>
        <row r="25221">
          <cell r="A25221">
            <v>43497</v>
          </cell>
        </row>
        <row r="25222">
          <cell r="A25222">
            <v>43394</v>
          </cell>
        </row>
        <row r="25223">
          <cell r="A25223">
            <v>43523</v>
          </cell>
        </row>
        <row r="25224">
          <cell r="A25224">
            <v>43868</v>
          </cell>
        </row>
        <row r="25225">
          <cell r="A25225">
            <v>43196</v>
          </cell>
        </row>
        <row r="25226">
          <cell r="A25226">
            <v>43765</v>
          </cell>
        </row>
        <row r="25227">
          <cell r="A25227">
            <v>43227</v>
          </cell>
        </row>
        <row r="25228">
          <cell r="A25228">
            <v>43696</v>
          </cell>
        </row>
        <row r="25229">
          <cell r="A25229">
            <v>43357</v>
          </cell>
        </row>
        <row r="25230">
          <cell r="A25230">
            <v>43674</v>
          </cell>
        </row>
        <row r="25231">
          <cell r="A25231">
            <v>43412</v>
          </cell>
        </row>
        <row r="25232">
          <cell r="A25232">
            <v>43525</v>
          </cell>
        </row>
        <row r="25233">
          <cell r="A25233">
            <v>43497</v>
          </cell>
        </row>
        <row r="25234">
          <cell r="A25234">
            <v>43536</v>
          </cell>
        </row>
        <row r="25235">
          <cell r="A25235">
            <v>43634</v>
          </cell>
        </row>
        <row r="25236">
          <cell r="A25236">
            <v>43106</v>
          </cell>
        </row>
        <row r="25237">
          <cell r="A25237">
            <v>43714</v>
          </cell>
        </row>
        <row r="25238">
          <cell r="A25238">
            <v>43637</v>
          </cell>
        </row>
        <row r="25239">
          <cell r="A25239">
            <v>43110</v>
          </cell>
        </row>
        <row r="25240">
          <cell r="A25240">
            <v>43380</v>
          </cell>
        </row>
        <row r="25241">
          <cell r="A25241">
            <v>43739</v>
          </cell>
        </row>
        <row r="25242">
          <cell r="A25242">
            <v>43847</v>
          </cell>
        </row>
        <row r="25243">
          <cell r="A25243">
            <v>43593</v>
          </cell>
        </row>
        <row r="25244">
          <cell r="A25244">
            <v>43732</v>
          </cell>
        </row>
        <row r="25245">
          <cell r="A25245">
            <v>43133</v>
          </cell>
        </row>
        <row r="25246">
          <cell r="A25246">
            <v>43889</v>
          </cell>
        </row>
        <row r="25247">
          <cell r="A25247">
            <v>43107</v>
          </cell>
        </row>
        <row r="25248">
          <cell r="A25248">
            <v>43178</v>
          </cell>
        </row>
        <row r="25249">
          <cell r="A25249">
            <v>43237</v>
          </cell>
        </row>
        <row r="25250">
          <cell r="A25250">
            <v>43629</v>
          </cell>
        </row>
        <row r="25251">
          <cell r="A25251">
            <v>43614</v>
          </cell>
        </row>
        <row r="25252">
          <cell r="A25252">
            <v>43411</v>
          </cell>
        </row>
        <row r="25253">
          <cell r="A25253">
            <v>43646</v>
          </cell>
        </row>
        <row r="25254">
          <cell r="A25254">
            <v>43608</v>
          </cell>
        </row>
        <row r="25255">
          <cell r="A25255">
            <v>43138</v>
          </cell>
        </row>
        <row r="25256">
          <cell r="A25256">
            <v>43406</v>
          </cell>
        </row>
        <row r="25257">
          <cell r="A25257">
            <v>43861</v>
          </cell>
        </row>
        <row r="25258">
          <cell r="A25258">
            <v>43135</v>
          </cell>
        </row>
        <row r="25259">
          <cell r="A25259">
            <v>43126</v>
          </cell>
        </row>
        <row r="25260">
          <cell r="A25260">
            <v>43777</v>
          </cell>
        </row>
        <row r="25261">
          <cell r="A25261">
            <v>43621</v>
          </cell>
        </row>
        <row r="25262">
          <cell r="A25262">
            <v>43653</v>
          </cell>
        </row>
        <row r="25263">
          <cell r="A25263">
            <v>43319</v>
          </cell>
        </row>
        <row r="25264">
          <cell r="A25264">
            <v>43328</v>
          </cell>
        </row>
        <row r="25265">
          <cell r="A25265">
            <v>43874</v>
          </cell>
        </row>
        <row r="25266">
          <cell r="A25266">
            <v>43852</v>
          </cell>
        </row>
        <row r="25267">
          <cell r="A25267">
            <v>43836</v>
          </cell>
        </row>
        <row r="25268">
          <cell r="A25268">
            <v>43666</v>
          </cell>
        </row>
        <row r="25269">
          <cell r="A25269">
            <v>43356</v>
          </cell>
        </row>
        <row r="25270">
          <cell r="A25270">
            <v>43639</v>
          </cell>
        </row>
        <row r="25271">
          <cell r="A25271">
            <v>43281</v>
          </cell>
        </row>
        <row r="25272">
          <cell r="A25272">
            <v>43623</v>
          </cell>
        </row>
        <row r="25273">
          <cell r="A25273">
            <v>43569</v>
          </cell>
        </row>
        <row r="25274">
          <cell r="A25274">
            <v>43456</v>
          </cell>
        </row>
        <row r="25275">
          <cell r="A25275">
            <v>43308</v>
          </cell>
        </row>
        <row r="25276">
          <cell r="A25276">
            <v>43902</v>
          </cell>
        </row>
        <row r="25277">
          <cell r="A25277">
            <v>43854</v>
          </cell>
        </row>
        <row r="25278">
          <cell r="A25278">
            <v>43162</v>
          </cell>
        </row>
        <row r="25279">
          <cell r="A25279">
            <v>43135</v>
          </cell>
        </row>
        <row r="25280">
          <cell r="A25280">
            <v>43338</v>
          </cell>
        </row>
        <row r="25281">
          <cell r="A25281">
            <v>43149</v>
          </cell>
        </row>
        <row r="25282">
          <cell r="A25282">
            <v>43666</v>
          </cell>
        </row>
        <row r="25283">
          <cell r="A25283">
            <v>43420</v>
          </cell>
        </row>
        <row r="25284">
          <cell r="A25284">
            <v>43506</v>
          </cell>
        </row>
        <row r="25285">
          <cell r="A25285">
            <v>43469</v>
          </cell>
        </row>
        <row r="25286">
          <cell r="A25286">
            <v>43558</v>
          </cell>
        </row>
        <row r="25287">
          <cell r="A25287">
            <v>43132</v>
          </cell>
        </row>
        <row r="25288">
          <cell r="A25288">
            <v>43184</v>
          </cell>
        </row>
        <row r="25289">
          <cell r="A25289">
            <v>43872</v>
          </cell>
        </row>
        <row r="25290">
          <cell r="A25290">
            <v>43488</v>
          </cell>
        </row>
        <row r="25291">
          <cell r="A25291">
            <v>43321</v>
          </cell>
        </row>
        <row r="25292">
          <cell r="A25292">
            <v>43856</v>
          </cell>
        </row>
        <row r="25293">
          <cell r="A25293">
            <v>43490</v>
          </cell>
        </row>
        <row r="25294">
          <cell r="A25294">
            <v>43736</v>
          </cell>
        </row>
        <row r="25295">
          <cell r="A25295">
            <v>43896</v>
          </cell>
        </row>
        <row r="25296">
          <cell r="A25296">
            <v>43834</v>
          </cell>
        </row>
        <row r="25297">
          <cell r="A25297">
            <v>43179</v>
          </cell>
        </row>
        <row r="25298">
          <cell r="A25298">
            <v>43544</v>
          </cell>
        </row>
        <row r="25299">
          <cell r="A25299">
            <v>43555</v>
          </cell>
        </row>
        <row r="25300">
          <cell r="A25300">
            <v>43113</v>
          </cell>
        </row>
        <row r="25301">
          <cell r="A25301">
            <v>43222</v>
          </cell>
        </row>
        <row r="25302">
          <cell r="A25302">
            <v>43868</v>
          </cell>
        </row>
        <row r="25303">
          <cell r="A25303">
            <v>43688</v>
          </cell>
        </row>
        <row r="25304">
          <cell r="A25304">
            <v>43337</v>
          </cell>
        </row>
        <row r="25305">
          <cell r="A25305">
            <v>43635</v>
          </cell>
        </row>
        <row r="25306">
          <cell r="A25306">
            <v>43204</v>
          </cell>
        </row>
        <row r="25307">
          <cell r="A25307">
            <v>43517</v>
          </cell>
        </row>
        <row r="25308">
          <cell r="A25308">
            <v>43879</v>
          </cell>
        </row>
        <row r="25309">
          <cell r="A25309">
            <v>43580</v>
          </cell>
        </row>
        <row r="25310">
          <cell r="A25310">
            <v>43641</v>
          </cell>
        </row>
        <row r="25311">
          <cell r="A25311">
            <v>43274</v>
          </cell>
        </row>
        <row r="25312">
          <cell r="A25312">
            <v>43712</v>
          </cell>
        </row>
        <row r="25313">
          <cell r="A25313">
            <v>43343</v>
          </cell>
        </row>
        <row r="25314">
          <cell r="A25314">
            <v>43345</v>
          </cell>
        </row>
        <row r="25315">
          <cell r="A25315">
            <v>43419</v>
          </cell>
        </row>
        <row r="25316">
          <cell r="A25316">
            <v>43148</v>
          </cell>
        </row>
        <row r="25317">
          <cell r="A25317">
            <v>43460</v>
          </cell>
        </row>
        <row r="25318">
          <cell r="A25318">
            <v>43263</v>
          </cell>
        </row>
        <row r="25319">
          <cell r="A25319">
            <v>43280</v>
          </cell>
        </row>
        <row r="25320">
          <cell r="A25320">
            <v>43836</v>
          </cell>
        </row>
        <row r="25321">
          <cell r="A25321">
            <v>43478</v>
          </cell>
        </row>
        <row r="25322">
          <cell r="A25322">
            <v>43239</v>
          </cell>
        </row>
        <row r="25323">
          <cell r="A25323">
            <v>43325</v>
          </cell>
        </row>
        <row r="25324">
          <cell r="A25324">
            <v>43311</v>
          </cell>
        </row>
        <row r="25325">
          <cell r="A25325">
            <v>43179</v>
          </cell>
        </row>
        <row r="25326">
          <cell r="A25326">
            <v>43741</v>
          </cell>
        </row>
        <row r="25327">
          <cell r="A25327">
            <v>43645</v>
          </cell>
        </row>
        <row r="25328">
          <cell r="A25328">
            <v>43235</v>
          </cell>
        </row>
        <row r="25329">
          <cell r="A25329">
            <v>43230</v>
          </cell>
        </row>
        <row r="25330">
          <cell r="A25330">
            <v>43334</v>
          </cell>
        </row>
        <row r="25331">
          <cell r="A25331">
            <v>43644</v>
          </cell>
        </row>
        <row r="25332">
          <cell r="A25332">
            <v>43895</v>
          </cell>
        </row>
        <row r="25333">
          <cell r="A25333">
            <v>43604</v>
          </cell>
        </row>
        <row r="25334">
          <cell r="A25334">
            <v>43283</v>
          </cell>
        </row>
        <row r="25335">
          <cell r="A25335">
            <v>43669</v>
          </cell>
        </row>
        <row r="25336">
          <cell r="A25336">
            <v>43622</v>
          </cell>
        </row>
        <row r="25337">
          <cell r="A25337">
            <v>43443</v>
          </cell>
        </row>
        <row r="25338">
          <cell r="A25338">
            <v>43635</v>
          </cell>
        </row>
        <row r="25339">
          <cell r="A25339">
            <v>43870</v>
          </cell>
        </row>
        <row r="25340">
          <cell r="A25340">
            <v>43602</v>
          </cell>
        </row>
        <row r="25341">
          <cell r="A25341">
            <v>43221</v>
          </cell>
        </row>
        <row r="25342">
          <cell r="A25342">
            <v>43137</v>
          </cell>
        </row>
        <row r="25343">
          <cell r="A25343">
            <v>43797</v>
          </cell>
        </row>
        <row r="25344">
          <cell r="A25344">
            <v>43402</v>
          </cell>
        </row>
        <row r="25345">
          <cell r="A25345">
            <v>43229</v>
          </cell>
        </row>
        <row r="25346">
          <cell r="A25346">
            <v>43410</v>
          </cell>
        </row>
        <row r="25347">
          <cell r="A25347">
            <v>43904</v>
          </cell>
        </row>
        <row r="25348">
          <cell r="A25348">
            <v>43478</v>
          </cell>
        </row>
        <row r="25349">
          <cell r="A25349">
            <v>43173</v>
          </cell>
        </row>
        <row r="25350">
          <cell r="A25350">
            <v>43854</v>
          </cell>
        </row>
        <row r="25351">
          <cell r="A25351">
            <v>43781</v>
          </cell>
        </row>
        <row r="25352">
          <cell r="A25352">
            <v>43152</v>
          </cell>
        </row>
        <row r="25353">
          <cell r="A25353">
            <v>43266</v>
          </cell>
        </row>
        <row r="25354">
          <cell r="A25354">
            <v>43501</v>
          </cell>
        </row>
        <row r="25355">
          <cell r="A25355">
            <v>43362</v>
          </cell>
        </row>
        <row r="25356">
          <cell r="A25356">
            <v>43902</v>
          </cell>
        </row>
        <row r="25357">
          <cell r="A25357">
            <v>43196</v>
          </cell>
        </row>
        <row r="25358">
          <cell r="A25358">
            <v>43173</v>
          </cell>
        </row>
        <row r="25359">
          <cell r="A25359">
            <v>43756</v>
          </cell>
        </row>
        <row r="25360">
          <cell r="A25360">
            <v>43374</v>
          </cell>
        </row>
        <row r="25361">
          <cell r="A25361">
            <v>43636</v>
          </cell>
        </row>
        <row r="25362">
          <cell r="A25362">
            <v>43295</v>
          </cell>
        </row>
        <row r="25363">
          <cell r="A25363">
            <v>43903</v>
          </cell>
        </row>
        <row r="25364">
          <cell r="A25364">
            <v>43552</v>
          </cell>
        </row>
        <row r="25365">
          <cell r="A25365">
            <v>43671</v>
          </cell>
        </row>
        <row r="25366">
          <cell r="A25366">
            <v>43259</v>
          </cell>
        </row>
        <row r="25367">
          <cell r="A25367">
            <v>43544</v>
          </cell>
        </row>
        <row r="25368">
          <cell r="A25368">
            <v>43275</v>
          </cell>
        </row>
        <row r="25369">
          <cell r="A25369">
            <v>43543</v>
          </cell>
        </row>
        <row r="25370">
          <cell r="A25370">
            <v>43376</v>
          </cell>
        </row>
        <row r="25371">
          <cell r="A25371">
            <v>43205</v>
          </cell>
        </row>
        <row r="25372">
          <cell r="A25372">
            <v>43324</v>
          </cell>
        </row>
        <row r="25373">
          <cell r="A25373">
            <v>43333</v>
          </cell>
        </row>
        <row r="25374">
          <cell r="A25374">
            <v>43520</v>
          </cell>
        </row>
        <row r="25375">
          <cell r="A25375">
            <v>43614</v>
          </cell>
        </row>
        <row r="25376">
          <cell r="A25376">
            <v>43683</v>
          </cell>
        </row>
        <row r="25377">
          <cell r="A25377">
            <v>43712</v>
          </cell>
        </row>
        <row r="25378">
          <cell r="A25378">
            <v>43855</v>
          </cell>
        </row>
        <row r="25379">
          <cell r="A25379">
            <v>43346</v>
          </cell>
        </row>
        <row r="25380">
          <cell r="A25380">
            <v>43781</v>
          </cell>
        </row>
        <row r="25381">
          <cell r="A25381">
            <v>43521</v>
          </cell>
        </row>
        <row r="25382">
          <cell r="A25382">
            <v>43895</v>
          </cell>
        </row>
        <row r="25383">
          <cell r="A25383">
            <v>43513</v>
          </cell>
        </row>
        <row r="25384">
          <cell r="A25384">
            <v>43511</v>
          </cell>
        </row>
        <row r="25385">
          <cell r="A25385">
            <v>43413</v>
          </cell>
        </row>
        <row r="25386">
          <cell r="A25386">
            <v>43804</v>
          </cell>
        </row>
        <row r="25387">
          <cell r="A25387">
            <v>43714</v>
          </cell>
        </row>
        <row r="25388">
          <cell r="A25388">
            <v>43655</v>
          </cell>
        </row>
        <row r="25389">
          <cell r="A25389">
            <v>43884</v>
          </cell>
        </row>
        <row r="25390">
          <cell r="A25390">
            <v>43798</v>
          </cell>
        </row>
        <row r="25391">
          <cell r="A25391">
            <v>43125</v>
          </cell>
        </row>
        <row r="25392">
          <cell r="A25392">
            <v>43382</v>
          </cell>
        </row>
        <row r="25393">
          <cell r="A25393">
            <v>43655</v>
          </cell>
        </row>
        <row r="25394">
          <cell r="A25394">
            <v>43459</v>
          </cell>
        </row>
        <row r="25395">
          <cell r="A25395">
            <v>43621</v>
          </cell>
        </row>
        <row r="25396">
          <cell r="A25396">
            <v>43901</v>
          </cell>
        </row>
        <row r="25397">
          <cell r="A25397">
            <v>43907</v>
          </cell>
        </row>
        <row r="25398">
          <cell r="A25398">
            <v>43366</v>
          </cell>
        </row>
        <row r="25399">
          <cell r="A25399">
            <v>43329</v>
          </cell>
        </row>
        <row r="25400">
          <cell r="A25400">
            <v>43172</v>
          </cell>
        </row>
        <row r="25401">
          <cell r="A25401">
            <v>43588</v>
          </cell>
        </row>
        <row r="25402">
          <cell r="A25402">
            <v>43455</v>
          </cell>
        </row>
        <row r="25403">
          <cell r="A25403">
            <v>43180</v>
          </cell>
        </row>
        <row r="25404">
          <cell r="A25404">
            <v>43314</v>
          </cell>
        </row>
        <row r="25405">
          <cell r="A25405">
            <v>43151</v>
          </cell>
        </row>
        <row r="25406">
          <cell r="A25406">
            <v>43261</v>
          </cell>
        </row>
        <row r="25407">
          <cell r="A25407">
            <v>43681</v>
          </cell>
        </row>
        <row r="25408">
          <cell r="A25408">
            <v>43600</v>
          </cell>
        </row>
        <row r="25409">
          <cell r="A25409">
            <v>43533</v>
          </cell>
        </row>
        <row r="25410">
          <cell r="A25410">
            <v>43230</v>
          </cell>
        </row>
        <row r="25411">
          <cell r="A25411">
            <v>43150</v>
          </cell>
        </row>
        <row r="25412">
          <cell r="A25412">
            <v>43777</v>
          </cell>
        </row>
        <row r="25413">
          <cell r="A25413">
            <v>43911</v>
          </cell>
        </row>
        <row r="25414">
          <cell r="A25414">
            <v>43628</v>
          </cell>
        </row>
        <row r="25415">
          <cell r="A25415">
            <v>43807</v>
          </cell>
        </row>
        <row r="25416">
          <cell r="A25416">
            <v>43302</v>
          </cell>
        </row>
        <row r="25417">
          <cell r="A25417">
            <v>43566</v>
          </cell>
        </row>
        <row r="25418">
          <cell r="A25418">
            <v>43865</v>
          </cell>
        </row>
        <row r="25419">
          <cell r="A25419">
            <v>43201</v>
          </cell>
        </row>
        <row r="25420">
          <cell r="A25420">
            <v>43502</v>
          </cell>
        </row>
        <row r="25421">
          <cell r="A25421">
            <v>43373</v>
          </cell>
        </row>
        <row r="25422">
          <cell r="A25422">
            <v>43594</v>
          </cell>
        </row>
        <row r="25423">
          <cell r="A25423">
            <v>43560</v>
          </cell>
        </row>
        <row r="25424">
          <cell r="A25424">
            <v>43781</v>
          </cell>
        </row>
        <row r="25425">
          <cell r="A25425">
            <v>43634</v>
          </cell>
        </row>
        <row r="25426">
          <cell r="A25426">
            <v>43485</v>
          </cell>
        </row>
        <row r="25427">
          <cell r="A25427">
            <v>43194</v>
          </cell>
        </row>
        <row r="25428">
          <cell r="A25428">
            <v>43382</v>
          </cell>
        </row>
        <row r="25429">
          <cell r="A25429">
            <v>43632</v>
          </cell>
        </row>
        <row r="25430">
          <cell r="A25430">
            <v>43649</v>
          </cell>
        </row>
        <row r="25431">
          <cell r="A25431">
            <v>43251</v>
          </cell>
        </row>
        <row r="25432">
          <cell r="A25432">
            <v>43848</v>
          </cell>
        </row>
        <row r="25433">
          <cell r="A25433">
            <v>43418</v>
          </cell>
        </row>
        <row r="25434">
          <cell r="A25434">
            <v>43821</v>
          </cell>
        </row>
        <row r="25435">
          <cell r="A25435">
            <v>43189</v>
          </cell>
        </row>
        <row r="25436">
          <cell r="A25436">
            <v>43882</v>
          </cell>
        </row>
        <row r="25437">
          <cell r="A25437">
            <v>43677</v>
          </cell>
        </row>
        <row r="25438">
          <cell r="A25438">
            <v>43857</v>
          </cell>
        </row>
        <row r="25439">
          <cell r="A25439">
            <v>43730</v>
          </cell>
        </row>
        <row r="25440">
          <cell r="A25440">
            <v>43581</v>
          </cell>
        </row>
        <row r="25441">
          <cell r="A25441">
            <v>43104</v>
          </cell>
        </row>
        <row r="25442">
          <cell r="A25442">
            <v>43704</v>
          </cell>
        </row>
        <row r="25443">
          <cell r="A25443">
            <v>43761</v>
          </cell>
        </row>
        <row r="25444">
          <cell r="A25444">
            <v>43410</v>
          </cell>
        </row>
        <row r="25445">
          <cell r="A25445">
            <v>43908</v>
          </cell>
        </row>
        <row r="25446">
          <cell r="A25446">
            <v>43869</v>
          </cell>
        </row>
        <row r="25447">
          <cell r="A25447">
            <v>43205</v>
          </cell>
        </row>
        <row r="25448">
          <cell r="A25448">
            <v>43113</v>
          </cell>
        </row>
        <row r="25449">
          <cell r="A25449">
            <v>43181</v>
          </cell>
        </row>
        <row r="25450">
          <cell r="A25450">
            <v>43125</v>
          </cell>
        </row>
        <row r="25451">
          <cell r="A25451">
            <v>43496</v>
          </cell>
        </row>
        <row r="25452">
          <cell r="A25452">
            <v>43538</v>
          </cell>
        </row>
        <row r="25453">
          <cell r="A25453">
            <v>43262</v>
          </cell>
        </row>
        <row r="25454">
          <cell r="A25454">
            <v>43243</v>
          </cell>
        </row>
        <row r="25455">
          <cell r="A25455">
            <v>43245</v>
          </cell>
        </row>
        <row r="25456">
          <cell r="A25456">
            <v>43576</v>
          </cell>
        </row>
        <row r="25457">
          <cell r="A25457">
            <v>43246</v>
          </cell>
        </row>
        <row r="25458">
          <cell r="A25458">
            <v>43729</v>
          </cell>
        </row>
        <row r="25459">
          <cell r="A25459">
            <v>43804</v>
          </cell>
        </row>
        <row r="25460">
          <cell r="A25460">
            <v>43449</v>
          </cell>
        </row>
        <row r="25461">
          <cell r="A25461">
            <v>43563</v>
          </cell>
        </row>
        <row r="25462">
          <cell r="A25462">
            <v>43550</v>
          </cell>
        </row>
        <row r="25463">
          <cell r="A25463">
            <v>43831</v>
          </cell>
        </row>
        <row r="25464">
          <cell r="A25464">
            <v>43712</v>
          </cell>
        </row>
        <row r="25465">
          <cell r="A25465">
            <v>43432</v>
          </cell>
        </row>
        <row r="25466">
          <cell r="A25466">
            <v>43427</v>
          </cell>
        </row>
        <row r="25467">
          <cell r="A25467">
            <v>43454</v>
          </cell>
        </row>
        <row r="25468">
          <cell r="A25468">
            <v>43148</v>
          </cell>
        </row>
        <row r="25469">
          <cell r="A25469">
            <v>43370</v>
          </cell>
        </row>
        <row r="25470">
          <cell r="A25470">
            <v>43360</v>
          </cell>
        </row>
        <row r="25471">
          <cell r="A25471">
            <v>43135</v>
          </cell>
        </row>
        <row r="25472">
          <cell r="A25472">
            <v>43888</v>
          </cell>
        </row>
        <row r="25473">
          <cell r="A25473">
            <v>43486</v>
          </cell>
        </row>
        <row r="25474">
          <cell r="A25474">
            <v>43386</v>
          </cell>
        </row>
        <row r="25475">
          <cell r="A25475">
            <v>43758</v>
          </cell>
        </row>
        <row r="25476">
          <cell r="A25476">
            <v>43864</v>
          </cell>
        </row>
        <row r="25477">
          <cell r="A25477">
            <v>43415</v>
          </cell>
        </row>
        <row r="25478">
          <cell r="A25478">
            <v>43684</v>
          </cell>
        </row>
        <row r="25479">
          <cell r="A25479">
            <v>43480</v>
          </cell>
        </row>
        <row r="25480">
          <cell r="A25480">
            <v>43591</v>
          </cell>
        </row>
        <row r="25481">
          <cell r="A25481">
            <v>43502</v>
          </cell>
        </row>
        <row r="25482">
          <cell r="A25482">
            <v>43734</v>
          </cell>
        </row>
        <row r="25483">
          <cell r="A25483">
            <v>43354</v>
          </cell>
        </row>
        <row r="25484">
          <cell r="A25484">
            <v>43900</v>
          </cell>
        </row>
        <row r="25485">
          <cell r="A25485">
            <v>43194</v>
          </cell>
        </row>
        <row r="25486">
          <cell r="A25486">
            <v>43330</v>
          </cell>
        </row>
        <row r="25487">
          <cell r="A25487">
            <v>43622</v>
          </cell>
        </row>
        <row r="25488">
          <cell r="A25488">
            <v>43432</v>
          </cell>
        </row>
        <row r="25489">
          <cell r="A25489">
            <v>43286</v>
          </cell>
        </row>
        <row r="25490">
          <cell r="A25490">
            <v>43631</v>
          </cell>
        </row>
        <row r="25491">
          <cell r="A25491">
            <v>43251</v>
          </cell>
        </row>
        <row r="25492">
          <cell r="A25492">
            <v>43590</v>
          </cell>
        </row>
        <row r="25493">
          <cell r="A25493">
            <v>43649</v>
          </cell>
        </row>
        <row r="25494">
          <cell r="A25494">
            <v>43143</v>
          </cell>
        </row>
        <row r="25495">
          <cell r="A25495">
            <v>43105</v>
          </cell>
        </row>
        <row r="25496">
          <cell r="A25496">
            <v>43314</v>
          </cell>
        </row>
        <row r="25497">
          <cell r="A25497">
            <v>43157</v>
          </cell>
        </row>
        <row r="25498">
          <cell r="A25498">
            <v>43660</v>
          </cell>
        </row>
        <row r="25499">
          <cell r="A25499">
            <v>43550</v>
          </cell>
        </row>
        <row r="25500">
          <cell r="A25500">
            <v>43709</v>
          </cell>
        </row>
        <row r="25501">
          <cell r="A25501">
            <v>43816</v>
          </cell>
        </row>
        <row r="25502">
          <cell r="A25502">
            <v>43632</v>
          </cell>
        </row>
        <row r="25503">
          <cell r="A25503">
            <v>43834</v>
          </cell>
        </row>
        <row r="25504">
          <cell r="A25504">
            <v>43778</v>
          </cell>
        </row>
        <row r="25505">
          <cell r="A25505">
            <v>43150</v>
          </cell>
        </row>
        <row r="25506">
          <cell r="A25506">
            <v>43131</v>
          </cell>
        </row>
        <row r="25507">
          <cell r="A25507">
            <v>43473</v>
          </cell>
        </row>
        <row r="25508">
          <cell r="A25508">
            <v>43280</v>
          </cell>
        </row>
        <row r="25509">
          <cell r="A25509">
            <v>43188</v>
          </cell>
        </row>
        <row r="25510">
          <cell r="A25510">
            <v>43387</v>
          </cell>
        </row>
        <row r="25511">
          <cell r="A25511">
            <v>43446</v>
          </cell>
        </row>
        <row r="25512">
          <cell r="A25512">
            <v>43684</v>
          </cell>
        </row>
        <row r="25513">
          <cell r="A25513">
            <v>43330</v>
          </cell>
        </row>
        <row r="25514">
          <cell r="A25514">
            <v>43478</v>
          </cell>
        </row>
        <row r="25515">
          <cell r="A25515">
            <v>43415</v>
          </cell>
        </row>
        <row r="25516">
          <cell r="A25516">
            <v>43461</v>
          </cell>
        </row>
        <row r="25517">
          <cell r="A25517">
            <v>43588</v>
          </cell>
        </row>
        <row r="25518">
          <cell r="A25518">
            <v>43775</v>
          </cell>
        </row>
        <row r="25519">
          <cell r="A25519">
            <v>43541</v>
          </cell>
        </row>
        <row r="25520">
          <cell r="A25520">
            <v>43557</v>
          </cell>
        </row>
        <row r="25521">
          <cell r="A25521">
            <v>43383</v>
          </cell>
        </row>
        <row r="25522">
          <cell r="A25522">
            <v>43331</v>
          </cell>
        </row>
        <row r="25523">
          <cell r="A25523">
            <v>43366</v>
          </cell>
        </row>
        <row r="25524">
          <cell r="A25524">
            <v>43784</v>
          </cell>
        </row>
        <row r="25525">
          <cell r="A25525">
            <v>43744</v>
          </cell>
        </row>
        <row r="25526">
          <cell r="A25526">
            <v>43736</v>
          </cell>
        </row>
        <row r="25527">
          <cell r="A25527">
            <v>43410</v>
          </cell>
        </row>
        <row r="25528">
          <cell r="A25528">
            <v>43826</v>
          </cell>
        </row>
        <row r="25529">
          <cell r="A25529">
            <v>43593</v>
          </cell>
        </row>
        <row r="25530">
          <cell r="A25530">
            <v>43560</v>
          </cell>
        </row>
        <row r="25531">
          <cell r="A25531">
            <v>43242</v>
          </cell>
        </row>
        <row r="25532">
          <cell r="A25532">
            <v>43694</v>
          </cell>
        </row>
        <row r="25533">
          <cell r="A25533">
            <v>43755</v>
          </cell>
        </row>
        <row r="25534">
          <cell r="A25534">
            <v>43414</v>
          </cell>
        </row>
        <row r="25535">
          <cell r="A25535">
            <v>43684</v>
          </cell>
        </row>
        <row r="25536">
          <cell r="A25536">
            <v>43530</v>
          </cell>
        </row>
        <row r="25537">
          <cell r="A25537">
            <v>43770</v>
          </cell>
        </row>
        <row r="25538">
          <cell r="A25538">
            <v>43146</v>
          </cell>
        </row>
        <row r="25539">
          <cell r="A25539">
            <v>43424</v>
          </cell>
        </row>
        <row r="25540">
          <cell r="A25540">
            <v>43414</v>
          </cell>
        </row>
        <row r="25541">
          <cell r="A25541">
            <v>43810</v>
          </cell>
        </row>
        <row r="25542">
          <cell r="A25542">
            <v>43858</v>
          </cell>
        </row>
        <row r="25543">
          <cell r="A25543">
            <v>43520</v>
          </cell>
        </row>
        <row r="25544">
          <cell r="A25544">
            <v>43888</v>
          </cell>
        </row>
        <row r="25545">
          <cell r="A25545">
            <v>43822</v>
          </cell>
        </row>
        <row r="25546">
          <cell r="A25546">
            <v>43914</v>
          </cell>
        </row>
        <row r="25547">
          <cell r="A25547">
            <v>43875</v>
          </cell>
        </row>
        <row r="25548">
          <cell r="A25548">
            <v>43514</v>
          </cell>
        </row>
        <row r="25549">
          <cell r="A25549">
            <v>43535</v>
          </cell>
        </row>
        <row r="25550">
          <cell r="A25550">
            <v>43561</v>
          </cell>
        </row>
        <row r="25551">
          <cell r="A25551">
            <v>43713</v>
          </cell>
        </row>
        <row r="25552">
          <cell r="A25552">
            <v>43391</v>
          </cell>
        </row>
        <row r="25553">
          <cell r="A25553">
            <v>43585</v>
          </cell>
        </row>
        <row r="25554">
          <cell r="A25554">
            <v>43665</v>
          </cell>
        </row>
        <row r="25555">
          <cell r="A25555">
            <v>43767</v>
          </cell>
        </row>
        <row r="25556">
          <cell r="A25556">
            <v>43715</v>
          </cell>
        </row>
        <row r="25557">
          <cell r="A25557">
            <v>43141</v>
          </cell>
        </row>
        <row r="25558">
          <cell r="A25558">
            <v>43411</v>
          </cell>
        </row>
        <row r="25559">
          <cell r="A25559">
            <v>43479</v>
          </cell>
        </row>
        <row r="25560">
          <cell r="A25560">
            <v>43897</v>
          </cell>
        </row>
        <row r="25561">
          <cell r="A25561">
            <v>43489</v>
          </cell>
        </row>
        <row r="25562">
          <cell r="A25562">
            <v>43420</v>
          </cell>
        </row>
        <row r="25563">
          <cell r="A25563">
            <v>43383</v>
          </cell>
        </row>
        <row r="25564">
          <cell r="A25564">
            <v>43869</v>
          </cell>
        </row>
        <row r="25565">
          <cell r="A25565">
            <v>43162</v>
          </cell>
        </row>
        <row r="25566">
          <cell r="A25566">
            <v>43420</v>
          </cell>
        </row>
        <row r="25567">
          <cell r="A25567">
            <v>43724</v>
          </cell>
        </row>
        <row r="25568">
          <cell r="A25568">
            <v>43743</v>
          </cell>
        </row>
        <row r="25569">
          <cell r="A25569">
            <v>43120</v>
          </cell>
        </row>
        <row r="25570">
          <cell r="A25570">
            <v>43449</v>
          </cell>
        </row>
        <row r="25571">
          <cell r="A25571">
            <v>43499</v>
          </cell>
        </row>
        <row r="25572">
          <cell r="A25572">
            <v>43173</v>
          </cell>
        </row>
        <row r="25573">
          <cell r="A25573">
            <v>43101</v>
          </cell>
        </row>
        <row r="25574">
          <cell r="A25574">
            <v>43379</v>
          </cell>
        </row>
        <row r="25575">
          <cell r="A25575">
            <v>43909</v>
          </cell>
        </row>
        <row r="25576">
          <cell r="A25576">
            <v>43662</v>
          </cell>
        </row>
        <row r="25577">
          <cell r="A25577">
            <v>43255</v>
          </cell>
        </row>
        <row r="25578">
          <cell r="A25578">
            <v>43138</v>
          </cell>
        </row>
        <row r="25579">
          <cell r="A25579">
            <v>43162</v>
          </cell>
        </row>
        <row r="25580">
          <cell r="A25580">
            <v>43486</v>
          </cell>
        </row>
        <row r="25581">
          <cell r="A25581">
            <v>43123</v>
          </cell>
        </row>
        <row r="25582">
          <cell r="A25582">
            <v>43173</v>
          </cell>
        </row>
        <row r="25583">
          <cell r="A25583">
            <v>43606</v>
          </cell>
        </row>
        <row r="25584">
          <cell r="A25584">
            <v>43595</v>
          </cell>
        </row>
        <row r="25585">
          <cell r="A25585">
            <v>43457</v>
          </cell>
        </row>
        <row r="25586">
          <cell r="A25586">
            <v>43664</v>
          </cell>
        </row>
        <row r="25587">
          <cell r="A25587">
            <v>43385</v>
          </cell>
        </row>
        <row r="25588">
          <cell r="A25588">
            <v>43451</v>
          </cell>
        </row>
        <row r="25589">
          <cell r="A25589">
            <v>43703</v>
          </cell>
        </row>
        <row r="25590">
          <cell r="A25590">
            <v>43613</v>
          </cell>
        </row>
        <row r="25591">
          <cell r="A25591">
            <v>43423</v>
          </cell>
        </row>
        <row r="25592">
          <cell r="A25592">
            <v>43601</v>
          </cell>
        </row>
        <row r="25593">
          <cell r="A25593">
            <v>43510</v>
          </cell>
        </row>
        <row r="25594">
          <cell r="A25594">
            <v>43203</v>
          </cell>
        </row>
        <row r="25595">
          <cell r="A25595">
            <v>43381</v>
          </cell>
        </row>
        <row r="25596">
          <cell r="A25596">
            <v>43340</v>
          </cell>
        </row>
        <row r="25597">
          <cell r="A25597">
            <v>43320</v>
          </cell>
        </row>
        <row r="25598">
          <cell r="A25598">
            <v>43237</v>
          </cell>
        </row>
        <row r="25599">
          <cell r="A25599">
            <v>43315</v>
          </cell>
        </row>
        <row r="25600">
          <cell r="A25600">
            <v>43254</v>
          </cell>
        </row>
        <row r="25601">
          <cell r="A25601">
            <v>43112</v>
          </cell>
        </row>
        <row r="25602">
          <cell r="A25602">
            <v>43761</v>
          </cell>
        </row>
        <row r="25603">
          <cell r="A25603">
            <v>43436</v>
          </cell>
        </row>
        <row r="25604">
          <cell r="A25604">
            <v>43435</v>
          </cell>
        </row>
        <row r="25605">
          <cell r="A25605">
            <v>43228</v>
          </cell>
        </row>
        <row r="25606">
          <cell r="A25606">
            <v>43174</v>
          </cell>
        </row>
        <row r="25607">
          <cell r="A25607">
            <v>43499</v>
          </cell>
        </row>
        <row r="25608">
          <cell r="A25608">
            <v>43684</v>
          </cell>
        </row>
        <row r="25609">
          <cell r="A25609">
            <v>43772</v>
          </cell>
        </row>
        <row r="25610">
          <cell r="A25610">
            <v>43677</v>
          </cell>
        </row>
        <row r="25611">
          <cell r="A25611">
            <v>43679</v>
          </cell>
        </row>
        <row r="25612">
          <cell r="A25612">
            <v>43762</v>
          </cell>
        </row>
        <row r="25613">
          <cell r="A25613">
            <v>43292</v>
          </cell>
        </row>
        <row r="25614">
          <cell r="A25614">
            <v>43401</v>
          </cell>
        </row>
        <row r="25615">
          <cell r="A25615">
            <v>43172</v>
          </cell>
        </row>
        <row r="25616">
          <cell r="A25616">
            <v>43659</v>
          </cell>
        </row>
        <row r="25617">
          <cell r="A25617">
            <v>43884</v>
          </cell>
        </row>
        <row r="25618">
          <cell r="A25618">
            <v>43736</v>
          </cell>
        </row>
        <row r="25619">
          <cell r="A25619">
            <v>43158</v>
          </cell>
        </row>
        <row r="25620">
          <cell r="A25620">
            <v>43286</v>
          </cell>
        </row>
        <row r="25621">
          <cell r="A25621">
            <v>43664</v>
          </cell>
        </row>
        <row r="25622">
          <cell r="A25622">
            <v>43779</v>
          </cell>
        </row>
        <row r="25623">
          <cell r="A25623">
            <v>43775</v>
          </cell>
        </row>
        <row r="25624">
          <cell r="A25624">
            <v>43307</v>
          </cell>
        </row>
        <row r="25625">
          <cell r="A25625">
            <v>43583</v>
          </cell>
        </row>
        <row r="25626">
          <cell r="A25626">
            <v>43606</v>
          </cell>
        </row>
        <row r="25627">
          <cell r="A25627">
            <v>43839</v>
          </cell>
        </row>
        <row r="25628">
          <cell r="A25628">
            <v>43541</v>
          </cell>
        </row>
        <row r="25629">
          <cell r="A25629">
            <v>43457</v>
          </cell>
        </row>
        <row r="25630">
          <cell r="A25630">
            <v>43185</v>
          </cell>
        </row>
        <row r="25631">
          <cell r="A25631">
            <v>43777</v>
          </cell>
        </row>
        <row r="25632">
          <cell r="A25632">
            <v>43629</v>
          </cell>
        </row>
        <row r="25633">
          <cell r="A25633">
            <v>43452</v>
          </cell>
        </row>
        <row r="25634">
          <cell r="A25634">
            <v>43817</v>
          </cell>
        </row>
        <row r="25635">
          <cell r="A25635">
            <v>43746</v>
          </cell>
        </row>
        <row r="25636">
          <cell r="A25636">
            <v>43819</v>
          </cell>
        </row>
        <row r="25637">
          <cell r="A25637">
            <v>43711</v>
          </cell>
        </row>
        <row r="25638">
          <cell r="A25638">
            <v>43724</v>
          </cell>
        </row>
        <row r="25639">
          <cell r="A25639">
            <v>43308</v>
          </cell>
        </row>
        <row r="25640">
          <cell r="A25640">
            <v>43562</v>
          </cell>
        </row>
        <row r="25641">
          <cell r="A25641">
            <v>43482</v>
          </cell>
        </row>
        <row r="25642">
          <cell r="A25642">
            <v>43207</v>
          </cell>
        </row>
        <row r="25643">
          <cell r="A25643">
            <v>43694</v>
          </cell>
        </row>
        <row r="25644">
          <cell r="A25644">
            <v>43737</v>
          </cell>
        </row>
        <row r="25645">
          <cell r="A25645">
            <v>43186</v>
          </cell>
        </row>
        <row r="25646">
          <cell r="A25646">
            <v>43456</v>
          </cell>
        </row>
        <row r="25647">
          <cell r="A25647">
            <v>43112</v>
          </cell>
        </row>
        <row r="25648">
          <cell r="A25648">
            <v>43334</v>
          </cell>
        </row>
        <row r="25649">
          <cell r="A25649">
            <v>43218</v>
          </cell>
        </row>
        <row r="25650">
          <cell r="A25650">
            <v>43286</v>
          </cell>
        </row>
        <row r="25651">
          <cell r="A25651">
            <v>43309</v>
          </cell>
        </row>
        <row r="25652">
          <cell r="A25652">
            <v>43828</v>
          </cell>
        </row>
        <row r="25653">
          <cell r="A25653">
            <v>43225</v>
          </cell>
        </row>
        <row r="25654">
          <cell r="A25654">
            <v>43833</v>
          </cell>
        </row>
        <row r="25655">
          <cell r="A25655">
            <v>43710</v>
          </cell>
        </row>
        <row r="25656">
          <cell r="A25656">
            <v>43693</v>
          </cell>
        </row>
        <row r="25657">
          <cell r="A25657">
            <v>43865</v>
          </cell>
        </row>
        <row r="25658">
          <cell r="A25658">
            <v>43519</v>
          </cell>
        </row>
        <row r="25659">
          <cell r="A25659">
            <v>43338</v>
          </cell>
        </row>
        <row r="25660">
          <cell r="A25660">
            <v>43537</v>
          </cell>
        </row>
        <row r="25661">
          <cell r="A25661">
            <v>43810</v>
          </cell>
        </row>
        <row r="25662">
          <cell r="A25662">
            <v>43637</v>
          </cell>
        </row>
        <row r="25663">
          <cell r="A25663">
            <v>43651</v>
          </cell>
        </row>
        <row r="25664">
          <cell r="A25664">
            <v>43537</v>
          </cell>
        </row>
        <row r="25665">
          <cell r="A25665">
            <v>43539</v>
          </cell>
        </row>
        <row r="25666">
          <cell r="A25666">
            <v>43659</v>
          </cell>
        </row>
        <row r="25667">
          <cell r="A25667">
            <v>43501</v>
          </cell>
        </row>
        <row r="25668">
          <cell r="A25668">
            <v>43118</v>
          </cell>
        </row>
        <row r="25669">
          <cell r="A25669">
            <v>43809</v>
          </cell>
        </row>
        <row r="25670">
          <cell r="A25670">
            <v>43675</v>
          </cell>
        </row>
        <row r="25671">
          <cell r="A25671">
            <v>43550</v>
          </cell>
        </row>
        <row r="25672">
          <cell r="A25672">
            <v>43694</v>
          </cell>
        </row>
        <row r="25673">
          <cell r="A25673">
            <v>43888</v>
          </cell>
        </row>
        <row r="25674">
          <cell r="A25674">
            <v>43394</v>
          </cell>
        </row>
        <row r="25675">
          <cell r="A25675">
            <v>43169</v>
          </cell>
        </row>
        <row r="25676">
          <cell r="A25676">
            <v>43117</v>
          </cell>
        </row>
        <row r="25677">
          <cell r="A25677">
            <v>43189</v>
          </cell>
        </row>
        <row r="25678">
          <cell r="A25678">
            <v>43456</v>
          </cell>
        </row>
        <row r="25679">
          <cell r="A25679">
            <v>43797</v>
          </cell>
        </row>
        <row r="25680">
          <cell r="A25680">
            <v>43515</v>
          </cell>
        </row>
        <row r="25681">
          <cell r="A25681">
            <v>43533</v>
          </cell>
        </row>
        <row r="25682">
          <cell r="A25682">
            <v>43854</v>
          </cell>
        </row>
        <row r="25683">
          <cell r="A25683">
            <v>43782</v>
          </cell>
        </row>
        <row r="25684">
          <cell r="A25684">
            <v>43334</v>
          </cell>
        </row>
        <row r="25685">
          <cell r="A25685">
            <v>43737</v>
          </cell>
        </row>
        <row r="25686">
          <cell r="A25686">
            <v>43151</v>
          </cell>
        </row>
        <row r="25687">
          <cell r="A25687">
            <v>43133</v>
          </cell>
        </row>
        <row r="25688">
          <cell r="A25688">
            <v>43412</v>
          </cell>
        </row>
        <row r="25689">
          <cell r="A25689">
            <v>43231</v>
          </cell>
        </row>
        <row r="25690">
          <cell r="A25690">
            <v>43722</v>
          </cell>
        </row>
        <row r="25691">
          <cell r="A25691">
            <v>43867</v>
          </cell>
        </row>
        <row r="25692">
          <cell r="A25692">
            <v>43322</v>
          </cell>
        </row>
        <row r="25693">
          <cell r="A25693">
            <v>43351</v>
          </cell>
        </row>
        <row r="25694">
          <cell r="A25694">
            <v>43892</v>
          </cell>
        </row>
        <row r="25695">
          <cell r="A25695">
            <v>43425</v>
          </cell>
        </row>
        <row r="25696">
          <cell r="A25696">
            <v>43149</v>
          </cell>
        </row>
        <row r="25697">
          <cell r="A25697">
            <v>43879</v>
          </cell>
        </row>
        <row r="25698">
          <cell r="A25698">
            <v>43543</v>
          </cell>
        </row>
        <row r="25699">
          <cell r="A25699">
            <v>43405</v>
          </cell>
        </row>
        <row r="25700">
          <cell r="A25700">
            <v>43433</v>
          </cell>
        </row>
        <row r="25701">
          <cell r="A25701">
            <v>43522</v>
          </cell>
        </row>
        <row r="25702">
          <cell r="A25702">
            <v>43771</v>
          </cell>
        </row>
        <row r="25703">
          <cell r="A25703">
            <v>43668</v>
          </cell>
        </row>
        <row r="25704">
          <cell r="A25704">
            <v>43625</v>
          </cell>
        </row>
        <row r="25705">
          <cell r="A25705">
            <v>43869</v>
          </cell>
        </row>
        <row r="25706">
          <cell r="A25706">
            <v>43457</v>
          </cell>
        </row>
        <row r="25707">
          <cell r="A25707">
            <v>43129</v>
          </cell>
        </row>
        <row r="25708">
          <cell r="A25708">
            <v>43431</v>
          </cell>
        </row>
        <row r="25709">
          <cell r="A25709">
            <v>43726</v>
          </cell>
        </row>
        <row r="25710">
          <cell r="A25710">
            <v>43811</v>
          </cell>
        </row>
        <row r="25711">
          <cell r="A25711">
            <v>43856</v>
          </cell>
        </row>
        <row r="25712">
          <cell r="A25712">
            <v>43415</v>
          </cell>
        </row>
        <row r="25713">
          <cell r="A25713">
            <v>43328</v>
          </cell>
        </row>
        <row r="25714">
          <cell r="A25714">
            <v>43342</v>
          </cell>
        </row>
        <row r="25715">
          <cell r="A25715">
            <v>43224</v>
          </cell>
        </row>
        <row r="25716">
          <cell r="A25716">
            <v>43622</v>
          </cell>
        </row>
        <row r="25717">
          <cell r="A25717">
            <v>43136</v>
          </cell>
        </row>
        <row r="25718">
          <cell r="A25718">
            <v>43492</v>
          </cell>
        </row>
        <row r="25719">
          <cell r="A25719">
            <v>43296</v>
          </cell>
        </row>
        <row r="25720">
          <cell r="A25720">
            <v>43808</v>
          </cell>
        </row>
        <row r="25721">
          <cell r="A25721">
            <v>43540</v>
          </cell>
        </row>
        <row r="25722">
          <cell r="A25722">
            <v>43549</v>
          </cell>
        </row>
        <row r="25723">
          <cell r="A25723">
            <v>43832</v>
          </cell>
        </row>
        <row r="25724">
          <cell r="A25724">
            <v>43131</v>
          </cell>
        </row>
        <row r="25725">
          <cell r="A25725">
            <v>43550</v>
          </cell>
        </row>
        <row r="25726">
          <cell r="A25726">
            <v>43162</v>
          </cell>
        </row>
        <row r="25727">
          <cell r="A25727">
            <v>43472</v>
          </cell>
        </row>
        <row r="25728">
          <cell r="A25728">
            <v>43631</v>
          </cell>
        </row>
        <row r="25729">
          <cell r="A25729">
            <v>43861</v>
          </cell>
        </row>
        <row r="25730">
          <cell r="A25730">
            <v>43447</v>
          </cell>
        </row>
        <row r="25731">
          <cell r="A25731">
            <v>43458</v>
          </cell>
        </row>
        <row r="25732">
          <cell r="A25732">
            <v>43299</v>
          </cell>
        </row>
        <row r="25733">
          <cell r="A25733">
            <v>43552</v>
          </cell>
        </row>
        <row r="25734">
          <cell r="A25734">
            <v>43818</v>
          </cell>
        </row>
        <row r="25735">
          <cell r="A25735">
            <v>43343</v>
          </cell>
        </row>
        <row r="25736">
          <cell r="A25736">
            <v>43569</v>
          </cell>
        </row>
        <row r="25737">
          <cell r="A25737">
            <v>43371</v>
          </cell>
        </row>
        <row r="25738">
          <cell r="A25738">
            <v>43413</v>
          </cell>
        </row>
        <row r="25739">
          <cell r="A25739">
            <v>43482</v>
          </cell>
        </row>
        <row r="25740">
          <cell r="A25740">
            <v>43315</v>
          </cell>
        </row>
        <row r="25741">
          <cell r="A25741">
            <v>43205</v>
          </cell>
        </row>
        <row r="25742">
          <cell r="A25742">
            <v>43690</v>
          </cell>
        </row>
        <row r="25743">
          <cell r="A25743">
            <v>43367</v>
          </cell>
        </row>
        <row r="25744">
          <cell r="A25744">
            <v>43114</v>
          </cell>
        </row>
        <row r="25745">
          <cell r="A25745">
            <v>43515</v>
          </cell>
        </row>
        <row r="25746">
          <cell r="A25746">
            <v>43483</v>
          </cell>
        </row>
        <row r="25747">
          <cell r="A25747">
            <v>43383</v>
          </cell>
        </row>
        <row r="25748">
          <cell r="A25748">
            <v>43172</v>
          </cell>
        </row>
        <row r="25749">
          <cell r="A25749">
            <v>43420</v>
          </cell>
        </row>
        <row r="25750">
          <cell r="A25750">
            <v>43752</v>
          </cell>
        </row>
        <row r="25751">
          <cell r="A25751">
            <v>43786</v>
          </cell>
        </row>
        <row r="25752">
          <cell r="A25752">
            <v>43259</v>
          </cell>
        </row>
        <row r="25753">
          <cell r="A25753">
            <v>43414</v>
          </cell>
        </row>
        <row r="25754">
          <cell r="A25754">
            <v>43472</v>
          </cell>
        </row>
        <row r="25755">
          <cell r="A25755">
            <v>43355</v>
          </cell>
        </row>
        <row r="25756">
          <cell r="A25756">
            <v>43523</v>
          </cell>
        </row>
        <row r="25757">
          <cell r="A25757">
            <v>43345</v>
          </cell>
        </row>
        <row r="25758">
          <cell r="A25758">
            <v>43250</v>
          </cell>
        </row>
        <row r="25759">
          <cell r="A25759">
            <v>43236</v>
          </cell>
        </row>
        <row r="25760">
          <cell r="A25760">
            <v>43639</v>
          </cell>
        </row>
        <row r="25761">
          <cell r="A25761">
            <v>43778</v>
          </cell>
        </row>
        <row r="25762">
          <cell r="A25762">
            <v>43575</v>
          </cell>
        </row>
        <row r="25763">
          <cell r="A25763">
            <v>43506</v>
          </cell>
        </row>
        <row r="25764">
          <cell r="A25764">
            <v>43138</v>
          </cell>
        </row>
        <row r="25765">
          <cell r="A25765">
            <v>43753</v>
          </cell>
        </row>
        <row r="25766">
          <cell r="A25766">
            <v>43818</v>
          </cell>
        </row>
        <row r="25767">
          <cell r="A25767">
            <v>43544</v>
          </cell>
        </row>
        <row r="25768">
          <cell r="A25768">
            <v>43370</v>
          </cell>
        </row>
        <row r="25769">
          <cell r="A25769">
            <v>43726</v>
          </cell>
        </row>
        <row r="25770">
          <cell r="A25770">
            <v>43567</v>
          </cell>
        </row>
        <row r="25771">
          <cell r="A25771">
            <v>43675</v>
          </cell>
        </row>
        <row r="25772">
          <cell r="A25772">
            <v>43810</v>
          </cell>
        </row>
        <row r="25773">
          <cell r="A25773">
            <v>43430</v>
          </cell>
        </row>
        <row r="25774">
          <cell r="A25774">
            <v>43145</v>
          </cell>
        </row>
        <row r="25775">
          <cell r="A25775">
            <v>43564</v>
          </cell>
        </row>
        <row r="25776">
          <cell r="A25776">
            <v>43315</v>
          </cell>
        </row>
        <row r="25777">
          <cell r="A25777">
            <v>43914</v>
          </cell>
        </row>
        <row r="25778">
          <cell r="A25778">
            <v>43430</v>
          </cell>
        </row>
        <row r="25779">
          <cell r="A25779">
            <v>43761</v>
          </cell>
        </row>
        <row r="25780">
          <cell r="A25780">
            <v>43428</v>
          </cell>
        </row>
        <row r="25781">
          <cell r="A25781">
            <v>43555</v>
          </cell>
        </row>
        <row r="25782">
          <cell r="A25782">
            <v>43233</v>
          </cell>
        </row>
        <row r="25783">
          <cell r="A25783">
            <v>43444</v>
          </cell>
        </row>
        <row r="25784">
          <cell r="A25784">
            <v>43798</v>
          </cell>
        </row>
        <row r="25785">
          <cell r="A25785">
            <v>43298</v>
          </cell>
        </row>
        <row r="25786">
          <cell r="A25786">
            <v>43621</v>
          </cell>
        </row>
        <row r="25787">
          <cell r="A25787">
            <v>43755</v>
          </cell>
        </row>
        <row r="25788">
          <cell r="A25788">
            <v>43310</v>
          </cell>
        </row>
        <row r="25789">
          <cell r="A25789">
            <v>43444</v>
          </cell>
        </row>
        <row r="25790">
          <cell r="A25790">
            <v>43538</v>
          </cell>
        </row>
        <row r="25791">
          <cell r="A25791">
            <v>43821</v>
          </cell>
        </row>
        <row r="25792">
          <cell r="A25792">
            <v>43183</v>
          </cell>
        </row>
        <row r="25793">
          <cell r="A25793">
            <v>43901</v>
          </cell>
        </row>
        <row r="25794">
          <cell r="A25794">
            <v>43857</v>
          </cell>
        </row>
        <row r="25795">
          <cell r="A25795">
            <v>43219</v>
          </cell>
        </row>
        <row r="25796">
          <cell r="A25796">
            <v>43429</v>
          </cell>
        </row>
        <row r="25797">
          <cell r="A25797">
            <v>43106</v>
          </cell>
        </row>
        <row r="25798">
          <cell r="A25798">
            <v>43287</v>
          </cell>
        </row>
        <row r="25799">
          <cell r="A25799">
            <v>43727</v>
          </cell>
        </row>
        <row r="25800">
          <cell r="A25800">
            <v>43402</v>
          </cell>
        </row>
        <row r="25801">
          <cell r="A25801">
            <v>43510</v>
          </cell>
        </row>
        <row r="25802">
          <cell r="A25802">
            <v>43149</v>
          </cell>
        </row>
        <row r="25803">
          <cell r="A25803">
            <v>43198</v>
          </cell>
        </row>
        <row r="25804">
          <cell r="A25804">
            <v>43675</v>
          </cell>
        </row>
        <row r="25805">
          <cell r="A25805">
            <v>43537</v>
          </cell>
        </row>
        <row r="25806">
          <cell r="A25806">
            <v>43607</v>
          </cell>
        </row>
        <row r="25807">
          <cell r="A25807">
            <v>43665</v>
          </cell>
        </row>
        <row r="25808">
          <cell r="A25808">
            <v>43730</v>
          </cell>
        </row>
        <row r="25809">
          <cell r="A25809">
            <v>43749</v>
          </cell>
        </row>
        <row r="25810">
          <cell r="A25810">
            <v>43695</v>
          </cell>
        </row>
        <row r="25811">
          <cell r="A25811">
            <v>43231</v>
          </cell>
        </row>
        <row r="25812">
          <cell r="A25812">
            <v>43616</v>
          </cell>
        </row>
        <row r="25813">
          <cell r="A25813">
            <v>43903</v>
          </cell>
        </row>
        <row r="25814">
          <cell r="A25814">
            <v>43467</v>
          </cell>
        </row>
        <row r="25815">
          <cell r="A25815">
            <v>43642</v>
          </cell>
        </row>
        <row r="25816">
          <cell r="A25816">
            <v>43122</v>
          </cell>
        </row>
        <row r="25817">
          <cell r="A25817">
            <v>43806</v>
          </cell>
        </row>
        <row r="25818">
          <cell r="A25818">
            <v>43302</v>
          </cell>
        </row>
        <row r="25819">
          <cell r="A25819">
            <v>43392</v>
          </cell>
        </row>
        <row r="25820">
          <cell r="A25820">
            <v>43896</v>
          </cell>
        </row>
        <row r="25821">
          <cell r="A25821">
            <v>43530</v>
          </cell>
        </row>
        <row r="25822">
          <cell r="A25822">
            <v>43809</v>
          </cell>
        </row>
        <row r="25823">
          <cell r="A25823">
            <v>43677</v>
          </cell>
        </row>
        <row r="25824">
          <cell r="A25824">
            <v>43634</v>
          </cell>
        </row>
        <row r="25825">
          <cell r="A25825">
            <v>43227</v>
          </cell>
        </row>
        <row r="25826">
          <cell r="A25826">
            <v>43523</v>
          </cell>
        </row>
        <row r="25827">
          <cell r="A25827">
            <v>43220</v>
          </cell>
        </row>
        <row r="25828">
          <cell r="A25828">
            <v>43544</v>
          </cell>
        </row>
        <row r="25829">
          <cell r="A25829">
            <v>43161</v>
          </cell>
        </row>
        <row r="25830">
          <cell r="A25830">
            <v>43180</v>
          </cell>
        </row>
        <row r="25831">
          <cell r="A25831">
            <v>43545</v>
          </cell>
        </row>
        <row r="25832">
          <cell r="A25832">
            <v>43277</v>
          </cell>
        </row>
        <row r="25833">
          <cell r="A25833">
            <v>43262</v>
          </cell>
        </row>
        <row r="25834">
          <cell r="A25834">
            <v>43318</v>
          </cell>
        </row>
        <row r="25835">
          <cell r="A25835">
            <v>43860</v>
          </cell>
        </row>
        <row r="25836">
          <cell r="A25836">
            <v>43459</v>
          </cell>
        </row>
        <row r="25837">
          <cell r="A25837">
            <v>43229</v>
          </cell>
        </row>
        <row r="25838">
          <cell r="A25838">
            <v>43782</v>
          </cell>
        </row>
        <row r="25839">
          <cell r="A25839">
            <v>43189</v>
          </cell>
        </row>
        <row r="25840">
          <cell r="A25840">
            <v>43422</v>
          </cell>
        </row>
        <row r="25841">
          <cell r="A25841">
            <v>43391</v>
          </cell>
        </row>
        <row r="25842">
          <cell r="A25842">
            <v>43625</v>
          </cell>
        </row>
        <row r="25843">
          <cell r="A25843">
            <v>43469</v>
          </cell>
        </row>
        <row r="25844">
          <cell r="A25844">
            <v>43380</v>
          </cell>
        </row>
        <row r="25845">
          <cell r="A25845">
            <v>43524</v>
          </cell>
        </row>
        <row r="25846">
          <cell r="A25846">
            <v>43680</v>
          </cell>
        </row>
        <row r="25847">
          <cell r="A25847">
            <v>43820</v>
          </cell>
        </row>
        <row r="25848">
          <cell r="A25848">
            <v>43675</v>
          </cell>
        </row>
        <row r="25849">
          <cell r="A25849">
            <v>43307</v>
          </cell>
        </row>
        <row r="25850">
          <cell r="A25850">
            <v>43907</v>
          </cell>
        </row>
        <row r="25851">
          <cell r="A25851">
            <v>43494</v>
          </cell>
        </row>
        <row r="25852">
          <cell r="A25852">
            <v>43786</v>
          </cell>
        </row>
        <row r="25853">
          <cell r="A25853">
            <v>43745</v>
          </cell>
        </row>
        <row r="25854">
          <cell r="A25854">
            <v>43496</v>
          </cell>
        </row>
        <row r="25855">
          <cell r="A25855">
            <v>43138</v>
          </cell>
        </row>
        <row r="25856">
          <cell r="A25856">
            <v>43675</v>
          </cell>
        </row>
        <row r="25857">
          <cell r="A25857">
            <v>43687</v>
          </cell>
        </row>
        <row r="25858">
          <cell r="A25858">
            <v>43180</v>
          </cell>
        </row>
        <row r="25859">
          <cell r="A25859">
            <v>43897</v>
          </cell>
        </row>
        <row r="25860">
          <cell r="A25860">
            <v>43776</v>
          </cell>
        </row>
        <row r="25861">
          <cell r="A25861">
            <v>43683</v>
          </cell>
        </row>
        <row r="25862">
          <cell r="A25862">
            <v>43673</v>
          </cell>
        </row>
        <row r="25863">
          <cell r="A25863">
            <v>43576</v>
          </cell>
        </row>
        <row r="25864">
          <cell r="A25864">
            <v>43533</v>
          </cell>
        </row>
        <row r="25865">
          <cell r="A25865">
            <v>43349</v>
          </cell>
        </row>
        <row r="25866">
          <cell r="A25866">
            <v>43245</v>
          </cell>
        </row>
        <row r="25867">
          <cell r="A25867">
            <v>43713</v>
          </cell>
        </row>
        <row r="25868">
          <cell r="A25868">
            <v>43478</v>
          </cell>
        </row>
        <row r="25869">
          <cell r="A25869">
            <v>43485</v>
          </cell>
        </row>
        <row r="25870">
          <cell r="A25870">
            <v>43894</v>
          </cell>
        </row>
        <row r="25871">
          <cell r="A25871">
            <v>43656</v>
          </cell>
        </row>
        <row r="25872">
          <cell r="A25872">
            <v>43648</v>
          </cell>
        </row>
        <row r="25873">
          <cell r="A25873">
            <v>43871</v>
          </cell>
        </row>
        <row r="25874">
          <cell r="A25874">
            <v>43769</v>
          </cell>
        </row>
        <row r="25875">
          <cell r="A25875">
            <v>43694</v>
          </cell>
        </row>
        <row r="25876">
          <cell r="A25876">
            <v>43220</v>
          </cell>
        </row>
        <row r="25877">
          <cell r="A25877">
            <v>43447</v>
          </cell>
        </row>
        <row r="25878">
          <cell r="A25878">
            <v>43203</v>
          </cell>
        </row>
        <row r="25879">
          <cell r="A25879">
            <v>43107</v>
          </cell>
        </row>
        <row r="25880">
          <cell r="A25880">
            <v>43587</v>
          </cell>
        </row>
        <row r="25881">
          <cell r="A25881">
            <v>43826</v>
          </cell>
        </row>
        <row r="25882">
          <cell r="A25882">
            <v>43532</v>
          </cell>
        </row>
        <row r="25883">
          <cell r="A25883">
            <v>43300</v>
          </cell>
        </row>
        <row r="25884">
          <cell r="A25884">
            <v>43550</v>
          </cell>
        </row>
        <row r="25885">
          <cell r="A25885">
            <v>43732</v>
          </cell>
        </row>
        <row r="25886">
          <cell r="A25886">
            <v>43513</v>
          </cell>
        </row>
        <row r="25887">
          <cell r="A25887">
            <v>43692</v>
          </cell>
        </row>
        <row r="25888">
          <cell r="A25888">
            <v>43773</v>
          </cell>
        </row>
        <row r="25889">
          <cell r="A25889">
            <v>43569</v>
          </cell>
        </row>
        <row r="25890">
          <cell r="A25890">
            <v>43902</v>
          </cell>
        </row>
        <row r="25891">
          <cell r="A25891">
            <v>43514</v>
          </cell>
        </row>
        <row r="25892">
          <cell r="A25892">
            <v>43846</v>
          </cell>
        </row>
        <row r="25893">
          <cell r="A25893">
            <v>43355</v>
          </cell>
        </row>
        <row r="25894">
          <cell r="A25894">
            <v>43781</v>
          </cell>
        </row>
        <row r="25895">
          <cell r="A25895">
            <v>43520</v>
          </cell>
        </row>
        <row r="25896">
          <cell r="A25896">
            <v>43732</v>
          </cell>
        </row>
        <row r="25897">
          <cell r="A25897">
            <v>43336</v>
          </cell>
        </row>
        <row r="25898">
          <cell r="A25898">
            <v>43439</v>
          </cell>
        </row>
        <row r="25899">
          <cell r="A25899">
            <v>43804</v>
          </cell>
        </row>
        <row r="25900">
          <cell r="A25900">
            <v>43337</v>
          </cell>
        </row>
        <row r="25901">
          <cell r="A25901">
            <v>43180</v>
          </cell>
        </row>
        <row r="25902">
          <cell r="A25902">
            <v>43726</v>
          </cell>
        </row>
        <row r="25903">
          <cell r="A25903">
            <v>43718</v>
          </cell>
        </row>
        <row r="25904">
          <cell r="A25904">
            <v>43660</v>
          </cell>
        </row>
        <row r="25905">
          <cell r="A25905">
            <v>43291</v>
          </cell>
        </row>
        <row r="25906">
          <cell r="A25906">
            <v>43179</v>
          </cell>
        </row>
        <row r="25907">
          <cell r="A25907">
            <v>43670</v>
          </cell>
        </row>
        <row r="25908">
          <cell r="A25908">
            <v>43443</v>
          </cell>
        </row>
        <row r="25909">
          <cell r="A25909">
            <v>43251</v>
          </cell>
        </row>
        <row r="25910">
          <cell r="A25910">
            <v>43730</v>
          </cell>
        </row>
        <row r="25911">
          <cell r="A25911">
            <v>43790</v>
          </cell>
        </row>
        <row r="25912">
          <cell r="A25912">
            <v>43117</v>
          </cell>
        </row>
        <row r="25913">
          <cell r="A25913">
            <v>43212</v>
          </cell>
        </row>
        <row r="25914">
          <cell r="A25914">
            <v>43590</v>
          </cell>
        </row>
        <row r="25915">
          <cell r="A25915">
            <v>43474</v>
          </cell>
        </row>
        <row r="25916">
          <cell r="A25916">
            <v>43241</v>
          </cell>
        </row>
        <row r="25917">
          <cell r="A25917">
            <v>43483</v>
          </cell>
        </row>
        <row r="25918">
          <cell r="A25918">
            <v>43678</v>
          </cell>
        </row>
        <row r="25919">
          <cell r="A25919">
            <v>43158</v>
          </cell>
        </row>
        <row r="25920">
          <cell r="A25920">
            <v>43634</v>
          </cell>
        </row>
        <row r="25921">
          <cell r="A25921">
            <v>43178</v>
          </cell>
        </row>
        <row r="25922">
          <cell r="A25922">
            <v>43671</v>
          </cell>
        </row>
        <row r="25923">
          <cell r="A25923">
            <v>43420</v>
          </cell>
        </row>
        <row r="25924">
          <cell r="A25924">
            <v>43710</v>
          </cell>
        </row>
        <row r="25925">
          <cell r="A25925">
            <v>43776</v>
          </cell>
        </row>
        <row r="25926">
          <cell r="A25926">
            <v>43517</v>
          </cell>
        </row>
        <row r="25927">
          <cell r="A25927">
            <v>43145</v>
          </cell>
        </row>
        <row r="25928">
          <cell r="A25928">
            <v>43617</v>
          </cell>
        </row>
        <row r="25929">
          <cell r="A25929">
            <v>43773</v>
          </cell>
        </row>
        <row r="25930">
          <cell r="A25930">
            <v>43296</v>
          </cell>
        </row>
        <row r="25931">
          <cell r="A25931">
            <v>43184</v>
          </cell>
        </row>
        <row r="25932">
          <cell r="A25932">
            <v>43451</v>
          </cell>
        </row>
        <row r="25933">
          <cell r="A25933">
            <v>43296</v>
          </cell>
        </row>
        <row r="25934">
          <cell r="A25934">
            <v>43680</v>
          </cell>
        </row>
        <row r="25935">
          <cell r="A25935">
            <v>43615</v>
          </cell>
        </row>
        <row r="25936">
          <cell r="A25936">
            <v>43131</v>
          </cell>
        </row>
        <row r="25937">
          <cell r="A25937">
            <v>43825</v>
          </cell>
        </row>
        <row r="25938">
          <cell r="A25938">
            <v>43900</v>
          </cell>
        </row>
        <row r="25939">
          <cell r="A25939">
            <v>43665</v>
          </cell>
        </row>
        <row r="25940">
          <cell r="A25940">
            <v>43416</v>
          </cell>
        </row>
        <row r="25941">
          <cell r="A25941">
            <v>43356</v>
          </cell>
        </row>
        <row r="25942">
          <cell r="A25942">
            <v>43409</v>
          </cell>
        </row>
        <row r="25943">
          <cell r="A25943">
            <v>43905</v>
          </cell>
        </row>
        <row r="25944">
          <cell r="A25944">
            <v>43879</v>
          </cell>
        </row>
        <row r="25945">
          <cell r="A25945">
            <v>43586</v>
          </cell>
        </row>
        <row r="25946">
          <cell r="A25946">
            <v>43843</v>
          </cell>
        </row>
        <row r="25947">
          <cell r="A25947">
            <v>43884</v>
          </cell>
        </row>
        <row r="25948">
          <cell r="A25948">
            <v>43165</v>
          </cell>
        </row>
        <row r="25949">
          <cell r="A25949">
            <v>43905</v>
          </cell>
        </row>
        <row r="25950">
          <cell r="A25950">
            <v>43826</v>
          </cell>
        </row>
        <row r="25951">
          <cell r="A25951">
            <v>43494</v>
          </cell>
        </row>
        <row r="25952">
          <cell r="A25952">
            <v>43573</v>
          </cell>
        </row>
        <row r="25953">
          <cell r="A25953">
            <v>43416</v>
          </cell>
        </row>
        <row r="25954">
          <cell r="A25954">
            <v>43707</v>
          </cell>
        </row>
        <row r="25955">
          <cell r="A25955">
            <v>43471</v>
          </cell>
        </row>
        <row r="25956">
          <cell r="A25956">
            <v>43345</v>
          </cell>
        </row>
        <row r="25957">
          <cell r="A25957">
            <v>43392</v>
          </cell>
        </row>
        <row r="25958">
          <cell r="A25958">
            <v>43731</v>
          </cell>
        </row>
        <row r="25959">
          <cell r="A25959">
            <v>43790</v>
          </cell>
        </row>
        <row r="25960">
          <cell r="A25960">
            <v>43323</v>
          </cell>
        </row>
        <row r="25961">
          <cell r="A25961">
            <v>43377</v>
          </cell>
        </row>
        <row r="25962">
          <cell r="A25962">
            <v>43423</v>
          </cell>
        </row>
        <row r="25963">
          <cell r="A25963">
            <v>43256</v>
          </cell>
        </row>
        <row r="25964">
          <cell r="A25964">
            <v>43630</v>
          </cell>
        </row>
        <row r="25965">
          <cell r="A25965">
            <v>43294</v>
          </cell>
        </row>
        <row r="25966">
          <cell r="A25966">
            <v>43704</v>
          </cell>
        </row>
        <row r="25967">
          <cell r="A25967">
            <v>43268</v>
          </cell>
        </row>
        <row r="25968">
          <cell r="A25968">
            <v>43358</v>
          </cell>
        </row>
        <row r="25969">
          <cell r="A25969">
            <v>43845</v>
          </cell>
        </row>
        <row r="25970">
          <cell r="A25970">
            <v>43612</v>
          </cell>
        </row>
        <row r="25971">
          <cell r="A25971">
            <v>43229</v>
          </cell>
        </row>
        <row r="25972">
          <cell r="A25972">
            <v>43411</v>
          </cell>
        </row>
        <row r="25973">
          <cell r="A25973">
            <v>43543</v>
          </cell>
        </row>
        <row r="25974">
          <cell r="A25974">
            <v>43480</v>
          </cell>
        </row>
        <row r="25975">
          <cell r="A25975">
            <v>43399</v>
          </cell>
        </row>
        <row r="25976">
          <cell r="A25976">
            <v>43154</v>
          </cell>
        </row>
        <row r="25977">
          <cell r="A25977">
            <v>43158</v>
          </cell>
        </row>
        <row r="25978">
          <cell r="A25978">
            <v>43650</v>
          </cell>
        </row>
        <row r="25979">
          <cell r="A25979">
            <v>43506</v>
          </cell>
        </row>
        <row r="25980">
          <cell r="A25980">
            <v>43274</v>
          </cell>
        </row>
        <row r="25981">
          <cell r="A25981">
            <v>43107</v>
          </cell>
        </row>
        <row r="25982">
          <cell r="A25982">
            <v>43563</v>
          </cell>
        </row>
        <row r="25983">
          <cell r="A25983">
            <v>43828</v>
          </cell>
        </row>
        <row r="25984">
          <cell r="A25984">
            <v>43301</v>
          </cell>
        </row>
        <row r="25985">
          <cell r="A25985">
            <v>43519</v>
          </cell>
        </row>
        <row r="25986">
          <cell r="A25986">
            <v>43772</v>
          </cell>
        </row>
        <row r="25987">
          <cell r="A25987">
            <v>43449</v>
          </cell>
        </row>
        <row r="25988">
          <cell r="A25988">
            <v>43829</v>
          </cell>
        </row>
        <row r="25989">
          <cell r="A25989">
            <v>43624</v>
          </cell>
        </row>
        <row r="25990">
          <cell r="A25990">
            <v>43349</v>
          </cell>
        </row>
        <row r="25991">
          <cell r="A25991">
            <v>43242</v>
          </cell>
        </row>
        <row r="25992">
          <cell r="A25992">
            <v>43442</v>
          </cell>
        </row>
        <row r="25993">
          <cell r="A25993">
            <v>43628</v>
          </cell>
        </row>
        <row r="25994">
          <cell r="A25994">
            <v>43116</v>
          </cell>
        </row>
        <row r="25995">
          <cell r="A25995">
            <v>43264</v>
          </cell>
        </row>
        <row r="25996">
          <cell r="A25996">
            <v>43488</v>
          </cell>
        </row>
        <row r="25997">
          <cell r="A25997">
            <v>43282</v>
          </cell>
        </row>
        <row r="25998">
          <cell r="A25998">
            <v>43225</v>
          </cell>
        </row>
        <row r="25999">
          <cell r="A25999">
            <v>43183</v>
          </cell>
        </row>
        <row r="26000">
          <cell r="A26000">
            <v>43384</v>
          </cell>
        </row>
        <row r="26001">
          <cell r="A26001">
            <v>43692</v>
          </cell>
        </row>
        <row r="26002">
          <cell r="A26002">
            <v>43514</v>
          </cell>
        </row>
        <row r="26003">
          <cell r="A26003">
            <v>43357</v>
          </cell>
        </row>
        <row r="26004">
          <cell r="A26004">
            <v>43778</v>
          </cell>
        </row>
        <row r="26005">
          <cell r="A26005">
            <v>43814</v>
          </cell>
        </row>
        <row r="26006">
          <cell r="A26006">
            <v>43728</v>
          </cell>
        </row>
        <row r="26007">
          <cell r="A26007">
            <v>43192</v>
          </cell>
        </row>
        <row r="26008">
          <cell r="A26008">
            <v>43370</v>
          </cell>
        </row>
        <row r="26009">
          <cell r="A26009">
            <v>43206</v>
          </cell>
        </row>
        <row r="26010">
          <cell r="A26010">
            <v>43248</v>
          </cell>
        </row>
        <row r="26011">
          <cell r="A26011">
            <v>43402</v>
          </cell>
        </row>
        <row r="26012">
          <cell r="A26012">
            <v>43595</v>
          </cell>
        </row>
        <row r="26013">
          <cell r="A26013">
            <v>43246</v>
          </cell>
        </row>
        <row r="26014">
          <cell r="A26014">
            <v>43829</v>
          </cell>
        </row>
        <row r="26015">
          <cell r="A26015">
            <v>43109</v>
          </cell>
        </row>
        <row r="26016">
          <cell r="A26016">
            <v>43219</v>
          </cell>
        </row>
        <row r="26017">
          <cell r="A26017">
            <v>43467</v>
          </cell>
        </row>
        <row r="26018">
          <cell r="A26018">
            <v>43415</v>
          </cell>
        </row>
        <row r="26019">
          <cell r="A26019">
            <v>43184</v>
          </cell>
        </row>
        <row r="26020">
          <cell r="A26020">
            <v>43779</v>
          </cell>
        </row>
        <row r="26021">
          <cell r="A26021">
            <v>43686</v>
          </cell>
        </row>
        <row r="26022">
          <cell r="A26022">
            <v>43316</v>
          </cell>
        </row>
        <row r="26023">
          <cell r="A26023">
            <v>43248</v>
          </cell>
        </row>
        <row r="26024">
          <cell r="A26024">
            <v>43435</v>
          </cell>
        </row>
        <row r="26025">
          <cell r="A26025">
            <v>43493</v>
          </cell>
        </row>
        <row r="26026">
          <cell r="A26026">
            <v>43506</v>
          </cell>
        </row>
        <row r="26027">
          <cell r="A26027">
            <v>43883</v>
          </cell>
        </row>
        <row r="26028">
          <cell r="A26028">
            <v>43101</v>
          </cell>
        </row>
        <row r="26029">
          <cell r="A26029">
            <v>43678</v>
          </cell>
        </row>
        <row r="26030">
          <cell r="A26030">
            <v>43575</v>
          </cell>
        </row>
        <row r="26031">
          <cell r="A26031">
            <v>43365</v>
          </cell>
        </row>
        <row r="26032">
          <cell r="A26032">
            <v>43740</v>
          </cell>
        </row>
        <row r="26033">
          <cell r="A26033">
            <v>43816</v>
          </cell>
        </row>
        <row r="26034">
          <cell r="A26034">
            <v>43915</v>
          </cell>
        </row>
        <row r="26035">
          <cell r="A26035">
            <v>43377</v>
          </cell>
        </row>
        <row r="26036">
          <cell r="A26036">
            <v>43339</v>
          </cell>
        </row>
        <row r="26037">
          <cell r="A26037">
            <v>43577</v>
          </cell>
        </row>
        <row r="26038">
          <cell r="A26038">
            <v>43738</v>
          </cell>
        </row>
        <row r="26039">
          <cell r="A26039">
            <v>43283</v>
          </cell>
        </row>
        <row r="26040">
          <cell r="A26040">
            <v>43436</v>
          </cell>
        </row>
        <row r="26041">
          <cell r="A26041">
            <v>43353</v>
          </cell>
        </row>
        <row r="26042">
          <cell r="A26042">
            <v>43427</v>
          </cell>
        </row>
        <row r="26043">
          <cell r="A26043">
            <v>43851</v>
          </cell>
        </row>
        <row r="26044">
          <cell r="A26044">
            <v>43495</v>
          </cell>
        </row>
        <row r="26045">
          <cell r="A26045">
            <v>43606</v>
          </cell>
        </row>
        <row r="26046">
          <cell r="A26046">
            <v>43520</v>
          </cell>
        </row>
        <row r="26047">
          <cell r="A26047">
            <v>43646</v>
          </cell>
        </row>
        <row r="26048">
          <cell r="A26048">
            <v>43180</v>
          </cell>
        </row>
        <row r="26049">
          <cell r="A26049">
            <v>43725</v>
          </cell>
        </row>
        <row r="26050">
          <cell r="A26050">
            <v>43638</v>
          </cell>
        </row>
        <row r="26051">
          <cell r="A26051">
            <v>43742</v>
          </cell>
        </row>
        <row r="26052">
          <cell r="A26052">
            <v>43593</v>
          </cell>
        </row>
        <row r="26053">
          <cell r="A26053">
            <v>43418</v>
          </cell>
        </row>
        <row r="26054">
          <cell r="A26054">
            <v>43566</v>
          </cell>
        </row>
        <row r="26055">
          <cell r="A26055">
            <v>43577</v>
          </cell>
        </row>
        <row r="26056">
          <cell r="A26056">
            <v>43912</v>
          </cell>
        </row>
        <row r="26057">
          <cell r="A26057">
            <v>43754</v>
          </cell>
        </row>
        <row r="26058">
          <cell r="A26058">
            <v>43314</v>
          </cell>
        </row>
        <row r="26059">
          <cell r="A26059">
            <v>43449</v>
          </cell>
        </row>
        <row r="26060">
          <cell r="A26060">
            <v>43309</v>
          </cell>
        </row>
        <row r="26061">
          <cell r="A26061">
            <v>43206</v>
          </cell>
        </row>
        <row r="26062">
          <cell r="A26062">
            <v>43873</v>
          </cell>
        </row>
        <row r="26063">
          <cell r="A26063">
            <v>43430</v>
          </cell>
        </row>
        <row r="26064">
          <cell r="A26064">
            <v>43701</v>
          </cell>
        </row>
        <row r="26065">
          <cell r="A26065">
            <v>43847</v>
          </cell>
        </row>
        <row r="26066">
          <cell r="A26066">
            <v>43781</v>
          </cell>
        </row>
        <row r="26067">
          <cell r="A26067">
            <v>43874</v>
          </cell>
        </row>
        <row r="26068">
          <cell r="A26068">
            <v>43810</v>
          </cell>
        </row>
        <row r="26069">
          <cell r="A26069">
            <v>43671</v>
          </cell>
        </row>
        <row r="26070">
          <cell r="A26070">
            <v>43417</v>
          </cell>
        </row>
        <row r="26071">
          <cell r="A26071">
            <v>43728</v>
          </cell>
        </row>
        <row r="26072">
          <cell r="A26072">
            <v>43338</v>
          </cell>
        </row>
        <row r="26073">
          <cell r="A26073">
            <v>43800</v>
          </cell>
        </row>
        <row r="26074">
          <cell r="A26074">
            <v>43256</v>
          </cell>
        </row>
        <row r="26075">
          <cell r="A26075">
            <v>43772</v>
          </cell>
        </row>
        <row r="26076">
          <cell r="A26076">
            <v>43190</v>
          </cell>
        </row>
        <row r="26077">
          <cell r="A26077">
            <v>43164</v>
          </cell>
        </row>
        <row r="26078">
          <cell r="A26078">
            <v>43818</v>
          </cell>
        </row>
        <row r="26079">
          <cell r="A26079">
            <v>43905</v>
          </cell>
        </row>
        <row r="26080">
          <cell r="A26080">
            <v>43679</v>
          </cell>
        </row>
        <row r="26081">
          <cell r="A26081">
            <v>43349</v>
          </cell>
        </row>
        <row r="26082">
          <cell r="A26082">
            <v>43448</v>
          </cell>
        </row>
        <row r="26083">
          <cell r="A26083">
            <v>43264</v>
          </cell>
        </row>
        <row r="26084">
          <cell r="A26084">
            <v>43336</v>
          </cell>
        </row>
        <row r="26085">
          <cell r="A26085">
            <v>43785</v>
          </cell>
        </row>
        <row r="26086">
          <cell r="A26086">
            <v>43556</v>
          </cell>
        </row>
        <row r="26087">
          <cell r="A26087">
            <v>43734</v>
          </cell>
        </row>
        <row r="26088">
          <cell r="A26088">
            <v>43205</v>
          </cell>
        </row>
        <row r="26089">
          <cell r="A26089">
            <v>43768</v>
          </cell>
        </row>
        <row r="26090">
          <cell r="A26090">
            <v>43749</v>
          </cell>
        </row>
        <row r="26091">
          <cell r="A26091">
            <v>43330</v>
          </cell>
        </row>
        <row r="26092">
          <cell r="A26092">
            <v>43370</v>
          </cell>
        </row>
        <row r="26093">
          <cell r="A26093">
            <v>43756</v>
          </cell>
        </row>
        <row r="26094">
          <cell r="A26094">
            <v>43687</v>
          </cell>
        </row>
        <row r="26095">
          <cell r="A26095">
            <v>43613</v>
          </cell>
        </row>
        <row r="26096">
          <cell r="A26096">
            <v>43693</v>
          </cell>
        </row>
        <row r="26097">
          <cell r="A26097">
            <v>43808</v>
          </cell>
        </row>
        <row r="26098">
          <cell r="A26098">
            <v>43807</v>
          </cell>
        </row>
        <row r="26099">
          <cell r="A26099">
            <v>43611</v>
          </cell>
        </row>
        <row r="26100">
          <cell r="A26100">
            <v>43579</v>
          </cell>
        </row>
        <row r="26101">
          <cell r="A26101">
            <v>43819</v>
          </cell>
        </row>
        <row r="26102">
          <cell r="A26102">
            <v>43455</v>
          </cell>
        </row>
        <row r="26103">
          <cell r="A26103">
            <v>43159</v>
          </cell>
        </row>
        <row r="26104">
          <cell r="A26104">
            <v>43756</v>
          </cell>
        </row>
        <row r="26105">
          <cell r="A26105">
            <v>43124</v>
          </cell>
        </row>
        <row r="26106">
          <cell r="A26106">
            <v>43649</v>
          </cell>
        </row>
        <row r="26107">
          <cell r="A26107">
            <v>43581</v>
          </cell>
        </row>
        <row r="26108">
          <cell r="A26108">
            <v>43131</v>
          </cell>
        </row>
        <row r="26109">
          <cell r="A26109">
            <v>43515</v>
          </cell>
        </row>
        <row r="26110">
          <cell r="A26110">
            <v>43391</v>
          </cell>
        </row>
        <row r="26111">
          <cell r="A26111">
            <v>43451</v>
          </cell>
        </row>
        <row r="26112">
          <cell r="A26112">
            <v>43285</v>
          </cell>
        </row>
        <row r="26113">
          <cell r="A26113">
            <v>43222</v>
          </cell>
        </row>
        <row r="26114">
          <cell r="A26114">
            <v>43811</v>
          </cell>
        </row>
        <row r="26115">
          <cell r="A26115">
            <v>43198</v>
          </cell>
        </row>
        <row r="26116">
          <cell r="A26116">
            <v>43289</v>
          </cell>
        </row>
        <row r="26117">
          <cell r="A26117">
            <v>43681</v>
          </cell>
        </row>
        <row r="26118">
          <cell r="A26118">
            <v>43713</v>
          </cell>
        </row>
        <row r="26119">
          <cell r="A26119">
            <v>43230</v>
          </cell>
        </row>
        <row r="26120">
          <cell r="A26120">
            <v>43586</v>
          </cell>
        </row>
        <row r="26121">
          <cell r="A26121">
            <v>43784</v>
          </cell>
        </row>
        <row r="26122">
          <cell r="A26122">
            <v>43233</v>
          </cell>
        </row>
        <row r="26123">
          <cell r="A26123">
            <v>43849</v>
          </cell>
        </row>
        <row r="26124">
          <cell r="A26124">
            <v>43677</v>
          </cell>
        </row>
        <row r="26125">
          <cell r="A26125">
            <v>43570</v>
          </cell>
        </row>
        <row r="26126">
          <cell r="A26126">
            <v>43161</v>
          </cell>
        </row>
        <row r="26127">
          <cell r="A26127">
            <v>43782</v>
          </cell>
        </row>
        <row r="26128">
          <cell r="A26128">
            <v>43176</v>
          </cell>
        </row>
        <row r="26129">
          <cell r="A26129">
            <v>43582</v>
          </cell>
        </row>
        <row r="26130">
          <cell r="A26130">
            <v>43134</v>
          </cell>
        </row>
        <row r="26131">
          <cell r="A26131">
            <v>43538</v>
          </cell>
        </row>
        <row r="26132">
          <cell r="A26132">
            <v>43884</v>
          </cell>
        </row>
        <row r="26133">
          <cell r="A26133">
            <v>43892</v>
          </cell>
        </row>
        <row r="26134">
          <cell r="A26134">
            <v>43647</v>
          </cell>
        </row>
        <row r="26135">
          <cell r="A26135">
            <v>43265</v>
          </cell>
        </row>
        <row r="26136">
          <cell r="A26136">
            <v>43822</v>
          </cell>
        </row>
        <row r="26137">
          <cell r="A26137">
            <v>43303</v>
          </cell>
        </row>
        <row r="26138">
          <cell r="A26138">
            <v>43677</v>
          </cell>
        </row>
        <row r="26139">
          <cell r="A26139">
            <v>43754</v>
          </cell>
        </row>
        <row r="26140">
          <cell r="A26140">
            <v>43662</v>
          </cell>
        </row>
        <row r="26141">
          <cell r="A26141">
            <v>43650</v>
          </cell>
        </row>
        <row r="26142">
          <cell r="A26142">
            <v>43128</v>
          </cell>
        </row>
        <row r="26143">
          <cell r="A26143">
            <v>43273</v>
          </cell>
        </row>
        <row r="26144">
          <cell r="A26144">
            <v>43832</v>
          </cell>
        </row>
        <row r="26145">
          <cell r="A26145">
            <v>43840</v>
          </cell>
        </row>
        <row r="26146">
          <cell r="A26146">
            <v>43747</v>
          </cell>
        </row>
        <row r="26147">
          <cell r="A26147">
            <v>43473</v>
          </cell>
        </row>
        <row r="26148">
          <cell r="A26148">
            <v>43599</v>
          </cell>
        </row>
        <row r="26149">
          <cell r="A26149">
            <v>43246</v>
          </cell>
        </row>
        <row r="26150">
          <cell r="A26150">
            <v>43158</v>
          </cell>
        </row>
        <row r="26151">
          <cell r="A26151">
            <v>43774</v>
          </cell>
        </row>
        <row r="26152">
          <cell r="A26152">
            <v>43268</v>
          </cell>
        </row>
        <row r="26153">
          <cell r="A26153">
            <v>43840</v>
          </cell>
        </row>
        <row r="26154">
          <cell r="A26154">
            <v>43386</v>
          </cell>
        </row>
        <row r="26155">
          <cell r="A26155">
            <v>43708</v>
          </cell>
        </row>
        <row r="26156">
          <cell r="A26156">
            <v>43221</v>
          </cell>
        </row>
        <row r="26157">
          <cell r="A26157">
            <v>43332</v>
          </cell>
        </row>
        <row r="26158">
          <cell r="A26158">
            <v>43362</v>
          </cell>
        </row>
        <row r="26159">
          <cell r="A26159">
            <v>43584</v>
          </cell>
        </row>
        <row r="26160">
          <cell r="A26160">
            <v>43290</v>
          </cell>
        </row>
        <row r="26161">
          <cell r="A26161">
            <v>43531</v>
          </cell>
        </row>
        <row r="26162">
          <cell r="A26162">
            <v>43294</v>
          </cell>
        </row>
        <row r="26163">
          <cell r="A26163">
            <v>43882</v>
          </cell>
        </row>
        <row r="26164">
          <cell r="A26164">
            <v>43709</v>
          </cell>
        </row>
        <row r="26165">
          <cell r="A26165">
            <v>43749</v>
          </cell>
        </row>
        <row r="26166">
          <cell r="A26166">
            <v>43404</v>
          </cell>
        </row>
        <row r="26167">
          <cell r="A26167">
            <v>43485</v>
          </cell>
        </row>
        <row r="26168">
          <cell r="A26168">
            <v>43598</v>
          </cell>
        </row>
        <row r="26169">
          <cell r="A26169">
            <v>43635</v>
          </cell>
        </row>
        <row r="26170">
          <cell r="A26170">
            <v>43462</v>
          </cell>
        </row>
        <row r="26171">
          <cell r="A26171">
            <v>43363</v>
          </cell>
        </row>
        <row r="26172">
          <cell r="A26172">
            <v>43898</v>
          </cell>
        </row>
        <row r="26173">
          <cell r="A26173">
            <v>43640</v>
          </cell>
        </row>
        <row r="26174">
          <cell r="A26174">
            <v>43422</v>
          </cell>
        </row>
        <row r="26175">
          <cell r="A26175">
            <v>43421</v>
          </cell>
        </row>
        <row r="26176">
          <cell r="A26176">
            <v>43640</v>
          </cell>
        </row>
        <row r="26177">
          <cell r="A26177">
            <v>43832</v>
          </cell>
        </row>
        <row r="26178">
          <cell r="A26178">
            <v>43551</v>
          </cell>
        </row>
        <row r="26179">
          <cell r="A26179">
            <v>43155</v>
          </cell>
        </row>
        <row r="26180">
          <cell r="A26180">
            <v>43208</v>
          </cell>
        </row>
        <row r="26181">
          <cell r="A26181">
            <v>43454</v>
          </cell>
        </row>
        <row r="26182">
          <cell r="A26182">
            <v>43802</v>
          </cell>
        </row>
        <row r="26183">
          <cell r="A26183">
            <v>43285</v>
          </cell>
        </row>
        <row r="26184">
          <cell r="A26184">
            <v>43375</v>
          </cell>
        </row>
        <row r="26185">
          <cell r="A26185">
            <v>43852</v>
          </cell>
        </row>
        <row r="26186">
          <cell r="A26186">
            <v>43462</v>
          </cell>
        </row>
        <row r="26187">
          <cell r="A26187">
            <v>43234</v>
          </cell>
        </row>
        <row r="26188">
          <cell r="A26188">
            <v>43317</v>
          </cell>
        </row>
        <row r="26189">
          <cell r="A26189">
            <v>43205</v>
          </cell>
        </row>
        <row r="26190">
          <cell r="A26190">
            <v>43152</v>
          </cell>
        </row>
        <row r="26191">
          <cell r="A26191">
            <v>43820</v>
          </cell>
        </row>
        <row r="26192">
          <cell r="A26192">
            <v>43431</v>
          </cell>
        </row>
        <row r="26193">
          <cell r="A26193">
            <v>43170</v>
          </cell>
        </row>
        <row r="26194">
          <cell r="A26194">
            <v>43389</v>
          </cell>
        </row>
        <row r="26195">
          <cell r="A26195">
            <v>43358</v>
          </cell>
        </row>
        <row r="26196">
          <cell r="A26196">
            <v>43260</v>
          </cell>
        </row>
        <row r="26197">
          <cell r="A26197">
            <v>43357</v>
          </cell>
        </row>
        <row r="26198">
          <cell r="A26198">
            <v>43337</v>
          </cell>
        </row>
        <row r="26199">
          <cell r="A26199">
            <v>43309</v>
          </cell>
        </row>
        <row r="26200">
          <cell r="A26200">
            <v>43713</v>
          </cell>
        </row>
        <row r="26201">
          <cell r="A26201">
            <v>43370</v>
          </cell>
        </row>
        <row r="26202">
          <cell r="A26202">
            <v>43459</v>
          </cell>
        </row>
        <row r="26203">
          <cell r="A26203">
            <v>43544</v>
          </cell>
        </row>
        <row r="26204">
          <cell r="A26204">
            <v>43545</v>
          </cell>
        </row>
        <row r="26205">
          <cell r="A26205">
            <v>43640</v>
          </cell>
        </row>
        <row r="26206">
          <cell r="A26206">
            <v>43509</v>
          </cell>
        </row>
        <row r="26207">
          <cell r="A26207">
            <v>43375</v>
          </cell>
        </row>
        <row r="26208">
          <cell r="A26208">
            <v>43241</v>
          </cell>
        </row>
        <row r="26209">
          <cell r="A26209">
            <v>43455</v>
          </cell>
        </row>
        <row r="26210">
          <cell r="A26210">
            <v>43177</v>
          </cell>
        </row>
        <row r="26211">
          <cell r="A26211">
            <v>43442</v>
          </cell>
        </row>
        <row r="26212">
          <cell r="A26212">
            <v>43375</v>
          </cell>
        </row>
        <row r="26213">
          <cell r="A26213">
            <v>43558</v>
          </cell>
        </row>
        <row r="26214">
          <cell r="A26214">
            <v>43464</v>
          </cell>
        </row>
        <row r="26215">
          <cell r="A26215">
            <v>43590</v>
          </cell>
        </row>
        <row r="26216">
          <cell r="A26216">
            <v>43663</v>
          </cell>
        </row>
        <row r="26217">
          <cell r="A26217">
            <v>43630</v>
          </cell>
        </row>
        <row r="26218">
          <cell r="A26218">
            <v>43393</v>
          </cell>
        </row>
        <row r="26219">
          <cell r="A26219">
            <v>43852</v>
          </cell>
        </row>
        <row r="26220">
          <cell r="A26220">
            <v>43363</v>
          </cell>
        </row>
        <row r="26221">
          <cell r="A26221">
            <v>43452</v>
          </cell>
        </row>
        <row r="26222">
          <cell r="A26222">
            <v>43761</v>
          </cell>
        </row>
        <row r="26223">
          <cell r="A26223">
            <v>43848</v>
          </cell>
        </row>
        <row r="26224">
          <cell r="A26224">
            <v>43781</v>
          </cell>
        </row>
        <row r="26225">
          <cell r="A26225">
            <v>43635</v>
          </cell>
        </row>
        <row r="26226">
          <cell r="A26226">
            <v>43309</v>
          </cell>
        </row>
        <row r="26227">
          <cell r="A26227">
            <v>43690</v>
          </cell>
        </row>
        <row r="26228">
          <cell r="A26228">
            <v>43144</v>
          </cell>
        </row>
        <row r="26229">
          <cell r="A26229">
            <v>43599</v>
          </cell>
        </row>
        <row r="26230">
          <cell r="A26230">
            <v>43910</v>
          </cell>
        </row>
        <row r="26231">
          <cell r="A26231">
            <v>43419</v>
          </cell>
        </row>
        <row r="26232">
          <cell r="A26232">
            <v>43258</v>
          </cell>
        </row>
        <row r="26233">
          <cell r="A26233">
            <v>43141</v>
          </cell>
        </row>
        <row r="26234">
          <cell r="A26234">
            <v>43160</v>
          </cell>
        </row>
        <row r="26235">
          <cell r="A26235">
            <v>43418</v>
          </cell>
        </row>
        <row r="26236">
          <cell r="A26236">
            <v>43594</v>
          </cell>
        </row>
        <row r="26237">
          <cell r="A26237">
            <v>43884</v>
          </cell>
        </row>
        <row r="26238">
          <cell r="A26238">
            <v>43544</v>
          </cell>
        </row>
        <row r="26239">
          <cell r="A26239">
            <v>43807</v>
          </cell>
        </row>
        <row r="26240">
          <cell r="A26240">
            <v>43552</v>
          </cell>
        </row>
        <row r="26241">
          <cell r="A26241">
            <v>43208</v>
          </cell>
        </row>
        <row r="26242">
          <cell r="A26242">
            <v>43522</v>
          </cell>
        </row>
        <row r="26243">
          <cell r="A26243">
            <v>43761</v>
          </cell>
        </row>
        <row r="26244">
          <cell r="A26244">
            <v>43847</v>
          </cell>
        </row>
        <row r="26245">
          <cell r="A26245">
            <v>43830</v>
          </cell>
        </row>
        <row r="26246">
          <cell r="A26246">
            <v>43876</v>
          </cell>
        </row>
        <row r="26247">
          <cell r="A26247">
            <v>43149</v>
          </cell>
        </row>
        <row r="26248">
          <cell r="A26248">
            <v>43842</v>
          </cell>
        </row>
        <row r="26249">
          <cell r="A26249">
            <v>43257</v>
          </cell>
        </row>
        <row r="26250">
          <cell r="A26250">
            <v>43836</v>
          </cell>
        </row>
        <row r="26251">
          <cell r="A26251">
            <v>43185</v>
          </cell>
        </row>
        <row r="26252">
          <cell r="A26252">
            <v>43845</v>
          </cell>
        </row>
        <row r="26253">
          <cell r="A26253">
            <v>43618</v>
          </cell>
        </row>
        <row r="26254">
          <cell r="A26254">
            <v>43142</v>
          </cell>
        </row>
        <row r="26255">
          <cell r="A26255">
            <v>43626</v>
          </cell>
        </row>
        <row r="26256">
          <cell r="A26256">
            <v>43617</v>
          </cell>
        </row>
        <row r="26257">
          <cell r="A26257">
            <v>43117</v>
          </cell>
        </row>
        <row r="26258">
          <cell r="A26258">
            <v>43751</v>
          </cell>
        </row>
        <row r="26259">
          <cell r="A26259">
            <v>43686</v>
          </cell>
        </row>
        <row r="26260">
          <cell r="A26260">
            <v>43112</v>
          </cell>
        </row>
        <row r="26261">
          <cell r="A26261">
            <v>43441</v>
          </cell>
        </row>
        <row r="26262">
          <cell r="A26262">
            <v>43612</v>
          </cell>
        </row>
        <row r="26263">
          <cell r="A26263">
            <v>43755</v>
          </cell>
        </row>
        <row r="26264">
          <cell r="A26264">
            <v>43423</v>
          </cell>
        </row>
        <row r="26265">
          <cell r="A26265">
            <v>43130</v>
          </cell>
        </row>
        <row r="26266">
          <cell r="A26266">
            <v>43858</v>
          </cell>
        </row>
        <row r="26267">
          <cell r="A26267">
            <v>43675</v>
          </cell>
        </row>
        <row r="26268">
          <cell r="A26268">
            <v>43122</v>
          </cell>
        </row>
        <row r="26269">
          <cell r="A26269">
            <v>43554</v>
          </cell>
        </row>
        <row r="26270">
          <cell r="A26270">
            <v>43688</v>
          </cell>
        </row>
        <row r="26271">
          <cell r="A26271">
            <v>43134</v>
          </cell>
        </row>
        <row r="26272">
          <cell r="A26272">
            <v>43473</v>
          </cell>
        </row>
        <row r="26273">
          <cell r="A26273">
            <v>43359</v>
          </cell>
        </row>
        <row r="26274">
          <cell r="A26274">
            <v>43613</v>
          </cell>
        </row>
        <row r="26275">
          <cell r="A26275">
            <v>43596</v>
          </cell>
        </row>
        <row r="26276">
          <cell r="A26276">
            <v>43702</v>
          </cell>
        </row>
        <row r="26277">
          <cell r="A26277">
            <v>43557</v>
          </cell>
        </row>
        <row r="26278">
          <cell r="A26278">
            <v>43911</v>
          </cell>
        </row>
        <row r="26279">
          <cell r="A26279">
            <v>43379</v>
          </cell>
        </row>
        <row r="26280">
          <cell r="A26280">
            <v>43328</v>
          </cell>
        </row>
        <row r="26281">
          <cell r="A26281">
            <v>43711</v>
          </cell>
        </row>
        <row r="26282">
          <cell r="A26282">
            <v>43476</v>
          </cell>
        </row>
        <row r="26283">
          <cell r="A26283">
            <v>43735</v>
          </cell>
        </row>
        <row r="26284">
          <cell r="A26284">
            <v>43513</v>
          </cell>
        </row>
        <row r="26285">
          <cell r="A26285">
            <v>43169</v>
          </cell>
        </row>
        <row r="26286">
          <cell r="A26286">
            <v>43258</v>
          </cell>
        </row>
        <row r="26287">
          <cell r="A26287">
            <v>43637</v>
          </cell>
        </row>
        <row r="26288">
          <cell r="A26288">
            <v>43802</v>
          </cell>
        </row>
        <row r="26289">
          <cell r="A26289">
            <v>43261</v>
          </cell>
        </row>
        <row r="26290">
          <cell r="A26290">
            <v>43659</v>
          </cell>
        </row>
        <row r="26291">
          <cell r="A26291">
            <v>43789</v>
          </cell>
        </row>
        <row r="26292">
          <cell r="A26292">
            <v>43684</v>
          </cell>
        </row>
        <row r="26293">
          <cell r="A26293">
            <v>43350</v>
          </cell>
        </row>
        <row r="26294">
          <cell r="A26294">
            <v>43884</v>
          </cell>
        </row>
        <row r="26295">
          <cell r="A26295">
            <v>43465</v>
          </cell>
        </row>
        <row r="26296">
          <cell r="A26296">
            <v>43249</v>
          </cell>
        </row>
        <row r="26297">
          <cell r="A26297">
            <v>43128</v>
          </cell>
        </row>
        <row r="26298">
          <cell r="A26298">
            <v>43770</v>
          </cell>
        </row>
        <row r="26299">
          <cell r="A26299">
            <v>43123</v>
          </cell>
        </row>
        <row r="26300">
          <cell r="A26300">
            <v>43343</v>
          </cell>
        </row>
        <row r="26301">
          <cell r="A26301">
            <v>43892</v>
          </cell>
        </row>
        <row r="26302">
          <cell r="A26302">
            <v>43790</v>
          </cell>
        </row>
        <row r="26303">
          <cell r="A26303">
            <v>43441</v>
          </cell>
        </row>
        <row r="26304">
          <cell r="A26304">
            <v>43447</v>
          </cell>
        </row>
        <row r="26305">
          <cell r="A26305">
            <v>43149</v>
          </cell>
        </row>
        <row r="26306">
          <cell r="A26306">
            <v>43407</v>
          </cell>
        </row>
        <row r="26307">
          <cell r="A26307">
            <v>43563</v>
          </cell>
        </row>
        <row r="26308">
          <cell r="A26308">
            <v>43913</v>
          </cell>
        </row>
        <row r="26309">
          <cell r="A26309">
            <v>43885</v>
          </cell>
        </row>
        <row r="26310">
          <cell r="A26310">
            <v>43466</v>
          </cell>
        </row>
        <row r="26311">
          <cell r="A26311">
            <v>43799</v>
          </cell>
        </row>
        <row r="26312">
          <cell r="A26312">
            <v>43561</v>
          </cell>
        </row>
        <row r="26313">
          <cell r="A26313">
            <v>43901</v>
          </cell>
        </row>
        <row r="26314">
          <cell r="A26314">
            <v>43790</v>
          </cell>
        </row>
        <row r="26315">
          <cell r="A26315">
            <v>43542</v>
          </cell>
        </row>
        <row r="26316">
          <cell r="A26316">
            <v>43646</v>
          </cell>
        </row>
        <row r="26317">
          <cell r="A26317">
            <v>43640</v>
          </cell>
        </row>
        <row r="26318">
          <cell r="A26318">
            <v>43631</v>
          </cell>
        </row>
        <row r="26319">
          <cell r="A26319">
            <v>43276</v>
          </cell>
        </row>
        <row r="26320">
          <cell r="A26320">
            <v>43661</v>
          </cell>
        </row>
        <row r="26321">
          <cell r="A26321">
            <v>43659</v>
          </cell>
        </row>
        <row r="26322">
          <cell r="A26322">
            <v>43749</v>
          </cell>
        </row>
        <row r="26323">
          <cell r="A26323">
            <v>43651</v>
          </cell>
        </row>
        <row r="26324">
          <cell r="A26324">
            <v>43118</v>
          </cell>
        </row>
        <row r="26325">
          <cell r="A26325">
            <v>43489</v>
          </cell>
        </row>
        <row r="26326">
          <cell r="A26326">
            <v>43160</v>
          </cell>
        </row>
        <row r="26327">
          <cell r="A26327">
            <v>43587</v>
          </cell>
        </row>
        <row r="26328">
          <cell r="A26328">
            <v>43904</v>
          </cell>
        </row>
        <row r="26329">
          <cell r="A26329">
            <v>43482</v>
          </cell>
        </row>
        <row r="26330">
          <cell r="A26330">
            <v>43298</v>
          </cell>
        </row>
        <row r="26331">
          <cell r="A26331">
            <v>43677</v>
          </cell>
        </row>
        <row r="26332">
          <cell r="A26332">
            <v>43188</v>
          </cell>
        </row>
        <row r="26333">
          <cell r="A26333">
            <v>43489</v>
          </cell>
        </row>
        <row r="26334">
          <cell r="A26334">
            <v>43552</v>
          </cell>
        </row>
        <row r="26335">
          <cell r="A26335">
            <v>43257</v>
          </cell>
        </row>
        <row r="26336">
          <cell r="A26336">
            <v>43133</v>
          </cell>
        </row>
        <row r="26337">
          <cell r="A26337">
            <v>43496</v>
          </cell>
        </row>
        <row r="26338">
          <cell r="A26338">
            <v>43789</v>
          </cell>
        </row>
        <row r="26339">
          <cell r="A26339">
            <v>43816</v>
          </cell>
        </row>
        <row r="26340">
          <cell r="A26340">
            <v>43219</v>
          </cell>
        </row>
        <row r="26341">
          <cell r="A26341">
            <v>43230</v>
          </cell>
        </row>
        <row r="26342">
          <cell r="A26342">
            <v>43821</v>
          </cell>
        </row>
        <row r="26343">
          <cell r="A26343">
            <v>43787</v>
          </cell>
        </row>
        <row r="26344">
          <cell r="A26344">
            <v>43795</v>
          </cell>
        </row>
        <row r="26345">
          <cell r="A26345">
            <v>43411</v>
          </cell>
        </row>
        <row r="26346">
          <cell r="A26346">
            <v>43562</v>
          </cell>
        </row>
        <row r="26347">
          <cell r="A26347">
            <v>43632</v>
          </cell>
        </row>
        <row r="26348">
          <cell r="A26348">
            <v>43717</v>
          </cell>
        </row>
        <row r="26349">
          <cell r="A26349">
            <v>43597</v>
          </cell>
        </row>
        <row r="26350">
          <cell r="A26350">
            <v>43488</v>
          </cell>
        </row>
        <row r="26351">
          <cell r="A26351">
            <v>43106</v>
          </cell>
        </row>
        <row r="26352">
          <cell r="A26352">
            <v>43151</v>
          </cell>
        </row>
        <row r="26353">
          <cell r="A26353">
            <v>43893</v>
          </cell>
        </row>
        <row r="26354">
          <cell r="A26354">
            <v>43505</v>
          </cell>
        </row>
        <row r="26355">
          <cell r="A26355">
            <v>43599</v>
          </cell>
        </row>
        <row r="26356">
          <cell r="A26356">
            <v>43178</v>
          </cell>
        </row>
        <row r="26357">
          <cell r="A26357">
            <v>43180</v>
          </cell>
        </row>
        <row r="26358">
          <cell r="A26358">
            <v>43460</v>
          </cell>
        </row>
        <row r="26359">
          <cell r="A26359">
            <v>43280</v>
          </cell>
        </row>
        <row r="26360">
          <cell r="A26360">
            <v>43569</v>
          </cell>
        </row>
        <row r="26361">
          <cell r="A26361">
            <v>43332</v>
          </cell>
        </row>
        <row r="26362">
          <cell r="A26362">
            <v>43265</v>
          </cell>
        </row>
        <row r="26363">
          <cell r="A26363">
            <v>43402</v>
          </cell>
        </row>
        <row r="26364">
          <cell r="A26364">
            <v>43807</v>
          </cell>
        </row>
        <row r="26365">
          <cell r="A26365">
            <v>43177</v>
          </cell>
        </row>
        <row r="26366">
          <cell r="A26366">
            <v>43515</v>
          </cell>
        </row>
        <row r="26367">
          <cell r="A26367">
            <v>43765</v>
          </cell>
        </row>
        <row r="26368">
          <cell r="A26368">
            <v>43417</v>
          </cell>
        </row>
        <row r="26369">
          <cell r="A26369">
            <v>43710</v>
          </cell>
        </row>
        <row r="26370">
          <cell r="A26370">
            <v>43356</v>
          </cell>
        </row>
        <row r="26371">
          <cell r="A26371">
            <v>43829</v>
          </cell>
        </row>
        <row r="26372">
          <cell r="A26372">
            <v>43252</v>
          </cell>
        </row>
        <row r="26373">
          <cell r="A26373">
            <v>43833</v>
          </cell>
        </row>
        <row r="26374">
          <cell r="A26374">
            <v>43467</v>
          </cell>
        </row>
        <row r="26375">
          <cell r="A26375">
            <v>43434</v>
          </cell>
        </row>
        <row r="26376">
          <cell r="A26376">
            <v>43838</v>
          </cell>
        </row>
        <row r="26377">
          <cell r="A26377">
            <v>43125</v>
          </cell>
        </row>
        <row r="26378">
          <cell r="A26378">
            <v>43834</v>
          </cell>
        </row>
        <row r="26379">
          <cell r="A26379">
            <v>43124</v>
          </cell>
        </row>
        <row r="26380">
          <cell r="A26380">
            <v>43410</v>
          </cell>
        </row>
        <row r="26381">
          <cell r="A26381">
            <v>43886</v>
          </cell>
        </row>
        <row r="26382">
          <cell r="A26382">
            <v>43775</v>
          </cell>
        </row>
        <row r="26383">
          <cell r="A26383">
            <v>43575</v>
          </cell>
        </row>
        <row r="26384">
          <cell r="A26384">
            <v>43504</v>
          </cell>
        </row>
        <row r="26385">
          <cell r="A26385">
            <v>43917</v>
          </cell>
        </row>
        <row r="26386">
          <cell r="A26386">
            <v>43867</v>
          </cell>
        </row>
        <row r="26387">
          <cell r="A26387">
            <v>43835</v>
          </cell>
        </row>
        <row r="26388">
          <cell r="A26388">
            <v>43576</v>
          </cell>
        </row>
        <row r="26389">
          <cell r="A26389">
            <v>43187</v>
          </cell>
        </row>
        <row r="26390">
          <cell r="A26390">
            <v>43608</v>
          </cell>
        </row>
        <row r="26391">
          <cell r="A26391">
            <v>43411</v>
          </cell>
        </row>
        <row r="26392">
          <cell r="A26392">
            <v>43537</v>
          </cell>
        </row>
        <row r="26393">
          <cell r="A26393">
            <v>43839</v>
          </cell>
        </row>
        <row r="26394">
          <cell r="A26394">
            <v>43666</v>
          </cell>
        </row>
        <row r="26395">
          <cell r="A26395">
            <v>43409</v>
          </cell>
        </row>
        <row r="26396">
          <cell r="A26396">
            <v>43104</v>
          </cell>
        </row>
        <row r="26397">
          <cell r="A26397">
            <v>43720</v>
          </cell>
        </row>
        <row r="26398">
          <cell r="A26398">
            <v>43359</v>
          </cell>
        </row>
        <row r="26399">
          <cell r="A26399">
            <v>43873</v>
          </cell>
        </row>
        <row r="26400">
          <cell r="A26400">
            <v>43323</v>
          </cell>
        </row>
        <row r="26401">
          <cell r="A26401">
            <v>43238</v>
          </cell>
        </row>
        <row r="26402">
          <cell r="A26402">
            <v>43128</v>
          </cell>
        </row>
        <row r="26403">
          <cell r="A26403">
            <v>43305</v>
          </cell>
        </row>
        <row r="26404">
          <cell r="A26404">
            <v>43722</v>
          </cell>
        </row>
        <row r="26405">
          <cell r="A26405">
            <v>43230</v>
          </cell>
        </row>
        <row r="26406">
          <cell r="A26406">
            <v>43461</v>
          </cell>
        </row>
        <row r="26407">
          <cell r="A26407">
            <v>43516</v>
          </cell>
        </row>
        <row r="26408">
          <cell r="A26408">
            <v>43358</v>
          </cell>
        </row>
        <row r="26409">
          <cell r="A26409">
            <v>43562</v>
          </cell>
        </row>
        <row r="26410">
          <cell r="A26410">
            <v>43559</v>
          </cell>
        </row>
        <row r="26411">
          <cell r="A26411">
            <v>43165</v>
          </cell>
        </row>
        <row r="26412">
          <cell r="A26412">
            <v>43173</v>
          </cell>
        </row>
        <row r="26413">
          <cell r="A26413">
            <v>43103</v>
          </cell>
        </row>
        <row r="26414">
          <cell r="A26414">
            <v>43227</v>
          </cell>
        </row>
        <row r="26415">
          <cell r="A26415">
            <v>43109</v>
          </cell>
        </row>
        <row r="26416">
          <cell r="A26416">
            <v>43136</v>
          </cell>
        </row>
        <row r="26417">
          <cell r="A26417">
            <v>43651</v>
          </cell>
        </row>
        <row r="26418">
          <cell r="A26418">
            <v>43740</v>
          </cell>
        </row>
        <row r="26419">
          <cell r="A26419">
            <v>43670</v>
          </cell>
        </row>
        <row r="26420">
          <cell r="A26420">
            <v>43342</v>
          </cell>
        </row>
        <row r="26421">
          <cell r="A26421">
            <v>43225</v>
          </cell>
        </row>
        <row r="26422">
          <cell r="A26422">
            <v>43618</v>
          </cell>
        </row>
        <row r="26423">
          <cell r="A26423">
            <v>43638</v>
          </cell>
        </row>
        <row r="26424">
          <cell r="A26424">
            <v>43785</v>
          </cell>
        </row>
        <row r="26425">
          <cell r="A26425">
            <v>43725</v>
          </cell>
        </row>
        <row r="26426">
          <cell r="A26426">
            <v>43560</v>
          </cell>
        </row>
        <row r="26427">
          <cell r="A26427">
            <v>43891</v>
          </cell>
        </row>
        <row r="26428">
          <cell r="A26428">
            <v>43887</v>
          </cell>
        </row>
        <row r="26429">
          <cell r="A26429">
            <v>43826</v>
          </cell>
        </row>
        <row r="26430">
          <cell r="A26430">
            <v>43672</v>
          </cell>
        </row>
        <row r="26431">
          <cell r="A26431">
            <v>43129</v>
          </cell>
        </row>
        <row r="26432">
          <cell r="A26432">
            <v>43215</v>
          </cell>
        </row>
        <row r="26433">
          <cell r="A26433">
            <v>43546</v>
          </cell>
        </row>
        <row r="26434">
          <cell r="A26434">
            <v>43392</v>
          </cell>
        </row>
        <row r="26435">
          <cell r="A26435">
            <v>43849</v>
          </cell>
        </row>
        <row r="26436">
          <cell r="A26436">
            <v>43919</v>
          </cell>
        </row>
        <row r="26437">
          <cell r="A26437">
            <v>43463</v>
          </cell>
        </row>
        <row r="26438">
          <cell r="A26438">
            <v>43385</v>
          </cell>
        </row>
        <row r="26439">
          <cell r="A26439">
            <v>43388</v>
          </cell>
        </row>
        <row r="26440">
          <cell r="A26440">
            <v>43744</v>
          </cell>
        </row>
        <row r="26441">
          <cell r="A26441">
            <v>43603</v>
          </cell>
        </row>
        <row r="26442">
          <cell r="A26442">
            <v>43550</v>
          </cell>
        </row>
        <row r="26443">
          <cell r="A26443">
            <v>43719</v>
          </cell>
        </row>
        <row r="26444">
          <cell r="A26444">
            <v>43245</v>
          </cell>
        </row>
        <row r="26445">
          <cell r="A26445">
            <v>43679</v>
          </cell>
        </row>
        <row r="26446">
          <cell r="A26446">
            <v>43538</v>
          </cell>
        </row>
        <row r="26447">
          <cell r="A26447">
            <v>43220</v>
          </cell>
        </row>
        <row r="26448">
          <cell r="A26448">
            <v>43575</v>
          </cell>
        </row>
        <row r="26449">
          <cell r="A26449">
            <v>43407</v>
          </cell>
        </row>
        <row r="26450">
          <cell r="A26450">
            <v>43238</v>
          </cell>
        </row>
        <row r="26451">
          <cell r="A26451">
            <v>43528</v>
          </cell>
        </row>
        <row r="26452">
          <cell r="A26452">
            <v>43240</v>
          </cell>
        </row>
        <row r="26453">
          <cell r="A26453">
            <v>43123</v>
          </cell>
        </row>
        <row r="26454">
          <cell r="A26454">
            <v>43691</v>
          </cell>
        </row>
        <row r="26455">
          <cell r="A26455">
            <v>43302</v>
          </cell>
        </row>
        <row r="26456">
          <cell r="A26456">
            <v>43403</v>
          </cell>
        </row>
        <row r="26457">
          <cell r="A26457">
            <v>43502</v>
          </cell>
        </row>
        <row r="26458">
          <cell r="A26458">
            <v>43703</v>
          </cell>
        </row>
        <row r="26459">
          <cell r="A26459">
            <v>43702</v>
          </cell>
        </row>
        <row r="26460">
          <cell r="A26460">
            <v>43640</v>
          </cell>
        </row>
        <row r="26461">
          <cell r="A26461">
            <v>43636</v>
          </cell>
        </row>
        <row r="26462">
          <cell r="A26462">
            <v>43583</v>
          </cell>
        </row>
        <row r="26463">
          <cell r="A26463">
            <v>43160</v>
          </cell>
        </row>
        <row r="26464">
          <cell r="A26464">
            <v>43425</v>
          </cell>
        </row>
        <row r="26465">
          <cell r="A26465">
            <v>43754</v>
          </cell>
        </row>
        <row r="26466">
          <cell r="A26466">
            <v>43527</v>
          </cell>
        </row>
        <row r="26467">
          <cell r="A26467">
            <v>43450</v>
          </cell>
        </row>
        <row r="26468">
          <cell r="A26468">
            <v>43799</v>
          </cell>
        </row>
        <row r="26469">
          <cell r="A26469">
            <v>43418</v>
          </cell>
        </row>
        <row r="26470">
          <cell r="A26470">
            <v>43837</v>
          </cell>
        </row>
        <row r="26471">
          <cell r="A26471">
            <v>43539</v>
          </cell>
        </row>
        <row r="26472">
          <cell r="A26472">
            <v>43465</v>
          </cell>
        </row>
        <row r="26473">
          <cell r="A26473">
            <v>43408</v>
          </cell>
        </row>
        <row r="26474">
          <cell r="A26474">
            <v>43342</v>
          </cell>
        </row>
        <row r="26475">
          <cell r="A26475">
            <v>43682</v>
          </cell>
        </row>
        <row r="26476">
          <cell r="A26476">
            <v>43517</v>
          </cell>
        </row>
        <row r="26477">
          <cell r="A26477">
            <v>43242</v>
          </cell>
        </row>
        <row r="26478">
          <cell r="A26478">
            <v>43412</v>
          </cell>
        </row>
        <row r="26479">
          <cell r="A26479">
            <v>43506</v>
          </cell>
        </row>
        <row r="26480">
          <cell r="A26480">
            <v>43745</v>
          </cell>
        </row>
        <row r="26481">
          <cell r="A26481">
            <v>43148</v>
          </cell>
        </row>
        <row r="26482">
          <cell r="A26482">
            <v>43896</v>
          </cell>
        </row>
        <row r="26483">
          <cell r="A26483">
            <v>43615</v>
          </cell>
        </row>
        <row r="26484">
          <cell r="A26484">
            <v>43425</v>
          </cell>
        </row>
        <row r="26485">
          <cell r="A26485">
            <v>43758</v>
          </cell>
        </row>
        <row r="26486">
          <cell r="A26486">
            <v>43881</v>
          </cell>
        </row>
        <row r="26487">
          <cell r="A26487">
            <v>43781</v>
          </cell>
        </row>
        <row r="26488">
          <cell r="A26488">
            <v>43891</v>
          </cell>
        </row>
        <row r="26489">
          <cell r="A26489">
            <v>43591</v>
          </cell>
        </row>
        <row r="26490">
          <cell r="A26490">
            <v>43571</v>
          </cell>
        </row>
        <row r="26491">
          <cell r="A26491">
            <v>43616</v>
          </cell>
        </row>
        <row r="26492">
          <cell r="A26492">
            <v>43845</v>
          </cell>
        </row>
        <row r="26493">
          <cell r="A26493">
            <v>43252</v>
          </cell>
        </row>
        <row r="26494">
          <cell r="A26494">
            <v>43527</v>
          </cell>
        </row>
        <row r="26495">
          <cell r="A26495">
            <v>43132</v>
          </cell>
        </row>
        <row r="26496">
          <cell r="A26496">
            <v>43774</v>
          </cell>
        </row>
        <row r="26497">
          <cell r="A26497">
            <v>43787</v>
          </cell>
        </row>
        <row r="26498">
          <cell r="A26498">
            <v>43504</v>
          </cell>
        </row>
        <row r="26499">
          <cell r="A26499">
            <v>43575</v>
          </cell>
        </row>
        <row r="26500">
          <cell r="A26500">
            <v>43118</v>
          </cell>
        </row>
        <row r="26501">
          <cell r="A26501">
            <v>43313</v>
          </cell>
        </row>
        <row r="26502">
          <cell r="A26502">
            <v>43403</v>
          </cell>
        </row>
        <row r="26503">
          <cell r="A26503">
            <v>43265</v>
          </cell>
        </row>
        <row r="26504">
          <cell r="A26504">
            <v>43109</v>
          </cell>
        </row>
        <row r="26505">
          <cell r="A26505">
            <v>43430</v>
          </cell>
        </row>
        <row r="26506">
          <cell r="A26506">
            <v>43552</v>
          </cell>
        </row>
        <row r="26507">
          <cell r="A26507">
            <v>43288</v>
          </cell>
        </row>
        <row r="26508">
          <cell r="A26508">
            <v>43618</v>
          </cell>
        </row>
        <row r="26509">
          <cell r="A26509">
            <v>43209</v>
          </cell>
        </row>
        <row r="26510">
          <cell r="A26510">
            <v>43595</v>
          </cell>
        </row>
        <row r="26511">
          <cell r="A26511">
            <v>43487</v>
          </cell>
        </row>
        <row r="26512">
          <cell r="A26512">
            <v>43186</v>
          </cell>
        </row>
        <row r="26513">
          <cell r="A26513">
            <v>43303</v>
          </cell>
        </row>
        <row r="26514">
          <cell r="A26514">
            <v>43209</v>
          </cell>
        </row>
        <row r="26515">
          <cell r="A26515">
            <v>43240</v>
          </cell>
        </row>
        <row r="26516">
          <cell r="A26516">
            <v>43476</v>
          </cell>
        </row>
        <row r="26517">
          <cell r="A26517">
            <v>43399</v>
          </cell>
        </row>
        <row r="26518">
          <cell r="A26518">
            <v>43495</v>
          </cell>
        </row>
        <row r="26519">
          <cell r="A26519">
            <v>43253</v>
          </cell>
        </row>
        <row r="26520">
          <cell r="A26520">
            <v>43679</v>
          </cell>
        </row>
        <row r="26521">
          <cell r="A26521">
            <v>43501</v>
          </cell>
        </row>
        <row r="26522">
          <cell r="A26522">
            <v>43571</v>
          </cell>
        </row>
        <row r="26523">
          <cell r="A26523">
            <v>43544</v>
          </cell>
        </row>
        <row r="26524">
          <cell r="A26524">
            <v>43254</v>
          </cell>
        </row>
        <row r="26525">
          <cell r="A26525">
            <v>43438</v>
          </cell>
        </row>
        <row r="26526">
          <cell r="A26526">
            <v>43131</v>
          </cell>
        </row>
        <row r="26527">
          <cell r="A26527">
            <v>43199</v>
          </cell>
        </row>
        <row r="26528">
          <cell r="A26528">
            <v>43216</v>
          </cell>
        </row>
        <row r="26529">
          <cell r="A26529">
            <v>43344</v>
          </cell>
        </row>
        <row r="26530">
          <cell r="A26530">
            <v>43521</v>
          </cell>
        </row>
        <row r="26531">
          <cell r="A26531">
            <v>43562</v>
          </cell>
        </row>
        <row r="26532">
          <cell r="A26532">
            <v>43153</v>
          </cell>
        </row>
        <row r="26533">
          <cell r="A26533">
            <v>43187</v>
          </cell>
        </row>
        <row r="26534">
          <cell r="A26534">
            <v>43236</v>
          </cell>
        </row>
        <row r="26535">
          <cell r="A26535">
            <v>43912</v>
          </cell>
        </row>
        <row r="26536">
          <cell r="A26536">
            <v>43282</v>
          </cell>
        </row>
        <row r="26537">
          <cell r="A26537">
            <v>43498</v>
          </cell>
        </row>
        <row r="26538">
          <cell r="A26538">
            <v>43921</v>
          </cell>
        </row>
        <row r="26539">
          <cell r="A26539">
            <v>43501</v>
          </cell>
        </row>
        <row r="26540">
          <cell r="A26540">
            <v>43633</v>
          </cell>
        </row>
        <row r="26541">
          <cell r="A26541">
            <v>43483</v>
          </cell>
        </row>
        <row r="26542">
          <cell r="A26542">
            <v>43615</v>
          </cell>
        </row>
        <row r="26543">
          <cell r="A26543">
            <v>43412</v>
          </cell>
        </row>
        <row r="26544">
          <cell r="A26544">
            <v>43919</v>
          </cell>
        </row>
        <row r="26545">
          <cell r="A26545">
            <v>43877</v>
          </cell>
        </row>
        <row r="26546">
          <cell r="A26546">
            <v>43662</v>
          </cell>
        </row>
        <row r="26547">
          <cell r="A26547">
            <v>43361</v>
          </cell>
        </row>
        <row r="26548">
          <cell r="A26548">
            <v>43872</v>
          </cell>
        </row>
        <row r="26549">
          <cell r="A26549">
            <v>43432</v>
          </cell>
        </row>
        <row r="26550">
          <cell r="A26550">
            <v>43503</v>
          </cell>
        </row>
        <row r="26551">
          <cell r="A26551">
            <v>43644</v>
          </cell>
        </row>
        <row r="26552">
          <cell r="A26552">
            <v>43326</v>
          </cell>
        </row>
        <row r="26553">
          <cell r="A26553">
            <v>43210</v>
          </cell>
        </row>
        <row r="26554">
          <cell r="A26554">
            <v>43289</v>
          </cell>
        </row>
        <row r="26555">
          <cell r="A26555">
            <v>43459</v>
          </cell>
        </row>
        <row r="26556">
          <cell r="A26556">
            <v>43324</v>
          </cell>
        </row>
        <row r="26557">
          <cell r="A26557">
            <v>43525</v>
          </cell>
        </row>
        <row r="26558">
          <cell r="A26558">
            <v>43402</v>
          </cell>
        </row>
        <row r="26559">
          <cell r="A26559">
            <v>43245</v>
          </cell>
        </row>
        <row r="26560">
          <cell r="A26560">
            <v>43886</v>
          </cell>
        </row>
        <row r="26561">
          <cell r="A26561">
            <v>43837</v>
          </cell>
        </row>
        <row r="26562">
          <cell r="A26562">
            <v>43716</v>
          </cell>
        </row>
        <row r="26563">
          <cell r="A26563">
            <v>43619</v>
          </cell>
        </row>
        <row r="26564">
          <cell r="A26564">
            <v>43878</v>
          </cell>
        </row>
        <row r="26565">
          <cell r="A26565">
            <v>43521</v>
          </cell>
        </row>
        <row r="26566">
          <cell r="A26566">
            <v>43525</v>
          </cell>
        </row>
        <row r="26567">
          <cell r="A26567">
            <v>43786</v>
          </cell>
        </row>
        <row r="26568">
          <cell r="A26568">
            <v>43408</v>
          </cell>
        </row>
        <row r="26569">
          <cell r="A26569">
            <v>43786</v>
          </cell>
        </row>
        <row r="26570">
          <cell r="A26570">
            <v>43442</v>
          </cell>
        </row>
        <row r="26571">
          <cell r="A26571">
            <v>43488</v>
          </cell>
        </row>
        <row r="26572">
          <cell r="A26572">
            <v>43600</v>
          </cell>
        </row>
        <row r="26573">
          <cell r="A26573">
            <v>43572</v>
          </cell>
        </row>
        <row r="26574">
          <cell r="A26574">
            <v>43728</v>
          </cell>
        </row>
        <row r="26575">
          <cell r="A26575">
            <v>43400</v>
          </cell>
        </row>
        <row r="26576">
          <cell r="A26576">
            <v>43134</v>
          </cell>
        </row>
        <row r="26577">
          <cell r="A26577">
            <v>43681</v>
          </cell>
        </row>
        <row r="26578">
          <cell r="A26578">
            <v>43906</v>
          </cell>
        </row>
        <row r="26579">
          <cell r="A26579">
            <v>43729</v>
          </cell>
        </row>
        <row r="26580">
          <cell r="A26580">
            <v>43380</v>
          </cell>
        </row>
        <row r="26581">
          <cell r="A26581">
            <v>43424</v>
          </cell>
        </row>
        <row r="26582">
          <cell r="A26582">
            <v>43804</v>
          </cell>
        </row>
        <row r="26583">
          <cell r="A26583">
            <v>43443</v>
          </cell>
        </row>
        <row r="26584">
          <cell r="A26584">
            <v>43908</v>
          </cell>
        </row>
        <row r="26585">
          <cell r="A26585">
            <v>43790</v>
          </cell>
        </row>
        <row r="26586">
          <cell r="A26586">
            <v>43548</v>
          </cell>
        </row>
        <row r="26587">
          <cell r="A26587">
            <v>43898</v>
          </cell>
        </row>
        <row r="26588">
          <cell r="A26588">
            <v>43251</v>
          </cell>
        </row>
        <row r="26589">
          <cell r="A26589">
            <v>43202</v>
          </cell>
        </row>
        <row r="26590">
          <cell r="A26590">
            <v>43219</v>
          </cell>
        </row>
        <row r="26591">
          <cell r="A26591">
            <v>43473</v>
          </cell>
        </row>
        <row r="26592">
          <cell r="A26592">
            <v>43235</v>
          </cell>
        </row>
        <row r="26593">
          <cell r="A26593">
            <v>43238</v>
          </cell>
        </row>
        <row r="26594">
          <cell r="A26594">
            <v>43351</v>
          </cell>
        </row>
        <row r="26595">
          <cell r="A26595">
            <v>43801</v>
          </cell>
        </row>
        <row r="26596">
          <cell r="A26596">
            <v>43557</v>
          </cell>
        </row>
        <row r="26597">
          <cell r="A26597">
            <v>43880</v>
          </cell>
        </row>
        <row r="26598">
          <cell r="A26598">
            <v>43111</v>
          </cell>
        </row>
        <row r="26599">
          <cell r="A26599">
            <v>43698</v>
          </cell>
        </row>
        <row r="26600">
          <cell r="A26600">
            <v>43672</v>
          </cell>
        </row>
        <row r="26601">
          <cell r="A26601">
            <v>43346</v>
          </cell>
        </row>
        <row r="26602">
          <cell r="A26602">
            <v>43417</v>
          </cell>
        </row>
        <row r="26603">
          <cell r="A26603">
            <v>43231</v>
          </cell>
        </row>
        <row r="26604">
          <cell r="A26604">
            <v>43550</v>
          </cell>
        </row>
        <row r="26605">
          <cell r="A26605">
            <v>43422</v>
          </cell>
        </row>
        <row r="26606">
          <cell r="A26606">
            <v>43827</v>
          </cell>
        </row>
        <row r="26607">
          <cell r="A26607">
            <v>43822</v>
          </cell>
        </row>
        <row r="26608">
          <cell r="A26608">
            <v>43526</v>
          </cell>
        </row>
        <row r="26609">
          <cell r="A26609">
            <v>43635</v>
          </cell>
        </row>
        <row r="26610">
          <cell r="A26610">
            <v>43481</v>
          </cell>
        </row>
        <row r="26611">
          <cell r="A26611">
            <v>43666</v>
          </cell>
        </row>
        <row r="26612">
          <cell r="A26612">
            <v>43708</v>
          </cell>
        </row>
        <row r="26613">
          <cell r="A26613">
            <v>43150</v>
          </cell>
        </row>
        <row r="26614">
          <cell r="A26614">
            <v>43692</v>
          </cell>
        </row>
        <row r="26615">
          <cell r="A26615">
            <v>43453</v>
          </cell>
        </row>
        <row r="26616">
          <cell r="A26616">
            <v>43668</v>
          </cell>
        </row>
        <row r="26617">
          <cell r="A26617">
            <v>43747</v>
          </cell>
        </row>
        <row r="26618">
          <cell r="A26618">
            <v>43115</v>
          </cell>
        </row>
        <row r="26619">
          <cell r="A26619">
            <v>43442</v>
          </cell>
        </row>
        <row r="26620">
          <cell r="A26620">
            <v>43200</v>
          </cell>
        </row>
        <row r="26621">
          <cell r="A26621">
            <v>43158</v>
          </cell>
        </row>
        <row r="26622">
          <cell r="A26622">
            <v>43696</v>
          </cell>
        </row>
        <row r="26623">
          <cell r="A26623">
            <v>43626</v>
          </cell>
        </row>
        <row r="26624">
          <cell r="A26624">
            <v>43412</v>
          </cell>
        </row>
        <row r="26625">
          <cell r="A26625">
            <v>43808</v>
          </cell>
        </row>
        <row r="26626">
          <cell r="A26626">
            <v>43320</v>
          </cell>
        </row>
        <row r="26627">
          <cell r="A26627">
            <v>43491</v>
          </cell>
        </row>
        <row r="26628">
          <cell r="A26628">
            <v>43586</v>
          </cell>
        </row>
        <row r="26629">
          <cell r="A26629">
            <v>43737</v>
          </cell>
        </row>
        <row r="26630">
          <cell r="A26630">
            <v>43902</v>
          </cell>
        </row>
        <row r="26631">
          <cell r="A26631">
            <v>43769</v>
          </cell>
        </row>
        <row r="26632">
          <cell r="A26632">
            <v>43774</v>
          </cell>
        </row>
        <row r="26633">
          <cell r="A26633">
            <v>43315</v>
          </cell>
        </row>
        <row r="26634">
          <cell r="A26634">
            <v>43598</v>
          </cell>
        </row>
        <row r="26635">
          <cell r="A26635">
            <v>43734</v>
          </cell>
        </row>
        <row r="26636">
          <cell r="A26636">
            <v>43470</v>
          </cell>
        </row>
        <row r="26637">
          <cell r="A26637">
            <v>43369</v>
          </cell>
        </row>
        <row r="26638">
          <cell r="A26638">
            <v>43632</v>
          </cell>
        </row>
        <row r="26639">
          <cell r="A26639">
            <v>43603</v>
          </cell>
        </row>
        <row r="26640">
          <cell r="A26640">
            <v>43727</v>
          </cell>
        </row>
        <row r="26641">
          <cell r="A26641">
            <v>43115</v>
          </cell>
        </row>
        <row r="26642">
          <cell r="A26642">
            <v>43920</v>
          </cell>
        </row>
        <row r="26643">
          <cell r="A26643">
            <v>43742</v>
          </cell>
        </row>
        <row r="26644">
          <cell r="A26644">
            <v>43473</v>
          </cell>
        </row>
        <row r="26645">
          <cell r="A26645">
            <v>43435</v>
          </cell>
        </row>
        <row r="26646">
          <cell r="A26646">
            <v>43305</v>
          </cell>
        </row>
        <row r="26647">
          <cell r="A26647">
            <v>43410</v>
          </cell>
        </row>
        <row r="26648">
          <cell r="A26648">
            <v>43513</v>
          </cell>
        </row>
        <row r="26649">
          <cell r="A26649">
            <v>43160</v>
          </cell>
        </row>
        <row r="26650">
          <cell r="A26650">
            <v>43453</v>
          </cell>
        </row>
        <row r="26651">
          <cell r="A26651">
            <v>43160</v>
          </cell>
        </row>
        <row r="26652">
          <cell r="A26652">
            <v>43393</v>
          </cell>
        </row>
        <row r="26653">
          <cell r="A26653">
            <v>43740</v>
          </cell>
        </row>
        <row r="26654">
          <cell r="A26654">
            <v>43165</v>
          </cell>
        </row>
        <row r="26655">
          <cell r="A26655">
            <v>43407</v>
          </cell>
        </row>
        <row r="26656">
          <cell r="A26656">
            <v>43874</v>
          </cell>
        </row>
        <row r="26657">
          <cell r="A26657">
            <v>43576</v>
          </cell>
        </row>
        <row r="26658">
          <cell r="A26658">
            <v>43800</v>
          </cell>
        </row>
        <row r="26659">
          <cell r="A26659">
            <v>43742</v>
          </cell>
        </row>
        <row r="26660">
          <cell r="A26660">
            <v>43160</v>
          </cell>
        </row>
        <row r="26661">
          <cell r="A26661">
            <v>43109</v>
          </cell>
        </row>
        <row r="26662">
          <cell r="A26662">
            <v>43461</v>
          </cell>
        </row>
        <row r="26663">
          <cell r="A26663">
            <v>43136</v>
          </cell>
        </row>
        <row r="26664">
          <cell r="A26664">
            <v>43847</v>
          </cell>
        </row>
        <row r="26665">
          <cell r="A26665">
            <v>43322</v>
          </cell>
        </row>
        <row r="26666">
          <cell r="A26666">
            <v>43364</v>
          </cell>
        </row>
        <row r="26667">
          <cell r="A26667">
            <v>43894</v>
          </cell>
        </row>
        <row r="26668">
          <cell r="A26668">
            <v>43531</v>
          </cell>
        </row>
        <row r="26669">
          <cell r="A26669">
            <v>43666</v>
          </cell>
        </row>
        <row r="26670">
          <cell r="A26670">
            <v>43156</v>
          </cell>
        </row>
        <row r="26671">
          <cell r="A26671">
            <v>43337</v>
          </cell>
        </row>
        <row r="26672">
          <cell r="A26672">
            <v>43728</v>
          </cell>
        </row>
        <row r="26673">
          <cell r="A26673">
            <v>43494</v>
          </cell>
        </row>
        <row r="26674">
          <cell r="A26674">
            <v>43506</v>
          </cell>
        </row>
        <row r="26675">
          <cell r="A26675">
            <v>43158</v>
          </cell>
        </row>
        <row r="26676">
          <cell r="A26676">
            <v>43590</v>
          </cell>
        </row>
        <row r="26677">
          <cell r="A26677">
            <v>43317</v>
          </cell>
        </row>
        <row r="26678">
          <cell r="A26678">
            <v>43141</v>
          </cell>
        </row>
        <row r="26679">
          <cell r="A26679">
            <v>43420</v>
          </cell>
        </row>
        <row r="26680">
          <cell r="A26680">
            <v>43258</v>
          </cell>
        </row>
        <row r="26681">
          <cell r="A26681">
            <v>43836</v>
          </cell>
        </row>
        <row r="26682">
          <cell r="A26682">
            <v>43552</v>
          </cell>
        </row>
        <row r="26683">
          <cell r="A26683">
            <v>43875</v>
          </cell>
        </row>
        <row r="26684">
          <cell r="A26684">
            <v>43400</v>
          </cell>
        </row>
        <row r="26685">
          <cell r="A26685">
            <v>43127</v>
          </cell>
        </row>
        <row r="26686">
          <cell r="A26686">
            <v>43549</v>
          </cell>
        </row>
        <row r="26687">
          <cell r="A26687">
            <v>43645</v>
          </cell>
        </row>
        <row r="26688">
          <cell r="A26688">
            <v>43462</v>
          </cell>
        </row>
        <row r="26689">
          <cell r="A26689">
            <v>43743</v>
          </cell>
        </row>
        <row r="26690">
          <cell r="A26690">
            <v>43803</v>
          </cell>
        </row>
        <row r="26691">
          <cell r="A26691">
            <v>43749</v>
          </cell>
        </row>
        <row r="26692">
          <cell r="A26692">
            <v>43264</v>
          </cell>
        </row>
        <row r="26693">
          <cell r="A26693">
            <v>43914</v>
          </cell>
        </row>
        <row r="26694">
          <cell r="A26694">
            <v>43182</v>
          </cell>
        </row>
        <row r="26695">
          <cell r="A26695">
            <v>43629</v>
          </cell>
        </row>
        <row r="26696">
          <cell r="A26696">
            <v>43590</v>
          </cell>
        </row>
        <row r="26697">
          <cell r="A26697">
            <v>43378</v>
          </cell>
        </row>
        <row r="26698">
          <cell r="A26698">
            <v>43307</v>
          </cell>
        </row>
        <row r="26699">
          <cell r="A26699">
            <v>43840</v>
          </cell>
        </row>
        <row r="26700">
          <cell r="A26700">
            <v>43723</v>
          </cell>
        </row>
        <row r="26701">
          <cell r="A26701">
            <v>43292</v>
          </cell>
        </row>
        <row r="26702">
          <cell r="A26702">
            <v>43269</v>
          </cell>
        </row>
        <row r="26703">
          <cell r="A26703">
            <v>43781</v>
          </cell>
        </row>
        <row r="26704">
          <cell r="A26704">
            <v>43739</v>
          </cell>
        </row>
        <row r="26705">
          <cell r="A26705">
            <v>43256</v>
          </cell>
        </row>
        <row r="26706">
          <cell r="A26706">
            <v>43186</v>
          </cell>
        </row>
        <row r="26707">
          <cell r="A26707">
            <v>43563</v>
          </cell>
        </row>
        <row r="26708">
          <cell r="A26708">
            <v>43130</v>
          </cell>
        </row>
        <row r="26709">
          <cell r="A26709">
            <v>43297</v>
          </cell>
        </row>
        <row r="26710">
          <cell r="A26710">
            <v>43880</v>
          </cell>
        </row>
        <row r="26711">
          <cell r="A26711">
            <v>43421</v>
          </cell>
        </row>
        <row r="26712">
          <cell r="A26712">
            <v>43593</v>
          </cell>
        </row>
        <row r="26713">
          <cell r="A26713">
            <v>43732</v>
          </cell>
        </row>
        <row r="26714">
          <cell r="A26714">
            <v>43453</v>
          </cell>
        </row>
        <row r="26715">
          <cell r="A26715">
            <v>43677</v>
          </cell>
        </row>
        <row r="26716">
          <cell r="A26716">
            <v>43205</v>
          </cell>
        </row>
        <row r="26717">
          <cell r="A26717">
            <v>43570</v>
          </cell>
        </row>
        <row r="26718">
          <cell r="A26718">
            <v>43517</v>
          </cell>
        </row>
        <row r="26719">
          <cell r="A26719">
            <v>43822</v>
          </cell>
        </row>
        <row r="26720">
          <cell r="A26720">
            <v>43252</v>
          </cell>
        </row>
        <row r="26721">
          <cell r="A26721">
            <v>43264</v>
          </cell>
        </row>
        <row r="26722">
          <cell r="A26722">
            <v>43207</v>
          </cell>
        </row>
        <row r="26723">
          <cell r="A26723">
            <v>43836</v>
          </cell>
        </row>
        <row r="26724">
          <cell r="A26724">
            <v>43386</v>
          </cell>
        </row>
        <row r="26725">
          <cell r="A26725">
            <v>43888</v>
          </cell>
        </row>
        <row r="26726">
          <cell r="A26726">
            <v>43214</v>
          </cell>
        </row>
        <row r="26727">
          <cell r="A26727">
            <v>43423</v>
          </cell>
        </row>
        <row r="26728">
          <cell r="A26728">
            <v>43319</v>
          </cell>
        </row>
        <row r="26729">
          <cell r="A26729">
            <v>43775</v>
          </cell>
        </row>
        <row r="26730">
          <cell r="A26730">
            <v>43388</v>
          </cell>
        </row>
        <row r="26731">
          <cell r="A26731">
            <v>43869</v>
          </cell>
        </row>
        <row r="26732">
          <cell r="A26732">
            <v>43244</v>
          </cell>
        </row>
        <row r="26733">
          <cell r="A26733">
            <v>43910</v>
          </cell>
        </row>
        <row r="26734">
          <cell r="A26734">
            <v>43441</v>
          </cell>
        </row>
        <row r="26735">
          <cell r="A26735">
            <v>43303</v>
          </cell>
        </row>
        <row r="26736">
          <cell r="A26736">
            <v>43613</v>
          </cell>
        </row>
        <row r="26737">
          <cell r="A26737">
            <v>43462</v>
          </cell>
        </row>
        <row r="26738">
          <cell r="A26738">
            <v>43377</v>
          </cell>
        </row>
        <row r="26739">
          <cell r="A26739">
            <v>43130</v>
          </cell>
        </row>
        <row r="26740">
          <cell r="A26740">
            <v>43877</v>
          </cell>
        </row>
        <row r="26741">
          <cell r="A26741">
            <v>43345</v>
          </cell>
        </row>
        <row r="26742">
          <cell r="A26742">
            <v>43111</v>
          </cell>
        </row>
        <row r="26743">
          <cell r="A26743">
            <v>43151</v>
          </cell>
        </row>
        <row r="26744">
          <cell r="A26744">
            <v>43240</v>
          </cell>
        </row>
        <row r="26745">
          <cell r="A26745">
            <v>43722</v>
          </cell>
        </row>
        <row r="26746">
          <cell r="A26746">
            <v>43138</v>
          </cell>
        </row>
        <row r="26747">
          <cell r="A26747">
            <v>43281</v>
          </cell>
        </row>
        <row r="26748">
          <cell r="A26748">
            <v>43675</v>
          </cell>
        </row>
        <row r="26749">
          <cell r="A26749">
            <v>43425</v>
          </cell>
        </row>
        <row r="26750">
          <cell r="A26750">
            <v>43112</v>
          </cell>
        </row>
        <row r="26751">
          <cell r="A26751">
            <v>43738</v>
          </cell>
        </row>
        <row r="26752">
          <cell r="A26752">
            <v>43853</v>
          </cell>
        </row>
        <row r="26753">
          <cell r="A26753">
            <v>43776</v>
          </cell>
        </row>
        <row r="26754">
          <cell r="A26754">
            <v>43790</v>
          </cell>
        </row>
        <row r="26755">
          <cell r="A26755">
            <v>43451</v>
          </cell>
        </row>
        <row r="26756">
          <cell r="A26756">
            <v>43269</v>
          </cell>
        </row>
        <row r="26757">
          <cell r="A26757">
            <v>43473</v>
          </cell>
        </row>
        <row r="26758">
          <cell r="A26758">
            <v>43792</v>
          </cell>
        </row>
        <row r="26759">
          <cell r="A26759">
            <v>43373</v>
          </cell>
        </row>
        <row r="26760">
          <cell r="A26760">
            <v>43148</v>
          </cell>
        </row>
        <row r="26761">
          <cell r="A26761">
            <v>43880</v>
          </cell>
        </row>
        <row r="26762">
          <cell r="A26762">
            <v>43468</v>
          </cell>
        </row>
        <row r="26763">
          <cell r="A26763">
            <v>43560</v>
          </cell>
        </row>
        <row r="26764">
          <cell r="A26764">
            <v>43435</v>
          </cell>
        </row>
        <row r="26765">
          <cell r="A26765">
            <v>43398</v>
          </cell>
        </row>
        <row r="26766">
          <cell r="A26766">
            <v>43177</v>
          </cell>
        </row>
        <row r="26767">
          <cell r="A26767">
            <v>43374</v>
          </cell>
        </row>
        <row r="26768">
          <cell r="A26768">
            <v>43107</v>
          </cell>
        </row>
        <row r="26769">
          <cell r="A26769">
            <v>43717</v>
          </cell>
        </row>
        <row r="26770">
          <cell r="A26770">
            <v>43221</v>
          </cell>
        </row>
        <row r="26771">
          <cell r="A26771">
            <v>43438</v>
          </cell>
        </row>
        <row r="26772">
          <cell r="A26772">
            <v>43588</v>
          </cell>
        </row>
        <row r="26773">
          <cell r="A26773">
            <v>43712</v>
          </cell>
        </row>
        <row r="26774">
          <cell r="A26774">
            <v>43173</v>
          </cell>
        </row>
        <row r="26775">
          <cell r="A26775">
            <v>43868</v>
          </cell>
        </row>
        <row r="26776">
          <cell r="A26776">
            <v>43913</v>
          </cell>
        </row>
        <row r="26777">
          <cell r="A26777">
            <v>43703</v>
          </cell>
        </row>
        <row r="26778">
          <cell r="A26778">
            <v>43233</v>
          </cell>
        </row>
        <row r="26779">
          <cell r="A26779">
            <v>43193</v>
          </cell>
        </row>
        <row r="26780">
          <cell r="A26780">
            <v>43450</v>
          </cell>
        </row>
        <row r="26781">
          <cell r="A26781">
            <v>43813</v>
          </cell>
        </row>
        <row r="26782">
          <cell r="A26782">
            <v>43640</v>
          </cell>
        </row>
        <row r="26783">
          <cell r="A26783">
            <v>43918</v>
          </cell>
        </row>
        <row r="26784">
          <cell r="A26784">
            <v>43766</v>
          </cell>
        </row>
        <row r="26785">
          <cell r="A26785">
            <v>43236</v>
          </cell>
        </row>
        <row r="26786">
          <cell r="A26786">
            <v>43703</v>
          </cell>
        </row>
        <row r="26787">
          <cell r="A26787">
            <v>43542</v>
          </cell>
        </row>
        <row r="26788">
          <cell r="A26788">
            <v>43575</v>
          </cell>
        </row>
        <row r="26789">
          <cell r="A26789">
            <v>43530</v>
          </cell>
        </row>
        <row r="26790">
          <cell r="A26790">
            <v>43660</v>
          </cell>
        </row>
        <row r="26791">
          <cell r="A26791">
            <v>43651</v>
          </cell>
        </row>
        <row r="26792">
          <cell r="A26792">
            <v>43906</v>
          </cell>
        </row>
        <row r="26793">
          <cell r="A26793">
            <v>43352</v>
          </cell>
        </row>
        <row r="26794">
          <cell r="A26794">
            <v>43521</v>
          </cell>
        </row>
        <row r="26795">
          <cell r="A26795">
            <v>43432</v>
          </cell>
        </row>
        <row r="26796">
          <cell r="A26796">
            <v>43114</v>
          </cell>
        </row>
        <row r="26797">
          <cell r="A26797">
            <v>43790</v>
          </cell>
        </row>
        <row r="26798">
          <cell r="A26798">
            <v>43694</v>
          </cell>
        </row>
        <row r="26799">
          <cell r="A26799">
            <v>43585</v>
          </cell>
        </row>
        <row r="26800">
          <cell r="A26800">
            <v>43203</v>
          </cell>
        </row>
        <row r="26801">
          <cell r="A26801">
            <v>43887</v>
          </cell>
        </row>
        <row r="26802">
          <cell r="A26802">
            <v>43539</v>
          </cell>
        </row>
        <row r="26803">
          <cell r="A26803">
            <v>43403</v>
          </cell>
        </row>
        <row r="26804">
          <cell r="A26804">
            <v>43839</v>
          </cell>
        </row>
        <row r="26805">
          <cell r="A26805">
            <v>43919</v>
          </cell>
        </row>
        <row r="26806">
          <cell r="A26806">
            <v>43243</v>
          </cell>
        </row>
        <row r="26807">
          <cell r="A26807">
            <v>43175</v>
          </cell>
        </row>
        <row r="26808">
          <cell r="A26808">
            <v>43393</v>
          </cell>
        </row>
        <row r="26809">
          <cell r="A26809">
            <v>43559</v>
          </cell>
        </row>
        <row r="26810">
          <cell r="A26810">
            <v>43302</v>
          </cell>
        </row>
        <row r="26811">
          <cell r="A26811">
            <v>43422</v>
          </cell>
        </row>
        <row r="26812">
          <cell r="A26812">
            <v>43289</v>
          </cell>
        </row>
        <row r="26813">
          <cell r="A26813">
            <v>43689</v>
          </cell>
        </row>
        <row r="26814">
          <cell r="A26814">
            <v>43353</v>
          </cell>
        </row>
        <row r="26815">
          <cell r="A26815">
            <v>43203</v>
          </cell>
        </row>
        <row r="26816">
          <cell r="A26816">
            <v>43713</v>
          </cell>
        </row>
        <row r="26817">
          <cell r="A26817">
            <v>43674</v>
          </cell>
        </row>
        <row r="26818">
          <cell r="A26818">
            <v>43313</v>
          </cell>
        </row>
        <row r="26819">
          <cell r="A26819">
            <v>43122</v>
          </cell>
        </row>
        <row r="26820">
          <cell r="A26820">
            <v>43886</v>
          </cell>
        </row>
        <row r="26821">
          <cell r="A26821">
            <v>43158</v>
          </cell>
        </row>
        <row r="26822">
          <cell r="A26822">
            <v>43916</v>
          </cell>
        </row>
        <row r="26823">
          <cell r="A26823">
            <v>43502</v>
          </cell>
        </row>
        <row r="26824">
          <cell r="A26824">
            <v>43359</v>
          </cell>
        </row>
        <row r="26825">
          <cell r="A26825">
            <v>43841</v>
          </cell>
        </row>
        <row r="26826">
          <cell r="A26826">
            <v>43523</v>
          </cell>
        </row>
        <row r="26827">
          <cell r="A26827">
            <v>43351</v>
          </cell>
        </row>
        <row r="26828">
          <cell r="A26828">
            <v>43304</v>
          </cell>
        </row>
        <row r="26829">
          <cell r="A26829">
            <v>43753</v>
          </cell>
        </row>
        <row r="26830">
          <cell r="A26830">
            <v>43722</v>
          </cell>
        </row>
        <row r="26831">
          <cell r="A26831">
            <v>43586</v>
          </cell>
        </row>
        <row r="26832">
          <cell r="A26832">
            <v>43463</v>
          </cell>
        </row>
        <row r="26833">
          <cell r="A26833">
            <v>43205</v>
          </cell>
        </row>
        <row r="26834">
          <cell r="A26834">
            <v>43667</v>
          </cell>
        </row>
        <row r="26835">
          <cell r="A26835">
            <v>43239</v>
          </cell>
        </row>
        <row r="26836">
          <cell r="A26836">
            <v>43746</v>
          </cell>
        </row>
        <row r="26837">
          <cell r="A26837">
            <v>43850</v>
          </cell>
        </row>
        <row r="26838">
          <cell r="A26838">
            <v>43399</v>
          </cell>
        </row>
        <row r="26839">
          <cell r="A26839">
            <v>43710</v>
          </cell>
        </row>
        <row r="26840">
          <cell r="A26840">
            <v>43818</v>
          </cell>
        </row>
        <row r="26841">
          <cell r="A26841">
            <v>43585</v>
          </cell>
        </row>
        <row r="26842">
          <cell r="A26842">
            <v>43660</v>
          </cell>
        </row>
        <row r="26843">
          <cell r="A26843">
            <v>43594</v>
          </cell>
        </row>
        <row r="26844">
          <cell r="A26844">
            <v>43626</v>
          </cell>
        </row>
        <row r="26845">
          <cell r="A26845">
            <v>43689</v>
          </cell>
        </row>
        <row r="26846">
          <cell r="A26846">
            <v>43463</v>
          </cell>
        </row>
        <row r="26847">
          <cell r="A26847">
            <v>43215</v>
          </cell>
        </row>
        <row r="26848">
          <cell r="A26848">
            <v>43374</v>
          </cell>
        </row>
        <row r="26849">
          <cell r="A26849">
            <v>43552</v>
          </cell>
        </row>
        <row r="26850">
          <cell r="A26850">
            <v>43249</v>
          </cell>
        </row>
        <row r="26851">
          <cell r="A26851">
            <v>43162</v>
          </cell>
        </row>
        <row r="26852">
          <cell r="A26852">
            <v>43343</v>
          </cell>
        </row>
        <row r="26853">
          <cell r="A26853">
            <v>43819</v>
          </cell>
        </row>
        <row r="26854">
          <cell r="A26854">
            <v>43582</v>
          </cell>
        </row>
        <row r="26855">
          <cell r="A26855">
            <v>43862</v>
          </cell>
        </row>
        <row r="26856">
          <cell r="A26856">
            <v>43767</v>
          </cell>
        </row>
        <row r="26857">
          <cell r="A26857">
            <v>43540</v>
          </cell>
        </row>
        <row r="26858">
          <cell r="A26858">
            <v>43781</v>
          </cell>
        </row>
        <row r="26859">
          <cell r="A26859">
            <v>43846</v>
          </cell>
        </row>
        <row r="26860">
          <cell r="A26860">
            <v>43124</v>
          </cell>
        </row>
        <row r="26861">
          <cell r="A26861">
            <v>43462</v>
          </cell>
        </row>
        <row r="26862">
          <cell r="A26862">
            <v>43659</v>
          </cell>
        </row>
        <row r="26863">
          <cell r="A26863">
            <v>43503</v>
          </cell>
        </row>
        <row r="26864">
          <cell r="A26864">
            <v>43524</v>
          </cell>
        </row>
        <row r="26865">
          <cell r="A26865">
            <v>43129</v>
          </cell>
        </row>
        <row r="26866">
          <cell r="A26866">
            <v>43466</v>
          </cell>
        </row>
        <row r="26867">
          <cell r="A26867">
            <v>43461</v>
          </cell>
        </row>
        <row r="26868">
          <cell r="A26868">
            <v>43692</v>
          </cell>
        </row>
        <row r="26869">
          <cell r="A26869">
            <v>43835</v>
          </cell>
        </row>
        <row r="26870">
          <cell r="A26870">
            <v>43741</v>
          </cell>
        </row>
        <row r="26871">
          <cell r="A26871">
            <v>43571</v>
          </cell>
        </row>
        <row r="26872">
          <cell r="A26872">
            <v>43839</v>
          </cell>
        </row>
        <row r="26873">
          <cell r="A26873">
            <v>43117</v>
          </cell>
        </row>
        <row r="26874">
          <cell r="A26874">
            <v>43396</v>
          </cell>
        </row>
        <row r="26875">
          <cell r="A26875">
            <v>43155</v>
          </cell>
        </row>
        <row r="26876">
          <cell r="A26876">
            <v>43322</v>
          </cell>
        </row>
        <row r="26877">
          <cell r="A26877">
            <v>43220</v>
          </cell>
        </row>
        <row r="26878">
          <cell r="A26878">
            <v>43856</v>
          </cell>
        </row>
        <row r="26879">
          <cell r="A26879">
            <v>43754</v>
          </cell>
        </row>
        <row r="26880">
          <cell r="A26880">
            <v>43754</v>
          </cell>
        </row>
        <row r="26881">
          <cell r="A26881">
            <v>43312</v>
          </cell>
        </row>
        <row r="26882">
          <cell r="A26882">
            <v>43575</v>
          </cell>
        </row>
        <row r="26883">
          <cell r="A26883">
            <v>43897</v>
          </cell>
        </row>
        <row r="26884">
          <cell r="A26884">
            <v>43889</v>
          </cell>
        </row>
        <row r="26885">
          <cell r="A26885">
            <v>43406</v>
          </cell>
        </row>
        <row r="26886">
          <cell r="A26886">
            <v>43471</v>
          </cell>
        </row>
        <row r="26887">
          <cell r="A26887">
            <v>43217</v>
          </cell>
        </row>
        <row r="26888">
          <cell r="A26888">
            <v>43691</v>
          </cell>
        </row>
        <row r="26889">
          <cell r="A26889">
            <v>43153</v>
          </cell>
        </row>
        <row r="26890">
          <cell r="A26890">
            <v>43586</v>
          </cell>
        </row>
        <row r="26891">
          <cell r="A26891">
            <v>43481</v>
          </cell>
        </row>
        <row r="26892">
          <cell r="A26892">
            <v>43183</v>
          </cell>
        </row>
        <row r="26893">
          <cell r="A26893">
            <v>43185</v>
          </cell>
        </row>
        <row r="26894">
          <cell r="A26894">
            <v>43361</v>
          </cell>
        </row>
        <row r="26895">
          <cell r="A26895">
            <v>43221</v>
          </cell>
        </row>
        <row r="26896">
          <cell r="A26896">
            <v>43518</v>
          </cell>
        </row>
        <row r="26897">
          <cell r="A26897">
            <v>43390</v>
          </cell>
        </row>
        <row r="26898">
          <cell r="A26898">
            <v>43485</v>
          </cell>
        </row>
        <row r="26899">
          <cell r="A26899">
            <v>43347</v>
          </cell>
        </row>
        <row r="26900">
          <cell r="A26900">
            <v>43440</v>
          </cell>
        </row>
        <row r="26901">
          <cell r="A26901">
            <v>43353</v>
          </cell>
        </row>
        <row r="26902">
          <cell r="A26902">
            <v>43685</v>
          </cell>
        </row>
        <row r="26903">
          <cell r="A26903">
            <v>43205</v>
          </cell>
        </row>
        <row r="26904">
          <cell r="A26904">
            <v>43770</v>
          </cell>
        </row>
        <row r="26905">
          <cell r="A26905">
            <v>43660</v>
          </cell>
        </row>
        <row r="26906">
          <cell r="A26906">
            <v>43164</v>
          </cell>
        </row>
        <row r="26907">
          <cell r="A26907">
            <v>43119</v>
          </cell>
        </row>
        <row r="26908">
          <cell r="A26908">
            <v>43725</v>
          </cell>
        </row>
        <row r="26909">
          <cell r="A26909">
            <v>43687</v>
          </cell>
        </row>
        <row r="26910">
          <cell r="A26910">
            <v>43685</v>
          </cell>
        </row>
        <row r="26911">
          <cell r="A26911">
            <v>43889</v>
          </cell>
        </row>
        <row r="26912">
          <cell r="A26912">
            <v>43144</v>
          </cell>
        </row>
        <row r="26913">
          <cell r="A26913">
            <v>43325</v>
          </cell>
        </row>
        <row r="26914">
          <cell r="A26914">
            <v>43741</v>
          </cell>
        </row>
        <row r="26915">
          <cell r="A26915">
            <v>43578</v>
          </cell>
        </row>
        <row r="26916">
          <cell r="A26916">
            <v>43380</v>
          </cell>
        </row>
        <row r="26917">
          <cell r="A26917">
            <v>43434</v>
          </cell>
        </row>
        <row r="26918">
          <cell r="A26918">
            <v>43172</v>
          </cell>
        </row>
        <row r="26919">
          <cell r="A26919">
            <v>43122</v>
          </cell>
        </row>
        <row r="26920">
          <cell r="A26920">
            <v>43641</v>
          </cell>
        </row>
        <row r="26921">
          <cell r="A26921">
            <v>43164</v>
          </cell>
        </row>
        <row r="26922">
          <cell r="A26922">
            <v>43531</v>
          </cell>
        </row>
        <row r="26923">
          <cell r="A26923">
            <v>43735</v>
          </cell>
        </row>
        <row r="26924">
          <cell r="A26924">
            <v>43668</v>
          </cell>
        </row>
        <row r="26925">
          <cell r="A26925">
            <v>43646</v>
          </cell>
        </row>
        <row r="26926">
          <cell r="A26926">
            <v>43282</v>
          </cell>
        </row>
        <row r="26927">
          <cell r="A26927">
            <v>43702</v>
          </cell>
        </row>
        <row r="26928">
          <cell r="A26928">
            <v>43531</v>
          </cell>
        </row>
        <row r="26929">
          <cell r="A26929">
            <v>43702</v>
          </cell>
        </row>
        <row r="26930">
          <cell r="A26930">
            <v>43616</v>
          </cell>
        </row>
        <row r="26931">
          <cell r="A26931">
            <v>43771</v>
          </cell>
        </row>
        <row r="26932">
          <cell r="A26932">
            <v>43466</v>
          </cell>
        </row>
        <row r="26933">
          <cell r="A26933">
            <v>43687</v>
          </cell>
        </row>
        <row r="26934">
          <cell r="A26934">
            <v>43511</v>
          </cell>
        </row>
        <row r="26935">
          <cell r="A26935">
            <v>43292</v>
          </cell>
        </row>
        <row r="26936">
          <cell r="A26936">
            <v>43215</v>
          </cell>
        </row>
        <row r="26937">
          <cell r="A26937">
            <v>43426</v>
          </cell>
        </row>
        <row r="26938">
          <cell r="A26938">
            <v>43681</v>
          </cell>
        </row>
        <row r="26939">
          <cell r="A26939">
            <v>43810</v>
          </cell>
        </row>
        <row r="26940">
          <cell r="A26940">
            <v>43560</v>
          </cell>
        </row>
        <row r="26941">
          <cell r="A26941">
            <v>43484</v>
          </cell>
        </row>
        <row r="26942">
          <cell r="A26942">
            <v>43191</v>
          </cell>
        </row>
        <row r="26943">
          <cell r="A26943">
            <v>43336</v>
          </cell>
        </row>
        <row r="26944">
          <cell r="A26944">
            <v>43407</v>
          </cell>
        </row>
        <row r="26945">
          <cell r="A26945">
            <v>43733</v>
          </cell>
        </row>
        <row r="26946">
          <cell r="A26946">
            <v>43612</v>
          </cell>
        </row>
        <row r="26947">
          <cell r="A26947">
            <v>43637</v>
          </cell>
        </row>
        <row r="26948">
          <cell r="A26948">
            <v>43290</v>
          </cell>
        </row>
        <row r="26949">
          <cell r="A26949">
            <v>43605</v>
          </cell>
        </row>
        <row r="26950">
          <cell r="A26950">
            <v>43693</v>
          </cell>
        </row>
        <row r="26951">
          <cell r="A26951">
            <v>43651</v>
          </cell>
        </row>
        <row r="26952">
          <cell r="A26952">
            <v>43813</v>
          </cell>
        </row>
        <row r="26953">
          <cell r="A26953">
            <v>43356</v>
          </cell>
        </row>
        <row r="26954">
          <cell r="A26954">
            <v>43741</v>
          </cell>
        </row>
        <row r="26955">
          <cell r="A26955">
            <v>43799</v>
          </cell>
        </row>
        <row r="26956">
          <cell r="A26956">
            <v>43116</v>
          </cell>
        </row>
        <row r="26957">
          <cell r="A26957">
            <v>43148</v>
          </cell>
        </row>
        <row r="26958">
          <cell r="A26958">
            <v>43881</v>
          </cell>
        </row>
        <row r="26959">
          <cell r="A26959">
            <v>43715</v>
          </cell>
        </row>
        <row r="26960">
          <cell r="A26960">
            <v>43750</v>
          </cell>
        </row>
        <row r="26961">
          <cell r="A26961">
            <v>43681</v>
          </cell>
        </row>
        <row r="26962">
          <cell r="A26962">
            <v>43478</v>
          </cell>
        </row>
        <row r="26963">
          <cell r="A26963">
            <v>43209</v>
          </cell>
        </row>
        <row r="26964">
          <cell r="A26964">
            <v>43746</v>
          </cell>
        </row>
        <row r="26965">
          <cell r="A26965">
            <v>43723</v>
          </cell>
        </row>
        <row r="26966">
          <cell r="A26966">
            <v>43185</v>
          </cell>
        </row>
        <row r="26967">
          <cell r="A26967">
            <v>43693</v>
          </cell>
        </row>
        <row r="26968">
          <cell r="A26968">
            <v>43554</v>
          </cell>
        </row>
        <row r="26969">
          <cell r="A26969">
            <v>43444</v>
          </cell>
        </row>
        <row r="26970">
          <cell r="A26970">
            <v>43793</v>
          </cell>
        </row>
        <row r="26971">
          <cell r="A26971">
            <v>43533</v>
          </cell>
        </row>
        <row r="26972">
          <cell r="A26972">
            <v>43774</v>
          </cell>
        </row>
        <row r="26973">
          <cell r="A26973">
            <v>43762</v>
          </cell>
        </row>
        <row r="26974">
          <cell r="A26974">
            <v>43780</v>
          </cell>
        </row>
        <row r="26975">
          <cell r="A26975">
            <v>43882</v>
          </cell>
        </row>
        <row r="26976">
          <cell r="A26976">
            <v>43736</v>
          </cell>
        </row>
        <row r="26977">
          <cell r="A26977">
            <v>43428</v>
          </cell>
        </row>
        <row r="26978">
          <cell r="A26978">
            <v>43122</v>
          </cell>
        </row>
        <row r="26979">
          <cell r="A26979">
            <v>43809</v>
          </cell>
        </row>
        <row r="26980">
          <cell r="A26980">
            <v>43890</v>
          </cell>
        </row>
        <row r="26981">
          <cell r="A26981">
            <v>43604</v>
          </cell>
        </row>
        <row r="26982">
          <cell r="A26982">
            <v>43919</v>
          </cell>
        </row>
        <row r="26983">
          <cell r="A26983">
            <v>43421</v>
          </cell>
        </row>
        <row r="26984">
          <cell r="A26984">
            <v>43882</v>
          </cell>
        </row>
        <row r="26985">
          <cell r="A26985">
            <v>43367</v>
          </cell>
        </row>
        <row r="26986">
          <cell r="A26986">
            <v>43241</v>
          </cell>
        </row>
        <row r="26987">
          <cell r="A26987">
            <v>43374</v>
          </cell>
        </row>
        <row r="26988">
          <cell r="A26988">
            <v>43309</v>
          </cell>
        </row>
        <row r="26989">
          <cell r="A26989">
            <v>43888</v>
          </cell>
        </row>
        <row r="26990">
          <cell r="A26990">
            <v>43610</v>
          </cell>
        </row>
        <row r="26991">
          <cell r="A26991">
            <v>43184</v>
          </cell>
        </row>
        <row r="26992">
          <cell r="A26992">
            <v>43468</v>
          </cell>
        </row>
        <row r="26993">
          <cell r="A26993">
            <v>43783</v>
          </cell>
        </row>
        <row r="26994">
          <cell r="A26994">
            <v>43233</v>
          </cell>
        </row>
        <row r="26995">
          <cell r="A26995">
            <v>43499</v>
          </cell>
        </row>
        <row r="26996">
          <cell r="A26996">
            <v>43405</v>
          </cell>
        </row>
        <row r="26997">
          <cell r="A26997">
            <v>43878</v>
          </cell>
        </row>
        <row r="26998">
          <cell r="A26998">
            <v>43136</v>
          </cell>
        </row>
        <row r="26999">
          <cell r="A26999">
            <v>43278</v>
          </cell>
        </row>
        <row r="27000">
          <cell r="A27000">
            <v>43582</v>
          </cell>
        </row>
        <row r="27001">
          <cell r="A27001">
            <v>43126</v>
          </cell>
        </row>
        <row r="27002">
          <cell r="A27002">
            <v>43290</v>
          </cell>
        </row>
        <row r="27003">
          <cell r="A27003">
            <v>43789</v>
          </cell>
        </row>
        <row r="27004">
          <cell r="A27004">
            <v>43395</v>
          </cell>
        </row>
        <row r="27005">
          <cell r="A27005">
            <v>43786</v>
          </cell>
        </row>
        <row r="27006">
          <cell r="A27006">
            <v>43796</v>
          </cell>
        </row>
        <row r="27007">
          <cell r="A27007">
            <v>43822</v>
          </cell>
        </row>
        <row r="27008">
          <cell r="A27008">
            <v>43722</v>
          </cell>
        </row>
        <row r="27009">
          <cell r="A27009">
            <v>43783</v>
          </cell>
        </row>
        <row r="27010">
          <cell r="A27010">
            <v>43502</v>
          </cell>
        </row>
        <row r="27011">
          <cell r="A27011">
            <v>43595</v>
          </cell>
        </row>
        <row r="27012">
          <cell r="A27012">
            <v>43349</v>
          </cell>
        </row>
        <row r="27013">
          <cell r="A27013">
            <v>43577</v>
          </cell>
        </row>
        <row r="27014">
          <cell r="A27014">
            <v>43184</v>
          </cell>
        </row>
        <row r="27015">
          <cell r="A27015">
            <v>43847</v>
          </cell>
        </row>
        <row r="27016">
          <cell r="A27016">
            <v>43134</v>
          </cell>
        </row>
        <row r="27017">
          <cell r="A27017">
            <v>43365</v>
          </cell>
        </row>
        <row r="27018">
          <cell r="A27018">
            <v>43496</v>
          </cell>
        </row>
        <row r="27019">
          <cell r="A27019">
            <v>43535</v>
          </cell>
        </row>
        <row r="27020">
          <cell r="A27020">
            <v>43473</v>
          </cell>
        </row>
        <row r="27021">
          <cell r="A27021">
            <v>43639</v>
          </cell>
        </row>
        <row r="27022">
          <cell r="A27022">
            <v>43662</v>
          </cell>
        </row>
        <row r="27023">
          <cell r="A27023">
            <v>43767</v>
          </cell>
        </row>
        <row r="27024">
          <cell r="A27024">
            <v>43437</v>
          </cell>
        </row>
        <row r="27025">
          <cell r="A27025">
            <v>43191</v>
          </cell>
        </row>
        <row r="27026">
          <cell r="A27026">
            <v>43349</v>
          </cell>
        </row>
        <row r="27027">
          <cell r="A27027">
            <v>43763</v>
          </cell>
        </row>
        <row r="27028">
          <cell r="A27028">
            <v>43352</v>
          </cell>
        </row>
        <row r="27029">
          <cell r="A27029">
            <v>43282</v>
          </cell>
        </row>
        <row r="27030">
          <cell r="A27030">
            <v>43172</v>
          </cell>
        </row>
        <row r="27031">
          <cell r="A27031">
            <v>43426</v>
          </cell>
        </row>
        <row r="27032">
          <cell r="A27032">
            <v>43191</v>
          </cell>
        </row>
        <row r="27033">
          <cell r="A27033">
            <v>43189</v>
          </cell>
        </row>
        <row r="27034">
          <cell r="A27034">
            <v>43920</v>
          </cell>
        </row>
        <row r="27035">
          <cell r="A27035">
            <v>43212</v>
          </cell>
        </row>
        <row r="27036">
          <cell r="A27036">
            <v>43656</v>
          </cell>
        </row>
        <row r="27037">
          <cell r="A27037">
            <v>43295</v>
          </cell>
        </row>
        <row r="27038">
          <cell r="A27038">
            <v>43869</v>
          </cell>
        </row>
        <row r="27039">
          <cell r="A27039">
            <v>43122</v>
          </cell>
        </row>
        <row r="27040">
          <cell r="A27040">
            <v>43820</v>
          </cell>
        </row>
        <row r="27041">
          <cell r="A27041">
            <v>43511</v>
          </cell>
        </row>
        <row r="27042">
          <cell r="A27042">
            <v>43849</v>
          </cell>
        </row>
        <row r="27043">
          <cell r="A27043">
            <v>43205</v>
          </cell>
        </row>
        <row r="27044">
          <cell r="A27044">
            <v>43187</v>
          </cell>
        </row>
        <row r="27045">
          <cell r="A27045">
            <v>43327</v>
          </cell>
        </row>
        <row r="27046">
          <cell r="A27046">
            <v>43808</v>
          </cell>
        </row>
        <row r="27047">
          <cell r="A27047">
            <v>43296</v>
          </cell>
        </row>
        <row r="27048">
          <cell r="A27048">
            <v>43781</v>
          </cell>
        </row>
        <row r="27049">
          <cell r="A27049">
            <v>43199</v>
          </cell>
        </row>
        <row r="27050">
          <cell r="A27050">
            <v>43758</v>
          </cell>
        </row>
        <row r="27051">
          <cell r="A27051">
            <v>43410</v>
          </cell>
        </row>
        <row r="27052">
          <cell r="A27052">
            <v>43158</v>
          </cell>
        </row>
        <row r="27053">
          <cell r="A27053">
            <v>43710</v>
          </cell>
        </row>
        <row r="27054">
          <cell r="A27054">
            <v>43855</v>
          </cell>
        </row>
        <row r="27055">
          <cell r="A27055">
            <v>43379</v>
          </cell>
        </row>
        <row r="27056">
          <cell r="A27056">
            <v>43252</v>
          </cell>
        </row>
        <row r="27057">
          <cell r="A27057">
            <v>43373</v>
          </cell>
        </row>
        <row r="27058">
          <cell r="A27058">
            <v>43654</v>
          </cell>
        </row>
        <row r="27059">
          <cell r="A27059">
            <v>43892</v>
          </cell>
        </row>
        <row r="27060">
          <cell r="A27060">
            <v>43687</v>
          </cell>
        </row>
        <row r="27061">
          <cell r="A27061">
            <v>43841</v>
          </cell>
        </row>
        <row r="27062">
          <cell r="A27062">
            <v>43608</v>
          </cell>
        </row>
        <row r="27063">
          <cell r="A27063">
            <v>43260</v>
          </cell>
        </row>
        <row r="27064">
          <cell r="A27064">
            <v>43646</v>
          </cell>
        </row>
        <row r="27065">
          <cell r="A27065">
            <v>43441</v>
          </cell>
        </row>
        <row r="27066">
          <cell r="A27066">
            <v>43572</v>
          </cell>
        </row>
        <row r="27067">
          <cell r="A27067">
            <v>43786</v>
          </cell>
        </row>
        <row r="27068">
          <cell r="A27068">
            <v>43611</v>
          </cell>
        </row>
        <row r="27069">
          <cell r="A27069">
            <v>43627</v>
          </cell>
        </row>
        <row r="27070">
          <cell r="A27070">
            <v>43472</v>
          </cell>
        </row>
        <row r="27071">
          <cell r="A27071">
            <v>43679</v>
          </cell>
        </row>
        <row r="27072">
          <cell r="A27072">
            <v>43841</v>
          </cell>
        </row>
        <row r="27073">
          <cell r="A27073">
            <v>43776</v>
          </cell>
        </row>
        <row r="27074">
          <cell r="A27074">
            <v>43904</v>
          </cell>
        </row>
        <row r="27075">
          <cell r="A27075">
            <v>43196</v>
          </cell>
        </row>
        <row r="27076">
          <cell r="A27076">
            <v>43307</v>
          </cell>
        </row>
        <row r="27077">
          <cell r="A27077">
            <v>43675</v>
          </cell>
        </row>
        <row r="27078">
          <cell r="A27078">
            <v>43790</v>
          </cell>
        </row>
        <row r="27079">
          <cell r="A27079">
            <v>43283</v>
          </cell>
        </row>
        <row r="27080">
          <cell r="A27080">
            <v>43819</v>
          </cell>
        </row>
        <row r="27081">
          <cell r="A27081">
            <v>43513</v>
          </cell>
        </row>
        <row r="27082">
          <cell r="A27082">
            <v>43516</v>
          </cell>
        </row>
        <row r="27083">
          <cell r="A27083">
            <v>43767</v>
          </cell>
        </row>
        <row r="27084">
          <cell r="A27084">
            <v>43667</v>
          </cell>
        </row>
        <row r="27085">
          <cell r="A27085">
            <v>43833</v>
          </cell>
        </row>
        <row r="27086">
          <cell r="A27086">
            <v>43538</v>
          </cell>
        </row>
        <row r="27087">
          <cell r="A27087">
            <v>43455</v>
          </cell>
        </row>
        <row r="27088">
          <cell r="A27088">
            <v>43907</v>
          </cell>
        </row>
        <row r="27089">
          <cell r="A27089">
            <v>43640</v>
          </cell>
        </row>
        <row r="27090">
          <cell r="A27090">
            <v>43200</v>
          </cell>
        </row>
        <row r="27091">
          <cell r="A27091">
            <v>43501</v>
          </cell>
        </row>
        <row r="27092">
          <cell r="A27092">
            <v>43806</v>
          </cell>
        </row>
        <row r="27093">
          <cell r="A27093">
            <v>43814</v>
          </cell>
        </row>
        <row r="27094">
          <cell r="A27094">
            <v>43241</v>
          </cell>
        </row>
        <row r="27095">
          <cell r="A27095">
            <v>43423</v>
          </cell>
        </row>
        <row r="27096">
          <cell r="A27096">
            <v>43451</v>
          </cell>
        </row>
        <row r="27097">
          <cell r="A27097">
            <v>43872</v>
          </cell>
        </row>
        <row r="27098">
          <cell r="A27098">
            <v>43671</v>
          </cell>
        </row>
        <row r="27099">
          <cell r="A27099">
            <v>43599</v>
          </cell>
        </row>
        <row r="27100">
          <cell r="A27100">
            <v>43777</v>
          </cell>
        </row>
        <row r="27101">
          <cell r="A27101">
            <v>43208</v>
          </cell>
        </row>
        <row r="27102">
          <cell r="A27102">
            <v>43792</v>
          </cell>
        </row>
        <row r="27103">
          <cell r="A27103">
            <v>43552</v>
          </cell>
        </row>
        <row r="27104">
          <cell r="A27104">
            <v>43853</v>
          </cell>
        </row>
        <row r="27105">
          <cell r="A27105">
            <v>43250</v>
          </cell>
        </row>
        <row r="27106">
          <cell r="A27106">
            <v>43420</v>
          </cell>
        </row>
        <row r="27107">
          <cell r="A27107">
            <v>43410</v>
          </cell>
        </row>
        <row r="27108">
          <cell r="A27108">
            <v>43198</v>
          </cell>
        </row>
        <row r="27109">
          <cell r="A27109">
            <v>43419</v>
          </cell>
        </row>
        <row r="27110">
          <cell r="A27110">
            <v>43356</v>
          </cell>
        </row>
        <row r="27111">
          <cell r="A27111">
            <v>43150</v>
          </cell>
        </row>
        <row r="27112">
          <cell r="A27112">
            <v>43596</v>
          </cell>
        </row>
        <row r="27113">
          <cell r="A27113">
            <v>43755</v>
          </cell>
        </row>
        <row r="27114">
          <cell r="A27114">
            <v>43610</v>
          </cell>
        </row>
        <row r="27115">
          <cell r="A27115">
            <v>43859</v>
          </cell>
        </row>
        <row r="27116">
          <cell r="A27116">
            <v>43739</v>
          </cell>
        </row>
        <row r="27117">
          <cell r="A27117">
            <v>43770</v>
          </cell>
        </row>
        <row r="27118">
          <cell r="A27118">
            <v>43631</v>
          </cell>
        </row>
        <row r="27119">
          <cell r="A27119">
            <v>43687</v>
          </cell>
        </row>
        <row r="27120">
          <cell r="A27120">
            <v>43573</v>
          </cell>
        </row>
        <row r="27121">
          <cell r="A27121">
            <v>43270</v>
          </cell>
        </row>
        <row r="27122">
          <cell r="A27122">
            <v>43213</v>
          </cell>
        </row>
        <row r="27123">
          <cell r="A27123">
            <v>43266</v>
          </cell>
        </row>
        <row r="27124">
          <cell r="A27124">
            <v>43382</v>
          </cell>
        </row>
        <row r="27125">
          <cell r="A27125">
            <v>43649</v>
          </cell>
        </row>
        <row r="27126">
          <cell r="A27126">
            <v>43705</v>
          </cell>
        </row>
        <row r="27127">
          <cell r="A27127">
            <v>43827</v>
          </cell>
        </row>
        <row r="27128">
          <cell r="A27128">
            <v>43418</v>
          </cell>
        </row>
        <row r="27129">
          <cell r="A27129">
            <v>43909</v>
          </cell>
        </row>
        <row r="27130">
          <cell r="A27130">
            <v>43260</v>
          </cell>
        </row>
        <row r="27131">
          <cell r="A27131">
            <v>43159</v>
          </cell>
        </row>
        <row r="27132">
          <cell r="A27132">
            <v>43543</v>
          </cell>
        </row>
        <row r="27133">
          <cell r="A27133">
            <v>43529</v>
          </cell>
        </row>
        <row r="27134">
          <cell r="A27134">
            <v>43771</v>
          </cell>
        </row>
        <row r="27135">
          <cell r="A27135">
            <v>43700</v>
          </cell>
        </row>
        <row r="27136">
          <cell r="A27136">
            <v>43765</v>
          </cell>
        </row>
        <row r="27137">
          <cell r="A27137">
            <v>43402</v>
          </cell>
        </row>
        <row r="27138">
          <cell r="A27138">
            <v>43362</v>
          </cell>
        </row>
        <row r="27139">
          <cell r="A27139">
            <v>43813</v>
          </cell>
        </row>
        <row r="27140">
          <cell r="A27140">
            <v>43426</v>
          </cell>
        </row>
        <row r="27141">
          <cell r="A27141">
            <v>43901</v>
          </cell>
        </row>
        <row r="27142">
          <cell r="A27142">
            <v>43778</v>
          </cell>
        </row>
        <row r="27143">
          <cell r="A27143">
            <v>43508</v>
          </cell>
        </row>
        <row r="27144">
          <cell r="A27144">
            <v>43630</v>
          </cell>
        </row>
        <row r="27145">
          <cell r="A27145">
            <v>43797</v>
          </cell>
        </row>
        <row r="27146">
          <cell r="A27146">
            <v>43435</v>
          </cell>
        </row>
        <row r="27147">
          <cell r="A27147">
            <v>43680</v>
          </cell>
        </row>
        <row r="27148">
          <cell r="A27148">
            <v>43498</v>
          </cell>
        </row>
        <row r="27149">
          <cell r="A27149">
            <v>43428</v>
          </cell>
        </row>
        <row r="27150">
          <cell r="A27150">
            <v>43545</v>
          </cell>
        </row>
        <row r="27151">
          <cell r="A27151">
            <v>43263</v>
          </cell>
        </row>
        <row r="27152">
          <cell r="A27152">
            <v>43608</v>
          </cell>
        </row>
        <row r="27153">
          <cell r="A27153">
            <v>43457</v>
          </cell>
        </row>
        <row r="27154">
          <cell r="A27154">
            <v>43527</v>
          </cell>
        </row>
        <row r="27155">
          <cell r="A27155">
            <v>43111</v>
          </cell>
        </row>
        <row r="27156">
          <cell r="A27156">
            <v>43788</v>
          </cell>
        </row>
        <row r="27157">
          <cell r="A27157">
            <v>43337</v>
          </cell>
        </row>
        <row r="27158">
          <cell r="A27158">
            <v>43361</v>
          </cell>
        </row>
        <row r="27159">
          <cell r="A27159">
            <v>43848</v>
          </cell>
        </row>
        <row r="27160">
          <cell r="A27160">
            <v>43210</v>
          </cell>
        </row>
        <row r="27161">
          <cell r="A27161">
            <v>43356</v>
          </cell>
        </row>
        <row r="27162">
          <cell r="A27162">
            <v>43615</v>
          </cell>
        </row>
        <row r="27163">
          <cell r="A27163">
            <v>43430</v>
          </cell>
        </row>
        <row r="27164">
          <cell r="A27164">
            <v>43738</v>
          </cell>
        </row>
        <row r="27165">
          <cell r="A27165">
            <v>43644</v>
          </cell>
        </row>
        <row r="27166">
          <cell r="A27166">
            <v>43500</v>
          </cell>
        </row>
        <row r="27167">
          <cell r="A27167">
            <v>43156</v>
          </cell>
        </row>
        <row r="27168">
          <cell r="A27168">
            <v>43373</v>
          </cell>
        </row>
        <row r="27169">
          <cell r="A27169">
            <v>43203</v>
          </cell>
        </row>
        <row r="27170">
          <cell r="A27170">
            <v>43580</v>
          </cell>
        </row>
        <row r="27171">
          <cell r="A27171">
            <v>43383</v>
          </cell>
        </row>
        <row r="27172">
          <cell r="A27172">
            <v>43219</v>
          </cell>
        </row>
        <row r="27173">
          <cell r="A27173">
            <v>43566</v>
          </cell>
        </row>
        <row r="27174">
          <cell r="A27174">
            <v>43589</v>
          </cell>
        </row>
        <row r="27175">
          <cell r="A27175">
            <v>43661</v>
          </cell>
        </row>
        <row r="27176">
          <cell r="A27176">
            <v>43193</v>
          </cell>
        </row>
        <row r="27177">
          <cell r="A27177">
            <v>43887</v>
          </cell>
        </row>
        <row r="27178">
          <cell r="A27178">
            <v>43194</v>
          </cell>
        </row>
        <row r="27179">
          <cell r="A27179">
            <v>43101</v>
          </cell>
        </row>
        <row r="27180">
          <cell r="A27180">
            <v>43651</v>
          </cell>
        </row>
        <row r="27181">
          <cell r="A27181">
            <v>43212</v>
          </cell>
        </row>
        <row r="27182">
          <cell r="A27182">
            <v>43779</v>
          </cell>
        </row>
        <row r="27183">
          <cell r="A27183">
            <v>43128</v>
          </cell>
        </row>
        <row r="27184">
          <cell r="A27184">
            <v>43891</v>
          </cell>
        </row>
        <row r="27185">
          <cell r="A27185">
            <v>43425</v>
          </cell>
        </row>
        <row r="27186">
          <cell r="A27186">
            <v>43172</v>
          </cell>
        </row>
        <row r="27187">
          <cell r="A27187">
            <v>43303</v>
          </cell>
        </row>
        <row r="27188">
          <cell r="A27188">
            <v>43164</v>
          </cell>
        </row>
        <row r="27189">
          <cell r="A27189">
            <v>43198</v>
          </cell>
        </row>
        <row r="27190">
          <cell r="A27190">
            <v>43730</v>
          </cell>
        </row>
        <row r="27191">
          <cell r="A27191">
            <v>43610</v>
          </cell>
        </row>
        <row r="27192">
          <cell r="A27192">
            <v>43368</v>
          </cell>
        </row>
        <row r="27193">
          <cell r="A27193">
            <v>43221</v>
          </cell>
        </row>
        <row r="27194">
          <cell r="A27194">
            <v>43510</v>
          </cell>
        </row>
        <row r="27195">
          <cell r="A27195">
            <v>43435</v>
          </cell>
        </row>
        <row r="27196">
          <cell r="A27196">
            <v>43505</v>
          </cell>
        </row>
        <row r="27197">
          <cell r="A27197">
            <v>43830</v>
          </cell>
        </row>
        <row r="27198">
          <cell r="A27198">
            <v>43919</v>
          </cell>
        </row>
        <row r="27199">
          <cell r="A27199">
            <v>43588</v>
          </cell>
        </row>
        <row r="27200">
          <cell r="A27200">
            <v>43408</v>
          </cell>
        </row>
        <row r="27201">
          <cell r="A27201">
            <v>43569</v>
          </cell>
        </row>
        <row r="27202">
          <cell r="A27202">
            <v>43691</v>
          </cell>
        </row>
        <row r="27203">
          <cell r="A27203">
            <v>43407</v>
          </cell>
        </row>
        <row r="27204">
          <cell r="A27204">
            <v>43235</v>
          </cell>
        </row>
        <row r="27205">
          <cell r="A27205">
            <v>43452</v>
          </cell>
        </row>
        <row r="27206">
          <cell r="A27206">
            <v>43681</v>
          </cell>
        </row>
        <row r="27207">
          <cell r="A27207">
            <v>43190</v>
          </cell>
        </row>
        <row r="27208">
          <cell r="A27208">
            <v>43531</v>
          </cell>
        </row>
        <row r="27209">
          <cell r="A27209">
            <v>43568</v>
          </cell>
        </row>
        <row r="27210">
          <cell r="A27210">
            <v>43827</v>
          </cell>
        </row>
        <row r="27211">
          <cell r="A27211">
            <v>43686</v>
          </cell>
        </row>
        <row r="27212">
          <cell r="A27212">
            <v>43237</v>
          </cell>
        </row>
        <row r="27213">
          <cell r="A27213">
            <v>43277</v>
          </cell>
        </row>
        <row r="27214">
          <cell r="A27214">
            <v>43825</v>
          </cell>
        </row>
        <row r="27215">
          <cell r="A27215">
            <v>43905</v>
          </cell>
        </row>
        <row r="27216">
          <cell r="A27216">
            <v>43891</v>
          </cell>
        </row>
        <row r="27217">
          <cell r="A27217">
            <v>43287</v>
          </cell>
        </row>
        <row r="27218">
          <cell r="A27218">
            <v>43759</v>
          </cell>
        </row>
        <row r="27219">
          <cell r="A27219">
            <v>43131</v>
          </cell>
        </row>
        <row r="27220">
          <cell r="A27220">
            <v>43556</v>
          </cell>
        </row>
        <row r="27221">
          <cell r="A27221">
            <v>43374</v>
          </cell>
        </row>
        <row r="27222">
          <cell r="A27222">
            <v>43128</v>
          </cell>
        </row>
        <row r="27223">
          <cell r="A27223">
            <v>43386</v>
          </cell>
        </row>
        <row r="27224">
          <cell r="A27224">
            <v>43781</v>
          </cell>
        </row>
        <row r="27225">
          <cell r="A27225">
            <v>43283</v>
          </cell>
        </row>
        <row r="27226">
          <cell r="A27226">
            <v>43135</v>
          </cell>
        </row>
        <row r="27227">
          <cell r="A27227">
            <v>43339</v>
          </cell>
        </row>
        <row r="27228">
          <cell r="A27228">
            <v>43512</v>
          </cell>
        </row>
        <row r="27229">
          <cell r="A27229">
            <v>43496</v>
          </cell>
        </row>
        <row r="27230">
          <cell r="A27230">
            <v>43344</v>
          </cell>
        </row>
        <row r="27231">
          <cell r="A27231">
            <v>43777</v>
          </cell>
        </row>
        <row r="27232">
          <cell r="A27232">
            <v>43708</v>
          </cell>
        </row>
        <row r="27233">
          <cell r="A27233">
            <v>43681</v>
          </cell>
        </row>
        <row r="27234">
          <cell r="A27234">
            <v>43464</v>
          </cell>
        </row>
        <row r="27235">
          <cell r="A27235">
            <v>43615</v>
          </cell>
        </row>
        <row r="27236">
          <cell r="A27236">
            <v>43154</v>
          </cell>
        </row>
        <row r="27237">
          <cell r="A27237">
            <v>43145</v>
          </cell>
        </row>
        <row r="27238">
          <cell r="A27238">
            <v>43807</v>
          </cell>
        </row>
        <row r="27239">
          <cell r="A27239">
            <v>43435</v>
          </cell>
        </row>
        <row r="27240">
          <cell r="A27240">
            <v>43544</v>
          </cell>
        </row>
        <row r="27241">
          <cell r="A27241">
            <v>43306</v>
          </cell>
        </row>
        <row r="27242">
          <cell r="A27242">
            <v>43810</v>
          </cell>
        </row>
        <row r="27243">
          <cell r="A27243">
            <v>43747</v>
          </cell>
        </row>
        <row r="27244">
          <cell r="A27244">
            <v>43238</v>
          </cell>
        </row>
        <row r="27245">
          <cell r="A27245">
            <v>43153</v>
          </cell>
        </row>
        <row r="27246">
          <cell r="A27246">
            <v>43463</v>
          </cell>
        </row>
        <row r="27247">
          <cell r="A27247">
            <v>43187</v>
          </cell>
        </row>
        <row r="27248">
          <cell r="A27248">
            <v>43640</v>
          </cell>
        </row>
        <row r="27249">
          <cell r="A27249">
            <v>43739</v>
          </cell>
        </row>
        <row r="27250">
          <cell r="A27250">
            <v>43865</v>
          </cell>
        </row>
        <row r="27251">
          <cell r="A27251">
            <v>43365</v>
          </cell>
        </row>
        <row r="27252">
          <cell r="A27252">
            <v>43725</v>
          </cell>
        </row>
        <row r="27253">
          <cell r="A27253">
            <v>43427</v>
          </cell>
        </row>
        <row r="27254">
          <cell r="A27254">
            <v>43696</v>
          </cell>
        </row>
        <row r="27255">
          <cell r="A27255">
            <v>43819</v>
          </cell>
        </row>
        <row r="27256">
          <cell r="A27256">
            <v>43776</v>
          </cell>
        </row>
        <row r="27257">
          <cell r="A27257">
            <v>43840</v>
          </cell>
        </row>
        <row r="27258">
          <cell r="A27258">
            <v>43625</v>
          </cell>
        </row>
        <row r="27259">
          <cell r="A27259">
            <v>43366</v>
          </cell>
        </row>
        <row r="27260">
          <cell r="A27260">
            <v>43592</v>
          </cell>
        </row>
        <row r="27261">
          <cell r="A27261">
            <v>43477</v>
          </cell>
        </row>
        <row r="27262">
          <cell r="A27262">
            <v>43256</v>
          </cell>
        </row>
        <row r="27263">
          <cell r="A27263">
            <v>43862</v>
          </cell>
        </row>
        <row r="27264">
          <cell r="A27264">
            <v>43756</v>
          </cell>
        </row>
        <row r="27265">
          <cell r="A27265">
            <v>43247</v>
          </cell>
        </row>
        <row r="27266">
          <cell r="A27266">
            <v>43634</v>
          </cell>
        </row>
        <row r="27267">
          <cell r="A27267">
            <v>43474</v>
          </cell>
        </row>
        <row r="27268">
          <cell r="A27268">
            <v>43903</v>
          </cell>
        </row>
        <row r="27269">
          <cell r="A27269">
            <v>43602</v>
          </cell>
        </row>
        <row r="27270">
          <cell r="A27270">
            <v>43422</v>
          </cell>
        </row>
        <row r="27271">
          <cell r="A27271">
            <v>43208</v>
          </cell>
        </row>
        <row r="27272">
          <cell r="A27272">
            <v>43504</v>
          </cell>
        </row>
        <row r="27273">
          <cell r="A27273">
            <v>43681</v>
          </cell>
        </row>
        <row r="27274">
          <cell r="A27274">
            <v>43915</v>
          </cell>
        </row>
        <row r="27275">
          <cell r="A27275">
            <v>43657</v>
          </cell>
        </row>
        <row r="27276">
          <cell r="A27276">
            <v>43698</v>
          </cell>
        </row>
        <row r="27277">
          <cell r="A27277">
            <v>43480</v>
          </cell>
        </row>
        <row r="27278">
          <cell r="A27278">
            <v>43547</v>
          </cell>
        </row>
        <row r="27279">
          <cell r="A27279">
            <v>43823</v>
          </cell>
        </row>
        <row r="27280">
          <cell r="A27280">
            <v>43678</v>
          </cell>
        </row>
        <row r="27281">
          <cell r="A27281">
            <v>43679</v>
          </cell>
        </row>
        <row r="27282">
          <cell r="A27282">
            <v>43283</v>
          </cell>
        </row>
        <row r="27283">
          <cell r="A27283">
            <v>43900</v>
          </cell>
        </row>
        <row r="27284">
          <cell r="A27284">
            <v>43158</v>
          </cell>
        </row>
        <row r="27285">
          <cell r="A27285">
            <v>43866</v>
          </cell>
        </row>
        <row r="27286">
          <cell r="A27286">
            <v>43663</v>
          </cell>
        </row>
        <row r="27287">
          <cell r="A27287">
            <v>43275</v>
          </cell>
        </row>
        <row r="27288">
          <cell r="A27288">
            <v>43311</v>
          </cell>
        </row>
        <row r="27289">
          <cell r="A27289">
            <v>43529</v>
          </cell>
        </row>
        <row r="27290">
          <cell r="A27290">
            <v>43594</v>
          </cell>
        </row>
        <row r="27291">
          <cell r="A27291">
            <v>43771</v>
          </cell>
        </row>
        <row r="27292">
          <cell r="A27292">
            <v>43381</v>
          </cell>
        </row>
        <row r="27293">
          <cell r="A27293">
            <v>43112</v>
          </cell>
        </row>
        <row r="27294">
          <cell r="A27294">
            <v>43831</v>
          </cell>
        </row>
        <row r="27295">
          <cell r="A27295">
            <v>43646</v>
          </cell>
        </row>
        <row r="27296">
          <cell r="A27296">
            <v>43493</v>
          </cell>
        </row>
        <row r="27297">
          <cell r="A27297">
            <v>43487</v>
          </cell>
        </row>
        <row r="27298">
          <cell r="A27298">
            <v>43718</v>
          </cell>
        </row>
        <row r="27299">
          <cell r="A27299">
            <v>43471</v>
          </cell>
        </row>
        <row r="27300">
          <cell r="A27300">
            <v>43688</v>
          </cell>
        </row>
        <row r="27301">
          <cell r="A27301">
            <v>43739</v>
          </cell>
        </row>
        <row r="27302">
          <cell r="A27302">
            <v>43482</v>
          </cell>
        </row>
        <row r="27303">
          <cell r="A27303">
            <v>43748</v>
          </cell>
        </row>
        <row r="27304">
          <cell r="A27304">
            <v>43591</v>
          </cell>
        </row>
        <row r="27305">
          <cell r="A27305">
            <v>43115</v>
          </cell>
        </row>
        <row r="27306">
          <cell r="A27306">
            <v>43691</v>
          </cell>
        </row>
        <row r="27307">
          <cell r="A27307">
            <v>43735</v>
          </cell>
        </row>
        <row r="27308">
          <cell r="A27308">
            <v>43103</v>
          </cell>
        </row>
        <row r="27309">
          <cell r="A27309">
            <v>43247</v>
          </cell>
        </row>
        <row r="27310">
          <cell r="A27310">
            <v>43727</v>
          </cell>
        </row>
        <row r="27311">
          <cell r="A27311">
            <v>43677</v>
          </cell>
        </row>
        <row r="27312">
          <cell r="A27312">
            <v>43673</v>
          </cell>
        </row>
        <row r="27313">
          <cell r="A27313">
            <v>43789</v>
          </cell>
        </row>
        <row r="27314">
          <cell r="A27314">
            <v>43218</v>
          </cell>
        </row>
        <row r="27315">
          <cell r="A27315">
            <v>43707</v>
          </cell>
        </row>
        <row r="27316">
          <cell r="A27316">
            <v>43397</v>
          </cell>
        </row>
        <row r="27317">
          <cell r="A27317">
            <v>43105</v>
          </cell>
        </row>
        <row r="27318">
          <cell r="A27318">
            <v>43227</v>
          </cell>
        </row>
        <row r="27319">
          <cell r="A27319">
            <v>43335</v>
          </cell>
        </row>
        <row r="27320">
          <cell r="A27320">
            <v>43793</v>
          </cell>
        </row>
        <row r="27321">
          <cell r="A27321">
            <v>43524</v>
          </cell>
        </row>
        <row r="27322">
          <cell r="A27322">
            <v>43408</v>
          </cell>
        </row>
        <row r="27323">
          <cell r="A27323">
            <v>43821</v>
          </cell>
        </row>
        <row r="27324">
          <cell r="A27324">
            <v>43129</v>
          </cell>
        </row>
        <row r="27325">
          <cell r="A27325">
            <v>43351</v>
          </cell>
        </row>
        <row r="27326">
          <cell r="A27326">
            <v>43591</v>
          </cell>
        </row>
        <row r="27327">
          <cell r="A27327">
            <v>43486</v>
          </cell>
        </row>
        <row r="27328">
          <cell r="A27328">
            <v>43860</v>
          </cell>
        </row>
        <row r="27329">
          <cell r="A27329">
            <v>43616</v>
          </cell>
        </row>
        <row r="27330">
          <cell r="A27330">
            <v>43213</v>
          </cell>
        </row>
        <row r="27331">
          <cell r="A27331">
            <v>43435</v>
          </cell>
        </row>
        <row r="27332">
          <cell r="A27332">
            <v>43278</v>
          </cell>
        </row>
        <row r="27333">
          <cell r="A27333">
            <v>43351</v>
          </cell>
        </row>
        <row r="27334">
          <cell r="A27334">
            <v>43133</v>
          </cell>
        </row>
        <row r="27335">
          <cell r="A27335">
            <v>43773</v>
          </cell>
        </row>
        <row r="27336">
          <cell r="A27336">
            <v>43278</v>
          </cell>
        </row>
        <row r="27337">
          <cell r="A27337">
            <v>43536</v>
          </cell>
        </row>
        <row r="27338">
          <cell r="A27338">
            <v>43778</v>
          </cell>
        </row>
        <row r="27339">
          <cell r="A27339">
            <v>43264</v>
          </cell>
        </row>
        <row r="27340">
          <cell r="A27340">
            <v>43597</v>
          </cell>
        </row>
        <row r="27341">
          <cell r="A27341">
            <v>43175</v>
          </cell>
        </row>
        <row r="27342">
          <cell r="A27342">
            <v>43866</v>
          </cell>
        </row>
        <row r="27343">
          <cell r="A27343">
            <v>43746</v>
          </cell>
        </row>
        <row r="27344">
          <cell r="A27344">
            <v>43707</v>
          </cell>
        </row>
        <row r="27345">
          <cell r="A27345">
            <v>43331</v>
          </cell>
        </row>
        <row r="27346">
          <cell r="A27346">
            <v>43861</v>
          </cell>
        </row>
        <row r="27347">
          <cell r="A27347">
            <v>43859</v>
          </cell>
        </row>
        <row r="27348">
          <cell r="A27348">
            <v>43233</v>
          </cell>
        </row>
        <row r="27349">
          <cell r="A27349">
            <v>43708</v>
          </cell>
        </row>
        <row r="27350">
          <cell r="A27350">
            <v>43660</v>
          </cell>
        </row>
        <row r="27351">
          <cell r="A27351">
            <v>43842</v>
          </cell>
        </row>
        <row r="27352">
          <cell r="A27352">
            <v>43329</v>
          </cell>
        </row>
        <row r="27353">
          <cell r="A27353">
            <v>43603</v>
          </cell>
        </row>
        <row r="27354">
          <cell r="A27354">
            <v>43846</v>
          </cell>
        </row>
        <row r="27355">
          <cell r="A27355">
            <v>43564</v>
          </cell>
        </row>
        <row r="27356">
          <cell r="A27356">
            <v>43101</v>
          </cell>
        </row>
        <row r="27357">
          <cell r="A27357">
            <v>43119</v>
          </cell>
        </row>
        <row r="27358">
          <cell r="A27358">
            <v>43167</v>
          </cell>
        </row>
        <row r="27359">
          <cell r="A27359">
            <v>43917</v>
          </cell>
        </row>
        <row r="27360">
          <cell r="A27360">
            <v>43317</v>
          </cell>
        </row>
        <row r="27361">
          <cell r="A27361">
            <v>43900</v>
          </cell>
        </row>
        <row r="27362">
          <cell r="A27362">
            <v>43160</v>
          </cell>
        </row>
        <row r="27363">
          <cell r="A27363">
            <v>43664</v>
          </cell>
        </row>
        <row r="27364">
          <cell r="A27364">
            <v>43798</v>
          </cell>
        </row>
        <row r="27365">
          <cell r="A27365">
            <v>43738</v>
          </cell>
        </row>
        <row r="27366">
          <cell r="A27366">
            <v>43649</v>
          </cell>
        </row>
        <row r="27367">
          <cell r="A27367">
            <v>43851</v>
          </cell>
        </row>
        <row r="27368">
          <cell r="A27368">
            <v>43351</v>
          </cell>
        </row>
        <row r="27369">
          <cell r="A27369">
            <v>43371</v>
          </cell>
        </row>
        <row r="27370">
          <cell r="A27370">
            <v>43323</v>
          </cell>
        </row>
        <row r="27371">
          <cell r="A27371">
            <v>43456</v>
          </cell>
        </row>
        <row r="27372">
          <cell r="A27372">
            <v>43871</v>
          </cell>
        </row>
        <row r="27373">
          <cell r="A27373">
            <v>43258</v>
          </cell>
        </row>
        <row r="27374">
          <cell r="A27374">
            <v>43497</v>
          </cell>
        </row>
        <row r="27375">
          <cell r="A27375">
            <v>43222</v>
          </cell>
        </row>
        <row r="27376">
          <cell r="A27376">
            <v>43125</v>
          </cell>
        </row>
        <row r="27377">
          <cell r="A27377">
            <v>43370</v>
          </cell>
        </row>
        <row r="27378">
          <cell r="A27378">
            <v>43176</v>
          </cell>
        </row>
        <row r="27379">
          <cell r="A27379">
            <v>43843</v>
          </cell>
        </row>
        <row r="27380">
          <cell r="A27380">
            <v>43757</v>
          </cell>
        </row>
        <row r="27381">
          <cell r="A27381">
            <v>43362</v>
          </cell>
        </row>
        <row r="27382">
          <cell r="A27382">
            <v>43723</v>
          </cell>
        </row>
        <row r="27383">
          <cell r="A27383">
            <v>43226</v>
          </cell>
        </row>
        <row r="27384">
          <cell r="A27384">
            <v>43237</v>
          </cell>
        </row>
        <row r="27385">
          <cell r="A27385">
            <v>43398</v>
          </cell>
        </row>
        <row r="27386">
          <cell r="A27386">
            <v>43529</v>
          </cell>
        </row>
        <row r="27387">
          <cell r="A27387">
            <v>43499</v>
          </cell>
        </row>
        <row r="27388">
          <cell r="A27388">
            <v>43332</v>
          </cell>
        </row>
        <row r="27389">
          <cell r="A27389">
            <v>43334</v>
          </cell>
        </row>
        <row r="27390">
          <cell r="A27390">
            <v>43861</v>
          </cell>
        </row>
        <row r="27391">
          <cell r="A27391">
            <v>43318</v>
          </cell>
        </row>
        <row r="27392">
          <cell r="A27392">
            <v>43758</v>
          </cell>
        </row>
        <row r="27393">
          <cell r="A27393">
            <v>43787</v>
          </cell>
        </row>
        <row r="27394">
          <cell r="A27394">
            <v>43664</v>
          </cell>
        </row>
        <row r="27395">
          <cell r="A27395">
            <v>43225</v>
          </cell>
        </row>
        <row r="27396">
          <cell r="A27396">
            <v>43207</v>
          </cell>
        </row>
        <row r="27397">
          <cell r="A27397">
            <v>43664</v>
          </cell>
        </row>
        <row r="27398">
          <cell r="A27398">
            <v>43101</v>
          </cell>
        </row>
        <row r="27399">
          <cell r="A27399">
            <v>43898</v>
          </cell>
        </row>
        <row r="27400">
          <cell r="A27400">
            <v>43300</v>
          </cell>
        </row>
        <row r="27401">
          <cell r="A27401">
            <v>43563</v>
          </cell>
        </row>
        <row r="27402">
          <cell r="A27402">
            <v>43123</v>
          </cell>
        </row>
        <row r="27403">
          <cell r="A27403">
            <v>43160</v>
          </cell>
        </row>
        <row r="27404">
          <cell r="A27404">
            <v>43331</v>
          </cell>
        </row>
        <row r="27405">
          <cell r="A27405">
            <v>43812</v>
          </cell>
        </row>
        <row r="27406">
          <cell r="A27406">
            <v>43782</v>
          </cell>
        </row>
        <row r="27407">
          <cell r="A27407">
            <v>43736</v>
          </cell>
        </row>
        <row r="27408">
          <cell r="A27408">
            <v>43288</v>
          </cell>
        </row>
        <row r="27409">
          <cell r="A27409">
            <v>43367</v>
          </cell>
        </row>
        <row r="27410">
          <cell r="A27410">
            <v>43261</v>
          </cell>
        </row>
        <row r="27411">
          <cell r="A27411">
            <v>43765</v>
          </cell>
        </row>
        <row r="27412">
          <cell r="A27412">
            <v>43688</v>
          </cell>
        </row>
        <row r="27413">
          <cell r="A27413">
            <v>43764</v>
          </cell>
        </row>
        <row r="27414">
          <cell r="A27414">
            <v>43561</v>
          </cell>
        </row>
        <row r="27415">
          <cell r="A27415">
            <v>43445</v>
          </cell>
        </row>
        <row r="27416">
          <cell r="A27416">
            <v>43384</v>
          </cell>
        </row>
        <row r="27417">
          <cell r="A27417">
            <v>43763</v>
          </cell>
        </row>
        <row r="27418">
          <cell r="A27418">
            <v>43915</v>
          </cell>
        </row>
        <row r="27419">
          <cell r="A27419">
            <v>43435</v>
          </cell>
        </row>
        <row r="27420">
          <cell r="A27420">
            <v>43144</v>
          </cell>
        </row>
        <row r="27421">
          <cell r="A27421">
            <v>43238</v>
          </cell>
        </row>
        <row r="27422">
          <cell r="A27422">
            <v>43565</v>
          </cell>
        </row>
        <row r="27423">
          <cell r="A27423">
            <v>43173</v>
          </cell>
        </row>
        <row r="27424">
          <cell r="A27424">
            <v>43257</v>
          </cell>
        </row>
        <row r="27425">
          <cell r="A27425">
            <v>43354</v>
          </cell>
        </row>
        <row r="27426">
          <cell r="A27426">
            <v>43250</v>
          </cell>
        </row>
        <row r="27427">
          <cell r="A27427">
            <v>43812</v>
          </cell>
        </row>
        <row r="27428">
          <cell r="A27428">
            <v>43760</v>
          </cell>
        </row>
        <row r="27429">
          <cell r="A27429">
            <v>43351</v>
          </cell>
        </row>
        <row r="27430">
          <cell r="A27430">
            <v>43493</v>
          </cell>
        </row>
        <row r="27431">
          <cell r="A27431">
            <v>43520</v>
          </cell>
        </row>
        <row r="27432">
          <cell r="A27432">
            <v>43793</v>
          </cell>
        </row>
        <row r="27433">
          <cell r="A27433">
            <v>43210</v>
          </cell>
        </row>
        <row r="27434">
          <cell r="A27434">
            <v>43432</v>
          </cell>
        </row>
        <row r="27435">
          <cell r="A27435">
            <v>43200</v>
          </cell>
        </row>
        <row r="27436">
          <cell r="A27436">
            <v>43152</v>
          </cell>
        </row>
        <row r="27437">
          <cell r="A27437">
            <v>43803</v>
          </cell>
        </row>
        <row r="27438">
          <cell r="A27438">
            <v>43806</v>
          </cell>
        </row>
        <row r="27439">
          <cell r="A27439">
            <v>43636</v>
          </cell>
        </row>
        <row r="27440">
          <cell r="A27440">
            <v>43118</v>
          </cell>
        </row>
        <row r="27441">
          <cell r="A27441">
            <v>43239</v>
          </cell>
        </row>
        <row r="27442">
          <cell r="A27442">
            <v>43123</v>
          </cell>
        </row>
        <row r="27443">
          <cell r="A27443">
            <v>43887</v>
          </cell>
        </row>
        <row r="27444">
          <cell r="A27444">
            <v>43239</v>
          </cell>
        </row>
        <row r="27445">
          <cell r="A27445">
            <v>43848</v>
          </cell>
        </row>
        <row r="27446">
          <cell r="A27446">
            <v>43391</v>
          </cell>
        </row>
        <row r="27447">
          <cell r="A27447">
            <v>43760</v>
          </cell>
        </row>
        <row r="27448">
          <cell r="A27448">
            <v>43222</v>
          </cell>
        </row>
        <row r="27449">
          <cell r="A27449">
            <v>43616</v>
          </cell>
        </row>
        <row r="27450">
          <cell r="A27450">
            <v>43640</v>
          </cell>
        </row>
        <row r="27451">
          <cell r="A27451">
            <v>43802</v>
          </cell>
        </row>
        <row r="27452">
          <cell r="A27452">
            <v>43109</v>
          </cell>
        </row>
        <row r="27453">
          <cell r="A27453">
            <v>43905</v>
          </cell>
        </row>
        <row r="27454">
          <cell r="A27454">
            <v>43727</v>
          </cell>
        </row>
        <row r="27455">
          <cell r="A27455">
            <v>43536</v>
          </cell>
        </row>
        <row r="27456">
          <cell r="A27456">
            <v>43575</v>
          </cell>
        </row>
        <row r="27457">
          <cell r="A27457">
            <v>43127</v>
          </cell>
        </row>
        <row r="27458">
          <cell r="A27458">
            <v>43785</v>
          </cell>
        </row>
        <row r="27459">
          <cell r="A27459">
            <v>43132</v>
          </cell>
        </row>
        <row r="27460">
          <cell r="A27460">
            <v>43860</v>
          </cell>
        </row>
        <row r="27461">
          <cell r="A27461">
            <v>43266</v>
          </cell>
        </row>
        <row r="27462">
          <cell r="A27462">
            <v>43479</v>
          </cell>
        </row>
        <row r="27463">
          <cell r="A27463">
            <v>43156</v>
          </cell>
        </row>
        <row r="27464">
          <cell r="A27464">
            <v>43183</v>
          </cell>
        </row>
        <row r="27465">
          <cell r="A27465">
            <v>43273</v>
          </cell>
        </row>
        <row r="27466">
          <cell r="A27466">
            <v>43149</v>
          </cell>
        </row>
        <row r="27467">
          <cell r="A27467">
            <v>43256</v>
          </cell>
        </row>
        <row r="27468">
          <cell r="A27468">
            <v>43378</v>
          </cell>
        </row>
        <row r="27469">
          <cell r="A27469">
            <v>43479</v>
          </cell>
        </row>
        <row r="27470">
          <cell r="A27470">
            <v>43259</v>
          </cell>
        </row>
        <row r="27471">
          <cell r="A27471">
            <v>43257</v>
          </cell>
        </row>
        <row r="27472">
          <cell r="A27472">
            <v>43744</v>
          </cell>
        </row>
        <row r="27473">
          <cell r="A27473">
            <v>43551</v>
          </cell>
        </row>
        <row r="27474">
          <cell r="A27474">
            <v>43438</v>
          </cell>
        </row>
        <row r="27475">
          <cell r="A27475">
            <v>43580</v>
          </cell>
        </row>
        <row r="27476">
          <cell r="A27476">
            <v>43740</v>
          </cell>
        </row>
        <row r="27477">
          <cell r="A27477">
            <v>43343</v>
          </cell>
        </row>
        <row r="27478">
          <cell r="A27478">
            <v>43792</v>
          </cell>
        </row>
        <row r="27479">
          <cell r="A27479">
            <v>43878</v>
          </cell>
        </row>
        <row r="27480">
          <cell r="A27480">
            <v>43292</v>
          </cell>
        </row>
        <row r="27481">
          <cell r="A27481">
            <v>43533</v>
          </cell>
        </row>
        <row r="27482">
          <cell r="A27482">
            <v>43599</v>
          </cell>
        </row>
        <row r="27483">
          <cell r="A27483">
            <v>43787</v>
          </cell>
        </row>
        <row r="27484">
          <cell r="A27484">
            <v>43384</v>
          </cell>
        </row>
        <row r="27485">
          <cell r="A27485">
            <v>43468</v>
          </cell>
        </row>
        <row r="27486">
          <cell r="A27486">
            <v>43118</v>
          </cell>
        </row>
        <row r="27487">
          <cell r="A27487">
            <v>43534</v>
          </cell>
        </row>
        <row r="27488">
          <cell r="A27488">
            <v>43874</v>
          </cell>
        </row>
        <row r="27489">
          <cell r="A27489">
            <v>43140</v>
          </cell>
        </row>
        <row r="27490">
          <cell r="A27490">
            <v>43583</v>
          </cell>
        </row>
        <row r="27491">
          <cell r="A27491">
            <v>43205</v>
          </cell>
        </row>
        <row r="27492">
          <cell r="A27492">
            <v>43201</v>
          </cell>
        </row>
        <row r="27493">
          <cell r="A27493">
            <v>43381</v>
          </cell>
        </row>
        <row r="27494">
          <cell r="A27494">
            <v>43901</v>
          </cell>
        </row>
        <row r="27495">
          <cell r="A27495">
            <v>43472</v>
          </cell>
        </row>
        <row r="27496">
          <cell r="A27496">
            <v>43418</v>
          </cell>
        </row>
        <row r="27497">
          <cell r="A27497">
            <v>43894</v>
          </cell>
        </row>
        <row r="27498">
          <cell r="A27498">
            <v>43247</v>
          </cell>
        </row>
        <row r="27499">
          <cell r="A27499">
            <v>43570</v>
          </cell>
        </row>
        <row r="27500">
          <cell r="A27500">
            <v>43256</v>
          </cell>
        </row>
        <row r="27501">
          <cell r="A27501">
            <v>43714</v>
          </cell>
        </row>
        <row r="27502">
          <cell r="A27502">
            <v>43799</v>
          </cell>
        </row>
        <row r="27503">
          <cell r="A27503">
            <v>43186</v>
          </cell>
        </row>
        <row r="27504">
          <cell r="A27504">
            <v>43587</v>
          </cell>
        </row>
        <row r="27505">
          <cell r="A27505">
            <v>43272</v>
          </cell>
        </row>
        <row r="27506">
          <cell r="A27506">
            <v>43618</v>
          </cell>
        </row>
        <row r="27507">
          <cell r="A27507">
            <v>43196</v>
          </cell>
        </row>
        <row r="27508">
          <cell r="A27508">
            <v>43685</v>
          </cell>
        </row>
        <row r="27509">
          <cell r="A27509">
            <v>43527</v>
          </cell>
        </row>
        <row r="27510">
          <cell r="A27510">
            <v>43184</v>
          </cell>
        </row>
        <row r="27511">
          <cell r="A27511">
            <v>43206</v>
          </cell>
        </row>
        <row r="27512">
          <cell r="A27512">
            <v>43607</v>
          </cell>
        </row>
        <row r="27513">
          <cell r="A27513">
            <v>43424</v>
          </cell>
        </row>
        <row r="27514">
          <cell r="A27514">
            <v>43263</v>
          </cell>
        </row>
        <row r="27515">
          <cell r="A27515">
            <v>43319</v>
          </cell>
        </row>
        <row r="27516">
          <cell r="A27516">
            <v>43535</v>
          </cell>
        </row>
        <row r="27517">
          <cell r="A27517">
            <v>43706</v>
          </cell>
        </row>
        <row r="27518">
          <cell r="A27518">
            <v>43465</v>
          </cell>
        </row>
        <row r="27519">
          <cell r="A27519">
            <v>43465</v>
          </cell>
        </row>
        <row r="27520">
          <cell r="A27520">
            <v>43739</v>
          </cell>
        </row>
        <row r="27521">
          <cell r="A27521">
            <v>43517</v>
          </cell>
        </row>
        <row r="27522">
          <cell r="A27522">
            <v>43837</v>
          </cell>
        </row>
        <row r="27523">
          <cell r="A27523">
            <v>43235</v>
          </cell>
        </row>
        <row r="27524">
          <cell r="A27524">
            <v>43167</v>
          </cell>
        </row>
        <row r="27525">
          <cell r="A27525">
            <v>43285</v>
          </cell>
        </row>
        <row r="27526">
          <cell r="A27526">
            <v>43787</v>
          </cell>
        </row>
        <row r="27527">
          <cell r="A27527">
            <v>43680</v>
          </cell>
        </row>
        <row r="27528">
          <cell r="A27528">
            <v>43252</v>
          </cell>
        </row>
        <row r="27529">
          <cell r="A27529">
            <v>43374</v>
          </cell>
        </row>
        <row r="27530">
          <cell r="A27530">
            <v>43796</v>
          </cell>
        </row>
        <row r="27531">
          <cell r="A27531">
            <v>43337</v>
          </cell>
        </row>
        <row r="27532">
          <cell r="A27532">
            <v>43285</v>
          </cell>
        </row>
        <row r="27533">
          <cell r="A27533">
            <v>43878</v>
          </cell>
        </row>
        <row r="27534">
          <cell r="A27534">
            <v>43511</v>
          </cell>
        </row>
        <row r="27535">
          <cell r="A27535">
            <v>43874</v>
          </cell>
        </row>
        <row r="27536">
          <cell r="A27536">
            <v>43365</v>
          </cell>
        </row>
        <row r="27537">
          <cell r="A27537">
            <v>43864</v>
          </cell>
        </row>
        <row r="27538">
          <cell r="A27538">
            <v>43765</v>
          </cell>
        </row>
        <row r="27539">
          <cell r="A27539">
            <v>43294</v>
          </cell>
        </row>
        <row r="27540">
          <cell r="A27540">
            <v>43820</v>
          </cell>
        </row>
        <row r="27541">
          <cell r="A27541">
            <v>43444</v>
          </cell>
        </row>
        <row r="27542">
          <cell r="A27542">
            <v>43593</v>
          </cell>
        </row>
        <row r="27543">
          <cell r="A27543">
            <v>43490</v>
          </cell>
        </row>
        <row r="27544">
          <cell r="A27544">
            <v>43854</v>
          </cell>
        </row>
        <row r="27545">
          <cell r="A27545">
            <v>43848</v>
          </cell>
        </row>
        <row r="27546">
          <cell r="A27546">
            <v>43151</v>
          </cell>
        </row>
        <row r="27547">
          <cell r="A27547">
            <v>43635</v>
          </cell>
        </row>
        <row r="27548">
          <cell r="A27548">
            <v>43837</v>
          </cell>
        </row>
        <row r="27549">
          <cell r="A27549">
            <v>43582</v>
          </cell>
        </row>
        <row r="27550">
          <cell r="A27550">
            <v>43155</v>
          </cell>
        </row>
        <row r="27551">
          <cell r="A27551">
            <v>43631</v>
          </cell>
        </row>
        <row r="27552">
          <cell r="A27552">
            <v>43195</v>
          </cell>
        </row>
        <row r="27553">
          <cell r="A27553">
            <v>43919</v>
          </cell>
        </row>
        <row r="27554">
          <cell r="A27554">
            <v>43459</v>
          </cell>
        </row>
        <row r="27555">
          <cell r="A27555">
            <v>43838</v>
          </cell>
        </row>
        <row r="27556">
          <cell r="A27556">
            <v>43376</v>
          </cell>
        </row>
        <row r="27557">
          <cell r="A27557">
            <v>43477</v>
          </cell>
        </row>
        <row r="27558">
          <cell r="A27558">
            <v>43706</v>
          </cell>
        </row>
        <row r="27559">
          <cell r="A27559">
            <v>43779</v>
          </cell>
        </row>
        <row r="27560">
          <cell r="A27560">
            <v>43649</v>
          </cell>
        </row>
        <row r="27561">
          <cell r="A27561">
            <v>43124</v>
          </cell>
        </row>
        <row r="27562">
          <cell r="A27562">
            <v>43350</v>
          </cell>
        </row>
        <row r="27563">
          <cell r="A27563">
            <v>43218</v>
          </cell>
        </row>
        <row r="27564">
          <cell r="A27564">
            <v>43122</v>
          </cell>
        </row>
        <row r="27565">
          <cell r="A27565">
            <v>43715</v>
          </cell>
        </row>
        <row r="27566">
          <cell r="A27566">
            <v>43364</v>
          </cell>
        </row>
        <row r="27567">
          <cell r="A27567">
            <v>43870</v>
          </cell>
        </row>
        <row r="27568">
          <cell r="A27568">
            <v>43906</v>
          </cell>
        </row>
        <row r="27569">
          <cell r="A27569">
            <v>43315</v>
          </cell>
        </row>
        <row r="27570">
          <cell r="A27570">
            <v>43485</v>
          </cell>
        </row>
        <row r="27571">
          <cell r="A27571">
            <v>43462</v>
          </cell>
        </row>
        <row r="27572">
          <cell r="A27572">
            <v>43125</v>
          </cell>
        </row>
        <row r="27573">
          <cell r="A27573">
            <v>43653</v>
          </cell>
        </row>
        <row r="27574">
          <cell r="A27574">
            <v>43537</v>
          </cell>
        </row>
        <row r="27575">
          <cell r="A27575">
            <v>43584</v>
          </cell>
        </row>
        <row r="27576">
          <cell r="A27576">
            <v>43579</v>
          </cell>
        </row>
        <row r="27577">
          <cell r="A27577">
            <v>43828</v>
          </cell>
        </row>
        <row r="27578">
          <cell r="A27578">
            <v>43866</v>
          </cell>
        </row>
        <row r="27579">
          <cell r="A27579">
            <v>43371</v>
          </cell>
        </row>
        <row r="27580">
          <cell r="A27580">
            <v>43418</v>
          </cell>
        </row>
        <row r="27581">
          <cell r="A27581">
            <v>43787</v>
          </cell>
        </row>
        <row r="27582">
          <cell r="A27582">
            <v>43581</v>
          </cell>
        </row>
        <row r="27583">
          <cell r="A27583">
            <v>43623</v>
          </cell>
        </row>
        <row r="27584">
          <cell r="A27584">
            <v>43234</v>
          </cell>
        </row>
        <row r="27585">
          <cell r="A27585">
            <v>43151</v>
          </cell>
        </row>
        <row r="27586">
          <cell r="A27586">
            <v>43181</v>
          </cell>
        </row>
        <row r="27587">
          <cell r="A27587">
            <v>43825</v>
          </cell>
        </row>
        <row r="27588">
          <cell r="A27588">
            <v>43204</v>
          </cell>
        </row>
        <row r="27589">
          <cell r="A27589">
            <v>43432</v>
          </cell>
        </row>
        <row r="27590">
          <cell r="A27590">
            <v>43889</v>
          </cell>
        </row>
        <row r="27591">
          <cell r="A27591">
            <v>43148</v>
          </cell>
        </row>
        <row r="27592">
          <cell r="A27592">
            <v>43114</v>
          </cell>
        </row>
        <row r="27593">
          <cell r="A27593">
            <v>43656</v>
          </cell>
        </row>
        <row r="27594">
          <cell r="A27594">
            <v>43303</v>
          </cell>
        </row>
        <row r="27595">
          <cell r="A27595">
            <v>43903</v>
          </cell>
        </row>
        <row r="27596">
          <cell r="A27596">
            <v>43274</v>
          </cell>
        </row>
        <row r="27597">
          <cell r="A27597">
            <v>43602</v>
          </cell>
        </row>
        <row r="27598">
          <cell r="A27598">
            <v>43416</v>
          </cell>
        </row>
        <row r="27599">
          <cell r="A27599">
            <v>43707</v>
          </cell>
        </row>
        <row r="27600">
          <cell r="A27600">
            <v>43353</v>
          </cell>
        </row>
        <row r="27601">
          <cell r="A27601">
            <v>43303</v>
          </cell>
        </row>
        <row r="27602">
          <cell r="A27602">
            <v>43522</v>
          </cell>
        </row>
        <row r="27603">
          <cell r="A27603">
            <v>43311</v>
          </cell>
        </row>
        <row r="27604">
          <cell r="A27604">
            <v>43549</v>
          </cell>
        </row>
        <row r="27605">
          <cell r="A27605">
            <v>43709</v>
          </cell>
        </row>
        <row r="27606">
          <cell r="A27606">
            <v>43583</v>
          </cell>
        </row>
        <row r="27607">
          <cell r="A27607">
            <v>43559</v>
          </cell>
        </row>
        <row r="27608">
          <cell r="A27608">
            <v>43653</v>
          </cell>
        </row>
        <row r="27609">
          <cell r="A27609">
            <v>43762</v>
          </cell>
        </row>
        <row r="27610">
          <cell r="A27610">
            <v>43708</v>
          </cell>
        </row>
        <row r="27611">
          <cell r="A27611">
            <v>43364</v>
          </cell>
        </row>
        <row r="27612">
          <cell r="A27612">
            <v>43559</v>
          </cell>
        </row>
        <row r="27613">
          <cell r="A27613">
            <v>43462</v>
          </cell>
        </row>
        <row r="27614">
          <cell r="A27614">
            <v>43144</v>
          </cell>
        </row>
        <row r="27615">
          <cell r="A27615">
            <v>43642</v>
          </cell>
        </row>
        <row r="27616">
          <cell r="A27616">
            <v>43169</v>
          </cell>
        </row>
        <row r="27617">
          <cell r="A27617">
            <v>43760</v>
          </cell>
        </row>
        <row r="27618">
          <cell r="A27618">
            <v>43462</v>
          </cell>
        </row>
        <row r="27619">
          <cell r="A27619">
            <v>43629</v>
          </cell>
        </row>
        <row r="27620">
          <cell r="A27620">
            <v>43606</v>
          </cell>
        </row>
        <row r="27621">
          <cell r="A27621">
            <v>43412</v>
          </cell>
        </row>
        <row r="27622">
          <cell r="A27622">
            <v>43660</v>
          </cell>
        </row>
        <row r="27623">
          <cell r="A27623">
            <v>43139</v>
          </cell>
        </row>
        <row r="27624">
          <cell r="A27624">
            <v>43878</v>
          </cell>
        </row>
        <row r="27625">
          <cell r="A27625">
            <v>43444</v>
          </cell>
        </row>
        <row r="27626">
          <cell r="A27626">
            <v>43627</v>
          </cell>
        </row>
        <row r="27627">
          <cell r="A27627">
            <v>43281</v>
          </cell>
        </row>
        <row r="27628">
          <cell r="A27628">
            <v>43844</v>
          </cell>
        </row>
        <row r="27629">
          <cell r="A27629">
            <v>43587</v>
          </cell>
        </row>
        <row r="27630">
          <cell r="A27630">
            <v>43726</v>
          </cell>
        </row>
        <row r="27631">
          <cell r="A27631">
            <v>43867</v>
          </cell>
        </row>
        <row r="27632">
          <cell r="A27632">
            <v>43439</v>
          </cell>
        </row>
        <row r="27633">
          <cell r="A27633">
            <v>43809</v>
          </cell>
        </row>
        <row r="27634">
          <cell r="A27634">
            <v>43362</v>
          </cell>
        </row>
        <row r="27635">
          <cell r="A27635">
            <v>43751</v>
          </cell>
        </row>
        <row r="27636">
          <cell r="A27636">
            <v>43563</v>
          </cell>
        </row>
        <row r="27637">
          <cell r="A27637">
            <v>43921</v>
          </cell>
        </row>
        <row r="27638">
          <cell r="A27638">
            <v>43868</v>
          </cell>
        </row>
        <row r="27639">
          <cell r="A27639">
            <v>43105</v>
          </cell>
        </row>
        <row r="27640">
          <cell r="A27640">
            <v>43794</v>
          </cell>
        </row>
        <row r="27641">
          <cell r="A27641">
            <v>43128</v>
          </cell>
        </row>
        <row r="27642">
          <cell r="A27642">
            <v>43863</v>
          </cell>
        </row>
        <row r="27643">
          <cell r="A27643">
            <v>43843</v>
          </cell>
        </row>
        <row r="27644">
          <cell r="A27644">
            <v>43117</v>
          </cell>
        </row>
        <row r="27645">
          <cell r="A27645">
            <v>43126</v>
          </cell>
        </row>
        <row r="27646">
          <cell r="A27646">
            <v>43291</v>
          </cell>
        </row>
        <row r="27647">
          <cell r="A27647">
            <v>43176</v>
          </cell>
        </row>
        <row r="27648">
          <cell r="A27648">
            <v>43211</v>
          </cell>
        </row>
        <row r="27649">
          <cell r="A27649">
            <v>43915</v>
          </cell>
        </row>
        <row r="27650">
          <cell r="A27650">
            <v>43362</v>
          </cell>
        </row>
        <row r="27651">
          <cell r="A27651">
            <v>43291</v>
          </cell>
        </row>
        <row r="27652">
          <cell r="A27652">
            <v>43437</v>
          </cell>
        </row>
        <row r="27653">
          <cell r="A27653">
            <v>43602</v>
          </cell>
        </row>
        <row r="27654">
          <cell r="A27654">
            <v>43530</v>
          </cell>
        </row>
        <row r="27655">
          <cell r="A27655">
            <v>43152</v>
          </cell>
        </row>
        <row r="27656">
          <cell r="A27656">
            <v>43479</v>
          </cell>
        </row>
        <row r="27657">
          <cell r="A27657">
            <v>43680</v>
          </cell>
        </row>
        <row r="27658">
          <cell r="A27658">
            <v>43165</v>
          </cell>
        </row>
        <row r="27659">
          <cell r="A27659">
            <v>43118</v>
          </cell>
        </row>
        <row r="27660">
          <cell r="A27660">
            <v>43835</v>
          </cell>
        </row>
        <row r="27661">
          <cell r="A27661">
            <v>43694</v>
          </cell>
        </row>
        <row r="27662">
          <cell r="A27662">
            <v>43295</v>
          </cell>
        </row>
        <row r="27663">
          <cell r="A27663">
            <v>43498</v>
          </cell>
        </row>
        <row r="27664">
          <cell r="A27664">
            <v>43212</v>
          </cell>
        </row>
        <row r="27665">
          <cell r="A27665">
            <v>43458</v>
          </cell>
        </row>
        <row r="27666">
          <cell r="A27666">
            <v>43477</v>
          </cell>
        </row>
        <row r="27667">
          <cell r="A27667">
            <v>43330</v>
          </cell>
        </row>
        <row r="27668">
          <cell r="A27668">
            <v>43156</v>
          </cell>
        </row>
        <row r="27669">
          <cell r="A27669">
            <v>43837</v>
          </cell>
        </row>
        <row r="27670">
          <cell r="A27670">
            <v>43707</v>
          </cell>
        </row>
        <row r="27671">
          <cell r="A27671">
            <v>43761</v>
          </cell>
        </row>
        <row r="27672">
          <cell r="A27672">
            <v>43115</v>
          </cell>
        </row>
        <row r="27673">
          <cell r="A27673">
            <v>43249</v>
          </cell>
        </row>
        <row r="27674">
          <cell r="A27674">
            <v>43612</v>
          </cell>
        </row>
        <row r="27675">
          <cell r="A27675">
            <v>43864</v>
          </cell>
        </row>
        <row r="27676">
          <cell r="A27676">
            <v>43838</v>
          </cell>
        </row>
        <row r="27677">
          <cell r="A27677">
            <v>43730</v>
          </cell>
        </row>
        <row r="27678">
          <cell r="A27678">
            <v>43695</v>
          </cell>
        </row>
        <row r="27679">
          <cell r="A27679">
            <v>43336</v>
          </cell>
        </row>
        <row r="27680">
          <cell r="A27680">
            <v>43900</v>
          </cell>
        </row>
        <row r="27681">
          <cell r="A27681">
            <v>43194</v>
          </cell>
        </row>
        <row r="27682">
          <cell r="A27682">
            <v>43407</v>
          </cell>
        </row>
        <row r="27683">
          <cell r="A27683">
            <v>43234</v>
          </cell>
        </row>
        <row r="27684">
          <cell r="A27684">
            <v>43707</v>
          </cell>
        </row>
        <row r="27685">
          <cell r="A27685">
            <v>43331</v>
          </cell>
        </row>
        <row r="27686">
          <cell r="A27686">
            <v>43529</v>
          </cell>
        </row>
        <row r="27687">
          <cell r="A27687">
            <v>43195</v>
          </cell>
        </row>
        <row r="27688">
          <cell r="A27688">
            <v>43637</v>
          </cell>
        </row>
        <row r="27689">
          <cell r="A27689">
            <v>43815</v>
          </cell>
        </row>
        <row r="27690">
          <cell r="A27690">
            <v>43647</v>
          </cell>
        </row>
        <row r="27691">
          <cell r="A27691">
            <v>43362</v>
          </cell>
        </row>
        <row r="27692">
          <cell r="A27692">
            <v>43386</v>
          </cell>
        </row>
        <row r="27693">
          <cell r="A27693">
            <v>43136</v>
          </cell>
        </row>
        <row r="27694">
          <cell r="A27694">
            <v>43485</v>
          </cell>
        </row>
        <row r="27695">
          <cell r="A27695">
            <v>43817</v>
          </cell>
        </row>
        <row r="27696">
          <cell r="A27696">
            <v>43658</v>
          </cell>
        </row>
        <row r="27697">
          <cell r="A27697">
            <v>43868</v>
          </cell>
        </row>
        <row r="27698">
          <cell r="A27698">
            <v>43421</v>
          </cell>
        </row>
        <row r="27699">
          <cell r="A27699">
            <v>43142</v>
          </cell>
        </row>
        <row r="27700">
          <cell r="A27700">
            <v>43481</v>
          </cell>
        </row>
        <row r="27701">
          <cell r="A27701">
            <v>43789</v>
          </cell>
        </row>
        <row r="27702">
          <cell r="A27702">
            <v>43623</v>
          </cell>
        </row>
        <row r="27703">
          <cell r="A27703">
            <v>43319</v>
          </cell>
        </row>
        <row r="27704">
          <cell r="A27704">
            <v>43608</v>
          </cell>
        </row>
        <row r="27705">
          <cell r="A27705">
            <v>43140</v>
          </cell>
        </row>
        <row r="27706">
          <cell r="A27706">
            <v>43350</v>
          </cell>
        </row>
        <row r="27707">
          <cell r="A27707">
            <v>43320</v>
          </cell>
        </row>
        <row r="27708">
          <cell r="A27708">
            <v>43338</v>
          </cell>
        </row>
        <row r="27709">
          <cell r="A27709">
            <v>43443</v>
          </cell>
        </row>
        <row r="27710">
          <cell r="A27710">
            <v>43122</v>
          </cell>
        </row>
        <row r="27711">
          <cell r="A27711">
            <v>43820</v>
          </cell>
        </row>
        <row r="27712">
          <cell r="A27712">
            <v>43774</v>
          </cell>
        </row>
        <row r="27713">
          <cell r="A27713">
            <v>43525</v>
          </cell>
        </row>
        <row r="27714">
          <cell r="A27714">
            <v>43213</v>
          </cell>
        </row>
        <row r="27715">
          <cell r="A27715">
            <v>43616</v>
          </cell>
        </row>
        <row r="27716">
          <cell r="A27716">
            <v>43178</v>
          </cell>
        </row>
        <row r="27717">
          <cell r="A27717">
            <v>43333</v>
          </cell>
        </row>
        <row r="27718">
          <cell r="A27718">
            <v>43869</v>
          </cell>
        </row>
        <row r="27719">
          <cell r="A27719">
            <v>43189</v>
          </cell>
        </row>
        <row r="27720">
          <cell r="A27720">
            <v>43742</v>
          </cell>
        </row>
        <row r="27721">
          <cell r="A27721">
            <v>43396</v>
          </cell>
        </row>
        <row r="27722">
          <cell r="A27722">
            <v>43380</v>
          </cell>
        </row>
        <row r="27723">
          <cell r="A27723">
            <v>43272</v>
          </cell>
        </row>
        <row r="27724">
          <cell r="A27724">
            <v>43779</v>
          </cell>
        </row>
        <row r="27725">
          <cell r="A27725">
            <v>43744</v>
          </cell>
        </row>
        <row r="27726">
          <cell r="A27726">
            <v>43816</v>
          </cell>
        </row>
        <row r="27727">
          <cell r="A27727">
            <v>43477</v>
          </cell>
        </row>
        <row r="27728">
          <cell r="A27728">
            <v>43577</v>
          </cell>
        </row>
        <row r="27729">
          <cell r="A27729">
            <v>43506</v>
          </cell>
        </row>
        <row r="27730">
          <cell r="A27730">
            <v>43729</v>
          </cell>
        </row>
        <row r="27731">
          <cell r="A27731">
            <v>43213</v>
          </cell>
        </row>
        <row r="27732">
          <cell r="A27732">
            <v>43408</v>
          </cell>
        </row>
        <row r="27733">
          <cell r="A27733">
            <v>43525</v>
          </cell>
        </row>
        <row r="27734">
          <cell r="A27734">
            <v>43705</v>
          </cell>
        </row>
        <row r="27735">
          <cell r="A27735">
            <v>43120</v>
          </cell>
        </row>
        <row r="27736">
          <cell r="A27736">
            <v>43528</v>
          </cell>
        </row>
        <row r="27737">
          <cell r="A27737">
            <v>43785</v>
          </cell>
        </row>
        <row r="27738">
          <cell r="A27738">
            <v>43413</v>
          </cell>
        </row>
        <row r="27739">
          <cell r="A27739">
            <v>43212</v>
          </cell>
        </row>
        <row r="27740">
          <cell r="A27740">
            <v>43272</v>
          </cell>
        </row>
        <row r="27741">
          <cell r="A27741">
            <v>43253</v>
          </cell>
        </row>
        <row r="27742">
          <cell r="A27742">
            <v>43872</v>
          </cell>
        </row>
        <row r="27743">
          <cell r="A27743">
            <v>43560</v>
          </cell>
        </row>
        <row r="27744">
          <cell r="A27744">
            <v>43373</v>
          </cell>
        </row>
        <row r="27745">
          <cell r="A27745">
            <v>43363</v>
          </cell>
        </row>
        <row r="27746">
          <cell r="A27746">
            <v>43443</v>
          </cell>
        </row>
        <row r="27747">
          <cell r="A27747">
            <v>43141</v>
          </cell>
        </row>
        <row r="27748">
          <cell r="A27748">
            <v>43505</v>
          </cell>
        </row>
        <row r="27749">
          <cell r="A27749">
            <v>43387</v>
          </cell>
        </row>
        <row r="27750">
          <cell r="A27750">
            <v>43905</v>
          </cell>
        </row>
        <row r="27751">
          <cell r="A27751">
            <v>43457</v>
          </cell>
        </row>
        <row r="27752">
          <cell r="A27752">
            <v>43293</v>
          </cell>
        </row>
        <row r="27753">
          <cell r="A27753">
            <v>43710</v>
          </cell>
        </row>
        <row r="27754">
          <cell r="A27754">
            <v>43601</v>
          </cell>
        </row>
        <row r="27755">
          <cell r="A27755">
            <v>43330</v>
          </cell>
        </row>
        <row r="27756">
          <cell r="A27756">
            <v>43785</v>
          </cell>
        </row>
        <row r="27757">
          <cell r="A27757">
            <v>43104</v>
          </cell>
        </row>
        <row r="27758">
          <cell r="A27758">
            <v>43630</v>
          </cell>
        </row>
        <row r="27759">
          <cell r="A27759">
            <v>43124</v>
          </cell>
        </row>
        <row r="27760">
          <cell r="A27760">
            <v>43150</v>
          </cell>
        </row>
        <row r="27761">
          <cell r="A27761">
            <v>43866</v>
          </cell>
        </row>
        <row r="27762">
          <cell r="A27762">
            <v>43121</v>
          </cell>
        </row>
        <row r="27763">
          <cell r="A27763">
            <v>43553</v>
          </cell>
        </row>
        <row r="27764">
          <cell r="A27764">
            <v>43243</v>
          </cell>
        </row>
        <row r="27765">
          <cell r="A27765">
            <v>43906</v>
          </cell>
        </row>
        <row r="27766">
          <cell r="A27766">
            <v>43634</v>
          </cell>
        </row>
        <row r="27767">
          <cell r="A27767">
            <v>43879</v>
          </cell>
        </row>
        <row r="27768">
          <cell r="A27768">
            <v>43874</v>
          </cell>
        </row>
        <row r="27769">
          <cell r="A27769">
            <v>43649</v>
          </cell>
        </row>
        <row r="27770">
          <cell r="A27770">
            <v>43278</v>
          </cell>
        </row>
        <row r="27771">
          <cell r="A27771">
            <v>43828</v>
          </cell>
        </row>
        <row r="27772">
          <cell r="A27772">
            <v>43454</v>
          </cell>
        </row>
        <row r="27773">
          <cell r="A27773">
            <v>43748</v>
          </cell>
        </row>
        <row r="27774">
          <cell r="A27774">
            <v>43493</v>
          </cell>
        </row>
        <row r="27775">
          <cell r="A27775">
            <v>43260</v>
          </cell>
        </row>
        <row r="27776">
          <cell r="A27776">
            <v>43499</v>
          </cell>
        </row>
        <row r="27777">
          <cell r="A27777">
            <v>43183</v>
          </cell>
        </row>
        <row r="27778">
          <cell r="A27778">
            <v>43828</v>
          </cell>
        </row>
        <row r="27779">
          <cell r="A27779">
            <v>43868</v>
          </cell>
        </row>
        <row r="27780">
          <cell r="A27780">
            <v>43794</v>
          </cell>
        </row>
        <row r="27781">
          <cell r="A27781">
            <v>43378</v>
          </cell>
        </row>
        <row r="27782">
          <cell r="A27782">
            <v>43743</v>
          </cell>
        </row>
        <row r="27783">
          <cell r="A27783">
            <v>43766</v>
          </cell>
        </row>
        <row r="27784">
          <cell r="A27784">
            <v>43320</v>
          </cell>
        </row>
        <row r="27785">
          <cell r="A27785">
            <v>43385</v>
          </cell>
        </row>
        <row r="27786">
          <cell r="A27786">
            <v>43735</v>
          </cell>
        </row>
        <row r="27787">
          <cell r="A27787">
            <v>43685</v>
          </cell>
        </row>
        <row r="27788">
          <cell r="A27788">
            <v>43304</v>
          </cell>
        </row>
        <row r="27789">
          <cell r="A27789">
            <v>43128</v>
          </cell>
        </row>
        <row r="27790">
          <cell r="A27790">
            <v>43525</v>
          </cell>
        </row>
        <row r="27791">
          <cell r="A27791">
            <v>43216</v>
          </cell>
        </row>
        <row r="27792">
          <cell r="A27792">
            <v>43356</v>
          </cell>
        </row>
        <row r="27793">
          <cell r="A27793">
            <v>43717</v>
          </cell>
        </row>
        <row r="27794">
          <cell r="A27794">
            <v>43822</v>
          </cell>
        </row>
        <row r="27795">
          <cell r="A27795">
            <v>43819</v>
          </cell>
        </row>
        <row r="27796">
          <cell r="A27796">
            <v>43563</v>
          </cell>
        </row>
        <row r="27797">
          <cell r="A27797">
            <v>43380</v>
          </cell>
        </row>
        <row r="27798">
          <cell r="A27798">
            <v>43291</v>
          </cell>
        </row>
        <row r="27799">
          <cell r="A27799">
            <v>43152</v>
          </cell>
        </row>
        <row r="27800">
          <cell r="A27800">
            <v>43551</v>
          </cell>
        </row>
        <row r="27801">
          <cell r="A27801">
            <v>43919</v>
          </cell>
        </row>
        <row r="27802">
          <cell r="A27802">
            <v>43594</v>
          </cell>
        </row>
        <row r="27803">
          <cell r="A27803">
            <v>43250</v>
          </cell>
        </row>
        <row r="27804">
          <cell r="A27804">
            <v>43132</v>
          </cell>
        </row>
        <row r="27805">
          <cell r="A27805">
            <v>43266</v>
          </cell>
        </row>
        <row r="27806">
          <cell r="A27806">
            <v>43790</v>
          </cell>
        </row>
        <row r="27807">
          <cell r="A27807">
            <v>43408</v>
          </cell>
        </row>
        <row r="27808">
          <cell r="A27808">
            <v>43654</v>
          </cell>
        </row>
        <row r="27809">
          <cell r="A27809">
            <v>43804</v>
          </cell>
        </row>
        <row r="27810">
          <cell r="A27810">
            <v>43914</v>
          </cell>
        </row>
        <row r="27811">
          <cell r="A27811">
            <v>43836</v>
          </cell>
        </row>
        <row r="27812">
          <cell r="A27812">
            <v>43537</v>
          </cell>
        </row>
        <row r="27813">
          <cell r="A27813">
            <v>43723</v>
          </cell>
        </row>
        <row r="27814">
          <cell r="A27814">
            <v>43885</v>
          </cell>
        </row>
        <row r="27815">
          <cell r="A27815">
            <v>43408</v>
          </cell>
        </row>
        <row r="27816">
          <cell r="A27816">
            <v>43347</v>
          </cell>
        </row>
        <row r="27817">
          <cell r="A27817">
            <v>43234</v>
          </cell>
        </row>
        <row r="27818">
          <cell r="A27818">
            <v>43874</v>
          </cell>
        </row>
        <row r="27819">
          <cell r="A27819">
            <v>43106</v>
          </cell>
        </row>
        <row r="27820">
          <cell r="A27820">
            <v>43207</v>
          </cell>
        </row>
        <row r="27821">
          <cell r="A27821">
            <v>43162</v>
          </cell>
        </row>
        <row r="27822">
          <cell r="A27822">
            <v>43213</v>
          </cell>
        </row>
        <row r="27823">
          <cell r="A27823">
            <v>43235</v>
          </cell>
        </row>
        <row r="27824">
          <cell r="A27824">
            <v>43616</v>
          </cell>
        </row>
        <row r="27825">
          <cell r="A27825">
            <v>43865</v>
          </cell>
        </row>
        <row r="27826">
          <cell r="A27826">
            <v>43337</v>
          </cell>
        </row>
        <row r="27827">
          <cell r="A27827">
            <v>43644</v>
          </cell>
        </row>
        <row r="27828">
          <cell r="A27828">
            <v>43558</v>
          </cell>
        </row>
        <row r="27829">
          <cell r="A27829">
            <v>43172</v>
          </cell>
        </row>
        <row r="27830">
          <cell r="A27830">
            <v>43875</v>
          </cell>
        </row>
        <row r="27831">
          <cell r="A27831">
            <v>43652</v>
          </cell>
        </row>
        <row r="27832">
          <cell r="A27832">
            <v>43423</v>
          </cell>
        </row>
        <row r="27833">
          <cell r="A27833">
            <v>43500</v>
          </cell>
        </row>
        <row r="27834">
          <cell r="A27834">
            <v>43794</v>
          </cell>
        </row>
        <row r="27835">
          <cell r="A27835">
            <v>43660</v>
          </cell>
        </row>
        <row r="27836">
          <cell r="A27836">
            <v>43827</v>
          </cell>
        </row>
        <row r="27837">
          <cell r="A27837">
            <v>43775</v>
          </cell>
        </row>
        <row r="27838">
          <cell r="A27838">
            <v>43574</v>
          </cell>
        </row>
        <row r="27839">
          <cell r="A27839">
            <v>43463</v>
          </cell>
        </row>
        <row r="27840">
          <cell r="A27840">
            <v>43230</v>
          </cell>
        </row>
        <row r="27841">
          <cell r="A27841">
            <v>43618</v>
          </cell>
        </row>
        <row r="27842">
          <cell r="A27842">
            <v>43445</v>
          </cell>
        </row>
        <row r="27843">
          <cell r="A27843">
            <v>43803</v>
          </cell>
        </row>
        <row r="27844">
          <cell r="A27844">
            <v>43913</v>
          </cell>
        </row>
        <row r="27845">
          <cell r="A27845">
            <v>43905</v>
          </cell>
        </row>
        <row r="27846">
          <cell r="A27846">
            <v>43317</v>
          </cell>
        </row>
        <row r="27847">
          <cell r="A27847">
            <v>43514</v>
          </cell>
        </row>
        <row r="27848">
          <cell r="A27848">
            <v>43864</v>
          </cell>
        </row>
        <row r="27849">
          <cell r="A27849">
            <v>43206</v>
          </cell>
        </row>
        <row r="27850">
          <cell r="A27850">
            <v>43282</v>
          </cell>
        </row>
        <row r="27851">
          <cell r="A27851">
            <v>43527</v>
          </cell>
        </row>
        <row r="27852">
          <cell r="A27852">
            <v>43873</v>
          </cell>
        </row>
        <row r="27853">
          <cell r="A27853">
            <v>43907</v>
          </cell>
        </row>
        <row r="27854">
          <cell r="A27854">
            <v>43325</v>
          </cell>
        </row>
        <row r="27855">
          <cell r="A27855">
            <v>43911</v>
          </cell>
        </row>
        <row r="27856">
          <cell r="A27856">
            <v>43448</v>
          </cell>
        </row>
        <row r="27857">
          <cell r="A27857">
            <v>43456</v>
          </cell>
        </row>
        <row r="27858">
          <cell r="A27858">
            <v>43268</v>
          </cell>
        </row>
        <row r="27859">
          <cell r="A27859">
            <v>43542</v>
          </cell>
        </row>
        <row r="27860">
          <cell r="A27860">
            <v>43452</v>
          </cell>
        </row>
        <row r="27861">
          <cell r="A27861">
            <v>43899</v>
          </cell>
        </row>
        <row r="27862">
          <cell r="A27862">
            <v>43136</v>
          </cell>
        </row>
        <row r="27863">
          <cell r="A27863">
            <v>43177</v>
          </cell>
        </row>
        <row r="27864">
          <cell r="A27864">
            <v>43605</v>
          </cell>
        </row>
        <row r="27865">
          <cell r="A27865">
            <v>43147</v>
          </cell>
        </row>
        <row r="27866">
          <cell r="A27866">
            <v>43818</v>
          </cell>
        </row>
        <row r="27867">
          <cell r="A27867">
            <v>43276</v>
          </cell>
        </row>
        <row r="27868">
          <cell r="A27868">
            <v>43684</v>
          </cell>
        </row>
        <row r="27869">
          <cell r="A27869">
            <v>43625</v>
          </cell>
        </row>
        <row r="27870">
          <cell r="A27870">
            <v>43175</v>
          </cell>
        </row>
        <row r="27871">
          <cell r="A27871">
            <v>43231</v>
          </cell>
        </row>
        <row r="27872">
          <cell r="A27872">
            <v>43117</v>
          </cell>
        </row>
        <row r="27873">
          <cell r="A27873">
            <v>43400</v>
          </cell>
        </row>
        <row r="27874">
          <cell r="A27874">
            <v>43755</v>
          </cell>
        </row>
        <row r="27875">
          <cell r="A27875">
            <v>43865</v>
          </cell>
        </row>
        <row r="27876">
          <cell r="A27876">
            <v>43136</v>
          </cell>
        </row>
        <row r="27877">
          <cell r="A27877">
            <v>43896</v>
          </cell>
        </row>
        <row r="27878">
          <cell r="A27878">
            <v>43802</v>
          </cell>
        </row>
        <row r="27879">
          <cell r="A27879">
            <v>43866</v>
          </cell>
        </row>
        <row r="27880">
          <cell r="A27880">
            <v>43398</v>
          </cell>
        </row>
        <row r="27881">
          <cell r="A27881">
            <v>43345</v>
          </cell>
        </row>
        <row r="27882">
          <cell r="A27882">
            <v>43644</v>
          </cell>
        </row>
        <row r="27883">
          <cell r="A27883">
            <v>43715</v>
          </cell>
        </row>
        <row r="27884">
          <cell r="A27884">
            <v>43572</v>
          </cell>
        </row>
        <row r="27885">
          <cell r="A27885">
            <v>43768</v>
          </cell>
        </row>
        <row r="27886">
          <cell r="A27886">
            <v>43322</v>
          </cell>
        </row>
        <row r="27887">
          <cell r="A27887">
            <v>43751</v>
          </cell>
        </row>
        <row r="27888">
          <cell r="A27888">
            <v>43355</v>
          </cell>
        </row>
        <row r="27889">
          <cell r="A27889">
            <v>43346</v>
          </cell>
        </row>
        <row r="27890">
          <cell r="A27890">
            <v>43437</v>
          </cell>
        </row>
        <row r="27891">
          <cell r="A27891">
            <v>43556</v>
          </cell>
        </row>
        <row r="27892">
          <cell r="A27892">
            <v>43568</v>
          </cell>
        </row>
        <row r="27893">
          <cell r="A27893">
            <v>43657</v>
          </cell>
        </row>
        <row r="27894">
          <cell r="A27894">
            <v>43740</v>
          </cell>
        </row>
        <row r="27895">
          <cell r="A27895">
            <v>43912</v>
          </cell>
        </row>
        <row r="27896">
          <cell r="A27896">
            <v>43690</v>
          </cell>
        </row>
        <row r="27897">
          <cell r="A27897">
            <v>43420</v>
          </cell>
        </row>
        <row r="27898">
          <cell r="A27898">
            <v>43707</v>
          </cell>
        </row>
        <row r="27899">
          <cell r="A27899">
            <v>43202</v>
          </cell>
        </row>
        <row r="27900">
          <cell r="A27900">
            <v>43369</v>
          </cell>
        </row>
        <row r="27901">
          <cell r="A27901">
            <v>43739</v>
          </cell>
        </row>
        <row r="27902">
          <cell r="A27902">
            <v>43636</v>
          </cell>
        </row>
        <row r="27903">
          <cell r="A27903">
            <v>43102</v>
          </cell>
        </row>
        <row r="27904">
          <cell r="A27904">
            <v>43633</v>
          </cell>
        </row>
        <row r="27905">
          <cell r="A27905">
            <v>43576</v>
          </cell>
        </row>
        <row r="27906">
          <cell r="A27906">
            <v>43241</v>
          </cell>
        </row>
        <row r="27907">
          <cell r="A27907">
            <v>43454</v>
          </cell>
        </row>
        <row r="27908">
          <cell r="A27908">
            <v>43824</v>
          </cell>
        </row>
        <row r="27909">
          <cell r="A27909">
            <v>43136</v>
          </cell>
        </row>
        <row r="27910">
          <cell r="A27910">
            <v>43229</v>
          </cell>
        </row>
        <row r="27911">
          <cell r="A27911">
            <v>43102</v>
          </cell>
        </row>
        <row r="27912">
          <cell r="A27912">
            <v>43350</v>
          </cell>
        </row>
        <row r="27913">
          <cell r="A27913">
            <v>43587</v>
          </cell>
        </row>
        <row r="27914">
          <cell r="A27914">
            <v>43486</v>
          </cell>
        </row>
        <row r="27915">
          <cell r="A27915">
            <v>43349</v>
          </cell>
        </row>
        <row r="27916">
          <cell r="A27916">
            <v>43193</v>
          </cell>
        </row>
        <row r="27917">
          <cell r="A27917">
            <v>43627</v>
          </cell>
        </row>
        <row r="27918">
          <cell r="A27918">
            <v>43672</v>
          </cell>
        </row>
        <row r="27919">
          <cell r="A27919">
            <v>43292</v>
          </cell>
        </row>
        <row r="27920">
          <cell r="A27920">
            <v>43486</v>
          </cell>
        </row>
        <row r="27921">
          <cell r="A27921">
            <v>43470</v>
          </cell>
        </row>
        <row r="27922">
          <cell r="A27922">
            <v>43573</v>
          </cell>
        </row>
        <row r="27923">
          <cell r="A27923">
            <v>43187</v>
          </cell>
        </row>
        <row r="27924">
          <cell r="A27924">
            <v>43133</v>
          </cell>
        </row>
        <row r="27925">
          <cell r="A27925">
            <v>43563</v>
          </cell>
        </row>
        <row r="27926">
          <cell r="A27926">
            <v>43813</v>
          </cell>
        </row>
        <row r="27927">
          <cell r="A27927">
            <v>43251</v>
          </cell>
        </row>
        <row r="27928">
          <cell r="A27928">
            <v>43798</v>
          </cell>
        </row>
        <row r="27929">
          <cell r="A27929">
            <v>43144</v>
          </cell>
        </row>
        <row r="27930">
          <cell r="A27930">
            <v>43589</v>
          </cell>
        </row>
        <row r="27931">
          <cell r="A27931">
            <v>43107</v>
          </cell>
        </row>
        <row r="27932">
          <cell r="A27932">
            <v>43184</v>
          </cell>
        </row>
        <row r="27933">
          <cell r="A27933">
            <v>43126</v>
          </cell>
        </row>
        <row r="27934">
          <cell r="A27934">
            <v>43549</v>
          </cell>
        </row>
        <row r="27935">
          <cell r="A27935">
            <v>43639</v>
          </cell>
        </row>
        <row r="27936">
          <cell r="A27936">
            <v>43353</v>
          </cell>
        </row>
        <row r="27937">
          <cell r="A27937">
            <v>43293</v>
          </cell>
        </row>
        <row r="27938">
          <cell r="A27938">
            <v>43746</v>
          </cell>
        </row>
        <row r="27939">
          <cell r="A27939">
            <v>43242</v>
          </cell>
        </row>
        <row r="27940">
          <cell r="A27940">
            <v>43828</v>
          </cell>
        </row>
        <row r="27941">
          <cell r="A27941">
            <v>43918</v>
          </cell>
        </row>
        <row r="27942">
          <cell r="A27942">
            <v>43354</v>
          </cell>
        </row>
        <row r="27943">
          <cell r="A27943">
            <v>43524</v>
          </cell>
        </row>
        <row r="27944">
          <cell r="A27944">
            <v>43437</v>
          </cell>
        </row>
        <row r="27945">
          <cell r="A27945">
            <v>43772</v>
          </cell>
        </row>
        <row r="27946">
          <cell r="A27946">
            <v>43377</v>
          </cell>
        </row>
        <row r="27947">
          <cell r="A27947">
            <v>43702</v>
          </cell>
        </row>
        <row r="27948">
          <cell r="A27948">
            <v>43399</v>
          </cell>
        </row>
        <row r="27949">
          <cell r="A27949">
            <v>43479</v>
          </cell>
        </row>
        <row r="27950">
          <cell r="A27950">
            <v>43904</v>
          </cell>
        </row>
        <row r="27951">
          <cell r="A27951">
            <v>43113</v>
          </cell>
        </row>
        <row r="27952">
          <cell r="A27952">
            <v>43535</v>
          </cell>
        </row>
        <row r="27953">
          <cell r="A27953">
            <v>43380</v>
          </cell>
        </row>
        <row r="27954">
          <cell r="A27954">
            <v>43287</v>
          </cell>
        </row>
        <row r="27955">
          <cell r="A27955">
            <v>43385</v>
          </cell>
        </row>
        <row r="27956">
          <cell r="A27956">
            <v>43129</v>
          </cell>
        </row>
        <row r="27957">
          <cell r="A27957">
            <v>43709</v>
          </cell>
        </row>
        <row r="27958">
          <cell r="A27958">
            <v>43408</v>
          </cell>
        </row>
        <row r="27959">
          <cell r="A27959">
            <v>43286</v>
          </cell>
        </row>
        <row r="27960">
          <cell r="A27960">
            <v>43740</v>
          </cell>
        </row>
        <row r="27961">
          <cell r="A27961">
            <v>43887</v>
          </cell>
        </row>
        <row r="27962">
          <cell r="A27962">
            <v>43174</v>
          </cell>
        </row>
        <row r="27963">
          <cell r="A27963">
            <v>43579</v>
          </cell>
        </row>
        <row r="27964">
          <cell r="A27964">
            <v>43301</v>
          </cell>
        </row>
        <row r="27965">
          <cell r="A27965">
            <v>43414</v>
          </cell>
        </row>
        <row r="27966">
          <cell r="A27966">
            <v>43900</v>
          </cell>
        </row>
        <row r="27967">
          <cell r="A27967">
            <v>43570</v>
          </cell>
        </row>
        <row r="27968">
          <cell r="A27968">
            <v>43231</v>
          </cell>
        </row>
        <row r="27969">
          <cell r="A27969">
            <v>43182</v>
          </cell>
        </row>
        <row r="27970">
          <cell r="A27970">
            <v>43865</v>
          </cell>
        </row>
        <row r="27971">
          <cell r="A27971">
            <v>43862</v>
          </cell>
        </row>
        <row r="27972">
          <cell r="A27972">
            <v>43272</v>
          </cell>
        </row>
        <row r="27973">
          <cell r="A27973">
            <v>43354</v>
          </cell>
        </row>
        <row r="27974">
          <cell r="A27974">
            <v>43192</v>
          </cell>
        </row>
        <row r="27975">
          <cell r="A27975">
            <v>43826</v>
          </cell>
        </row>
        <row r="27976">
          <cell r="A27976">
            <v>43538</v>
          </cell>
        </row>
        <row r="27977">
          <cell r="A27977">
            <v>43105</v>
          </cell>
        </row>
        <row r="27978">
          <cell r="A27978">
            <v>43627</v>
          </cell>
        </row>
        <row r="27979">
          <cell r="A27979">
            <v>43314</v>
          </cell>
        </row>
        <row r="27980">
          <cell r="A27980">
            <v>43138</v>
          </cell>
        </row>
        <row r="27981">
          <cell r="A27981">
            <v>43224</v>
          </cell>
        </row>
        <row r="27982">
          <cell r="A27982">
            <v>43791</v>
          </cell>
        </row>
        <row r="27983">
          <cell r="A27983">
            <v>43313</v>
          </cell>
        </row>
        <row r="27984">
          <cell r="A27984">
            <v>43354</v>
          </cell>
        </row>
        <row r="27985">
          <cell r="A27985">
            <v>43826</v>
          </cell>
        </row>
        <row r="27986">
          <cell r="A27986">
            <v>43683</v>
          </cell>
        </row>
        <row r="27987">
          <cell r="A27987">
            <v>43642</v>
          </cell>
        </row>
        <row r="27988">
          <cell r="A27988">
            <v>43442</v>
          </cell>
        </row>
        <row r="27989">
          <cell r="A27989">
            <v>43775</v>
          </cell>
        </row>
        <row r="27990">
          <cell r="A27990">
            <v>43907</v>
          </cell>
        </row>
        <row r="27991">
          <cell r="A27991">
            <v>43544</v>
          </cell>
        </row>
        <row r="27992">
          <cell r="A27992">
            <v>43723</v>
          </cell>
        </row>
        <row r="27993">
          <cell r="A27993">
            <v>43500</v>
          </cell>
        </row>
        <row r="27994">
          <cell r="A27994">
            <v>43417</v>
          </cell>
        </row>
        <row r="27995">
          <cell r="A27995">
            <v>43586</v>
          </cell>
        </row>
        <row r="27996">
          <cell r="A27996">
            <v>43173</v>
          </cell>
        </row>
        <row r="27997">
          <cell r="A27997">
            <v>43187</v>
          </cell>
        </row>
        <row r="27998">
          <cell r="A27998">
            <v>43220</v>
          </cell>
        </row>
        <row r="27999">
          <cell r="A27999">
            <v>43387</v>
          </cell>
        </row>
        <row r="28000">
          <cell r="A28000">
            <v>43616</v>
          </cell>
        </row>
        <row r="28001">
          <cell r="A28001">
            <v>43568</v>
          </cell>
        </row>
        <row r="28002">
          <cell r="A28002">
            <v>43475</v>
          </cell>
        </row>
        <row r="28003">
          <cell r="A28003">
            <v>43486</v>
          </cell>
        </row>
        <row r="28004">
          <cell r="A28004">
            <v>43238</v>
          </cell>
        </row>
        <row r="28005">
          <cell r="A28005">
            <v>43867</v>
          </cell>
        </row>
        <row r="28006">
          <cell r="A28006">
            <v>43308</v>
          </cell>
        </row>
        <row r="28007">
          <cell r="A28007">
            <v>43699</v>
          </cell>
        </row>
        <row r="28008">
          <cell r="A28008">
            <v>43191</v>
          </cell>
        </row>
        <row r="28009">
          <cell r="A28009">
            <v>43108</v>
          </cell>
        </row>
        <row r="28010">
          <cell r="A28010">
            <v>43780</v>
          </cell>
        </row>
        <row r="28011">
          <cell r="A28011">
            <v>43561</v>
          </cell>
        </row>
        <row r="28012">
          <cell r="A28012">
            <v>43378</v>
          </cell>
        </row>
        <row r="28013">
          <cell r="A28013">
            <v>43430</v>
          </cell>
        </row>
        <row r="28014">
          <cell r="A28014">
            <v>43467</v>
          </cell>
        </row>
        <row r="28015">
          <cell r="A28015">
            <v>43840</v>
          </cell>
        </row>
        <row r="28016">
          <cell r="A28016">
            <v>43429</v>
          </cell>
        </row>
        <row r="28017">
          <cell r="A28017">
            <v>43166</v>
          </cell>
        </row>
        <row r="28018">
          <cell r="A28018">
            <v>43670</v>
          </cell>
        </row>
        <row r="28019">
          <cell r="A28019">
            <v>43470</v>
          </cell>
        </row>
        <row r="28020">
          <cell r="A28020">
            <v>43810</v>
          </cell>
        </row>
        <row r="28021">
          <cell r="A28021">
            <v>43776</v>
          </cell>
        </row>
        <row r="28022">
          <cell r="A28022">
            <v>43667</v>
          </cell>
        </row>
        <row r="28023">
          <cell r="A28023">
            <v>43716</v>
          </cell>
        </row>
        <row r="28024">
          <cell r="A28024">
            <v>43796</v>
          </cell>
        </row>
        <row r="28025">
          <cell r="A28025">
            <v>43211</v>
          </cell>
        </row>
        <row r="28026">
          <cell r="A28026">
            <v>43166</v>
          </cell>
        </row>
        <row r="28027">
          <cell r="A28027">
            <v>43504</v>
          </cell>
        </row>
        <row r="28028">
          <cell r="A28028">
            <v>43365</v>
          </cell>
        </row>
        <row r="28029">
          <cell r="A28029">
            <v>43282</v>
          </cell>
        </row>
        <row r="28030">
          <cell r="A28030">
            <v>43221</v>
          </cell>
        </row>
        <row r="28031">
          <cell r="A28031">
            <v>43900</v>
          </cell>
        </row>
        <row r="28032">
          <cell r="A28032">
            <v>43395</v>
          </cell>
        </row>
        <row r="28033">
          <cell r="A28033">
            <v>43781</v>
          </cell>
        </row>
        <row r="28034">
          <cell r="A28034">
            <v>43403</v>
          </cell>
        </row>
        <row r="28035">
          <cell r="A28035">
            <v>43887</v>
          </cell>
        </row>
        <row r="28036">
          <cell r="A28036">
            <v>43157</v>
          </cell>
        </row>
        <row r="28037">
          <cell r="A28037">
            <v>43328</v>
          </cell>
        </row>
        <row r="28038">
          <cell r="A28038">
            <v>43845</v>
          </cell>
        </row>
        <row r="28039">
          <cell r="A28039">
            <v>43130</v>
          </cell>
        </row>
        <row r="28040">
          <cell r="A28040">
            <v>43244</v>
          </cell>
        </row>
        <row r="28041">
          <cell r="A28041">
            <v>43205</v>
          </cell>
        </row>
        <row r="28042">
          <cell r="A28042">
            <v>43597</v>
          </cell>
        </row>
        <row r="28043">
          <cell r="A28043">
            <v>43595</v>
          </cell>
        </row>
        <row r="28044">
          <cell r="A28044">
            <v>43745</v>
          </cell>
        </row>
        <row r="28045">
          <cell r="A28045">
            <v>43573</v>
          </cell>
        </row>
        <row r="28046">
          <cell r="A28046">
            <v>43725</v>
          </cell>
        </row>
        <row r="28047">
          <cell r="A28047">
            <v>43645</v>
          </cell>
        </row>
        <row r="28048">
          <cell r="A28048">
            <v>43877</v>
          </cell>
        </row>
        <row r="28049">
          <cell r="A28049">
            <v>43422</v>
          </cell>
        </row>
        <row r="28050">
          <cell r="A28050">
            <v>43152</v>
          </cell>
        </row>
        <row r="28051">
          <cell r="A28051">
            <v>43370</v>
          </cell>
        </row>
        <row r="28052">
          <cell r="A28052">
            <v>43844</v>
          </cell>
        </row>
        <row r="28053">
          <cell r="A28053">
            <v>43531</v>
          </cell>
        </row>
        <row r="28054">
          <cell r="A28054">
            <v>43442</v>
          </cell>
        </row>
        <row r="28055">
          <cell r="A28055">
            <v>43301</v>
          </cell>
        </row>
        <row r="28056">
          <cell r="A28056">
            <v>43776</v>
          </cell>
        </row>
        <row r="28057">
          <cell r="A28057">
            <v>43759</v>
          </cell>
        </row>
        <row r="28058">
          <cell r="A28058">
            <v>43671</v>
          </cell>
        </row>
        <row r="28059">
          <cell r="A28059">
            <v>43633</v>
          </cell>
        </row>
        <row r="28060">
          <cell r="A28060">
            <v>43260</v>
          </cell>
        </row>
        <row r="28061">
          <cell r="A28061">
            <v>43255</v>
          </cell>
        </row>
        <row r="28062">
          <cell r="A28062">
            <v>43522</v>
          </cell>
        </row>
        <row r="28063">
          <cell r="A28063">
            <v>43489</v>
          </cell>
        </row>
        <row r="28064">
          <cell r="A28064">
            <v>43816</v>
          </cell>
        </row>
        <row r="28065">
          <cell r="A28065">
            <v>43367</v>
          </cell>
        </row>
        <row r="28066">
          <cell r="A28066">
            <v>43583</v>
          </cell>
        </row>
        <row r="28067">
          <cell r="A28067">
            <v>43424</v>
          </cell>
        </row>
        <row r="28068">
          <cell r="A28068">
            <v>43821</v>
          </cell>
        </row>
        <row r="28069">
          <cell r="A28069">
            <v>43274</v>
          </cell>
        </row>
        <row r="28070">
          <cell r="A28070">
            <v>43654</v>
          </cell>
        </row>
        <row r="28071">
          <cell r="A28071">
            <v>43333</v>
          </cell>
        </row>
        <row r="28072">
          <cell r="A28072">
            <v>43277</v>
          </cell>
        </row>
        <row r="28073">
          <cell r="A28073">
            <v>43599</v>
          </cell>
        </row>
        <row r="28074">
          <cell r="A28074">
            <v>43773</v>
          </cell>
        </row>
        <row r="28075">
          <cell r="A28075">
            <v>43535</v>
          </cell>
        </row>
        <row r="28076">
          <cell r="A28076">
            <v>43780</v>
          </cell>
        </row>
        <row r="28077">
          <cell r="A28077">
            <v>43739</v>
          </cell>
        </row>
        <row r="28078">
          <cell r="A28078">
            <v>43500</v>
          </cell>
        </row>
        <row r="28079">
          <cell r="A28079">
            <v>43495</v>
          </cell>
        </row>
        <row r="28080">
          <cell r="A28080">
            <v>43748</v>
          </cell>
        </row>
        <row r="28081">
          <cell r="A28081">
            <v>43406</v>
          </cell>
        </row>
        <row r="28082">
          <cell r="A28082">
            <v>43217</v>
          </cell>
        </row>
        <row r="28083">
          <cell r="A28083">
            <v>43681</v>
          </cell>
        </row>
        <row r="28084">
          <cell r="A28084">
            <v>43466</v>
          </cell>
        </row>
        <row r="28085">
          <cell r="A28085">
            <v>43876</v>
          </cell>
        </row>
        <row r="28086">
          <cell r="A28086">
            <v>43690</v>
          </cell>
        </row>
        <row r="28087">
          <cell r="A28087">
            <v>43709</v>
          </cell>
        </row>
        <row r="28088">
          <cell r="A28088">
            <v>43658</v>
          </cell>
        </row>
        <row r="28089">
          <cell r="A28089">
            <v>43444</v>
          </cell>
        </row>
        <row r="28090">
          <cell r="A28090">
            <v>43385</v>
          </cell>
        </row>
        <row r="28091">
          <cell r="A28091">
            <v>43703</v>
          </cell>
        </row>
        <row r="28092">
          <cell r="A28092">
            <v>43371</v>
          </cell>
        </row>
        <row r="28093">
          <cell r="A28093">
            <v>43676</v>
          </cell>
        </row>
        <row r="28094">
          <cell r="A28094">
            <v>43890</v>
          </cell>
        </row>
        <row r="28095">
          <cell r="A28095">
            <v>43888</v>
          </cell>
        </row>
        <row r="28096">
          <cell r="A28096">
            <v>43464</v>
          </cell>
        </row>
        <row r="28097">
          <cell r="A28097">
            <v>43636</v>
          </cell>
        </row>
        <row r="28098">
          <cell r="A28098">
            <v>43838</v>
          </cell>
        </row>
        <row r="28099">
          <cell r="A28099">
            <v>43745</v>
          </cell>
        </row>
        <row r="28100">
          <cell r="A28100">
            <v>43289</v>
          </cell>
        </row>
        <row r="28101">
          <cell r="A28101">
            <v>43119</v>
          </cell>
        </row>
        <row r="28102">
          <cell r="A28102">
            <v>43622</v>
          </cell>
        </row>
        <row r="28103">
          <cell r="A28103">
            <v>43132</v>
          </cell>
        </row>
        <row r="28104">
          <cell r="A28104">
            <v>43284</v>
          </cell>
        </row>
        <row r="28105">
          <cell r="A28105">
            <v>43105</v>
          </cell>
        </row>
        <row r="28106">
          <cell r="A28106">
            <v>43710</v>
          </cell>
        </row>
        <row r="28107">
          <cell r="A28107">
            <v>43849</v>
          </cell>
        </row>
        <row r="28108">
          <cell r="A28108">
            <v>43284</v>
          </cell>
        </row>
        <row r="28109">
          <cell r="A28109">
            <v>43508</v>
          </cell>
        </row>
        <row r="28110">
          <cell r="A28110">
            <v>43356</v>
          </cell>
        </row>
        <row r="28111">
          <cell r="A28111">
            <v>43501</v>
          </cell>
        </row>
        <row r="28112">
          <cell r="A28112">
            <v>43283</v>
          </cell>
        </row>
        <row r="28113">
          <cell r="A28113">
            <v>43724</v>
          </cell>
        </row>
        <row r="28114">
          <cell r="A28114">
            <v>43662</v>
          </cell>
        </row>
        <row r="28115">
          <cell r="A28115">
            <v>43656</v>
          </cell>
        </row>
        <row r="28116">
          <cell r="A28116">
            <v>43157</v>
          </cell>
        </row>
        <row r="28117">
          <cell r="A28117">
            <v>43620</v>
          </cell>
        </row>
        <row r="28118">
          <cell r="A28118">
            <v>43295</v>
          </cell>
        </row>
        <row r="28119">
          <cell r="A28119">
            <v>43105</v>
          </cell>
        </row>
        <row r="28120">
          <cell r="A28120">
            <v>43845</v>
          </cell>
        </row>
        <row r="28121">
          <cell r="A28121">
            <v>43523</v>
          </cell>
        </row>
        <row r="28122">
          <cell r="A28122">
            <v>43194</v>
          </cell>
        </row>
        <row r="28123">
          <cell r="A28123">
            <v>43736</v>
          </cell>
        </row>
        <row r="28124">
          <cell r="A28124">
            <v>43126</v>
          </cell>
        </row>
        <row r="28125">
          <cell r="A28125">
            <v>43320</v>
          </cell>
        </row>
        <row r="28126">
          <cell r="A28126">
            <v>43582</v>
          </cell>
        </row>
        <row r="28127">
          <cell r="A28127">
            <v>43267</v>
          </cell>
        </row>
        <row r="28128">
          <cell r="A28128">
            <v>43734</v>
          </cell>
        </row>
        <row r="28129">
          <cell r="A28129">
            <v>43738</v>
          </cell>
        </row>
        <row r="28130">
          <cell r="A28130">
            <v>43573</v>
          </cell>
        </row>
        <row r="28131">
          <cell r="A28131">
            <v>43604</v>
          </cell>
        </row>
        <row r="28132">
          <cell r="A28132">
            <v>43429</v>
          </cell>
        </row>
        <row r="28133">
          <cell r="A28133">
            <v>43451</v>
          </cell>
        </row>
        <row r="28134">
          <cell r="A28134">
            <v>43148</v>
          </cell>
        </row>
        <row r="28135">
          <cell r="A28135">
            <v>43211</v>
          </cell>
        </row>
        <row r="28136">
          <cell r="A28136">
            <v>43702</v>
          </cell>
        </row>
        <row r="28137">
          <cell r="A28137">
            <v>43135</v>
          </cell>
        </row>
        <row r="28138">
          <cell r="A28138">
            <v>43878</v>
          </cell>
        </row>
        <row r="28139">
          <cell r="A28139">
            <v>43358</v>
          </cell>
        </row>
        <row r="28140">
          <cell r="A28140">
            <v>43846</v>
          </cell>
        </row>
        <row r="28141">
          <cell r="A28141">
            <v>43753</v>
          </cell>
        </row>
        <row r="28142">
          <cell r="A28142">
            <v>43752</v>
          </cell>
        </row>
        <row r="28143">
          <cell r="A28143">
            <v>43899</v>
          </cell>
        </row>
        <row r="28144">
          <cell r="A28144">
            <v>43242</v>
          </cell>
        </row>
        <row r="28145">
          <cell r="A28145">
            <v>43566</v>
          </cell>
        </row>
        <row r="28146">
          <cell r="A28146">
            <v>43901</v>
          </cell>
        </row>
        <row r="28147">
          <cell r="A28147">
            <v>43713</v>
          </cell>
        </row>
        <row r="28148">
          <cell r="A28148">
            <v>43666</v>
          </cell>
        </row>
        <row r="28149">
          <cell r="A28149">
            <v>43512</v>
          </cell>
        </row>
        <row r="28150">
          <cell r="A28150">
            <v>43755</v>
          </cell>
        </row>
        <row r="28151">
          <cell r="A28151">
            <v>43546</v>
          </cell>
        </row>
        <row r="28152">
          <cell r="A28152">
            <v>43335</v>
          </cell>
        </row>
        <row r="28153">
          <cell r="A28153">
            <v>43377</v>
          </cell>
        </row>
        <row r="28154">
          <cell r="A28154">
            <v>43606</v>
          </cell>
        </row>
        <row r="28155">
          <cell r="A28155">
            <v>43897</v>
          </cell>
        </row>
        <row r="28156">
          <cell r="A28156">
            <v>43669</v>
          </cell>
        </row>
        <row r="28157">
          <cell r="A28157">
            <v>43890</v>
          </cell>
        </row>
        <row r="28158">
          <cell r="A28158">
            <v>43774</v>
          </cell>
        </row>
        <row r="28159">
          <cell r="A28159">
            <v>43295</v>
          </cell>
        </row>
        <row r="28160">
          <cell r="A28160">
            <v>43767</v>
          </cell>
        </row>
        <row r="28161">
          <cell r="A28161">
            <v>43918</v>
          </cell>
        </row>
        <row r="28162">
          <cell r="A28162">
            <v>43693</v>
          </cell>
        </row>
        <row r="28163">
          <cell r="A28163">
            <v>43900</v>
          </cell>
        </row>
        <row r="28164">
          <cell r="A28164">
            <v>43432</v>
          </cell>
        </row>
        <row r="28165">
          <cell r="A28165">
            <v>43523</v>
          </cell>
        </row>
        <row r="28166">
          <cell r="A28166">
            <v>43157</v>
          </cell>
        </row>
        <row r="28167">
          <cell r="A28167">
            <v>43167</v>
          </cell>
        </row>
        <row r="28168">
          <cell r="A28168">
            <v>43865</v>
          </cell>
        </row>
        <row r="28169">
          <cell r="A28169">
            <v>43114</v>
          </cell>
        </row>
        <row r="28170">
          <cell r="A28170">
            <v>43677</v>
          </cell>
        </row>
        <row r="28171">
          <cell r="A28171">
            <v>43385</v>
          </cell>
        </row>
        <row r="28172">
          <cell r="A28172">
            <v>43198</v>
          </cell>
        </row>
        <row r="28173">
          <cell r="A28173">
            <v>43436</v>
          </cell>
        </row>
        <row r="28174">
          <cell r="A28174">
            <v>43169</v>
          </cell>
        </row>
        <row r="28175">
          <cell r="A28175">
            <v>43158</v>
          </cell>
        </row>
        <row r="28176">
          <cell r="A28176">
            <v>43666</v>
          </cell>
        </row>
        <row r="28177">
          <cell r="A28177">
            <v>43210</v>
          </cell>
        </row>
        <row r="28178">
          <cell r="A28178">
            <v>43704</v>
          </cell>
        </row>
        <row r="28179">
          <cell r="A28179">
            <v>43417</v>
          </cell>
        </row>
        <row r="28180">
          <cell r="A28180">
            <v>43219</v>
          </cell>
        </row>
        <row r="28181">
          <cell r="A28181">
            <v>43830</v>
          </cell>
        </row>
        <row r="28182">
          <cell r="A28182">
            <v>43378</v>
          </cell>
        </row>
        <row r="28183">
          <cell r="A28183">
            <v>43572</v>
          </cell>
        </row>
        <row r="28184">
          <cell r="A28184">
            <v>43109</v>
          </cell>
        </row>
        <row r="28185">
          <cell r="A28185">
            <v>43774</v>
          </cell>
        </row>
        <row r="28186">
          <cell r="A28186">
            <v>43373</v>
          </cell>
        </row>
        <row r="28187">
          <cell r="A28187">
            <v>43843</v>
          </cell>
        </row>
        <row r="28188">
          <cell r="A28188">
            <v>43310</v>
          </cell>
        </row>
        <row r="28189">
          <cell r="A28189">
            <v>43187</v>
          </cell>
        </row>
        <row r="28190">
          <cell r="A28190">
            <v>43875</v>
          </cell>
        </row>
        <row r="28191">
          <cell r="A28191">
            <v>43441</v>
          </cell>
        </row>
        <row r="28192">
          <cell r="A28192">
            <v>43707</v>
          </cell>
        </row>
        <row r="28193">
          <cell r="A28193">
            <v>43546</v>
          </cell>
        </row>
        <row r="28194">
          <cell r="A28194">
            <v>43119</v>
          </cell>
        </row>
        <row r="28195">
          <cell r="A28195">
            <v>43143</v>
          </cell>
        </row>
        <row r="28196">
          <cell r="A28196">
            <v>43471</v>
          </cell>
        </row>
        <row r="28197">
          <cell r="A28197">
            <v>43553</v>
          </cell>
        </row>
        <row r="28198">
          <cell r="A28198">
            <v>43590</v>
          </cell>
        </row>
        <row r="28199">
          <cell r="A28199">
            <v>43746</v>
          </cell>
        </row>
        <row r="28200">
          <cell r="A28200">
            <v>43507</v>
          </cell>
        </row>
        <row r="28201">
          <cell r="A28201">
            <v>43167</v>
          </cell>
        </row>
        <row r="28202">
          <cell r="A28202">
            <v>43331</v>
          </cell>
        </row>
        <row r="28203">
          <cell r="A28203">
            <v>43113</v>
          </cell>
        </row>
        <row r="28204">
          <cell r="A28204">
            <v>43640</v>
          </cell>
        </row>
        <row r="28205">
          <cell r="A28205">
            <v>43767</v>
          </cell>
        </row>
        <row r="28206">
          <cell r="A28206">
            <v>43637</v>
          </cell>
        </row>
        <row r="28207">
          <cell r="A28207">
            <v>43332</v>
          </cell>
        </row>
        <row r="28208">
          <cell r="A28208">
            <v>43622</v>
          </cell>
        </row>
        <row r="28209">
          <cell r="A28209">
            <v>43706</v>
          </cell>
        </row>
        <row r="28210">
          <cell r="A28210">
            <v>43810</v>
          </cell>
        </row>
        <row r="28211">
          <cell r="A28211">
            <v>43740</v>
          </cell>
        </row>
        <row r="28212">
          <cell r="A28212">
            <v>43165</v>
          </cell>
        </row>
        <row r="28213">
          <cell r="A28213">
            <v>43118</v>
          </cell>
        </row>
        <row r="28214">
          <cell r="A28214">
            <v>43599</v>
          </cell>
        </row>
        <row r="28215">
          <cell r="A28215">
            <v>43613</v>
          </cell>
        </row>
        <row r="28216">
          <cell r="A28216">
            <v>43696</v>
          </cell>
        </row>
        <row r="28217">
          <cell r="A28217">
            <v>43849</v>
          </cell>
        </row>
        <row r="28218">
          <cell r="A28218">
            <v>43203</v>
          </cell>
        </row>
        <row r="28219">
          <cell r="A28219">
            <v>43656</v>
          </cell>
        </row>
        <row r="28220">
          <cell r="A28220">
            <v>43250</v>
          </cell>
        </row>
        <row r="28221">
          <cell r="A28221">
            <v>43320</v>
          </cell>
        </row>
        <row r="28222">
          <cell r="A28222">
            <v>43455</v>
          </cell>
        </row>
        <row r="28223">
          <cell r="A28223">
            <v>43249</v>
          </cell>
        </row>
        <row r="28224">
          <cell r="A28224">
            <v>43418</v>
          </cell>
        </row>
        <row r="28225">
          <cell r="A28225">
            <v>43630</v>
          </cell>
        </row>
        <row r="28226">
          <cell r="A28226">
            <v>43690</v>
          </cell>
        </row>
        <row r="28227">
          <cell r="A28227">
            <v>43188</v>
          </cell>
        </row>
        <row r="28228">
          <cell r="A28228">
            <v>43675</v>
          </cell>
        </row>
        <row r="28229">
          <cell r="A28229">
            <v>43122</v>
          </cell>
        </row>
        <row r="28230">
          <cell r="A28230">
            <v>43735</v>
          </cell>
        </row>
        <row r="28231">
          <cell r="A28231">
            <v>43494</v>
          </cell>
        </row>
        <row r="28232">
          <cell r="A28232">
            <v>43279</v>
          </cell>
        </row>
        <row r="28233">
          <cell r="A28233">
            <v>43253</v>
          </cell>
        </row>
        <row r="28234">
          <cell r="A28234">
            <v>43573</v>
          </cell>
        </row>
        <row r="28235">
          <cell r="A28235">
            <v>43490</v>
          </cell>
        </row>
        <row r="28236">
          <cell r="A28236">
            <v>43500</v>
          </cell>
        </row>
        <row r="28237">
          <cell r="A28237">
            <v>43919</v>
          </cell>
        </row>
        <row r="28238">
          <cell r="A28238">
            <v>43301</v>
          </cell>
        </row>
        <row r="28239">
          <cell r="A28239">
            <v>43699</v>
          </cell>
        </row>
        <row r="28240">
          <cell r="A28240">
            <v>43841</v>
          </cell>
        </row>
        <row r="28241">
          <cell r="A28241">
            <v>43873</v>
          </cell>
        </row>
        <row r="28242">
          <cell r="A28242">
            <v>43328</v>
          </cell>
        </row>
        <row r="28243">
          <cell r="A28243">
            <v>43188</v>
          </cell>
        </row>
        <row r="28244">
          <cell r="A28244">
            <v>43743</v>
          </cell>
        </row>
        <row r="28245">
          <cell r="A28245">
            <v>43202</v>
          </cell>
        </row>
        <row r="28246">
          <cell r="A28246">
            <v>43494</v>
          </cell>
        </row>
        <row r="28247">
          <cell r="A28247">
            <v>43410</v>
          </cell>
        </row>
        <row r="28248">
          <cell r="A28248">
            <v>43570</v>
          </cell>
        </row>
        <row r="28249">
          <cell r="A28249">
            <v>43425</v>
          </cell>
        </row>
        <row r="28250">
          <cell r="A28250">
            <v>43409</v>
          </cell>
        </row>
        <row r="28251">
          <cell r="A28251">
            <v>43914</v>
          </cell>
        </row>
        <row r="28252">
          <cell r="A28252">
            <v>43406</v>
          </cell>
        </row>
        <row r="28253">
          <cell r="A28253">
            <v>43559</v>
          </cell>
        </row>
        <row r="28254">
          <cell r="A28254">
            <v>43595</v>
          </cell>
        </row>
        <row r="28255">
          <cell r="A28255">
            <v>43754</v>
          </cell>
        </row>
        <row r="28256">
          <cell r="A28256">
            <v>43204</v>
          </cell>
        </row>
        <row r="28257">
          <cell r="A28257">
            <v>43380</v>
          </cell>
        </row>
        <row r="28258">
          <cell r="A28258">
            <v>43474</v>
          </cell>
        </row>
        <row r="28259">
          <cell r="A28259">
            <v>43818</v>
          </cell>
        </row>
        <row r="28260">
          <cell r="A28260">
            <v>43390</v>
          </cell>
        </row>
        <row r="28261">
          <cell r="A28261">
            <v>43630</v>
          </cell>
        </row>
        <row r="28262">
          <cell r="A28262">
            <v>43621</v>
          </cell>
        </row>
        <row r="28263">
          <cell r="A28263">
            <v>43337</v>
          </cell>
        </row>
        <row r="28264">
          <cell r="A28264">
            <v>43498</v>
          </cell>
        </row>
        <row r="28265">
          <cell r="A28265">
            <v>43296</v>
          </cell>
        </row>
        <row r="28266">
          <cell r="A28266">
            <v>43302</v>
          </cell>
        </row>
        <row r="28267">
          <cell r="A28267">
            <v>43596</v>
          </cell>
        </row>
        <row r="28268">
          <cell r="A28268">
            <v>43222</v>
          </cell>
        </row>
        <row r="28269">
          <cell r="A28269">
            <v>43906</v>
          </cell>
        </row>
        <row r="28270">
          <cell r="A28270">
            <v>43626</v>
          </cell>
        </row>
        <row r="28271">
          <cell r="A28271">
            <v>43468</v>
          </cell>
        </row>
        <row r="28272">
          <cell r="A28272">
            <v>43467</v>
          </cell>
        </row>
        <row r="28273">
          <cell r="A28273">
            <v>43801</v>
          </cell>
        </row>
        <row r="28274">
          <cell r="A28274">
            <v>43159</v>
          </cell>
        </row>
        <row r="28275">
          <cell r="A28275">
            <v>43314</v>
          </cell>
        </row>
        <row r="28276">
          <cell r="A28276">
            <v>43301</v>
          </cell>
        </row>
        <row r="28277">
          <cell r="A28277">
            <v>43675</v>
          </cell>
        </row>
        <row r="28278">
          <cell r="A28278">
            <v>43672</v>
          </cell>
        </row>
        <row r="28279">
          <cell r="A28279">
            <v>43256</v>
          </cell>
        </row>
        <row r="28280">
          <cell r="A28280">
            <v>43522</v>
          </cell>
        </row>
        <row r="28281">
          <cell r="A28281">
            <v>43761</v>
          </cell>
        </row>
        <row r="28282">
          <cell r="A28282">
            <v>43305</v>
          </cell>
        </row>
        <row r="28283">
          <cell r="A28283">
            <v>43713</v>
          </cell>
        </row>
        <row r="28284">
          <cell r="A28284">
            <v>43141</v>
          </cell>
        </row>
        <row r="28285">
          <cell r="A28285">
            <v>43628</v>
          </cell>
        </row>
        <row r="28286">
          <cell r="A28286">
            <v>43663</v>
          </cell>
        </row>
        <row r="28287">
          <cell r="A28287">
            <v>43536</v>
          </cell>
        </row>
        <row r="28288">
          <cell r="A28288">
            <v>43598</v>
          </cell>
        </row>
        <row r="28289">
          <cell r="A28289">
            <v>43833</v>
          </cell>
        </row>
        <row r="28290">
          <cell r="A28290">
            <v>43230</v>
          </cell>
        </row>
        <row r="28291">
          <cell r="A28291">
            <v>43327</v>
          </cell>
        </row>
        <row r="28292">
          <cell r="A28292">
            <v>43717</v>
          </cell>
        </row>
        <row r="28293">
          <cell r="A28293">
            <v>43314</v>
          </cell>
        </row>
        <row r="28294">
          <cell r="A28294">
            <v>43286</v>
          </cell>
        </row>
        <row r="28295">
          <cell r="A28295">
            <v>43459</v>
          </cell>
        </row>
        <row r="28296">
          <cell r="A28296">
            <v>43437</v>
          </cell>
        </row>
        <row r="28297">
          <cell r="A28297">
            <v>43700</v>
          </cell>
        </row>
        <row r="28298">
          <cell r="A28298">
            <v>43574</v>
          </cell>
        </row>
        <row r="28299">
          <cell r="A28299">
            <v>43186</v>
          </cell>
        </row>
        <row r="28300">
          <cell r="A28300">
            <v>43782</v>
          </cell>
        </row>
        <row r="28301">
          <cell r="A28301">
            <v>43897</v>
          </cell>
        </row>
        <row r="28302">
          <cell r="A28302">
            <v>43188</v>
          </cell>
        </row>
        <row r="28303">
          <cell r="A28303">
            <v>43812</v>
          </cell>
        </row>
        <row r="28304">
          <cell r="A28304">
            <v>43162</v>
          </cell>
        </row>
        <row r="28305">
          <cell r="A28305">
            <v>43236</v>
          </cell>
        </row>
        <row r="28306">
          <cell r="A28306">
            <v>43697</v>
          </cell>
        </row>
        <row r="28307">
          <cell r="A28307">
            <v>43919</v>
          </cell>
        </row>
        <row r="28308">
          <cell r="A28308">
            <v>43154</v>
          </cell>
        </row>
        <row r="28309">
          <cell r="A28309">
            <v>43537</v>
          </cell>
        </row>
        <row r="28310">
          <cell r="A28310">
            <v>43456</v>
          </cell>
        </row>
        <row r="28311">
          <cell r="A28311">
            <v>43458</v>
          </cell>
        </row>
        <row r="28312">
          <cell r="A28312">
            <v>43281</v>
          </cell>
        </row>
        <row r="28313">
          <cell r="A28313">
            <v>43741</v>
          </cell>
        </row>
        <row r="28314">
          <cell r="A28314">
            <v>43686</v>
          </cell>
        </row>
        <row r="28315">
          <cell r="A28315">
            <v>43104</v>
          </cell>
        </row>
        <row r="28316">
          <cell r="A28316">
            <v>43209</v>
          </cell>
        </row>
        <row r="28317">
          <cell r="A28317">
            <v>43579</v>
          </cell>
        </row>
        <row r="28318">
          <cell r="A28318">
            <v>43233</v>
          </cell>
        </row>
        <row r="28319">
          <cell r="A28319">
            <v>43579</v>
          </cell>
        </row>
        <row r="28320">
          <cell r="A28320">
            <v>43188</v>
          </cell>
        </row>
        <row r="28321">
          <cell r="A28321">
            <v>43753</v>
          </cell>
        </row>
        <row r="28322">
          <cell r="A28322">
            <v>43127</v>
          </cell>
        </row>
        <row r="28323">
          <cell r="A28323">
            <v>43300</v>
          </cell>
        </row>
        <row r="28324">
          <cell r="A28324">
            <v>43745</v>
          </cell>
        </row>
        <row r="28325">
          <cell r="A28325">
            <v>43718</v>
          </cell>
        </row>
        <row r="28326">
          <cell r="A28326">
            <v>43757</v>
          </cell>
        </row>
        <row r="28327">
          <cell r="A28327">
            <v>43424</v>
          </cell>
        </row>
        <row r="28328">
          <cell r="A28328">
            <v>43568</v>
          </cell>
        </row>
        <row r="28329">
          <cell r="A28329">
            <v>43882</v>
          </cell>
        </row>
        <row r="28330">
          <cell r="A28330">
            <v>43524</v>
          </cell>
        </row>
        <row r="28331">
          <cell r="A28331">
            <v>43840</v>
          </cell>
        </row>
        <row r="28332">
          <cell r="A28332">
            <v>43348</v>
          </cell>
        </row>
        <row r="28333">
          <cell r="A28333">
            <v>43354</v>
          </cell>
        </row>
        <row r="28334">
          <cell r="A28334">
            <v>43491</v>
          </cell>
        </row>
        <row r="28335">
          <cell r="A28335">
            <v>43578</v>
          </cell>
        </row>
        <row r="28336">
          <cell r="A28336">
            <v>43749</v>
          </cell>
        </row>
        <row r="28337">
          <cell r="A28337">
            <v>43726</v>
          </cell>
        </row>
        <row r="28338">
          <cell r="A28338">
            <v>43321</v>
          </cell>
        </row>
        <row r="28339">
          <cell r="A28339">
            <v>43384</v>
          </cell>
        </row>
        <row r="28340">
          <cell r="A28340">
            <v>43644</v>
          </cell>
        </row>
        <row r="28341">
          <cell r="A28341">
            <v>43151</v>
          </cell>
        </row>
        <row r="28342">
          <cell r="A28342">
            <v>43104</v>
          </cell>
        </row>
        <row r="28343">
          <cell r="A28343">
            <v>43578</v>
          </cell>
        </row>
        <row r="28344">
          <cell r="A28344">
            <v>43703</v>
          </cell>
        </row>
        <row r="28345">
          <cell r="A28345">
            <v>43433</v>
          </cell>
        </row>
        <row r="28346">
          <cell r="A28346">
            <v>43408</v>
          </cell>
        </row>
        <row r="28347">
          <cell r="A28347">
            <v>43259</v>
          </cell>
        </row>
        <row r="28348">
          <cell r="A28348">
            <v>43198</v>
          </cell>
        </row>
        <row r="28349">
          <cell r="A28349">
            <v>43517</v>
          </cell>
        </row>
        <row r="28350">
          <cell r="A28350">
            <v>43534</v>
          </cell>
        </row>
        <row r="28351">
          <cell r="A28351">
            <v>43554</v>
          </cell>
        </row>
        <row r="28352">
          <cell r="A28352">
            <v>43798</v>
          </cell>
        </row>
        <row r="28353">
          <cell r="A28353">
            <v>43918</v>
          </cell>
        </row>
        <row r="28354">
          <cell r="A28354">
            <v>43428</v>
          </cell>
        </row>
        <row r="28355">
          <cell r="A28355">
            <v>43824</v>
          </cell>
        </row>
        <row r="28356">
          <cell r="A28356">
            <v>43356</v>
          </cell>
        </row>
        <row r="28357">
          <cell r="A28357">
            <v>43438</v>
          </cell>
        </row>
        <row r="28358">
          <cell r="A28358">
            <v>43481</v>
          </cell>
        </row>
        <row r="28359">
          <cell r="A28359">
            <v>43195</v>
          </cell>
        </row>
        <row r="28360">
          <cell r="A28360">
            <v>43195</v>
          </cell>
        </row>
        <row r="28361">
          <cell r="A28361">
            <v>43277</v>
          </cell>
        </row>
        <row r="28362">
          <cell r="A28362">
            <v>43905</v>
          </cell>
        </row>
        <row r="28363">
          <cell r="A28363">
            <v>43571</v>
          </cell>
        </row>
        <row r="28364">
          <cell r="A28364">
            <v>43621</v>
          </cell>
        </row>
        <row r="28365">
          <cell r="A28365">
            <v>43552</v>
          </cell>
        </row>
        <row r="28366">
          <cell r="A28366">
            <v>43211</v>
          </cell>
        </row>
        <row r="28367">
          <cell r="A28367">
            <v>43896</v>
          </cell>
        </row>
        <row r="28368">
          <cell r="A28368">
            <v>43663</v>
          </cell>
        </row>
        <row r="28369">
          <cell r="A28369">
            <v>43869</v>
          </cell>
        </row>
        <row r="28370">
          <cell r="A28370">
            <v>43150</v>
          </cell>
        </row>
        <row r="28371">
          <cell r="A28371">
            <v>43620</v>
          </cell>
        </row>
        <row r="28372">
          <cell r="A28372">
            <v>43453</v>
          </cell>
        </row>
        <row r="28373">
          <cell r="A28373">
            <v>43304</v>
          </cell>
        </row>
        <row r="28374">
          <cell r="A28374">
            <v>43104</v>
          </cell>
        </row>
        <row r="28375">
          <cell r="A28375">
            <v>43786</v>
          </cell>
        </row>
        <row r="28376">
          <cell r="A28376">
            <v>43865</v>
          </cell>
        </row>
        <row r="28377">
          <cell r="A28377">
            <v>43724</v>
          </cell>
        </row>
        <row r="28378">
          <cell r="A28378">
            <v>43868</v>
          </cell>
        </row>
        <row r="28379">
          <cell r="A28379">
            <v>43868</v>
          </cell>
        </row>
        <row r="28380">
          <cell r="A28380">
            <v>43496</v>
          </cell>
        </row>
        <row r="28381">
          <cell r="A28381">
            <v>43125</v>
          </cell>
        </row>
        <row r="28382">
          <cell r="A28382">
            <v>43800</v>
          </cell>
        </row>
        <row r="28383">
          <cell r="A28383">
            <v>43109</v>
          </cell>
        </row>
        <row r="28384">
          <cell r="A28384">
            <v>43387</v>
          </cell>
        </row>
        <row r="28385">
          <cell r="A28385">
            <v>43614</v>
          </cell>
        </row>
        <row r="28386">
          <cell r="A28386">
            <v>43739</v>
          </cell>
        </row>
        <row r="28387">
          <cell r="A28387">
            <v>43510</v>
          </cell>
        </row>
        <row r="28388">
          <cell r="A28388">
            <v>43181</v>
          </cell>
        </row>
        <row r="28389">
          <cell r="A28389">
            <v>43539</v>
          </cell>
        </row>
        <row r="28390">
          <cell r="A28390">
            <v>43715</v>
          </cell>
        </row>
        <row r="28391">
          <cell r="A28391">
            <v>43769</v>
          </cell>
        </row>
        <row r="28392">
          <cell r="A28392">
            <v>43618</v>
          </cell>
        </row>
        <row r="28393">
          <cell r="A28393">
            <v>43297</v>
          </cell>
        </row>
        <row r="28394">
          <cell r="A28394">
            <v>43371</v>
          </cell>
        </row>
        <row r="28395">
          <cell r="A28395">
            <v>43260</v>
          </cell>
        </row>
        <row r="28396">
          <cell r="A28396">
            <v>43440</v>
          </cell>
        </row>
        <row r="28397">
          <cell r="A28397">
            <v>43365</v>
          </cell>
        </row>
        <row r="28398">
          <cell r="A28398">
            <v>43878</v>
          </cell>
        </row>
        <row r="28399">
          <cell r="A28399">
            <v>43536</v>
          </cell>
        </row>
        <row r="28400">
          <cell r="A28400">
            <v>43126</v>
          </cell>
        </row>
        <row r="28401">
          <cell r="A28401">
            <v>43754</v>
          </cell>
        </row>
        <row r="28402">
          <cell r="A28402">
            <v>43909</v>
          </cell>
        </row>
        <row r="28403">
          <cell r="A28403">
            <v>43760</v>
          </cell>
        </row>
        <row r="28404">
          <cell r="A28404">
            <v>43244</v>
          </cell>
        </row>
        <row r="28405">
          <cell r="A28405">
            <v>43224</v>
          </cell>
        </row>
        <row r="28406">
          <cell r="A28406">
            <v>43473</v>
          </cell>
        </row>
        <row r="28407">
          <cell r="A28407">
            <v>43543</v>
          </cell>
        </row>
        <row r="28408">
          <cell r="A28408">
            <v>43727</v>
          </cell>
        </row>
        <row r="28409">
          <cell r="A28409">
            <v>43758</v>
          </cell>
        </row>
        <row r="28410">
          <cell r="A28410">
            <v>43624</v>
          </cell>
        </row>
        <row r="28411">
          <cell r="A28411">
            <v>43620</v>
          </cell>
        </row>
        <row r="28412">
          <cell r="A28412">
            <v>43757</v>
          </cell>
        </row>
        <row r="28413">
          <cell r="A28413">
            <v>43369</v>
          </cell>
        </row>
        <row r="28414">
          <cell r="A28414">
            <v>43370</v>
          </cell>
        </row>
        <row r="28415">
          <cell r="A28415">
            <v>43129</v>
          </cell>
        </row>
        <row r="28416">
          <cell r="A28416">
            <v>43584</v>
          </cell>
        </row>
        <row r="28417">
          <cell r="A28417">
            <v>43731</v>
          </cell>
        </row>
        <row r="28418">
          <cell r="A28418">
            <v>43144</v>
          </cell>
        </row>
        <row r="28419">
          <cell r="A28419">
            <v>43715</v>
          </cell>
        </row>
        <row r="28420">
          <cell r="A28420">
            <v>43209</v>
          </cell>
        </row>
        <row r="28421">
          <cell r="A28421">
            <v>43124</v>
          </cell>
        </row>
        <row r="28422">
          <cell r="A28422">
            <v>43170</v>
          </cell>
        </row>
        <row r="28423">
          <cell r="A28423">
            <v>43128</v>
          </cell>
        </row>
        <row r="28424">
          <cell r="A28424">
            <v>43913</v>
          </cell>
        </row>
        <row r="28425">
          <cell r="A28425">
            <v>43226</v>
          </cell>
        </row>
        <row r="28426">
          <cell r="A28426">
            <v>43163</v>
          </cell>
        </row>
        <row r="28427">
          <cell r="A28427">
            <v>43204</v>
          </cell>
        </row>
        <row r="28428">
          <cell r="A28428">
            <v>43395</v>
          </cell>
        </row>
        <row r="28429">
          <cell r="A28429">
            <v>43628</v>
          </cell>
        </row>
        <row r="28430">
          <cell r="A28430">
            <v>43552</v>
          </cell>
        </row>
        <row r="28431">
          <cell r="A28431">
            <v>43841</v>
          </cell>
        </row>
        <row r="28432">
          <cell r="A28432">
            <v>43687</v>
          </cell>
        </row>
        <row r="28433">
          <cell r="A28433">
            <v>43843</v>
          </cell>
        </row>
        <row r="28434">
          <cell r="A28434">
            <v>43692</v>
          </cell>
        </row>
        <row r="28435">
          <cell r="A28435">
            <v>43435</v>
          </cell>
        </row>
        <row r="28436">
          <cell r="A28436">
            <v>43827</v>
          </cell>
        </row>
        <row r="28437">
          <cell r="A28437">
            <v>43536</v>
          </cell>
        </row>
        <row r="28438">
          <cell r="A28438">
            <v>43832</v>
          </cell>
        </row>
        <row r="28439">
          <cell r="A28439">
            <v>43103</v>
          </cell>
        </row>
        <row r="28440">
          <cell r="A28440">
            <v>43312</v>
          </cell>
        </row>
        <row r="28441">
          <cell r="A28441">
            <v>43132</v>
          </cell>
        </row>
        <row r="28442">
          <cell r="A28442">
            <v>43851</v>
          </cell>
        </row>
        <row r="28443">
          <cell r="A28443">
            <v>43327</v>
          </cell>
        </row>
        <row r="28444">
          <cell r="A28444">
            <v>43446</v>
          </cell>
        </row>
        <row r="28445">
          <cell r="A28445">
            <v>43186</v>
          </cell>
        </row>
        <row r="28446">
          <cell r="A28446">
            <v>43673</v>
          </cell>
        </row>
        <row r="28447">
          <cell r="A28447">
            <v>43556</v>
          </cell>
        </row>
        <row r="28448">
          <cell r="A28448">
            <v>43682</v>
          </cell>
        </row>
        <row r="28449">
          <cell r="A28449">
            <v>43403</v>
          </cell>
        </row>
        <row r="28450">
          <cell r="A28450">
            <v>43292</v>
          </cell>
        </row>
        <row r="28451">
          <cell r="A28451">
            <v>43551</v>
          </cell>
        </row>
        <row r="28452">
          <cell r="A28452">
            <v>43169</v>
          </cell>
        </row>
        <row r="28453">
          <cell r="A28453">
            <v>43794</v>
          </cell>
        </row>
        <row r="28454">
          <cell r="A28454">
            <v>43453</v>
          </cell>
        </row>
        <row r="28455">
          <cell r="A28455">
            <v>43698</v>
          </cell>
        </row>
        <row r="28456">
          <cell r="A28456">
            <v>43591</v>
          </cell>
        </row>
        <row r="28457">
          <cell r="A28457">
            <v>43317</v>
          </cell>
        </row>
        <row r="28458">
          <cell r="A28458">
            <v>43539</v>
          </cell>
        </row>
        <row r="28459">
          <cell r="A28459">
            <v>43299</v>
          </cell>
        </row>
        <row r="28460">
          <cell r="A28460">
            <v>43255</v>
          </cell>
        </row>
        <row r="28461">
          <cell r="A28461">
            <v>43621</v>
          </cell>
        </row>
        <row r="28462">
          <cell r="A28462">
            <v>43361</v>
          </cell>
        </row>
        <row r="28463">
          <cell r="A28463">
            <v>43544</v>
          </cell>
        </row>
        <row r="28464">
          <cell r="A28464">
            <v>43228</v>
          </cell>
        </row>
        <row r="28465">
          <cell r="A28465">
            <v>43355</v>
          </cell>
        </row>
        <row r="28466">
          <cell r="A28466">
            <v>43545</v>
          </cell>
        </row>
        <row r="28467">
          <cell r="A28467">
            <v>43312</v>
          </cell>
        </row>
        <row r="28468">
          <cell r="A28468">
            <v>43130</v>
          </cell>
        </row>
        <row r="28469">
          <cell r="A28469">
            <v>43909</v>
          </cell>
        </row>
        <row r="28470">
          <cell r="A28470">
            <v>43825</v>
          </cell>
        </row>
        <row r="28471">
          <cell r="A28471">
            <v>43856</v>
          </cell>
        </row>
        <row r="28472">
          <cell r="A28472">
            <v>43628</v>
          </cell>
        </row>
        <row r="28473">
          <cell r="A28473">
            <v>43463</v>
          </cell>
        </row>
        <row r="28474">
          <cell r="A28474">
            <v>43464</v>
          </cell>
        </row>
        <row r="28475">
          <cell r="A28475">
            <v>43507</v>
          </cell>
        </row>
        <row r="28476">
          <cell r="A28476">
            <v>43118</v>
          </cell>
        </row>
        <row r="28477">
          <cell r="A28477">
            <v>43277</v>
          </cell>
        </row>
        <row r="28478">
          <cell r="A28478">
            <v>43866</v>
          </cell>
        </row>
        <row r="28479">
          <cell r="A28479">
            <v>43229</v>
          </cell>
        </row>
        <row r="28480">
          <cell r="A28480">
            <v>43612</v>
          </cell>
        </row>
        <row r="28481">
          <cell r="A28481">
            <v>43206</v>
          </cell>
        </row>
        <row r="28482">
          <cell r="A28482">
            <v>43726</v>
          </cell>
        </row>
        <row r="28483">
          <cell r="A28483">
            <v>43819</v>
          </cell>
        </row>
        <row r="28484">
          <cell r="A28484">
            <v>43395</v>
          </cell>
        </row>
        <row r="28485">
          <cell r="A28485">
            <v>43397</v>
          </cell>
        </row>
        <row r="28486">
          <cell r="A28486">
            <v>43675</v>
          </cell>
        </row>
        <row r="28487">
          <cell r="A28487">
            <v>43724</v>
          </cell>
        </row>
        <row r="28488">
          <cell r="A28488">
            <v>43779</v>
          </cell>
        </row>
        <row r="28489">
          <cell r="A28489">
            <v>43798</v>
          </cell>
        </row>
        <row r="28490">
          <cell r="A28490">
            <v>43848</v>
          </cell>
        </row>
        <row r="28491">
          <cell r="A28491">
            <v>43694</v>
          </cell>
        </row>
        <row r="28492">
          <cell r="A28492">
            <v>43754</v>
          </cell>
        </row>
        <row r="28493">
          <cell r="A28493">
            <v>43829</v>
          </cell>
        </row>
        <row r="28494">
          <cell r="A28494">
            <v>43268</v>
          </cell>
        </row>
        <row r="28495">
          <cell r="A28495">
            <v>43254</v>
          </cell>
        </row>
        <row r="28496">
          <cell r="A28496">
            <v>43217</v>
          </cell>
        </row>
        <row r="28497">
          <cell r="A28497">
            <v>43604</v>
          </cell>
        </row>
        <row r="28498">
          <cell r="A28498">
            <v>43407</v>
          </cell>
        </row>
        <row r="28499">
          <cell r="A28499">
            <v>43185</v>
          </cell>
        </row>
        <row r="28500">
          <cell r="A28500">
            <v>43143</v>
          </cell>
        </row>
        <row r="28501">
          <cell r="A28501">
            <v>43436</v>
          </cell>
        </row>
        <row r="28502">
          <cell r="A28502">
            <v>43455</v>
          </cell>
        </row>
        <row r="28503">
          <cell r="A28503">
            <v>43469</v>
          </cell>
        </row>
        <row r="28504">
          <cell r="A28504">
            <v>43409</v>
          </cell>
        </row>
        <row r="28505">
          <cell r="A28505">
            <v>43267</v>
          </cell>
        </row>
        <row r="28506">
          <cell r="A28506">
            <v>43889</v>
          </cell>
        </row>
        <row r="28507">
          <cell r="A28507">
            <v>43561</v>
          </cell>
        </row>
        <row r="28508">
          <cell r="A28508">
            <v>43267</v>
          </cell>
        </row>
        <row r="28509">
          <cell r="A28509">
            <v>43818</v>
          </cell>
        </row>
        <row r="28510">
          <cell r="A28510">
            <v>43801</v>
          </cell>
        </row>
        <row r="28511">
          <cell r="A28511">
            <v>43358</v>
          </cell>
        </row>
        <row r="28512">
          <cell r="A28512">
            <v>43300</v>
          </cell>
        </row>
        <row r="28513">
          <cell r="A28513">
            <v>43864</v>
          </cell>
        </row>
        <row r="28514">
          <cell r="A28514">
            <v>43256</v>
          </cell>
        </row>
        <row r="28515">
          <cell r="A28515">
            <v>43726</v>
          </cell>
        </row>
        <row r="28516">
          <cell r="A28516">
            <v>43438</v>
          </cell>
        </row>
        <row r="28517">
          <cell r="A28517">
            <v>43762</v>
          </cell>
        </row>
        <row r="28518">
          <cell r="A28518">
            <v>43800</v>
          </cell>
        </row>
        <row r="28519">
          <cell r="A28519">
            <v>43785</v>
          </cell>
        </row>
        <row r="28520">
          <cell r="A28520">
            <v>43742</v>
          </cell>
        </row>
        <row r="28521">
          <cell r="A28521">
            <v>43361</v>
          </cell>
        </row>
        <row r="28522">
          <cell r="A28522">
            <v>43829</v>
          </cell>
        </row>
        <row r="28523">
          <cell r="A28523">
            <v>43172</v>
          </cell>
        </row>
        <row r="28524">
          <cell r="A28524">
            <v>43298</v>
          </cell>
        </row>
        <row r="28525">
          <cell r="A28525">
            <v>43631</v>
          </cell>
        </row>
        <row r="28526">
          <cell r="A28526">
            <v>43715</v>
          </cell>
        </row>
        <row r="28527">
          <cell r="A28527">
            <v>43372</v>
          </cell>
        </row>
        <row r="28528">
          <cell r="A28528">
            <v>43623</v>
          </cell>
        </row>
        <row r="28529">
          <cell r="A28529">
            <v>43362</v>
          </cell>
        </row>
        <row r="28530">
          <cell r="A28530">
            <v>43758</v>
          </cell>
        </row>
        <row r="28531">
          <cell r="A28531">
            <v>43847</v>
          </cell>
        </row>
        <row r="28532">
          <cell r="A28532">
            <v>43798</v>
          </cell>
        </row>
        <row r="28533">
          <cell r="A28533">
            <v>43531</v>
          </cell>
        </row>
        <row r="28534">
          <cell r="A28534">
            <v>43544</v>
          </cell>
        </row>
        <row r="28535">
          <cell r="A28535">
            <v>43632</v>
          </cell>
        </row>
        <row r="28536">
          <cell r="A28536">
            <v>43178</v>
          </cell>
        </row>
        <row r="28537">
          <cell r="A28537">
            <v>43916</v>
          </cell>
        </row>
        <row r="28538">
          <cell r="A28538">
            <v>43845</v>
          </cell>
        </row>
        <row r="28539">
          <cell r="A28539">
            <v>43654</v>
          </cell>
        </row>
        <row r="28540">
          <cell r="A28540">
            <v>43769</v>
          </cell>
        </row>
        <row r="28541">
          <cell r="A28541">
            <v>43614</v>
          </cell>
        </row>
        <row r="28542">
          <cell r="A28542">
            <v>43102</v>
          </cell>
        </row>
        <row r="28543">
          <cell r="A28543">
            <v>43206</v>
          </cell>
        </row>
        <row r="28544">
          <cell r="A28544">
            <v>43687</v>
          </cell>
        </row>
        <row r="28545">
          <cell r="A28545">
            <v>43461</v>
          </cell>
        </row>
        <row r="28546">
          <cell r="A28546">
            <v>43756</v>
          </cell>
        </row>
        <row r="28547">
          <cell r="A28547">
            <v>43662</v>
          </cell>
        </row>
        <row r="28548">
          <cell r="A28548">
            <v>43840</v>
          </cell>
        </row>
        <row r="28549">
          <cell r="A28549">
            <v>43601</v>
          </cell>
        </row>
        <row r="28550">
          <cell r="A28550">
            <v>43220</v>
          </cell>
        </row>
        <row r="28551">
          <cell r="A28551">
            <v>43141</v>
          </cell>
        </row>
        <row r="28552">
          <cell r="A28552">
            <v>43262</v>
          </cell>
        </row>
        <row r="28553">
          <cell r="A28553">
            <v>43786</v>
          </cell>
        </row>
        <row r="28554">
          <cell r="A28554">
            <v>43790</v>
          </cell>
        </row>
        <row r="28555">
          <cell r="A28555">
            <v>43184</v>
          </cell>
        </row>
        <row r="28556">
          <cell r="A28556">
            <v>43211</v>
          </cell>
        </row>
        <row r="28557">
          <cell r="A28557">
            <v>43632</v>
          </cell>
        </row>
        <row r="28558">
          <cell r="A28558">
            <v>43797</v>
          </cell>
        </row>
        <row r="28559">
          <cell r="A28559">
            <v>43366</v>
          </cell>
        </row>
        <row r="28560">
          <cell r="A28560">
            <v>43378</v>
          </cell>
        </row>
        <row r="28561">
          <cell r="A28561">
            <v>43152</v>
          </cell>
        </row>
        <row r="28562">
          <cell r="A28562">
            <v>43395</v>
          </cell>
        </row>
        <row r="28563">
          <cell r="A28563">
            <v>43866</v>
          </cell>
        </row>
        <row r="28564">
          <cell r="A28564">
            <v>43664</v>
          </cell>
        </row>
        <row r="28565">
          <cell r="A28565">
            <v>43684</v>
          </cell>
        </row>
        <row r="28566">
          <cell r="A28566">
            <v>43249</v>
          </cell>
        </row>
        <row r="28567">
          <cell r="A28567">
            <v>43737</v>
          </cell>
        </row>
        <row r="28568">
          <cell r="A28568">
            <v>43200</v>
          </cell>
        </row>
        <row r="28569">
          <cell r="A28569">
            <v>43428</v>
          </cell>
        </row>
        <row r="28570">
          <cell r="A28570">
            <v>43494</v>
          </cell>
        </row>
        <row r="28571">
          <cell r="A28571">
            <v>43328</v>
          </cell>
        </row>
        <row r="28572">
          <cell r="A28572">
            <v>43566</v>
          </cell>
        </row>
        <row r="28573">
          <cell r="A28573">
            <v>43316</v>
          </cell>
        </row>
        <row r="28574">
          <cell r="A28574">
            <v>43875</v>
          </cell>
        </row>
        <row r="28575">
          <cell r="A28575">
            <v>43434</v>
          </cell>
        </row>
        <row r="28576">
          <cell r="A28576">
            <v>43718</v>
          </cell>
        </row>
        <row r="28577">
          <cell r="A28577">
            <v>43227</v>
          </cell>
        </row>
        <row r="28578">
          <cell r="A28578">
            <v>43839</v>
          </cell>
        </row>
        <row r="28579">
          <cell r="A28579">
            <v>43483</v>
          </cell>
        </row>
        <row r="28580">
          <cell r="A28580">
            <v>43385</v>
          </cell>
        </row>
        <row r="28581">
          <cell r="A28581">
            <v>43892</v>
          </cell>
        </row>
        <row r="28582">
          <cell r="A28582">
            <v>43539</v>
          </cell>
        </row>
        <row r="28583">
          <cell r="A28583">
            <v>43742</v>
          </cell>
        </row>
        <row r="28584">
          <cell r="A28584">
            <v>43155</v>
          </cell>
        </row>
        <row r="28585">
          <cell r="A28585">
            <v>43369</v>
          </cell>
        </row>
        <row r="28586">
          <cell r="A28586">
            <v>43664</v>
          </cell>
        </row>
        <row r="28587">
          <cell r="A28587">
            <v>43871</v>
          </cell>
        </row>
        <row r="28588">
          <cell r="A28588">
            <v>43111</v>
          </cell>
        </row>
        <row r="28589">
          <cell r="A28589">
            <v>43197</v>
          </cell>
        </row>
        <row r="28590">
          <cell r="A28590">
            <v>43877</v>
          </cell>
        </row>
        <row r="28591">
          <cell r="A28591">
            <v>43616</v>
          </cell>
        </row>
        <row r="28592">
          <cell r="A28592">
            <v>43419</v>
          </cell>
        </row>
        <row r="28593">
          <cell r="A28593">
            <v>43184</v>
          </cell>
        </row>
        <row r="28594">
          <cell r="A28594">
            <v>43595</v>
          </cell>
        </row>
        <row r="28595">
          <cell r="A28595">
            <v>43855</v>
          </cell>
        </row>
        <row r="28596">
          <cell r="A28596">
            <v>43838</v>
          </cell>
        </row>
        <row r="28597">
          <cell r="A28597">
            <v>43729</v>
          </cell>
        </row>
        <row r="28598">
          <cell r="A28598">
            <v>43159</v>
          </cell>
        </row>
        <row r="28599">
          <cell r="A28599">
            <v>43452</v>
          </cell>
        </row>
        <row r="28600">
          <cell r="A28600">
            <v>43671</v>
          </cell>
        </row>
        <row r="28601">
          <cell r="A28601">
            <v>43243</v>
          </cell>
        </row>
        <row r="28602">
          <cell r="A28602">
            <v>43403</v>
          </cell>
        </row>
        <row r="28603">
          <cell r="A28603">
            <v>43452</v>
          </cell>
        </row>
        <row r="28604">
          <cell r="A28604">
            <v>43264</v>
          </cell>
        </row>
        <row r="28605">
          <cell r="A28605">
            <v>43707</v>
          </cell>
        </row>
        <row r="28606">
          <cell r="A28606">
            <v>43684</v>
          </cell>
        </row>
        <row r="28607">
          <cell r="A28607">
            <v>43917</v>
          </cell>
        </row>
        <row r="28608">
          <cell r="A28608">
            <v>43652</v>
          </cell>
        </row>
        <row r="28609">
          <cell r="A28609">
            <v>43710</v>
          </cell>
        </row>
        <row r="28610">
          <cell r="A28610">
            <v>43418</v>
          </cell>
        </row>
        <row r="28611">
          <cell r="A28611">
            <v>43270</v>
          </cell>
        </row>
        <row r="28612">
          <cell r="A28612">
            <v>43867</v>
          </cell>
        </row>
        <row r="28613">
          <cell r="A28613">
            <v>43494</v>
          </cell>
        </row>
        <row r="28614">
          <cell r="A28614">
            <v>43876</v>
          </cell>
        </row>
        <row r="28615">
          <cell r="A28615">
            <v>43708</v>
          </cell>
        </row>
        <row r="28616">
          <cell r="A28616">
            <v>43496</v>
          </cell>
        </row>
        <row r="28617">
          <cell r="A28617">
            <v>43316</v>
          </cell>
        </row>
        <row r="28618">
          <cell r="A28618">
            <v>43262</v>
          </cell>
        </row>
        <row r="28619">
          <cell r="A28619">
            <v>43609</v>
          </cell>
        </row>
        <row r="28620">
          <cell r="A28620">
            <v>43306</v>
          </cell>
        </row>
        <row r="28621">
          <cell r="A28621">
            <v>43776</v>
          </cell>
        </row>
        <row r="28622">
          <cell r="A28622">
            <v>43536</v>
          </cell>
        </row>
        <row r="28623">
          <cell r="A28623">
            <v>43311</v>
          </cell>
        </row>
        <row r="28624">
          <cell r="A28624">
            <v>43517</v>
          </cell>
        </row>
        <row r="28625">
          <cell r="A28625">
            <v>43461</v>
          </cell>
        </row>
        <row r="28626">
          <cell r="A28626">
            <v>43315</v>
          </cell>
        </row>
        <row r="28627">
          <cell r="A28627">
            <v>43413</v>
          </cell>
        </row>
        <row r="28628">
          <cell r="A28628">
            <v>43770</v>
          </cell>
        </row>
        <row r="28629">
          <cell r="A28629">
            <v>43886</v>
          </cell>
        </row>
        <row r="28630">
          <cell r="A28630">
            <v>43401</v>
          </cell>
        </row>
        <row r="28631">
          <cell r="A28631">
            <v>43671</v>
          </cell>
        </row>
        <row r="28632">
          <cell r="A28632">
            <v>43241</v>
          </cell>
        </row>
        <row r="28633">
          <cell r="A28633">
            <v>43104</v>
          </cell>
        </row>
        <row r="28634">
          <cell r="A28634">
            <v>43790</v>
          </cell>
        </row>
        <row r="28635">
          <cell r="A28635">
            <v>43833</v>
          </cell>
        </row>
        <row r="28636">
          <cell r="A28636">
            <v>43820</v>
          </cell>
        </row>
        <row r="28637">
          <cell r="A28637">
            <v>43893</v>
          </cell>
        </row>
        <row r="28638">
          <cell r="A28638">
            <v>43826</v>
          </cell>
        </row>
        <row r="28639">
          <cell r="A28639">
            <v>43192</v>
          </cell>
        </row>
        <row r="28640">
          <cell r="A28640">
            <v>43323</v>
          </cell>
        </row>
        <row r="28641">
          <cell r="A28641">
            <v>43472</v>
          </cell>
        </row>
        <row r="28642">
          <cell r="A28642">
            <v>43632</v>
          </cell>
        </row>
        <row r="28643">
          <cell r="A28643">
            <v>43845</v>
          </cell>
        </row>
        <row r="28644">
          <cell r="A28644">
            <v>43166</v>
          </cell>
        </row>
        <row r="28645">
          <cell r="A28645">
            <v>43272</v>
          </cell>
        </row>
        <row r="28646">
          <cell r="A28646">
            <v>43335</v>
          </cell>
        </row>
        <row r="28647">
          <cell r="A28647">
            <v>43399</v>
          </cell>
        </row>
        <row r="28648">
          <cell r="A28648">
            <v>43788</v>
          </cell>
        </row>
        <row r="28649">
          <cell r="A28649">
            <v>43836</v>
          </cell>
        </row>
        <row r="28650">
          <cell r="A28650">
            <v>43706</v>
          </cell>
        </row>
        <row r="28651">
          <cell r="A28651">
            <v>43797</v>
          </cell>
        </row>
        <row r="28652">
          <cell r="A28652">
            <v>43697</v>
          </cell>
        </row>
        <row r="28653">
          <cell r="A28653">
            <v>43821</v>
          </cell>
        </row>
        <row r="28654">
          <cell r="A28654">
            <v>43467</v>
          </cell>
        </row>
        <row r="28655">
          <cell r="A28655">
            <v>43883</v>
          </cell>
        </row>
        <row r="28656">
          <cell r="A28656">
            <v>43395</v>
          </cell>
        </row>
        <row r="28657">
          <cell r="A28657">
            <v>43275</v>
          </cell>
        </row>
        <row r="28658">
          <cell r="A28658">
            <v>43741</v>
          </cell>
        </row>
        <row r="28659">
          <cell r="A28659">
            <v>43169</v>
          </cell>
        </row>
        <row r="28660">
          <cell r="A28660">
            <v>43682</v>
          </cell>
        </row>
        <row r="28661">
          <cell r="A28661">
            <v>43913</v>
          </cell>
        </row>
        <row r="28662">
          <cell r="A28662">
            <v>43693</v>
          </cell>
        </row>
        <row r="28663">
          <cell r="A28663">
            <v>43264</v>
          </cell>
        </row>
        <row r="28664">
          <cell r="A28664">
            <v>43808</v>
          </cell>
        </row>
        <row r="28665">
          <cell r="A28665">
            <v>43553</v>
          </cell>
        </row>
        <row r="28666">
          <cell r="A28666">
            <v>43853</v>
          </cell>
        </row>
        <row r="28667">
          <cell r="A28667">
            <v>43638</v>
          </cell>
        </row>
        <row r="28668">
          <cell r="A28668">
            <v>43148</v>
          </cell>
        </row>
        <row r="28669">
          <cell r="A28669">
            <v>43132</v>
          </cell>
        </row>
        <row r="28670">
          <cell r="A28670">
            <v>43128</v>
          </cell>
        </row>
        <row r="28671">
          <cell r="A28671">
            <v>43377</v>
          </cell>
        </row>
        <row r="28672">
          <cell r="A28672">
            <v>43859</v>
          </cell>
        </row>
        <row r="28673">
          <cell r="A28673">
            <v>43616</v>
          </cell>
        </row>
        <row r="28674">
          <cell r="A28674">
            <v>43460</v>
          </cell>
        </row>
        <row r="28675">
          <cell r="A28675">
            <v>43203</v>
          </cell>
        </row>
        <row r="28676">
          <cell r="A28676">
            <v>43597</v>
          </cell>
        </row>
        <row r="28677">
          <cell r="A28677">
            <v>43299</v>
          </cell>
        </row>
        <row r="28678">
          <cell r="A28678">
            <v>43694</v>
          </cell>
        </row>
        <row r="28679">
          <cell r="A28679">
            <v>43102</v>
          </cell>
        </row>
        <row r="28680">
          <cell r="A28680">
            <v>43850</v>
          </cell>
        </row>
        <row r="28681">
          <cell r="A28681">
            <v>43527</v>
          </cell>
        </row>
        <row r="28682">
          <cell r="A28682">
            <v>43376</v>
          </cell>
        </row>
        <row r="28683">
          <cell r="A28683">
            <v>43114</v>
          </cell>
        </row>
        <row r="28684">
          <cell r="A28684">
            <v>43472</v>
          </cell>
        </row>
        <row r="28685">
          <cell r="A28685">
            <v>43268</v>
          </cell>
        </row>
        <row r="28686">
          <cell r="A28686">
            <v>43473</v>
          </cell>
        </row>
        <row r="28687">
          <cell r="A28687">
            <v>43397</v>
          </cell>
        </row>
        <row r="28688">
          <cell r="A28688">
            <v>43874</v>
          </cell>
        </row>
        <row r="28689">
          <cell r="A28689">
            <v>43144</v>
          </cell>
        </row>
        <row r="28690">
          <cell r="A28690">
            <v>43726</v>
          </cell>
        </row>
        <row r="28691">
          <cell r="A28691">
            <v>43691</v>
          </cell>
        </row>
        <row r="28692">
          <cell r="A28692">
            <v>43693</v>
          </cell>
        </row>
        <row r="28693">
          <cell r="A28693">
            <v>43376</v>
          </cell>
        </row>
        <row r="28694">
          <cell r="A28694">
            <v>43560</v>
          </cell>
        </row>
        <row r="28695">
          <cell r="A28695">
            <v>43699</v>
          </cell>
        </row>
        <row r="28696">
          <cell r="A28696">
            <v>43815</v>
          </cell>
        </row>
        <row r="28697">
          <cell r="A28697">
            <v>43888</v>
          </cell>
        </row>
        <row r="28698">
          <cell r="A28698">
            <v>43410</v>
          </cell>
        </row>
        <row r="28699">
          <cell r="A28699">
            <v>43168</v>
          </cell>
        </row>
        <row r="28700">
          <cell r="A28700">
            <v>43900</v>
          </cell>
        </row>
        <row r="28701">
          <cell r="A28701">
            <v>43406</v>
          </cell>
        </row>
        <row r="28702">
          <cell r="A28702">
            <v>43849</v>
          </cell>
        </row>
        <row r="28703">
          <cell r="A28703">
            <v>43641</v>
          </cell>
        </row>
        <row r="28704">
          <cell r="A28704">
            <v>43621</v>
          </cell>
        </row>
        <row r="28705">
          <cell r="A28705">
            <v>43270</v>
          </cell>
        </row>
        <row r="28706">
          <cell r="A28706">
            <v>43543</v>
          </cell>
        </row>
        <row r="28707">
          <cell r="A28707">
            <v>43697</v>
          </cell>
        </row>
        <row r="28708">
          <cell r="A28708">
            <v>43592</v>
          </cell>
        </row>
        <row r="28709">
          <cell r="A28709">
            <v>43542</v>
          </cell>
        </row>
        <row r="28710">
          <cell r="A28710">
            <v>43348</v>
          </cell>
        </row>
        <row r="28711">
          <cell r="A28711">
            <v>43531</v>
          </cell>
        </row>
        <row r="28712">
          <cell r="A28712">
            <v>43763</v>
          </cell>
        </row>
        <row r="28713">
          <cell r="A28713">
            <v>43767</v>
          </cell>
        </row>
        <row r="28714">
          <cell r="A28714">
            <v>43461</v>
          </cell>
        </row>
        <row r="28715">
          <cell r="A28715">
            <v>43421</v>
          </cell>
        </row>
        <row r="28716">
          <cell r="A28716">
            <v>43129</v>
          </cell>
        </row>
        <row r="28717">
          <cell r="A28717">
            <v>43810</v>
          </cell>
        </row>
        <row r="28718">
          <cell r="A28718">
            <v>43197</v>
          </cell>
        </row>
        <row r="28719">
          <cell r="A28719">
            <v>43219</v>
          </cell>
        </row>
        <row r="28720">
          <cell r="A28720">
            <v>43269</v>
          </cell>
        </row>
        <row r="28721">
          <cell r="A28721">
            <v>43770</v>
          </cell>
        </row>
        <row r="28722">
          <cell r="A28722">
            <v>43726</v>
          </cell>
        </row>
        <row r="28723">
          <cell r="A28723">
            <v>43213</v>
          </cell>
        </row>
        <row r="28724">
          <cell r="A28724">
            <v>43615</v>
          </cell>
        </row>
        <row r="28725">
          <cell r="A28725">
            <v>43179</v>
          </cell>
        </row>
        <row r="28726">
          <cell r="A28726">
            <v>43590</v>
          </cell>
        </row>
        <row r="28727">
          <cell r="A28727">
            <v>43887</v>
          </cell>
        </row>
        <row r="28728">
          <cell r="A28728">
            <v>43104</v>
          </cell>
        </row>
        <row r="28729">
          <cell r="A28729">
            <v>43453</v>
          </cell>
        </row>
        <row r="28730">
          <cell r="A28730">
            <v>43436</v>
          </cell>
        </row>
        <row r="28731">
          <cell r="A28731">
            <v>43653</v>
          </cell>
        </row>
        <row r="28732">
          <cell r="A28732">
            <v>43865</v>
          </cell>
        </row>
        <row r="28733">
          <cell r="A28733">
            <v>43385</v>
          </cell>
        </row>
        <row r="28734">
          <cell r="A28734">
            <v>43583</v>
          </cell>
        </row>
        <row r="28735">
          <cell r="A28735">
            <v>43190</v>
          </cell>
        </row>
        <row r="28736">
          <cell r="A28736">
            <v>43801</v>
          </cell>
        </row>
        <row r="28737">
          <cell r="A28737">
            <v>43232</v>
          </cell>
        </row>
        <row r="28738">
          <cell r="A28738">
            <v>43814</v>
          </cell>
        </row>
        <row r="28739">
          <cell r="A28739">
            <v>43648</v>
          </cell>
        </row>
        <row r="28740">
          <cell r="A28740">
            <v>43616</v>
          </cell>
        </row>
        <row r="28741">
          <cell r="A28741">
            <v>43382</v>
          </cell>
        </row>
        <row r="28742">
          <cell r="A28742">
            <v>43390</v>
          </cell>
        </row>
        <row r="28743">
          <cell r="A28743">
            <v>43654</v>
          </cell>
        </row>
        <row r="28744">
          <cell r="A28744">
            <v>43170</v>
          </cell>
        </row>
        <row r="28745">
          <cell r="A28745">
            <v>43341</v>
          </cell>
        </row>
        <row r="28746">
          <cell r="A28746">
            <v>43364</v>
          </cell>
        </row>
        <row r="28747">
          <cell r="A28747">
            <v>43480</v>
          </cell>
        </row>
        <row r="28748">
          <cell r="A28748">
            <v>43260</v>
          </cell>
        </row>
        <row r="28749">
          <cell r="A28749">
            <v>43740</v>
          </cell>
        </row>
        <row r="28750">
          <cell r="A28750">
            <v>43546</v>
          </cell>
        </row>
        <row r="28751">
          <cell r="A28751">
            <v>43527</v>
          </cell>
        </row>
        <row r="28752">
          <cell r="A28752">
            <v>43795</v>
          </cell>
        </row>
        <row r="28753">
          <cell r="A28753">
            <v>43425</v>
          </cell>
        </row>
        <row r="28754">
          <cell r="A28754">
            <v>43474</v>
          </cell>
        </row>
        <row r="28755">
          <cell r="A28755">
            <v>43565</v>
          </cell>
        </row>
        <row r="28756">
          <cell r="A28756">
            <v>43251</v>
          </cell>
        </row>
        <row r="28757">
          <cell r="A28757">
            <v>43830</v>
          </cell>
        </row>
        <row r="28758">
          <cell r="A28758">
            <v>43412</v>
          </cell>
        </row>
        <row r="28759">
          <cell r="A28759">
            <v>43221</v>
          </cell>
        </row>
        <row r="28760">
          <cell r="A28760">
            <v>43264</v>
          </cell>
        </row>
        <row r="28761">
          <cell r="A28761">
            <v>43781</v>
          </cell>
        </row>
        <row r="28762">
          <cell r="A28762">
            <v>43242</v>
          </cell>
        </row>
        <row r="28763">
          <cell r="A28763">
            <v>43894</v>
          </cell>
        </row>
        <row r="28764">
          <cell r="A28764">
            <v>43864</v>
          </cell>
        </row>
        <row r="28765">
          <cell r="A28765">
            <v>43270</v>
          </cell>
        </row>
        <row r="28766">
          <cell r="A28766">
            <v>43577</v>
          </cell>
        </row>
        <row r="28767">
          <cell r="A28767">
            <v>43714</v>
          </cell>
        </row>
        <row r="28768">
          <cell r="A28768">
            <v>43564</v>
          </cell>
        </row>
        <row r="28769">
          <cell r="A28769">
            <v>43149</v>
          </cell>
        </row>
        <row r="28770">
          <cell r="A28770">
            <v>43331</v>
          </cell>
        </row>
        <row r="28771">
          <cell r="A28771">
            <v>43416</v>
          </cell>
        </row>
        <row r="28772">
          <cell r="A28772">
            <v>43783</v>
          </cell>
        </row>
        <row r="28773">
          <cell r="A28773">
            <v>43685</v>
          </cell>
        </row>
        <row r="28774">
          <cell r="A28774">
            <v>43287</v>
          </cell>
        </row>
        <row r="28775">
          <cell r="A28775">
            <v>43828</v>
          </cell>
        </row>
        <row r="28776">
          <cell r="A28776">
            <v>43814</v>
          </cell>
        </row>
        <row r="28777">
          <cell r="A28777">
            <v>43857</v>
          </cell>
        </row>
        <row r="28778">
          <cell r="A28778">
            <v>43197</v>
          </cell>
        </row>
        <row r="28779">
          <cell r="A28779">
            <v>43141</v>
          </cell>
        </row>
        <row r="28780">
          <cell r="A28780">
            <v>43108</v>
          </cell>
        </row>
        <row r="28781">
          <cell r="A28781">
            <v>43138</v>
          </cell>
        </row>
        <row r="28782">
          <cell r="A28782">
            <v>43675</v>
          </cell>
        </row>
        <row r="28783">
          <cell r="A28783">
            <v>43383</v>
          </cell>
        </row>
        <row r="28784">
          <cell r="A28784">
            <v>43906</v>
          </cell>
        </row>
        <row r="28785">
          <cell r="A28785">
            <v>43865</v>
          </cell>
        </row>
        <row r="28786">
          <cell r="A28786">
            <v>43287</v>
          </cell>
        </row>
        <row r="28787">
          <cell r="A28787">
            <v>43311</v>
          </cell>
        </row>
        <row r="28788">
          <cell r="A28788">
            <v>43314</v>
          </cell>
        </row>
        <row r="28789">
          <cell r="A28789">
            <v>43786</v>
          </cell>
        </row>
        <row r="28790">
          <cell r="A28790">
            <v>43831</v>
          </cell>
        </row>
        <row r="28791">
          <cell r="A28791">
            <v>43912</v>
          </cell>
        </row>
        <row r="28792">
          <cell r="A28792">
            <v>43325</v>
          </cell>
        </row>
        <row r="28793">
          <cell r="A28793">
            <v>43611</v>
          </cell>
        </row>
        <row r="28794">
          <cell r="A28794">
            <v>43735</v>
          </cell>
        </row>
        <row r="28795">
          <cell r="A28795">
            <v>43540</v>
          </cell>
        </row>
        <row r="28796">
          <cell r="A28796">
            <v>43267</v>
          </cell>
        </row>
        <row r="28797">
          <cell r="A28797">
            <v>43130</v>
          </cell>
        </row>
        <row r="28798">
          <cell r="A28798">
            <v>43813</v>
          </cell>
        </row>
        <row r="28799">
          <cell r="A28799">
            <v>43450</v>
          </cell>
        </row>
        <row r="28800">
          <cell r="A28800">
            <v>43764</v>
          </cell>
        </row>
        <row r="28801">
          <cell r="A28801">
            <v>43823</v>
          </cell>
        </row>
        <row r="28802">
          <cell r="A28802">
            <v>43697</v>
          </cell>
        </row>
        <row r="28803">
          <cell r="A28803">
            <v>43330</v>
          </cell>
        </row>
        <row r="28804">
          <cell r="A28804">
            <v>43712</v>
          </cell>
        </row>
        <row r="28805">
          <cell r="A28805">
            <v>43345</v>
          </cell>
        </row>
        <row r="28806">
          <cell r="A28806">
            <v>43260</v>
          </cell>
        </row>
        <row r="28807">
          <cell r="A28807">
            <v>43856</v>
          </cell>
        </row>
        <row r="28808">
          <cell r="A28808">
            <v>43701</v>
          </cell>
        </row>
        <row r="28809">
          <cell r="A28809">
            <v>43855</v>
          </cell>
        </row>
        <row r="28810">
          <cell r="A28810">
            <v>43388</v>
          </cell>
        </row>
        <row r="28811">
          <cell r="A28811">
            <v>43295</v>
          </cell>
        </row>
        <row r="28812">
          <cell r="A28812">
            <v>43621</v>
          </cell>
        </row>
        <row r="28813">
          <cell r="A28813">
            <v>43628</v>
          </cell>
        </row>
        <row r="28814">
          <cell r="A28814">
            <v>43798</v>
          </cell>
        </row>
        <row r="28815">
          <cell r="A28815">
            <v>43104</v>
          </cell>
        </row>
        <row r="28816">
          <cell r="A28816">
            <v>43223</v>
          </cell>
        </row>
        <row r="28817">
          <cell r="A28817">
            <v>43182</v>
          </cell>
        </row>
        <row r="28818">
          <cell r="A28818">
            <v>43588</v>
          </cell>
        </row>
        <row r="28819">
          <cell r="A28819">
            <v>43302</v>
          </cell>
        </row>
        <row r="28820">
          <cell r="A28820">
            <v>43493</v>
          </cell>
        </row>
        <row r="28821">
          <cell r="A28821">
            <v>43319</v>
          </cell>
        </row>
        <row r="28822">
          <cell r="A28822">
            <v>43180</v>
          </cell>
        </row>
        <row r="28823">
          <cell r="A28823">
            <v>43252</v>
          </cell>
        </row>
        <row r="28824">
          <cell r="A28824">
            <v>43245</v>
          </cell>
        </row>
        <row r="28825">
          <cell r="A28825">
            <v>43206</v>
          </cell>
        </row>
        <row r="28826">
          <cell r="A28826">
            <v>43675</v>
          </cell>
        </row>
        <row r="28827">
          <cell r="A28827">
            <v>43338</v>
          </cell>
        </row>
        <row r="28828">
          <cell r="A28828">
            <v>43686</v>
          </cell>
        </row>
        <row r="28829">
          <cell r="A28829">
            <v>43141</v>
          </cell>
        </row>
        <row r="28830">
          <cell r="A28830">
            <v>43864</v>
          </cell>
        </row>
        <row r="28831">
          <cell r="A28831">
            <v>43643</v>
          </cell>
        </row>
        <row r="28832">
          <cell r="A28832">
            <v>43408</v>
          </cell>
        </row>
        <row r="28833">
          <cell r="A28833">
            <v>43214</v>
          </cell>
        </row>
        <row r="28834">
          <cell r="A28834">
            <v>43715</v>
          </cell>
        </row>
        <row r="28835">
          <cell r="A28835">
            <v>43545</v>
          </cell>
        </row>
        <row r="28836">
          <cell r="A28836">
            <v>43374</v>
          </cell>
        </row>
        <row r="28837">
          <cell r="A28837">
            <v>43143</v>
          </cell>
        </row>
        <row r="28838">
          <cell r="A28838">
            <v>43247</v>
          </cell>
        </row>
        <row r="28839">
          <cell r="A28839">
            <v>43793</v>
          </cell>
        </row>
        <row r="28840">
          <cell r="A28840">
            <v>43538</v>
          </cell>
        </row>
        <row r="28841">
          <cell r="A28841">
            <v>43168</v>
          </cell>
        </row>
        <row r="28842">
          <cell r="A28842">
            <v>43191</v>
          </cell>
        </row>
        <row r="28843">
          <cell r="A28843">
            <v>43417</v>
          </cell>
        </row>
        <row r="28844">
          <cell r="A28844">
            <v>43587</v>
          </cell>
        </row>
        <row r="28845">
          <cell r="A28845">
            <v>43429</v>
          </cell>
        </row>
        <row r="28846">
          <cell r="A28846">
            <v>43783</v>
          </cell>
        </row>
        <row r="28847">
          <cell r="A28847">
            <v>43777</v>
          </cell>
        </row>
        <row r="28848">
          <cell r="A28848">
            <v>43676</v>
          </cell>
        </row>
        <row r="28849">
          <cell r="A28849">
            <v>43250</v>
          </cell>
        </row>
        <row r="28850">
          <cell r="A28850">
            <v>43210</v>
          </cell>
        </row>
        <row r="28851">
          <cell r="A28851">
            <v>43298</v>
          </cell>
        </row>
        <row r="28852">
          <cell r="A28852">
            <v>43121</v>
          </cell>
        </row>
        <row r="28853">
          <cell r="A28853">
            <v>43626</v>
          </cell>
        </row>
        <row r="28854">
          <cell r="A28854">
            <v>43763</v>
          </cell>
        </row>
        <row r="28855">
          <cell r="A28855">
            <v>43801</v>
          </cell>
        </row>
        <row r="28856">
          <cell r="A28856">
            <v>43473</v>
          </cell>
        </row>
        <row r="28857">
          <cell r="A28857">
            <v>43404</v>
          </cell>
        </row>
        <row r="28858">
          <cell r="A28858">
            <v>43885</v>
          </cell>
        </row>
        <row r="28859">
          <cell r="A28859">
            <v>43792</v>
          </cell>
        </row>
        <row r="28860">
          <cell r="A28860">
            <v>43361</v>
          </cell>
        </row>
        <row r="28861">
          <cell r="A28861">
            <v>43255</v>
          </cell>
        </row>
        <row r="28862">
          <cell r="A28862">
            <v>43433</v>
          </cell>
        </row>
        <row r="28863">
          <cell r="A28863">
            <v>43790</v>
          </cell>
        </row>
        <row r="28864">
          <cell r="A28864">
            <v>43171</v>
          </cell>
        </row>
        <row r="28865">
          <cell r="A28865">
            <v>43702</v>
          </cell>
        </row>
        <row r="28866">
          <cell r="A28866">
            <v>43803</v>
          </cell>
        </row>
        <row r="28867">
          <cell r="A28867">
            <v>43681</v>
          </cell>
        </row>
        <row r="28868">
          <cell r="A28868">
            <v>43913</v>
          </cell>
        </row>
        <row r="28869">
          <cell r="A28869">
            <v>43650</v>
          </cell>
        </row>
        <row r="28870">
          <cell r="A28870">
            <v>43780</v>
          </cell>
        </row>
        <row r="28871">
          <cell r="A28871">
            <v>43426</v>
          </cell>
        </row>
        <row r="28872">
          <cell r="A28872">
            <v>43182</v>
          </cell>
        </row>
        <row r="28873">
          <cell r="A28873">
            <v>43298</v>
          </cell>
        </row>
        <row r="28874">
          <cell r="A28874">
            <v>43206</v>
          </cell>
        </row>
        <row r="28875">
          <cell r="A28875">
            <v>43176</v>
          </cell>
        </row>
        <row r="28876">
          <cell r="A28876">
            <v>43521</v>
          </cell>
        </row>
        <row r="28877">
          <cell r="A28877">
            <v>43860</v>
          </cell>
        </row>
        <row r="28878">
          <cell r="A28878">
            <v>43305</v>
          </cell>
        </row>
        <row r="28879">
          <cell r="A28879">
            <v>43822</v>
          </cell>
        </row>
        <row r="28880">
          <cell r="A28880">
            <v>43499</v>
          </cell>
        </row>
        <row r="28881">
          <cell r="A28881">
            <v>43782</v>
          </cell>
        </row>
        <row r="28882">
          <cell r="A28882">
            <v>43385</v>
          </cell>
        </row>
        <row r="28883">
          <cell r="A28883">
            <v>43919</v>
          </cell>
        </row>
        <row r="28884">
          <cell r="A28884">
            <v>43381</v>
          </cell>
        </row>
        <row r="28885">
          <cell r="A28885">
            <v>43481</v>
          </cell>
        </row>
        <row r="28886">
          <cell r="A28886">
            <v>43724</v>
          </cell>
        </row>
        <row r="28887">
          <cell r="A28887">
            <v>43123</v>
          </cell>
        </row>
        <row r="28888">
          <cell r="A28888">
            <v>43320</v>
          </cell>
        </row>
        <row r="28889">
          <cell r="A28889">
            <v>43103</v>
          </cell>
        </row>
        <row r="28890">
          <cell r="A28890">
            <v>43709</v>
          </cell>
        </row>
        <row r="28891">
          <cell r="A28891">
            <v>43525</v>
          </cell>
        </row>
        <row r="28892">
          <cell r="A28892">
            <v>43683</v>
          </cell>
        </row>
        <row r="28893">
          <cell r="A28893">
            <v>43435</v>
          </cell>
        </row>
        <row r="28894">
          <cell r="A28894">
            <v>43140</v>
          </cell>
        </row>
        <row r="28895">
          <cell r="A28895">
            <v>43125</v>
          </cell>
        </row>
        <row r="28896">
          <cell r="A28896">
            <v>43299</v>
          </cell>
        </row>
        <row r="28897">
          <cell r="A28897">
            <v>43551</v>
          </cell>
        </row>
        <row r="28898">
          <cell r="A28898">
            <v>43393</v>
          </cell>
        </row>
        <row r="28899">
          <cell r="A28899">
            <v>43793</v>
          </cell>
        </row>
        <row r="28900">
          <cell r="A28900">
            <v>43485</v>
          </cell>
        </row>
        <row r="28901">
          <cell r="A28901">
            <v>43488</v>
          </cell>
        </row>
        <row r="28902">
          <cell r="A28902">
            <v>43514</v>
          </cell>
        </row>
        <row r="28903">
          <cell r="A28903">
            <v>43548</v>
          </cell>
        </row>
        <row r="28904">
          <cell r="A28904">
            <v>43400</v>
          </cell>
        </row>
        <row r="28905">
          <cell r="A28905">
            <v>43907</v>
          </cell>
        </row>
        <row r="28906">
          <cell r="A28906">
            <v>43590</v>
          </cell>
        </row>
        <row r="28907">
          <cell r="A28907">
            <v>43865</v>
          </cell>
        </row>
        <row r="28908">
          <cell r="A28908">
            <v>43397</v>
          </cell>
        </row>
        <row r="28909">
          <cell r="A28909">
            <v>43372</v>
          </cell>
        </row>
        <row r="28910">
          <cell r="A28910">
            <v>43833</v>
          </cell>
        </row>
        <row r="28911">
          <cell r="A28911">
            <v>43558</v>
          </cell>
        </row>
        <row r="28912">
          <cell r="A28912">
            <v>43650</v>
          </cell>
        </row>
        <row r="28913">
          <cell r="A28913">
            <v>43822</v>
          </cell>
        </row>
        <row r="28914">
          <cell r="A28914">
            <v>43697</v>
          </cell>
        </row>
        <row r="28915">
          <cell r="A28915">
            <v>43263</v>
          </cell>
        </row>
        <row r="28916">
          <cell r="A28916">
            <v>43313</v>
          </cell>
        </row>
        <row r="28917">
          <cell r="A28917">
            <v>43399</v>
          </cell>
        </row>
        <row r="28918">
          <cell r="A28918">
            <v>43430</v>
          </cell>
        </row>
        <row r="28919">
          <cell r="A28919">
            <v>43299</v>
          </cell>
        </row>
        <row r="28920">
          <cell r="A28920">
            <v>43383</v>
          </cell>
        </row>
        <row r="28921">
          <cell r="A28921">
            <v>43644</v>
          </cell>
        </row>
        <row r="28922">
          <cell r="A28922">
            <v>43412</v>
          </cell>
        </row>
        <row r="28923">
          <cell r="A28923">
            <v>43177</v>
          </cell>
        </row>
        <row r="28924">
          <cell r="A28924">
            <v>43131</v>
          </cell>
        </row>
        <row r="28925">
          <cell r="A28925">
            <v>43425</v>
          </cell>
        </row>
        <row r="28926">
          <cell r="A28926">
            <v>43761</v>
          </cell>
        </row>
        <row r="28927">
          <cell r="A28927">
            <v>43891</v>
          </cell>
        </row>
        <row r="28928">
          <cell r="A28928">
            <v>43625</v>
          </cell>
        </row>
        <row r="28929">
          <cell r="A28929">
            <v>43262</v>
          </cell>
        </row>
        <row r="28930">
          <cell r="A28930">
            <v>43227</v>
          </cell>
        </row>
        <row r="28931">
          <cell r="A28931">
            <v>43874</v>
          </cell>
        </row>
        <row r="28932">
          <cell r="A28932">
            <v>43876</v>
          </cell>
        </row>
        <row r="28933">
          <cell r="A28933">
            <v>43374</v>
          </cell>
        </row>
        <row r="28934">
          <cell r="A28934">
            <v>43443</v>
          </cell>
        </row>
        <row r="28935">
          <cell r="A28935">
            <v>43309</v>
          </cell>
        </row>
        <row r="28936">
          <cell r="A28936">
            <v>43912</v>
          </cell>
        </row>
        <row r="28937">
          <cell r="A28937">
            <v>43136</v>
          </cell>
        </row>
        <row r="28938">
          <cell r="A28938">
            <v>43828</v>
          </cell>
        </row>
        <row r="28939">
          <cell r="A28939">
            <v>43703</v>
          </cell>
        </row>
        <row r="28940">
          <cell r="A28940">
            <v>43766</v>
          </cell>
        </row>
        <row r="28941">
          <cell r="A28941">
            <v>43764</v>
          </cell>
        </row>
        <row r="28942">
          <cell r="A28942">
            <v>43592</v>
          </cell>
        </row>
        <row r="28943">
          <cell r="A28943">
            <v>43735</v>
          </cell>
        </row>
        <row r="28944">
          <cell r="A28944">
            <v>43626</v>
          </cell>
        </row>
        <row r="28945">
          <cell r="A28945">
            <v>43680</v>
          </cell>
        </row>
        <row r="28946">
          <cell r="A28946">
            <v>43304</v>
          </cell>
        </row>
        <row r="28947">
          <cell r="A28947">
            <v>43742</v>
          </cell>
        </row>
        <row r="28948">
          <cell r="A28948">
            <v>43124</v>
          </cell>
        </row>
        <row r="28949">
          <cell r="A28949">
            <v>43746</v>
          </cell>
        </row>
        <row r="28950">
          <cell r="A28950">
            <v>43834</v>
          </cell>
        </row>
        <row r="28951">
          <cell r="A28951">
            <v>43799</v>
          </cell>
        </row>
        <row r="28952">
          <cell r="A28952">
            <v>43921</v>
          </cell>
        </row>
        <row r="28953">
          <cell r="A28953">
            <v>43111</v>
          </cell>
        </row>
        <row r="28954">
          <cell r="A28954">
            <v>43707</v>
          </cell>
        </row>
        <row r="28955">
          <cell r="A28955">
            <v>43141</v>
          </cell>
        </row>
        <row r="28956">
          <cell r="A28956">
            <v>43537</v>
          </cell>
        </row>
        <row r="28957">
          <cell r="A28957">
            <v>43822</v>
          </cell>
        </row>
        <row r="28958">
          <cell r="A28958">
            <v>43174</v>
          </cell>
        </row>
        <row r="28959">
          <cell r="A28959">
            <v>43850</v>
          </cell>
        </row>
        <row r="28960">
          <cell r="A28960">
            <v>43902</v>
          </cell>
        </row>
        <row r="28961">
          <cell r="A28961">
            <v>43874</v>
          </cell>
        </row>
        <row r="28962">
          <cell r="A28962">
            <v>43361</v>
          </cell>
        </row>
        <row r="28963">
          <cell r="A28963">
            <v>43573</v>
          </cell>
        </row>
        <row r="28964">
          <cell r="A28964">
            <v>43507</v>
          </cell>
        </row>
        <row r="28965">
          <cell r="A28965">
            <v>43883</v>
          </cell>
        </row>
        <row r="28966">
          <cell r="A28966">
            <v>43181</v>
          </cell>
        </row>
        <row r="28967">
          <cell r="A28967">
            <v>43725</v>
          </cell>
        </row>
        <row r="28968">
          <cell r="A28968">
            <v>43725</v>
          </cell>
        </row>
        <row r="28969">
          <cell r="A28969">
            <v>43401</v>
          </cell>
        </row>
        <row r="28970">
          <cell r="A28970">
            <v>43397</v>
          </cell>
        </row>
        <row r="28971">
          <cell r="A28971">
            <v>43377</v>
          </cell>
        </row>
        <row r="28972">
          <cell r="A28972">
            <v>43749</v>
          </cell>
        </row>
        <row r="28973">
          <cell r="A28973">
            <v>43763</v>
          </cell>
        </row>
        <row r="28974">
          <cell r="A28974">
            <v>43600</v>
          </cell>
        </row>
        <row r="28975">
          <cell r="A28975">
            <v>43584</v>
          </cell>
        </row>
        <row r="28976">
          <cell r="A28976">
            <v>43478</v>
          </cell>
        </row>
        <row r="28977">
          <cell r="A28977">
            <v>43309</v>
          </cell>
        </row>
        <row r="28978">
          <cell r="A28978">
            <v>43758</v>
          </cell>
        </row>
        <row r="28979">
          <cell r="A28979">
            <v>43122</v>
          </cell>
        </row>
        <row r="28980">
          <cell r="A28980">
            <v>43625</v>
          </cell>
        </row>
        <row r="28981">
          <cell r="A28981">
            <v>43137</v>
          </cell>
        </row>
        <row r="28982">
          <cell r="A28982">
            <v>43696</v>
          </cell>
        </row>
        <row r="28983">
          <cell r="A28983">
            <v>43253</v>
          </cell>
        </row>
        <row r="28984">
          <cell r="A28984">
            <v>43541</v>
          </cell>
        </row>
        <row r="28985">
          <cell r="A28985">
            <v>43470</v>
          </cell>
        </row>
        <row r="28986">
          <cell r="A28986">
            <v>43870</v>
          </cell>
        </row>
        <row r="28987">
          <cell r="A28987">
            <v>43554</v>
          </cell>
        </row>
        <row r="28988">
          <cell r="A28988">
            <v>43888</v>
          </cell>
        </row>
        <row r="28989">
          <cell r="A28989">
            <v>43502</v>
          </cell>
        </row>
        <row r="28990">
          <cell r="A28990">
            <v>43372</v>
          </cell>
        </row>
        <row r="28991">
          <cell r="A28991">
            <v>43897</v>
          </cell>
        </row>
        <row r="28992">
          <cell r="A28992">
            <v>43452</v>
          </cell>
        </row>
        <row r="28993">
          <cell r="A28993">
            <v>43457</v>
          </cell>
        </row>
        <row r="28994">
          <cell r="A28994">
            <v>43387</v>
          </cell>
        </row>
        <row r="28995">
          <cell r="A28995">
            <v>43911</v>
          </cell>
        </row>
        <row r="28996">
          <cell r="A28996">
            <v>43503</v>
          </cell>
        </row>
        <row r="28997">
          <cell r="A28997">
            <v>43377</v>
          </cell>
        </row>
        <row r="28998">
          <cell r="A28998">
            <v>43384</v>
          </cell>
        </row>
        <row r="28999">
          <cell r="A28999">
            <v>43834</v>
          </cell>
        </row>
        <row r="29000">
          <cell r="A29000">
            <v>43849</v>
          </cell>
        </row>
        <row r="29001">
          <cell r="A29001">
            <v>43812</v>
          </cell>
        </row>
        <row r="29002">
          <cell r="A29002">
            <v>43258</v>
          </cell>
        </row>
        <row r="29003">
          <cell r="A29003">
            <v>43485</v>
          </cell>
        </row>
        <row r="29004">
          <cell r="A29004">
            <v>43546</v>
          </cell>
        </row>
        <row r="29005">
          <cell r="A29005">
            <v>43175</v>
          </cell>
        </row>
        <row r="29006">
          <cell r="A29006">
            <v>43191</v>
          </cell>
        </row>
        <row r="29007">
          <cell r="A29007">
            <v>43627</v>
          </cell>
        </row>
        <row r="29008">
          <cell r="A29008">
            <v>43867</v>
          </cell>
        </row>
        <row r="29009">
          <cell r="A29009">
            <v>43440</v>
          </cell>
        </row>
        <row r="29010">
          <cell r="A29010">
            <v>43286</v>
          </cell>
        </row>
        <row r="29011">
          <cell r="A29011">
            <v>43348</v>
          </cell>
        </row>
        <row r="29012">
          <cell r="A29012">
            <v>43731</v>
          </cell>
        </row>
        <row r="29013">
          <cell r="A29013">
            <v>43885</v>
          </cell>
        </row>
        <row r="29014">
          <cell r="A29014">
            <v>43288</v>
          </cell>
        </row>
        <row r="29015">
          <cell r="A29015">
            <v>43512</v>
          </cell>
        </row>
        <row r="29016">
          <cell r="A29016">
            <v>43416</v>
          </cell>
        </row>
        <row r="29017">
          <cell r="A29017">
            <v>43737</v>
          </cell>
        </row>
        <row r="29018">
          <cell r="A29018">
            <v>43719</v>
          </cell>
        </row>
        <row r="29019">
          <cell r="A29019">
            <v>43215</v>
          </cell>
        </row>
        <row r="29020">
          <cell r="A29020">
            <v>43914</v>
          </cell>
        </row>
        <row r="29021">
          <cell r="A29021">
            <v>43549</v>
          </cell>
        </row>
        <row r="29022">
          <cell r="A29022">
            <v>43127</v>
          </cell>
        </row>
        <row r="29023">
          <cell r="A29023">
            <v>43388</v>
          </cell>
        </row>
        <row r="29024">
          <cell r="A29024">
            <v>43101</v>
          </cell>
        </row>
        <row r="29025">
          <cell r="A29025">
            <v>43854</v>
          </cell>
        </row>
        <row r="29026">
          <cell r="A29026">
            <v>43869</v>
          </cell>
        </row>
        <row r="29027">
          <cell r="A29027">
            <v>43660</v>
          </cell>
        </row>
        <row r="29028">
          <cell r="A29028">
            <v>43214</v>
          </cell>
        </row>
        <row r="29029">
          <cell r="A29029">
            <v>43221</v>
          </cell>
        </row>
        <row r="29030">
          <cell r="A29030">
            <v>43635</v>
          </cell>
        </row>
        <row r="29031">
          <cell r="A29031">
            <v>43500</v>
          </cell>
        </row>
        <row r="29032">
          <cell r="A29032">
            <v>43628</v>
          </cell>
        </row>
        <row r="29033">
          <cell r="A29033">
            <v>43676</v>
          </cell>
        </row>
        <row r="29034">
          <cell r="A29034">
            <v>43610</v>
          </cell>
        </row>
        <row r="29035">
          <cell r="A29035">
            <v>43791</v>
          </cell>
        </row>
        <row r="29036">
          <cell r="A29036">
            <v>43403</v>
          </cell>
        </row>
        <row r="29037">
          <cell r="A29037">
            <v>43161</v>
          </cell>
        </row>
        <row r="29038">
          <cell r="A29038">
            <v>43789</v>
          </cell>
        </row>
        <row r="29039">
          <cell r="A29039">
            <v>43422</v>
          </cell>
        </row>
        <row r="29040">
          <cell r="A29040">
            <v>43118</v>
          </cell>
        </row>
        <row r="29041">
          <cell r="A29041">
            <v>43566</v>
          </cell>
        </row>
        <row r="29042">
          <cell r="A29042">
            <v>43584</v>
          </cell>
        </row>
        <row r="29043">
          <cell r="A29043">
            <v>43395</v>
          </cell>
        </row>
        <row r="29044">
          <cell r="A29044">
            <v>43848</v>
          </cell>
        </row>
        <row r="29045">
          <cell r="A29045">
            <v>43116</v>
          </cell>
        </row>
        <row r="29046">
          <cell r="A29046">
            <v>43250</v>
          </cell>
        </row>
        <row r="29047">
          <cell r="A29047">
            <v>43372</v>
          </cell>
        </row>
        <row r="29048">
          <cell r="A29048">
            <v>43610</v>
          </cell>
        </row>
        <row r="29049">
          <cell r="A29049">
            <v>43857</v>
          </cell>
        </row>
        <row r="29050">
          <cell r="A29050">
            <v>43614</v>
          </cell>
        </row>
        <row r="29051">
          <cell r="A29051">
            <v>43462</v>
          </cell>
        </row>
        <row r="29052">
          <cell r="A29052">
            <v>43142</v>
          </cell>
        </row>
        <row r="29053">
          <cell r="A29053">
            <v>43606</v>
          </cell>
        </row>
        <row r="29054">
          <cell r="A29054">
            <v>43215</v>
          </cell>
        </row>
        <row r="29055">
          <cell r="A29055">
            <v>43757</v>
          </cell>
        </row>
        <row r="29056">
          <cell r="A29056">
            <v>43890</v>
          </cell>
        </row>
        <row r="29057">
          <cell r="A29057">
            <v>43579</v>
          </cell>
        </row>
        <row r="29058">
          <cell r="A29058">
            <v>43132</v>
          </cell>
        </row>
        <row r="29059">
          <cell r="A29059">
            <v>43670</v>
          </cell>
        </row>
        <row r="29060">
          <cell r="A29060">
            <v>43143</v>
          </cell>
        </row>
        <row r="29061">
          <cell r="A29061">
            <v>43906</v>
          </cell>
        </row>
        <row r="29062">
          <cell r="A29062">
            <v>43169</v>
          </cell>
        </row>
        <row r="29063">
          <cell r="A29063">
            <v>43319</v>
          </cell>
        </row>
        <row r="29064">
          <cell r="A29064">
            <v>43566</v>
          </cell>
        </row>
        <row r="29065">
          <cell r="A29065">
            <v>43123</v>
          </cell>
        </row>
        <row r="29066">
          <cell r="A29066">
            <v>43366</v>
          </cell>
        </row>
        <row r="29067">
          <cell r="A29067">
            <v>43210</v>
          </cell>
        </row>
        <row r="29068">
          <cell r="A29068">
            <v>43772</v>
          </cell>
        </row>
        <row r="29069">
          <cell r="A29069">
            <v>43746</v>
          </cell>
        </row>
        <row r="29070">
          <cell r="A29070">
            <v>43588</v>
          </cell>
        </row>
        <row r="29071">
          <cell r="A29071">
            <v>43550</v>
          </cell>
        </row>
        <row r="29072">
          <cell r="A29072">
            <v>43281</v>
          </cell>
        </row>
        <row r="29073">
          <cell r="A29073">
            <v>43550</v>
          </cell>
        </row>
        <row r="29074">
          <cell r="A29074">
            <v>43160</v>
          </cell>
        </row>
        <row r="29075">
          <cell r="A29075">
            <v>43122</v>
          </cell>
        </row>
        <row r="29076">
          <cell r="A29076">
            <v>43878</v>
          </cell>
        </row>
        <row r="29077">
          <cell r="A29077">
            <v>43415</v>
          </cell>
        </row>
        <row r="29078">
          <cell r="A29078">
            <v>43352</v>
          </cell>
        </row>
        <row r="29079">
          <cell r="A29079">
            <v>43787</v>
          </cell>
        </row>
        <row r="29080">
          <cell r="A29080">
            <v>43550</v>
          </cell>
        </row>
        <row r="29081">
          <cell r="A29081">
            <v>43863</v>
          </cell>
        </row>
        <row r="29082">
          <cell r="A29082">
            <v>43259</v>
          </cell>
        </row>
        <row r="29083">
          <cell r="A29083">
            <v>43687</v>
          </cell>
        </row>
        <row r="29084">
          <cell r="A29084">
            <v>43171</v>
          </cell>
        </row>
        <row r="29085">
          <cell r="A29085">
            <v>43533</v>
          </cell>
        </row>
        <row r="29086">
          <cell r="A29086">
            <v>43747</v>
          </cell>
        </row>
        <row r="29087">
          <cell r="A29087">
            <v>43821</v>
          </cell>
        </row>
        <row r="29088">
          <cell r="A29088">
            <v>43671</v>
          </cell>
        </row>
        <row r="29089">
          <cell r="A29089">
            <v>43525</v>
          </cell>
        </row>
        <row r="29090">
          <cell r="A29090">
            <v>43479</v>
          </cell>
        </row>
        <row r="29091">
          <cell r="A29091">
            <v>43623</v>
          </cell>
        </row>
        <row r="29092">
          <cell r="A29092">
            <v>43465</v>
          </cell>
        </row>
        <row r="29093">
          <cell r="A29093">
            <v>43915</v>
          </cell>
        </row>
        <row r="29094">
          <cell r="A29094">
            <v>43396</v>
          </cell>
        </row>
        <row r="29095">
          <cell r="A29095">
            <v>43597</v>
          </cell>
        </row>
        <row r="29096">
          <cell r="A29096">
            <v>43641</v>
          </cell>
        </row>
        <row r="29097">
          <cell r="A29097">
            <v>43856</v>
          </cell>
        </row>
        <row r="29098">
          <cell r="A29098">
            <v>43390</v>
          </cell>
        </row>
        <row r="29099">
          <cell r="A29099">
            <v>43435</v>
          </cell>
        </row>
        <row r="29100">
          <cell r="A29100">
            <v>43636</v>
          </cell>
        </row>
        <row r="29101">
          <cell r="A29101">
            <v>43732</v>
          </cell>
        </row>
        <row r="29102">
          <cell r="A29102">
            <v>43747</v>
          </cell>
        </row>
        <row r="29103">
          <cell r="A29103">
            <v>43352</v>
          </cell>
        </row>
        <row r="29104">
          <cell r="A29104">
            <v>43259</v>
          </cell>
        </row>
        <row r="29105">
          <cell r="A29105">
            <v>43613</v>
          </cell>
        </row>
        <row r="29106">
          <cell r="A29106">
            <v>43402</v>
          </cell>
        </row>
        <row r="29107">
          <cell r="A29107">
            <v>43170</v>
          </cell>
        </row>
        <row r="29108">
          <cell r="A29108">
            <v>43657</v>
          </cell>
        </row>
        <row r="29109">
          <cell r="A29109">
            <v>43103</v>
          </cell>
        </row>
        <row r="29110">
          <cell r="A29110">
            <v>43149</v>
          </cell>
        </row>
        <row r="29111">
          <cell r="A29111">
            <v>43352</v>
          </cell>
        </row>
        <row r="29112">
          <cell r="A29112">
            <v>43654</v>
          </cell>
        </row>
        <row r="29113">
          <cell r="A29113">
            <v>43474</v>
          </cell>
        </row>
        <row r="29114">
          <cell r="A29114">
            <v>43867</v>
          </cell>
        </row>
        <row r="29115">
          <cell r="A29115">
            <v>43363</v>
          </cell>
        </row>
        <row r="29116">
          <cell r="A29116">
            <v>43619</v>
          </cell>
        </row>
        <row r="29117">
          <cell r="A29117">
            <v>43422</v>
          </cell>
        </row>
        <row r="29118">
          <cell r="A29118">
            <v>43199</v>
          </cell>
        </row>
        <row r="29119">
          <cell r="A29119">
            <v>43761</v>
          </cell>
        </row>
        <row r="29120">
          <cell r="A29120">
            <v>43310</v>
          </cell>
        </row>
        <row r="29121">
          <cell r="A29121">
            <v>43436</v>
          </cell>
        </row>
        <row r="29122">
          <cell r="A29122">
            <v>43306</v>
          </cell>
        </row>
        <row r="29123">
          <cell r="A29123">
            <v>43728</v>
          </cell>
        </row>
        <row r="29124">
          <cell r="A29124">
            <v>43117</v>
          </cell>
        </row>
        <row r="29125">
          <cell r="A29125">
            <v>43472</v>
          </cell>
        </row>
        <row r="29126">
          <cell r="A29126">
            <v>43474</v>
          </cell>
        </row>
        <row r="29127">
          <cell r="A29127">
            <v>43101</v>
          </cell>
        </row>
        <row r="29128">
          <cell r="A29128">
            <v>43697</v>
          </cell>
        </row>
        <row r="29129">
          <cell r="A29129">
            <v>43310</v>
          </cell>
        </row>
        <row r="29130">
          <cell r="A29130">
            <v>43719</v>
          </cell>
        </row>
        <row r="29131">
          <cell r="A29131">
            <v>43583</v>
          </cell>
        </row>
        <row r="29132">
          <cell r="A29132">
            <v>43188</v>
          </cell>
        </row>
        <row r="29133">
          <cell r="A29133">
            <v>43682</v>
          </cell>
        </row>
        <row r="29134">
          <cell r="A29134">
            <v>43612</v>
          </cell>
        </row>
        <row r="29135">
          <cell r="A29135">
            <v>43669</v>
          </cell>
        </row>
        <row r="29136">
          <cell r="A29136">
            <v>43638</v>
          </cell>
        </row>
        <row r="29137">
          <cell r="A29137">
            <v>43124</v>
          </cell>
        </row>
        <row r="29138">
          <cell r="A29138">
            <v>43401</v>
          </cell>
        </row>
        <row r="29139">
          <cell r="A29139">
            <v>43120</v>
          </cell>
        </row>
        <row r="29140">
          <cell r="A29140">
            <v>43559</v>
          </cell>
        </row>
        <row r="29141">
          <cell r="A29141">
            <v>43386</v>
          </cell>
        </row>
        <row r="29142">
          <cell r="A29142">
            <v>43643</v>
          </cell>
        </row>
        <row r="29143">
          <cell r="A29143">
            <v>43132</v>
          </cell>
        </row>
        <row r="29144">
          <cell r="A29144">
            <v>43326</v>
          </cell>
        </row>
        <row r="29145">
          <cell r="A29145">
            <v>43280</v>
          </cell>
        </row>
        <row r="29146">
          <cell r="A29146">
            <v>43267</v>
          </cell>
        </row>
        <row r="29147">
          <cell r="A29147">
            <v>43530</v>
          </cell>
        </row>
        <row r="29148">
          <cell r="A29148">
            <v>43861</v>
          </cell>
        </row>
        <row r="29149">
          <cell r="A29149">
            <v>43882</v>
          </cell>
        </row>
        <row r="29150">
          <cell r="A29150">
            <v>43796</v>
          </cell>
        </row>
        <row r="29151">
          <cell r="A29151">
            <v>43335</v>
          </cell>
        </row>
        <row r="29152">
          <cell r="A29152">
            <v>43690</v>
          </cell>
        </row>
        <row r="29153">
          <cell r="A29153">
            <v>43366</v>
          </cell>
        </row>
        <row r="29154">
          <cell r="A29154">
            <v>43393</v>
          </cell>
        </row>
        <row r="29155">
          <cell r="A29155">
            <v>43836</v>
          </cell>
        </row>
        <row r="29156">
          <cell r="A29156">
            <v>43720</v>
          </cell>
        </row>
        <row r="29157">
          <cell r="A29157">
            <v>43813</v>
          </cell>
        </row>
        <row r="29158">
          <cell r="A29158">
            <v>43480</v>
          </cell>
        </row>
        <row r="29159">
          <cell r="A29159">
            <v>43744</v>
          </cell>
        </row>
        <row r="29160">
          <cell r="A29160">
            <v>43430</v>
          </cell>
        </row>
        <row r="29161">
          <cell r="A29161">
            <v>43197</v>
          </cell>
        </row>
        <row r="29162">
          <cell r="A29162">
            <v>43356</v>
          </cell>
        </row>
        <row r="29163">
          <cell r="A29163">
            <v>43762</v>
          </cell>
        </row>
        <row r="29164">
          <cell r="A29164">
            <v>43704</v>
          </cell>
        </row>
        <row r="29165">
          <cell r="A29165">
            <v>43366</v>
          </cell>
        </row>
        <row r="29166">
          <cell r="A29166">
            <v>43727</v>
          </cell>
        </row>
        <row r="29167">
          <cell r="A29167">
            <v>43820</v>
          </cell>
        </row>
        <row r="29168">
          <cell r="A29168">
            <v>43832</v>
          </cell>
        </row>
        <row r="29169">
          <cell r="A29169">
            <v>43512</v>
          </cell>
        </row>
        <row r="29170">
          <cell r="A29170">
            <v>43660</v>
          </cell>
        </row>
        <row r="29171">
          <cell r="A29171">
            <v>43232</v>
          </cell>
        </row>
        <row r="29172">
          <cell r="A29172">
            <v>43507</v>
          </cell>
        </row>
        <row r="29173">
          <cell r="A29173">
            <v>43498</v>
          </cell>
        </row>
        <row r="29174">
          <cell r="A29174">
            <v>43645</v>
          </cell>
        </row>
        <row r="29175">
          <cell r="A29175">
            <v>43720</v>
          </cell>
        </row>
        <row r="29176">
          <cell r="A29176">
            <v>43147</v>
          </cell>
        </row>
        <row r="29177">
          <cell r="A29177">
            <v>43503</v>
          </cell>
        </row>
        <row r="29178">
          <cell r="A29178">
            <v>43354</v>
          </cell>
        </row>
        <row r="29179">
          <cell r="A29179">
            <v>43562</v>
          </cell>
        </row>
        <row r="29180">
          <cell r="A29180">
            <v>43466</v>
          </cell>
        </row>
        <row r="29181">
          <cell r="A29181">
            <v>43223</v>
          </cell>
        </row>
        <row r="29182">
          <cell r="A29182">
            <v>43612</v>
          </cell>
        </row>
        <row r="29183">
          <cell r="A29183">
            <v>43780</v>
          </cell>
        </row>
        <row r="29184">
          <cell r="A29184">
            <v>43178</v>
          </cell>
        </row>
        <row r="29185">
          <cell r="A29185">
            <v>43152</v>
          </cell>
        </row>
        <row r="29186">
          <cell r="A29186">
            <v>43584</v>
          </cell>
        </row>
        <row r="29187">
          <cell r="A29187">
            <v>43882</v>
          </cell>
        </row>
        <row r="29188">
          <cell r="A29188">
            <v>43897</v>
          </cell>
        </row>
        <row r="29189">
          <cell r="A29189">
            <v>43481</v>
          </cell>
        </row>
        <row r="29190">
          <cell r="A29190">
            <v>43535</v>
          </cell>
        </row>
        <row r="29191">
          <cell r="A29191">
            <v>43175</v>
          </cell>
        </row>
        <row r="29192">
          <cell r="A29192">
            <v>43472</v>
          </cell>
        </row>
        <row r="29193">
          <cell r="A29193">
            <v>43829</v>
          </cell>
        </row>
        <row r="29194">
          <cell r="A29194">
            <v>43898</v>
          </cell>
        </row>
        <row r="29195">
          <cell r="A29195">
            <v>43637</v>
          </cell>
        </row>
        <row r="29196">
          <cell r="A29196">
            <v>43520</v>
          </cell>
        </row>
        <row r="29197">
          <cell r="A29197">
            <v>43640</v>
          </cell>
        </row>
        <row r="29198">
          <cell r="A29198">
            <v>43376</v>
          </cell>
        </row>
        <row r="29199">
          <cell r="A29199">
            <v>43185</v>
          </cell>
        </row>
        <row r="29200">
          <cell r="A29200">
            <v>43601</v>
          </cell>
        </row>
        <row r="29201">
          <cell r="A29201">
            <v>43155</v>
          </cell>
        </row>
        <row r="29202">
          <cell r="A29202">
            <v>43189</v>
          </cell>
        </row>
        <row r="29203">
          <cell r="A29203">
            <v>43564</v>
          </cell>
        </row>
        <row r="29204">
          <cell r="A29204">
            <v>43455</v>
          </cell>
        </row>
        <row r="29205">
          <cell r="A29205">
            <v>43302</v>
          </cell>
        </row>
        <row r="29206">
          <cell r="A29206">
            <v>43431</v>
          </cell>
        </row>
        <row r="29207">
          <cell r="A29207">
            <v>43406</v>
          </cell>
        </row>
        <row r="29208">
          <cell r="A29208">
            <v>43515</v>
          </cell>
        </row>
        <row r="29209">
          <cell r="A29209">
            <v>43567</v>
          </cell>
        </row>
        <row r="29210">
          <cell r="A29210">
            <v>43254</v>
          </cell>
        </row>
        <row r="29211">
          <cell r="A29211">
            <v>43829</v>
          </cell>
        </row>
        <row r="29212">
          <cell r="A29212">
            <v>43245</v>
          </cell>
        </row>
        <row r="29213">
          <cell r="A29213">
            <v>43247</v>
          </cell>
        </row>
        <row r="29214">
          <cell r="A29214">
            <v>43505</v>
          </cell>
        </row>
        <row r="29215">
          <cell r="A29215">
            <v>43706</v>
          </cell>
        </row>
        <row r="29216">
          <cell r="A29216">
            <v>43777</v>
          </cell>
        </row>
        <row r="29217">
          <cell r="A29217">
            <v>43370</v>
          </cell>
        </row>
        <row r="29218">
          <cell r="A29218">
            <v>43564</v>
          </cell>
        </row>
        <row r="29219">
          <cell r="A29219">
            <v>43500</v>
          </cell>
        </row>
        <row r="29220">
          <cell r="A29220">
            <v>43532</v>
          </cell>
        </row>
        <row r="29221">
          <cell r="A29221">
            <v>43728</v>
          </cell>
        </row>
        <row r="29222">
          <cell r="A29222">
            <v>43568</v>
          </cell>
        </row>
        <row r="29223">
          <cell r="A29223">
            <v>43157</v>
          </cell>
        </row>
        <row r="29224">
          <cell r="A29224">
            <v>43402</v>
          </cell>
        </row>
        <row r="29225">
          <cell r="A29225">
            <v>43467</v>
          </cell>
        </row>
        <row r="29226">
          <cell r="A29226">
            <v>43642</v>
          </cell>
        </row>
        <row r="29227">
          <cell r="A29227">
            <v>43287</v>
          </cell>
        </row>
        <row r="29228">
          <cell r="A29228">
            <v>43305</v>
          </cell>
        </row>
        <row r="29229">
          <cell r="A29229">
            <v>43641</v>
          </cell>
        </row>
        <row r="29230">
          <cell r="A29230">
            <v>43733</v>
          </cell>
        </row>
        <row r="29231">
          <cell r="A29231">
            <v>43773</v>
          </cell>
        </row>
        <row r="29232">
          <cell r="A29232">
            <v>43678</v>
          </cell>
        </row>
        <row r="29233">
          <cell r="A29233">
            <v>43234</v>
          </cell>
        </row>
        <row r="29234">
          <cell r="A29234">
            <v>43507</v>
          </cell>
        </row>
        <row r="29235">
          <cell r="A29235">
            <v>43590</v>
          </cell>
        </row>
        <row r="29236">
          <cell r="A29236">
            <v>43326</v>
          </cell>
        </row>
        <row r="29237">
          <cell r="A29237">
            <v>43634</v>
          </cell>
        </row>
        <row r="29238">
          <cell r="A29238">
            <v>43232</v>
          </cell>
        </row>
        <row r="29239">
          <cell r="A29239">
            <v>43913</v>
          </cell>
        </row>
        <row r="29240">
          <cell r="A29240">
            <v>43427</v>
          </cell>
        </row>
        <row r="29241">
          <cell r="A29241">
            <v>43458</v>
          </cell>
        </row>
        <row r="29242">
          <cell r="A29242">
            <v>43752</v>
          </cell>
        </row>
        <row r="29243">
          <cell r="A29243">
            <v>43721</v>
          </cell>
        </row>
        <row r="29244">
          <cell r="A29244">
            <v>43282</v>
          </cell>
        </row>
        <row r="29245">
          <cell r="A29245">
            <v>43615</v>
          </cell>
        </row>
        <row r="29246">
          <cell r="A29246">
            <v>43168</v>
          </cell>
        </row>
        <row r="29247">
          <cell r="A29247">
            <v>43828</v>
          </cell>
        </row>
        <row r="29248">
          <cell r="A29248">
            <v>43663</v>
          </cell>
        </row>
        <row r="29249">
          <cell r="A29249">
            <v>43506</v>
          </cell>
        </row>
        <row r="29250">
          <cell r="A29250">
            <v>43795</v>
          </cell>
        </row>
        <row r="29251">
          <cell r="A29251">
            <v>43272</v>
          </cell>
        </row>
        <row r="29252">
          <cell r="A29252">
            <v>43836</v>
          </cell>
        </row>
        <row r="29253">
          <cell r="A29253">
            <v>43630</v>
          </cell>
        </row>
        <row r="29254">
          <cell r="A29254">
            <v>43889</v>
          </cell>
        </row>
        <row r="29255">
          <cell r="A29255">
            <v>43192</v>
          </cell>
        </row>
        <row r="29256">
          <cell r="A29256">
            <v>43525</v>
          </cell>
        </row>
        <row r="29257">
          <cell r="A29257">
            <v>43632</v>
          </cell>
        </row>
        <row r="29258">
          <cell r="A29258">
            <v>43712</v>
          </cell>
        </row>
        <row r="29259">
          <cell r="A29259">
            <v>43678</v>
          </cell>
        </row>
        <row r="29260">
          <cell r="A29260">
            <v>43682</v>
          </cell>
        </row>
        <row r="29261">
          <cell r="A29261">
            <v>43740</v>
          </cell>
        </row>
        <row r="29262">
          <cell r="A29262">
            <v>43482</v>
          </cell>
        </row>
        <row r="29263">
          <cell r="A29263">
            <v>43868</v>
          </cell>
        </row>
        <row r="29264">
          <cell r="A29264">
            <v>43698</v>
          </cell>
        </row>
        <row r="29265">
          <cell r="A29265">
            <v>43459</v>
          </cell>
        </row>
        <row r="29266">
          <cell r="A29266">
            <v>43174</v>
          </cell>
        </row>
        <row r="29267">
          <cell r="A29267">
            <v>43570</v>
          </cell>
        </row>
        <row r="29268">
          <cell r="A29268">
            <v>43235</v>
          </cell>
        </row>
        <row r="29269">
          <cell r="A29269">
            <v>43241</v>
          </cell>
        </row>
        <row r="29270">
          <cell r="A29270">
            <v>43894</v>
          </cell>
        </row>
        <row r="29271">
          <cell r="A29271">
            <v>43880</v>
          </cell>
        </row>
        <row r="29272">
          <cell r="A29272">
            <v>43858</v>
          </cell>
        </row>
        <row r="29273">
          <cell r="A29273">
            <v>43908</v>
          </cell>
        </row>
        <row r="29274">
          <cell r="A29274">
            <v>43339</v>
          </cell>
        </row>
        <row r="29275">
          <cell r="A29275">
            <v>43234</v>
          </cell>
        </row>
        <row r="29276">
          <cell r="A29276">
            <v>43800</v>
          </cell>
        </row>
        <row r="29277">
          <cell r="A29277">
            <v>43284</v>
          </cell>
        </row>
        <row r="29278">
          <cell r="A29278">
            <v>43435</v>
          </cell>
        </row>
        <row r="29279">
          <cell r="A29279">
            <v>43815</v>
          </cell>
        </row>
        <row r="29280">
          <cell r="A29280">
            <v>43508</v>
          </cell>
        </row>
        <row r="29281">
          <cell r="A29281">
            <v>43663</v>
          </cell>
        </row>
        <row r="29282">
          <cell r="A29282">
            <v>43672</v>
          </cell>
        </row>
        <row r="29283">
          <cell r="A29283">
            <v>43667</v>
          </cell>
        </row>
        <row r="29284">
          <cell r="A29284">
            <v>43921</v>
          </cell>
        </row>
        <row r="29285">
          <cell r="A29285">
            <v>43296</v>
          </cell>
        </row>
        <row r="29286">
          <cell r="A29286">
            <v>43657</v>
          </cell>
        </row>
        <row r="29287">
          <cell r="A29287">
            <v>43530</v>
          </cell>
        </row>
        <row r="29288">
          <cell r="A29288">
            <v>43572</v>
          </cell>
        </row>
        <row r="29289">
          <cell r="A29289">
            <v>43220</v>
          </cell>
        </row>
        <row r="29290">
          <cell r="A29290">
            <v>43142</v>
          </cell>
        </row>
        <row r="29291">
          <cell r="A29291">
            <v>43431</v>
          </cell>
        </row>
        <row r="29292">
          <cell r="A29292">
            <v>43728</v>
          </cell>
        </row>
        <row r="29293">
          <cell r="A29293">
            <v>43241</v>
          </cell>
        </row>
        <row r="29294">
          <cell r="A29294">
            <v>43129</v>
          </cell>
        </row>
        <row r="29295">
          <cell r="A29295">
            <v>43656</v>
          </cell>
        </row>
        <row r="29296">
          <cell r="A29296">
            <v>43911</v>
          </cell>
        </row>
        <row r="29297">
          <cell r="A29297">
            <v>43604</v>
          </cell>
        </row>
        <row r="29298">
          <cell r="A29298">
            <v>43195</v>
          </cell>
        </row>
        <row r="29299">
          <cell r="A29299">
            <v>43254</v>
          </cell>
        </row>
        <row r="29300">
          <cell r="A29300">
            <v>43725</v>
          </cell>
        </row>
        <row r="29301">
          <cell r="A29301">
            <v>43475</v>
          </cell>
        </row>
        <row r="29302">
          <cell r="A29302">
            <v>43658</v>
          </cell>
        </row>
        <row r="29303">
          <cell r="A29303">
            <v>43127</v>
          </cell>
        </row>
        <row r="29304">
          <cell r="A29304">
            <v>43859</v>
          </cell>
        </row>
        <row r="29305">
          <cell r="A29305">
            <v>43431</v>
          </cell>
        </row>
        <row r="29306">
          <cell r="A29306">
            <v>43271</v>
          </cell>
        </row>
        <row r="29307">
          <cell r="A29307">
            <v>43464</v>
          </cell>
        </row>
        <row r="29308">
          <cell r="A29308">
            <v>43380</v>
          </cell>
        </row>
        <row r="29309">
          <cell r="A29309">
            <v>43747</v>
          </cell>
        </row>
        <row r="29310">
          <cell r="A29310">
            <v>43868</v>
          </cell>
        </row>
        <row r="29311">
          <cell r="A29311">
            <v>43753</v>
          </cell>
        </row>
        <row r="29312">
          <cell r="A29312">
            <v>43341</v>
          </cell>
        </row>
        <row r="29313">
          <cell r="A29313">
            <v>43295</v>
          </cell>
        </row>
        <row r="29314">
          <cell r="A29314">
            <v>43161</v>
          </cell>
        </row>
        <row r="29315">
          <cell r="A29315">
            <v>43479</v>
          </cell>
        </row>
        <row r="29316">
          <cell r="A29316">
            <v>43286</v>
          </cell>
        </row>
        <row r="29317">
          <cell r="A29317">
            <v>43258</v>
          </cell>
        </row>
        <row r="29318">
          <cell r="A29318">
            <v>43727</v>
          </cell>
        </row>
        <row r="29319">
          <cell r="A29319">
            <v>43101</v>
          </cell>
        </row>
        <row r="29320">
          <cell r="A29320">
            <v>43236</v>
          </cell>
        </row>
        <row r="29321">
          <cell r="A29321">
            <v>43876</v>
          </cell>
        </row>
        <row r="29322">
          <cell r="A29322">
            <v>43769</v>
          </cell>
        </row>
        <row r="29323">
          <cell r="A29323">
            <v>43604</v>
          </cell>
        </row>
        <row r="29324">
          <cell r="A29324">
            <v>43862</v>
          </cell>
        </row>
        <row r="29325">
          <cell r="A29325">
            <v>43338</v>
          </cell>
        </row>
        <row r="29326">
          <cell r="A29326">
            <v>43141</v>
          </cell>
        </row>
        <row r="29327">
          <cell r="A29327">
            <v>43434</v>
          </cell>
        </row>
        <row r="29328">
          <cell r="A29328">
            <v>43509</v>
          </cell>
        </row>
        <row r="29329">
          <cell r="A29329">
            <v>43553</v>
          </cell>
        </row>
        <row r="29330">
          <cell r="A29330">
            <v>43872</v>
          </cell>
        </row>
        <row r="29331">
          <cell r="A29331">
            <v>43481</v>
          </cell>
        </row>
        <row r="29332">
          <cell r="A29332">
            <v>43362</v>
          </cell>
        </row>
        <row r="29333">
          <cell r="A29333">
            <v>43851</v>
          </cell>
        </row>
        <row r="29334">
          <cell r="A29334">
            <v>43131</v>
          </cell>
        </row>
        <row r="29335">
          <cell r="A29335">
            <v>43318</v>
          </cell>
        </row>
        <row r="29336">
          <cell r="A29336">
            <v>43125</v>
          </cell>
        </row>
        <row r="29337">
          <cell r="A29337">
            <v>43320</v>
          </cell>
        </row>
        <row r="29338">
          <cell r="A29338">
            <v>43134</v>
          </cell>
        </row>
        <row r="29339">
          <cell r="A29339">
            <v>43458</v>
          </cell>
        </row>
        <row r="29340">
          <cell r="A29340">
            <v>43912</v>
          </cell>
        </row>
        <row r="29341">
          <cell r="A29341">
            <v>43503</v>
          </cell>
        </row>
        <row r="29342">
          <cell r="A29342">
            <v>43406</v>
          </cell>
        </row>
        <row r="29343">
          <cell r="A29343">
            <v>43450</v>
          </cell>
        </row>
        <row r="29344">
          <cell r="A29344">
            <v>43149</v>
          </cell>
        </row>
        <row r="29345">
          <cell r="A29345">
            <v>43756</v>
          </cell>
        </row>
        <row r="29346">
          <cell r="A29346">
            <v>43600</v>
          </cell>
        </row>
        <row r="29347">
          <cell r="A29347">
            <v>43299</v>
          </cell>
        </row>
        <row r="29348">
          <cell r="A29348">
            <v>43696</v>
          </cell>
        </row>
        <row r="29349">
          <cell r="A29349">
            <v>43111</v>
          </cell>
        </row>
        <row r="29350">
          <cell r="A29350">
            <v>43143</v>
          </cell>
        </row>
        <row r="29351">
          <cell r="A29351">
            <v>43467</v>
          </cell>
        </row>
        <row r="29352">
          <cell r="A29352">
            <v>43679</v>
          </cell>
        </row>
        <row r="29353">
          <cell r="A29353">
            <v>43612</v>
          </cell>
        </row>
        <row r="29354">
          <cell r="A29354">
            <v>43435</v>
          </cell>
        </row>
        <row r="29355">
          <cell r="A29355">
            <v>43375</v>
          </cell>
        </row>
        <row r="29356">
          <cell r="A29356">
            <v>43257</v>
          </cell>
        </row>
        <row r="29357">
          <cell r="A29357">
            <v>43418</v>
          </cell>
        </row>
        <row r="29358">
          <cell r="A29358">
            <v>43847</v>
          </cell>
        </row>
        <row r="29359">
          <cell r="A29359">
            <v>43904</v>
          </cell>
        </row>
        <row r="29360">
          <cell r="A29360">
            <v>43648</v>
          </cell>
        </row>
        <row r="29361">
          <cell r="A29361">
            <v>43238</v>
          </cell>
        </row>
        <row r="29362">
          <cell r="A29362">
            <v>43694</v>
          </cell>
        </row>
        <row r="29363">
          <cell r="A29363">
            <v>43631</v>
          </cell>
        </row>
        <row r="29364">
          <cell r="A29364">
            <v>43636</v>
          </cell>
        </row>
        <row r="29365">
          <cell r="A29365">
            <v>43532</v>
          </cell>
        </row>
        <row r="29366">
          <cell r="A29366">
            <v>43678</v>
          </cell>
        </row>
        <row r="29367">
          <cell r="A29367">
            <v>43232</v>
          </cell>
        </row>
        <row r="29368">
          <cell r="A29368">
            <v>43814</v>
          </cell>
        </row>
        <row r="29369">
          <cell r="A29369">
            <v>43553</v>
          </cell>
        </row>
        <row r="29370">
          <cell r="A29370">
            <v>43184</v>
          </cell>
        </row>
        <row r="29371">
          <cell r="A29371">
            <v>43365</v>
          </cell>
        </row>
        <row r="29372">
          <cell r="A29372">
            <v>43328</v>
          </cell>
        </row>
        <row r="29373">
          <cell r="A29373">
            <v>43338</v>
          </cell>
        </row>
        <row r="29374">
          <cell r="A29374">
            <v>43197</v>
          </cell>
        </row>
        <row r="29375">
          <cell r="A29375">
            <v>43308</v>
          </cell>
        </row>
        <row r="29376">
          <cell r="A29376">
            <v>43307</v>
          </cell>
        </row>
        <row r="29377">
          <cell r="A29377">
            <v>43658</v>
          </cell>
        </row>
        <row r="29378">
          <cell r="A29378">
            <v>43581</v>
          </cell>
        </row>
        <row r="29379">
          <cell r="A29379">
            <v>43523</v>
          </cell>
        </row>
        <row r="29380">
          <cell r="A29380">
            <v>43304</v>
          </cell>
        </row>
        <row r="29381">
          <cell r="A29381">
            <v>43137</v>
          </cell>
        </row>
        <row r="29382">
          <cell r="A29382">
            <v>43745</v>
          </cell>
        </row>
        <row r="29383">
          <cell r="A29383">
            <v>43663</v>
          </cell>
        </row>
        <row r="29384">
          <cell r="A29384">
            <v>43795</v>
          </cell>
        </row>
        <row r="29385">
          <cell r="A29385">
            <v>43573</v>
          </cell>
        </row>
        <row r="29386">
          <cell r="A29386">
            <v>43285</v>
          </cell>
        </row>
        <row r="29387">
          <cell r="A29387">
            <v>43491</v>
          </cell>
        </row>
        <row r="29388">
          <cell r="A29388">
            <v>43882</v>
          </cell>
        </row>
        <row r="29389">
          <cell r="A29389">
            <v>43231</v>
          </cell>
        </row>
        <row r="29390">
          <cell r="A29390">
            <v>43453</v>
          </cell>
        </row>
        <row r="29391">
          <cell r="A29391">
            <v>43727</v>
          </cell>
        </row>
        <row r="29392">
          <cell r="A29392">
            <v>43560</v>
          </cell>
        </row>
        <row r="29393">
          <cell r="A29393">
            <v>43278</v>
          </cell>
        </row>
        <row r="29394">
          <cell r="A29394">
            <v>43716</v>
          </cell>
        </row>
        <row r="29395">
          <cell r="A29395">
            <v>43319</v>
          </cell>
        </row>
        <row r="29396">
          <cell r="A29396">
            <v>43755</v>
          </cell>
        </row>
        <row r="29397">
          <cell r="A29397">
            <v>43132</v>
          </cell>
        </row>
        <row r="29398">
          <cell r="A29398">
            <v>43892</v>
          </cell>
        </row>
        <row r="29399">
          <cell r="A29399">
            <v>43218</v>
          </cell>
        </row>
        <row r="29400">
          <cell r="A29400">
            <v>43309</v>
          </cell>
        </row>
        <row r="29401">
          <cell r="A29401">
            <v>43138</v>
          </cell>
        </row>
        <row r="29402">
          <cell r="A29402">
            <v>43362</v>
          </cell>
        </row>
        <row r="29403">
          <cell r="A29403">
            <v>43750</v>
          </cell>
        </row>
        <row r="29404">
          <cell r="A29404">
            <v>43730</v>
          </cell>
        </row>
        <row r="29405">
          <cell r="A29405">
            <v>43491</v>
          </cell>
        </row>
        <row r="29406">
          <cell r="A29406">
            <v>43316</v>
          </cell>
        </row>
        <row r="29407">
          <cell r="A29407">
            <v>43539</v>
          </cell>
        </row>
        <row r="29408">
          <cell r="A29408">
            <v>43483</v>
          </cell>
        </row>
        <row r="29409">
          <cell r="A29409">
            <v>43256</v>
          </cell>
        </row>
        <row r="29410">
          <cell r="A29410">
            <v>43916</v>
          </cell>
        </row>
        <row r="29411">
          <cell r="A29411">
            <v>43572</v>
          </cell>
        </row>
        <row r="29412">
          <cell r="A29412">
            <v>43156</v>
          </cell>
        </row>
        <row r="29413">
          <cell r="A29413">
            <v>43341</v>
          </cell>
        </row>
        <row r="29414">
          <cell r="A29414">
            <v>43492</v>
          </cell>
        </row>
        <row r="29415">
          <cell r="A29415">
            <v>43503</v>
          </cell>
        </row>
        <row r="29416">
          <cell r="A29416">
            <v>43756</v>
          </cell>
        </row>
        <row r="29417">
          <cell r="A29417">
            <v>43344</v>
          </cell>
        </row>
        <row r="29418">
          <cell r="A29418">
            <v>43829</v>
          </cell>
        </row>
        <row r="29419">
          <cell r="A29419">
            <v>43256</v>
          </cell>
        </row>
        <row r="29420">
          <cell r="A29420">
            <v>43259</v>
          </cell>
        </row>
        <row r="29421">
          <cell r="A29421">
            <v>43340</v>
          </cell>
        </row>
        <row r="29422">
          <cell r="A29422">
            <v>43637</v>
          </cell>
        </row>
        <row r="29423">
          <cell r="A29423">
            <v>43293</v>
          </cell>
        </row>
        <row r="29424">
          <cell r="A29424">
            <v>43668</v>
          </cell>
        </row>
        <row r="29425">
          <cell r="A29425">
            <v>43474</v>
          </cell>
        </row>
        <row r="29426">
          <cell r="A29426">
            <v>43724</v>
          </cell>
        </row>
        <row r="29427">
          <cell r="A29427">
            <v>43205</v>
          </cell>
        </row>
        <row r="29428">
          <cell r="A29428">
            <v>43839</v>
          </cell>
        </row>
        <row r="29429">
          <cell r="A29429">
            <v>43695</v>
          </cell>
        </row>
        <row r="29430">
          <cell r="A29430">
            <v>43589</v>
          </cell>
        </row>
        <row r="29431">
          <cell r="A29431">
            <v>43165</v>
          </cell>
        </row>
        <row r="29432">
          <cell r="A29432">
            <v>43194</v>
          </cell>
        </row>
        <row r="29433">
          <cell r="A29433">
            <v>43200</v>
          </cell>
        </row>
        <row r="29434">
          <cell r="A29434">
            <v>43621</v>
          </cell>
        </row>
        <row r="29435">
          <cell r="A29435">
            <v>43497</v>
          </cell>
        </row>
        <row r="29436">
          <cell r="A29436">
            <v>43136</v>
          </cell>
        </row>
        <row r="29437">
          <cell r="A29437">
            <v>43903</v>
          </cell>
        </row>
        <row r="29438">
          <cell r="A29438">
            <v>43731</v>
          </cell>
        </row>
        <row r="29439">
          <cell r="A29439">
            <v>43502</v>
          </cell>
        </row>
        <row r="29440">
          <cell r="A29440">
            <v>43467</v>
          </cell>
        </row>
        <row r="29441">
          <cell r="A29441">
            <v>43585</v>
          </cell>
        </row>
        <row r="29442">
          <cell r="A29442">
            <v>43588</v>
          </cell>
        </row>
        <row r="29443">
          <cell r="A29443">
            <v>43784</v>
          </cell>
        </row>
        <row r="29444">
          <cell r="A29444">
            <v>43826</v>
          </cell>
        </row>
        <row r="29445">
          <cell r="A29445">
            <v>43323</v>
          </cell>
        </row>
        <row r="29446">
          <cell r="A29446">
            <v>43265</v>
          </cell>
        </row>
        <row r="29447">
          <cell r="A29447">
            <v>43348</v>
          </cell>
        </row>
        <row r="29448">
          <cell r="A29448">
            <v>43655</v>
          </cell>
        </row>
        <row r="29449">
          <cell r="A29449">
            <v>43770</v>
          </cell>
        </row>
        <row r="29450">
          <cell r="A29450">
            <v>43402</v>
          </cell>
        </row>
        <row r="29451">
          <cell r="A29451">
            <v>43626</v>
          </cell>
        </row>
        <row r="29452">
          <cell r="A29452">
            <v>43586</v>
          </cell>
        </row>
        <row r="29453">
          <cell r="A29453">
            <v>43126</v>
          </cell>
        </row>
        <row r="29454">
          <cell r="A29454">
            <v>43736</v>
          </cell>
        </row>
        <row r="29455">
          <cell r="A29455">
            <v>43202</v>
          </cell>
        </row>
        <row r="29456">
          <cell r="A29456">
            <v>43728</v>
          </cell>
        </row>
        <row r="29457">
          <cell r="A29457">
            <v>43159</v>
          </cell>
        </row>
        <row r="29458">
          <cell r="A29458">
            <v>43600</v>
          </cell>
        </row>
        <row r="29459">
          <cell r="A29459">
            <v>43503</v>
          </cell>
        </row>
        <row r="29460">
          <cell r="A29460">
            <v>43212</v>
          </cell>
        </row>
        <row r="29461">
          <cell r="A29461">
            <v>43579</v>
          </cell>
        </row>
        <row r="29462">
          <cell r="A29462">
            <v>43220</v>
          </cell>
        </row>
        <row r="29463">
          <cell r="A29463">
            <v>43736</v>
          </cell>
        </row>
        <row r="29464">
          <cell r="A29464">
            <v>43620</v>
          </cell>
        </row>
        <row r="29465">
          <cell r="A29465">
            <v>43867</v>
          </cell>
        </row>
        <row r="29466">
          <cell r="A29466">
            <v>43228</v>
          </cell>
        </row>
        <row r="29467">
          <cell r="A29467">
            <v>43789</v>
          </cell>
        </row>
        <row r="29468">
          <cell r="A29468">
            <v>43387</v>
          </cell>
        </row>
        <row r="29469">
          <cell r="A29469">
            <v>43142</v>
          </cell>
        </row>
        <row r="29470">
          <cell r="A29470">
            <v>43224</v>
          </cell>
        </row>
        <row r="29471">
          <cell r="A29471">
            <v>43733</v>
          </cell>
        </row>
        <row r="29472">
          <cell r="A29472">
            <v>43285</v>
          </cell>
        </row>
        <row r="29473">
          <cell r="A29473">
            <v>43443</v>
          </cell>
        </row>
        <row r="29474">
          <cell r="A29474">
            <v>43516</v>
          </cell>
        </row>
        <row r="29475">
          <cell r="A29475">
            <v>43696</v>
          </cell>
        </row>
        <row r="29476">
          <cell r="A29476">
            <v>43543</v>
          </cell>
        </row>
        <row r="29477">
          <cell r="A29477">
            <v>43764</v>
          </cell>
        </row>
        <row r="29478">
          <cell r="A29478">
            <v>43603</v>
          </cell>
        </row>
        <row r="29479">
          <cell r="A29479">
            <v>43207</v>
          </cell>
        </row>
        <row r="29480">
          <cell r="A29480">
            <v>43552</v>
          </cell>
        </row>
        <row r="29481">
          <cell r="A29481">
            <v>43882</v>
          </cell>
        </row>
        <row r="29482">
          <cell r="A29482">
            <v>43759</v>
          </cell>
        </row>
        <row r="29483">
          <cell r="A29483">
            <v>43702</v>
          </cell>
        </row>
        <row r="29484">
          <cell r="A29484">
            <v>43537</v>
          </cell>
        </row>
        <row r="29485">
          <cell r="A29485">
            <v>43142</v>
          </cell>
        </row>
        <row r="29486">
          <cell r="A29486">
            <v>43463</v>
          </cell>
        </row>
        <row r="29487">
          <cell r="A29487">
            <v>43683</v>
          </cell>
        </row>
        <row r="29488">
          <cell r="A29488">
            <v>43327</v>
          </cell>
        </row>
        <row r="29489">
          <cell r="A29489">
            <v>43369</v>
          </cell>
        </row>
        <row r="29490">
          <cell r="A29490">
            <v>43483</v>
          </cell>
        </row>
        <row r="29491">
          <cell r="A29491">
            <v>43887</v>
          </cell>
        </row>
        <row r="29492">
          <cell r="A29492">
            <v>43273</v>
          </cell>
        </row>
        <row r="29493">
          <cell r="A29493">
            <v>43272</v>
          </cell>
        </row>
        <row r="29494">
          <cell r="A29494">
            <v>43634</v>
          </cell>
        </row>
        <row r="29495">
          <cell r="A29495">
            <v>43580</v>
          </cell>
        </row>
        <row r="29496">
          <cell r="A29496">
            <v>43701</v>
          </cell>
        </row>
        <row r="29497">
          <cell r="A29497">
            <v>43910</v>
          </cell>
        </row>
        <row r="29498">
          <cell r="A29498">
            <v>43812</v>
          </cell>
        </row>
        <row r="29499">
          <cell r="A29499">
            <v>43424</v>
          </cell>
        </row>
        <row r="29500">
          <cell r="A29500">
            <v>43307</v>
          </cell>
        </row>
        <row r="29501">
          <cell r="A29501">
            <v>43490</v>
          </cell>
        </row>
        <row r="29502">
          <cell r="A29502">
            <v>43226</v>
          </cell>
        </row>
        <row r="29503">
          <cell r="A29503">
            <v>43145</v>
          </cell>
        </row>
        <row r="29504">
          <cell r="A29504">
            <v>43104</v>
          </cell>
        </row>
        <row r="29505">
          <cell r="A29505">
            <v>43795</v>
          </cell>
        </row>
        <row r="29506">
          <cell r="A29506">
            <v>43595</v>
          </cell>
        </row>
        <row r="29507">
          <cell r="A29507">
            <v>43125</v>
          </cell>
        </row>
        <row r="29508">
          <cell r="A29508">
            <v>43149</v>
          </cell>
        </row>
        <row r="29509">
          <cell r="A29509">
            <v>43128</v>
          </cell>
        </row>
        <row r="29510">
          <cell r="A29510">
            <v>43293</v>
          </cell>
        </row>
        <row r="29511">
          <cell r="A29511">
            <v>43656</v>
          </cell>
        </row>
        <row r="29512">
          <cell r="A29512">
            <v>43753</v>
          </cell>
        </row>
        <row r="29513">
          <cell r="A29513">
            <v>43548</v>
          </cell>
        </row>
        <row r="29514">
          <cell r="A29514">
            <v>43896</v>
          </cell>
        </row>
        <row r="29515">
          <cell r="A29515">
            <v>43513</v>
          </cell>
        </row>
        <row r="29516">
          <cell r="A29516">
            <v>43544</v>
          </cell>
        </row>
        <row r="29517">
          <cell r="A29517">
            <v>43739</v>
          </cell>
        </row>
        <row r="29518">
          <cell r="A29518">
            <v>43165</v>
          </cell>
        </row>
        <row r="29519">
          <cell r="A29519">
            <v>43835</v>
          </cell>
        </row>
        <row r="29520">
          <cell r="A29520">
            <v>43916</v>
          </cell>
        </row>
        <row r="29521">
          <cell r="A29521">
            <v>43287</v>
          </cell>
        </row>
        <row r="29522">
          <cell r="A29522">
            <v>43825</v>
          </cell>
        </row>
        <row r="29523">
          <cell r="A29523">
            <v>43109</v>
          </cell>
        </row>
        <row r="29524">
          <cell r="A29524">
            <v>43803</v>
          </cell>
        </row>
        <row r="29525">
          <cell r="A29525">
            <v>43707</v>
          </cell>
        </row>
        <row r="29526">
          <cell r="A29526">
            <v>43744</v>
          </cell>
        </row>
        <row r="29527">
          <cell r="A29527">
            <v>43325</v>
          </cell>
        </row>
        <row r="29528">
          <cell r="A29528">
            <v>43898</v>
          </cell>
        </row>
        <row r="29529">
          <cell r="A29529">
            <v>43315</v>
          </cell>
        </row>
        <row r="29530">
          <cell r="A29530">
            <v>43716</v>
          </cell>
        </row>
        <row r="29531">
          <cell r="A29531">
            <v>43384</v>
          </cell>
        </row>
        <row r="29532">
          <cell r="A29532">
            <v>43752</v>
          </cell>
        </row>
        <row r="29533">
          <cell r="A29533">
            <v>43749</v>
          </cell>
        </row>
        <row r="29534">
          <cell r="A29534">
            <v>43651</v>
          </cell>
        </row>
        <row r="29535">
          <cell r="A29535">
            <v>43867</v>
          </cell>
        </row>
        <row r="29536">
          <cell r="A29536">
            <v>43543</v>
          </cell>
        </row>
        <row r="29537">
          <cell r="A29537">
            <v>43646</v>
          </cell>
        </row>
        <row r="29538">
          <cell r="A29538">
            <v>43309</v>
          </cell>
        </row>
        <row r="29539">
          <cell r="A29539">
            <v>43858</v>
          </cell>
        </row>
        <row r="29540">
          <cell r="A29540">
            <v>43727</v>
          </cell>
        </row>
        <row r="29541">
          <cell r="A29541">
            <v>43619</v>
          </cell>
        </row>
        <row r="29542">
          <cell r="A29542">
            <v>43843</v>
          </cell>
        </row>
        <row r="29543">
          <cell r="A29543">
            <v>43635</v>
          </cell>
        </row>
        <row r="29544">
          <cell r="A29544">
            <v>43559</v>
          </cell>
        </row>
        <row r="29545">
          <cell r="A29545">
            <v>43441</v>
          </cell>
        </row>
        <row r="29546">
          <cell r="A29546">
            <v>43674</v>
          </cell>
        </row>
        <row r="29547">
          <cell r="A29547">
            <v>43401</v>
          </cell>
        </row>
        <row r="29548">
          <cell r="A29548">
            <v>43353</v>
          </cell>
        </row>
        <row r="29549">
          <cell r="A29549">
            <v>43138</v>
          </cell>
        </row>
        <row r="29550">
          <cell r="A29550">
            <v>43628</v>
          </cell>
        </row>
        <row r="29551">
          <cell r="A29551">
            <v>43807</v>
          </cell>
        </row>
        <row r="29552">
          <cell r="A29552">
            <v>43179</v>
          </cell>
        </row>
        <row r="29553">
          <cell r="A29553">
            <v>43361</v>
          </cell>
        </row>
        <row r="29554">
          <cell r="A29554">
            <v>43386</v>
          </cell>
        </row>
        <row r="29555">
          <cell r="A29555">
            <v>43840</v>
          </cell>
        </row>
        <row r="29556">
          <cell r="A29556">
            <v>43882</v>
          </cell>
        </row>
        <row r="29557">
          <cell r="A29557">
            <v>43573</v>
          </cell>
        </row>
        <row r="29558">
          <cell r="A29558">
            <v>43918</v>
          </cell>
        </row>
        <row r="29559">
          <cell r="A29559">
            <v>43230</v>
          </cell>
        </row>
        <row r="29560">
          <cell r="A29560">
            <v>43567</v>
          </cell>
        </row>
        <row r="29561">
          <cell r="A29561">
            <v>43760</v>
          </cell>
        </row>
        <row r="29562">
          <cell r="A29562">
            <v>43773</v>
          </cell>
        </row>
        <row r="29563">
          <cell r="A29563">
            <v>43116</v>
          </cell>
        </row>
        <row r="29564">
          <cell r="A29564">
            <v>43481</v>
          </cell>
        </row>
        <row r="29565">
          <cell r="A29565">
            <v>43162</v>
          </cell>
        </row>
        <row r="29566">
          <cell r="A29566">
            <v>43735</v>
          </cell>
        </row>
        <row r="29567">
          <cell r="A29567">
            <v>43452</v>
          </cell>
        </row>
        <row r="29568">
          <cell r="A29568">
            <v>43432</v>
          </cell>
        </row>
        <row r="29569">
          <cell r="A29569">
            <v>43677</v>
          </cell>
        </row>
        <row r="29570">
          <cell r="A29570">
            <v>43428</v>
          </cell>
        </row>
        <row r="29571">
          <cell r="A29571">
            <v>43306</v>
          </cell>
        </row>
        <row r="29572">
          <cell r="A29572">
            <v>43459</v>
          </cell>
        </row>
        <row r="29573">
          <cell r="A29573">
            <v>43553</v>
          </cell>
        </row>
        <row r="29574">
          <cell r="A29574">
            <v>43694</v>
          </cell>
        </row>
        <row r="29575">
          <cell r="A29575">
            <v>43449</v>
          </cell>
        </row>
        <row r="29576">
          <cell r="A29576">
            <v>43787</v>
          </cell>
        </row>
        <row r="29577">
          <cell r="A29577">
            <v>43104</v>
          </cell>
        </row>
        <row r="29578">
          <cell r="A29578">
            <v>43195</v>
          </cell>
        </row>
        <row r="29579">
          <cell r="A29579">
            <v>43876</v>
          </cell>
        </row>
        <row r="29580">
          <cell r="A29580">
            <v>43420</v>
          </cell>
        </row>
        <row r="29581">
          <cell r="A29581">
            <v>43376</v>
          </cell>
        </row>
        <row r="29582">
          <cell r="A29582">
            <v>43762</v>
          </cell>
        </row>
        <row r="29583">
          <cell r="A29583">
            <v>43651</v>
          </cell>
        </row>
        <row r="29584">
          <cell r="A29584">
            <v>43515</v>
          </cell>
        </row>
        <row r="29585">
          <cell r="A29585">
            <v>43685</v>
          </cell>
        </row>
        <row r="29586">
          <cell r="A29586">
            <v>43206</v>
          </cell>
        </row>
        <row r="29587">
          <cell r="A29587">
            <v>43576</v>
          </cell>
        </row>
        <row r="29588">
          <cell r="A29588">
            <v>43113</v>
          </cell>
        </row>
        <row r="29589">
          <cell r="A29589">
            <v>43832</v>
          </cell>
        </row>
        <row r="29590">
          <cell r="A29590">
            <v>43768</v>
          </cell>
        </row>
        <row r="29591">
          <cell r="A29591">
            <v>43338</v>
          </cell>
        </row>
        <row r="29592">
          <cell r="A29592">
            <v>43820</v>
          </cell>
        </row>
        <row r="29593">
          <cell r="A29593">
            <v>43636</v>
          </cell>
        </row>
        <row r="29594">
          <cell r="A29594">
            <v>43495</v>
          </cell>
        </row>
        <row r="29595">
          <cell r="A29595">
            <v>43759</v>
          </cell>
        </row>
        <row r="29596">
          <cell r="A29596">
            <v>43744</v>
          </cell>
        </row>
        <row r="29597">
          <cell r="A29597">
            <v>43302</v>
          </cell>
        </row>
        <row r="29598">
          <cell r="A29598">
            <v>43290</v>
          </cell>
        </row>
        <row r="29599">
          <cell r="A29599">
            <v>43669</v>
          </cell>
        </row>
        <row r="29600">
          <cell r="A29600">
            <v>43821</v>
          </cell>
        </row>
        <row r="29601">
          <cell r="A29601">
            <v>43827</v>
          </cell>
        </row>
        <row r="29602">
          <cell r="A29602">
            <v>43192</v>
          </cell>
        </row>
        <row r="29603">
          <cell r="A29603">
            <v>43423</v>
          </cell>
        </row>
        <row r="29604">
          <cell r="A29604">
            <v>43416</v>
          </cell>
        </row>
        <row r="29605">
          <cell r="A29605">
            <v>43746</v>
          </cell>
        </row>
        <row r="29606">
          <cell r="A29606">
            <v>43473</v>
          </cell>
        </row>
        <row r="29607">
          <cell r="A29607">
            <v>43831</v>
          </cell>
        </row>
        <row r="29608">
          <cell r="A29608">
            <v>43500</v>
          </cell>
        </row>
        <row r="29609">
          <cell r="A29609">
            <v>43287</v>
          </cell>
        </row>
        <row r="29610">
          <cell r="A29610">
            <v>43323</v>
          </cell>
        </row>
        <row r="29611">
          <cell r="A29611">
            <v>43254</v>
          </cell>
        </row>
        <row r="29612">
          <cell r="A29612">
            <v>43402</v>
          </cell>
        </row>
        <row r="29613">
          <cell r="A29613">
            <v>43720</v>
          </cell>
        </row>
        <row r="29614">
          <cell r="A29614">
            <v>43637</v>
          </cell>
        </row>
        <row r="29615">
          <cell r="A29615">
            <v>43174</v>
          </cell>
        </row>
        <row r="29616">
          <cell r="A29616">
            <v>43908</v>
          </cell>
        </row>
        <row r="29617">
          <cell r="A29617">
            <v>43431</v>
          </cell>
        </row>
        <row r="29618">
          <cell r="A29618">
            <v>43300</v>
          </cell>
        </row>
        <row r="29619">
          <cell r="A29619">
            <v>43530</v>
          </cell>
        </row>
        <row r="29620">
          <cell r="A29620">
            <v>43544</v>
          </cell>
        </row>
        <row r="29621">
          <cell r="A29621">
            <v>43131</v>
          </cell>
        </row>
        <row r="29622">
          <cell r="A29622">
            <v>43293</v>
          </cell>
        </row>
        <row r="29623">
          <cell r="A29623">
            <v>43536</v>
          </cell>
        </row>
        <row r="29624">
          <cell r="A29624">
            <v>43846</v>
          </cell>
        </row>
        <row r="29625">
          <cell r="A29625">
            <v>43516</v>
          </cell>
        </row>
        <row r="29626">
          <cell r="A29626">
            <v>43656</v>
          </cell>
        </row>
        <row r="29627">
          <cell r="A29627">
            <v>43105</v>
          </cell>
        </row>
        <row r="29628">
          <cell r="A29628">
            <v>43322</v>
          </cell>
        </row>
        <row r="29629">
          <cell r="A29629">
            <v>43502</v>
          </cell>
        </row>
        <row r="29630">
          <cell r="A29630">
            <v>43789</v>
          </cell>
        </row>
        <row r="29631">
          <cell r="A29631">
            <v>43849</v>
          </cell>
        </row>
        <row r="29632">
          <cell r="A29632">
            <v>43782</v>
          </cell>
        </row>
        <row r="29633">
          <cell r="A29633">
            <v>43131</v>
          </cell>
        </row>
        <row r="29634">
          <cell r="A29634">
            <v>43573</v>
          </cell>
        </row>
        <row r="29635">
          <cell r="A29635">
            <v>43626</v>
          </cell>
        </row>
        <row r="29636">
          <cell r="A29636">
            <v>43266</v>
          </cell>
        </row>
        <row r="29637">
          <cell r="A29637">
            <v>43744</v>
          </cell>
        </row>
        <row r="29638">
          <cell r="A29638">
            <v>43182</v>
          </cell>
        </row>
        <row r="29639">
          <cell r="A29639">
            <v>43891</v>
          </cell>
        </row>
        <row r="29640">
          <cell r="A29640">
            <v>43327</v>
          </cell>
        </row>
        <row r="29641">
          <cell r="A29641">
            <v>43476</v>
          </cell>
        </row>
        <row r="29642">
          <cell r="A29642">
            <v>43472</v>
          </cell>
        </row>
        <row r="29643">
          <cell r="A29643">
            <v>43733</v>
          </cell>
        </row>
        <row r="29644">
          <cell r="A29644">
            <v>43670</v>
          </cell>
        </row>
        <row r="29645">
          <cell r="A29645">
            <v>43209</v>
          </cell>
        </row>
        <row r="29646">
          <cell r="A29646">
            <v>43164</v>
          </cell>
        </row>
        <row r="29647">
          <cell r="A29647">
            <v>43398</v>
          </cell>
        </row>
        <row r="29648">
          <cell r="A29648">
            <v>43316</v>
          </cell>
        </row>
        <row r="29649">
          <cell r="A29649">
            <v>43914</v>
          </cell>
        </row>
        <row r="29650">
          <cell r="A29650">
            <v>43376</v>
          </cell>
        </row>
        <row r="29651">
          <cell r="A29651">
            <v>43358</v>
          </cell>
        </row>
        <row r="29652">
          <cell r="A29652">
            <v>43220</v>
          </cell>
        </row>
        <row r="29653">
          <cell r="A29653">
            <v>43875</v>
          </cell>
        </row>
        <row r="29654">
          <cell r="A29654">
            <v>43522</v>
          </cell>
        </row>
        <row r="29655">
          <cell r="A29655">
            <v>43854</v>
          </cell>
        </row>
        <row r="29656">
          <cell r="A29656">
            <v>43315</v>
          </cell>
        </row>
        <row r="29657">
          <cell r="A29657">
            <v>43788</v>
          </cell>
        </row>
        <row r="29658">
          <cell r="A29658">
            <v>43664</v>
          </cell>
        </row>
        <row r="29659">
          <cell r="A29659">
            <v>43521</v>
          </cell>
        </row>
        <row r="29660">
          <cell r="A29660">
            <v>43170</v>
          </cell>
        </row>
        <row r="29661">
          <cell r="A29661">
            <v>43558</v>
          </cell>
        </row>
        <row r="29662">
          <cell r="A29662">
            <v>43347</v>
          </cell>
        </row>
        <row r="29663">
          <cell r="A29663">
            <v>43595</v>
          </cell>
        </row>
        <row r="29664">
          <cell r="A29664">
            <v>43878</v>
          </cell>
        </row>
        <row r="29665">
          <cell r="A29665">
            <v>43680</v>
          </cell>
        </row>
        <row r="29666">
          <cell r="A29666">
            <v>43278</v>
          </cell>
        </row>
        <row r="29667">
          <cell r="A29667">
            <v>43914</v>
          </cell>
        </row>
        <row r="29668">
          <cell r="A29668">
            <v>43437</v>
          </cell>
        </row>
        <row r="29669">
          <cell r="A29669">
            <v>43786</v>
          </cell>
        </row>
        <row r="29670">
          <cell r="A29670">
            <v>43803</v>
          </cell>
        </row>
        <row r="29671">
          <cell r="A29671">
            <v>43287</v>
          </cell>
        </row>
        <row r="29672">
          <cell r="A29672">
            <v>43402</v>
          </cell>
        </row>
        <row r="29673">
          <cell r="A29673">
            <v>43465</v>
          </cell>
        </row>
        <row r="29674">
          <cell r="A29674">
            <v>43277</v>
          </cell>
        </row>
        <row r="29675">
          <cell r="A29675">
            <v>43635</v>
          </cell>
        </row>
        <row r="29676">
          <cell r="A29676">
            <v>43357</v>
          </cell>
        </row>
        <row r="29677">
          <cell r="A29677">
            <v>43317</v>
          </cell>
        </row>
        <row r="29678">
          <cell r="A29678">
            <v>43438</v>
          </cell>
        </row>
        <row r="29679">
          <cell r="A29679">
            <v>43491</v>
          </cell>
        </row>
        <row r="29680">
          <cell r="A29680">
            <v>43394</v>
          </cell>
        </row>
        <row r="29681">
          <cell r="A29681">
            <v>43813</v>
          </cell>
        </row>
        <row r="29682">
          <cell r="A29682">
            <v>43552</v>
          </cell>
        </row>
        <row r="29683">
          <cell r="A29683">
            <v>43450</v>
          </cell>
        </row>
        <row r="29684">
          <cell r="A29684">
            <v>43213</v>
          </cell>
        </row>
        <row r="29685">
          <cell r="A29685">
            <v>43901</v>
          </cell>
        </row>
        <row r="29686">
          <cell r="A29686">
            <v>43670</v>
          </cell>
        </row>
        <row r="29687">
          <cell r="A29687">
            <v>43623</v>
          </cell>
        </row>
        <row r="29688">
          <cell r="A29688">
            <v>43796</v>
          </cell>
        </row>
        <row r="29689">
          <cell r="A29689">
            <v>43833</v>
          </cell>
        </row>
        <row r="29690">
          <cell r="A29690">
            <v>43339</v>
          </cell>
        </row>
        <row r="29691">
          <cell r="A29691">
            <v>43125</v>
          </cell>
        </row>
        <row r="29692">
          <cell r="A29692">
            <v>43844</v>
          </cell>
        </row>
        <row r="29693">
          <cell r="A29693">
            <v>43278</v>
          </cell>
        </row>
        <row r="29694">
          <cell r="A29694">
            <v>43327</v>
          </cell>
        </row>
        <row r="29695">
          <cell r="A29695">
            <v>43719</v>
          </cell>
        </row>
        <row r="29696">
          <cell r="A29696">
            <v>43190</v>
          </cell>
        </row>
        <row r="29697">
          <cell r="A29697">
            <v>43219</v>
          </cell>
        </row>
        <row r="29698">
          <cell r="A29698">
            <v>43152</v>
          </cell>
        </row>
        <row r="29699">
          <cell r="A29699">
            <v>43558</v>
          </cell>
        </row>
        <row r="29700">
          <cell r="A29700">
            <v>43824</v>
          </cell>
        </row>
        <row r="29701">
          <cell r="A29701">
            <v>43909</v>
          </cell>
        </row>
        <row r="29702">
          <cell r="A29702">
            <v>43390</v>
          </cell>
        </row>
        <row r="29703">
          <cell r="A29703">
            <v>43605</v>
          </cell>
        </row>
        <row r="29704">
          <cell r="A29704">
            <v>43782</v>
          </cell>
        </row>
        <row r="29705">
          <cell r="A29705">
            <v>43769</v>
          </cell>
        </row>
        <row r="29706">
          <cell r="A29706">
            <v>43586</v>
          </cell>
        </row>
        <row r="29707">
          <cell r="A29707">
            <v>43707</v>
          </cell>
        </row>
        <row r="29708">
          <cell r="A29708">
            <v>43633</v>
          </cell>
        </row>
        <row r="29709">
          <cell r="A29709">
            <v>43444</v>
          </cell>
        </row>
        <row r="29710">
          <cell r="A29710">
            <v>43493</v>
          </cell>
        </row>
        <row r="29711">
          <cell r="A29711">
            <v>43367</v>
          </cell>
        </row>
        <row r="29712">
          <cell r="A29712">
            <v>43338</v>
          </cell>
        </row>
        <row r="29713">
          <cell r="A29713">
            <v>43316</v>
          </cell>
        </row>
        <row r="29714">
          <cell r="A29714">
            <v>43479</v>
          </cell>
        </row>
        <row r="29715">
          <cell r="A29715">
            <v>43710</v>
          </cell>
        </row>
        <row r="29716">
          <cell r="A29716">
            <v>43452</v>
          </cell>
        </row>
        <row r="29717">
          <cell r="A29717">
            <v>43284</v>
          </cell>
        </row>
        <row r="29718">
          <cell r="A29718">
            <v>43309</v>
          </cell>
        </row>
        <row r="29719">
          <cell r="A29719">
            <v>43242</v>
          </cell>
        </row>
        <row r="29720">
          <cell r="A29720">
            <v>43876</v>
          </cell>
        </row>
        <row r="29721">
          <cell r="A29721">
            <v>43878</v>
          </cell>
        </row>
        <row r="29722">
          <cell r="A29722">
            <v>43709</v>
          </cell>
        </row>
        <row r="29723">
          <cell r="A29723">
            <v>43898</v>
          </cell>
        </row>
        <row r="29724">
          <cell r="A29724">
            <v>43225</v>
          </cell>
        </row>
        <row r="29725">
          <cell r="A29725">
            <v>43359</v>
          </cell>
        </row>
        <row r="29726">
          <cell r="A29726">
            <v>43277</v>
          </cell>
        </row>
        <row r="29727">
          <cell r="A29727">
            <v>43209</v>
          </cell>
        </row>
        <row r="29728">
          <cell r="A29728">
            <v>43487</v>
          </cell>
        </row>
        <row r="29729">
          <cell r="A29729">
            <v>43132</v>
          </cell>
        </row>
        <row r="29730">
          <cell r="A29730">
            <v>43126</v>
          </cell>
        </row>
        <row r="29731">
          <cell r="A29731">
            <v>43213</v>
          </cell>
        </row>
        <row r="29732">
          <cell r="A29732">
            <v>43576</v>
          </cell>
        </row>
        <row r="29733">
          <cell r="A29733">
            <v>43695</v>
          </cell>
        </row>
        <row r="29734">
          <cell r="A29734">
            <v>43305</v>
          </cell>
        </row>
        <row r="29735">
          <cell r="A29735">
            <v>43882</v>
          </cell>
        </row>
        <row r="29736">
          <cell r="A29736">
            <v>43610</v>
          </cell>
        </row>
        <row r="29737">
          <cell r="A29737">
            <v>43368</v>
          </cell>
        </row>
        <row r="29738">
          <cell r="A29738">
            <v>43511</v>
          </cell>
        </row>
        <row r="29739">
          <cell r="A29739">
            <v>43655</v>
          </cell>
        </row>
        <row r="29740">
          <cell r="A29740">
            <v>43327</v>
          </cell>
        </row>
        <row r="29741">
          <cell r="A29741">
            <v>43674</v>
          </cell>
        </row>
        <row r="29742">
          <cell r="A29742">
            <v>43616</v>
          </cell>
        </row>
        <row r="29743">
          <cell r="A29743">
            <v>43539</v>
          </cell>
        </row>
        <row r="29744">
          <cell r="A29744">
            <v>43559</v>
          </cell>
        </row>
        <row r="29745">
          <cell r="A29745">
            <v>43342</v>
          </cell>
        </row>
        <row r="29746">
          <cell r="A29746">
            <v>43737</v>
          </cell>
        </row>
        <row r="29747">
          <cell r="A29747">
            <v>43256</v>
          </cell>
        </row>
        <row r="29748">
          <cell r="A29748">
            <v>43585</v>
          </cell>
        </row>
        <row r="29749">
          <cell r="A29749">
            <v>43140</v>
          </cell>
        </row>
        <row r="29750">
          <cell r="A29750">
            <v>43241</v>
          </cell>
        </row>
        <row r="29751">
          <cell r="A29751">
            <v>43852</v>
          </cell>
        </row>
        <row r="29752">
          <cell r="A29752">
            <v>43812</v>
          </cell>
        </row>
        <row r="29753">
          <cell r="A29753">
            <v>43492</v>
          </cell>
        </row>
        <row r="29754">
          <cell r="A29754">
            <v>43105</v>
          </cell>
        </row>
        <row r="29755">
          <cell r="A29755">
            <v>43347</v>
          </cell>
        </row>
        <row r="29756">
          <cell r="A29756">
            <v>43115</v>
          </cell>
        </row>
        <row r="29757">
          <cell r="A29757">
            <v>43827</v>
          </cell>
        </row>
        <row r="29758">
          <cell r="A29758">
            <v>43128</v>
          </cell>
        </row>
        <row r="29759">
          <cell r="A29759">
            <v>43817</v>
          </cell>
        </row>
        <row r="29760">
          <cell r="A29760">
            <v>43196</v>
          </cell>
        </row>
        <row r="29761">
          <cell r="A29761">
            <v>43744</v>
          </cell>
        </row>
        <row r="29762">
          <cell r="A29762">
            <v>43504</v>
          </cell>
        </row>
        <row r="29763">
          <cell r="A29763">
            <v>43259</v>
          </cell>
        </row>
        <row r="29764">
          <cell r="A29764">
            <v>43425</v>
          </cell>
        </row>
        <row r="29765">
          <cell r="A29765">
            <v>43688</v>
          </cell>
        </row>
        <row r="29766">
          <cell r="A29766">
            <v>43318</v>
          </cell>
        </row>
        <row r="29767">
          <cell r="A29767">
            <v>43511</v>
          </cell>
        </row>
        <row r="29768">
          <cell r="A29768">
            <v>43113</v>
          </cell>
        </row>
        <row r="29769">
          <cell r="A29769">
            <v>43857</v>
          </cell>
        </row>
        <row r="29770">
          <cell r="A29770">
            <v>43320</v>
          </cell>
        </row>
        <row r="29771">
          <cell r="A29771">
            <v>43716</v>
          </cell>
        </row>
        <row r="29772">
          <cell r="A29772">
            <v>43635</v>
          </cell>
        </row>
        <row r="29773">
          <cell r="A29773">
            <v>43193</v>
          </cell>
        </row>
        <row r="29774">
          <cell r="A29774">
            <v>43898</v>
          </cell>
        </row>
        <row r="29775">
          <cell r="A29775">
            <v>43769</v>
          </cell>
        </row>
        <row r="29776">
          <cell r="A29776">
            <v>43546</v>
          </cell>
        </row>
        <row r="29777">
          <cell r="A29777">
            <v>43612</v>
          </cell>
        </row>
        <row r="29778">
          <cell r="A29778">
            <v>43177</v>
          </cell>
        </row>
        <row r="29779">
          <cell r="A29779">
            <v>43345</v>
          </cell>
        </row>
        <row r="29780">
          <cell r="A29780">
            <v>43236</v>
          </cell>
        </row>
        <row r="29781">
          <cell r="A29781">
            <v>43569</v>
          </cell>
        </row>
        <row r="29782">
          <cell r="A29782">
            <v>43181</v>
          </cell>
        </row>
        <row r="29783">
          <cell r="A29783">
            <v>43771</v>
          </cell>
        </row>
        <row r="29784">
          <cell r="A29784">
            <v>43826</v>
          </cell>
        </row>
        <row r="29785">
          <cell r="A29785">
            <v>43608</v>
          </cell>
        </row>
        <row r="29786">
          <cell r="A29786">
            <v>43467</v>
          </cell>
        </row>
        <row r="29787">
          <cell r="A29787">
            <v>43712</v>
          </cell>
        </row>
        <row r="29788">
          <cell r="A29788">
            <v>43704</v>
          </cell>
        </row>
        <row r="29789">
          <cell r="A29789">
            <v>43747</v>
          </cell>
        </row>
        <row r="29790">
          <cell r="A29790">
            <v>43451</v>
          </cell>
        </row>
        <row r="29791">
          <cell r="A29791">
            <v>43193</v>
          </cell>
        </row>
        <row r="29792">
          <cell r="A29792">
            <v>43293</v>
          </cell>
        </row>
        <row r="29793">
          <cell r="A29793">
            <v>43331</v>
          </cell>
        </row>
        <row r="29794">
          <cell r="A29794">
            <v>43155</v>
          </cell>
        </row>
        <row r="29795">
          <cell r="A29795">
            <v>43189</v>
          </cell>
        </row>
        <row r="29796">
          <cell r="A29796">
            <v>43419</v>
          </cell>
        </row>
        <row r="29797">
          <cell r="A29797">
            <v>43405</v>
          </cell>
        </row>
        <row r="29798">
          <cell r="A29798">
            <v>43369</v>
          </cell>
        </row>
        <row r="29799">
          <cell r="A29799">
            <v>43612</v>
          </cell>
        </row>
        <row r="29800">
          <cell r="A29800">
            <v>43454</v>
          </cell>
        </row>
        <row r="29801">
          <cell r="A29801">
            <v>43693</v>
          </cell>
        </row>
        <row r="29802">
          <cell r="A29802">
            <v>43198</v>
          </cell>
        </row>
        <row r="29803">
          <cell r="A29803">
            <v>43250</v>
          </cell>
        </row>
        <row r="29804">
          <cell r="A29804">
            <v>43103</v>
          </cell>
        </row>
        <row r="29805">
          <cell r="A29805">
            <v>43912</v>
          </cell>
        </row>
        <row r="29806">
          <cell r="A29806">
            <v>43661</v>
          </cell>
        </row>
        <row r="29807">
          <cell r="A29807">
            <v>43797</v>
          </cell>
        </row>
        <row r="29808">
          <cell r="A29808">
            <v>43351</v>
          </cell>
        </row>
        <row r="29809">
          <cell r="A29809">
            <v>43854</v>
          </cell>
        </row>
        <row r="29810">
          <cell r="A29810">
            <v>43407</v>
          </cell>
        </row>
        <row r="29811">
          <cell r="A29811">
            <v>43489</v>
          </cell>
        </row>
        <row r="29812">
          <cell r="A29812">
            <v>43113</v>
          </cell>
        </row>
        <row r="29813">
          <cell r="A29813">
            <v>43920</v>
          </cell>
        </row>
        <row r="29814">
          <cell r="A29814">
            <v>43350</v>
          </cell>
        </row>
        <row r="29815">
          <cell r="A29815">
            <v>43535</v>
          </cell>
        </row>
        <row r="29816">
          <cell r="A29816">
            <v>43398</v>
          </cell>
        </row>
        <row r="29817">
          <cell r="A29817">
            <v>43733</v>
          </cell>
        </row>
        <row r="29818">
          <cell r="A29818">
            <v>43478</v>
          </cell>
        </row>
        <row r="29819">
          <cell r="A29819">
            <v>43721</v>
          </cell>
        </row>
        <row r="29820">
          <cell r="A29820">
            <v>43622</v>
          </cell>
        </row>
        <row r="29821">
          <cell r="A29821">
            <v>43760</v>
          </cell>
        </row>
        <row r="29822">
          <cell r="A29822">
            <v>43231</v>
          </cell>
        </row>
        <row r="29823">
          <cell r="A29823">
            <v>43394</v>
          </cell>
        </row>
        <row r="29824">
          <cell r="A29824">
            <v>43748</v>
          </cell>
        </row>
        <row r="29825">
          <cell r="A29825">
            <v>43916</v>
          </cell>
        </row>
        <row r="29826">
          <cell r="A29826">
            <v>43759</v>
          </cell>
        </row>
        <row r="29827">
          <cell r="A29827">
            <v>43124</v>
          </cell>
        </row>
        <row r="29828">
          <cell r="A29828">
            <v>43598</v>
          </cell>
        </row>
        <row r="29829">
          <cell r="A29829">
            <v>43392</v>
          </cell>
        </row>
        <row r="29830">
          <cell r="A29830">
            <v>43625</v>
          </cell>
        </row>
        <row r="29831">
          <cell r="A29831">
            <v>43809</v>
          </cell>
        </row>
        <row r="29832">
          <cell r="A29832">
            <v>43356</v>
          </cell>
        </row>
        <row r="29833">
          <cell r="A29833">
            <v>43373</v>
          </cell>
        </row>
        <row r="29834">
          <cell r="A29834">
            <v>43720</v>
          </cell>
        </row>
        <row r="29835">
          <cell r="A29835">
            <v>43760</v>
          </cell>
        </row>
        <row r="29836">
          <cell r="A29836">
            <v>43521</v>
          </cell>
        </row>
        <row r="29837">
          <cell r="A29837">
            <v>43720</v>
          </cell>
        </row>
        <row r="29838">
          <cell r="A29838">
            <v>43595</v>
          </cell>
        </row>
        <row r="29839">
          <cell r="A29839">
            <v>43297</v>
          </cell>
        </row>
        <row r="29840">
          <cell r="A29840">
            <v>43693</v>
          </cell>
        </row>
        <row r="29841">
          <cell r="A29841">
            <v>43566</v>
          </cell>
        </row>
        <row r="29842">
          <cell r="A29842">
            <v>43480</v>
          </cell>
        </row>
        <row r="29843">
          <cell r="A29843">
            <v>43133</v>
          </cell>
        </row>
        <row r="29844">
          <cell r="A29844">
            <v>43441</v>
          </cell>
        </row>
        <row r="29845">
          <cell r="A29845">
            <v>43854</v>
          </cell>
        </row>
        <row r="29846">
          <cell r="A29846">
            <v>43723</v>
          </cell>
        </row>
        <row r="29847">
          <cell r="A29847">
            <v>43889</v>
          </cell>
        </row>
        <row r="29848">
          <cell r="A29848">
            <v>43605</v>
          </cell>
        </row>
        <row r="29849">
          <cell r="A29849">
            <v>43832</v>
          </cell>
        </row>
        <row r="29850">
          <cell r="A29850">
            <v>43307</v>
          </cell>
        </row>
        <row r="29851">
          <cell r="A29851">
            <v>43335</v>
          </cell>
        </row>
        <row r="29852">
          <cell r="A29852">
            <v>43528</v>
          </cell>
        </row>
        <row r="29853">
          <cell r="A29853">
            <v>43575</v>
          </cell>
        </row>
        <row r="29854">
          <cell r="A29854">
            <v>43562</v>
          </cell>
        </row>
        <row r="29855">
          <cell r="A29855">
            <v>43314</v>
          </cell>
        </row>
        <row r="29856">
          <cell r="A29856">
            <v>43113</v>
          </cell>
        </row>
        <row r="29857">
          <cell r="A29857">
            <v>43338</v>
          </cell>
        </row>
        <row r="29858">
          <cell r="A29858">
            <v>43162</v>
          </cell>
        </row>
        <row r="29859">
          <cell r="A29859">
            <v>43211</v>
          </cell>
        </row>
        <row r="29860">
          <cell r="A29860">
            <v>43633</v>
          </cell>
        </row>
        <row r="29861">
          <cell r="A29861">
            <v>43348</v>
          </cell>
        </row>
        <row r="29862">
          <cell r="A29862">
            <v>43190</v>
          </cell>
        </row>
        <row r="29863">
          <cell r="A29863">
            <v>43518</v>
          </cell>
        </row>
        <row r="29864">
          <cell r="A29864">
            <v>43910</v>
          </cell>
        </row>
        <row r="29865">
          <cell r="A29865">
            <v>43877</v>
          </cell>
        </row>
        <row r="29866">
          <cell r="A29866">
            <v>43338</v>
          </cell>
        </row>
        <row r="29867">
          <cell r="A29867">
            <v>43728</v>
          </cell>
        </row>
        <row r="29868">
          <cell r="A29868">
            <v>43105</v>
          </cell>
        </row>
        <row r="29869">
          <cell r="A29869">
            <v>43264</v>
          </cell>
        </row>
        <row r="29870">
          <cell r="A29870">
            <v>43394</v>
          </cell>
        </row>
        <row r="29871">
          <cell r="A29871">
            <v>43402</v>
          </cell>
        </row>
        <row r="29872">
          <cell r="A29872">
            <v>43166</v>
          </cell>
        </row>
        <row r="29873">
          <cell r="A29873">
            <v>43601</v>
          </cell>
        </row>
        <row r="29874">
          <cell r="A29874">
            <v>43491</v>
          </cell>
        </row>
        <row r="29875">
          <cell r="A29875">
            <v>43292</v>
          </cell>
        </row>
        <row r="29876">
          <cell r="A29876">
            <v>43630</v>
          </cell>
        </row>
        <row r="29877">
          <cell r="A29877">
            <v>43398</v>
          </cell>
        </row>
        <row r="29878">
          <cell r="A29878">
            <v>43655</v>
          </cell>
        </row>
        <row r="29879">
          <cell r="A29879">
            <v>43652</v>
          </cell>
        </row>
        <row r="29880">
          <cell r="A29880">
            <v>43404</v>
          </cell>
        </row>
        <row r="29881">
          <cell r="A29881">
            <v>43378</v>
          </cell>
        </row>
        <row r="29882">
          <cell r="A29882">
            <v>43165</v>
          </cell>
        </row>
        <row r="29883">
          <cell r="A29883">
            <v>43770</v>
          </cell>
        </row>
        <row r="29884">
          <cell r="A29884">
            <v>43131</v>
          </cell>
        </row>
        <row r="29885">
          <cell r="A29885">
            <v>43500</v>
          </cell>
        </row>
        <row r="29886">
          <cell r="A29886">
            <v>43600</v>
          </cell>
        </row>
        <row r="29887">
          <cell r="A29887">
            <v>43697</v>
          </cell>
        </row>
        <row r="29888">
          <cell r="A29888">
            <v>43478</v>
          </cell>
        </row>
        <row r="29889">
          <cell r="A29889">
            <v>43302</v>
          </cell>
        </row>
        <row r="29890">
          <cell r="A29890">
            <v>43478</v>
          </cell>
        </row>
        <row r="29891">
          <cell r="A29891">
            <v>43114</v>
          </cell>
        </row>
        <row r="29892">
          <cell r="A29892">
            <v>43496</v>
          </cell>
        </row>
        <row r="29893">
          <cell r="A29893">
            <v>43636</v>
          </cell>
        </row>
        <row r="29894">
          <cell r="A29894">
            <v>43567</v>
          </cell>
        </row>
        <row r="29895">
          <cell r="A29895">
            <v>43441</v>
          </cell>
        </row>
        <row r="29896">
          <cell r="A29896">
            <v>43254</v>
          </cell>
        </row>
        <row r="29897">
          <cell r="A29897">
            <v>43340</v>
          </cell>
        </row>
        <row r="29898">
          <cell r="A29898">
            <v>43747</v>
          </cell>
        </row>
        <row r="29899">
          <cell r="A29899">
            <v>43803</v>
          </cell>
        </row>
        <row r="29900">
          <cell r="A29900">
            <v>43847</v>
          </cell>
        </row>
        <row r="29901">
          <cell r="A29901">
            <v>43586</v>
          </cell>
        </row>
        <row r="29902">
          <cell r="A29902">
            <v>43102</v>
          </cell>
        </row>
        <row r="29903">
          <cell r="A29903">
            <v>43394</v>
          </cell>
        </row>
        <row r="29904">
          <cell r="A29904">
            <v>43542</v>
          </cell>
        </row>
        <row r="29905">
          <cell r="A29905">
            <v>43439</v>
          </cell>
        </row>
        <row r="29906">
          <cell r="A29906">
            <v>43478</v>
          </cell>
        </row>
        <row r="29907">
          <cell r="A29907">
            <v>43541</v>
          </cell>
        </row>
        <row r="29908">
          <cell r="A29908">
            <v>43146</v>
          </cell>
        </row>
        <row r="29909">
          <cell r="A29909">
            <v>43386</v>
          </cell>
        </row>
        <row r="29910">
          <cell r="A29910">
            <v>43766</v>
          </cell>
        </row>
        <row r="29911">
          <cell r="A29911">
            <v>43862</v>
          </cell>
        </row>
        <row r="29912">
          <cell r="A29912">
            <v>43873</v>
          </cell>
        </row>
        <row r="29913">
          <cell r="A29913">
            <v>43910</v>
          </cell>
        </row>
        <row r="29914">
          <cell r="A29914">
            <v>43203</v>
          </cell>
        </row>
        <row r="29915">
          <cell r="A29915">
            <v>43423</v>
          </cell>
        </row>
        <row r="29916">
          <cell r="A29916">
            <v>43261</v>
          </cell>
        </row>
        <row r="29917">
          <cell r="A29917">
            <v>43917</v>
          </cell>
        </row>
        <row r="29918">
          <cell r="A29918">
            <v>43465</v>
          </cell>
        </row>
        <row r="29919">
          <cell r="A29919">
            <v>43224</v>
          </cell>
        </row>
        <row r="29920">
          <cell r="A29920">
            <v>43537</v>
          </cell>
        </row>
        <row r="29921">
          <cell r="A29921">
            <v>43355</v>
          </cell>
        </row>
        <row r="29922">
          <cell r="A29922">
            <v>43239</v>
          </cell>
        </row>
        <row r="29923">
          <cell r="A29923">
            <v>43625</v>
          </cell>
        </row>
        <row r="29924">
          <cell r="A29924">
            <v>43588</v>
          </cell>
        </row>
        <row r="29925">
          <cell r="A29925">
            <v>43763</v>
          </cell>
        </row>
        <row r="29926">
          <cell r="A29926">
            <v>43205</v>
          </cell>
        </row>
        <row r="29927">
          <cell r="A29927">
            <v>43339</v>
          </cell>
        </row>
        <row r="29928">
          <cell r="A29928">
            <v>43324</v>
          </cell>
        </row>
        <row r="29929">
          <cell r="A29929">
            <v>43297</v>
          </cell>
        </row>
        <row r="29930">
          <cell r="A29930">
            <v>43194</v>
          </cell>
        </row>
        <row r="29931">
          <cell r="A29931">
            <v>43491</v>
          </cell>
        </row>
        <row r="29932">
          <cell r="A29932">
            <v>43913</v>
          </cell>
        </row>
        <row r="29933">
          <cell r="A29933">
            <v>43608</v>
          </cell>
        </row>
        <row r="29934">
          <cell r="A29934">
            <v>43274</v>
          </cell>
        </row>
        <row r="29935">
          <cell r="A29935">
            <v>43557</v>
          </cell>
        </row>
        <row r="29936">
          <cell r="A29936">
            <v>43721</v>
          </cell>
        </row>
        <row r="29937">
          <cell r="A29937">
            <v>43513</v>
          </cell>
        </row>
        <row r="29938">
          <cell r="A29938">
            <v>43652</v>
          </cell>
        </row>
        <row r="29939">
          <cell r="A29939">
            <v>43178</v>
          </cell>
        </row>
        <row r="29940">
          <cell r="A29940">
            <v>43471</v>
          </cell>
        </row>
        <row r="29941">
          <cell r="A29941">
            <v>43613</v>
          </cell>
        </row>
        <row r="29942">
          <cell r="A29942">
            <v>43185</v>
          </cell>
        </row>
        <row r="29943">
          <cell r="A29943">
            <v>43418</v>
          </cell>
        </row>
        <row r="29944">
          <cell r="A29944">
            <v>43163</v>
          </cell>
        </row>
        <row r="29945">
          <cell r="A29945">
            <v>43152</v>
          </cell>
        </row>
        <row r="29946">
          <cell r="A29946">
            <v>43807</v>
          </cell>
        </row>
        <row r="29947">
          <cell r="A29947">
            <v>43346</v>
          </cell>
        </row>
        <row r="29948">
          <cell r="A29948">
            <v>43512</v>
          </cell>
        </row>
        <row r="29949">
          <cell r="A29949">
            <v>43173</v>
          </cell>
        </row>
        <row r="29950">
          <cell r="A29950">
            <v>43214</v>
          </cell>
        </row>
        <row r="29951">
          <cell r="A29951">
            <v>43680</v>
          </cell>
        </row>
        <row r="29952">
          <cell r="A29952">
            <v>43622</v>
          </cell>
        </row>
        <row r="29953">
          <cell r="A29953">
            <v>43793</v>
          </cell>
        </row>
        <row r="29954">
          <cell r="A29954">
            <v>43813</v>
          </cell>
        </row>
        <row r="29955">
          <cell r="A29955">
            <v>43614</v>
          </cell>
        </row>
        <row r="29956">
          <cell r="A29956">
            <v>43456</v>
          </cell>
        </row>
        <row r="29957">
          <cell r="A29957">
            <v>43665</v>
          </cell>
        </row>
        <row r="29958">
          <cell r="A29958">
            <v>43122</v>
          </cell>
        </row>
        <row r="29959">
          <cell r="A29959">
            <v>43706</v>
          </cell>
        </row>
        <row r="29960">
          <cell r="A29960">
            <v>43383</v>
          </cell>
        </row>
        <row r="29961">
          <cell r="A29961">
            <v>43513</v>
          </cell>
        </row>
        <row r="29962">
          <cell r="A29962">
            <v>43452</v>
          </cell>
        </row>
        <row r="29963">
          <cell r="A29963">
            <v>43636</v>
          </cell>
        </row>
        <row r="29964">
          <cell r="A29964">
            <v>43465</v>
          </cell>
        </row>
        <row r="29965">
          <cell r="A29965">
            <v>43667</v>
          </cell>
        </row>
        <row r="29966">
          <cell r="A29966">
            <v>43239</v>
          </cell>
        </row>
        <row r="29967">
          <cell r="A29967">
            <v>43525</v>
          </cell>
        </row>
        <row r="29968">
          <cell r="A29968">
            <v>43834</v>
          </cell>
        </row>
        <row r="29969">
          <cell r="A29969">
            <v>43313</v>
          </cell>
        </row>
        <row r="29970">
          <cell r="A29970">
            <v>43526</v>
          </cell>
        </row>
        <row r="29971">
          <cell r="A29971">
            <v>43899</v>
          </cell>
        </row>
        <row r="29972">
          <cell r="A29972">
            <v>43820</v>
          </cell>
        </row>
        <row r="29973">
          <cell r="A29973">
            <v>43574</v>
          </cell>
        </row>
        <row r="29974">
          <cell r="A29974">
            <v>43457</v>
          </cell>
        </row>
        <row r="29975">
          <cell r="A29975">
            <v>43472</v>
          </cell>
        </row>
        <row r="29976">
          <cell r="A29976">
            <v>43490</v>
          </cell>
        </row>
        <row r="29977">
          <cell r="A29977">
            <v>43276</v>
          </cell>
        </row>
        <row r="29978">
          <cell r="A29978">
            <v>43829</v>
          </cell>
        </row>
        <row r="29979">
          <cell r="A29979">
            <v>43746</v>
          </cell>
        </row>
        <row r="29980">
          <cell r="A29980">
            <v>43677</v>
          </cell>
        </row>
        <row r="29981">
          <cell r="A29981">
            <v>43740</v>
          </cell>
        </row>
        <row r="29982">
          <cell r="A29982">
            <v>43629</v>
          </cell>
        </row>
        <row r="29983">
          <cell r="A29983">
            <v>43906</v>
          </cell>
        </row>
        <row r="29984">
          <cell r="A29984">
            <v>43492</v>
          </cell>
        </row>
        <row r="29985">
          <cell r="A29985">
            <v>43676</v>
          </cell>
        </row>
        <row r="29986">
          <cell r="A29986">
            <v>43304</v>
          </cell>
        </row>
        <row r="29987">
          <cell r="A29987">
            <v>43592</v>
          </cell>
        </row>
        <row r="29988">
          <cell r="A29988">
            <v>43127</v>
          </cell>
        </row>
        <row r="29989">
          <cell r="A29989">
            <v>43494</v>
          </cell>
        </row>
        <row r="29990">
          <cell r="A29990">
            <v>43875</v>
          </cell>
        </row>
        <row r="29991">
          <cell r="A29991">
            <v>43607</v>
          </cell>
        </row>
        <row r="29992">
          <cell r="A29992">
            <v>43366</v>
          </cell>
        </row>
        <row r="29993">
          <cell r="A29993">
            <v>43721</v>
          </cell>
        </row>
        <row r="29994">
          <cell r="A29994">
            <v>43281</v>
          </cell>
        </row>
        <row r="29995">
          <cell r="A29995">
            <v>43709</v>
          </cell>
        </row>
        <row r="29996">
          <cell r="A29996">
            <v>43698</v>
          </cell>
        </row>
        <row r="29997">
          <cell r="A29997">
            <v>43172</v>
          </cell>
        </row>
        <row r="29998">
          <cell r="A29998">
            <v>43257</v>
          </cell>
        </row>
        <row r="29999">
          <cell r="A29999">
            <v>43373</v>
          </cell>
        </row>
        <row r="30000">
          <cell r="A30000">
            <v>43398</v>
          </cell>
        </row>
        <row r="30001">
          <cell r="A30001">
            <v>43780</v>
          </cell>
        </row>
        <row r="30002">
          <cell r="A30002">
            <v>43605</v>
          </cell>
        </row>
        <row r="30003">
          <cell r="A30003">
            <v>43331</v>
          </cell>
        </row>
        <row r="30004">
          <cell r="A30004">
            <v>43744</v>
          </cell>
        </row>
        <row r="30005">
          <cell r="A30005">
            <v>43649</v>
          </cell>
        </row>
        <row r="30006">
          <cell r="A30006">
            <v>43104</v>
          </cell>
        </row>
        <row r="30007">
          <cell r="A30007">
            <v>43453</v>
          </cell>
        </row>
        <row r="30008">
          <cell r="A30008">
            <v>43205</v>
          </cell>
        </row>
        <row r="30009">
          <cell r="A30009">
            <v>43916</v>
          </cell>
        </row>
        <row r="30010">
          <cell r="A30010">
            <v>43273</v>
          </cell>
        </row>
        <row r="30011">
          <cell r="A30011">
            <v>43827</v>
          </cell>
        </row>
        <row r="30012">
          <cell r="A30012">
            <v>43469</v>
          </cell>
        </row>
        <row r="30013">
          <cell r="A30013">
            <v>43177</v>
          </cell>
        </row>
        <row r="30014">
          <cell r="A30014">
            <v>43206</v>
          </cell>
        </row>
        <row r="30015">
          <cell r="A30015">
            <v>43898</v>
          </cell>
        </row>
        <row r="30016">
          <cell r="A30016">
            <v>43836</v>
          </cell>
        </row>
        <row r="30017">
          <cell r="A30017">
            <v>43560</v>
          </cell>
        </row>
        <row r="30018">
          <cell r="A30018">
            <v>43353</v>
          </cell>
        </row>
        <row r="30019">
          <cell r="A30019">
            <v>43342</v>
          </cell>
        </row>
        <row r="30020">
          <cell r="A30020">
            <v>43132</v>
          </cell>
        </row>
        <row r="30021">
          <cell r="A30021">
            <v>43543</v>
          </cell>
        </row>
        <row r="30022">
          <cell r="A30022">
            <v>43281</v>
          </cell>
        </row>
        <row r="30023">
          <cell r="A30023">
            <v>43325</v>
          </cell>
        </row>
        <row r="30024">
          <cell r="A30024">
            <v>43209</v>
          </cell>
        </row>
        <row r="30025">
          <cell r="A30025">
            <v>43896</v>
          </cell>
        </row>
        <row r="30026">
          <cell r="A30026">
            <v>43275</v>
          </cell>
        </row>
        <row r="30027">
          <cell r="A30027">
            <v>43640</v>
          </cell>
        </row>
        <row r="30028">
          <cell r="A30028">
            <v>43421</v>
          </cell>
        </row>
        <row r="30029">
          <cell r="A30029">
            <v>43299</v>
          </cell>
        </row>
        <row r="30030">
          <cell r="A30030">
            <v>43236</v>
          </cell>
        </row>
        <row r="30031">
          <cell r="A30031">
            <v>43541</v>
          </cell>
        </row>
        <row r="30032">
          <cell r="A30032">
            <v>43150</v>
          </cell>
        </row>
        <row r="30033">
          <cell r="A30033">
            <v>43397</v>
          </cell>
        </row>
        <row r="30034">
          <cell r="A30034">
            <v>43792</v>
          </cell>
        </row>
        <row r="30035">
          <cell r="A30035">
            <v>43506</v>
          </cell>
        </row>
        <row r="30036">
          <cell r="A30036">
            <v>43801</v>
          </cell>
        </row>
        <row r="30037">
          <cell r="A30037">
            <v>43830</v>
          </cell>
        </row>
        <row r="30038">
          <cell r="A30038">
            <v>43715</v>
          </cell>
        </row>
        <row r="30039">
          <cell r="A30039">
            <v>43271</v>
          </cell>
        </row>
        <row r="30040">
          <cell r="A30040">
            <v>43111</v>
          </cell>
        </row>
        <row r="30041">
          <cell r="A30041">
            <v>43126</v>
          </cell>
        </row>
        <row r="30042">
          <cell r="A30042">
            <v>43458</v>
          </cell>
        </row>
        <row r="30043">
          <cell r="A30043">
            <v>43269</v>
          </cell>
        </row>
        <row r="30044">
          <cell r="A30044">
            <v>43812</v>
          </cell>
        </row>
        <row r="30045">
          <cell r="A30045">
            <v>43126</v>
          </cell>
        </row>
        <row r="30046">
          <cell r="A30046">
            <v>43653</v>
          </cell>
        </row>
        <row r="30047">
          <cell r="A30047">
            <v>43737</v>
          </cell>
        </row>
        <row r="30048">
          <cell r="A30048">
            <v>43133</v>
          </cell>
        </row>
        <row r="30049">
          <cell r="A30049">
            <v>43839</v>
          </cell>
        </row>
        <row r="30050">
          <cell r="A30050">
            <v>43777</v>
          </cell>
        </row>
        <row r="30051">
          <cell r="A30051">
            <v>43600</v>
          </cell>
        </row>
        <row r="30052">
          <cell r="A30052">
            <v>43673</v>
          </cell>
        </row>
        <row r="30053">
          <cell r="A30053">
            <v>43145</v>
          </cell>
        </row>
        <row r="30054">
          <cell r="A30054">
            <v>43229</v>
          </cell>
        </row>
        <row r="30055">
          <cell r="A30055">
            <v>43795</v>
          </cell>
        </row>
        <row r="30056">
          <cell r="A30056">
            <v>43648</v>
          </cell>
        </row>
        <row r="30057">
          <cell r="A30057">
            <v>43605</v>
          </cell>
        </row>
        <row r="30058">
          <cell r="A30058">
            <v>43808</v>
          </cell>
        </row>
        <row r="30059">
          <cell r="A30059">
            <v>43644</v>
          </cell>
        </row>
        <row r="30060">
          <cell r="A30060">
            <v>43822</v>
          </cell>
        </row>
        <row r="30061">
          <cell r="A30061">
            <v>43861</v>
          </cell>
        </row>
        <row r="30062">
          <cell r="A30062">
            <v>43831</v>
          </cell>
        </row>
        <row r="30063">
          <cell r="A30063">
            <v>43448</v>
          </cell>
        </row>
        <row r="30064">
          <cell r="A30064">
            <v>43737</v>
          </cell>
        </row>
        <row r="30065">
          <cell r="A30065">
            <v>43111</v>
          </cell>
        </row>
        <row r="30066">
          <cell r="A30066">
            <v>43283</v>
          </cell>
        </row>
        <row r="30067">
          <cell r="A30067">
            <v>43750</v>
          </cell>
        </row>
        <row r="30068">
          <cell r="A30068">
            <v>43853</v>
          </cell>
        </row>
        <row r="30069">
          <cell r="A30069">
            <v>43184</v>
          </cell>
        </row>
        <row r="30070">
          <cell r="A30070">
            <v>43383</v>
          </cell>
        </row>
        <row r="30071">
          <cell r="A30071">
            <v>43422</v>
          </cell>
        </row>
        <row r="30072">
          <cell r="A30072">
            <v>43583</v>
          </cell>
        </row>
        <row r="30073">
          <cell r="A30073">
            <v>43295</v>
          </cell>
        </row>
        <row r="30074">
          <cell r="A30074">
            <v>43635</v>
          </cell>
        </row>
        <row r="30075">
          <cell r="A30075">
            <v>43578</v>
          </cell>
        </row>
        <row r="30076">
          <cell r="A30076">
            <v>43665</v>
          </cell>
        </row>
        <row r="30077">
          <cell r="A30077">
            <v>43346</v>
          </cell>
        </row>
        <row r="30078">
          <cell r="A30078">
            <v>43387</v>
          </cell>
        </row>
        <row r="30079">
          <cell r="A30079">
            <v>43104</v>
          </cell>
        </row>
        <row r="30080">
          <cell r="A30080">
            <v>43437</v>
          </cell>
        </row>
        <row r="30081">
          <cell r="A30081">
            <v>43632</v>
          </cell>
        </row>
        <row r="30082">
          <cell r="A30082">
            <v>43153</v>
          </cell>
        </row>
        <row r="30083">
          <cell r="A30083">
            <v>43783</v>
          </cell>
        </row>
        <row r="30084">
          <cell r="A30084">
            <v>43105</v>
          </cell>
        </row>
        <row r="30085">
          <cell r="A30085">
            <v>43592</v>
          </cell>
        </row>
        <row r="30086">
          <cell r="A30086">
            <v>43318</v>
          </cell>
        </row>
        <row r="30087">
          <cell r="A30087">
            <v>43590</v>
          </cell>
        </row>
        <row r="30088">
          <cell r="A30088">
            <v>43824</v>
          </cell>
        </row>
        <row r="30089">
          <cell r="A30089">
            <v>43498</v>
          </cell>
        </row>
        <row r="30090">
          <cell r="A30090">
            <v>43216</v>
          </cell>
        </row>
        <row r="30091">
          <cell r="A30091">
            <v>43230</v>
          </cell>
        </row>
        <row r="30092">
          <cell r="A30092">
            <v>43162</v>
          </cell>
        </row>
        <row r="30093">
          <cell r="A30093">
            <v>43299</v>
          </cell>
        </row>
        <row r="30094">
          <cell r="A30094">
            <v>43171</v>
          </cell>
        </row>
        <row r="30095">
          <cell r="A30095">
            <v>43805</v>
          </cell>
        </row>
        <row r="30096">
          <cell r="A30096">
            <v>43381</v>
          </cell>
        </row>
        <row r="30097">
          <cell r="A30097">
            <v>43761</v>
          </cell>
        </row>
        <row r="30098">
          <cell r="A30098">
            <v>43140</v>
          </cell>
        </row>
        <row r="30099">
          <cell r="A30099">
            <v>43318</v>
          </cell>
        </row>
        <row r="30100">
          <cell r="A30100">
            <v>43649</v>
          </cell>
        </row>
        <row r="30101">
          <cell r="A30101">
            <v>43712</v>
          </cell>
        </row>
        <row r="30102">
          <cell r="A30102">
            <v>43527</v>
          </cell>
        </row>
        <row r="30103">
          <cell r="A30103">
            <v>43388</v>
          </cell>
        </row>
        <row r="30104">
          <cell r="A30104">
            <v>43573</v>
          </cell>
        </row>
        <row r="30105">
          <cell r="A30105">
            <v>43873</v>
          </cell>
        </row>
        <row r="30106">
          <cell r="A30106">
            <v>43291</v>
          </cell>
        </row>
        <row r="30107">
          <cell r="A30107">
            <v>43127</v>
          </cell>
        </row>
        <row r="30108">
          <cell r="A30108">
            <v>43250</v>
          </cell>
        </row>
        <row r="30109">
          <cell r="A30109">
            <v>43693</v>
          </cell>
        </row>
        <row r="30110">
          <cell r="A30110">
            <v>43573</v>
          </cell>
        </row>
        <row r="30111">
          <cell r="A30111">
            <v>43657</v>
          </cell>
        </row>
        <row r="30112">
          <cell r="A30112">
            <v>43393</v>
          </cell>
        </row>
        <row r="30113">
          <cell r="A30113">
            <v>43651</v>
          </cell>
        </row>
        <row r="30114">
          <cell r="A30114">
            <v>43239</v>
          </cell>
        </row>
        <row r="30115">
          <cell r="A30115">
            <v>43682</v>
          </cell>
        </row>
        <row r="30116">
          <cell r="A30116">
            <v>43661</v>
          </cell>
        </row>
        <row r="30117">
          <cell r="A30117">
            <v>43753</v>
          </cell>
        </row>
        <row r="30118">
          <cell r="A30118">
            <v>43407</v>
          </cell>
        </row>
        <row r="30119">
          <cell r="A30119">
            <v>43716</v>
          </cell>
        </row>
        <row r="30120">
          <cell r="A30120">
            <v>43421</v>
          </cell>
        </row>
        <row r="30121">
          <cell r="A30121">
            <v>43656</v>
          </cell>
        </row>
        <row r="30122">
          <cell r="A30122">
            <v>43103</v>
          </cell>
        </row>
        <row r="30123">
          <cell r="A30123">
            <v>43744</v>
          </cell>
        </row>
        <row r="30124">
          <cell r="A30124">
            <v>43268</v>
          </cell>
        </row>
        <row r="30125">
          <cell r="A30125">
            <v>43487</v>
          </cell>
        </row>
        <row r="30126">
          <cell r="A30126">
            <v>43737</v>
          </cell>
        </row>
        <row r="30127">
          <cell r="A30127">
            <v>43651</v>
          </cell>
        </row>
        <row r="30128">
          <cell r="A30128">
            <v>43370</v>
          </cell>
        </row>
        <row r="30129">
          <cell r="A30129">
            <v>43572</v>
          </cell>
        </row>
        <row r="30130">
          <cell r="A30130">
            <v>43612</v>
          </cell>
        </row>
        <row r="30131">
          <cell r="A30131">
            <v>43777</v>
          </cell>
        </row>
        <row r="30132">
          <cell r="A30132">
            <v>43356</v>
          </cell>
        </row>
        <row r="30133">
          <cell r="A30133">
            <v>43437</v>
          </cell>
        </row>
        <row r="30134">
          <cell r="A30134">
            <v>43161</v>
          </cell>
        </row>
        <row r="30135">
          <cell r="A30135">
            <v>43904</v>
          </cell>
        </row>
        <row r="30136">
          <cell r="A30136">
            <v>43851</v>
          </cell>
        </row>
        <row r="30137">
          <cell r="A30137">
            <v>43351</v>
          </cell>
        </row>
        <row r="30138">
          <cell r="A30138">
            <v>43192</v>
          </cell>
        </row>
        <row r="30139">
          <cell r="A30139">
            <v>43812</v>
          </cell>
        </row>
        <row r="30140">
          <cell r="A30140">
            <v>43892</v>
          </cell>
        </row>
        <row r="30141">
          <cell r="A30141">
            <v>43795</v>
          </cell>
        </row>
        <row r="30142">
          <cell r="A30142">
            <v>43667</v>
          </cell>
        </row>
        <row r="30143">
          <cell r="A30143">
            <v>43727</v>
          </cell>
        </row>
        <row r="30144">
          <cell r="A30144">
            <v>43425</v>
          </cell>
        </row>
        <row r="30145">
          <cell r="A30145">
            <v>43221</v>
          </cell>
        </row>
        <row r="30146">
          <cell r="A30146">
            <v>43125</v>
          </cell>
        </row>
        <row r="30147">
          <cell r="A30147">
            <v>43822</v>
          </cell>
        </row>
        <row r="30148">
          <cell r="A30148">
            <v>43265</v>
          </cell>
        </row>
        <row r="30149">
          <cell r="A30149">
            <v>43348</v>
          </cell>
        </row>
        <row r="30150">
          <cell r="A30150">
            <v>43904</v>
          </cell>
        </row>
        <row r="30151">
          <cell r="A30151">
            <v>43749</v>
          </cell>
        </row>
        <row r="30152">
          <cell r="A30152">
            <v>43474</v>
          </cell>
        </row>
        <row r="30153">
          <cell r="A30153">
            <v>43324</v>
          </cell>
        </row>
        <row r="30154">
          <cell r="A30154">
            <v>43708</v>
          </cell>
        </row>
        <row r="30155">
          <cell r="A30155">
            <v>43765</v>
          </cell>
        </row>
        <row r="30156">
          <cell r="A30156">
            <v>43320</v>
          </cell>
        </row>
        <row r="30157">
          <cell r="A30157">
            <v>43787</v>
          </cell>
        </row>
        <row r="30158">
          <cell r="A30158">
            <v>43120</v>
          </cell>
        </row>
        <row r="30159">
          <cell r="A30159">
            <v>43266</v>
          </cell>
        </row>
        <row r="30160">
          <cell r="A30160">
            <v>43253</v>
          </cell>
        </row>
        <row r="30161">
          <cell r="A30161">
            <v>43497</v>
          </cell>
        </row>
        <row r="30162">
          <cell r="A30162">
            <v>43394</v>
          </cell>
        </row>
        <row r="30163">
          <cell r="A30163">
            <v>43686</v>
          </cell>
        </row>
        <row r="30164">
          <cell r="A30164">
            <v>43542</v>
          </cell>
        </row>
        <row r="30165">
          <cell r="A30165">
            <v>43360</v>
          </cell>
        </row>
        <row r="30166">
          <cell r="A30166">
            <v>43449</v>
          </cell>
        </row>
        <row r="30167">
          <cell r="A30167">
            <v>43397</v>
          </cell>
        </row>
        <row r="30168">
          <cell r="A30168">
            <v>43255</v>
          </cell>
        </row>
        <row r="30169">
          <cell r="A30169">
            <v>43365</v>
          </cell>
        </row>
        <row r="30170">
          <cell r="A30170">
            <v>43716</v>
          </cell>
        </row>
        <row r="30171">
          <cell r="A30171">
            <v>43838</v>
          </cell>
        </row>
        <row r="30172">
          <cell r="A30172">
            <v>43322</v>
          </cell>
        </row>
        <row r="30173">
          <cell r="A30173">
            <v>43687</v>
          </cell>
        </row>
        <row r="30174">
          <cell r="A30174">
            <v>43671</v>
          </cell>
        </row>
        <row r="30175">
          <cell r="A30175">
            <v>43301</v>
          </cell>
        </row>
        <row r="30176">
          <cell r="A30176">
            <v>43880</v>
          </cell>
        </row>
        <row r="30177">
          <cell r="A30177">
            <v>43649</v>
          </cell>
        </row>
        <row r="30178">
          <cell r="A30178">
            <v>43544</v>
          </cell>
        </row>
        <row r="30179">
          <cell r="A30179">
            <v>43531</v>
          </cell>
        </row>
        <row r="30180">
          <cell r="A30180">
            <v>43743</v>
          </cell>
        </row>
        <row r="30181">
          <cell r="A30181">
            <v>43898</v>
          </cell>
        </row>
        <row r="30182">
          <cell r="A30182">
            <v>43603</v>
          </cell>
        </row>
        <row r="30183">
          <cell r="A30183">
            <v>43886</v>
          </cell>
        </row>
        <row r="30184">
          <cell r="A30184">
            <v>43330</v>
          </cell>
        </row>
        <row r="30185">
          <cell r="A30185">
            <v>43546</v>
          </cell>
        </row>
        <row r="30186">
          <cell r="A30186">
            <v>43435</v>
          </cell>
        </row>
        <row r="30187">
          <cell r="A30187">
            <v>43420</v>
          </cell>
        </row>
        <row r="30188">
          <cell r="A30188">
            <v>43540</v>
          </cell>
        </row>
        <row r="30189">
          <cell r="A30189">
            <v>43245</v>
          </cell>
        </row>
        <row r="30190">
          <cell r="A30190">
            <v>43521</v>
          </cell>
        </row>
        <row r="30191">
          <cell r="A30191">
            <v>43872</v>
          </cell>
        </row>
        <row r="30192">
          <cell r="A30192">
            <v>43303</v>
          </cell>
        </row>
        <row r="30193">
          <cell r="A30193">
            <v>43311</v>
          </cell>
        </row>
        <row r="30194">
          <cell r="A30194">
            <v>43308</v>
          </cell>
        </row>
        <row r="30195">
          <cell r="A30195">
            <v>43894</v>
          </cell>
        </row>
        <row r="30196">
          <cell r="A30196">
            <v>43844</v>
          </cell>
        </row>
        <row r="30197">
          <cell r="A30197">
            <v>43106</v>
          </cell>
        </row>
        <row r="30198">
          <cell r="A30198">
            <v>43214</v>
          </cell>
        </row>
        <row r="30199">
          <cell r="A30199">
            <v>43312</v>
          </cell>
        </row>
        <row r="30200">
          <cell r="A30200">
            <v>43136</v>
          </cell>
        </row>
        <row r="30201">
          <cell r="A30201">
            <v>43516</v>
          </cell>
        </row>
        <row r="30202">
          <cell r="A30202">
            <v>43349</v>
          </cell>
        </row>
        <row r="30203">
          <cell r="A30203">
            <v>43189</v>
          </cell>
        </row>
        <row r="30204">
          <cell r="A30204">
            <v>43596</v>
          </cell>
        </row>
        <row r="30205">
          <cell r="A30205">
            <v>43908</v>
          </cell>
        </row>
        <row r="30206">
          <cell r="A30206">
            <v>43506</v>
          </cell>
        </row>
        <row r="30207">
          <cell r="A30207">
            <v>43862</v>
          </cell>
        </row>
        <row r="30208">
          <cell r="A30208">
            <v>43242</v>
          </cell>
        </row>
        <row r="30209">
          <cell r="A30209">
            <v>43837</v>
          </cell>
        </row>
        <row r="30210">
          <cell r="A30210">
            <v>43586</v>
          </cell>
        </row>
        <row r="30211">
          <cell r="A30211">
            <v>43838</v>
          </cell>
        </row>
        <row r="30212">
          <cell r="A30212">
            <v>43836</v>
          </cell>
        </row>
        <row r="30213">
          <cell r="A30213">
            <v>43779</v>
          </cell>
        </row>
        <row r="30214">
          <cell r="A30214">
            <v>43149</v>
          </cell>
        </row>
        <row r="30215">
          <cell r="A30215">
            <v>43846</v>
          </cell>
        </row>
        <row r="30216">
          <cell r="A30216">
            <v>43279</v>
          </cell>
        </row>
        <row r="30217">
          <cell r="A30217">
            <v>43556</v>
          </cell>
        </row>
        <row r="30218">
          <cell r="A30218">
            <v>43462</v>
          </cell>
        </row>
        <row r="30219">
          <cell r="A30219">
            <v>43654</v>
          </cell>
        </row>
        <row r="30220">
          <cell r="A30220">
            <v>43556</v>
          </cell>
        </row>
        <row r="30221">
          <cell r="A30221">
            <v>43634</v>
          </cell>
        </row>
        <row r="30222">
          <cell r="A30222">
            <v>43668</v>
          </cell>
        </row>
        <row r="30223">
          <cell r="A30223">
            <v>43694</v>
          </cell>
        </row>
        <row r="30224">
          <cell r="A30224">
            <v>43669</v>
          </cell>
        </row>
        <row r="30225">
          <cell r="A30225">
            <v>43802</v>
          </cell>
        </row>
        <row r="30226">
          <cell r="A30226">
            <v>43713</v>
          </cell>
        </row>
        <row r="30227">
          <cell r="A30227">
            <v>43390</v>
          </cell>
        </row>
        <row r="30228">
          <cell r="A30228">
            <v>43347</v>
          </cell>
        </row>
        <row r="30229">
          <cell r="A30229">
            <v>43718</v>
          </cell>
        </row>
        <row r="30230">
          <cell r="A30230">
            <v>43438</v>
          </cell>
        </row>
        <row r="30231">
          <cell r="A30231">
            <v>43644</v>
          </cell>
        </row>
        <row r="30232">
          <cell r="A30232">
            <v>43860</v>
          </cell>
        </row>
        <row r="30233">
          <cell r="A30233">
            <v>43330</v>
          </cell>
        </row>
        <row r="30234">
          <cell r="A30234">
            <v>43680</v>
          </cell>
        </row>
        <row r="30235">
          <cell r="A30235">
            <v>43406</v>
          </cell>
        </row>
        <row r="30236">
          <cell r="A30236">
            <v>43776</v>
          </cell>
        </row>
        <row r="30237">
          <cell r="A30237">
            <v>43150</v>
          </cell>
        </row>
        <row r="30238">
          <cell r="A30238">
            <v>43875</v>
          </cell>
        </row>
        <row r="30239">
          <cell r="A30239">
            <v>43547</v>
          </cell>
        </row>
        <row r="30240">
          <cell r="A30240">
            <v>43461</v>
          </cell>
        </row>
        <row r="30241">
          <cell r="A30241">
            <v>43841</v>
          </cell>
        </row>
        <row r="30242">
          <cell r="A30242">
            <v>43435</v>
          </cell>
        </row>
        <row r="30243">
          <cell r="A30243">
            <v>43744</v>
          </cell>
        </row>
        <row r="30244">
          <cell r="A30244">
            <v>43498</v>
          </cell>
        </row>
        <row r="30245">
          <cell r="A30245">
            <v>43287</v>
          </cell>
        </row>
        <row r="30246">
          <cell r="A30246">
            <v>43599</v>
          </cell>
        </row>
        <row r="30247">
          <cell r="A30247">
            <v>43623</v>
          </cell>
        </row>
        <row r="30248">
          <cell r="A30248">
            <v>43668</v>
          </cell>
        </row>
        <row r="30249">
          <cell r="A30249">
            <v>43724</v>
          </cell>
        </row>
        <row r="30250">
          <cell r="A30250">
            <v>43903</v>
          </cell>
        </row>
        <row r="30251">
          <cell r="A30251">
            <v>43573</v>
          </cell>
        </row>
        <row r="30252">
          <cell r="A30252">
            <v>43409</v>
          </cell>
        </row>
        <row r="30253">
          <cell r="A30253">
            <v>43392</v>
          </cell>
        </row>
        <row r="30254">
          <cell r="A30254">
            <v>43537</v>
          </cell>
        </row>
        <row r="30255">
          <cell r="A30255">
            <v>43524</v>
          </cell>
        </row>
        <row r="30256">
          <cell r="A30256">
            <v>43367</v>
          </cell>
        </row>
        <row r="30257">
          <cell r="A30257">
            <v>43568</v>
          </cell>
        </row>
        <row r="30258">
          <cell r="A30258">
            <v>43466</v>
          </cell>
        </row>
        <row r="30259">
          <cell r="A30259">
            <v>43404</v>
          </cell>
        </row>
        <row r="30260">
          <cell r="A30260">
            <v>43643</v>
          </cell>
        </row>
        <row r="30261">
          <cell r="A30261">
            <v>43713</v>
          </cell>
        </row>
        <row r="30262">
          <cell r="A30262">
            <v>43539</v>
          </cell>
        </row>
        <row r="30263">
          <cell r="A30263">
            <v>43131</v>
          </cell>
        </row>
        <row r="30264">
          <cell r="A30264">
            <v>43507</v>
          </cell>
        </row>
        <row r="30265">
          <cell r="A30265">
            <v>43148</v>
          </cell>
        </row>
        <row r="30266">
          <cell r="A30266">
            <v>43540</v>
          </cell>
        </row>
        <row r="30267">
          <cell r="A30267">
            <v>43858</v>
          </cell>
        </row>
        <row r="30268">
          <cell r="A30268">
            <v>43118</v>
          </cell>
        </row>
        <row r="30269">
          <cell r="A30269">
            <v>43106</v>
          </cell>
        </row>
        <row r="30270">
          <cell r="A30270">
            <v>43507</v>
          </cell>
        </row>
        <row r="30271">
          <cell r="A30271">
            <v>43207</v>
          </cell>
        </row>
        <row r="30272">
          <cell r="A30272">
            <v>43357</v>
          </cell>
        </row>
        <row r="30273">
          <cell r="A30273">
            <v>43129</v>
          </cell>
        </row>
        <row r="30274">
          <cell r="A30274">
            <v>43491</v>
          </cell>
        </row>
        <row r="30275">
          <cell r="A30275">
            <v>43790</v>
          </cell>
        </row>
        <row r="30276">
          <cell r="A30276">
            <v>43108</v>
          </cell>
        </row>
        <row r="30277">
          <cell r="A30277">
            <v>43340</v>
          </cell>
        </row>
        <row r="30278">
          <cell r="A30278">
            <v>43432</v>
          </cell>
        </row>
        <row r="30279">
          <cell r="A30279">
            <v>43401</v>
          </cell>
        </row>
        <row r="30280">
          <cell r="A30280">
            <v>43169</v>
          </cell>
        </row>
        <row r="30281">
          <cell r="A30281">
            <v>43345</v>
          </cell>
        </row>
        <row r="30282">
          <cell r="A30282">
            <v>43634</v>
          </cell>
        </row>
        <row r="30283">
          <cell r="A30283">
            <v>43675</v>
          </cell>
        </row>
        <row r="30284">
          <cell r="A30284">
            <v>43551</v>
          </cell>
        </row>
        <row r="30285">
          <cell r="A30285">
            <v>43236</v>
          </cell>
        </row>
        <row r="30286">
          <cell r="A30286">
            <v>43371</v>
          </cell>
        </row>
        <row r="30287">
          <cell r="A30287">
            <v>43283</v>
          </cell>
        </row>
        <row r="30288">
          <cell r="A30288">
            <v>43135</v>
          </cell>
        </row>
        <row r="30289">
          <cell r="A30289">
            <v>43860</v>
          </cell>
        </row>
        <row r="30290">
          <cell r="A30290">
            <v>43282</v>
          </cell>
        </row>
        <row r="30291">
          <cell r="A30291">
            <v>43160</v>
          </cell>
        </row>
        <row r="30292">
          <cell r="A30292">
            <v>43621</v>
          </cell>
        </row>
        <row r="30293">
          <cell r="A30293">
            <v>43155</v>
          </cell>
        </row>
        <row r="30294">
          <cell r="A30294">
            <v>43439</v>
          </cell>
        </row>
        <row r="30295">
          <cell r="A30295">
            <v>43208</v>
          </cell>
        </row>
        <row r="30296">
          <cell r="A30296">
            <v>43439</v>
          </cell>
        </row>
        <row r="30297">
          <cell r="A30297">
            <v>43281</v>
          </cell>
        </row>
        <row r="30298">
          <cell r="A30298">
            <v>43763</v>
          </cell>
        </row>
        <row r="30299">
          <cell r="A30299">
            <v>43849</v>
          </cell>
        </row>
        <row r="30300">
          <cell r="A30300">
            <v>43771</v>
          </cell>
        </row>
        <row r="30301">
          <cell r="A30301">
            <v>43264</v>
          </cell>
        </row>
        <row r="30302">
          <cell r="A30302">
            <v>43746</v>
          </cell>
        </row>
        <row r="30303">
          <cell r="A30303">
            <v>43330</v>
          </cell>
        </row>
        <row r="30304">
          <cell r="A30304">
            <v>43704</v>
          </cell>
        </row>
        <row r="30305">
          <cell r="A30305">
            <v>43149</v>
          </cell>
        </row>
        <row r="30306">
          <cell r="A30306">
            <v>43718</v>
          </cell>
        </row>
        <row r="30307">
          <cell r="A30307">
            <v>43592</v>
          </cell>
        </row>
        <row r="30308">
          <cell r="A30308">
            <v>43127</v>
          </cell>
        </row>
        <row r="30309">
          <cell r="A30309">
            <v>43568</v>
          </cell>
        </row>
        <row r="30310">
          <cell r="A30310">
            <v>43629</v>
          </cell>
        </row>
        <row r="30311">
          <cell r="A30311">
            <v>43919</v>
          </cell>
        </row>
        <row r="30312">
          <cell r="A30312">
            <v>43395</v>
          </cell>
        </row>
        <row r="30313">
          <cell r="A30313">
            <v>43894</v>
          </cell>
        </row>
        <row r="30314">
          <cell r="A30314">
            <v>43211</v>
          </cell>
        </row>
        <row r="30315">
          <cell r="A30315">
            <v>43222</v>
          </cell>
        </row>
        <row r="30316">
          <cell r="A30316">
            <v>43510</v>
          </cell>
        </row>
        <row r="30317">
          <cell r="A30317">
            <v>43750</v>
          </cell>
        </row>
        <row r="30318">
          <cell r="A30318">
            <v>43130</v>
          </cell>
        </row>
        <row r="30319">
          <cell r="A30319">
            <v>43340</v>
          </cell>
        </row>
        <row r="30320">
          <cell r="A30320">
            <v>43158</v>
          </cell>
        </row>
        <row r="30321">
          <cell r="A30321">
            <v>43799</v>
          </cell>
        </row>
        <row r="30322">
          <cell r="A30322">
            <v>43519</v>
          </cell>
        </row>
        <row r="30323">
          <cell r="A30323">
            <v>43446</v>
          </cell>
        </row>
        <row r="30324">
          <cell r="A30324">
            <v>43882</v>
          </cell>
        </row>
        <row r="30325">
          <cell r="A30325">
            <v>43892</v>
          </cell>
        </row>
        <row r="30326">
          <cell r="A30326">
            <v>43594</v>
          </cell>
        </row>
        <row r="30327">
          <cell r="A30327">
            <v>43897</v>
          </cell>
        </row>
        <row r="30328">
          <cell r="A30328">
            <v>43159</v>
          </cell>
        </row>
        <row r="30329">
          <cell r="A30329">
            <v>43913</v>
          </cell>
        </row>
        <row r="30330">
          <cell r="A30330">
            <v>43454</v>
          </cell>
        </row>
        <row r="30331">
          <cell r="A30331">
            <v>43200</v>
          </cell>
        </row>
        <row r="30332">
          <cell r="A30332">
            <v>43558</v>
          </cell>
        </row>
        <row r="30333">
          <cell r="A30333">
            <v>43788</v>
          </cell>
        </row>
        <row r="30334">
          <cell r="A30334">
            <v>43274</v>
          </cell>
        </row>
        <row r="30335">
          <cell r="A30335">
            <v>43838</v>
          </cell>
        </row>
        <row r="30336">
          <cell r="A30336">
            <v>43798</v>
          </cell>
        </row>
        <row r="30337">
          <cell r="A30337">
            <v>43605</v>
          </cell>
        </row>
        <row r="30338">
          <cell r="A30338">
            <v>43379</v>
          </cell>
        </row>
        <row r="30339">
          <cell r="A30339">
            <v>43591</v>
          </cell>
        </row>
        <row r="30340">
          <cell r="A30340">
            <v>43586</v>
          </cell>
        </row>
        <row r="30341">
          <cell r="A30341">
            <v>43150</v>
          </cell>
        </row>
        <row r="30342">
          <cell r="A30342">
            <v>43857</v>
          </cell>
        </row>
        <row r="30343">
          <cell r="A30343">
            <v>43914</v>
          </cell>
        </row>
        <row r="30344">
          <cell r="A30344">
            <v>43499</v>
          </cell>
        </row>
        <row r="30345">
          <cell r="A30345">
            <v>43150</v>
          </cell>
        </row>
        <row r="30346">
          <cell r="A30346">
            <v>43136</v>
          </cell>
        </row>
        <row r="30347">
          <cell r="A30347">
            <v>43655</v>
          </cell>
        </row>
        <row r="30348">
          <cell r="A30348">
            <v>43361</v>
          </cell>
        </row>
        <row r="30349">
          <cell r="A30349">
            <v>43876</v>
          </cell>
        </row>
        <row r="30350">
          <cell r="A30350">
            <v>43345</v>
          </cell>
        </row>
        <row r="30351">
          <cell r="A30351">
            <v>43381</v>
          </cell>
        </row>
        <row r="30352">
          <cell r="A30352">
            <v>43236</v>
          </cell>
        </row>
        <row r="30353">
          <cell r="A30353">
            <v>43121</v>
          </cell>
        </row>
        <row r="30354">
          <cell r="A30354">
            <v>43894</v>
          </cell>
        </row>
        <row r="30355">
          <cell r="A30355">
            <v>43394</v>
          </cell>
        </row>
        <row r="30356">
          <cell r="A30356">
            <v>43360</v>
          </cell>
        </row>
        <row r="30357">
          <cell r="A30357">
            <v>43724</v>
          </cell>
        </row>
        <row r="30358">
          <cell r="A30358">
            <v>43326</v>
          </cell>
        </row>
        <row r="30359">
          <cell r="A30359">
            <v>43431</v>
          </cell>
        </row>
        <row r="30360">
          <cell r="A30360">
            <v>43233</v>
          </cell>
        </row>
        <row r="30361">
          <cell r="A30361">
            <v>43706</v>
          </cell>
        </row>
        <row r="30362">
          <cell r="A30362">
            <v>43167</v>
          </cell>
        </row>
        <row r="30363">
          <cell r="A30363">
            <v>43611</v>
          </cell>
        </row>
        <row r="30364">
          <cell r="A30364">
            <v>43686</v>
          </cell>
        </row>
        <row r="30365">
          <cell r="A30365">
            <v>43685</v>
          </cell>
        </row>
        <row r="30366">
          <cell r="A30366">
            <v>43696</v>
          </cell>
        </row>
        <row r="30367">
          <cell r="A30367">
            <v>43666</v>
          </cell>
        </row>
        <row r="30368">
          <cell r="A30368">
            <v>43202</v>
          </cell>
        </row>
        <row r="30369">
          <cell r="A30369">
            <v>43492</v>
          </cell>
        </row>
        <row r="30370">
          <cell r="A30370">
            <v>43646</v>
          </cell>
        </row>
        <row r="30371">
          <cell r="A30371">
            <v>43888</v>
          </cell>
        </row>
        <row r="30372">
          <cell r="A30372">
            <v>43590</v>
          </cell>
        </row>
        <row r="30373">
          <cell r="A30373">
            <v>43850</v>
          </cell>
        </row>
        <row r="30374">
          <cell r="A30374">
            <v>43614</v>
          </cell>
        </row>
        <row r="30375">
          <cell r="A30375">
            <v>43279</v>
          </cell>
        </row>
        <row r="30376">
          <cell r="A30376">
            <v>43780</v>
          </cell>
        </row>
        <row r="30377">
          <cell r="A30377">
            <v>43144</v>
          </cell>
        </row>
        <row r="30378">
          <cell r="A30378">
            <v>43354</v>
          </cell>
        </row>
        <row r="30379">
          <cell r="A30379">
            <v>43837</v>
          </cell>
        </row>
        <row r="30380">
          <cell r="A30380">
            <v>43237</v>
          </cell>
        </row>
        <row r="30381">
          <cell r="A30381">
            <v>43853</v>
          </cell>
        </row>
        <row r="30382">
          <cell r="A30382">
            <v>43216</v>
          </cell>
        </row>
        <row r="30383">
          <cell r="A30383">
            <v>43758</v>
          </cell>
        </row>
        <row r="30384">
          <cell r="A30384">
            <v>43144</v>
          </cell>
        </row>
        <row r="30385">
          <cell r="A30385">
            <v>43290</v>
          </cell>
        </row>
        <row r="30386">
          <cell r="A30386">
            <v>43348</v>
          </cell>
        </row>
        <row r="30387">
          <cell r="A30387">
            <v>43589</v>
          </cell>
        </row>
        <row r="30388">
          <cell r="A30388">
            <v>43653</v>
          </cell>
        </row>
        <row r="30389">
          <cell r="A30389">
            <v>43401</v>
          </cell>
        </row>
        <row r="30390">
          <cell r="A30390">
            <v>43552</v>
          </cell>
        </row>
        <row r="30391">
          <cell r="A30391">
            <v>43187</v>
          </cell>
        </row>
        <row r="30392">
          <cell r="A30392">
            <v>43501</v>
          </cell>
        </row>
        <row r="30393">
          <cell r="A30393">
            <v>43525</v>
          </cell>
        </row>
        <row r="30394">
          <cell r="A30394">
            <v>43330</v>
          </cell>
        </row>
        <row r="30395">
          <cell r="A30395">
            <v>43685</v>
          </cell>
        </row>
        <row r="30396">
          <cell r="A30396">
            <v>43212</v>
          </cell>
        </row>
        <row r="30397">
          <cell r="A30397">
            <v>43260</v>
          </cell>
        </row>
        <row r="30398">
          <cell r="A30398">
            <v>43139</v>
          </cell>
        </row>
        <row r="30399">
          <cell r="A30399">
            <v>43155</v>
          </cell>
        </row>
        <row r="30400">
          <cell r="A30400">
            <v>43304</v>
          </cell>
        </row>
        <row r="30401">
          <cell r="A30401">
            <v>43902</v>
          </cell>
        </row>
        <row r="30402">
          <cell r="A30402">
            <v>43519</v>
          </cell>
        </row>
        <row r="30403">
          <cell r="A30403">
            <v>43718</v>
          </cell>
        </row>
        <row r="30404">
          <cell r="A30404">
            <v>43682</v>
          </cell>
        </row>
        <row r="30405">
          <cell r="A30405">
            <v>43499</v>
          </cell>
        </row>
        <row r="30406">
          <cell r="A30406">
            <v>43918</v>
          </cell>
        </row>
        <row r="30407">
          <cell r="A30407">
            <v>43288</v>
          </cell>
        </row>
        <row r="30408">
          <cell r="A30408">
            <v>43133</v>
          </cell>
        </row>
        <row r="30409">
          <cell r="A30409">
            <v>43608</v>
          </cell>
        </row>
        <row r="30410">
          <cell r="A30410">
            <v>43657</v>
          </cell>
        </row>
        <row r="30411">
          <cell r="A30411">
            <v>43817</v>
          </cell>
        </row>
        <row r="30412">
          <cell r="A30412">
            <v>43655</v>
          </cell>
        </row>
        <row r="30413">
          <cell r="A30413">
            <v>43421</v>
          </cell>
        </row>
        <row r="30414">
          <cell r="A30414">
            <v>43455</v>
          </cell>
        </row>
        <row r="30415">
          <cell r="A30415">
            <v>43474</v>
          </cell>
        </row>
        <row r="30416">
          <cell r="A30416">
            <v>43370</v>
          </cell>
        </row>
        <row r="30417">
          <cell r="A30417">
            <v>43759</v>
          </cell>
        </row>
        <row r="30418">
          <cell r="A30418">
            <v>43228</v>
          </cell>
        </row>
        <row r="30419">
          <cell r="A30419">
            <v>43430</v>
          </cell>
        </row>
        <row r="30420">
          <cell r="A30420">
            <v>43397</v>
          </cell>
        </row>
        <row r="30421">
          <cell r="A30421">
            <v>43266</v>
          </cell>
        </row>
        <row r="30422">
          <cell r="A30422">
            <v>43885</v>
          </cell>
        </row>
        <row r="30423">
          <cell r="A30423">
            <v>43763</v>
          </cell>
        </row>
        <row r="30424">
          <cell r="A30424">
            <v>43643</v>
          </cell>
        </row>
        <row r="30425">
          <cell r="A30425">
            <v>43113</v>
          </cell>
        </row>
        <row r="30426">
          <cell r="A30426">
            <v>43813</v>
          </cell>
        </row>
        <row r="30427">
          <cell r="A30427">
            <v>43389</v>
          </cell>
        </row>
        <row r="30428">
          <cell r="A30428">
            <v>43279</v>
          </cell>
        </row>
        <row r="30429">
          <cell r="A30429">
            <v>43146</v>
          </cell>
        </row>
        <row r="30430">
          <cell r="A30430">
            <v>43151</v>
          </cell>
        </row>
        <row r="30431">
          <cell r="A30431">
            <v>43213</v>
          </cell>
        </row>
        <row r="30432">
          <cell r="A30432">
            <v>43360</v>
          </cell>
        </row>
        <row r="30433">
          <cell r="A30433">
            <v>43289</v>
          </cell>
        </row>
        <row r="30434">
          <cell r="A30434">
            <v>43116</v>
          </cell>
        </row>
        <row r="30435">
          <cell r="A30435">
            <v>43301</v>
          </cell>
        </row>
        <row r="30436">
          <cell r="A30436">
            <v>43734</v>
          </cell>
        </row>
        <row r="30437">
          <cell r="A30437">
            <v>43189</v>
          </cell>
        </row>
        <row r="30438">
          <cell r="A30438">
            <v>43763</v>
          </cell>
        </row>
        <row r="30439">
          <cell r="A30439">
            <v>43368</v>
          </cell>
        </row>
        <row r="30440">
          <cell r="A30440">
            <v>43808</v>
          </cell>
        </row>
        <row r="30441">
          <cell r="A30441">
            <v>43885</v>
          </cell>
        </row>
        <row r="30442">
          <cell r="A30442">
            <v>43439</v>
          </cell>
        </row>
        <row r="30443">
          <cell r="A30443">
            <v>43332</v>
          </cell>
        </row>
        <row r="30444">
          <cell r="A30444">
            <v>43391</v>
          </cell>
        </row>
        <row r="30445">
          <cell r="A30445">
            <v>43176</v>
          </cell>
        </row>
        <row r="30446">
          <cell r="A30446">
            <v>43349</v>
          </cell>
        </row>
        <row r="30447">
          <cell r="A30447">
            <v>43441</v>
          </cell>
        </row>
        <row r="30448">
          <cell r="A30448">
            <v>43511</v>
          </cell>
        </row>
        <row r="30449">
          <cell r="A30449">
            <v>43131</v>
          </cell>
        </row>
        <row r="30450">
          <cell r="A30450">
            <v>43358</v>
          </cell>
        </row>
        <row r="30451">
          <cell r="A30451">
            <v>43535</v>
          </cell>
        </row>
        <row r="30452">
          <cell r="A30452">
            <v>43330</v>
          </cell>
        </row>
        <row r="30453">
          <cell r="A30453">
            <v>43537</v>
          </cell>
        </row>
        <row r="30454">
          <cell r="A30454">
            <v>43856</v>
          </cell>
        </row>
        <row r="30455">
          <cell r="A30455">
            <v>43864</v>
          </cell>
        </row>
        <row r="30456">
          <cell r="A30456">
            <v>43172</v>
          </cell>
        </row>
        <row r="30457">
          <cell r="A30457">
            <v>43405</v>
          </cell>
        </row>
        <row r="30458">
          <cell r="A30458">
            <v>43829</v>
          </cell>
        </row>
        <row r="30459">
          <cell r="A30459">
            <v>43848</v>
          </cell>
        </row>
        <row r="30460">
          <cell r="A30460">
            <v>43560</v>
          </cell>
        </row>
        <row r="30461">
          <cell r="A30461">
            <v>43748</v>
          </cell>
        </row>
        <row r="30462">
          <cell r="A30462">
            <v>43480</v>
          </cell>
        </row>
        <row r="30463">
          <cell r="A30463">
            <v>43618</v>
          </cell>
        </row>
        <row r="30464">
          <cell r="A30464">
            <v>43281</v>
          </cell>
        </row>
        <row r="30465">
          <cell r="A30465">
            <v>43686</v>
          </cell>
        </row>
        <row r="30466">
          <cell r="A30466">
            <v>43244</v>
          </cell>
        </row>
        <row r="30467">
          <cell r="A30467">
            <v>43305</v>
          </cell>
        </row>
        <row r="30468">
          <cell r="A30468">
            <v>43115</v>
          </cell>
        </row>
        <row r="30469">
          <cell r="A30469">
            <v>43482</v>
          </cell>
        </row>
        <row r="30470">
          <cell r="A30470">
            <v>43376</v>
          </cell>
        </row>
        <row r="30471">
          <cell r="A30471">
            <v>43644</v>
          </cell>
        </row>
        <row r="30472">
          <cell r="A30472">
            <v>43123</v>
          </cell>
        </row>
        <row r="30473">
          <cell r="A30473">
            <v>43228</v>
          </cell>
        </row>
        <row r="30474">
          <cell r="A30474">
            <v>43776</v>
          </cell>
        </row>
        <row r="30475">
          <cell r="A30475">
            <v>43160</v>
          </cell>
        </row>
        <row r="30476">
          <cell r="A30476">
            <v>43610</v>
          </cell>
        </row>
        <row r="30477">
          <cell r="A30477">
            <v>43458</v>
          </cell>
        </row>
        <row r="30478">
          <cell r="A30478">
            <v>43310</v>
          </cell>
        </row>
        <row r="30479">
          <cell r="A30479">
            <v>43353</v>
          </cell>
        </row>
        <row r="30480">
          <cell r="A30480">
            <v>43191</v>
          </cell>
        </row>
        <row r="30481">
          <cell r="A30481">
            <v>43151</v>
          </cell>
        </row>
        <row r="30482">
          <cell r="A30482">
            <v>43217</v>
          </cell>
        </row>
        <row r="30483">
          <cell r="A30483">
            <v>43301</v>
          </cell>
        </row>
        <row r="30484">
          <cell r="A30484">
            <v>43228</v>
          </cell>
        </row>
        <row r="30485">
          <cell r="A30485">
            <v>43744</v>
          </cell>
        </row>
        <row r="30486">
          <cell r="A30486">
            <v>43428</v>
          </cell>
        </row>
        <row r="30487">
          <cell r="A30487">
            <v>43315</v>
          </cell>
        </row>
        <row r="30488">
          <cell r="A30488">
            <v>43385</v>
          </cell>
        </row>
        <row r="30489">
          <cell r="A30489">
            <v>43916</v>
          </cell>
        </row>
        <row r="30490">
          <cell r="A30490">
            <v>43919</v>
          </cell>
        </row>
        <row r="30491">
          <cell r="A30491">
            <v>43458</v>
          </cell>
        </row>
        <row r="30492">
          <cell r="A30492">
            <v>43743</v>
          </cell>
        </row>
        <row r="30493">
          <cell r="A30493">
            <v>43191</v>
          </cell>
        </row>
        <row r="30494">
          <cell r="A30494">
            <v>43541</v>
          </cell>
        </row>
        <row r="30495">
          <cell r="A30495">
            <v>43149</v>
          </cell>
        </row>
        <row r="30496">
          <cell r="A30496">
            <v>43903</v>
          </cell>
        </row>
        <row r="30497">
          <cell r="A30497">
            <v>43622</v>
          </cell>
        </row>
        <row r="30498">
          <cell r="A30498">
            <v>43854</v>
          </cell>
        </row>
        <row r="30499">
          <cell r="A30499">
            <v>43717</v>
          </cell>
        </row>
        <row r="30500">
          <cell r="A30500">
            <v>43826</v>
          </cell>
        </row>
        <row r="30501">
          <cell r="A30501">
            <v>43847</v>
          </cell>
        </row>
        <row r="30502">
          <cell r="A30502">
            <v>43179</v>
          </cell>
        </row>
        <row r="30503">
          <cell r="A30503">
            <v>43816</v>
          </cell>
        </row>
        <row r="30504">
          <cell r="A30504">
            <v>43430</v>
          </cell>
        </row>
        <row r="30505">
          <cell r="A30505">
            <v>43416</v>
          </cell>
        </row>
        <row r="30506">
          <cell r="A30506">
            <v>43471</v>
          </cell>
        </row>
        <row r="30507">
          <cell r="A30507">
            <v>43372</v>
          </cell>
        </row>
        <row r="30508">
          <cell r="A30508">
            <v>43750</v>
          </cell>
        </row>
        <row r="30509">
          <cell r="A30509">
            <v>43216</v>
          </cell>
        </row>
        <row r="30510">
          <cell r="A30510">
            <v>43764</v>
          </cell>
        </row>
        <row r="30511">
          <cell r="A30511">
            <v>43911</v>
          </cell>
        </row>
        <row r="30512">
          <cell r="A30512">
            <v>43322</v>
          </cell>
        </row>
        <row r="30513">
          <cell r="A30513">
            <v>43808</v>
          </cell>
        </row>
        <row r="30514">
          <cell r="A30514">
            <v>43810</v>
          </cell>
        </row>
        <row r="30515">
          <cell r="A30515">
            <v>43299</v>
          </cell>
        </row>
        <row r="30516">
          <cell r="A30516">
            <v>43709</v>
          </cell>
        </row>
        <row r="30517">
          <cell r="A30517">
            <v>43775</v>
          </cell>
        </row>
        <row r="30518">
          <cell r="A30518">
            <v>43579</v>
          </cell>
        </row>
        <row r="30519">
          <cell r="A30519">
            <v>43697</v>
          </cell>
        </row>
        <row r="30520">
          <cell r="A30520">
            <v>43434</v>
          </cell>
        </row>
        <row r="30521">
          <cell r="A30521">
            <v>43794</v>
          </cell>
        </row>
        <row r="30522">
          <cell r="A30522">
            <v>43311</v>
          </cell>
        </row>
        <row r="30523">
          <cell r="A30523">
            <v>43316</v>
          </cell>
        </row>
        <row r="30524">
          <cell r="A30524">
            <v>43448</v>
          </cell>
        </row>
        <row r="30525">
          <cell r="A30525">
            <v>43593</v>
          </cell>
        </row>
        <row r="30526">
          <cell r="A30526">
            <v>43556</v>
          </cell>
        </row>
        <row r="30527">
          <cell r="A30527">
            <v>43193</v>
          </cell>
        </row>
        <row r="30528">
          <cell r="A30528">
            <v>43140</v>
          </cell>
        </row>
        <row r="30529">
          <cell r="A30529">
            <v>43210</v>
          </cell>
        </row>
        <row r="30530">
          <cell r="A30530">
            <v>43199</v>
          </cell>
        </row>
        <row r="30531">
          <cell r="A30531">
            <v>43814</v>
          </cell>
        </row>
        <row r="30532">
          <cell r="A30532">
            <v>43161</v>
          </cell>
        </row>
        <row r="30533">
          <cell r="A30533">
            <v>43799</v>
          </cell>
        </row>
        <row r="30534">
          <cell r="A30534">
            <v>43714</v>
          </cell>
        </row>
        <row r="30535">
          <cell r="A30535">
            <v>43835</v>
          </cell>
        </row>
        <row r="30536">
          <cell r="A30536">
            <v>43755</v>
          </cell>
        </row>
        <row r="30537">
          <cell r="A30537">
            <v>43195</v>
          </cell>
        </row>
        <row r="30538">
          <cell r="A30538">
            <v>43852</v>
          </cell>
        </row>
        <row r="30539">
          <cell r="A30539">
            <v>43479</v>
          </cell>
        </row>
        <row r="30540">
          <cell r="A30540">
            <v>43741</v>
          </cell>
        </row>
        <row r="30541">
          <cell r="A30541">
            <v>43728</v>
          </cell>
        </row>
        <row r="30542">
          <cell r="A30542">
            <v>43681</v>
          </cell>
        </row>
        <row r="30543">
          <cell r="A30543">
            <v>43582</v>
          </cell>
        </row>
        <row r="30544">
          <cell r="A30544">
            <v>43558</v>
          </cell>
        </row>
        <row r="30545">
          <cell r="A30545">
            <v>43707</v>
          </cell>
        </row>
        <row r="30546">
          <cell r="A30546">
            <v>43445</v>
          </cell>
        </row>
        <row r="30547">
          <cell r="A30547">
            <v>43888</v>
          </cell>
        </row>
        <row r="30548">
          <cell r="A30548">
            <v>43805</v>
          </cell>
        </row>
        <row r="30549">
          <cell r="A30549">
            <v>43648</v>
          </cell>
        </row>
        <row r="30550">
          <cell r="A30550">
            <v>43656</v>
          </cell>
        </row>
        <row r="30551">
          <cell r="A30551">
            <v>43441</v>
          </cell>
        </row>
        <row r="30552">
          <cell r="A30552">
            <v>43850</v>
          </cell>
        </row>
        <row r="30553">
          <cell r="A30553">
            <v>43861</v>
          </cell>
        </row>
        <row r="30554">
          <cell r="A30554">
            <v>43230</v>
          </cell>
        </row>
        <row r="30555">
          <cell r="A30555">
            <v>43143</v>
          </cell>
        </row>
        <row r="30556">
          <cell r="A30556">
            <v>43575</v>
          </cell>
        </row>
        <row r="30557">
          <cell r="A30557">
            <v>43218</v>
          </cell>
        </row>
        <row r="30558">
          <cell r="A30558">
            <v>43787</v>
          </cell>
        </row>
        <row r="30559">
          <cell r="A30559">
            <v>43886</v>
          </cell>
        </row>
        <row r="30560">
          <cell r="A30560">
            <v>43747</v>
          </cell>
        </row>
        <row r="30561">
          <cell r="A30561">
            <v>43792</v>
          </cell>
        </row>
        <row r="30562">
          <cell r="A30562">
            <v>43709</v>
          </cell>
        </row>
        <row r="30563">
          <cell r="A30563">
            <v>43918</v>
          </cell>
        </row>
        <row r="30564">
          <cell r="A30564">
            <v>43758</v>
          </cell>
        </row>
        <row r="30565">
          <cell r="A30565">
            <v>43502</v>
          </cell>
        </row>
        <row r="30566">
          <cell r="A30566">
            <v>43748</v>
          </cell>
        </row>
        <row r="30567">
          <cell r="A30567">
            <v>43375</v>
          </cell>
        </row>
        <row r="30568">
          <cell r="A30568">
            <v>43588</v>
          </cell>
        </row>
        <row r="30569">
          <cell r="A30569">
            <v>43630</v>
          </cell>
        </row>
        <row r="30570">
          <cell r="A30570">
            <v>43121</v>
          </cell>
        </row>
        <row r="30571">
          <cell r="A30571">
            <v>43899</v>
          </cell>
        </row>
        <row r="30572">
          <cell r="A30572">
            <v>43326</v>
          </cell>
        </row>
        <row r="30573">
          <cell r="A30573">
            <v>43204</v>
          </cell>
        </row>
        <row r="30574">
          <cell r="A30574">
            <v>43360</v>
          </cell>
        </row>
        <row r="30575">
          <cell r="A30575">
            <v>43405</v>
          </cell>
        </row>
        <row r="30576">
          <cell r="A30576">
            <v>43692</v>
          </cell>
        </row>
        <row r="30577">
          <cell r="A30577">
            <v>43900</v>
          </cell>
        </row>
        <row r="30578">
          <cell r="A30578">
            <v>43336</v>
          </cell>
        </row>
        <row r="30579">
          <cell r="A30579">
            <v>43725</v>
          </cell>
        </row>
        <row r="30580">
          <cell r="A30580">
            <v>43765</v>
          </cell>
        </row>
        <row r="30581">
          <cell r="A30581">
            <v>43513</v>
          </cell>
        </row>
        <row r="30582">
          <cell r="A30582">
            <v>43254</v>
          </cell>
        </row>
        <row r="30583">
          <cell r="A30583">
            <v>43356</v>
          </cell>
        </row>
        <row r="30584">
          <cell r="A30584">
            <v>43453</v>
          </cell>
        </row>
        <row r="30585">
          <cell r="A30585">
            <v>43847</v>
          </cell>
        </row>
        <row r="30586">
          <cell r="A30586">
            <v>43149</v>
          </cell>
        </row>
        <row r="30587">
          <cell r="A30587">
            <v>43833</v>
          </cell>
        </row>
        <row r="30588">
          <cell r="A30588">
            <v>43234</v>
          </cell>
        </row>
        <row r="30589">
          <cell r="A30589">
            <v>43121</v>
          </cell>
        </row>
        <row r="30590">
          <cell r="A30590">
            <v>43827</v>
          </cell>
        </row>
        <row r="30591">
          <cell r="A30591">
            <v>43871</v>
          </cell>
        </row>
        <row r="30592">
          <cell r="A30592">
            <v>43706</v>
          </cell>
        </row>
        <row r="30593">
          <cell r="A30593">
            <v>43158</v>
          </cell>
        </row>
        <row r="30594">
          <cell r="A30594">
            <v>43755</v>
          </cell>
        </row>
        <row r="30595">
          <cell r="A30595">
            <v>43693</v>
          </cell>
        </row>
        <row r="30596">
          <cell r="A30596">
            <v>43472</v>
          </cell>
        </row>
        <row r="30597">
          <cell r="A30597">
            <v>43669</v>
          </cell>
        </row>
        <row r="30598">
          <cell r="A30598">
            <v>43486</v>
          </cell>
        </row>
        <row r="30599">
          <cell r="A30599">
            <v>43813</v>
          </cell>
        </row>
        <row r="30600">
          <cell r="A30600">
            <v>43607</v>
          </cell>
        </row>
        <row r="30601">
          <cell r="A30601">
            <v>43506</v>
          </cell>
        </row>
        <row r="30602">
          <cell r="A30602">
            <v>43780</v>
          </cell>
        </row>
        <row r="30603">
          <cell r="A30603">
            <v>43578</v>
          </cell>
        </row>
        <row r="30604">
          <cell r="A30604">
            <v>43568</v>
          </cell>
        </row>
        <row r="30605">
          <cell r="A30605">
            <v>43670</v>
          </cell>
        </row>
        <row r="30606">
          <cell r="A30606">
            <v>43554</v>
          </cell>
        </row>
        <row r="30607">
          <cell r="A30607">
            <v>43553</v>
          </cell>
        </row>
        <row r="30608">
          <cell r="A30608">
            <v>43856</v>
          </cell>
        </row>
        <row r="30609">
          <cell r="A30609">
            <v>43877</v>
          </cell>
        </row>
        <row r="30610">
          <cell r="A30610">
            <v>43325</v>
          </cell>
        </row>
        <row r="30611">
          <cell r="A30611">
            <v>43787</v>
          </cell>
        </row>
        <row r="30612">
          <cell r="A30612">
            <v>43782</v>
          </cell>
        </row>
        <row r="30613">
          <cell r="A30613">
            <v>43673</v>
          </cell>
        </row>
        <row r="30614">
          <cell r="A30614">
            <v>43529</v>
          </cell>
        </row>
        <row r="30615">
          <cell r="A30615">
            <v>43287</v>
          </cell>
        </row>
        <row r="30616">
          <cell r="A30616">
            <v>43494</v>
          </cell>
        </row>
        <row r="30617">
          <cell r="A30617">
            <v>43802</v>
          </cell>
        </row>
        <row r="30618">
          <cell r="A30618">
            <v>43153</v>
          </cell>
        </row>
        <row r="30619">
          <cell r="A30619">
            <v>43898</v>
          </cell>
        </row>
        <row r="30620">
          <cell r="A30620">
            <v>43604</v>
          </cell>
        </row>
        <row r="30621">
          <cell r="A30621">
            <v>43269</v>
          </cell>
        </row>
        <row r="30622">
          <cell r="A30622">
            <v>43919</v>
          </cell>
        </row>
        <row r="30623">
          <cell r="A30623">
            <v>43839</v>
          </cell>
        </row>
        <row r="30624">
          <cell r="A30624">
            <v>43831</v>
          </cell>
        </row>
        <row r="30625">
          <cell r="A30625">
            <v>43463</v>
          </cell>
        </row>
        <row r="30626">
          <cell r="A30626">
            <v>43592</v>
          </cell>
        </row>
        <row r="30627">
          <cell r="A30627">
            <v>43837</v>
          </cell>
        </row>
        <row r="30628">
          <cell r="A30628">
            <v>43526</v>
          </cell>
        </row>
        <row r="30629">
          <cell r="A30629">
            <v>43120</v>
          </cell>
        </row>
        <row r="30630">
          <cell r="A30630">
            <v>43340</v>
          </cell>
        </row>
        <row r="30631">
          <cell r="A30631">
            <v>43794</v>
          </cell>
        </row>
        <row r="30632">
          <cell r="A30632">
            <v>43916</v>
          </cell>
        </row>
        <row r="30633">
          <cell r="A30633">
            <v>43321</v>
          </cell>
        </row>
        <row r="30634">
          <cell r="A30634">
            <v>43605</v>
          </cell>
        </row>
        <row r="30635">
          <cell r="A30635">
            <v>43540</v>
          </cell>
        </row>
        <row r="30636">
          <cell r="A30636">
            <v>43513</v>
          </cell>
        </row>
        <row r="30637">
          <cell r="A30637">
            <v>43657</v>
          </cell>
        </row>
        <row r="30638">
          <cell r="A30638">
            <v>43195</v>
          </cell>
        </row>
        <row r="30639">
          <cell r="A30639">
            <v>43310</v>
          </cell>
        </row>
        <row r="30640">
          <cell r="A30640">
            <v>43369</v>
          </cell>
        </row>
        <row r="30641">
          <cell r="A30641">
            <v>43815</v>
          </cell>
        </row>
        <row r="30642">
          <cell r="A30642">
            <v>43798</v>
          </cell>
        </row>
        <row r="30643">
          <cell r="A30643">
            <v>43863</v>
          </cell>
        </row>
        <row r="30644">
          <cell r="A30644">
            <v>43155</v>
          </cell>
        </row>
        <row r="30645">
          <cell r="A30645">
            <v>43256</v>
          </cell>
        </row>
        <row r="30646">
          <cell r="A30646">
            <v>43393</v>
          </cell>
        </row>
        <row r="30647">
          <cell r="A30647">
            <v>43766</v>
          </cell>
        </row>
        <row r="30648">
          <cell r="A30648">
            <v>43235</v>
          </cell>
        </row>
        <row r="30649">
          <cell r="A30649">
            <v>43707</v>
          </cell>
        </row>
        <row r="30650">
          <cell r="A30650">
            <v>43865</v>
          </cell>
        </row>
        <row r="30651">
          <cell r="A30651">
            <v>43865</v>
          </cell>
        </row>
        <row r="30652">
          <cell r="A30652">
            <v>43339</v>
          </cell>
        </row>
        <row r="30653">
          <cell r="A30653">
            <v>43354</v>
          </cell>
        </row>
        <row r="30654">
          <cell r="A30654">
            <v>43348</v>
          </cell>
        </row>
        <row r="30655">
          <cell r="A30655">
            <v>43479</v>
          </cell>
        </row>
        <row r="30656">
          <cell r="A30656">
            <v>43909</v>
          </cell>
        </row>
        <row r="30657">
          <cell r="A30657">
            <v>43236</v>
          </cell>
        </row>
        <row r="30658">
          <cell r="A30658">
            <v>43619</v>
          </cell>
        </row>
        <row r="30659">
          <cell r="A30659">
            <v>43384</v>
          </cell>
        </row>
        <row r="30660">
          <cell r="A30660">
            <v>43649</v>
          </cell>
        </row>
        <row r="30661">
          <cell r="A30661">
            <v>43325</v>
          </cell>
        </row>
        <row r="30662">
          <cell r="A30662">
            <v>43511</v>
          </cell>
        </row>
        <row r="30663">
          <cell r="A30663">
            <v>43235</v>
          </cell>
        </row>
        <row r="30664">
          <cell r="A30664">
            <v>43345</v>
          </cell>
        </row>
        <row r="30665">
          <cell r="A30665">
            <v>43579</v>
          </cell>
        </row>
        <row r="30666">
          <cell r="A30666">
            <v>43736</v>
          </cell>
        </row>
        <row r="30667">
          <cell r="A30667">
            <v>43125</v>
          </cell>
        </row>
        <row r="30668">
          <cell r="A30668">
            <v>43432</v>
          </cell>
        </row>
        <row r="30669">
          <cell r="A30669">
            <v>43598</v>
          </cell>
        </row>
        <row r="30670">
          <cell r="A30670">
            <v>43917</v>
          </cell>
        </row>
        <row r="30671">
          <cell r="A30671">
            <v>43873</v>
          </cell>
        </row>
        <row r="30672">
          <cell r="A30672">
            <v>43886</v>
          </cell>
        </row>
        <row r="30673">
          <cell r="A30673">
            <v>43252</v>
          </cell>
        </row>
        <row r="30674">
          <cell r="A30674">
            <v>43734</v>
          </cell>
        </row>
        <row r="30675">
          <cell r="A30675">
            <v>43461</v>
          </cell>
        </row>
        <row r="30676">
          <cell r="A30676">
            <v>43758</v>
          </cell>
        </row>
        <row r="30677">
          <cell r="A30677">
            <v>43355</v>
          </cell>
        </row>
        <row r="30678">
          <cell r="A30678">
            <v>43649</v>
          </cell>
        </row>
        <row r="30679">
          <cell r="A30679">
            <v>43259</v>
          </cell>
        </row>
        <row r="30680">
          <cell r="A30680">
            <v>43738</v>
          </cell>
        </row>
        <row r="30681">
          <cell r="A30681">
            <v>43481</v>
          </cell>
        </row>
        <row r="30682">
          <cell r="A30682">
            <v>43210</v>
          </cell>
        </row>
        <row r="30683">
          <cell r="A30683">
            <v>43679</v>
          </cell>
        </row>
        <row r="30684">
          <cell r="A30684">
            <v>43321</v>
          </cell>
        </row>
        <row r="30685">
          <cell r="A30685">
            <v>43724</v>
          </cell>
        </row>
        <row r="30686">
          <cell r="A30686">
            <v>43867</v>
          </cell>
        </row>
        <row r="30687">
          <cell r="A30687">
            <v>43906</v>
          </cell>
        </row>
        <row r="30688">
          <cell r="A30688">
            <v>43899</v>
          </cell>
        </row>
        <row r="30689">
          <cell r="A30689">
            <v>43781</v>
          </cell>
        </row>
        <row r="30690">
          <cell r="A30690">
            <v>43272</v>
          </cell>
        </row>
        <row r="30691">
          <cell r="A30691">
            <v>43198</v>
          </cell>
        </row>
        <row r="30692">
          <cell r="A30692">
            <v>43653</v>
          </cell>
        </row>
        <row r="30693">
          <cell r="A30693">
            <v>43433</v>
          </cell>
        </row>
        <row r="30694">
          <cell r="A30694">
            <v>43192</v>
          </cell>
        </row>
        <row r="30695">
          <cell r="A30695">
            <v>43740</v>
          </cell>
        </row>
        <row r="30696">
          <cell r="A30696">
            <v>43473</v>
          </cell>
        </row>
        <row r="30697">
          <cell r="A30697">
            <v>43642</v>
          </cell>
        </row>
        <row r="30698">
          <cell r="A30698">
            <v>43729</v>
          </cell>
        </row>
        <row r="30699">
          <cell r="A30699">
            <v>43365</v>
          </cell>
        </row>
        <row r="30700">
          <cell r="A30700">
            <v>43795</v>
          </cell>
        </row>
        <row r="30701">
          <cell r="A30701">
            <v>43135</v>
          </cell>
        </row>
        <row r="30702">
          <cell r="A30702">
            <v>43913</v>
          </cell>
        </row>
        <row r="30703">
          <cell r="A30703">
            <v>43875</v>
          </cell>
        </row>
        <row r="30704">
          <cell r="A30704">
            <v>43301</v>
          </cell>
        </row>
        <row r="30705">
          <cell r="A30705">
            <v>43561</v>
          </cell>
        </row>
        <row r="30706">
          <cell r="A30706">
            <v>43429</v>
          </cell>
        </row>
        <row r="30707">
          <cell r="A30707">
            <v>43342</v>
          </cell>
        </row>
        <row r="30708">
          <cell r="A30708">
            <v>43314</v>
          </cell>
        </row>
        <row r="30709">
          <cell r="A30709">
            <v>43858</v>
          </cell>
        </row>
        <row r="30710">
          <cell r="A30710">
            <v>43491</v>
          </cell>
        </row>
        <row r="30711">
          <cell r="A30711">
            <v>43670</v>
          </cell>
        </row>
        <row r="30712">
          <cell r="A30712">
            <v>43324</v>
          </cell>
        </row>
        <row r="30713">
          <cell r="A30713">
            <v>43888</v>
          </cell>
        </row>
        <row r="30714">
          <cell r="A30714">
            <v>43387</v>
          </cell>
        </row>
        <row r="30715">
          <cell r="A30715">
            <v>43901</v>
          </cell>
        </row>
        <row r="30716">
          <cell r="A30716">
            <v>43590</v>
          </cell>
        </row>
        <row r="30717">
          <cell r="A30717">
            <v>43475</v>
          </cell>
        </row>
        <row r="30718">
          <cell r="A30718">
            <v>43803</v>
          </cell>
        </row>
        <row r="30719">
          <cell r="A30719">
            <v>43854</v>
          </cell>
        </row>
        <row r="30720">
          <cell r="A30720">
            <v>43879</v>
          </cell>
        </row>
        <row r="30721">
          <cell r="A30721">
            <v>43375</v>
          </cell>
        </row>
        <row r="30722">
          <cell r="A30722">
            <v>43774</v>
          </cell>
        </row>
        <row r="30723">
          <cell r="A30723">
            <v>43525</v>
          </cell>
        </row>
        <row r="30724">
          <cell r="A30724">
            <v>43405</v>
          </cell>
        </row>
        <row r="30725">
          <cell r="A30725">
            <v>43719</v>
          </cell>
        </row>
        <row r="30726">
          <cell r="A30726">
            <v>43119</v>
          </cell>
        </row>
        <row r="30727">
          <cell r="A30727">
            <v>43544</v>
          </cell>
        </row>
        <row r="30728">
          <cell r="A30728">
            <v>43292</v>
          </cell>
        </row>
        <row r="30729">
          <cell r="A30729">
            <v>43168</v>
          </cell>
        </row>
        <row r="30730">
          <cell r="A30730">
            <v>43220</v>
          </cell>
        </row>
        <row r="30731">
          <cell r="A30731">
            <v>43353</v>
          </cell>
        </row>
        <row r="30732">
          <cell r="A30732">
            <v>43669</v>
          </cell>
        </row>
        <row r="30733">
          <cell r="A30733">
            <v>43495</v>
          </cell>
        </row>
        <row r="30734">
          <cell r="A30734">
            <v>43160</v>
          </cell>
        </row>
        <row r="30735">
          <cell r="A30735">
            <v>43296</v>
          </cell>
        </row>
        <row r="30736">
          <cell r="A30736">
            <v>43906</v>
          </cell>
        </row>
        <row r="30737">
          <cell r="A30737">
            <v>43898</v>
          </cell>
        </row>
        <row r="30738">
          <cell r="A30738">
            <v>43198</v>
          </cell>
        </row>
        <row r="30739">
          <cell r="A30739">
            <v>43621</v>
          </cell>
        </row>
        <row r="30740">
          <cell r="A30740">
            <v>43833</v>
          </cell>
        </row>
        <row r="30741">
          <cell r="A30741">
            <v>43441</v>
          </cell>
        </row>
        <row r="30742">
          <cell r="A30742">
            <v>43234</v>
          </cell>
        </row>
        <row r="30743">
          <cell r="A30743">
            <v>43381</v>
          </cell>
        </row>
        <row r="30744">
          <cell r="A30744">
            <v>43132</v>
          </cell>
        </row>
        <row r="30745">
          <cell r="A30745">
            <v>43777</v>
          </cell>
        </row>
        <row r="30746">
          <cell r="A30746">
            <v>43270</v>
          </cell>
        </row>
        <row r="30747">
          <cell r="A30747">
            <v>43212</v>
          </cell>
        </row>
        <row r="30748">
          <cell r="A30748">
            <v>43219</v>
          </cell>
        </row>
        <row r="30749">
          <cell r="A30749">
            <v>43880</v>
          </cell>
        </row>
        <row r="30750">
          <cell r="A30750">
            <v>43348</v>
          </cell>
        </row>
        <row r="30751">
          <cell r="A30751">
            <v>43303</v>
          </cell>
        </row>
        <row r="30752">
          <cell r="A30752">
            <v>43610</v>
          </cell>
        </row>
        <row r="30753">
          <cell r="A30753">
            <v>43377</v>
          </cell>
        </row>
        <row r="30754">
          <cell r="A30754">
            <v>43536</v>
          </cell>
        </row>
        <row r="30755">
          <cell r="A30755">
            <v>43383</v>
          </cell>
        </row>
        <row r="30756">
          <cell r="A30756">
            <v>43864</v>
          </cell>
        </row>
        <row r="30757">
          <cell r="A30757">
            <v>43798</v>
          </cell>
        </row>
        <row r="30758">
          <cell r="A30758">
            <v>43553</v>
          </cell>
        </row>
        <row r="30759">
          <cell r="A30759">
            <v>43236</v>
          </cell>
        </row>
        <row r="30760">
          <cell r="A30760">
            <v>43603</v>
          </cell>
        </row>
        <row r="30761">
          <cell r="A30761">
            <v>43673</v>
          </cell>
        </row>
        <row r="30762">
          <cell r="A30762">
            <v>43871</v>
          </cell>
        </row>
        <row r="30763">
          <cell r="A30763">
            <v>43524</v>
          </cell>
        </row>
        <row r="30764">
          <cell r="A30764">
            <v>43424</v>
          </cell>
        </row>
        <row r="30765">
          <cell r="A30765">
            <v>43266</v>
          </cell>
        </row>
        <row r="30766">
          <cell r="A30766">
            <v>43869</v>
          </cell>
        </row>
        <row r="30767">
          <cell r="A30767">
            <v>43575</v>
          </cell>
        </row>
        <row r="30768">
          <cell r="A30768">
            <v>43865</v>
          </cell>
        </row>
        <row r="30769">
          <cell r="A30769">
            <v>43212</v>
          </cell>
        </row>
        <row r="30770">
          <cell r="A30770">
            <v>43354</v>
          </cell>
        </row>
        <row r="30771">
          <cell r="A30771">
            <v>43744</v>
          </cell>
        </row>
        <row r="30772">
          <cell r="A30772">
            <v>43261</v>
          </cell>
        </row>
        <row r="30773">
          <cell r="A30773">
            <v>43295</v>
          </cell>
        </row>
        <row r="30774">
          <cell r="A30774">
            <v>43452</v>
          </cell>
        </row>
        <row r="30775">
          <cell r="A30775">
            <v>43856</v>
          </cell>
        </row>
        <row r="30776">
          <cell r="A30776">
            <v>43737</v>
          </cell>
        </row>
        <row r="30777">
          <cell r="A30777">
            <v>43536</v>
          </cell>
        </row>
        <row r="30778">
          <cell r="A30778">
            <v>43213</v>
          </cell>
        </row>
        <row r="30779">
          <cell r="A30779">
            <v>43904</v>
          </cell>
        </row>
        <row r="30780">
          <cell r="A30780">
            <v>43831</v>
          </cell>
        </row>
        <row r="30781">
          <cell r="A30781">
            <v>43905</v>
          </cell>
        </row>
        <row r="30782">
          <cell r="A30782">
            <v>43807</v>
          </cell>
        </row>
        <row r="30783">
          <cell r="A30783">
            <v>43618</v>
          </cell>
        </row>
        <row r="30784">
          <cell r="A30784">
            <v>43533</v>
          </cell>
        </row>
        <row r="30785">
          <cell r="A30785">
            <v>43727</v>
          </cell>
        </row>
        <row r="30786">
          <cell r="A30786">
            <v>43613</v>
          </cell>
        </row>
        <row r="30787">
          <cell r="A30787">
            <v>43639</v>
          </cell>
        </row>
        <row r="30788">
          <cell r="A30788">
            <v>43541</v>
          </cell>
        </row>
        <row r="30789">
          <cell r="A30789">
            <v>43568</v>
          </cell>
        </row>
        <row r="30790">
          <cell r="A30790">
            <v>43824</v>
          </cell>
        </row>
        <row r="30791">
          <cell r="A30791">
            <v>43248</v>
          </cell>
        </row>
        <row r="30792">
          <cell r="A30792">
            <v>43713</v>
          </cell>
        </row>
        <row r="30793">
          <cell r="A30793">
            <v>43349</v>
          </cell>
        </row>
        <row r="30794">
          <cell r="A30794">
            <v>43815</v>
          </cell>
        </row>
        <row r="30795">
          <cell r="A30795">
            <v>43310</v>
          </cell>
        </row>
        <row r="30796">
          <cell r="A30796">
            <v>43122</v>
          </cell>
        </row>
        <row r="30797">
          <cell r="A30797">
            <v>43540</v>
          </cell>
        </row>
        <row r="30798">
          <cell r="A30798">
            <v>43480</v>
          </cell>
        </row>
        <row r="30799">
          <cell r="A30799">
            <v>43222</v>
          </cell>
        </row>
        <row r="30800">
          <cell r="A30800">
            <v>43870</v>
          </cell>
        </row>
        <row r="30801">
          <cell r="A30801">
            <v>43319</v>
          </cell>
        </row>
        <row r="30802">
          <cell r="A30802">
            <v>43871</v>
          </cell>
        </row>
        <row r="30803">
          <cell r="A30803">
            <v>43323</v>
          </cell>
        </row>
        <row r="30804">
          <cell r="A30804">
            <v>43629</v>
          </cell>
        </row>
        <row r="30805">
          <cell r="A30805">
            <v>43665</v>
          </cell>
        </row>
        <row r="30806">
          <cell r="A30806">
            <v>43262</v>
          </cell>
        </row>
        <row r="30807">
          <cell r="A30807">
            <v>43176</v>
          </cell>
        </row>
        <row r="30808">
          <cell r="A30808">
            <v>43146</v>
          </cell>
        </row>
        <row r="30809">
          <cell r="A30809">
            <v>43360</v>
          </cell>
        </row>
        <row r="30810">
          <cell r="A30810">
            <v>43903</v>
          </cell>
        </row>
        <row r="30811">
          <cell r="A30811">
            <v>43564</v>
          </cell>
        </row>
        <row r="30812">
          <cell r="A30812">
            <v>43698</v>
          </cell>
        </row>
        <row r="30813">
          <cell r="A30813">
            <v>43373</v>
          </cell>
        </row>
        <row r="30814">
          <cell r="A30814">
            <v>43198</v>
          </cell>
        </row>
        <row r="30815">
          <cell r="A30815">
            <v>43178</v>
          </cell>
        </row>
        <row r="30816">
          <cell r="A30816">
            <v>43712</v>
          </cell>
        </row>
        <row r="30817">
          <cell r="A30817">
            <v>43554</v>
          </cell>
        </row>
        <row r="30818">
          <cell r="A30818">
            <v>43416</v>
          </cell>
        </row>
        <row r="30819">
          <cell r="A30819">
            <v>43201</v>
          </cell>
        </row>
        <row r="30820">
          <cell r="A30820">
            <v>43128</v>
          </cell>
        </row>
        <row r="30821">
          <cell r="A30821">
            <v>43551</v>
          </cell>
        </row>
        <row r="30822">
          <cell r="A30822">
            <v>43313</v>
          </cell>
        </row>
        <row r="30823">
          <cell r="A30823">
            <v>43377</v>
          </cell>
        </row>
        <row r="30824">
          <cell r="A30824">
            <v>43866</v>
          </cell>
        </row>
        <row r="30825">
          <cell r="A30825">
            <v>43105</v>
          </cell>
        </row>
        <row r="30826">
          <cell r="A30826">
            <v>43796</v>
          </cell>
        </row>
        <row r="30827">
          <cell r="A30827">
            <v>43871</v>
          </cell>
        </row>
        <row r="30828">
          <cell r="A30828">
            <v>43715</v>
          </cell>
        </row>
        <row r="30829">
          <cell r="A30829">
            <v>43833</v>
          </cell>
        </row>
        <row r="30830">
          <cell r="A30830">
            <v>43525</v>
          </cell>
        </row>
        <row r="30831">
          <cell r="A30831">
            <v>43829</v>
          </cell>
        </row>
        <row r="30832">
          <cell r="A30832">
            <v>43286</v>
          </cell>
        </row>
        <row r="30833">
          <cell r="A30833">
            <v>43785</v>
          </cell>
        </row>
        <row r="30834">
          <cell r="A30834">
            <v>43706</v>
          </cell>
        </row>
        <row r="30835">
          <cell r="A30835">
            <v>43252</v>
          </cell>
        </row>
        <row r="30836">
          <cell r="A30836">
            <v>43552</v>
          </cell>
        </row>
        <row r="30837">
          <cell r="A30837">
            <v>43563</v>
          </cell>
        </row>
        <row r="30838">
          <cell r="A30838">
            <v>43914</v>
          </cell>
        </row>
        <row r="30839">
          <cell r="A30839">
            <v>43454</v>
          </cell>
        </row>
        <row r="30840">
          <cell r="A30840">
            <v>43394</v>
          </cell>
        </row>
        <row r="30841">
          <cell r="A30841">
            <v>43768</v>
          </cell>
        </row>
        <row r="30842">
          <cell r="A30842">
            <v>43147</v>
          </cell>
        </row>
        <row r="30843">
          <cell r="A30843">
            <v>43811</v>
          </cell>
        </row>
        <row r="30844">
          <cell r="A30844">
            <v>43528</v>
          </cell>
        </row>
        <row r="30845">
          <cell r="A30845">
            <v>43124</v>
          </cell>
        </row>
        <row r="30846">
          <cell r="A30846">
            <v>43735</v>
          </cell>
        </row>
        <row r="30847">
          <cell r="A30847">
            <v>43715</v>
          </cell>
        </row>
        <row r="30848">
          <cell r="A30848">
            <v>43598</v>
          </cell>
        </row>
        <row r="30849">
          <cell r="A30849">
            <v>43737</v>
          </cell>
        </row>
        <row r="30850">
          <cell r="A30850">
            <v>43239</v>
          </cell>
        </row>
        <row r="30851">
          <cell r="A30851">
            <v>43429</v>
          </cell>
        </row>
        <row r="30852">
          <cell r="A30852">
            <v>43207</v>
          </cell>
        </row>
        <row r="30853">
          <cell r="A30853">
            <v>43540</v>
          </cell>
        </row>
        <row r="30854">
          <cell r="A30854">
            <v>43309</v>
          </cell>
        </row>
        <row r="30855">
          <cell r="A30855">
            <v>43254</v>
          </cell>
        </row>
        <row r="30856">
          <cell r="A30856">
            <v>43339</v>
          </cell>
        </row>
        <row r="30857">
          <cell r="A30857">
            <v>43362</v>
          </cell>
        </row>
        <row r="30858">
          <cell r="A30858">
            <v>43795</v>
          </cell>
        </row>
        <row r="30859">
          <cell r="A30859">
            <v>43760</v>
          </cell>
        </row>
        <row r="30860">
          <cell r="A30860">
            <v>43545</v>
          </cell>
        </row>
        <row r="30861">
          <cell r="A30861">
            <v>43804</v>
          </cell>
        </row>
        <row r="30862">
          <cell r="A30862">
            <v>43170</v>
          </cell>
        </row>
        <row r="30863">
          <cell r="A30863">
            <v>43484</v>
          </cell>
        </row>
        <row r="30864">
          <cell r="A30864">
            <v>43386</v>
          </cell>
        </row>
        <row r="30865">
          <cell r="A30865">
            <v>43494</v>
          </cell>
        </row>
        <row r="30866">
          <cell r="A30866">
            <v>43515</v>
          </cell>
        </row>
        <row r="30867">
          <cell r="A30867">
            <v>43199</v>
          </cell>
        </row>
        <row r="30868">
          <cell r="A30868">
            <v>43254</v>
          </cell>
        </row>
        <row r="30869">
          <cell r="A30869">
            <v>43322</v>
          </cell>
        </row>
        <row r="30870">
          <cell r="A30870">
            <v>43697</v>
          </cell>
        </row>
        <row r="30871">
          <cell r="A30871">
            <v>43721</v>
          </cell>
        </row>
        <row r="30872">
          <cell r="A30872">
            <v>43346</v>
          </cell>
        </row>
        <row r="30873">
          <cell r="A30873">
            <v>43841</v>
          </cell>
        </row>
        <row r="30874">
          <cell r="A30874">
            <v>43630</v>
          </cell>
        </row>
        <row r="30875">
          <cell r="A30875">
            <v>43586</v>
          </cell>
        </row>
        <row r="30876">
          <cell r="A30876">
            <v>43634</v>
          </cell>
        </row>
        <row r="30877">
          <cell r="A30877">
            <v>43612</v>
          </cell>
        </row>
        <row r="30878">
          <cell r="A30878">
            <v>43294</v>
          </cell>
        </row>
        <row r="30879">
          <cell r="A30879">
            <v>43382</v>
          </cell>
        </row>
        <row r="30880">
          <cell r="A30880">
            <v>43261</v>
          </cell>
        </row>
        <row r="30881">
          <cell r="A30881">
            <v>43259</v>
          </cell>
        </row>
        <row r="30882">
          <cell r="A30882">
            <v>43641</v>
          </cell>
        </row>
        <row r="30883">
          <cell r="A30883">
            <v>43766</v>
          </cell>
        </row>
        <row r="30884">
          <cell r="A30884">
            <v>43737</v>
          </cell>
        </row>
        <row r="30885">
          <cell r="A30885">
            <v>43734</v>
          </cell>
        </row>
        <row r="30886">
          <cell r="A30886">
            <v>43451</v>
          </cell>
        </row>
        <row r="30887">
          <cell r="A30887">
            <v>43196</v>
          </cell>
        </row>
        <row r="30888">
          <cell r="A30888">
            <v>43311</v>
          </cell>
        </row>
        <row r="30889">
          <cell r="A30889">
            <v>43742</v>
          </cell>
        </row>
        <row r="30890">
          <cell r="A30890">
            <v>43702</v>
          </cell>
        </row>
        <row r="30891">
          <cell r="A30891">
            <v>43691</v>
          </cell>
        </row>
        <row r="30892">
          <cell r="A30892">
            <v>43237</v>
          </cell>
        </row>
        <row r="30893">
          <cell r="A30893">
            <v>43191</v>
          </cell>
        </row>
        <row r="30894">
          <cell r="A30894">
            <v>43375</v>
          </cell>
        </row>
        <row r="30895">
          <cell r="A30895">
            <v>43289</v>
          </cell>
        </row>
        <row r="30896">
          <cell r="A30896">
            <v>43225</v>
          </cell>
        </row>
        <row r="30897">
          <cell r="A30897">
            <v>43878</v>
          </cell>
        </row>
        <row r="30898">
          <cell r="A30898">
            <v>43833</v>
          </cell>
        </row>
        <row r="30899">
          <cell r="A30899">
            <v>43815</v>
          </cell>
        </row>
        <row r="30900">
          <cell r="A30900">
            <v>43105</v>
          </cell>
        </row>
        <row r="30901">
          <cell r="A30901">
            <v>43652</v>
          </cell>
        </row>
        <row r="30902">
          <cell r="A30902">
            <v>43588</v>
          </cell>
        </row>
        <row r="30903">
          <cell r="A30903">
            <v>43864</v>
          </cell>
        </row>
        <row r="30904">
          <cell r="A30904">
            <v>43453</v>
          </cell>
        </row>
        <row r="30905">
          <cell r="A30905">
            <v>43557</v>
          </cell>
        </row>
        <row r="30906">
          <cell r="A30906">
            <v>43341</v>
          </cell>
        </row>
        <row r="30907">
          <cell r="A30907">
            <v>43500</v>
          </cell>
        </row>
        <row r="30908">
          <cell r="A30908">
            <v>43472</v>
          </cell>
        </row>
        <row r="30909">
          <cell r="A30909">
            <v>43723</v>
          </cell>
        </row>
        <row r="30910">
          <cell r="A30910">
            <v>43832</v>
          </cell>
        </row>
        <row r="30911">
          <cell r="A30911">
            <v>43317</v>
          </cell>
        </row>
        <row r="30912">
          <cell r="A30912">
            <v>43754</v>
          </cell>
        </row>
        <row r="30913">
          <cell r="A30913">
            <v>43359</v>
          </cell>
        </row>
        <row r="30914">
          <cell r="A30914">
            <v>43543</v>
          </cell>
        </row>
        <row r="30915">
          <cell r="A30915">
            <v>43156</v>
          </cell>
        </row>
        <row r="30916">
          <cell r="A30916">
            <v>43433</v>
          </cell>
        </row>
        <row r="30917">
          <cell r="A30917">
            <v>43153</v>
          </cell>
        </row>
        <row r="30918">
          <cell r="A30918">
            <v>43655</v>
          </cell>
        </row>
        <row r="30919">
          <cell r="A30919">
            <v>43469</v>
          </cell>
        </row>
        <row r="30920">
          <cell r="A30920">
            <v>43670</v>
          </cell>
        </row>
        <row r="30921">
          <cell r="A30921">
            <v>43568</v>
          </cell>
        </row>
        <row r="30922">
          <cell r="A30922">
            <v>43378</v>
          </cell>
        </row>
        <row r="30923">
          <cell r="A30923">
            <v>43320</v>
          </cell>
        </row>
        <row r="30924">
          <cell r="A30924">
            <v>43647</v>
          </cell>
        </row>
        <row r="30925">
          <cell r="A30925">
            <v>43446</v>
          </cell>
        </row>
        <row r="30926">
          <cell r="A30926">
            <v>43263</v>
          </cell>
        </row>
        <row r="30927">
          <cell r="A30927">
            <v>43551</v>
          </cell>
        </row>
        <row r="30928">
          <cell r="A30928">
            <v>43654</v>
          </cell>
        </row>
        <row r="30929">
          <cell r="A30929">
            <v>43581</v>
          </cell>
        </row>
        <row r="30930">
          <cell r="A30930">
            <v>43703</v>
          </cell>
        </row>
        <row r="30931">
          <cell r="A30931">
            <v>43148</v>
          </cell>
        </row>
        <row r="30932">
          <cell r="A30932">
            <v>43245</v>
          </cell>
        </row>
        <row r="30933">
          <cell r="A30933">
            <v>43329</v>
          </cell>
        </row>
        <row r="30934">
          <cell r="A30934">
            <v>43633</v>
          </cell>
        </row>
        <row r="30935">
          <cell r="A30935">
            <v>43663</v>
          </cell>
        </row>
        <row r="30936">
          <cell r="A30936">
            <v>43433</v>
          </cell>
        </row>
        <row r="30937">
          <cell r="A30937">
            <v>43225</v>
          </cell>
        </row>
        <row r="30938">
          <cell r="A30938">
            <v>43630</v>
          </cell>
        </row>
        <row r="30939">
          <cell r="A30939">
            <v>43658</v>
          </cell>
        </row>
        <row r="30940">
          <cell r="A30940">
            <v>43219</v>
          </cell>
        </row>
        <row r="30941">
          <cell r="A30941">
            <v>43835</v>
          </cell>
        </row>
        <row r="30942">
          <cell r="A30942">
            <v>43621</v>
          </cell>
        </row>
        <row r="30943">
          <cell r="A30943">
            <v>43602</v>
          </cell>
        </row>
        <row r="30944">
          <cell r="A30944">
            <v>43741</v>
          </cell>
        </row>
        <row r="30945">
          <cell r="A30945">
            <v>43741</v>
          </cell>
        </row>
        <row r="30946">
          <cell r="A30946">
            <v>43661</v>
          </cell>
        </row>
        <row r="30947">
          <cell r="A30947">
            <v>43517</v>
          </cell>
        </row>
        <row r="30948">
          <cell r="A30948">
            <v>43173</v>
          </cell>
        </row>
        <row r="30949">
          <cell r="A30949">
            <v>43862</v>
          </cell>
        </row>
        <row r="30950">
          <cell r="A30950">
            <v>43595</v>
          </cell>
        </row>
        <row r="30951">
          <cell r="A30951">
            <v>43787</v>
          </cell>
        </row>
        <row r="30952">
          <cell r="A30952">
            <v>43321</v>
          </cell>
        </row>
        <row r="30953">
          <cell r="A30953">
            <v>43141</v>
          </cell>
        </row>
        <row r="30954">
          <cell r="A30954">
            <v>43725</v>
          </cell>
        </row>
        <row r="30955">
          <cell r="A30955">
            <v>43619</v>
          </cell>
        </row>
        <row r="30956">
          <cell r="A30956">
            <v>43248</v>
          </cell>
        </row>
        <row r="30957">
          <cell r="A30957">
            <v>43853</v>
          </cell>
        </row>
        <row r="30958">
          <cell r="A30958">
            <v>43200</v>
          </cell>
        </row>
        <row r="30959">
          <cell r="A30959">
            <v>43794</v>
          </cell>
        </row>
        <row r="30960">
          <cell r="A30960">
            <v>43745</v>
          </cell>
        </row>
        <row r="30961">
          <cell r="A30961">
            <v>43616</v>
          </cell>
        </row>
        <row r="30962">
          <cell r="A30962">
            <v>43588</v>
          </cell>
        </row>
        <row r="30963">
          <cell r="A30963">
            <v>43721</v>
          </cell>
        </row>
        <row r="30964">
          <cell r="A30964">
            <v>43669</v>
          </cell>
        </row>
        <row r="30965">
          <cell r="A30965">
            <v>43226</v>
          </cell>
        </row>
        <row r="30966">
          <cell r="A30966">
            <v>43201</v>
          </cell>
        </row>
        <row r="30967">
          <cell r="A30967">
            <v>43303</v>
          </cell>
        </row>
        <row r="30968">
          <cell r="A30968">
            <v>43537</v>
          </cell>
        </row>
        <row r="30969">
          <cell r="A30969">
            <v>43260</v>
          </cell>
        </row>
        <row r="30970">
          <cell r="A30970">
            <v>43781</v>
          </cell>
        </row>
        <row r="30971">
          <cell r="A30971">
            <v>43168</v>
          </cell>
        </row>
        <row r="30972">
          <cell r="A30972">
            <v>43375</v>
          </cell>
        </row>
        <row r="30973">
          <cell r="A30973">
            <v>43760</v>
          </cell>
        </row>
        <row r="30974">
          <cell r="A30974">
            <v>43664</v>
          </cell>
        </row>
        <row r="30975">
          <cell r="A30975">
            <v>43178</v>
          </cell>
        </row>
        <row r="30976">
          <cell r="A30976">
            <v>43393</v>
          </cell>
        </row>
        <row r="30977">
          <cell r="A30977">
            <v>43695</v>
          </cell>
        </row>
        <row r="30978">
          <cell r="A30978">
            <v>43735</v>
          </cell>
        </row>
        <row r="30979">
          <cell r="A30979">
            <v>43777</v>
          </cell>
        </row>
        <row r="30980">
          <cell r="A30980">
            <v>43637</v>
          </cell>
        </row>
        <row r="30981">
          <cell r="A30981">
            <v>43552</v>
          </cell>
        </row>
        <row r="30982">
          <cell r="A30982">
            <v>43868</v>
          </cell>
        </row>
        <row r="30983">
          <cell r="A30983">
            <v>43348</v>
          </cell>
        </row>
        <row r="30984">
          <cell r="A30984">
            <v>43165</v>
          </cell>
        </row>
        <row r="30985">
          <cell r="A30985">
            <v>43163</v>
          </cell>
        </row>
        <row r="30986">
          <cell r="A30986">
            <v>43723</v>
          </cell>
        </row>
        <row r="30987">
          <cell r="A30987">
            <v>43661</v>
          </cell>
        </row>
        <row r="30988">
          <cell r="A30988">
            <v>43259</v>
          </cell>
        </row>
        <row r="30989">
          <cell r="A30989">
            <v>43755</v>
          </cell>
        </row>
        <row r="30990">
          <cell r="A30990">
            <v>43189</v>
          </cell>
        </row>
        <row r="30991">
          <cell r="A30991">
            <v>43747</v>
          </cell>
        </row>
        <row r="30992">
          <cell r="A30992">
            <v>43764</v>
          </cell>
        </row>
        <row r="30993">
          <cell r="A30993">
            <v>43454</v>
          </cell>
        </row>
        <row r="30994">
          <cell r="A30994">
            <v>43913</v>
          </cell>
        </row>
        <row r="30995">
          <cell r="A30995">
            <v>43528</v>
          </cell>
        </row>
        <row r="30996">
          <cell r="A30996">
            <v>43731</v>
          </cell>
        </row>
        <row r="30997">
          <cell r="A30997">
            <v>43463</v>
          </cell>
        </row>
        <row r="30998">
          <cell r="A30998">
            <v>43371</v>
          </cell>
        </row>
        <row r="30999">
          <cell r="A30999">
            <v>43518</v>
          </cell>
        </row>
        <row r="31000">
          <cell r="A31000">
            <v>43591</v>
          </cell>
        </row>
        <row r="31001">
          <cell r="A31001">
            <v>43364</v>
          </cell>
        </row>
        <row r="31002">
          <cell r="A31002">
            <v>43620</v>
          </cell>
        </row>
        <row r="31003">
          <cell r="A31003">
            <v>43473</v>
          </cell>
        </row>
        <row r="31004">
          <cell r="A31004">
            <v>43882</v>
          </cell>
        </row>
        <row r="31005">
          <cell r="A31005">
            <v>43770</v>
          </cell>
        </row>
        <row r="31006">
          <cell r="A31006">
            <v>43129</v>
          </cell>
        </row>
        <row r="31007">
          <cell r="A31007">
            <v>43578</v>
          </cell>
        </row>
        <row r="31008">
          <cell r="A31008">
            <v>43535</v>
          </cell>
        </row>
        <row r="31009">
          <cell r="A31009">
            <v>43319</v>
          </cell>
        </row>
        <row r="31010">
          <cell r="A31010">
            <v>43201</v>
          </cell>
        </row>
        <row r="31011">
          <cell r="A31011">
            <v>43765</v>
          </cell>
        </row>
        <row r="31012">
          <cell r="A31012">
            <v>43677</v>
          </cell>
        </row>
        <row r="31013">
          <cell r="A31013">
            <v>43234</v>
          </cell>
        </row>
        <row r="31014">
          <cell r="A31014">
            <v>43748</v>
          </cell>
        </row>
        <row r="31015">
          <cell r="A31015">
            <v>43507</v>
          </cell>
        </row>
        <row r="31016">
          <cell r="A31016">
            <v>43712</v>
          </cell>
        </row>
        <row r="31017">
          <cell r="A31017">
            <v>43320</v>
          </cell>
        </row>
        <row r="31018">
          <cell r="A31018">
            <v>43338</v>
          </cell>
        </row>
        <row r="31019">
          <cell r="A31019">
            <v>43358</v>
          </cell>
        </row>
        <row r="31020">
          <cell r="A31020">
            <v>43535</v>
          </cell>
        </row>
        <row r="31021">
          <cell r="A31021">
            <v>43549</v>
          </cell>
        </row>
        <row r="31022">
          <cell r="A31022">
            <v>43107</v>
          </cell>
        </row>
        <row r="31023">
          <cell r="A31023">
            <v>43861</v>
          </cell>
        </row>
        <row r="31024">
          <cell r="A31024">
            <v>43482</v>
          </cell>
        </row>
        <row r="31025">
          <cell r="A31025">
            <v>43504</v>
          </cell>
        </row>
        <row r="31026">
          <cell r="A31026">
            <v>43686</v>
          </cell>
        </row>
        <row r="31027">
          <cell r="A31027">
            <v>43183</v>
          </cell>
        </row>
        <row r="31028">
          <cell r="A31028">
            <v>43696</v>
          </cell>
        </row>
        <row r="31029">
          <cell r="A31029">
            <v>43216</v>
          </cell>
        </row>
        <row r="31030">
          <cell r="A31030">
            <v>43548</v>
          </cell>
        </row>
        <row r="31031">
          <cell r="A31031">
            <v>43170</v>
          </cell>
        </row>
        <row r="31032">
          <cell r="A31032">
            <v>43252</v>
          </cell>
        </row>
        <row r="31033">
          <cell r="A31033">
            <v>43340</v>
          </cell>
        </row>
        <row r="31034">
          <cell r="A31034">
            <v>43219</v>
          </cell>
        </row>
        <row r="31035">
          <cell r="A31035">
            <v>43736</v>
          </cell>
        </row>
        <row r="31036">
          <cell r="A31036">
            <v>43846</v>
          </cell>
        </row>
        <row r="31037">
          <cell r="A31037">
            <v>43514</v>
          </cell>
        </row>
        <row r="31038">
          <cell r="A31038">
            <v>43263</v>
          </cell>
        </row>
        <row r="31039">
          <cell r="A31039">
            <v>43711</v>
          </cell>
        </row>
        <row r="31040">
          <cell r="A31040">
            <v>43244</v>
          </cell>
        </row>
        <row r="31041">
          <cell r="A31041">
            <v>43409</v>
          </cell>
        </row>
        <row r="31042">
          <cell r="A31042">
            <v>43510</v>
          </cell>
        </row>
        <row r="31043">
          <cell r="A31043">
            <v>43695</v>
          </cell>
        </row>
        <row r="31044">
          <cell r="A31044">
            <v>43723</v>
          </cell>
        </row>
        <row r="31045">
          <cell r="A31045">
            <v>43469</v>
          </cell>
        </row>
        <row r="31046">
          <cell r="A31046">
            <v>43532</v>
          </cell>
        </row>
        <row r="31047">
          <cell r="A31047">
            <v>43789</v>
          </cell>
        </row>
        <row r="31048">
          <cell r="A31048">
            <v>43311</v>
          </cell>
        </row>
        <row r="31049">
          <cell r="A31049">
            <v>43453</v>
          </cell>
        </row>
        <row r="31050">
          <cell r="A31050">
            <v>43503</v>
          </cell>
        </row>
        <row r="31051">
          <cell r="A31051">
            <v>43686</v>
          </cell>
        </row>
        <row r="31052">
          <cell r="A31052">
            <v>43735</v>
          </cell>
        </row>
        <row r="31053">
          <cell r="A31053">
            <v>43111</v>
          </cell>
        </row>
        <row r="31054">
          <cell r="A31054">
            <v>43129</v>
          </cell>
        </row>
        <row r="31055">
          <cell r="A31055">
            <v>43407</v>
          </cell>
        </row>
        <row r="31056">
          <cell r="A31056">
            <v>43876</v>
          </cell>
        </row>
        <row r="31057">
          <cell r="A31057">
            <v>43817</v>
          </cell>
        </row>
        <row r="31058">
          <cell r="A31058">
            <v>43671</v>
          </cell>
        </row>
        <row r="31059">
          <cell r="A31059">
            <v>43255</v>
          </cell>
        </row>
        <row r="31060">
          <cell r="A31060">
            <v>43348</v>
          </cell>
        </row>
        <row r="31061">
          <cell r="A31061">
            <v>43791</v>
          </cell>
        </row>
        <row r="31062">
          <cell r="A31062">
            <v>43415</v>
          </cell>
        </row>
        <row r="31063">
          <cell r="A31063">
            <v>43781</v>
          </cell>
        </row>
        <row r="31064">
          <cell r="A31064">
            <v>43564</v>
          </cell>
        </row>
        <row r="31065">
          <cell r="A31065">
            <v>43370</v>
          </cell>
        </row>
        <row r="31066">
          <cell r="A31066">
            <v>43188</v>
          </cell>
        </row>
        <row r="31067">
          <cell r="A31067">
            <v>43906</v>
          </cell>
        </row>
        <row r="31068">
          <cell r="A31068">
            <v>43427</v>
          </cell>
        </row>
        <row r="31069">
          <cell r="A31069">
            <v>43422</v>
          </cell>
        </row>
        <row r="31070">
          <cell r="A31070">
            <v>43365</v>
          </cell>
        </row>
        <row r="31071">
          <cell r="A31071">
            <v>43717</v>
          </cell>
        </row>
        <row r="31072">
          <cell r="A31072">
            <v>43472</v>
          </cell>
        </row>
        <row r="31073">
          <cell r="A31073">
            <v>43665</v>
          </cell>
        </row>
        <row r="31074">
          <cell r="A31074">
            <v>43580</v>
          </cell>
        </row>
        <row r="31075">
          <cell r="A31075">
            <v>43445</v>
          </cell>
        </row>
        <row r="31076">
          <cell r="A31076">
            <v>43298</v>
          </cell>
        </row>
        <row r="31077">
          <cell r="A31077">
            <v>43542</v>
          </cell>
        </row>
        <row r="31078">
          <cell r="A31078">
            <v>43116</v>
          </cell>
        </row>
        <row r="31079">
          <cell r="A31079">
            <v>43696</v>
          </cell>
        </row>
        <row r="31080">
          <cell r="A31080">
            <v>43622</v>
          </cell>
        </row>
        <row r="31081">
          <cell r="A31081">
            <v>43702</v>
          </cell>
        </row>
        <row r="31082">
          <cell r="A31082">
            <v>43489</v>
          </cell>
        </row>
        <row r="31083">
          <cell r="A31083">
            <v>43156</v>
          </cell>
        </row>
        <row r="31084">
          <cell r="A31084">
            <v>43382</v>
          </cell>
        </row>
        <row r="31085">
          <cell r="A31085">
            <v>43695</v>
          </cell>
        </row>
        <row r="31086">
          <cell r="A31086">
            <v>43641</v>
          </cell>
        </row>
        <row r="31087">
          <cell r="A31087">
            <v>43101</v>
          </cell>
        </row>
        <row r="31088">
          <cell r="A31088">
            <v>43456</v>
          </cell>
        </row>
        <row r="31089">
          <cell r="A31089">
            <v>43376</v>
          </cell>
        </row>
        <row r="31090">
          <cell r="A31090">
            <v>43256</v>
          </cell>
        </row>
        <row r="31091">
          <cell r="A31091">
            <v>43917</v>
          </cell>
        </row>
        <row r="31092">
          <cell r="A31092">
            <v>43846</v>
          </cell>
        </row>
        <row r="31093">
          <cell r="A31093">
            <v>43762</v>
          </cell>
        </row>
        <row r="31094">
          <cell r="A31094">
            <v>43350</v>
          </cell>
        </row>
        <row r="31095">
          <cell r="A31095">
            <v>43760</v>
          </cell>
        </row>
        <row r="31096">
          <cell r="A31096">
            <v>43282</v>
          </cell>
        </row>
        <row r="31097">
          <cell r="A31097">
            <v>43168</v>
          </cell>
        </row>
        <row r="31098">
          <cell r="A31098">
            <v>43728</v>
          </cell>
        </row>
        <row r="31099">
          <cell r="A31099">
            <v>43415</v>
          </cell>
        </row>
        <row r="31100">
          <cell r="A31100">
            <v>43747</v>
          </cell>
        </row>
        <row r="31101">
          <cell r="A31101">
            <v>43703</v>
          </cell>
        </row>
        <row r="31102">
          <cell r="A31102">
            <v>43542</v>
          </cell>
        </row>
        <row r="31103">
          <cell r="A31103">
            <v>43844</v>
          </cell>
        </row>
        <row r="31104">
          <cell r="A31104">
            <v>43417</v>
          </cell>
        </row>
        <row r="31105">
          <cell r="A31105">
            <v>43563</v>
          </cell>
        </row>
        <row r="31106">
          <cell r="A31106">
            <v>43574</v>
          </cell>
        </row>
        <row r="31107">
          <cell r="A31107">
            <v>43336</v>
          </cell>
        </row>
        <row r="31108">
          <cell r="A31108">
            <v>43133</v>
          </cell>
        </row>
        <row r="31109">
          <cell r="A31109">
            <v>43355</v>
          </cell>
        </row>
        <row r="31110">
          <cell r="A31110">
            <v>43760</v>
          </cell>
        </row>
        <row r="31111">
          <cell r="A31111">
            <v>43699</v>
          </cell>
        </row>
        <row r="31112">
          <cell r="A31112">
            <v>43423</v>
          </cell>
        </row>
        <row r="31113">
          <cell r="A31113">
            <v>43707</v>
          </cell>
        </row>
        <row r="31114">
          <cell r="A31114">
            <v>43912</v>
          </cell>
        </row>
        <row r="31115">
          <cell r="A31115">
            <v>43592</v>
          </cell>
        </row>
        <row r="31116">
          <cell r="A31116">
            <v>43212</v>
          </cell>
        </row>
        <row r="31117">
          <cell r="A31117">
            <v>43282</v>
          </cell>
        </row>
        <row r="31118">
          <cell r="A31118">
            <v>43147</v>
          </cell>
        </row>
        <row r="31119">
          <cell r="A31119">
            <v>43446</v>
          </cell>
        </row>
        <row r="31120">
          <cell r="A31120">
            <v>43347</v>
          </cell>
        </row>
        <row r="31121">
          <cell r="A31121">
            <v>43662</v>
          </cell>
        </row>
        <row r="31122">
          <cell r="A31122">
            <v>43757</v>
          </cell>
        </row>
        <row r="31123">
          <cell r="A31123">
            <v>43426</v>
          </cell>
        </row>
        <row r="31124">
          <cell r="A31124">
            <v>43907</v>
          </cell>
        </row>
        <row r="31125">
          <cell r="A31125">
            <v>43439</v>
          </cell>
        </row>
        <row r="31126">
          <cell r="A31126">
            <v>43240</v>
          </cell>
        </row>
        <row r="31127">
          <cell r="A31127">
            <v>43341</v>
          </cell>
        </row>
        <row r="31128">
          <cell r="A31128">
            <v>43612</v>
          </cell>
        </row>
        <row r="31129">
          <cell r="A31129">
            <v>43474</v>
          </cell>
        </row>
        <row r="31130">
          <cell r="A31130">
            <v>43497</v>
          </cell>
        </row>
        <row r="31131">
          <cell r="A31131">
            <v>43856</v>
          </cell>
        </row>
        <row r="31132">
          <cell r="A31132">
            <v>43167</v>
          </cell>
        </row>
        <row r="31133">
          <cell r="A31133">
            <v>43166</v>
          </cell>
        </row>
        <row r="31134">
          <cell r="A31134">
            <v>43287</v>
          </cell>
        </row>
        <row r="31135">
          <cell r="A31135">
            <v>43689</v>
          </cell>
        </row>
        <row r="31136">
          <cell r="A31136">
            <v>43169</v>
          </cell>
        </row>
        <row r="31137">
          <cell r="A31137">
            <v>43230</v>
          </cell>
        </row>
        <row r="31138">
          <cell r="A31138">
            <v>43271</v>
          </cell>
        </row>
        <row r="31139">
          <cell r="A31139">
            <v>43652</v>
          </cell>
        </row>
        <row r="31140">
          <cell r="A31140">
            <v>43239</v>
          </cell>
        </row>
        <row r="31141">
          <cell r="A31141">
            <v>43284</v>
          </cell>
        </row>
        <row r="31142">
          <cell r="A31142">
            <v>43419</v>
          </cell>
        </row>
        <row r="31143">
          <cell r="A31143">
            <v>43638</v>
          </cell>
        </row>
        <row r="31144">
          <cell r="A31144">
            <v>43183</v>
          </cell>
        </row>
        <row r="31145">
          <cell r="A31145">
            <v>43705</v>
          </cell>
        </row>
        <row r="31146">
          <cell r="A31146">
            <v>43871</v>
          </cell>
        </row>
        <row r="31147">
          <cell r="A31147">
            <v>43303</v>
          </cell>
        </row>
        <row r="31148">
          <cell r="A31148">
            <v>43768</v>
          </cell>
        </row>
        <row r="31149">
          <cell r="A31149">
            <v>43141</v>
          </cell>
        </row>
        <row r="31150">
          <cell r="A31150">
            <v>43482</v>
          </cell>
        </row>
        <row r="31151">
          <cell r="A31151">
            <v>43678</v>
          </cell>
        </row>
        <row r="31152">
          <cell r="A31152">
            <v>43259</v>
          </cell>
        </row>
        <row r="31153">
          <cell r="A31153">
            <v>43877</v>
          </cell>
        </row>
        <row r="31154">
          <cell r="A31154">
            <v>43226</v>
          </cell>
        </row>
        <row r="31155">
          <cell r="A31155">
            <v>43737</v>
          </cell>
        </row>
        <row r="31156">
          <cell r="A31156">
            <v>43336</v>
          </cell>
        </row>
        <row r="31157">
          <cell r="A31157">
            <v>43359</v>
          </cell>
        </row>
        <row r="31158">
          <cell r="A31158">
            <v>43521</v>
          </cell>
        </row>
        <row r="31159">
          <cell r="A31159">
            <v>43759</v>
          </cell>
        </row>
        <row r="31160">
          <cell r="A31160">
            <v>43215</v>
          </cell>
        </row>
        <row r="31161">
          <cell r="A31161">
            <v>43562</v>
          </cell>
        </row>
        <row r="31162">
          <cell r="A31162">
            <v>43862</v>
          </cell>
        </row>
        <row r="31163">
          <cell r="A31163">
            <v>43153</v>
          </cell>
        </row>
        <row r="31164">
          <cell r="A31164">
            <v>43905</v>
          </cell>
        </row>
        <row r="31165">
          <cell r="A31165">
            <v>43193</v>
          </cell>
        </row>
        <row r="31166">
          <cell r="A31166">
            <v>43800</v>
          </cell>
        </row>
        <row r="31167">
          <cell r="A31167">
            <v>43912</v>
          </cell>
        </row>
        <row r="31168">
          <cell r="A31168">
            <v>43865</v>
          </cell>
        </row>
        <row r="31169">
          <cell r="A31169">
            <v>43648</v>
          </cell>
        </row>
        <row r="31170">
          <cell r="A31170">
            <v>43290</v>
          </cell>
        </row>
        <row r="31171">
          <cell r="A31171">
            <v>43824</v>
          </cell>
        </row>
        <row r="31172">
          <cell r="A31172">
            <v>43643</v>
          </cell>
        </row>
        <row r="31173">
          <cell r="A31173">
            <v>43861</v>
          </cell>
        </row>
        <row r="31174">
          <cell r="A31174">
            <v>43141</v>
          </cell>
        </row>
        <row r="31175">
          <cell r="A31175">
            <v>43875</v>
          </cell>
        </row>
        <row r="31176">
          <cell r="A31176">
            <v>43878</v>
          </cell>
        </row>
        <row r="31177">
          <cell r="A31177">
            <v>43175</v>
          </cell>
        </row>
        <row r="31178">
          <cell r="A31178">
            <v>43797</v>
          </cell>
        </row>
        <row r="31179">
          <cell r="A31179">
            <v>43479</v>
          </cell>
        </row>
        <row r="31180">
          <cell r="A31180">
            <v>43900</v>
          </cell>
        </row>
        <row r="31181">
          <cell r="A31181">
            <v>43632</v>
          </cell>
        </row>
        <row r="31182">
          <cell r="A31182">
            <v>43788</v>
          </cell>
        </row>
        <row r="31183">
          <cell r="A31183">
            <v>43235</v>
          </cell>
        </row>
        <row r="31184">
          <cell r="A31184">
            <v>43735</v>
          </cell>
        </row>
        <row r="31185">
          <cell r="A31185">
            <v>43142</v>
          </cell>
        </row>
        <row r="31186">
          <cell r="A31186">
            <v>43467</v>
          </cell>
        </row>
        <row r="31187">
          <cell r="A31187">
            <v>43676</v>
          </cell>
        </row>
        <row r="31188">
          <cell r="A31188">
            <v>43410</v>
          </cell>
        </row>
        <row r="31189">
          <cell r="A31189">
            <v>43784</v>
          </cell>
        </row>
        <row r="31190">
          <cell r="A31190">
            <v>43688</v>
          </cell>
        </row>
        <row r="31191">
          <cell r="A31191">
            <v>43579</v>
          </cell>
        </row>
        <row r="31192">
          <cell r="A31192">
            <v>43315</v>
          </cell>
        </row>
        <row r="31193">
          <cell r="A31193">
            <v>43526</v>
          </cell>
        </row>
        <row r="31194">
          <cell r="A31194">
            <v>43662</v>
          </cell>
        </row>
        <row r="31195">
          <cell r="A31195">
            <v>43453</v>
          </cell>
        </row>
        <row r="31196">
          <cell r="A31196">
            <v>43574</v>
          </cell>
        </row>
        <row r="31197">
          <cell r="A31197">
            <v>43880</v>
          </cell>
        </row>
        <row r="31198">
          <cell r="A31198">
            <v>43109</v>
          </cell>
        </row>
        <row r="31199">
          <cell r="A31199">
            <v>43538</v>
          </cell>
        </row>
        <row r="31200">
          <cell r="A31200">
            <v>43283</v>
          </cell>
        </row>
        <row r="31201">
          <cell r="A31201">
            <v>43140</v>
          </cell>
        </row>
        <row r="31202">
          <cell r="A31202">
            <v>43614</v>
          </cell>
        </row>
        <row r="31203">
          <cell r="A31203">
            <v>43579</v>
          </cell>
        </row>
        <row r="31204">
          <cell r="A31204">
            <v>43883</v>
          </cell>
        </row>
        <row r="31205">
          <cell r="A31205">
            <v>43453</v>
          </cell>
        </row>
        <row r="31206">
          <cell r="A31206">
            <v>43376</v>
          </cell>
        </row>
        <row r="31207">
          <cell r="A31207">
            <v>43504</v>
          </cell>
        </row>
        <row r="31208">
          <cell r="A31208">
            <v>43830</v>
          </cell>
        </row>
        <row r="31209">
          <cell r="A31209">
            <v>43319</v>
          </cell>
        </row>
        <row r="31210">
          <cell r="A31210">
            <v>43394</v>
          </cell>
        </row>
        <row r="31211">
          <cell r="A31211">
            <v>43471</v>
          </cell>
        </row>
        <row r="31212">
          <cell r="A31212">
            <v>43260</v>
          </cell>
        </row>
        <row r="31213">
          <cell r="A31213">
            <v>43368</v>
          </cell>
        </row>
        <row r="31214">
          <cell r="A31214">
            <v>43463</v>
          </cell>
        </row>
        <row r="31215">
          <cell r="A31215">
            <v>43780</v>
          </cell>
        </row>
        <row r="31216">
          <cell r="A31216">
            <v>43614</v>
          </cell>
        </row>
        <row r="31217">
          <cell r="A31217">
            <v>43913</v>
          </cell>
        </row>
        <row r="31218">
          <cell r="A31218">
            <v>43213</v>
          </cell>
        </row>
        <row r="31219">
          <cell r="A31219">
            <v>43159</v>
          </cell>
        </row>
        <row r="31220">
          <cell r="A31220">
            <v>43544</v>
          </cell>
        </row>
        <row r="31221">
          <cell r="A31221">
            <v>43900</v>
          </cell>
        </row>
        <row r="31222">
          <cell r="A31222">
            <v>43757</v>
          </cell>
        </row>
        <row r="31223">
          <cell r="A31223">
            <v>43104</v>
          </cell>
        </row>
        <row r="31224">
          <cell r="A31224">
            <v>43444</v>
          </cell>
        </row>
        <row r="31225">
          <cell r="A31225">
            <v>43235</v>
          </cell>
        </row>
        <row r="31226">
          <cell r="A31226">
            <v>43459</v>
          </cell>
        </row>
        <row r="31227">
          <cell r="A31227">
            <v>43588</v>
          </cell>
        </row>
        <row r="31228">
          <cell r="A31228">
            <v>43484</v>
          </cell>
        </row>
        <row r="31229">
          <cell r="A31229">
            <v>43602</v>
          </cell>
        </row>
        <row r="31230">
          <cell r="A31230">
            <v>43638</v>
          </cell>
        </row>
        <row r="31231">
          <cell r="A31231">
            <v>43240</v>
          </cell>
        </row>
        <row r="31232">
          <cell r="A31232">
            <v>43378</v>
          </cell>
        </row>
        <row r="31233">
          <cell r="A31233">
            <v>43668</v>
          </cell>
        </row>
        <row r="31234">
          <cell r="A31234">
            <v>43766</v>
          </cell>
        </row>
        <row r="31235">
          <cell r="A31235">
            <v>43476</v>
          </cell>
        </row>
        <row r="31236">
          <cell r="A31236">
            <v>43473</v>
          </cell>
        </row>
        <row r="31237">
          <cell r="A31237">
            <v>43694</v>
          </cell>
        </row>
        <row r="31238">
          <cell r="A31238">
            <v>43812</v>
          </cell>
        </row>
        <row r="31239">
          <cell r="A31239">
            <v>43516</v>
          </cell>
        </row>
        <row r="31240">
          <cell r="A31240">
            <v>43206</v>
          </cell>
        </row>
        <row r="31241">
          <cell r="A31241">
            <v>43890</v>
          </cell>
        </row>
        <row r="31242">
          <cell r="A31242">
            <v>43834</v>
          </cell>
        </row>
        <row r="31243">
          <cell r="A31243">
            <v>43740</v>
          </cell>
        </row>
        <row r="31244">
          <cell r="A31244">
            <v>43751</v>
          </cell>
        </row>
        <row r="31245">
          <cell r="A31245">
            <v>43380</v>
          </cell>
        </row>
        <row r="31246">
          <cell r="A31246">
            <v>43715</v>
          </cell>
        </row>
        <row r="31247">
          <cell r="A31247">
            <v>43662</v>
          </cell>
        </row>
        <row r="31248">
          <cell r="A31248">
            <v>43572</v>
          </cell>
        </row>
        <row r="31249">
          <cell r="A31249">
            <v>43774</v>
          </cell>
        </row>
        <row r="31250">
          <cell r="A31250">
            <v>43284</v>
          </cell>
        </row>
        <row r="31251">
          <cell r="A31251">
            <v>43376</v>
          </cell>
        </row>
        <row r="31252">
          <cell r="A31252">
            <v>43123</v>
          </cell>
        </row>
        <row r="31253">
          <cell r="A31253">
            <v>43298</v>
          </cell>
        </row>
        <row r="31254">
          <cell r="A31254">
            <v>43787</v>
          </cell>
        </row>
        <row r="31255">
          <cell r="A31255">
            <v>43193</v>
          </cell>
        </row>
        <row r="31256">
          <cell r="A31256">
            <v>43575</v>
          </cell>
        </row>
        <row r="31257">
          <cell r="A31257">
            <v>43351</v>
          </cell>
        </row>
        <row r="31258">
          <cell r="A31258">
            <v>43392</v>
          </cell>
        </row>
        <row r="31259">
          <cell r="A31259">
            <v>43751</v>
          </cell>
        </row>
        <row r="31260">
          <cell r="A31260">
            <v>43450</v>
          </cell>
        </row>
        <row r="31261">
          <cell r="A31261">
            <v>43190</v>
          </cell>
        </row>
        <row r="31262">
          <cell r="A31262">
            <v>43411</v>
          </cell>
        </row>
        <row r="31263">
          <cell r="A31263">
            <v>43635</v>
          </cell>
        </row>
        <row r="31264">
          <cell r="A31264">
            <v>43163</v>
          </cell>
        </row>
        <row r="31265">
          <cell r="A31265">
            <v>43169</v>
          </cell>
        </row>
        <row r="31266">
          <cell r="A31266">
            <v>43462</v>
          </cell>
        </row>
        <row r="31267">
          <cell r="A31267">
            <v>43442</v>
          </cell>
        </row>
        <row r="31268">
          <cell r="A31268">
            <v>43721</v>
          </cell>
        </row>
        <row r="31269">
          <cell r="A31269">
            <v>43195</v>
          </cell>
        </row>
        <row r="31270">
          <cell r="A31270">
            <v>43888</v>
          </cell>
        </row>
        <row r="31271">
          <cell r="A31271">
            <v>43542</v>
          </cell>
        </row>
        <row r="31272">
          <cell r="A31272">
            <v>43467</v>
          </cell>
        </row>
        <row r="31273">
          <cell r="A31273">
            <v>43595</v>
          </cell>
        </row>
        <row r="31274">
          <cell r="A31274">
            <v>43822</v>
          </cell>
        </row>
        <row r="31275">
          <cell r="A31275">
            <v>43759</v>
          </cell>
        </row>
        <row r="31276">
          <cell r="A31276">
            <v>43164</v>
          </cell>
        </row>
        <row r="31277">
          <cell r="A31277">
            <v>43423</v>
          </cell>
        </row>
        <row r="31278">
          <cell r="A31278">
            <v>43795</v>
          </cell>
        </row>
        <row r="31279">
          <cell r="A31279">
            <v>43309</v>
          </cell>
        </row>
        <row r="31280">
          <cell r="A31280">
            <v>43519</v>
          </cell>
        </row>
        <row r="31281">
          <cell r="A31281">
            <v>43394</v>
          </cell>
        </row>
        <row r="31282">
          <cell r="A31282">
            <v>43184</v>
          </cell>
        </row>
        <row r="31283">
          <cell r="A31283">
            <v>43583</v>
          </cell>
        </row>
        <row r="31284">
          <cell r="A31284">
            <v>43890</v>
          </cell>
        </row>
        <row r="31285">
          <cell r="A31285">
            <v>43597</v>
          </cell>
        </row>
        <row r="31286">
          <cell r="A31286">
            <v>43301</v>
          </cell>
        </row>
        <row r="31287">
          <cell r="A31287">
            <v>43416</v>
          </cell>
        </row>
        <row r="31288">
          <cell r="A31288">
            <v>43643</v>
          </cell>
        </row>
        <row r="31289">
          <cell r="A31289">
            <v>43316</v>
          </cell>
        </row>
        <row r="31290">
          <cell r="A31290">
            <v>43485</v>
          </cell>
        </row>
        <row r="31291">
          <cell r="A31291">
            <v>43811</v>
          </cell>
        </row>
        <row r="31292">
          <cell r="A31292">
            <v>43172</v>
          </cell>
        </row>
        <row r="31293">
          <cell r="A31293">
            <v>43264</v>
          </cell>
        </row>
        <row r="31294">
          <cell r="A31294">
            <v>43905</v>
          </cell>
        </row>
        <row r="31295">
          <cell r="A31295">
            <v>43913</v>
          </cell>
        </row>
        <row r="31296">
          <cell r="A31296">
            <v>43316</v>
          </cell>
        </row>
        <row r="31297">
          <cell r="A31297">
            <v>43700</v>
          </cell>
        </row>
        <row r="31298">
          <cell r="A31298">
            <v>43564</v>
          </cell>
        </row>
        <row r="31299">
          <cell r="A31299">
            <v>43690</v>
          </cell>
        </row>
        <row r="31300">
          <cell r="A31300">
            <v>43420</v>
          </cell>
        </row>
        <row r="31301">
          <cell r="A31301">
            <v>43150</v>
          </cell>
        </row>
        <row r="31302">
          <cell r="A31302">
            <v>43295</v>
          </cell>
        </row>
        <row r="31303">
          <cell r="A31303">
            <v>43339</v>
          </cell>
        </row>
        <row r="31304">
          <cell r="A31304">
            <v>43380</v>
          </cell>
        </row>
        <row r="31305">
          <cell r="A31305">
            <v>43818</v>
          </cell>
        </row>
        <row r="31306">
          <cell r="A31306">
            <v>43786</v>
          </cell>
        </row>
        <row r="31307">
          <cell r="A31307">
            <v>43489</v>
          </cell>
        </row>
        <row r="31308">
          <cell r="A31308">
            <v>43504</v>
          </cell>
        </row>
        <row r="31309">
          <cell r="A31309">
            <v>43402</v>
          </cell>
        </row>
        <row r="31310">
          <cell r="A31310">
            <v>43293</v>
          </cell>
        </row>
        <row r="31311">
          <cell r="A31311">
            <v>43354</v>
          </cell>
        </row>
        <row r="31312">
          <cell r="A31312">
            <v>43602</v>
          </cell>
        </row>
        <row r="31313">
          <cell r="A31313">
            <v>43640</v>
          </cell>
        </row>
        <row r="31314">
          <cell r="A31314">
            <v>43752</v>
          </cell>
        </row>
        <row r="31315">
          <cell r="A31315">
            <v>43114</v>
          </cell>
        </row>
        <row r="31316">
          <cell r="A31316">
            <v>43498</v>
          </cell>
        </row>
        <row r="31317">
          <cell r="A31317">
            <v>43331</v>
          </cell>
        </row>
        <row r="31318">
          <cell r="A31318">
            <v>43763</v>
          </cell>
        </row>
        <row r="31319">
          <cell r="A31319">
            <v>43832</v>
          </cell>
        </row>
        <row r="31320">
          <cell r="A31320">
            <v>43233</v>
          </cell>
        </row>
        <row r="31321">
          <cell r="A31321">
            <v>43615</v>
          </cell>
        </row>
        <row r="31322">
          <cell r="A31322">
            <v>43376</v>
          </cell>
        </row>
        <row r="31323">
          <cell r="A31323">
            <v>43778</v>
          </cell>
        </row>
        <row r="31324">
          <cell r="A31324">
            <v>43229</v>
          </cell>
        </row>
        <row r="31325">
          <cell r="A31325">
            <v>43854</v>
          </cell>
        </row>
        <row r="31326">
          <cell r="A31326">
            <v>43513</v>
          </cell>
        </row>
        <row r="31327">
          <cell r="A31327">
            <v>43258</v>
          </cell>
        </row>
        <row r="31328">
          <cell r="A31328">
            <v>43187</v>
          </cell>
        </row>
        <row r="31329">
          <cell r="A31329">
            <v>43194</v>
          </cell>
        </row>
        <row r="31330">
          <cell r="A31330">
            <v>43854</v>
          </cell>
        </row>
        <row r="31331">
          <cell r="A31331">
            <v>43497</v>
          </cell>
        </row>
        <row r="31332">
          <cell r="A31332">
            <v>43658</v>
          </cell>
        </row>
        <row r="31333">
          <cell r="A31333">
            <v>43572</v>
          </cell>
        </row>
        <row r="31334">
          <cell r="A31334">
            <v>43795</v>
          </cell>
        </row>
        <row r="31335">
          <cell r="A31335">
            <v>43434</v>
          </cell>
        </row>
        <row r="31336">
          <cell r="A31336">
            <v>43111</v>
          </cell>
        </row>
        <row r="31337">
          <cell r="A31337">
            <v>43203</v>
          </cell>
        </row>
        <row r="31338">
          <cell r="A31338">
            <v>43150</v>
          </cell>
        </row>
        <row r="31339">
          <cell r="A31339">
            <v>43873</v>
          </cell>
        </row>
        <row r="31340">
          <cell r="A31340">
            <v>43562</v>
          </cell>
        </row>
        <row r="31341">
          <cell r="A31341">
            <v>43438</v>
          </cell>
        </row>
        <row r="31342">
          <cell r="A31342">
            <v>43177</v>
          </cell>
        </row>
        <row r="31343">
          <cell r="A31343">
            <v>43115</v>
          </cell>
        </row>
        <row r="31344">
          <cell r="A31344">
            <v>43672</v>
          </cell>
        </row>
        <row r="31345">
          <cell r="A31345">
            <v>43765</v>
          </cell>
        </row>
        <row r="31346">
          <cell r="A31346">
            <v>43162</v>
          </cell>
        </row>
        <row r="31347">
          <cell r="A31347">
            <v>43577</v>
          </cell>
        </row>
        <row r="31348">
          <cell r="A31348">
            <v>43514</v>
          </cell>
        </row>
        <row r="31349">
          <cell r="A31349">
            <v>43761</v>
          </cell>
        </row>
        <row r="31350">
          <cell r="A31350">
            <v>43362</v>
          </cell>
        </row>
        <row r="31351">
          <cell r="A31351">
            <v>43788</v>
          </cell>
        </row>
        <row r="31352">
          <cell r="A31352">
            <v>43782</v>
          </cell>
        </row>
        <row r="31353">
          <cell r="A31353">
            <v>43174</v>
          </cell>
        </row>
        <row r="31354">
          <cell r="A31354">
            <v>43467</v>
          </cell>
        </row>
        <row r="31355">
          <cell r="A31355">
            <v>43514</v>
          </cell>
        </row>
        <row r="31356">
          <cell r="A31356">
            <v>43796</v>
          </cell>
        </row>
        <row r="31357">
          <cell r="A31357">
            <v>43183</v>
          </cell>
        </row>
        <row r="31358">
          <cell r="A31358">
            <v>43350</v>
          </cell>
        </row>
        <row r="31359">
          <cell r="A31359">
            <v>43683</v>
          </cell>
        </row>
        <row r="31360">
          <cell r="A31360">
            <v>43789</v>
          </cell>
        </row>
        <row r="31361">
          <cell r="A31361">
            <v>43275</v>
          </cell>
        </row>
        <row r="31362">
          <cell r="A31362">
            <v>43230</v>
          </cell>
        </row>
        <row r="31363">
          <cell r="A31363">
            <v>43238</v>
          </cell>
        </row>
        <row r="31364">
          <cell r="A31364">
            <v>43520</v>
          </cell>
        </row>
        <row r="31365">
          <cell r="A31365">
            <v>43494</v>
          </cell>
        </row>
        <row r="31366">
          <cell r="A31366">
            <v>43920</v>
          </cell>
        </row>
        <row r="31367">
          <cell r="A31367">
            <v>43905</v>
          </cell>
        </row>
        <row r="31368">
          <cell r="A31368">
            <v>43526</v>
          </cell>
        </row>
        <row r="31369">
          <cell r="A31369">
            <v>43669</v>
          </cell>
        </row>
        <row r="31370">
          <cell r="A31370">
            <v>43302</v>
          </cell>
        </row>
        <row r="31371">
          <cell r="A31371">
            <v>43253</v>
          </cell>
        </row>
        <row r="31372">
          <cell r="A31372">
            <v>43161</v>
          </cell>
        </row>
        <row r="31373">
          <cell r="A31373">
            <v>43627</v>
          </cell>
        </row>
        <row r="31374">
          <cell r="A31374">
            <v>43845</v>
          </cell>
        </row>
        <row r="31375">
          <cell r="A31375">
            <v>43704</v>
          </cell>
        </row>
        <row r="31376">
          <cell r="A31376">
            <v>43383</v>
          </cell>
        </row>
        <row r="31377">
          <cell r="A31377">
            <v>43784</v>
          </cell>
        </row>
        <row r="31378">
          <cell r="A31378">
            <v>43727</v>
          </cell>
        </row>
        <row r="31379">
          <cell r="A31379">
            <v>43276</v>
          </cell>
        </row>
        <row r="31380">
          <cell r="A31380">
            <v>43604</v>
          </cell>
        </row>
        <row r="31381">
          <cell r="A31381">
            <v>43353</v>
          </cell>
        </row>
        <row r="31382">
          <cell r="A31382">
            <v>43567</v>
          </cell>
        </row>
        <row r="31383">
          <cell r="A31383">
            <v>43824</v>
          </cell>
        </row>
        <row r="31384">
          <cell r="A31384">
            <v>43357</v>
          </cell>
        </row>
        <row r="31385">
          <cell r="A31385">
            <v>43717</v>
          </cell>
        </row>
        <row r="31386">
          <cell r="A31386">
            <v>43526</v>
          </cell>
        </row>
        <row r="31387">
          <cell r="A31387">
            <v>43224</v>
          </cell>
        </row>
        <row r="31388">
          <cell r="A31388">
            <v>43688</v>
          </cell>
        </row>
        <row r="31389">
          <cell r="A31389">
            <v>43115</v>
          </cell>
        </row>
        <row r="31390">
          <cell r="A31390">
            <v>43810</v>
          </cell>
        </row>
        <row r="31391">
          <cell r="A31391">
            <v>43433</v>
          </cell>
        </row>
        <row r="31392">
          <cell r="A31392">
            <v>43471</v>
          </cell>
        </row>
        <row r="31393">
          <cell r="A31393">
            <v>43392</v>
          </cell>
        </row>
        <row r="31394">
          <cell r="A31394">
            <v>43301</v>
          </cell>
        </row>
        <row r="31395">
          <cell r="A31395">
            <v>43767</v>
          </cell>
        </row>
        <row r="31396">
          <cell r="A31396">
            <v>43909</v>
          </cell>
        </row>
        <row r="31397">
          <cell r="A31397">
            <v>43329</v>
          </cell>
        </row>
        <row r="31398">
          <cell r="A31398">
            <v>43220</v>
          </cell>
        </row>
        <row r="31399">
          <cell r="A31399">
            <v>43881</v>
          </cell>
        </row>
        <row r="31400">
          <cell r="A31400">
            <v>43721</v>
          </cell>
        </row>
        <row r="31401">
          <cell r="A31401">
            <v>43527</v>
          </cell>
        </row>
        <row r="31402">
          <cell r="A31402">
            <v>43584</v>
          </cell>
        </row>
        <row r="31403">
          <cell r="A31403">
            <v>43577</v>
          </cell>
        </row>
        <row r="31404">
          <cell r="A31404">
            <v>43418</v>
          </cell>
        </row>
        <row r="31405">
          <cell r="A31405">
            <v>43606</v>
          </cell>
        </row>
        <row r="31406">
          <cell r="A31406">
            <v>43293</v>
          </cell>
        </row>
        <row r="31407">
          <cell r="A31407">
            <v>43113</v>
          </cell>
        </row>
        <row r="31408">
          <cell r="A31408">
            <v>43913</v>
          </cell>
        </row>
        <row r="31409">
          <cell r="A31409">
            <v>43420</v>
          </cell>
        </row>
        <row r="31410">
          <cell r="A31410">
            <v>43917</v>
          </cell>
        </row>
        <row r="31411">
          <cell r="A31411">
            <v>43462</v>
          </cell>
        </row>
        <row r="31412">
          <cell r="A31412">
            <v>43293</v>
          </cell>
        </row>
        <row r="31413">
          <cell r="A31413">
            <v>43509</v>
          </cell>
        </row>
        <row r="31414">
          <cell r="A31414">
            <v>43770</v>
          </cell>
        </row>
        <row r="31415">
          <cell r="A31415">
            <v>43854</v>
          </cell>
        </row>
        <row r="31416">
          <cell r="A31416">
            <v>43207</v>
          </cell>
        </row>
        <row r="31417">
          <cell r="A31417">
            <v>43428</v>
          </cell>
        </row>
        <row r="31418">
          <cell r="A31418">
            <v>43205</v>
          </cell>
        </row>
        <row r="31419">
          <cell r="A31419">
            <v>43713</v>
          </cell>
        </row>
        <row r="31420">
          <cell r="A31420">
            <v>43863</v>
          </cell>
        </row>
        <row r="31421">
          <cell r="A31421">
            <v>43828</v>
          </cell>
        </row>
        <row r="31422">
          <cell r="A31422">
            <v>43244</v>
          </cell>
        </row>
        <row r="31423">
          <cell r="A31423">
            <v>43606</v>
          </cell>
        </row>
        <row r="31424">
          <cell r="A31424">
            <v>43864</v>
          </cell>
        </row>
        <row r="31425">
          <cell r="A31425">
            <v>43415</v>
          </cell>
        </row>
        <row r="31426">
          <cell r="A31426">
            <v>43182</v>
          </cell>
        </row>
        <row r="31427">
          <cell r="A31427">
            <v>43558</v>
          </cell>
        </row>
        <row r="31428">
          <cell r="A31428">
            <v>43330</v>
          </cell>
        </row>
        <row r="31429">
          <cell r="A31429">
            <v>43237</v>
          </cell>
        </row>
        <row r="31430">
          <cell r="A31430">
            <v>43805</v>
          </cell>
        </row>
        <row r="31431">
          <cell r="A31431">
            <v>43700</v>
          </cell>
        </row>
        <row r="31432">
          <cell r="A31432">
            <v>43688</v>
          </cell>
        </row>
        <row r="31433">
          <cell r="A31433">
            <v>43575</v>
          </cell>
        </row>
        <row r="31434">
          <cell r="A31434">
            <v>43876</v>
          </cell>
        </row>
        <row r="31435">
          <cell r="A31435">
            <v>43350</v>
          </cell>
        </row>
        <row r="31436">
          <cell r="A31436">
            <v>43444</v>
          </cell>
        </row>
        <row r="31437">
          <cell r="A31437">
            <v>43533</v>
          </cell>
        </row>
        <row r="31438">
          <cell r="A31438">
            <v>43364</v>
          </cell>
        </row>
        <row r="31439">
          <cell r="A31439">
            <v>43773</v>
          </cell>
        </row>
        <row r="31440">
          <cell r="A31440">
            <v>43790</v>
          </cell>
        </row>
        <row r="31441">
          <cell r="A31441">
            <v>43867</v>
          </cell>
        </row>
        <row r="31442">
          <cell r="A31442">
            <v>43723</v>
          </cell>
        </row>
        <row r="31443">
          <cell r="A31443">
            <v>43798</v>
          </cell>
        </row>
        <row r="31444">
          <cell r="A31444">
            <v>43329</v>
          </cell>
        </row>
        <row r="31445">
          <cell r="A31445">
            <v>43238</v>
          </cell>
        </row>
        <row r="31446">
          <cell r="A31446">
            <v>43870</v>
          </cell>
        </row>
        <row r="31447">
          <cell r="A31447">
            <v>43549</v>
          </cell>
        </row>
        <row r="31448">
          <cell r="A31448">
            <v>43806</v>
          </cell>
        </row>
        <row r="31449">
          <cell r="A31449">
            <v>43761</v>
          </cell>
        </row>
        <row r="31450">
          <cell r="A31450">
            <v>43538</v>
          </cell>
        </row>
        <row r="31451">
          <cell r="A31451">
            <v>43430</v>
          </cell>
        </row>
        <row r="31452">
          <cell r="A31452">
            <v>43902</v>
          </cell>
        </row>
        <row r="31453">
          <cell r="A31453">
            <v>43564</v>
          </cell>
        </row>
        <row r="31454">
          <cell r="A31454">
            <v>43668</v>
          </cell>
        </row>
        <row r="31455">
          <cell r="A31455">
            <v>43548</v>
          </cell>
        </row>
        <row r="31456">
          <cell r="A31456">
            <v>43668</v>
          </cell>
        </row>
        <row r="31457">
          <cell r="A31457">
            <v>43892</v>
          </cell>
        </row>
        <row r="31458">
          <cell r="A31458">
            <v>43487</v>
          </cell>
        </row>
        <row r="31459">
          <cell r="A31459">
            <v>43392</v>
          </cell>
        </row>
        <row r="31460">
          <cell r="A31460">
            <v>43226</v>
          </cell>
        </row>
        <row r="31461">
          <cell r="A31461">
            <v>43672</v>
          </cell>
        </row>
        <row r="31462">
          <cell r="A31462">
            <v>43731</v>
          </cell>
        </row>
        <row r="31463">
          <cell r="A31463">
            <v>43752</v>
          </cell>
        </row>
        <row r="31464">
          <cell r="A31464">
            <v>43430</v>
          </cell>
        </row>
        <row r="31465">
          <cell r="A31465">
            <v>43669</v>
          </cell>
        </row>
        <row r="31466">
          <cell r="A31466">
            <v>43737</v>
          </cell>
        </row>
        <row r="31467">
          <cell r="A31467">
            <v>43644</v>
          </cell>
        </row>
        <row r="31468">
          <cell r="A31468">
            <v>43734</v>
          </cell>
        </row>
        <row r="31469">
          <cell r="A31469">
            <v>43905</v>
          </cell>
        </row>
        <row r="31470">
          <cell r="A31470">
            <v>43706</v>
          </cell>
        </row>
        <row r="31471">
          <cell r="A31471">
            <v>43609</v>
          </cell>
        </row>
        <row r="31472">
          <cell r="A31472">
            <v>43558</v>
          </cell>
        </row>
        <row r="31473">
          <cell r="A31473">
            <v>43649</v>
          </cell>
        </row>
        <row r="31474">
          <cell r="A31474">
            <v>43105</v>
          </cell>
        </row>
        <row r="31475">
          <cell r="A31475">
            <v>43172</v>
          </cell>
        </row>
        <row r="31476">
          <cell r="A31476">
            <v>43667</v>
          </cell>
        </row>
        <row r="31477">
          <cell r="A31477">
            <v>43261</v>
          </cell>
        </row>
        <row r="31478">
          <cell r="A31478">
            <v>43746</v>
          </cell>
        </row>
        <row r="31479">
          <cell r="A31479">
            <v>43624</v>
          </cell>
        </row>
        <row r="31480">
          <cell r="A31480">
            <v>43169</v>
          </cell>
        </row>
        <row r="31481">
          <cell r="A31481">
            <v>43474</v>
          </cell>
        </row>
        <row r="31482">
          <cell r="A31482">
            <v>43178</v>
          </cell>
        </row>
        <row r="31483">
          <cell r="A31483">
            <v>43622</v>
          </cell>
        </row>
        <row r="31484">
          <cell r="A31484">
            <v>43755</v>
          </cell>
        </row>
        <row r="31485">
          <cell r="A31485">
            <v>43339</v>
          </cell>
        </row>
        <row r="31486">
          <cell r="A31486">
            <v>43163</v>
          </cell>
        </row>
        <row r="31487">
          <cell r="A31487">
            <v>43380</v>
          </cell>
        </row>
        <row r="31488">
          <cell r="A31488">
            <v>43148</v>
          </cell>
        </row>
        <row r="31489">
          <cell r="A31489">
            <v>43867</v>
          </cell>
        </row>
        <row r="31490">
          <cell r="A31490">
            <v>43652</v>
          </cell>
        </row>
        <row r="31491">
          <cell r="A31491">
            <v>43845</v>
          </cell>
        </row>
        <row r="31492">
          <cell r="A31492">
            <v>43705</v>
          </cell>
        </row>
        <row r="31493">
          <cell r="A31493">
            <v>43146</v>
          </cell>
        </row>
        <row r="31494">
          <cell r="A31494">
            <v>43529</v>
          </cell>
        </row>
        <row r="31495">
          <cell r="A31495">
            <v>43226</v>
          </cell>
        </row>
        <row r="31496">
          <cell r="A31496">
            <v>43146</v>
          </cell>
        </row>
        <row r="31497">
          <cell r="A31497">
            <v>43567</v>
          </cell>
        </row>
        <row r="31498">
          <cell r="A31498">
            <v>43491</v>
          </cell>
        </row>
        <row r="31499">
          <cell r="A31499">
            <v>43539</v>
          </cell>
        </row>
        <row r="31500">
          <cell r="A31500">
            <v>43184</v>
          </cell>
        </row>
        <row r="31501">
          <cell r="A31501">
            <v>43860</v>
          </cell>
        </row>
        <row r="31502">
          <cell r="A31502">
            <v>43675</v>
          </cell>
        </row>
        <row r="31503">
          <cell r="A31503">
            <v>43440</v>
          </cell>
        </row>
        <row r="31504">
          <cell r="A31504">
            <v>43725</v>
          </cell>
        </row>
        <row r="31505">
          <cell r="A31505">
            <v>43411</v>
          </cell>
        </row>
        <row r="31506">
          <cell r="A31506">
            <v>43286</v>
          </cell>
        </row>
        <row r="31507">
          <cell r="A31507">
            <v>43837</v>
          </cell>
        </row>
        <row r="31508">
          <cell r="A31508">
            <v>43196</v>
          </cell>
        </row>
        <row r="31509">
          <cell r="A31509">
            <v>43118</v>
          </cell>
        </row>
        <row r="31510">
          <cell r="A31510">
            <v>43386</v>
          </cell>
        </row>
        <row r="31511">
          <cell r="A31511">
            <v>43475</v>
          </cell>
        </row>
        <row r="31512">
          <cell r="A31512">
            <v>43865</v>
          </cell>
        </row>
        <row r="31513">
          <cell r="A31513">
            <v>43317</v>
          </cell>
        </row>
        <row r="31514">
          <cell r="A31514">
            <v>43605</v>
          </cell>
        </row>
        <row r="31515">
          <cell r="A31515">
            <v>43182</v>
          </cell>
        </row>
        <row r="31516">
          <cell r="A31516">
            <v>43330</v>
          </cell>
        </row>
        <row r="31517">
          <cell r="A31517">
            <v>43134</v>
          </cell>
        </row>
        <row r="31518">
          <cell r="A31518">
            <v>43646</v>
          </cell>
        </row>
        <row r="31519">
          <cell r="A31519">
            <v>43813</v>
          </cell>
        </row>
        <row r="31520">
          <cell r="A31520">
            <v>43441</v>
          </cell>
        </row>
        <row r="31521">
          <cell r="A31521">
            <v>43675</v>
          </cell>
        </row>
        <row r="31522">
          <cell r="A31522">
            <v>43163</v>
          </cell>
        </row>
        <row r="31523">
          <cell r="A31523">
            <v>43108</v>
          </cell>
        </row>
        <row r="31524">
          <cell r="A31524">
            <v>43229</v>
          </cell>
        </row>
        <row r="31525">
          <cell r="A31525">
            <v>43865</v>
          </cell>
        </row>
        <row r="31526">
          <cell r="A31526">
            <v>43638</v>
          </cell>
        </row>
        <row r="31527">
          <cell r="A31527">
            <v>43340</v>
          </cell>
        </row>
        <row r="31528">
          <cell r="A31528">
            <v>43431</v>
          </cell>
        </row>
        <row r="31529">
          <cell r="A31529">
            <v>43875</v>
          </cell>
        </row>
        <row r="31530">
          <cell r="A31530">
            <v>43409</v>
          </cell>
        </row>
        <row r="31531">
          <cell r="A31531">
            <v>43562</v>
          </cell>
        </row>
        <row r="31532">
          <cell r="A31532">
            <v>43699</v>
          </cell>
        </row>
        <row r="31533">
          <cell r="A31533">
            <v>43470</v>
          </cell>
        </row>
        <row r="31534">
          <cell r="A31534">
            <v>43341</v>
          </cell>
        </row>
        <row r="31535">
          <cell r="A31535">
            <v>43549</v>
          </cell>
        </row>
        <row r="31536">
          <cell r="A31536">
            <v>43169</v>
          </cell>
        </row>
        <row r="31537">
          <cell r="A31537">
            <v>43266</v>
          </cell>
        </row>
        <row r="31538">
          <cell r="A31538">
            <v>43556</v>
          </cell>
        </row>
        <row r="31539">
          <cell r="A31539">
            <v>43747</v>
          </cell>
        </row>
        <row r="31540">
          <cell r="A31540">
            <v>43416</v>
          </cell>
        </row>
        <row r="31541">
          <cell r="A31541">
            <v>43672</v>
          </cell>
        </row>
        <row r="31542">
          <cell r="A31542">
            <v>43763</v>
          </cell>
        </row>
        <row r="31543">
          <cell r="A31543">
            <v>43508</v>
          </cell>
        </row>
        <row r="31544">
          <cell r="A31544">
            <v>43204</v>
          </cell>
        </row>
        <row r="31545">
          <cell r="A31545">
            <v>43631</v>
          </cell>
        </row>
        <row r="31546">
          <cell r="A31546">
            <v>43558</v>
          </cell>
        </row>
        <row r="31547">
          <cell r="A31547">
            <v>43870</v>
          </cell>
        </row>
        <row r="31548">
          <cell r="A31548">
            <v>43232</v>
          </cell>
        </row>
        <row r="31549">
          <cell r="A31549">
            <v>43426</v>
          </cell>
        </row>
        <row r="31550">
          <cell r="A31550">
            <v>43597</v>
          </cell>
        </row>
        <row r="31551">
          <cell r="A31551">
            <v>43234</v>
          </cell>
        </row>
        <row r="31552">
          <cell r="A31552">
            <v>43468</v>
          </cell>
        </row>
        <row r="31553">
          <cell r="A31553">
            <v>43264</v>
          </cell>
        </row>
        <row r="31554">
          <cell r="A31554">
            <v>43907</v>
          </cell>
        </row>
        <row r="31555">
          <cell r="A31555">
            <v>43488</v>
          </cell>
        </row>
        <row r="31556">
          <cell r="A31556">
            <v>43201</v>
          </cell>
        </row>
        <row r="31557">
          <cell r="A31557">
            <v>43111</v>
          </cell>
        </row>
        <row r="31558">
          <cell r="A31558">
            <v>43568</v>
          </cell>
        </row>
        <row r="31559">
          <cell r="A31559">
            <v>43887</v>
          </cell>
        </row>
        <row r="31560">
          <cell r="A31560">
            <v>43111</v>
          </cell>
        </row>
        <row r="31561">
          <cell r="A31561">
            <v>43843</v>
          </cell>
        </row>
        <row r="31562">
          <cell r="A31562">
            <v>43154</v>
          </cell>
        </row>
        <row r="31563">
          <cell r="A31563">
            <v>43147</v>
          </cell>
        </row>
        <row r="31564">
          <cell r="A31564">
            <v>43452</v>
          </cell>
        </row>
        <row r="31565">
          <cell r="A31565">
            <v>43523</v>
          </cell>
        </row>
        <row r="31566">
          <cell r="A31566">
            <v>43597</v>
          </cell>
        </row>
        <row r="31567">
          <cell r="A31567">
            <v>43344</v>
          </cell>
        </row>
        <row r="31568">
          <cell r="A31568">
            <v>43771</v>
          </cell>
        </row>
        <row r="31569">
          <cell r="A31569">
            <v>43301</v>
          </cell>
        </row>
        <row r="31570">
          <cell r="A31570">
            <v>43280</v>
          </cell>
        </row>
        <row r="31571">
          <cell r="A31571">
            <v>43548</v>
          </cell>
        </row>
        <row r="31572">
          <cell r="A31572">
            <v>43742</v>
          </cell>
        </row>
        <row r="31573">
          <cell r="A31573">
            <v>43439</v>
          </cell>
        </row>
        <row r="31574">
          <cell r="A31574">
            <v>43106</v>
          </cell>
        </row>
        <row r="31575">
          <cell r="A31575">
            <v>43873</v>
          </cell>
        </row>
        <row r="31576">
          <cell r="A31576">
            <v>43371</v>
          </cell>
        </row>
        <row r="31577">
          <cell r="A31577">
            <v>43661</v>
          </cell>
        </row>
        <row r="31578">
          <cell r="A31578">
            <v>43207</v>
          </cell>
        </row>
        <row r="31579">
          <cell r="A31579">
            <v>43884</v>
          </cell>
        </row>
        <row r="31580">
          <cell r="A31580">
            <v>43301</v>
          </cell>
        </row>
        <row r="31581">
          <cell r="A31581">
            <v>43484</v>
          </cell>
        </row>
        <row r="31582">
          <cell r="A31582">
            <v>43581</v>
          </cell>
        </row>
        <row r="31583">
          <cell r="A31583">
            <v>43677</v>
          </cell>
        </row>
        <row r="31584">
          <cell r="A31584">
            <v>43778</v>
          </cell>
        </row>
        <row r="31585">
          <cell r="A31585">
            <v>43916</v>
          </cell>
        </row>
        <row r="31586">
          <cell r="A31586">
            <v>43823</v>
          </cell>
        </row>
        <row r="31587">
          <cell r="A31587">
            <v>43131</v>
          </cell>
        </row>
        <row r="31588">
          <cell r="A31588">
            <v>43146</v>
          </cell>
        </row>
        <row r="31589">
          <cell r="A31589">
            <v>43887</v>
          </cell>
        </row>
        <row r="31590">
          <cell r="A31590">
            <v>43302</v>
          </cell>
        </row>
        <row r="31591">
          <cell r="A31591">
            <v>43918</v>
          </cell>
        </row>
        <row r="31592">
          <cell r="A31592">
            <v>43298</v>
          </cell>
        </row>
        <row r="31593">
          <cell r="A31593">
            <v>43843</v>
          </cell>
        </row>
        <row r="31594">
          <cell r="A31594">
            <v>43730</v>
          </cell>
        </row>
        <row r="31595">
          <cell r="A31595">
            <v>43643</v>
          </cell>
        </row>
        <row r="31596">
          <cell r="A31596">
            <v>43638</v>
          </cell>
        </row>
        <row r="31597">
          <cell r="A31597">
            <v>43684</v>
          </cell>
        </row>
        <row r="31598">
          <cell r="A31598">
            <v>43645</v>
          </cell>
        </row>
        <row r="31599">
          <cell r="A31599">
            <v>43238</v>
          </cell>
        </row>
        <row r="31600">
          <cell r="A31600">
            <v>43160</v>
          </cell>
        </row>
        <row r="31601">
          <cell r="A31601">
            <v>43652</v>
          </cell>
        </row>
        <row r="31602">
          <cell r="A31602">
            <v>43252</v>
          </cell>
        </row>
        <row r="31603">
          <cell r="A31603">
            <v>43119</v>
          </cell>
        </row>
        <row r="31604">
          <cell r="A31604">
            <v>43577</v>
          </cell>
        </row>
        <row r="31605">
          <cell r="A31605">
            <v>43723</v>
          </cell>
        </row>
        <row r="31606">
          <cell r="A31606">
            <v>43206</v>
          </cell>
        </row>
        <row r="31607">
          <cell r="A31607">
            <v>43273</v>
          </cell>
        </row>
        <row r="31608">
          <cell r="A31608">
            <v>43176</v>
          </cell>
        </row>
        <row r="31609">
          <cell r="A31609">
            <v>43615</v>
          </cell>
        </row>
        <row r="31610">
          <cell r="A31610">
            <v>43221</v>
          </cell>
        </row>
        <row r="31611">
          <cell r="A31611">
            <v>43109</v>
          </cell>
        </row>
        <row r="31612">
          <cell r="A31612">
            <v>43394</v>
          </cell>
        </row>
        <row r="31613">
          <cell r="A31613">
            <v>43803</v>
          </cell>
        </row>
        <row r="31614">
          <cell r="A31614">
            <v>43362</v>
          </cell>
        </row>
        <row r="31615">
          <cell r="A31615">
            <v>43129</v>
          </cell>
        </row>
        <row r="31616">
          <cell r="A31616">
            <v>43275</v>
          </cell>
        </row>
        <row r="31617">
          <cell r="A31617">
            <v>43391</v>
          </cell>
        </row>
        <row r="31618">
          <cell r="A31618">
            <v>43456</v>
          </cell>
        </row>
        <row r="31619">
          <cell r="A31619">
            <v>43874</v>
          </cell>
        </row>
        <row r="31620">
          <cell r="A31620">
            <v>43592</v>
          </cell>
        </row>
        <row r="31621">
          <cell r="A31621">
            <v>43134</v>
          </cell>
        </row>
        <row r="31622">
          <cell r="A31622">
            <v>43373</v>
          </cell>
        </row>
        <row r="31623">
          <cell r="A31623">
            <v>43198</v>
          </cell>
        </row>
        <row r="31624">
          <cell r="A31624">
            <v>43471</v>
          </cell>
        </row>
        <row r="31625">
          <cell r="A31625">
            <v>43706</v>
          </cell>
        </row>
        <row r="31626">
          <cell r="A31626">
            <v>43158</v>
          </cell>
        </row>
        <row r="31627">
          <cell r="A31627">
            <v>43826</v>
          </cell>
        </row>
        <row r="31628">
          <cell r="A31628">
            <v>43798</v>
          </cell>
        </row>
        <row r="31629">
          <cell r="A31629">
            <v>43896</v>
          </cell>
        </row>
        <row r="31630">
          <cell r="A31630">
            <v>43900</v>
          </cell>
        </row>
        <row r="31631">
          <cell r="A31631">
            <v>43396</v>
          </cell>
        </row>
        <row r="31632">
          <cell r="A31632">
            <v>43348</v>
          </cell>
        </row>
        <row r="31633">
          <cell r="A31633">
            <v>43328</v>
          </cell>
        </row>
        <row r="31634">
          <cell r="A31634">
            <v>43275</v>
          </cell>
        </row>
        <row r="31635">
          <cell r="A31635">
            <v>43522</v>
          </cell>
        </row>
        <row r="31636">
          <cell r="A31636">
            <v>43675</v>
          </cell>
        </row>
        <row r="31637">
          <cell r="A31637">
            <v>43528</v>
          </cell>
        </row>
        <row r="31638">
          <cell r="A31638">
            <v>43206</v>
          </cell>
        </row>
        <row r="31639">
          <cell r="A31639">
            <v>43607</v>
          </cell>
        </row>
        <row r="31640">
          <cell r="A31640">
            <v>43166</v>
          </cell>
        </row>
        <row r="31641">
          <cell r="A31641">
            <v>43863</v>
          </cell>
        </row>
        <row r="31642">
          <cell r="A31642">
            <v>43471</v>
          </cell>
        </row>
        <row r="31643">
          <cell r="A31643">
            <v>43624</v>
          </cell>
        </row>
        <row r="31644">
          <cell r="A31644">
            <v>43806</v>
          </cell>
        </row>
        <row r="31645">
          <cell r="A31645">
            <v>43274</v>
          </cell>
        </row>
        <row r="31646">
          <cell r="A31646">
            <v>43561</v>
          </cell>
        </row>
        <row r="31647">
          <cell r="A31647">
            <v>43686</v>
          </cell>
        </row>
        <row r="31648">
          <cell r="A31648">
            <v>43678</v>
          </cell>
        </row>
        <row r="31649">
          <cell r="A31649">
            <v>43803</v>
          </cell>
        </row>
        <row r="31650">
          <cell r="A31650">
            <v>43701</v>
          </cell>
        </row>
        <row r="31651">
          <cell r="A31651">
            <v>43490</v>
          </cell>
        </row>
        <row r="31652">
          <cell r="A31652">
            <v>43840</v>
          </cell>
        </row>
        <row r="31653">
          <cell r="A31653">
            <v>43394</v>
          </cell>
        </row>
        <row r="31654">
          <cell r="A31654">
            <v>43769</v>
          </cell>
        </row>
        <row r="31655">
          <cell r="A31655">
            <v>43407</v>
          </cell>
        </row>
        <row r="31656">
          <cell r="A31656">
            <v>43554</v>
          </cell>
        </row>
        <row r="31657">
          <cell r="A31657">
            <v>43499</v>
          </cell>
        </row>
        <row r="31658">
          <cell r="A31658">
            <v>43545</v>
          </cell>
        </row>
        <row r="31659">
          <cell r="A31659">
            <v>43163</v>
          </cell>
        </row>
        <row r="31660">
          <cell r="A31660">
            <v>43126</v>
          </cell>
        </row>
        <row r="31661">
          <cell r="A31661">
            <v>43313</v>
          </cell>
        </row>
        <row r="31662">
          <cell r="A31662">
            <v>43289</v>
          </cell>
        </row>
        <row r="31663">
          <cell r="A31663">
            <v>43671</v>
          </cell>
        </row>
        <row r="31664">
          <cell r="A31664">
            <v>43454</v>
          </cell>
        </row>
        <row r="31665">
          <cell r="A31665">
            <v>43741</v>
          </cell>
        </row>
        <row r="31666">
          <cell r="A31666">
            <v>43859</v>
          </cell>
        </row>
        <row r="31667">
          <cell r="A31667">
            <v>43516</v>
          </cell>
        </row>
        <row r="31668">
          <cell r="A31668">
            <v>43153</v>
          </cell>
        </row>
        <row r="31669">
          <cell r="A31669">
            <v>43801</v>
          </cell>
        </row>
        <row r="31670">
          <cell r="A31670">
            <v>43384</v>
          </cell>
        </row>
        <row r="31671">
          <cell r="A31671">
            <v>43421</v>
          </cell>
        </row>
        <row r="31672">
          <cell r="A31672">
            <v>43693</v>
          </cell>
        </row>
        <row r="31673">
          <cell r="A31673">
            <v>43727</v>
          </cell>
        </row>
        <row r="31674">
          <cell r="A31674">
            <v>43154</v>
          </cell>
        </row>
        <row r="31675">
          <cell r="A31675">
            <v>43581</v>
          </cell>
        </row>
        <row r="31676">
          <cell r="A31676">
            <v>43495</v>
          </cell>
        </row>
        <row r="31677">
          <cell r="A31677">
            <v>43184</v>
          </cell>
        </row>
        <row r="31678">
          <cell r="A31678">
            <v>43589</v>
          </cell>
        </row>
        <row r="31679">
          <cell r="A31679">
            <v>43796</v>
          </cell>
        </row>
        <row r="31680">
          <cell r="A31680">
            <v>43322</v>
          </cell>
        </row>
        <row r="31681">
          <cell r="A31681">
            <v>43287</v>
          </cell>
        </row>
        <row r="31682">
          <cell r="A31682">
            <v>43706</v>
          </cell>
        </row>
        <row r="31683">
          <cell r="A31683">
            <v>43394</v>
          </cell>
        </row>
        <row r="31684">
          <cell r="A31684">
            <v>43261</v>
          </cell>
        </row>
        <row r="31685">
          <cell r="A31685">
            <v>43781</v>
          </cell>
        </row>
        <row r="31686">
          <cell r="A31686">
            <v>43437</v>
          </cell>
        </row>
        <row r="31687">
          <cell r="A31687">
            <v>43413</v>
          </cell>
        </row>
        <row r="31688">
          <cell r="A31688">
            <v>43814</v>
          </cell>
        </row>
        <row r="31689">
          <cell r="A31689">
            <v>43830</v>
          </cell>
        </row>
        <row r="31690">
          <cell r="A31690">
            <v>43600</v>
          </cell>
        </row>
        <row r="31691">
          <cell r="A31691">
            <v>43364</v>
          </cell>
        </row>
        <row r="31692">
          <cell r="A31692">
            <v>43364</v>
          </cell>
        </row>
        <row r="31693">
          <cell r="A31693">
            <v>43716</v>
          </cell>
        </row>
        <row r="31694">
          <cell r="A31694">
            <v>43562</v>
          </cell>
        </row>
        <row r="31695">
          <cell r="A31695">
            <v>43413</v>
          </cell>
        </row>
        <row r="31696">
          <cell r="A31696">
            <v>43795</v>
          </cell>
        </row>
        <row r="31697">
          <cell r="A31697">
            <v>43692</v>
          </cell>
        </row>
        <row r="31698">
          <cell r="A31698">
            <v>43193</v>
          </cell>
        </row>
        <row r="31699">
          <cell r="A31699">
            <v>43301</v>
          </cell>
        </row>
        <row r="31700">
          <cell r="A31700">
            <v>43164</v>
          </cell>
        </row>
        <row r="31701">
          <cell r="A31701">
            <v>43295</v>
          </cell>
        </row>
        <row r="31702">
          <cell r="A31702">
            <v>43174</v>
          </cell>
        </row>
        <row r="31703">
          <cell r="A31703">
            <v>43164</v>
          </cell>
        </row>
        <row r="31704">
          <cell r="A31704">
            <v>43184</v>
          </cell>
        </row>
        <row r="31705">
          <cell r="A31705">
            <v>43500</v>
          </cell>
        </row>
        <row r="31706">
          <cell r="A31706">
            <v>43178</v>
          </cell>
        </row>
        <row r="31707">
          <cell r="A31707">
            <v>43155</v>
          </cell>
        </row>
        <row r="31708">
          <cell r="A31708">
            <v>43802</v>
          </cell>
        </row>
        <row r="31709">
          <cell r="A31709">
            <v>43624</v>
          </cell>
        </row>
        <row r="31710">
          <cell r="A31710">
            <v>43733</v>
          </cell>
        </row>
        <row r="31711">
          <cell r="A31711">
            <v>43421</v>
          </cell>
        </row>
        <row r="31712">
          <cell r="A31712">
            <v>43810</v>
          </cell>
        </row>
        <row r="31713">
          <cell r="A31713">
            <v>43759</v>
          </cell>
        </row>
        <row r="31714">
          <cell r="A31714">
            <v>43687</v>
          </cell>
        </row>
        <row r="31715">
          <cell r="A31715">
            <v>43295</v>
          </cell>
        </row>
        <row r="31716">
          <cell r="A31716">
            <v>43919</v>
          </cell>
        </row>
        <row r="31717">
          <cell r="A31717">
            <v>43858</v>
          </cell>
        </row>
        <row r="31718">
          <cell r="A31718">
            <v>43332</v>
          </cell>
        </row>
        <row r="31719">
          <cell r="A31719">
            <v>43750</v>
          </cell>
        </row>
        <row r="31720">
          <cell r="A31720">
            <v>43735</v>
          </cell>
        </row>
        <row r="31721">
          <cell r="A31721">
            <v>43773</v>
          </cell>
        </row>
        <row r="31722">
          <cell r="A31722">
            <v>43255</v>
          </cell>
        </row>
        <row r="31723">
          <cell r="A31723">
            <v>43827</v>
          </cell>
        </row>
        <row r="31724">
          <cell r="A31724">
            <v>43451</v>
          </cell>
        </row>
        <row r="31725">
          <cell r="A31725">
            <v>43832</v>
          </cell>
        </row>
        <row r="31726">
          <cell r="A31726">
            <v>43213</v>
          </cell>
        </row>
        <row r="31727">
          <cell r="A31727">
            <v>43872</v>
          </cell>
        </row>
        <row r="31728">
          <cell r="A31728">
            <v>43443</v>
          </cell>
        </row>
        <row r="31729">
          <cell r="A31729">
            <v>43238</v>
          </cell>
        </row>
        <row r="31730">
          <cell r="A31730">
            <v>43886</v>
          </cell>
        </row>
        <row r="31731">
          <cell r="A31731">
            <v>43365</v>
          </cell>
        </row>
        <row r="31732">
          <cell r="A31732">
            <v>43158</v>
          </cell>
        </row>
        <row r="31733">
          <cell r="A31733">
            <v>43318</v>
          </cell>
        </row>
        <row r="31734">
          <cell r="A31734">
            <v>43879</v>
          </cell>
        </row>
        <row r="31735">
          <cell r="A31735">
            <v>43150</v>
          </cell>
        </row>
        <row r="31736">
          <cell r="A31736">
            <v>43673</v>
          </cell>
        </row>
        <row r="31737">
          <cell r="A31737">
            <v>43382</v>
          </cell>
        </row>
        <row r="31738">
          <cell r="A31738">
            <v>43180</v>
          </cell>
        </row>
        <row r="31739">
          <cell r="A31739">
            <v>43769</v>
          </cell>
        </row>
        <row r="31740">
          <cell r="A31740">
            <v>43325</v>
          </cell>
        </row>
        <row r="31741">
          <cell r="A31741">
            <v>43358</v>
          </cell>
        </row>
        <row r="31742">
          <cell r="A31742">
            <v>43902</v>
          </cell>
        </row>
        <row r="31743">
          <cell r="A31743">
            <v>43507</v>
          </cell>
        </row>
        <row r="31744">
          <cell r="A31744">
            <v>43588</v>
          </cell>
        </row>
        <row r="31745">
          <cell r="A31745">
            <v>43249</v>
          </cell>
        </row>
        <row r="31746">
          <cell r="A31746">
            <v>43291</v>
          </cell>
        </row>
        <row r="31747">
          <cell r="A31747">
            <v>43367</v>
          </cell>
        </row>
        <row r="31748">
          <cell r="A31748">
            <v>43704</v>
          </cell>
        </row>
        <row r="31749">
          <cell r="A31749">
            <v>43837</v>
          </cell>
        </row>
        <row r="31750">
          <cell r="A31750">
            <v>43223</v>
          </cell>
        </row>
        <row r="31751">
          <cell r="A31751">
            <v>43233</v>
          </cell>
        </row>
        <row r="31752">
          <cell r="A31752">
            <v>43659</v>
          </cell>
        </row>
        <row r="31753">
          <cell r="A31753">
            <v>43740</v>
          </cell>
        </row>
        <row r="31754">
          <cell r="A31754">
            <v>43312</v>
          </cell>
        </row>
        <row r="31755">
          <cell r="A31755">
            <v>43754</v>
          </cell>
        </row>
        <row r="31756">
          <cell r="A31756">
            <v>43765</v>
          </cell>
        </row>
        <row r="31757">
          <cell r="A31757">
            <v>43721</v>
          </cell>
        </row>
        <row r="31758">
          <cell r="A31758">
            <v>43875</v>
          </cell>
        </row>
        <row r="31759">
          <cell r="A31759">
            <v>43415</v>
          </cell>
        </row>
        <row r="31760">
          <cell r="A31760">
            <v>43105</v>
          </cell>
        </row>
        <row r="31761">
          <cell r="A31761">
            <v>43872</v>
          </cell>
        </row>
        <row r="31762">
          <cell r="A31762">
            <v>43218</v>
          </cell>
        </row>
        <row r="31763">
          <cell r="A31763">
            <v>43676</v>
          </cell>
        </row>
        <row r="31764">
          <cell r="A31764">
            <v>43723</v>
          </cell>
        </row>
        <row r="31765">
          <cell r="A31765">
            <v>43779</v>
          </cell>
        </row>
        <row r="31766">
          <cell r="A31766">
            <v>43455</v>
          </cell>
        </row>
        <row r="31767">
          <cell r="A31767">
            <v>43505</v>
          </cell>
        </row>
        <row r="31768">
          <cell r="A31768">
            <v>43245</v>
          </cell>
        </row>
        <row r="31769">
          <cell r="A31769">
            <v>43779</v>
          </cell>
        </row>
        <row r="31770">
          <cell r="A31770">
            <v>43223</v>
          </cell>
        </row>
        <row r="31771">
          <cell r="A31771">
            <v>43860</v>
          </cell>
        </row>
        <row r="31772">
          <cell r="A31772">
            <v>43868</v>
          </cell>
        </row>
        <row r="31773">
          <cell r="A31773">
            <v>43354</v>
          </cell>
        </row>
        <row r="31774">
          <cell r="A31774">
            <v>43657</v>
          </cell>
        </row>
        <row r="31775">
          <cell r="A31775">
            <v>43235</v>
          </cell>
        </row>
        <row r="31776">
          <cell r="A31776">
            <v>43543</v>
          </cell>
        </row>
        <row r="31777">
          <cell r="A31777">
            <v>43161</v>
          </cell>
        </row>
        <row r="31778">
          <cell r="A31778">
            <v>43714</v>
          </cell>
        </row>
        <row r="31779">
          <cell r="A31779">
            <v>43388</v>
          </cell>
        </row>
        <row r="31780">
          <cell r="A31780">
            <v>43631</v>
          </cell>
        </row>
        <row r="31781">
          <cell r="A31781">
            <v>43784</v>
          </cell>
        </row>
        <row r="31782">
          <cell r="A31782">
            <v>43357</v>
          </cell>
        </row>
        <row r="31783">
          <cell r="A31783">
            <v>43273</v>
          </cell>
        </row>
        <row r="31784">
          <cell r="A31784">
            <v>43516</v>
          </cell>
        </row>
        <row r="31785">
          <cell r="A31785">
            <v>43855</v>
          </cell>
        </row>
        <row r="31786">
          <cell r="A31786">
            <v>43117</v>
          </cell>
        </row>
        <row r="31787">
          <cell r="A31787">
            <v>43644</v>
          </cell>
        </row>
        <row r="31788">
          <cell r="A31788">
            <v>43640</v>
          </cell>
        </row>
        <row r="31789">
          <cell r="A31789">
            <v>43163</v>
          </cell>
        </row>
        <row r="31790">
          <cell r="A31790">
            <v>43810</v>
          </cell>
        </row>
        <row r="31791">
          <cell r="A31791">
            <v>43751</v>
          </cell>
        </row>
        <row r="31792">
          <cell r="A31792">
            <v>43574</v>
          </cell>
        </row>
        <row r="31793">
          <cell r="A31793">
            <v>43545</v>
          </cell>
        </row>
        <row r="31794">
          <cell r="A31794">
            <v>43217</v>
          </cell>
        </row>
        <row r="31795">
          <cell r="A31795">
            <v>43618</v>
          </cell>
        </row>
        <row r="31796">
          <cell r="A31796">
            <v>43790</v>
          </cell>
        </row>
        <row r="31797">
          <cell r="A31797">
            <v>43126</v>
          </cell>
        </row>
        <row r="31798">
          <cell r="A31798">
            <v>43170</v>
          </cell>
        </row>
        <row r="31799">
          <cell r="A31799">
            <v>43196</v>
          </cell>
        </row>
        <row r="31800">
          <cell r="A31800">
            <v>43184</v>
          </cell>
        </row>
        <row r="31801">
          <cell r="A31801">
            <v>43380</v>
          </cell>
        </row>
        <row r="31802">
          <cell r="A31802">
            <v>43867</v>
          </cell>
        </row>
        <row r="31803">
          <cell r="A31803">
            <v>43526</v>
          </cell>
        </row>
        <row r="31804">
          <cell r="A31804">
            <v>43652</v>
          </cell>
        </row>
        <row r="31805">
          <cell r="A31805">
            <v>43178</v>
          </cell>
        </row>
        <row r="31806">
          <cell r="A31806">
            <v>43490</v>
          </cell>
        </row>
        <row r="31807">
          <cell r="A31807">
            <v>43101</v>
          </cell>
        </row>
        <row r="31808">
          <cell r="A31808">
            <v>43242</v>
          </cell>
        </row>
        <row r="31809">
          <cell r="A31809">
            <v>43511</v>
          </cell>
        </row>
        <row r="31810">
          <cell r="A31810">
            <v>43640</v>
          </cell>
        </row>
        <row r="31811">
          <cell r="A31811">
            <v>43228</v>
          </cell>
        </row>
        <row r="31812">
          <cell r="A31812">
            <v>43721</v>
          </cell>
        </row>
        <row r="31813">
          <cell r="A31813">
            <v>43915</v>
          </cell>
        </row>
        <row r="31814">
          <cell r="A31814">
            <v>43458</v>
          </cell>
        </row>
        <row r="31815">
          <cell r="A31815">
            <v>43344</v>
          </cell>
        </row>
        <row r="31816">
          <cell r="A31816">
            <v>43376</v>
          </cell>
        </row>
        <row r="31817">
          <cell r="A31817">
            <v>43603</v>
          </cell>
        </row>
        <row r="31818">
          <cell r="A31818">
            <v>43662</v>
          </cell>
        </row>
        <row r="31819">
          <cell r="A31819">
            <v>43408</v>
          </cell>
        </row>
        <row r="31820">
          <cell r="A31820">
            <v>43887</v>
          </cell>
        </row>
        <row r="31821">
          <cell r="A31821">
            <v>43230</v>
          </cell>
        </row>
        <row r="31822">
          <cell r="A31822">
            <v>43519</v>
          </cell>
        </row>
        <row r="31823">
          <cell r="A31823">
            <v>43593</v>
          </cell>
        </row>
        <row r="31824">
          <cell r="A31824">
            <v>43588</v>
          </cell>
        </row>
        <row r="31825">
          <cell r="A31825">
            <v>43684</v>
          </cell>
        </row>
        <row r="31826">
          <cell r="A31826">
            <v>43147</v>
          </cell>
        </row>
        <row r="31827">
          <cell r="A31827">
            <v>43642</v>
          </cell>
        </row>
        <row r="31828">
          <cell r="A31828">
            <v>43316</v>
          </cell>
        </row>
        <row r="31829">
          <cell r="A31829">
            <v>43435</v>
          </cell>
        </row>
        <row r="31830">
          <cell r="A31830">
            <v>43762</v>
          </cell>
        </row>
        <row r="31831">
          <cell r="A31831">
            <v>43464</v>
          </cell>
        </row>
        <row r="31832">
          <cell r="A31832">
            <v>43387</v>
          </cell>
        </row>
        <row r="31833">
          <cell r="A31833">
            <v>43323</v>
          </cell>
        </row>
        <row r="31834">
          <cell r="A31834">
            <v>43618</v>
          </cell>
        </row>
        <row r="31835">
          <cell r="A31835">
            <v>43733</v>
          </cell>
        </row>
        <row r="31836">
          <cell r="A31836">
            <v>43696</v>
          </cell>
        </row>
        <row r="31837">
          <cell r="A31837">
            <v>43615</v>
          </cell>
        </row>
        <row r="31838">
          <cell r="A31838">
            <v>43592</v>
          </cell>
        </row>
        <row r="31839">
          <cell r="A31839">
            <v>43525</v>
          </cell>
        </row>
        <row r="31840">
          <cell r="A31840">
            <v>43907</v>
          </cell>
        </row>
        <row r="31841">
          <cell r="A31841">
            <v>43174</v>
          </cell>
        </row>
        <row r="31842">
          <cell r="A31842">
            <v>43667</v>
          </cell>
        </row>
        <row r="31843">
          <cell r="A31843">
            <v>43298</v>
          </cell>
        </row>
        <row r="31844">
          <cell r="A31844">
            <v>43427</v>
          </cell>
        </row>
        <row r="31845">
          <cell r="A31845">
            <v>43226</v>
          </cell>
        </row>
        <row r="31846">
          <cell r="A31846">
            <v>43909</v>
          </cell>
        </row>
        <row r="31847">
          <cell r="A31847">
            <v>43272</v>
          </cell>
        </row>
        <row r="31848">
          <cell r="A31848">
            <v>43907</v>
          </cell>
        </row>
        <row r="31849">
          <cell r="A31849">
            <v>43385</v>
          </cell>
        </row>
        <row r="31850">
          <cell r="A31850">
            <v>43486</v>
          </cell>
        </row>
        <row r="31851">
          <cell r="A31851">
            <v>43316</v>
          </cell>
        </row>
        <row r="31852">
          <cell r="A31852">
            <v>43231</v>
          </cell>
        </row>
        <row r="31853">
          <cell r="A31853">
            <v>43755</v>
          </cell>
        </row>
        <row r="31854">
          <cell r="A31854">
            <v>43835</v>
          </cell>
        </row>
        <row r="31855">
          <cell r="A31855">
            <v>43115</v>
          </cell>
        </row>
        <row r="31856">
          <cell r="A31856">
            <v>43446</v>
          </cell>
        </row>
        <row r="31857">
          <cell r="A31857">
            <v>43373</v>
          </cell>
        </row>
        <row r="31858">
          <cell r="A31858">
            <v>43139</v>
          </cell>
        </row>
        <row r="31859">
          <cell r="A31859">
            <v>43144</v>
          </cell>
        </row>
        <row r="31860">
          <cell r="A31860">
            <v>43661</v>
          </cell>
        </row>
        <row r="31861">
          <cell r="A31861">
            <v>43695</v>
          </cell>
        </row>
        <row r="31862">
          <cell r="A31862">
            <v>43633</v>
          </cell>
        </row>
        <row r="31863">
          <cell r="A31863">
            <v>43527</v>
          </cell>
        </row>
        <row r="31864">
          <cell r="A31864">
            <v>43596</v>
          </cell>
        </row>
        <row r="31865">
          <cell r="A31865">
            <v>43122</v>
          </cell>
        </row>
        <row r="31866">
          <cell r="A31866">
            <v>43475</v>
          </cell>
        </row>
        <row r="31867">
          <cell r="A31867">
            <v>43250</v>
          </cell>
        </row>
        <row r="31868">
          <cell r="A31868">
            <v>43459</v>
          </cell>
        </row>
        <row r="31869">
          <cell r="A31869">
            <v>43417</v>
          </cell>
        </row>
        <row r="31870">
          <cell r="A31870">
            <v>43688</v>
          </cell>
        </row>
        <row r="31871">
          <cell r="A31871">
            <v>43784</v>
          </cell>
        </row>
        <row r="31872">
          <cell r="A31872">
            <v>43625</v>
          </cell>
        </row>
        <row r="31873">
          <cell r="A31873">
            <v>43130</v>
          </cell>
        </row>
        <row r="31874">
          <cell r="A31874">
            <v>43146</v>
          </cell>
        </row>
        <row r="31875">
          <cell r="A31875">
            <v>43508</v>
          </cell>
        </row>
        <row r="31876">
          <cell r="A31876">
            <v>43492</v>
          </cell>
        </row>
        <row r="31877">
          <cell r="A31877">
            <v>43393</v>
          </cell>
        </row>
        <row r="31878">
          <cell r="A31878">
            <v>43407</v>
          </cell>
        </row>
        <row r="31879">
          <cell r="A31879">
            <v>43755</v>
          </cell>
        </row>
        <row r="31880">
          <cell r="A31880">
            <v>43732</v>
          </cell>
        </row>
        <row r="31881">
          <cell r="A31881">
            <v>43745</v>
          </cell>
        </row>
        <row r="31882">
          <cell r="A31882">
            <v>43890</v>
          </cell>
        </row>
        <row r="31883">
          <cell r="A31883">
            <v>43292</v>
          </cell>
        </row>
        <row r="31884">
          <cell r="A31884">
            <v>43357</v>
          </cell>
        </row>
        <row r="31885">
          <cell r="A31885">
            <v>43906</v>
          </cell>
        </row>
        <row r="31886">
          <cell r="A31886">
            <v>43299</v>
          </cell>
        </row>
        <row r="31887">
          <cell r="A31887">
            <v>43263</v>
          </cell>
        </row>
        <row r="31888">
          <cell r="A31888">
            <v>43825</v>
          </cell>
        </row>
        <row r="31889">
          <cell r="A31889">
            <v>43490</v>
          </cell>
        </row>
        <row r="31890">
          <cell r="A31890">
            <v>43583</v>
          </cell>
        </row>
        <row r="31891">
          <cell r="A31891">
            <v>43615</v>
          </cell>
        </row>
        <row r="31892">
          <cell r="A31892">
            <v>43187</v>
          </cell>
        </row>
        <row r="31893">
          <cell r="A31893">
            <v>43230</v>
          </cell>
        </row>
        <row r="31894">
          <cell r="A31894">
            <v>43913</v>
          </cell>
        </row>
        <row r="31895">
          <cell r="A31895">
            <v>43250</v>
          </cell>
        </row>
        <row r="31896">
          <cell r="A31896">
            <v>43304</v>
          </cell>
        </row>
        <row r="31897">
          <cell r="A31897">
            <v>43479</v>
          </cell>
        </row>
        <row r="31898">
          <cell r="A31898">
            <v>43270</v>
          </cell>
        </row>
        <row r="31899">
          <cell r="A31899">
            <v>43619</v>
          </cell>
        </row>
        <row r="31900">
          <cell r="A31900">
            <v>43781</v>
          </cell>
        </row>
        <row r="31901">
          <cell r="A31901">
            <v>43267</v>
          </cell>
        </row>
        <row r="31902">
          <cell r="A31902">
            <v>43706</v>
          </cell>
        </row>
        <row r="31903">
          <cell r="A31903">
            <v>43718</v>
          </cell>
        </row>
        <row r="31904">
          <cell r="A31904">
            <v>43492</v>
          </cell>
        </row>
        <row r="31905">
          <cell r="A31905">
            <v>43833</v>
          </cell>
        </row>
        <row r="31906">
          <cell r="A31906">
            <v>43348</v>
          </cell>
        </row>
        <row r="31907">
          <cell r="A31907">
            <v>43696</v>
          </cell>
        </row>
        <row r="31908">
          <cell r="A31908">
            <v>43453</v>
          </cell>
        </row>
        <row r="31909">
          <cell r="A31909">
            <v>43790</v>
          </cell>
        </row>
        <row r="31910">
          <cell r="A31910">
            <v>43808</v>
          </cell>
        </row>
        <row r="31911">
          <cell r="A31911">
            <v>43297</v>
          </cell>
        </row>
        <row r="31912">
          <cell r="A31912">
            <v>43267</v>
          </cell>
        </row>
        <row r="31913">
          <cell r="A31913">
            <v>43379</v>
          </cell>
        </row>
        <row r="31914">
          <cell r="A31914">
            <v>43432</v>
          </cell>
        </row>
        <row r="31915">
          <cell r="A31915">
            <v>43864</v>
          </cell>
        </row>
        <row r="31916">
          <cell r="A31916">
            <v>43233</v>
          </cell>
        </row>
        <row r="31917">
          <cell r="A31917">
            <v>43727</v>
          </cell>
        </row>
        <row r="31918">
          <cell r="A31918">
            <v>43288</v>
          </cell>
        </row>
        <row r="31919">
          <cell r="A31919">
            <v>43837</v>
          </cell>
        </row>
        <row r="31920">
          <cell r="A31920">
            <v>43560</v>
          </cell>
        </row>
        <row r="31921">
          <cell r="A31921">
            <v>43322</v>
          </cell>
        </row>
        <row r="31922">
          <cell r="A31922">
            <v>43742</v>
          </cell>
        </row>
        <row r="31923">
          <cell r="A31923">
            <v>43460</v>
          </cell>
        </row>
        <row r="31924">
          <cell r="A31924">
            <v>43619</v>
          </cell>
        </row>
        <row r="31925">
          <cell r="A31925">
            <v>43462</v>
          </cell>
        </row>
        <row r="31926">
          <cell r="A31926">
            <v>43387</v>
          </cell>
        </row>
        <row r="31927">
          <cell r="A31927">
            <v>43833</v>
          </cell>
        </row>
        <row r="31928">
          <cell r="A31928">
            <v>43384</v>
          </cell>
        </row>
        <row r="31929">
          <cell r="A31929">
            <v>43572</v>
          </cell>
        </row>
        <row r="31930">
          <cell r="A31930">
            <v>43119</v>
          </cell>
        </row>
        <row r="31931">
          <cell r="A31931">
            <v>43431</v>
          </cell>
        </row>
        <row r="31932">
          <cell r="A31932">
            <v>43549</v>
          </cell>
        </row>
        <row r="31933">
          <cell r="A31933">
            <v>43827</v>
          </cell>
        </row>
        <row r="31934">
          <cell r="A31934">
            <v>43638</v>
          </cell>
        </row>
        <row r="31935">
          <cell r="A31935">
            <v>43626</v>
          </cell>
        </row>
        <row r="31936">
          <cell r="A31936">
            <v>43419</v>
          </cell>
        </row>
        <row r="31937">
          <cell r="A31937">
            <v>43231</v>
          </cell>
        </row>
        <row r="31938">
          <cell r="A31938">
            <v>43715</v>
          </cell>
        </row>
        <row r="31939">
          <cell r="A31939">
            <v>43488</v>
          </cell>
        </row>
        <row r="31940">
          <cell r="A31940">
            <v>43836</v>
          </cell>
        </row>
        <row r="31941">
          <cell r="A31941">
            <v>43266</v>
          </cell>
        </row>
        <row r="31942">
          <cell r="A31942">
            <v>43810</v>
          </cell>
        </row>
        <row r="31943">
          <cell r="A31943">
            <v>43218</v>
          </cell>
        </row>
        <row r="31944">
          <cell r="A31944">
            <v>43632</v>
          </cell>
        </row>
        <row r="31945">
          <cell r="A31945">
            <v>43453</v>
          </cell>
        </row>
        <row r="31946">
          <cell r="A31946">
            <v>43915</v>
          </cell>
        </row>
        <row r="31947">
          <cell r="A31947">
            <v>43235</v>
          </cell>
        </row>
        <row r="31948">
          <cell r="A31948">
            <v>43178</v>
          </cell>
        </row>
        <row r="31949">
          <cell r="A31949">
            <v>43466</v>
          </cell>
        </row>
        <row r="31950">
          <cell r="A31950">
            <v>43149</v>
          </cell>
        </row>
        <row r="31951">
          <cell r="A31951">
            <v>43613</v>
          </cell>
        </row>
        <row r="31952">
          <cell r="A31952">
            <v>43272</v>
          </cell>
        </row>
        <row r="31953">
          <cell r="A31953">
            <v>43393</v>
          </cell>
        </row>
        <row r="31954">
          <cell r="A31954">
            <v>43453</v>
          </cell>
        </row>
        <row r="31955">
          <cell r="A31955">
            <v>43822</v>
          </cell>
        </row>
        <row r="31956">
          <cell r="A31956">
            <v>43473</v>
          </cell>
        </row>
        <row r="31957">
          <cell r="A31957">
            <v>43479</v>
          </cell>
        </row>
        <row r="31958">
          <cell r="A31958">
            <v>43871</v>
          </cell>
        </row>
        <row r="31959">
          <cell r="A31959">
            <v>43104</v>
          </cell>
        </row>
        <row r="31960">
          <cell r="A31960">
            <v>43887</v>
          </cell>
        </row>
        <row r="31961">
          <cell r="A31961">
            <v>43754</v>
          </cell>
        </row>
        <row r="31962">
          <cell r="A31962">
            <v>43501</v>
          </cell>
        </row>
        <row r="31963">
          <cell r="A31963">
            <v>43477</v>
          </cell>
        </row>
        <row r="31964">
          <cell r="A31964">
            <v>43725</v>
          </cell>
        </row>
        <row r="31965">
          <cell r="A31965">
            <v>43644</v>
          </cell>
        </row>
        <row r="31966">
          <cell r="A31966">
            <v>43211</v>
          </cell>
        </row>
        <row r="31967">
          <cell r="A31967">
            <v>43437</v>
          </cell>
        </row>
        <row r="31968">
          <cell r="A31968">
            <v>43611</v>
          </cell>
        </row>
        <row r="31969">
          <cell r="A31969">
            <v>43527</v>
          </cell>
        </row>
        <row r="31970">
          <cell r="A31970">
            <v>43494</v>
          </cell>
        </row>
        <row r="31971">
          <cell r="A31971">
            <v>43584</v>
          </cell>
        </row>
        <row r="31972">
          <cell r="A31972">
            <v>43623</v>
          </cell>
        </row>
        <row r="31973">
          <cell r="A31973">
            <v>43225</v>
          </cell>
        </row>
        <row r="31974">
          <cell r="A31974">
            <v>43651</v>
          </cell>
        </row>
        <row r="31975">
          <cell r="A31975">
            <v>43257</v>
          </cell>
        </row>
        <row r="31976">
          <cell r="A31976">
            <v>43907</v>
          </cell>
        </row>
        <row r="31977">
          <cell r="A31977">
            <v>43697</v>
          </cell>
        </row>
        <row r="31978">
          <cell r="A31978">
            <v>43181</v>
          </cell>
        </row>
        <row r="31979">
          <cell r="A31979">
            <v>43902</v>
          </cell>
        </row>
        <row r="31980">
          <cell r="A31980">
            <v>43388</v>
          </cell>
        </row>
        <row r="31981">
          <cell r="A31981">
            <v>43627</v>
          </cell>
        </row>
        <row r="31982">
          <cell r="A31982">
            <v>43261</v>
          </cell>
        </row>
        <row r="31983">
          <cell r="A31983">
            <v>43612</v>
          </cell>
        </row>
        <row r="31984">
          <cell r="A31984">
            <v>43457</v>
          </cell>
        </row>
        <row r="31985">
          <cell r="A31985">
            <v>43614</v>
          </cell>
        </row>
        <row r="31986">
          <cell r="A31986">
            <v>43910</v>
          </cell>
        </row>
        <row r="31987">
          <cell r="A31987">
            <v>43654</v>
          </cell>
        </row>
        <row r="31988">
          <cell r="A31988">
            <v>43464</v>
          </cell>
        </row>
        <row r="31989">
          <cell r="A31989">
            <v>43617</v>
          </cell>
        </row>
        <row r="31990">
          <cell r="A31990">
            <v>43560</v>
          </cell>
        </row>
        <row r="31991">
          <cell r="A31991">
            <v>43758</v>
          </cell>
        </row>
        <row r="31992">
          <cell r="A31992">
            <v>43651</v>
          </cell>
        </row>
        <row r="31993">
          <cell r="A31993">
            <v>43241</v>
          </cell>
        </row>
        <row r="31994">
          <cell r="A31994">
            <v>43566</v>
          </cell>
        </row>
        <row r="31995">
          <cell r="A31995">
            <v>43295</v>
          </cell>
        </row>
        <row r="31996">
          <cell r="A31996">
            <v>43159</v>
          </cell>
        </row>
        <row r="31997">
          <cell r="A31997">
            <v>43639</v>
          </cell>
        </row>
        <row r="31998">
          <cell r="A31998">
            <v>43187</v>
          </cell>
        </row>
        <row r="31999">
          <cell r="A31999">
            <v>43540</v>
          </cell>
        </row>
        <row r="32000">
          <cell r="A32000">
            <v>43675</v>
          </cell>
        </row>
        <row r="32001">
          <cell r="A32001">
            <v>43324</v>
          </cell>
        </row>
        <row r="32002">
          <cell r="A32002">
            <v>43442</v>
          </cell>
        </row>
        <row r="32003">
          <cell r="A32003">
            <v>43556</v>
          </cell>
        </row>
        <row r="32004">
          <cell r="A32004">
            <v>43111</v>
          </cell>
        </row>
        <row r="32005">
          <cell r="A32005">
            <v>43287</v>
          </cell>
        </row>
        <row r="32006">
          <cell r="A32006">
            <v>43225</v>
          </cell>
        </row>
        <row r="32007">
          <cell r="A32007">
            <v>43259</v>
          </cell>
        </row>
        <row r="32008">
          <cell r="A32008">
            <v>43172</v>
          </cell>
        </row>
        <row r="32009">
          <cell r="A32009">
            <v>43465</v>
          </cell>
        </row>
        <row r="32010">
          <cell r="A32010">
            <v>43424</v>
          </cell>
        </row>
        <row r="32011">
          <cell r="A32011">
            <v>43436</v>
          </cell>
        </row>
        <row r="32012">
          <cell r="A32012">
            <v>43825</v>
          </cell>
        </row>
        <row r="32013">
          <cell r="A32013">
            <v>43535</v>
          </cell>
        </row>
        <row r="32014">
          <cell r="A32014">
            <v>43552</v>
          </cell>
        </row>
        <row r="32015">
          <cell r="A32015">
            <v>43905</v>
          </cell>
        </row>
        <row r="32016">
          <cell r="A32016">
            <v>43112</v>
          </cell>
        </row>
        <row r="32017">
          <cell r="A32017">
            <v>43347</v>
          </cell>
        </row>
        <row r="32018">
          <cell r="A32018">
            <v>43580</v>
          </cell>
        </row>
        <row r="32019">
          <cell r="A32019">
            <v>43833</v>
          </cell>
        </row>
        <row r="32020">
          <cell r="A32020">
            <v>43878</v>
          </cell>
        </row>
        <row r="32021">
          <cell r="A32021">
            <v>43863</v>
          </cell>
        </row>
        <row r="32022">
          <cell r="A32022">
            <v>43119</v>
          </cell>
        </row>
        <row r="32023">
          <cell r="A32023">
            <v>43328</v>
          </cell>
        </row>
        <row r="32024">
          <cell r="A32024">
            <v>43746</v>
          </cell>
        </row>
        <row r="32025">
          <cell r="A32025">
            <v>43507</v>
          </cell>
        </row>
        <row r="32026">
          <cell r="A32026">
            <v>43161</v>
          </cell>
        </row>
        <row r="32027">
          <cell r="A32027">
            <v>43352</v>
          </cell>
        </row>
        <row r="32028">
          <cell r="A32028">
            <v>43323</v>
          </cell>
        </row>
        <row r="32029">
          <cell r="A32029">
            <v>43532</v>
          </cell>
        </row>
        <row r="32030">
          <cell r="A32030">
            <v>43582</v>
          </cell>
        </row>
        <row r="32031">
          <cell r="A32031">
            <v>43799</v>
          </cell>
        </row>
        <row r="32032">
          <cell r="A32032">
            <v>43235</v>
          </cell>
        </row>
        <row r="32033">
          <cell r="A32033">
            <v>43420</v>
          </cell>
        </row>
        <row r="32034">
          <cell r="A32034">
            <v>43306</v>
          </cell>
        </row>
        <row r="32035">
          <cell r="A32035">
            <v>43572</v>
          </cell>
        </row>
        <row r="32036">
          <cell r="A32036">
            <v>43815</v>
          </cell>
        </row>
        <row r="32037">
          <cell r="A32037">
            <v>43200</v>
          </cell>
        </row>
        <row r="32038">
          <cell r="A32038">
            <v>43910</v>
          </cell>
        </row>
        <row r="32039">
          <cell r="A32039">
            <v>43428</v>
          </cell>
        </row>
        <row r="32040">
          <cell r="A32040">
            <v>43692</v>
          </cell>
        </row>
        <row r="32041">
          <cell r="A32041">
            <v>43263</v>
          </cell>
        </row>
        <row r="32042">
          <cell r="A32042">
            <v>43693</v>
          </cell>
        </row>
        <row r="32043">
          <cell r="A32043">
            <v>43686</v>
          </cell>
        </row>
        <row r="32044">
          <cell r="A32044">
            <v>43646</v>
          </cell>
        </row>
        <row r="32045">
          <cell r="A32045">
            <v>43286</v>
          </cell>
        </row>
        <row r="32046">
          <cell r="A32046">
            <v>43636</v>
          </cell>
        </row>
        <row r="32047">
          <cell r="A32047">
            <v>43321</v>
          </cell>
        </row>
        <row r="32048">
          <cell r="A32048">
            <v>43781</v>
          </cell>
        </row>
        <row r="32049">
          <cell r="A32049">
            <v>43490</v>
          </cell>
        </row>
        <row r="32050">
          <cell r="A32050">
            <v>43164</v>
          </cell>
        </row>
        <row r="32051">
          <cell r="A32051">
            <v>43774</v>
          </cell>
        </row>
        <row r="32052">
          <cell r="A32052">
            <v>43395</v>
          </cell>
        </row>
        <row r="32053">
          <cell r="A32053">
            <v>43362</v>
          </cell>
        </row>
        <row r="32054">
          <cell r="A32054">
            <v>43806</v>
          </cell>
        </row>
        <row r="32055">
          <cell r="A32055">
            <v>43605</v>
          </cell>
        </row>
        <row r="32056">
          <cell r="A32056">
            <v>43811</v>
          </cell>
        </row>
        <row r="32057">
          <cell r="A32057">
            <v>43102</v>
          </cell>
        </row>
        <row r="32058">
          <cell r="A32058">
            <v>43139</v>
          </cell>
        </row>
        <row r="32059">
          <cell r="A32059">
            <v>43568</v>
          </cell>
        </row>
        <row r="32060">
          <cell r="A32060">
            <v>43286</v>
          </cell>
        </row>
        <row r="32061">
          <cell r="A32061">
            <v>43506</v>
          </cell>
        </row>
        <row r="32062">
          <cell r="A32062">
            <v>43641</v>
          </cell>
        </row>
        <row r="32063">
          <cell r="A32063">
            <v>43873</v>
          </cell>
        </row>
        <row r="32064">
          <cell r="A32064">
            <v>43746</v>
          </cell>
        </row>
        <row r="32065">
          <cell r="A32065">
            <v>43477</v>
          </cell>
        </row>
        <row r="32066">
          <cell r="A32066">
            <v>43272</v>
          </cell>
        </row>
        <row r="32067">
          <cell r="A32067">
            <v>43153</v>
          </cell>
        </row>
        <row r="32068">
          <cell r="A32068">
            <v>43202</v>
          </cell>
        </row>
        <row r="32069">
          <cell r="A32069">
            <v>43397</v>
          </cell>
        </row>
        <row r="32070">
          <cell r="A32070">
            <v>43706</v>
          </cell>
        </row>
        <row r="32071">
          <cell r="A32071">
            <v>43587</v>
          </cell>
        </row>
        <row r="32072">
          <cell r="A32072">
            <v>43460</v>
          </cell>
        </row>
        <row r="32073">
          <cell r="A32073">
            <v>43512</v>
          </cell>
        </row>
        <row r="32074">
          <cell r="A32074">
            <v>43570</v>
          </cell>
        </row>
        <row r="32075">
          <cell r="A32075">
            <v>43599</v>
          </cell>
        </row>
        <row r="32076">
          <cell r="A32076">
            <v>43323</v>
          </cell>
        </row>
        <row r="32077">
          <cell r="A32077">
            <v>43141</v>
          </cell>
        </row>
        <row r="32078">
          <cell r="A32078">
            <v>43290</v>
          </cell>
        </row>
        <row r="32079">
          <cell r="A32079">
            <v>43601</v>
          </cell>
        </row>
        <row r="32080">
          <cell r="A32080">
            <v>43534</v>
          </cell>
        </row>
        <row r="32081">
          <cell r="A32081">
            <v>43236</v>
          </cell>
        </row>
        <row r="32082">
          <cell r="A32082">
            <v>43389</v>
          </cell>
        </row>
        <row r="32083">
          <cell r="A32083">
            <v>43231</v>
          </cell>
        </row>
        <row r="32084">
          <cell r="A32084">
            <v>43210</v>
          </cell>
        </row>
        <row r="32085">
          <cell r="A32085">
            <v>43680</v>
          </cell>
        </row>
        <row r="32086">
          <cell r="A32086">
            <v>43179</v>
          </cell>
        </row>
        <row r="32087">
          <cell r="A32087">
            <v>43404</v>
          </cell>
        </row>
        <row r="32088">
          <cell r="A32088">
            <v>43629</v>
          </cell>
        </row>
        <row r="32089">
          <cell r="A32089">
            <v>43488</v>
          </cell>
        </row>
        <row r="32090">
          <cell r="A32090">
            <v>43626</v>
          </cell>
        </row>
        <row r="32091">
          <cell r="A32091">
            <v>43585</v>
          </cell>
        </row>
        <row r="32092">
          <cell r="A32092">
            <v>43807</v>
          </cell>
        </row>
        <row r="32093">
          <cell r="A32093">
            <v>43478</v>
          </cell>
        </row>
        <row r="32094">
          <cell r="A32094">
            <v>43416</v>
          </cell>
        </row>
        <row r="32095">
          <cell r="A32095">
            <v>43316</v>
          </cell>
        </row>
        <row r="32096">
          <cell r="A32096">
            <v>43172</v>
          </cell>
        </row>
        <row r="32097">
          <cell r="A32097">
            <v>43139</v>
          </cell>
        </row>
        <row r="32098">
          <cell r="A32098">
            <v>43282</v>
          </cell>
        </row>
        <row r="32099">
          <cell r="A32099">
            <v>43190</v>
          </cell>
        </row>
        <row r="32100">
          <cell r="A32100">
            <v>43230</v>
          </cell>
        </row>
        <row r="32101">
          <cell r="A32101">
            <v>43509</v>
          </cell>
        </row>
        <row r="32102">
          <cell r="A32102">
            <v>43270</v>
          </cell>
        </row>
        <row r="32103">
          <cell r="A32103">
            <v>43621</v>
          </cell>
        </row>
        <row r="32104">
          <cell r="A32104">
            <v>43698</v>
          </cell>
        </row>
        <row r="32105">
          <cell r="A32105">
            <v>43812</v>
          </cell>
        </row>
        <row r="32106">
          <cell r="A32106">
            <v>43910</v>
          </cell>
        </row>
        <row r="32107">
          <cell r="A32107">
            <v>43216</v>
          </cell>
        </row>
        <row r="32108">
          <cell r="A32108">
            <v>43832</v>
          </cell>
        </row>
        <row r="32109">
          <cell r="A32109">
            <v>43677</v>
          </cell>
        </row>
        <row r="32110">
          <cell r="A32110">
            <v>43302</v>
          </cell>
        </row>
        <row r="32111">
          <cell r="A32111">
            <v>43477</v>
          </cell>
        </row>
        <row r="32112">
          <cell r="A32112">
            <v>43640</v>
          </cell>
        </row>
        <row r="32113">
          <cell r="A32113">
            <v>43761</v>
          </cell>
        </row>
        <row r="32114">
          <cell r="A32114">
            <v>43574</v>
          </cell>
        </row>
        <row r="32115">
          <cell r="A32115">
            <v>43657</v>
          </cell>
        </row>
        <row r="32116">
          <cell r="A32116">
            <v>43827</v>
          </cell>
        </row>
        <row r="32117">
          <cell r="A32117">
            <v>43691</v>
          </cell>
        </row>
        <row r="32118">
          <cell r="A32118">
            <v>43114</v>
          </cell>
        </row>
        <row r="32119">
          <cell r="A32119">
            <v>43918</v>
          </cell>
        </row>
        <row r="32120">
          <cell r="A32120">
            <v>43604</v>
          </cell>
        </row>
        <row r="32121">
          <cell r="A32121">
            <v>43762</v>
          </cell>
        </row>
        <row r="32122">
          <cell r="A32122">
            <v>43861</v>
          </cell>
        </row>
        <row r="32123">
          <cell r="A32123">
            <v>43911</v>
          </cell>
        </row>
        <row r="32124">
          <cell r="A32124">
            <v>43238</v>
          </cell>
        </row>
        <row r="32125">
          <cell r="A32125">
            <v>43702</v>
          </cell>
        </row>
        <row r="32126">
          <cell r="A32126">
            <v>43587</v>
          </cell>
        </row>
        <row r="32127">
          <cell r="A32127">
            <v>43370</v>
          </cell>
        </row>
        <row r="32128">
          <cell r="A32128">
            <v>43797</v>
          </cell>
        </row>
        <row r="32129">
          <cell r="A32129">
            <v>43129</v>
          </cell>
        </row>
        <row r="32130">
          <cell r="A32130">
            <v>43153</v>
          </cell>
        </row>
        <row r="32131">
          <cell r="A32131">
            <v>43571</v>
          </cell>
        </row>
        <row r="32132">
          <cell r="A32132">
            <v>43329</v>
          </cell>
        </row>
        <row r="32133">
          <cell r="A32133">
            <v>43355</v>
          </cell>
        </row>
        <row r="32134">
          <cell r="A32134">
            <v>43807</v>
          </cell>
        </row>
        <row r="32135">
          <cell r="A32135">
            <v>43641</v>
          </cell>
        </row>
        <row r="32136">
          <cell r="A32136">
            <v>43222</v>
          </cell>
        </row>
        <row r="32137">
          <cell r="A32137">
            <v>43255</v>
          </cell>
        </row>
        <row r="32138">
          <cell r="A32138">
            <v>43460</v>
          </cell>
        </row>
        <row r="32139">
          <cell r="A32139">
            <v>43584</v>
          </cell>
        </row>
        <row r="32140">
          <cell r="A32140">
            <v>43648</v>
          </cell>
        </row>
        <row r="32141">
          <cell r="A32141">
            <v>43179</v>
          </cell>
        </row>
        <row r="32142">
          <cell r="A32142">
            <v>43565</v>
          </cell>
        </row>
        <row r="32143">
          <cell r="A32143">
            <v>43777</v>
          </cell>
        </row>
        <row r="32144">
          <cell r="A32144">
            <v>43653</v>
          </cell>
        </row>
        <row r="32145">
          <cell r="A32145">
            <v>43278</v>
          </cell>
        </row>
        <row r="32146">
          <cell r="A32146">
            <v>43892</v>
          </cell>
        </row>
        <row r="32147">
          <cell r="A32147">
            <v>43182</v>
          </cell>
        </row>
        <row r="32148">
          <cell r="A32148">
            <v>43335</v>
          </cell>
        </row>
        <row r="32149">
          <cell r="A32149">
            <v>43793</v>
          </cell>
        </row>
        <row r="32150">
          <cell r="A32150">
            <v>43280</v>
          </cell>
        </row>
        <row r="32151">
          <cell r="A32151">
            <v>43750</v>
          </cell>
        </row>
        <row r="32152">
          <cell r="A32152">
            <v>43896</v>
          </cell>
        </row>
        <row r="32153">
          <cell r="A32153">
            <v>43809</v>
          </cell>
        </row>
        <row r="32154">
          <cell r="A32154">
            <v>43866</v>
          </cell>
        </row>
        <row r="32155">
          <cell r="A32155">
            <v>43808</v>
          </cell>
        </row>
        <row r="32156">
          <cell r="A32156">
            <v>43536</v>
          </cell>
        </row>
        <row r="32157">
          <cell r="A32157">
            <v>43683</v>
          </cell>
        </row>
        <row r="32158">
          <cell r="A32158">
            <v>43798</v>
          </cell>
        </row>
        <row r="32159">
          <cell r="A32159">
            <v>43668</v>
          </cell>
        </row>
        <row r="32160">
          <cell r="A32160">
            <v>43542</v>
          </cell>
        </row>
        <row r="32161">
          <cell r="A32161">
            <v>43160</v>
          </cell>
        </row>
        <row r="32162">
          <cell r="A32162">
            <v>43919</v>
          </cell>
        </row>
        <row r="32163">
          <cell r="A32163">
            <v>43554</v>
          </cell>
        </row>
        <row r="32164">
          <cell r="A32164">
            <v>43560</v>
          </cell>
        </row>
        <row r="32165">
          <cell r="A32165">
            <v>43747</v>
          </cell>
        </row>
        <row r="32166">
          <cell r="A32166">
            <v>43530</v>
          </cell>
        </row>
        <row r="32167">
          <cell r="A32167">
            <v>43545</v>
          </cell>
        </row>
        <row r="32168">
          <cell r="A32168">
            <v>43451</v>
          </cell>
        </row>
        <row r="32169">
          <cell r="A32169">
            <v>43892</v>
          </cell>
        </row>
        <row r="32170">
          <cell r="A32170">
            <v>43163</v>
          </cell>
        </row>
        <row r="32171">
          <cell r="A32171">
            <v>43398</v>
          </cell>
        </row>
        <row r="32172">
          <cell r="A32172">
            <v>43564</v>
          </cell>
        </row>
        <row r="32173">
          <cell r="A32173">
            <v>43908</v>
          </cell>
        </row>
        <row r="32174">
          <cell r="A32174">
            <v>43409</v>
          </cell>
        </row>
        <row r="32175">
          <cell r="A32175">
            <v>43502</v>
          </cell>
        </row>
        <row r="32176">
          <cell r="A32176">
            <v>43452</v>
          </cell>
        </row>
        <row r="32177">
          <cell r="A32177">
            <v>43791</v>
          </cell>
        </row>
        <row r="32178">
          <cell r="A32178">
            <v>43680</v>
          </cell>
        </row>
        <row r="32179">
          <cell r="A32179">
            <v>43754</v>
          </cell>
        </row>
        <row r="32180">
          <cell r="A32180">
            <v>43435</v>
          </cell>
        </row>
        <row r="32181">
          <cell r="A32181">
            <v>43540</v>
          </cell>
        </row>
        <row r="32182">
          <cell r="A32182">
            <v>43686</v>
          </cell>
        </row>
        <row r="32183">
          <cell r="A32183">
            <v>43564</v>
          </cell>
        </row>
        <row r="32184">
          <cell r="A32184">
            <v>43139</v>
          </cell>
        </row>
        <row r="32185">
          <cell r="A32185">
            <v>43309</v>
          </cell>
        </row>
        <row r="32186">
          <cell r="A32186">
            <v>43636</v>
          </cell>
        </row>
        <row r="32187">
          <cell r="A32187">
            <v>43484</v>
          </cell>
        </row>
        <row r="32188">
          <cell r="A32188">
            <v>43487</v>
          </cell>
        </row>
        <row r="32189">
          <cell r="A32189">
            <v>43791</v>
          </cell>
        </row>
        <row r="32190">
          <cell r="A32190">
            <v>43266</v>
          </cell>
        </row>
        <row r="32191">
          <cell r="A32191">
            <v>43174</v>
          </cell>
        </row>
        <row r="32192">
          <cell r="A32192">
            <v>43287</v>
          </cell>
        </row>
        <row r="32193">
          <cell r="A32193">
            <v>43127</v>
          </cell>
        </row>
        <row r="32194">
          <cell r="A32194">
            <v>43569</v>
          </cell>
        </row>
        <row r="32195">
          <cell r="A32195">
            <v>43862</v>
          </cell>
        </row>
        <row r="32196">
          <cell r="A32196">
            <v>43107</v>
          </cell>
        </row>
        <row r="32197">
          <cell r="A32197">
            <v>43867</v>
          </cell>
        </row>
        <row r="32198">
          <cell r="A32198">
            <v>43920</v>
          </cell>
        </row>
        <row r="32199">
          <cell r="A32199">
            <v>43254</v>
          </cell>
        </row>
        <row r="32200">
          <cell r="A32200">
            <v>43861</v>
          </cell>
        </row>
        <row r="32201">
          <cell r="A32201">
            <v>43732</v>
          </cell>
        </row>
        <row r="32202">
          <cell r="A32202">
            <v>43107</v>
          </cell>
        </row>
        <row r="32203">
          <cell r="A32203">
            <v>43215</v>
          </cell>
        </row>
        <row r="32204">
          <cell r="A32204">
            <v>43393</v>
          </cell>
        </row>
        <row r="32205">
          <cell r="A32205">
            <v>43713</v>
          </cell>
        </row>
        <row r="32206">
          <cell r="A32206">
            <v>43369</v>
          </cell>
        </row>
        <row r="32207">
          <cell r="A32207">
            <v>43848</v>
          </cell>
        </row>
        <row r="32208">
          <cell r="A32208">
            <v>43748</v>
          </cell>
        </row>
        <row r="32209">
          <cell r="A32209">
            <v>43783</v>
          </cell>
        </row>
        <row r="32210">
          <cell r="A32210">
            <v>43522</v>
          </cell>
        </row>
        <row r="32211">
          <cell r="A32211">
            <v>43570</v>
          </cell>
        </row>
        <row r="32212">
          <cell r="A32212">
            <v>43889</v>
          </cell>
        </row>
        <row r="32213">
          <cell r="A32213">
            <v>43455</v>
          </cell>
        </row>
        <row r="32214">
          <cell r="A32214">
            <v>43165</v>
          </cell>
        </row>
        <row r="32215">
          <cell r="A32215">
            <v>43129</v>
          </cell>
        </row>
        <row r="32216">
          <cell r="A32216">
            <v>43536</v>
          </cell>
        </row>
        <row r="32217">
          <cell r="A32217">
            <v>43187</v>
          </cell>
        </row>
        <row r="32218">
          <cell r="A32218">
            <v>43646</v>
          </cell>
        </row>
        <row r="32219">
          <cell r="A32219">
            <v>43711</v>
          </cell>
        </row>
        <row r="32220">
          <cell r="A32220">
            <v>43505</v>
          </cell>
        </row>
        <row r="32221">
          <cell r="A32221">
            <v>43261</v>
          </cell>
        </row>
        <row r="32222">
          <cell r="A32222">
            <v>43766</v>
          </cell>
        </row>
        <row r="32223">
          <cell r="A32223">
            <v>43473</v>
          </cell>
        </row>
        <row r="32224">
          <cell r="A32224">
            <v>43361</v>
          </cell>
        </row>
        <row r="32225">
          <cell r="A32225">
            <v>43313</v>
          </cell>
        </row>
        <row r="32226">
          <cell r="A32226">
            <v>43180</v>
          </cell>
        </row>
        <row r="32227">
          <cell r="A32227">
            <v>43272</v>
          </cell>
        </row>
        <row r="32228">
          <cell r="A32228">
            <v>43201</v>
          </cell>
        </row>
        <row r="32229">
          <cell r="A32229">
            <v>43403</v>
          </cell>
        </row>
        <row r="32230">
          <cell r="A32230">
            <v>43786</v>
          </cell>
        </row>
        <row r="32231">
          <cell r="A32231">
            <v>43220</v>
          </cell>
        </row>
        <row r="32232">
          <cell r="A32232">
            <v>43596</v>
          </cell>
        </row>
        <row r="32233">
          <cell r="A32233">
            <v>43854</v>
          </cell>
        </row>
        <row r="32234">
          <cell r="A32234">
            <v>43723</v>
          </cell>
        </row>
        <row r="32235">
          <cell r="A32235">
            <v>43466</v>
          </cell>
        </row>
        <row r="32236">
          <cell r="A32236">
            <v>43799</v>
          </cell>
        </row>
        <row r="32237">
          <cell r="A32237">
            <v>43862</v>
          </cell>
        </row>
        <row r="32238">
          <cell r="A32238">
            <v>43802</v>
          </cell>
        </row>
        <row r="32239">
          <cell r="A32239">
            <v>43643</v>
          </cell>
        </row>
        <row r="32240">
          <cell r="A32240">
            <v>43474</v>
          </cell>
        </row>
        <row r="32241">
          <cell r="A32241">
            <v>43325</v>
          </cell>
        </row>
        <row r="32242">
          <cell r="A32242">
            <v>43174</v>
          </cell>
        </row>
        <row r="32243">
          <cell r="A32243">
            <v>43896</v>
          </cell>
        </row>
        <row r="32244">
          <cell r="A32244">
            <v>43219</v>
          </cell>
        </row>
        <row r="32245">
          <cell r="A32245">
            <v>43785</v>
          </cell>
        </row>
        <row r="32246">
          <cell r="A32246">
            <v>43497</v>
          </cell>
        </row>
        <row r="32247">
          <cell r="A32247">
            <v>43249</v>
          </cell>
        </row>
        <row r="32248">
          <cell r="A32248">
            <v>43660</v>
          </cell>
        </row>
        <row r="32249">
          <cell r="A32249">
            <v>43882</v>
          </cell>
        </row>
        <row r="32250">
          <cell r="A32250">
            <v>43620</v>
          </cell>
        </row>
        <row r="32251">
          <cell r="A32251">
            <v>43412</v>
          </cell>
        </row>
        <row r="32252">
          <cell r="A32252">
            <v>43753</v>
          </cell>
        </row>
        <row r="32253">
          <cell r="A32253">
            <v>43154</v>
          </cell>
        </row>
        <row r="32254">
          <cell r="A32254">
            <v>43401</v>
          </cell>
        </row>
        <row r="32255">
          <cell r="A32255">
            <v>43645</v>
          </cell>
        </row>
        <row r="32256">
          <cell r="A32256">
            <v>43911</v>
          </cell>
        </row>
        <row r="32257">
          <cell r="A32257">
            <v>43403</v>
          </cell>
        </row>
        <row r="32258">
          <cell r="A32258">
            <v>43269</v>
          </cell>
        </row>
        <row r="32259">
          <cell r="A32259">
            <v>43400</v>
          </cell>
        </row>
        <row r="32260">
          <cell r="A32260">
            <v>43204</v>
          </cell>
        </row>
        <row r="32261">
          <cell r="A32261">
            <v>43891</v>
          </cell>
        </row>
        <row r="32262">
          <cell r="A32262">
            <v>43189</v>
          </cell>
        </row>
        <row r="32263">
          <cell r="A32263">
            <v>43333</v>
          </cell>
        </row>
        <row r="32264">
          <cell r="A32264">
            <v>43225</v>
          </cell>
        </row>
        <row r="32265">
          <cell r="A32265">
            <v>43484</v>
          </cell>
        </row>
        <row r="32266">
          <cell r="A32266">
            <v>43312</v>
          </cell>
        </row>
        <row r="32267">
          <cell r="A32267">
            <v>43456</v>
          </cell>
        </row>
        <row r="32268">
          <cell r="A32268">
            <v>43142</v>
          </cell>
        </row>
        <row r="32269">
          <cell r="A32269">
            <v>43811</v>
          </cell>
        </row>
        <row r="32270">
          <cell r="A32270">
            <v>43577</v>
          </cell>
        </row>
        <row r="32271">
          <cell r="A32271">
            <v>43478</v>
          </cell>
        </row>
        <row r="32272">
          <cell r="A32272">
            <v>43717</v>
          </cell>
        </row>
        <row r="32273">
          <cell r="A32273">
            <v>43150</v>
          </cell>
        </row>
        <row r="32274">
          <cell r="A32274">
            <v>43780</v>
          </cell>
        </row>
        <row r="32275">
          <cell r="A32275">
            <v>43651</v>
          </cell>
        </row>
        <row r="32276">
          <cell r="A32276">
            <v>43903</v>
          </cell>
        </row>
        <row r="32277">
          <cell r="A32277">
            <v>43497</v>
          </cell>
        </row>
        <row r="32278">
          <cell r="A32278">
            <v>43699</v>
          </cell>
        </row>
        <row r="32279">
          <cell r="A32279">
            <v>43432</v>
          </cell>
        </row>
        <row r="32280">
          <cell r="A32280">
            <v>43360</v>
          </cell>
        </row>
        <row r="32281">
          <cell r="A32281">
            <v>43437</v>
          </cell>
        </row>
        <row r="32282">
          <cell r="A32282">
            <v>43615</v>
          </cell>
        </row>
        <row r="32283">
          <cell r="A32283">
            <v>43182</v>
          </cell>
        </row>
        <row r="32284">
          <cell r="A32284">
            <v>43312</v>
          </cell>
        </row>
        <row r="32285">
          <cell r="A32285">
            <v>43222</v>
          </cell>
        </row>
        <row r="32286">
          <cell r="A32286">
            <v>43169</v>
          </cell>
        </row>
        <row r="32287">
          <cell r="A32287">
            <v>43831</v>
          </cell>
        </row>
        <row r="32288">
          <cell r="A32288">
            <v>43770</v>
          </cell>
        </row>
        <row r="32289">
          <cell r="A32289">
            <v>43464</v>
          </cell>
        </row>
        <row r="32290">
          <cell r="A32290">
            <v>43743</v>
          </cell>
        </row>
        <row r="32291">
          <cell r="A32291">
            <v>43267</v>
          </cell>
        </row>
        <row r="32292">
          <cell r="A32292">
            <v>43698</v>
          </cell>
        </row>
        <row r="32293">
          <cell r="A32293">
            <v>43166</v>
          </cell>
        </row>
        <row r="32294">
          <cell r="A32294">
            <v>43663</v>
          </cell>
        </row>
        <row r="32295">
          <cell r="A32295">
            <v>43518</v>
          </cell>
        </row>
        <row r="32296">
          <cell r="A32296">
            <v>43864</v>
          </cell>
        </row>
        <row r="32297">
          <cell r="A32297">
            <v>43160</v>
          </cell>
        </row>
        <row r="32298">
          <cell r="A32298">
            <v>43190</v>
          </cell>
        </row>
        <row r="32299">
          <cell r="A32299">
            <v>43897</v>
          </cell>
        </row>
        <row r="32300">
          <cell r="A32300">
            <v>43719</v>
          </cell>
        </row>
        <row r="32301">
          <cell r="A32301">
            <v>43405</v>
          </cell>
        </row>
        <row r="32302">
          <cell r="A32302">
            <v>43472</v>
          </cell>
        </row>
        <row r="32303">
          <cell r="A32303">
            <v>43898</v>
          </cell>
        </row>
        <row r="32304">
          <cell r="A32304">
            <v>43137</v>
          </cell>
        </row>
        <row r="32305">
          <cell r="A32305">
            <v>43461</v>
          </cell>
        </row>
        <row r="32306">
          <cell r="A32306">
            <v>43592</v>
          </cell>
        </row>
        <row r="32307">
          <cell r="A32307">
            <v>43748</v>
          </cell>
        </row>
        <row r="32308">
          <cell r="A32308">
            <v>43909</v>
          </cell>
        </row>
        <row r="32309">
          <cell r="A32309">
            <v>43280</v>
          </cell>
        </row>
        <row r="32310">
          <cell r="A32310">
            <v>43516</v>
          </cell>
        </row>
        <row r="32311">
          <cell r="A32311">
            <v>43508</v>
          </cell>
        </row>
        <row r="32312">
          <cell r="A32312">
            <v>43558</v>
          </cell>
        </row>
        <row r="32313">
          <cell r="A32313">
            <v>43388</v>
          </cell>
        </row>
        <row r="32314">
          <cell r="A32314">
            <v>43111</v>
          </cell>
        </row>
        <row r="32315">
          <cell r="A32315">
            <v>43272</v>
          </cell>
        </row>
        <row r="32316">
          <cell r="A32316">
            <v>43673</v>
          </cell>
        </row>
        <row r="32317">
          <cell r="A32317">
            <v>43235</v>
          </cell>
        </row>
        <row r="32318">
          <cell r="A32318">
            <v>43268</v>
          </cell>
        </row>
        <row r="32319">
          <cell r="A32319">
            <v>43754</v>
          </cell>
        </row>
        <row r="32320">
          <cell r="A32320">
            <v>43358</v>
          </cell>
        </row>
        <row r="32321">
          <cell r="A32321">
            <v>43310</v>
          </cell>
        </row>
        <row r="32322">
          <cell r="A32322">
            <v>43253</v>
          </cell>
        </row>
        <row r="32323">
          <cell r="A32323">
            <v>43734</v>
          </cell>
        </row>
        <row r="32324">
          <cell r="A32324">
            <v>43246</v>
          </cell>
        </row>
        <row r="32325">
          <cell r="A32325">
            <v>43800</v>
          </cell>
        </row>
        <row r="32326">
          <cell r="A32326">
            <v>43865</v>
          </cell>
        </row>
        <row r="32327">
          <cell r="A32327">
            <v>43360</v>
          </cell>
        </row>
        <row r="32328">
          <cell r="A32328">
            <v>43235</v>
          </cell>
        </row>
        <row r="32329">
          <cell r="A32329">
            <v>43207</v>
          </cell>
        </row>
        <row r="32330">
          <cell r="A32330">
            <v>43131</v>
          </cell>
        </row>
        <row r="32331">
          <cell r="A32331">
            <v>43843</v>
          </cell>
        </row>
        <row r="32332">
          <cell r="A32332">
            <v>43160</v>
          </cell>
        </row>
        <row r="32333">
          <cell r="A32333">
            <v>43286</v>
          </cell>
        </row>
        <row r="32334">
          <cell r="A32334">
            <v>43753</v>
          </cell>
        </row>
        <row r="32335">
          <cell r="A32335">
            <v>43160</v>
          </cell>
        </row>
        <row r="32336">
          <cell r="A32336">
            <v>43790</v>
          </cell>
        </row>
        <row r="32337">
          <cell r="A32337">
            <v>43146</v>
          </cell>
        </row>
        <row r="32338">
          <cell r="A32338">
            <v>43326</v>
          </cell>
        </row>
        <row r="32339">
          <cell r="A32339">
            <v>43545</v>
          </cell>
        </row>
        <row r="32340">
          <cell r="A32340">
            <v>43504</v>
          </cell>
        </row>
        <row r="32341">
          <cell r="A32341">
            <v>43397</v>
          </cell>
        </row>
        <row r="32342">
          <cell r="A32342">
            <v>43377</v>
          </cell>
        </row>
        <row r="32343">
          <cell r="A32343">
            <v>43269</v>
          </cell>
        </row>
        <row r="32344">
          <cell r="A32344">
            <v>43133</v>
          </cell>
        </row>
        <row r="32345">
          <cell r="A32345">
            <v>43315</v>
          </cell>
        </row>
        <row r="32346">
          <cell r="A32346">
            <v>43467</v>
          </cell>
        </row>
        <row r="32347">
          <cell r="A32347">
            <v>43909</v>
          </cell>
        </row>
        <row r="32348">
          <cell r="A32348">
            <v>43233</v>
          </cell>
        </row>
        <row r="32349">
          <cell r="A32349">
            <v>43840</v>
          </cell>
        </row>
        <row r="32350">
          <cell r="A32350">
            <v>43390</v>
          </cell>
        </row>
        <row r="32351">
          <cell r="A32351">
            <v>43558</v>
          </cell>
        </row>
        <row r="32352">
          <cell r="A32352">
            <v>43760</v>
          </cell>
        </row>
        <row r="32353">
          <cell r="A32353">
            <v>43727</v>
          </cell>
        </row>
        <row r="32354">
          <cell r="A32354">
            <v>43131</v>
          </cell>
        </row>
        <row r="32355">
          <cell r="A32355">
            <v>43265</v>
          </cell>
        </row>
        <row r="32356">
          <cell r="A32356">
            <v>43703</v>
          </cell>
        </row>
        <row r="32357">
          <cell r="A32357">
            <v>43369</v>
          </cell>
        </row>
        <row r="32358">
          <cell r="A32358">
            <v>43450</v>
          </cell>
        </row>
        <row r="32359">
          <cell r="A32359">
            <v>43653</v>
          </cell>
        </row>
        <row r="32360">
          <cell r="A32360">
            <v>43607</v>
          </cell>
        </row>
        <row r="32361">
          <cell r="A32361">
            <v>43677</v>
          </cell>
        </row>
        <row r="32362">
          <cell r="A32362">
            <v>43561</v>
          </cell>
        </row>
        <row r="32363">
          <cell r="A32363">
            <v>43202</v>
          </cell>
        </row>
        <row r="32364">
          <cell r="A32364">
            <v>43173</v>
          </cell>
        </row>
        <row r="32365">
          <cell r="A32365">
            <v>43204</v>
          </cell>
        </row>
        <row r="32366">
          <cell r="A32366">
            <v>43620</v>
          </cell>
        </row>
        <row r="32367">
          <cell r="A32367">
            <v>43466</v>
          </cell>
        </row>
        <row r="32368">
          <cell r="A32368">
            <v>43343</v>
          </cell>
        </row>
        <row r="32369">
          <cell r="A32369">
            <v>43624</v>
          </cell>
        </row>
        <row r="32370">
          <cell r="A32370">
            <v>43214</v>
          </cell>
        </row>
        <row r="32371">
          <cell r="A32371">
            <v>43578</v>
          </cell>
        </row>
        <row r="32372">
          <cell r="A32372">
            <v>43681</v>
          </cell>
        </row>
        <row r="32373">
          <cell r="A32373">
            <v>43815</v>
          </cell>
        </row>
        <row r="32374">
          <cell r="A32374">
            <v>43515</v>
          </cell>
        </row>
        <row r="32375">
          <cell r="A32375">
            <v>43368</v>
          </cell>
        </row>
        <row r="32376">
          <cell r="A32376">
            <v>43424</v>
          </cell>
        </row>
        <row r="32377">
          <cell r="A32377">
            <v>43250</v>
          </cell>
        </row>
        <row r="32378">
          <cell r="A32378">
            <v>43236</v>
          </cell>
        </row>
        <row r="32379">
          <cell r="A32379">
            <v>43689</v>
          </cell>
        </row>
        <row r="32380">
          <cell r="A32380">
            <v>43344</v>
          </cell>
        </row>
        <row r="32381">
          <cell r="A32381">
            <v>43247</v>
          </cell>
        </row>
        <row r="32382">
          <cell r="A32382">
            <v>43333</v>
          </cell>
        </row>
        <row r="32383">
          <cell r="A32383">
            <v>43217</v>
          </cell>
        </row>
        <row r="32384">
          <cell r="A32384">
            <v>43693</v>
          </cell>
        </row>
        <row r="32385">
          <cell r="A32385">
            <v>43780</v>
          </cell>
        </row>
        <row r="32386">
          <cell r="A32386">
            <v>43685</v>
          </cell>
        </row>
        <row r="32387">
          <cell r="A32387">
            <v>43240</v>
          </cell>
        </row>
        <row r="32388">
          <cell r="A32388">
            <v>43454</v>
          </cell>
        </row>
        <row r="32389">
          <cell r="A32389">
            <v>43492</v>
          </cell>
        </row>
        <row r="32390">
          <cell r="A32390">
            <v>43363</v>
          </cell>
        </row>
        <row r="32391">
          <cell r="A32391">
            <v>43868</v>
          </cell>
        </row>
        <row r="32392">
          <cell r="A32392">
            <v>43669</v>
          </cell>
        </row>
        <row r="32393">
          <cell r="A32393">
            <v>43135</v>
          </cell>
        </row>
        <row r="32394">
          <cell r="A32394">
            <v>43455</v>
          </cell>
        </row>
        <row r="32395">
          <cell r="A32395">
            <v>43496</v>
          </cell>
        </row>
        <row r="32396">
          <cell r="A32396">
            <v>43131</v>
          </cell>
        </row>
        <row r="32397">
          <cell r="A32397">
            <v>43563</v>
          </cell>
        </row>
        <row r="32398">
          <cell r="A32398">
            <v>43275</v>
          </cell>
        </row>
        <row r="32399">
          <cell r="A32399">
            <v>43133</v>
          </cell>
        </row>
        <row r="32400">
          <cell r="A32400">
            <v>43124</v>
          </cell>
        </row>
        <row r="32401">
          <cell r="A32401">
            <v>43438</v>
          </cell>
        </row>
        <row r="32402">
          <cell r="A32402">
            <v>43204</v>
          </cell>
        </row>
        <row r="32403">
          <cell r="A32403">
            <v>43144</v>
          </cell>
        </row>
        <row r="32404">
          <cell r="A32404">
            <v>43478</v>
          </cell>
        </row>
        <row r="32405">
          <cell r="A32405">
            <v>43218</v>
          </cell>
        </row>
        <row r="32406">
          <cell r="A32406">
            <v>43332</v>
          </cell>
        </row>
        <row r="32407">
          <cell r="A32407">
            <v>43738</v>
          </cell>
        </row>
        <row r="32408">
          <cell r="A32408">
            <v>43471</v>
          </cell>
        </row>
        <row r="32409">
          <cell r="A32409">
            <v>43723</v>
          </cell>
        </row>
        <row r="32410">
          <cell r="A32410">
            <v>43368</v>
          </cell>
        </row>
        <row r="32411">
          <cell r="A32411">
            <v>43182</v>
          </cell>
        </row>
        <row r="32412">
          <cell r="A32412">
            <v>43783</v>
          </cell>
        </row>
        <row r="32413">
          <cell r="A32413">
            <v>43536</v>
          </cell>
        </row>
        <row r="32414">
          <cell r="A32414">
            <v>43504</v>
          </cell>
        </row>
        <row r="32415">
          <cell r="A32415">
            <v>43688</v>
          </cell>
        </row>
        <row r="32416">
          <cell r="A32416">
            <v>43747</v>
          </cell>
        </row>
        <row r="32417">
          <cell r="A32417">
            <v>43260</v>
          </cell>
        </row>
        <row r="32418">
          <cell r="A32418">
            <v>43839</v>
          </cell>
        </row>
        <row r="32419">
          <cell r="A32419">
            <v>43431</v>
          </cell>
        </row>
        <row r="32420">
          <cell r="A32420">
            <v>43507</v>
          </cell>
        </row>
        <row r="32421">
          <cell r="A32421">
            <v>43371</v>
          </cell>
        </row>
        <row r="32422">
          <cell r="A32422">
            <v>43876</v>
          </cell>
        </row>
        <row r="32423">
          <cell r="A32423">
            <v>43169</v>
          </cell>
        </row>
        <row r="32424">
          <cell r="A32424">
            <v>43441</v>
          </cell>
        </row>
        <row r="32425">
          <cell r="A32425">
            <v>43538</v>
          </cell>
        </row>
        <row r="32426">
          <cell r="A32426">
            <v>43442</v>
          </cell>
        </row>
        <row r="32427">
          <cell r="A32427">
            <v>43617</v>
          </cell>
        </row>
        <row r="32428">
          <cell r="A32428">
            <v>43523</v>
          </cell>
        </row>
        <row r="32429">
          <cell r="A32429">
            <v>43156</v>
          </cell>
        </row>
        <row r="32430">
          <cell r="A32430">
            <v>43181</v>
          </cell>
        </row>
        <row r="32431">
          <cell r="A32431">
            <v>43896</v>
          </cell>
        </row>
        <row r="32432">
          <cell r="A32432">
            <v>43422</v>
          </cell>
        </row>
        <row r="32433">
          <cell r="A32433">
            <v>43233</v>
          </cell>
        </row>
        <row r="32434">
          <cell r="A32434">
            <v>43588</v>
          </cell>
        </row>
        <row r="32435">
          <cell r="A32435">
            <v>43446</v>
          </cell>
        </row>
        <row r="32436">
          <cell r="A32436">
            <v>43864</v>
          </cell>
        </row>
        <row r="32437">
          <cell r="A32437">
            <v>43846</v>
          </cell>
        </row>
        <row r="32438">
          <cell r="A32438">
            <v>43509</v>
          </cell>
        </row>
        <row r="32439">
          <cell r="A32439">
            <v>43882</v>
          </cell>
        </row>
        <row r="32440">
          <cell r="A32440">
            <v>43105</v>
          </cell>
        </row>
        <row r="32441">
          <cell r="A32441">
            <v>43916</v>
          </cell>
        </row>
        <row r="32442">
          <cell r="A32442">
            <v>43350</v>
          </cell>
        </row>
        <row r="32443">
          <cell r="A32443">
            <v>43297</v>
          </cell>
        </row>
        <row r="32444">
          <cell r="A32444">
            <v>43801</v>
          </cell>
        </row>
        <row r="32445">
          <cell r="A32445">
            <v>43236</v>
          </cell>
        </row>
        <row r="32446">
          <cell r="A32446">
            <v>43144</v>
          </cell>
        </row>
        <row r="32447">
          <cell r="A32447">
            <v>43803</v>
          </cell>
        </row>
        <row r="32448">
          <cell r="A32448">
            <v>43811</v>
          </cell>
        </row>
        <row r="32449">
          <cell r="A32449">
            <v>43618</v>
          </cell>
        </row>
        <row r="32450">
          <cell r="A32450">
            <v>43439</v>
          </cell>
        </row>
        <row r="32451">
          <cell r="A32451">
            <v>43116</v>
          </cell>
        </row>
        <row r="32452">
          <cell r="A32452">
            <v>43583</v>
          </cell>
        </row>
        <row r="32453">
          <cell r="A32453">
            <v>43887</v>
          </cell>
        </row>
        <row r="32454">
          <cell r="A32454">
            <v>43417</v>
          </cell>
        </row>
        <row r="32455">
          <cell r="A32455">
            <v>43908</v>
          </cell>
        </row>
        <row r="32456">
          <cell r="A32456">
            <v>43598</v>
          </cell>
        </row>
        <row r="32457">
          <cell r="A32457">
            <v>43653</v>
          </cell>
        </row>
        <row r="32458">
          <cell r="A32458">
            <v>43399</v>
          </cell>
        </row>
        <row r="32459">
          <cell r="A32459">
            <v>43692</v>
          </cell>
        </row>
        <row r="32460">
          <cell r="A32460">
            <v>43837</v>
          </cell>
        </row>
        <row r="32461">
          <cell r="A32461">
            <v>43694</v>
          </cell>
        </row>
        <row r="32462">
          <cell r="A32462">
            <v>43898</v>
          </cell>
        </row>
        <row r="32463">
          <cell r="A32463">
            <v>43106</v>
          </cell>
        </row>
        <row r="32464">
          <cell r="A32464">
            <v>43154</v>
          </cell>
        </row>
        <row r="32465">
          <cell r="A32465">
            <v>43606</v>
          </cell>
        </row>
        <row r="32466">
          <cell r="A32466">
            <v>43384</v>
          </cell>
        </row>
        <row r="32467">
          <cell r="A32467">
            <v>43294</v>
          </cell>
        </row>
        <row r="32468">
          <cell r="A32468">
            <v>43459</v>
          </cell>
        </row>
        <row r="32469">
          <cell r="A32469">
            <v>43272</v>
          </cell>
        </row>
        <row r="32470">
          <cell r="A32470">
            <v>43821</v>
          </cell>
        </row>
        <row r="32471">
          <cell r="A32471">
            <v>43164</v>
          </cell>
        </row>
        <row r="32472">
          <cell r="A32472">
            <v>43587</v>
          </cell>
        </row>
        <row r="32473">
          <cell r="A32473">
            <v>43457</v>
          </cell>
        </row>
        <row r="32474">
          <cell r="A32474">
            <v>43908</v>
          </cell>
        </row>
        <row r="32475">
          <cell r="A32475">
            <v>43573</v>
          </cell>
        </row>
        <row r="32476">
          <cell r="A32476">
            <v>43305</v>
          </cell>
        </row>
        <row r="32477">
          <cell r="A32477">
            <v>43598</v>
          </cell>
        </row>
        <row r="32478">
          <cell r="A32478">
            <v>43828</v>
          </cell>
        </row>
        <row r="32479">
          <cell r="A32479">
            <v>43594</v>
          </cell>
        </row>
        <row r="32480">
          <cell r="A32480">
            <v>43269</v>
          </cell>
        </row>
        <row r="32481">
          <cell r="A32481">
            <v>43351</v>
          </cell>
        </row>
        <row r="32482">
          <cell r="A32482">
            <v>43848</v>
          </cell>
        </row>
        <row r="32483">
          <cell r="A32483">
            <v>43197</v>
          </cell>
        </row>
        <row r="32484">
          <cell r="A32484">
            <v>43679</v>
          </cell>
        </row>
        <row r="32485">
          <cell r="A32485">
            <v>43586</v>
          </cell>
        </row>
        <row r="32486">
          <cell r="A32486">
            <v>43520</v>
          </cell>
        </row>
        <row r="32487">
          <cell r="A32487">
            <v>43201</v>
          </cell>
        </row>
        <row r="32488">
          <cell r="A32488">
            <v>43763</v>
          </cell>
        </row>
        <row r="32489">
          <cell r="A32489">
            <v>43666</v>
          </cell>
        </row>
        <row r="32490">
          <cell r="A32490">
            <v>43872</v>
          </cell>
        </row>
        <row r="32491">
          <cell r="A32491">
            <v>43274</v>
          </cell>
        </row>
        <row r="32492">
          <cell r="A32492">
            <v>43756</v>
          </cell>
        </row>
        <row r="32493">
          <cell r="A32493">
            <v>43699</v>
          </cell>
        </row>
        <row r="32494">
          <cell r="A32494">
            <v>43623</v>
          </cell>
        </row>
        <row r="32495">
          <cell r="A32495">
            <v>43841</v>
          </cell>
        </row>
        <row r="32496">
          <cell r="A32496">
            <v>43658</v>
          </cell>
        </row>
        <row r="32497">
          <cell r="A32497">
            <v>43377</v>
          </cell>
        </row>
        <row r="32498">
          <cell r="A32498">
            <v>43801</v>
          </cell>
        </row>
        <row r="32499">
          <cell r="A32499">
            <v>43739</v>
          </cell>
        </row>
        <row r="32500">
          <cell r="A32500">
            <v>43297</v>
          </cell>
        </row>
        <row r="32501">
          <cell r="A32501">
            <v>43899</v>
          </cell>
        </row>
        <row r="32502">
          <cell r="A32502">
            <v>43657</v>
          </cell>
        </row>
        <row r="32503">
          <cell r="A32503">
            <v>43393</v>
          </cell>
        </row>
        <row r="32504">
          <cell r="A32504">
            <v>43794</v>
          </cell>
        </row>
        <row r="32505">
          <cell r="A32505">
            <v>43588</v>
          </cell>
        </row>
        <row r="32506">
          <cell r="A32506">
            <v>43802</v>
          </cell>
        </row>
        <row r="32507">
          <cell r="A32507">
            <v>43345</v>
          </cell>
        </row>
        <row r="32508">
          <cell r="A32508">
            <v>43130</v>
          </cell>
        </row>
        <row r="32509">
          <cell r="A32509">
            <v>43282</v>
          </cell>
        </row>
        <row r="32510">
          <cell r="A32510">
            <v>43119</v>
          </cell>
        </row>
        <row r="32511">
          <cell r="A32511">
            <v>43820</v>
          </cell>
        </row>
        <row r="32512">
          <cell r="A32512">
            <v>43604</v>
          </cell>
        </row>
        <row r="32513">
          <cell r="A32513">
            <v>43232</v>
          </cell>
        </row>
        <row r="32514">
          <cell r="A32514">
            <v>43369</v>
          </cell>
        </row>
        <row r="32515">
          <cell r="A32515">
            <v>43508</v>
          </cell>
        </row>
        <row r="32516">
          <cell r="A32516">
            <v>43309</v>
          </cell>
        </row>
        <row r="32517">
          <cell r="A32517">
            <v>43644</v>
          </cell>
        </row>
        <row r="32518">
          <cell r="A32518">
            <v>43810</v>
          </cell>
        </row>
        <row r="32519">
          <cell r="A32519">
            <v>43399</v>
          </cell>
        </row>
        <row r="32520">
          <cell r="A32520">
            <v>43875</v>
          </cell>
        </row>
        <row r="32521">
          <cell r="A32521">
            <v>43475</v>
          </cell>
        </row>
        <row r="32522">
          <cell r="A32522">
            <v>43411</v>
          </cell>
        </row>
        <row r="32523">
          <cell r="A32523">
            <v>43195</v>
          </cell>
        </row>
        <row r="32524">
          <cell r="A32524">
            <v>43491</v>
          </cell>
        </row>
        <row r="32525">
          <cell r="A32525">
            <v>43754</v>
          </cell>
        </row>
        <row r="32526">
          <cell r="A32526">
            <v>43499</v>
          </cell>
        </row>
        <row r="32527">
          <cell r="A32527">
            <v>43450</v>
          </cell>
        </row>
        <row r="32528">
          <cell r="A32528">
            <v>43267</v>
          </cell>
        </row>
        <row r="32529">
          <cell r="A32529">
            <v>43859</v>
          </cell>
        </row>
        <row r="32530">
          <cell r="A32530">
            <v>43634</v>
          </cell>
        </row>
        <row r="32531">
          <cell r="A32531">
            <v>43748</v>
          </cell>
        </row>
        <row r="32532">
          <cell r="A32532">
            <v>43201</v>
          </cell>
        </row>
        <row r="32533">
          <cell r="A32533">
            <v>43653</v>
          </cell>
        </row>
        <row r="32534">
          <cell r="A32534">
            <v>43574</v>
          </cell>
        </row>
        <row r="32535">
          <cell r="A32535">
            <v>43153</v>
          </cell>
        </row>
        <row r="32536">
          <cell r="A32536">
            <v>43285</v>
          </cell>
        </row>
        <row r="32537">
          <cell r="A32537">
            <v>43315</v>
          </cell>
        </row>
        <row r="32538">
          <cell r="A32538">
            <v>43214</v>
          </cell>
        </row>
        <row r="32539">
          <cell r="A32539">
            <v>43683</v>
          </cell>
        </row>
        <row r="32540">
          <cell r="A32540">
            <v>43729</v>
          </cell>
        </row>
        <row r="32541">
          <cell r="A32541">
            <v>43566</v>
          </cell>
        </row>
        <row r="32542">
          <cell r="A32542">
            <v>43372</v>
          </cell>
        </row>
        <row r="32543">
          <cell r="A32543">
            <v>43186</v>
          </cell>
        </row>
        <row r="32544">
          <cell r="A32544">
            <v>43381</v>
          </cell>
        </row>
        <row r="32545">
          <cell r="A32545">
            <v>43580</v>
          </cell>
        </row>
        <row r="32546">
          <cell r="A32546">
            <v>43451</v>
          </cell>
        </row>
        <row r="32547">
          <cell r="A32547">
            <v>43420</v>
          </cell>
        </row>
        <row r="32548">
          <cell r="A32548">
            <v>43635</v>
          </cell>
        </row>
        <row r="32549">
          <cell r="A32549">
            <v>43570</v>
          </cell>
        </row>
        <row r="32550">
          <cell r="A32550">
            <v>43303</v>
          </cell>
        </row>
        <row r="32551">
          <cell r="A32551">
            <v>43621</v>
          </cell>
        </row>
        <row r="32552">
          <cell r="A32552">
            <v>43488</v>
          </cell>
        </row>
        <row r="32553">
          <cell r="A32553">
            <v>43473</v>
          </cell>
        </row>
        <row r="32554">
          <cell r="A32554">
            <v>43572</v>
          </cell>
        </row>
        <row r="32555">
          <cell r="A32555">
            <v>43286</v>
          </cell>
        </row>
        <row r="32556">
          <cell r="A32556">
            <v>43833</v>
          </cell>
        </row>
        <row r="32557">
          <cell r="A32557">
            <v>43627</v>
          </cell>
        </row>
        <row r="32558">
          <cell r="A32558">
            <v>43445</v>
          </cell>
        </row>
        <row r="32559">
          <cell r="A32559">
            <v>43299</v>
          </cell>
        </row>
        <row r="32560">
          <cell r="A32560">
            <v>43304</v>
          </cell>
        </row>
        <row r="32561">
          <cell r="A32561">
            <v>43786</v>
          </cell>
        </row>
        <row r="32562">
          <cell r="A32562">
            <v>43120</v>
          </cell>
        </row>
        <row r="32563">
          <cell r="A32563">
            <v>43772</v>
          </cell>
        </row>
        <row r="32564">
          <cell r="A32564">
            <v>43749</v>
          </cell>
        </row>
        <row r="32565">
          <cell r="A32565">
            <v>43729</v>
          </cell>
        </row>
        <row r="32566">
          <cell r="A32566">
            <v>43106</v>
          </cell>
        </row>
        <row r="32567">
          <cell r="A32567">
            <v>43263</v>
          </cell>
        </row>
        <row r="32568">
          <cell r="A32568">
            <v>43891</v>
          </cell>
        </row>
        <row r="32569">
          <cell r="A32569">
            <v>43810</v>
          </cell>
        </row>
        <row r="32570">
          <cell r="A32570">
            <v>43668</v>
          </cell>
        </row>
        <row r="32571">
          <cell r="A32571">
            <v>43367</v>
          </cell>
        </row>
        <row r="32572">
          <cell r="A32572">
            <v>43347</v>
          </cell>
        </row>
        <row r="32573">
          <cell r="A32573">
            <v>43739</v>
          </cell>
        </row>
        <row r="32574">
          <cell r="A32574">
            <v>43187</v>
          </cell>
        </row>
        <row r="32575">
          <cell r="A32575">
            <v>43613</v>
          </cell>
        </row>
        <row r="32576">
          <cell r="A32576">
            <v>43149</v>
          </cell>
        </row>
        <row r="32577">
          <cell r="A32577">
            <v>43501</v>
          </cell>
        </row>
        <row r="32578">
          <cell r="A32578">
            <v>43304</v>
          </cell>
        </row>
        <row r="32579">
          <cell r="A32579">
            <v>43484</v>
          </cell>
        </row>
        <row r="32580">
          <cell r="A32580">
            <v>43203</v>
          </cell>
        </row>
        <row r="32581">
          <cell r="A32581">
            <v>43921</v>
          </cell>
        </row>
        <row r="32582">
          <cell r="A32582">
            <v>43369</v>
          </cell>
        </row>
        <row r="32583">
          <cell r="A32583">
            <v>43525</v>
          </cell>
        </row>
        <row r="32584">
          <cell r="A32584">
            <v>43211</v>
          </cell>
        </row>
        <row r="32585">
          <cell r="A32585">
            <v>43138</v>
          </cell>
        </row>
        <row r="32586">
          <cell r="A32586">
            <v>43758</v>
          </cell>
        </row>
        <row r="32587">
          <cell r="A32587">
            <v>43673</v>
          </cell>
        </row>
        <row r="32588">
          <cell r="A32588">
            <v>43575</v>
          </cell>
        </row>
        <row r="32589">
          <cell r="A32589">
            <v>43177</v>
          </cell>
        </row>
        <row r="32590">
          <cell r="A32590">
            <v>43847</v>
          </cell>
        </row>
        <row r="32591">
          <cell r="A32591">
            <v>43328</v>
          </cell>
        </row>
        <row r="32592">
          <cell r="A32592">
            <v>43528</v>
          </cell>
        </row>
        <row r="32593">
          <cell r="A32593">
            <v>43347</v>
          </cell>
        </row>
        <row r="32594">
          <cell r="A32594">
            <v>43423</v>
          </cell>
        </row>
        <row r="32595">
          <cell r="A32595">
            <v>43163</v>
          </cell>
        </row>
        <row r="32596">
          <cell r="A32596">
            <v>43266</v>
          </cell>
        </row>
        <row r="32597">
          <cell r="A32597">
            <v>43592</v>
          </cell>
        </row>
        <row r="32598">
          <cell r="A32598">
            <v>43151</v>
          </cell>
        </row>
        <row r="32599">
          <cell r="A32599">
            <v>43437</v>
          </cell>
        </row>
        <row r="32600">
          <cell r="A32600">
            <v>43142</v>
          </cell>
        </row>
        <row r="32601">
          <cell r="A32601">
            <v>43423</v>
          </cell>
        </row>
        <row r="32602">
          <cell r="A32602">
            <v>43806</v>
          </cell>
        </row>
        <row r="32603">
          <cell r="A32603">
            <v>43564</v>
          </cell>
        </row>
        <row r="32604">
          <cell r="A32604">
            <v>43702</v>
          </cell>
        </row>
        <row r="32605">
          <cell r="A32605">
            <v>43651</v>
          </cell>
        </row>
        <row r="32606">
          <cell r="A32606">
            <v>43659</v>
          </cell>
        </row>
        <row r="32607">
          <cell r="A32607">
            <v>43690</v>
          </cell>
        </row>
        <row r="32608">
          <cell r="A32608">
            <v>43332</v>
          </cell>
        </row>
        <row r="32609">
          <cell r="A32609">
            <v>43253</v>
          </cell>
        </row>
        <row r="32610">
          <cell r="A32610">
            <v>43546</v>
          </cell>
        </row>
        <row r="32611">
          <cell r="A32611">
            <v>43553</v>
          </cell>
        </row>
        <row r="32612">
          <cell r="A32612">
            <v>43254</v>
          </cell>
        </row>
        <row r="32613">
          <cell r="A32613">
            <v>43580</v>
          </cell>
        </row>
        <row r="32614">
          <cell r="A32614">
            <v>43798</v>
          </cell>
        </row>
        <row r="32615">
          <cell r="A32615">
            <v>43315</v>
          </cell>
        </row>
        <row r="32616">
          <cell r="A32616">
            <v>43855</v>
          </cell>
        </row>
        <row r="32617">
          <cell r="A32617">
            <v>43188</v>
          </cell>
        </row>
        <row r="32618">
          <cell r="A32618">
            <v>43392</v>
          </cell>
        </row>
        <row r="32619">
          <cell r="A32619">
            <v>43186</v>
          </cell>
        </row>
        <row r="32620">
          <cell r="A32620">
            <v>43655</v>
          </cell>
        </row>
        <row r="32621">
          <cell r="A32621">
            <v>43868</v>
          </cell>
        </row>
        <row r="32622">
          <cell r="A32622">
            <v>43174</v>
          </cell>
        </row>
        <row r="32623">
          <cell r="A32623">
            <v>43769</v>
          </cell>
        </row>
        <row r="32624">
          <cell r="A32624">
            <v>43692</v>
          </cell>
        </row>
        <row r="32625">
          <cell r="A32625">
            <v>43102</v>
          </cell>
        </row>
        <row r="32626">
          <cell r="A32626">
            <v>43298</v>
          </cell>
        </row>
        <row r="32627">
          <cell r="A32627">
            <v>43514</v>
          </cell>
        </row>
        <row r="32628">
          <cell r="A32628">
            <v>43333</v>
          </cell>
        </row>
        <row r="32629">
          <cell r="A32629">
            <v>43109</v>
          </cell>
        </row>
        <row r="32630">
          <cell r="A32630">
            <v>43719</v>
          </cell>
        </row>
        <row r="32631">
          <cell r="A32631">
            <v>43207</v>
          </cell>
        </row>
        <row r="32632">
          <cell r="A32632">
            <v>43594</v>
          </cell>
        </row>
        <row r="32633">
          <cell r="A32633">
            <v>43219</v>
          </cell>
        </row>
        <row r="32634">
          <cell r="A32634">
            <v>43724</v>
          </cell>
        </row>
        <row r="32635">
          <cell r="A32635">
            <v>43402</v>
          </cell>
        </row>
        <row r="32636">
          <cell r="A32636">
            <v>43429</v>
          </cell>
        </row>
        <row r="32637">
          <cell r="A32637">
            <v>43351</v>
          </cell>
        </row>
        <row r="32638">
          <cell r="A32638">
            <v>43200</v>
          </cell>
        </row>
        <row r="32639">
          <cell r="A32639">
            <v>43812</v>
          </cell>
        </row>
        <row r="32640">
          <cell r="A32640">
            <v>43261</v>
          </cell>
        </row>
        <row r="32641">
          <cell r="A32641">
            <v>43347</v>
          </cell>
        </row>
        <row r="32642">
          <cell r="A32642">
            <v>43671</v>
          </cell>
        </row>
        <row r="32643">
          <cell r="A32643">
            <v>43428</v>
          </cell>
        </row>
        <row r="32644">
          <cell r="A32644">
            <v>43510</v>
          </cell>
        </row>
        <row r="32645">
          <cell r="A32645">
            <v>43409</v>
          </cell>
        </row>
        <row r="32646">
          <cell r="A32646">
            <v>43890</v>
          </cell>
        </row>
        <row r="32647">
          <cell r="A32647">
            <v>43904</v>
          </cell>
        </row>
        <row r="32648">
          <cell r="A32648">
            <v>43889</v>
          </cell>
        </row>
        <row r="32649">
          <cell r="A32649">
            <v>43625</v>
          </cell>
        </row>
        <row r="32650">
          <cell r="A32650">
            <v>43397</v>
          </cell>
        </row>
        <row r="32651">
          <cell r="A32651">
            <v>43286</v>
          </cell>
        </row>
        <row r="32652">
          <cell r="A32652">
            <v>43589</v>
          </cell>
        </row>
        <row r="32653">
          <cell r="A32653">
            <v>43586</v>
          </cell>
        </row>
        <row r="32654">
          <cell r="A32654">
            <v>43108</v>
          </cell>
        </row>
        <row r="32655">
          <cell r="A32655">
            <v>43404</v>
          </cell>
        </row>
        <row r="32656">
          <cell r="A32656">
            <v>43314</v>
          </cell>
        </row>
        <row r="32657">
          <cell r="A32657">
            <v>43439</v>
          </cell>
        </row>
        <row r="32658">
          <cell r="A32658">
            <v>43661</v>
          </cell>
        </row>
        <row r="32659">
          <cell r="A32659">
            <v>43677</v>
          </cell>
        </row>
        <row r="32660">
          <cell r="A32660">
            <v>43282</v>
          </cell>
        </row>
        <row r="32661">
          <cell r="A32661">
            <v>43916</v>
          </cell>
        </row>
        <row r="32662">
          <cell r="A32662">
            <v>43492</v>
          </cell>
        </row>
        <row r="32663">
          <cell r="A32663">
            <v>43762</v>
          </cell>
        </row>
        <row r="32664">
          <cell r="A32664">
            <v>43486</v>
          </cell>
        </row>
        <row r="32665">
          <cell r="A32665">
            <v>43606</v>
          </cell>
        </row>
        <row r="32666">
          <cell r="A32666">
            <v>43146</v>
          </cell>
        </row>
        <row r="32667">
          <cell r="A32667">
            <v>43353</v>
          </cell>
        </row>
        <row r="32668">
          <cell r="A32668">
            <v>43887</v>
          </cell>
        </row>
        <row r="32669">
          <cell r="A32669">
            <v>43725</v>
          </cell>
        </row>
        <row r="32670">
          <cell r="A32670">
            <v>43396</v>
          </cell>
        </row>
        <row r="32671">
          <cell r="A32671">
            <v>43865</v>
          </cell>
        </row>
        <row r="32672">
          <cell r="A32672">
            <v>43379</v>
          </cell>
        </row>
        <row r="32673">
          <cell r="A32673">
            <v>43654</v>
          </cell>
        </row>
        <row r="32674">
          <cell r="A32674">
            <v>43742</v>
          </cell>
        </row>
        <row r="32675">
          <cell r="A32675">
            <v>43753</v>
          </cell>
        </row>
        <row r="32676">
          <cell r="A32676">
            <v>43390</v>
          </cell>
        </row>
        <row r="32677">
          <cell r="A32677">
            <v>43540</v>
          </cell>
        </row>
        <row r="32678">
          <cell r="A32678">
            <v>43626</v>
          </cell>
        </row>
        <row r="32679">
          <cell r="A32679">
            <v>43644</v>
          </cell>
        </row>
        <row r="32680">
          <cell r="A32680">
            <v>43805</v>
          </cell>
        </row>
        <row r="32681">
          <cell r="A32681">
            <v>43866</v>
          </cell>
        </row>
        <row r="32682">
          <cell r="A32682">
            <v>43143</v>
          </cell>
        </row>
        <row r="32683">
          <cell r="A32683">
            <v>43744</v>
          </cell>
        </row>
        <row r="32684">
          <cell r="A32684">
            <v>43329</v>
          </cell>
        </row>
        <row r="32685">
          <cell r="A32685">
            <v>43476</v>
          </cell>
        </row>
        <row r="32686">
          <cell r="A32686">
            <v>43618</v>
          </cell>
        </row>
        <row r="32687">
          <cell r="A32687">
            <v>43799</v>
          </cell>
        </row>
        <row r="32688">
          <cell r="A32688">
            <v>43345</v>
          </cell>
        </row>
        <row r="32689">
          <cell r="A32689">
            <v>43347</v>
          </cell>
        </row>
        <row r="32690">
          <cell r="A32690">
            <v>43393</v>
          </cell>
        </row>
        <row r="32691">
          <cell r="A32691">
            <v>43780</v>
          </cell>
        </row>
        <row r="32692">
          <cell r="A32692">
            <v>43469</v>
          </cell>
        </row>
        <row r="32693">
          <cell r="A32693">
            <v>43446</v>
          </cell>
        </row>
        <row r="32694">
          <cell r="A32694">
            <v>43340</v>
          </cell>
        </row>
        <row r="32695">
          <cell r="A32695">
            <v>43812</v>
          </cell>
        </row>
        <row r="32696">
          <cell r="A32696">
            <v>43756</v>
          </cell>
        </row>
        <row r="32697">
          <cell r="A32697">
            <v>43538</v>
          </cell>
        </row>
        <row r="32698">
          <cell r="A32698">
            <v>43423</v>
          </cell>
        </row>
        <row r="32699">
          <cell r="A32699">
            <v>43729</v>
          </cell>
        </row>
        <row r="32700">
          <cell r="A32700">
            <v>43692</v>
          </cell>
        </row>
        <row r="32701">
          <cell r="A32701">
            <v>43243</v>
          </cell>
        </row>
        <row r="32702">
          <cell r="A32702">
            <v>43490</v>
          </cell>
        </row>
        <row r="32703">
          <cell r="A32703">
            <v>43221</v>
          </cell>
        </row>
        <row r="32704">
          <cell r="A32704">
            <v>43194</v>
          </cell>
        </row>
        <row r="32705">
          <cell r="A32705">
            <v>43287</v>
          </cell>
        </row>
        <row r="32706">
          <cell r="A32706">
            <v>43550</v>
          </cell>
        </row>
        <row r="32707">
          <cell r="A32707">
            <v>43633</v>
          </cell>
        </row>
        <row r="32708">
          <cell r="A32708">
            <v>43773</v>
          </cell>
        </row>
        <row r="32709">
          <cell r="A32709">
            <v>43492</v>
          </cell>
        </row>
        <row r="32710">
          <cell r="A32710">
            <v>43423</v>
          </cell>
        </row>
        <row r="32711">
          <cell r="A32711">
            <v>43876</v>
          </cell>
        </row>
        <row r="32712">
          <cell r="A32712">
            <v>43294</v>
          </cell>
        </row>
        <row r="32713">
          <cell r="A32713">
            <v>43319</v>
          </cell>
        </row>
        <row r="32714">
          <cell r="A32714">
            <v>43325</v>
          </cell>
        </row>
        <row r="32715">
          <cell r="A32715">
            <v>43434</v>
          </cell>
        </row>
        <row r="32716">
          <cell r="A32716">
            <v>43752</v>
          </cell>
        </row>
        <row r="32717">
          <cell r="A32717">
            <v>43115</v>
          </cell>
        </row>
        <row r="32718">
          <cell r="A32718">
            <v>43469</v>
          </cell>
        </row>
        <row r="32719">
          <cell r="A32719">
            <v>43457</v>
          </cell>
        </row>
        <row r="32720">
          <cell r="A32720">
            <v>43831</v>
          </cell>
        </row>
        <row r="32721">
          <cell r="A32721">
            <v>43384</v>
          </cell>
        </row>
        <row r="32722">
          <cell r="A32722">
            <v>43586</v>
          </cell>
        </row>
        <row r="32723">
          <cell r="A32723">
            <v>43295</v>
          </cell>
        </row>
        <row r="32724">
          <cell r="A32724">
            <v>43184</v>
          </cell>
        </row>
        <row r="32725">
          <cell r="A32725">
            <v>43174</v>
          </cell>
        </row>
        <row r="32726">
          <cell r="A32726">
            <v>43249</v>
          </cell>
        </row>
        <row r="32727">
          <cell r="A32727">
            <v>43781</v>
          </cell>
        </row>
        <row r="32728">
          <cell r="A32728">
            <v>43105</v>
          </cell>
        </row>
        <row r="32729">
          <cell r="A32729">
            <v>43360</v>
          </cell>
        </row>
        <row r="32730">
          <cell r="A32730">
            <v>43263</v>
          </cell>
        </row>
        <row r="32731">
          <cell r="A32731">
            <v>43336</v>
          </cell>
        </row>
        <row r="32732">
          <cell r="A32732">
            <v>43394</v>
          </cell>
        </row>
        <row r="32733">
          <cell r="A32733">
            <v>43515</v>
          </cell>
        </row>
        <row r="32734">
          <cell r="A32734">
            <v>43607</v>
          </cell>
        </row>
        <row r="32735">
          <cell r="A32735">
            <v>43459</v>
          </cell>
        </row>
        <row r="32736">
          <cell r="A32736">
            <v>43196</v>
          </cell>
        </row>
        <row r="32737">
          <cell r="A32737">
            <v>43778</v>
          </cell>
        </row>
        <row r="32738">
          <cell r="A32738">
            <v>43442</v>
          </cell>
        </row>
        <row r="32739">
          <cell r="A32739">
            <v>43377</v>
          </cell>
        </row>
        <row r="32740">
          <cell r="A32740">
            <v>43680</v>
          </cell>
        </row>
        <row r="32741">
          <cell r="A32741">
            <v>43226</v>
          </cell>
        </row>
        <row r="32742">
          <cell r="A32742">
            <v>43720</v>
          </cell>
        </row>
        <row r="32743">
          <cell r="A32743">
            <v>43458</v>
          </cell>
        </row>
        <row r="32744">
          <cell r="A32744">
            <v>43911</v>
          </cell>
        </row>
        <row r="32745">
          <cell r="A32745">
            <v>43608</v>
          </cell>
        </row>
        <row r="32746">
          <cell r="A32746">
            <v>43420</v>
          </cell>
        </row>
        <row r="32747">
          <cell r="A32747">
            <v>43684</v>
          </cell>
        </row>
        <row r="32748">
          <cell r="A32748">
            <v>43190</v>
          </cell>
        </row>
        <row r="32749">
          <cell r="A32749">
            <v>43568</v>
          </cell>
        </row>
        <row r="32750">
          <cell r="A32750">
            <v>43629</v>
          </cell>
        </row>
        <row r="32751">
          <cell r="A32751">
            <v>43272</v>
          </cell>
        </row>
        <row r="32752">
          <cell r="A32752">
            <v>43584</v>
          </cell>
        </row>
        <row r="32753">
          <cell r="A32753">
            <v>43826</v>
          </cell>
        </row>
        <row r="32754">
          <cell r="A32754">
            <v>43521</v>
          </cell>
        </row>
        <row r="32755">
          <cell r="A32755">
            <v>43631</v>
          </cell>
        </row>
        <row r="32756">
          <cell r="A32756">
            <v>43228</v>
          </cell>
        </row>
        <row r="32757">
          <cell r="A32757">
            <v>43571</v>
          </cell>
        </row>
        <row r="32758">
          <cell r="A32758">
            <v>43550</v>
          </cell>
        </row>
        <row r="32759">
          <cell r="A32759">
            <v>43798</v>
          </cell>
        </row>
        <row r="32760">
          <cell r="A32760">
            <v>43636</v>
          </cell>
        </row>
        <row r="32761">
          <cell r="A32761">
            <v>43518</v>
          </cell>
        </row>
        <row r="32762">
          <cell r="A32762">
            <v>43224</v>
          </cell>
        </row>
        <row r="32763">
          <cell r="A32763">
            <v>43901</v>
          </cell>
        </row>
        <row r="32764">
          <cell r="A32764">
            <v>43715</v>
          </cell>
        </row>
        <row r="32765">
          <cell r="A32765">
            <v>43273</v>
          </cell>
        </row>
        <row r="32766">
          <cell r="A32766">
            <v>43420</v>
          </cell>
        </row>
        <row r="32767">
          <cell r="A32767">
            <v>43859</v>
          </cell>
        </row>
        <row r="32768">
          <cell r="A32768">
            <v>43444</v>
          </cell>
        </row>
        <row r="32769">
          <cell r="A32769">
            <v>43336</v>
          </cell>
        </row>
        <row r="32770">
          <cell r="A32770">
            <v>43920</v>
          </cell>
        </row>
        <row r="32771">
          <cell r="A32771">
            <v>43194</v>
          </cell>
        </row>
        <row r="32772">
          <cell r="A32772">
            <v>43137</v>
          </cell>
        </row>
        <row r="32773">
          <cell r="A32773">
            <v>43123</v>
          </cell>
        </row>
        <row r="32774">
          <cell r="A32774">
            <v>43323</v>
          </cell>
        </row>
        <row r="32775">
          <cell r="A32775">
            <v>43845</v>
          </cell>
        </row>
        <row r="32776">
          <cell r="A32776">
            <v>43619</v>
          </cell>
        </row>
        <row r="32777">
          <cell r="A32777">
            <v>43410</v>
          </cell>
        </row>
        <row r="32778">
          <cell r="A32778">
            <v>43769</v>
          </cell>
        </row>
        <row r="32779">
          <cell r="A32779">
            <v>43886</v>
          </cell>
        </row>
        <row r="32780">
          <cell r="A32780">
            <v>43797</v>
          </cell>
        </row>
        <row r="32781">
          <cell r="A32781">
            <v>43840</v>
          </cell>
        </row>
        <row r="32782">
          <cell r="A32782">
            <v>43426</v>
          </cell>
        </row>
        <row r="32783">
          <cell r="A32783">
            <v>43564</v>
          </cell>
        </row>
        <row r="32784">
          <cell r="A32784">
            <v>43808</v>
          </cell>
        </row>
        <row r="32785">
          <cell r="A32785">
            <v>43869</v>
          </cell>
        </row>
        <row r="32786">
          <cell r="A32786">
            <v>43821</v>
          </cell>
        </row>
        <row r="32787">
          <cell r="A32787">
            <v>43147</v>
          </cell>
        </row>
        <row r="32788">
          <cell r="A32788">
            <v>43783</v>
          </cell>
        </row>
        <row r="32789">
          <cell r="A32789">
            <v>43252</v>
          </cell>
        </row>
        <row r="32790">
          <cell r="A32790">
            <v>43552</v>
          </cell>
        </row>
        <row r="32791">
          <cell r="A32791">
            <v>43677</v>
          </cell>
        </row>
        <row r="32792">
          <cell r="A32792">
            <v>43836</v>
          </cell>
        </row>
        <row r="32793">
          <cell r="A32793">
            <v>43781</v>
          </cell>
        </row>
        <row r="32794">
          <cell r="A32794">
            <v>43714</v>
          </cell>
        </row>
        <row r="32795">
          <cell r="A32795">
            <v>43631</v>
          </cell>
        </row>
        <row r="32796">
          <cell r="A32796">
            <v>43910</v>
          </cell>
        </row>
        <row r="32797">
          <cell r="A32797">
            <v>43132</v>
          </cell>
        </row>
        <row r="32798">
          <cell r="A32798">
            <v>43878</v>
          </cell>
        </row>
        <row r="32799">
          <cell r="A32799">
            <v>43639</v>
          </cell>
        </row>
        <row r="32800">
          <cell r="A32800">
            <v>43431</v>
          </cell>
        </row>
        <row r="32801">
          <cell r="A32801">
            <v>43511</v>
          </cell>
        </row>
        <row r="32802">
          <cell r="A32802">
            <v>43423</v>
          </cell>
        </row>
        <row r="32803">
          <cell r="A32803">
            <v>43792</v>
          </cell>
        </row>
        <row r="32804">
          <cell r="A32804">
            <v>43618</v>
          </cell>
        </row>
        <row r="32805">
          <cell r="A32805">
            <v>43683</v>
          </cell>
        </row>
        <row r="32806">
          <cell r="A32806">
            <v>43661</v>
          </cell>
        </row>
        <row r="32807">
          <cell r="A32807">
            <v>43867</v>
          </cell>
        </row>
        <row r="32808">
          <cell r="A32808">
            <v>43397</v>
          </cell>
        </row>
        <row r="32809">
          <cell r="A32809">
            <v>43597</v>
          </cell>
        </row>
        <row r="32810">
          <cell r="A32810">
            <v>43666</v>
          </cell>
        </row>
        <row r="32811">
          <cell r="A32811">
            <v>43706</v>
          </cell>
        </row>
        <row r="32812">
          <cell r="A32812">
            <v>43382</v>
          </cell>
        </row>
        <row r="32813">
          <cell r="A32813">
            <v>43860</v>
          </cell>
        </row>
        <row r="32814">
          <cell r="A32814">
            <v>43587</v>
          </cell>
        </row>
        <row r="32815">
          <cell r="A32815">
            <v>43577</v>
          </cell>
        </row>
        <row r="32816">
          <cell r="A32816">
            <v>43805</v>
          </cell>
        </row>
        <row r="32817">
          <cell r="A32817">
            <v>43880</v>
          </cell>
        </row>
        <row r="32818">
          <cell r="A32818">
            <v>43557</v>
          </cell>
        </row>
        <row r="32819">
          <cell r="A32819">
            <v>43237</v>
          </cell>
        </row>
        <row r="32820">
          <cell r="A32820">
            <v>43469</v>
          </cell>
        </row>
        <row r="32821">
          <cell r="A32821">
            <v>43481</v>
          </cell>
        </row>
        <row r="32822">
          <cell r="A32822">
            <v>43454</v>
          </cell>
        </row>
        <row r="32823">
          <cell r="A32823">
            <v>43645</v>
          </cell>
        </row>
        <row r="32824">
          <cell r="A32824">
            <v>43724</v>
          </cell>
        </row>
        <row r="32825">
          <cell r="A32825">
            <v>43611</v>
          </cell>
        </row>
        <row r="32826">
          <cell r="A32826">
            <v>43268</v>
          </cell>
        </row>
        <row r="32827">
          <cell r="A32827">
            <v>43567</v>
          </cell>
        </row>
        <row r="32828">
          <cell r="A32828">
            <v>43729</v>
          </cell>
        </row>
        <row r="32829">
          <cell r="A32829">
            <v>43658</v>
          </cell>
        </row>
        <row r="32830">
          <cell r="A32830">
            <v>43577</v>
          </cell>
        </row>
        <row r="32831">
          <cell r="A32831">
            <v>43449</v>
          </cell>
        </row>
        <row r="32832">
          <cell r="A32832">
            <v>43360</v>
          </cell>
        </row>
        <row r="32833">
          <cell r="A32833">
            <v>43895</v>
          </cell>
        </row>
        <row r="32834">
          <cell r="A32834">
            <v>43191</v>
          </cell>
        </row>
        <row r="32835">
          <cell r="A32835">
            <v>43629</v>
          </cell>
        </row>
        <row r="32836">
          <cell r="A32836">
            <v>43579</v>
          </cell>
        </row>
        <row r="32837">
          <cell r="A32837">
            <v>43679</v>
          </cell>
        </row>
        <row r="32838">
          <cell r="A32838">
            <v>43298</v>
          </cell>
        </row>
        <row r="32839">
          <cell r="A32839">
            <v>43263</v>
          </cell>
        </row>
        <row r="32840">
          <cell r="A32840">
            <v>43472</v>
          </cell>
        </row>
        <row r="32841">
          <cell r="A32841">
            <v>43611</v>
          </cell>
        </row>
        <row r="32842">
          <cell r="A32842">
            <v>43463</v>
          </cell>
        </row>
        <row r="32843">
          <cell r="A32843">
            <v>43714</v>
          </cell>
        </row>
        <row r="32844">
          <cell r="A32844">
            <v>43516</v>
          </cell>
        </row>
        <row r="32845">
          <cell r="A32845">
            <v>43518</v>
          </cell>
        </row>
        <row r="32846">
          <cell r="A32846">
            <v>43460</v>
          </cell>
        </row>
        <row r="32847">
          <cell r="A32847">
            <v>43322</v>
          </cell>
        </row>
        <row r="32848">
          <cell r="A32848">
            <v>43451</v>
          </cell>
        </row>
        <row r="32849">
          <cell r="A32849">
            <v>43433</v>
          </cell>
        </row>
        <row r="32850">
          <cell r="A32850">
            <v>43252</v>
          </cell>
        </row>
        <row r="32851">
          <cell r="A32851">
            <v>43849</v>
          </cell>
        </row>
        <row r="32852">
          <cell r="A32852">
            <v>43898</v>
          </cell>
        </row>
        <row r="32853">
          <cell r="A32853">
            <v>43436</v>
          </cell>
        </row>
        <row r="32854">
          <cell r="A32854">
            <v>43413</v>
          </cell>
        </row>
        <row r="32855">
          <cell r="A32855">
            <v>43794</v>
          </cell>
        </row>
        <row r="32856">
          <cell r="A32856">
            <v>43353</v>
          </cell>
        </row>
        <row r="32857">
          <cell r="A32857">
            <v>43402</v>
          </cell>
        </row>
        <row r="32858">
          <cell r="A32858">
            <v>43908</v>
          </cell>
        </row>
        <row r="32859">
          <cell r="A32859">
            <v>43689</v>
          </cell>
        </row>
        <row r="32860">
          <cell r="A32860">
            <v>43241</v>
          </cell>
        </row>
        <row r="32861">
          <cell r="A32861">
            <v>43715</v>
          </cell>
        </row>
        <row r="32862">
          <cell r="A32862">
            <v>43369</v>
          </cell>
        </row>
        <row r="32863">
          <cell r="A32863">
            <v>43462</v>
          </cell>
        </row>
        <row r="32864">
          <cell r="A32864">
            <v>43151</v>
          </cell>
        </row>
        <row r="32865">
          <cell r="A32865">
            <v>43652</v>
          </cell>
        </row>
        <row r="32866">
          <cell r="A32866">
            <v>43493</v>
          </cell>
        </row>
        <row r="32867">
          <cell r="A32867">
            <v>43501</v>
          </cell>
        </row>
        <row r="32868">
          <cell r="A32868">
            <v>43284</v>
          </cell>
        </row>
        <row r="32869">
          <cell r="A32869">
            <v>43779</v>
          </cell>
        </row>
        <row r="32870">
          <cell r="A32870">
            <v>43856</v>
          </cell>
        </row>
        <row r="32871">
          <cell r="A32871">
            <v>43658</v>
          </cell>
        </row>
        <row r="32872">
          <cell r="A32872">
            <v>43585</v>
          </cell>
        </row>
        <row r="32873">
          <cell r="A32873">
            <v>43553</v>
          </cell>
        </row>
        <row r="32874">
          <cell r="A32874">
            <v>43582</v>
          </cell>
        </row>
        <row r="32875">
          <cell r="A32875">
            <v>43105</v>
          </cell>
        </row>
        <row r="32876">
          <cell r="A32876">
            <v>43683</v>
          </cell>
        </row>
        <row r="32877">
          <cell r="A32877">
            <v>43644</v>
          </cell>
        </row>
        <row r="32878">
          <cell r="A32878">
            <v>43180</v>
          </cell>
        </row>
        <row r="32879">
          <cell r="A32879">
            <v>43601</v>
          </cell>
        </row>
        <row r="32880">
          <cell r="A32880">
            <v>43721</v>
          </cell>
        </row>
        <row r="32881">
          <cell r="A32881">
            <v>43768</v>
          </cell>
        </row>
        <row r="32882">
          <cell r="A32882">
            <v>43554</v>
          </cell>
        </row>
        <row r="32883">
          <cell r="A32883">
            <v>43550</v>
          </cell>
        </row>
        <row r="32884">
          <cell r="A32884">
            <v>43467</v>
          </cell>
        </row>
        <row r="32885">
          <cell r="A32885">
            <v>43213</v>
          </cell>
        </row>
        <row r="32886">
          <cell r="A32886">
            <v>43340</v>
          </cell>
        </row>
        <row r="32887">
          <cell r="A32887">
            <v>43605</v>
          </cell>
        </row>
        <row r="32888">
          <cell r="A32888">
            <v>43256</v>
          </cell>
        </row>
        <row r="32889">
          <cell r="A32889">
            <v>43722</v>
          </cell>
        </row>
        <row r="32890">
          <cell r="A32890">
            <v>43116</v>
          </cell>
        </row>
        <row r="32891">
          <cell r="A32891">
            <v>43389</v>
          </cell>
        </row>
        <row r="32892">
          <cell r="A32892">
            <v>43301</v>
          </cell>
        </row>
        <row r="32893">
          <cell r="A32893">
            <v>43861</v>
          </cell>
        </row>
        <row r="32894">
          <cell r="A32894">
            <v>43767</v>
          </cell>
        </row>
        <row r="32895">
          <cell r="A32895">
            <v>43867</v>
          </cell>
        </row>
        <row r="32896">
          <cell r="A32896">
            <v>43449</v>
          </cell>
        </row>
        <row r="32897">
          <cell r="A32897">
            <v>43651</v>
          </cell>
        </row>
        <row r="32898">
          <cell r="A32898">
            <v>43134</v>
          </cell>
        </row>
        <row r="32899">
          <cell r="A32899">
            <v>43262</v>
          </cell>
        </row>
        <row r="32900">
          <cell r="A32900">
            <v>43867</v>
          </cell>
        </row>
        <row r="32901">
          <cell r="A32901">
            <v>43297</v>
          </cell>
        </row>
        <row r="32902">
          <cell r="A32902">
            <v>43774</v>
          </cell>
        </row>
        <row r="32903">
          <cell r="A32903">
            <v>43644</v>
          </cell>
        </row>
        <row r="32904">
          <cell r="A32904">
            <v>43373</v>
          </cell>
        </row>
        <row r="32905">
          <cell r="A32905">
            <v>43449</v>
          </cell>
        </row>
        <row r="32906">
          <cell r="A32906">
            <v>43805</v>
          </cell>
        </row>
        <row r="32907">
          <cell r="A32907">
            <v>43198</v>
          </cell>
        </row>
        <row r="32908">
          <cell r="A32908">
            <v>43530</v>
          </cell>
        </row>
        <row r="32909">
          <cell r="A32909">
            <v>43324</v>
          </cell>
        </row>
        <row r="32910">
          <cell r="A32910">
            <v>43442</v>
          </cell>
        </row>
        <row r="32911">
          <cell r="A32911">
            <v>43438</v>
          </cell>
        </row>
        <row r="32912">
          <cell r="A32912">
            <v>43711</v>
          </cell>
        </row>
        <row r="32913">
          <cell r="A32913">
            <v>43317</v>
          </cell>
        </row>
        <row r="32914">
          <cell r="A32914">
            <v>43290</v>
          </cell>
        </row>
        <row r="32915">
          <cell r="A32915">
            <v>43906</v>
          </cell>
        </row>
        <row r="32916">
          <cell r="A32916">
            <v>43645</v>
          </cell>
        </row>
        <row r="32917">
          <cell r="A32917">
            <v>43425</v>
          </cell>
        </row>
        <row r="32918">
          <cell r="A32918">
            <v>43403</v>
          </cell>
        </row>
        <row r="32919">
          <cell r="A32919">
            <v>43399</v>
          </cell>
        </row>
        <row r="32920">
          <cell r="A32920">
            <v>43498</v>
          </cell>
        </row>
        <row r="32921">
          <cell r="A32921">
            <v>43302</v>
          </cell>
        </row>
        <row r="32922">
          <cell r="A32922">
            <v>43113</v>
          </cell>
        </row>
        <row r="32923">
          <cell r="A32923">
            <v>43520</v>
          </cell>
        </row>
        <row r="32924">
          <cell r="A32924">
            <v>43667</v>
          </cell>
        </row>
        <row r="32925">
          <cell r="A32925">
            <v>43777</v>
          </cell>
        </row>
        <row r="32926">
          <cell r="A32926">
            <v>43371</v>
          </cell>
        </row>
        <row r="32927">
          <cell r="A32927">
            <v>43205</v>
          </cell>
        </row>
        <row r="32928">
          <cell r="A32928">
            <v>43566</v>
          </cell>
        </row>
        <row r="32929">
          <cell r="A32929">
            <v>43790</v>
          </cell>
        </row>
        <row r="32930">
          <cell r="A32930">
            <v>43893</v>
          </cell>
        </row>
        <row r="32931">
          <cell r="A32931">
            <v>43124</v>
          </cell>
        </row>
        <row r="32932">
          <cell r="A32932">
            <v>43160</v>
          </cell>
        </row>
        <row r="32933">
          <cell r="A32933">
            <v>43815</v>
          </cell>
        </row>
        <row r="32934">
          <cell r="A32934">
            <v>43252</v>
          </cell>
        </row>
        <row r="32935">
          <cell r="A32935">
            <v>43735</v>
          </cell>
        </row>
        <row r="32936">
          <cell r="A32936">
            <v>43534</v>
          </cell>
        </row>
        <row r="32937">
          <cell r="A32937">
            <v>43480</v>
          </cell>
        </row>
        <row r="32938">
          <cell r="A32938">
            <v>43150</v>
          </cell>
        </row>
        <row r="32939">
          <cell r="A32939">
            <v>43390</v>
          </cell>
        </row>
        <row r="32940">
          <cell r="A32940">
            <v>43106</v>
          </cell>
        </row>
        <row r="32941">
          <cell r="A32941">
            <v>43844</v>
          </cell>
        </row>
        <row r="32942">
          <cell r="A32942">
            <v>43291</v>
          </cell>
        </row>
        <row r="32943">
          <cell r="A32943">
            <v>43372</v>
          </cell>
        </row>
        <row r="32944">
          <cell r="A32944">
            <v>43330</v>
          </cell>
        </row>
        <row r="32945">
          <cell r="A32945">
            <v>43406</v>
          </cell>
        </row>
        <row r="32946">
          <cell r="A32946">
            <v>43109</v>
          </cell>
        </row>
        <row r="32947">
          <cell r="A32947">
            <v>43164</v>
          </cell>
        </row>
        <row r="32948">
          <cell r="A32948">
            <v>43897</v>
          </cell>
        </row>
        <row r="32949">
          <cell r="A32949">
            <v>43914</v>
          </cell>
        </row>
        <row r="32950">
          <cell r="A32950">
            <v>43920</v>
          </cell>
        </row>
        <row r="32951">
          <cell r="A32951">
            <v>43906</v>
          </cell>
        </row>
        <row r="32952">
          <cell r="A32952">
            <v>43137</v>
          </cell>
        </row>
        <row r="32953">
          <cell r="A32953">
            <v>43400</v>
          </cell>
        </row>
        <row r="32954">
          <cell r="A32954">
            <v>43567</v>
          </cell>
        </row>
        <row r="32955">
          <cell r="A32955">
            <v>43104</v>
          </cell>
        </row>
        <row r="32956">
          <cell r="A32956">
            <v>43601</v>
          </cell>
        </row>
        <row r="32957">
          <cell r="A32957">
            <v>43133</v>
          </cell>
        </row>
        <row r="32958">
          <cell r="A32958">
            <v>43436</v>
          </cell>
        </row>
        <row r="32959">
          <cell r="A32959">
            <v>43900</v>
          </cell>
        </row>
        <row r="32960">
          <cell r="A32960">
            <v>43855</v>
          </cell>
        </row>
        <row r="32961">
          <cell r="A32961">
            <v>43404</v>
          </cell>
        </row>
        <row r="32962">
          <cell r="A32962">
            <v>43775</v>
          </cell>
        </row>
        <row r="32963">
          <cell r="A32963">
            <v>43565</v>
          </cell>
        </row>
        <row r="32964">
          <cell r="A32964">
            <v>43448</v>
          </cell>
        </row>
        <row r="32965">
          <cell r="A32965">
            <v>43271</v>
          </cell>
        </row>
        <row r="32966">
          <cell r="A32966">
            <v>43791</v>
          </cell>
        </row>
        <row r="32967">
          <cell r="A32967">
            <v>43325</v>
          </cell>
        </row>
        <row r="32968">
          <cell r="A32968">
            <v>43775</v>
          </cell>
        </row>
        <row r="32969">
          <cell r="A32969">
            <v>43710</v>
          </cell>
        </row>
        <row r="32970">
          <cell r="A32970">
            <v>43586</v>
          </cell>
        </row>
        <row r="32971">
          <cell r="A32971">
            <v>43810</v>
          </cell>
        </row>
        <row r="32972">
          <cell r="A32972">
            <v>43133</v>
          </cell>
        </row>
        <row r="32973">
          <cell r="A32973">
            <v>43204</v>
          </cell>
        </row>
        <row r="32974">
          <cell r="A32974">
            <v>43844</v>
          </cell>
        </row>
        <row r="32975">
          <cell r="A32975">
            <v>43657</v>
          </cell>
        </row>
        <row r="32976">
          <cell r="A32976">
            <v>43170</v>
          </cell>
        </row>
        <row r="32977">
          <cell r="A32977">
            <v>43514</v>
          </cell>
        </row>
        <row r="32978">
          <cell r="A32978">
            <v>43140</v>
          </cell>
        </row>
        <row r="32979">
          <cell r="A32979">
            <v>43846</v>
          </cell>
        </row>
        <row r="32980">
          <cell r="A32980">
            <v>43407</v>
          </cell>
        </row>
        <row r="32981">
          <cell r="A32981">
            <v>43420</v>
          </cell>
        </row>
        <row r="32982">
          <cell r="A32982">
            <v>43829</v>
          </cell>
        </row>
        <row r="32983">
          <cell r="A32983">
            <v>43552</v>
          </cell>
        </row>
        <row r="32984">
          <cell r="A32984">
            <v>43398</v>
          </cell>
        </row>
        <row r="32985">
          <cell r="A32985">
            <v>43214</v>
          </cell>
        </row>
        <row r="32986">
          <cell r="A32986">
            <v>43764</v>
          </cell>
        </row>
        <row r="32987">
          <cell r="A32987">
            <v>43152</v>
          </cell>
        </row>
        <row r="32988">
          <cell r="A32988">
            <v>43765</v>
          </cell>
        </row>
        <row r="32989">
          <cell r="A32989">
            <v>43824</v>
          </cell>
        </row>
        <row r="32990">
          <cell r="A32990">
            <v>43226</v>
          </cell>
        </row>
        <row r="32991">
          <cell r="A32991">
            <v>43539</v>
          </cell>
        </row>
        <row r="32992">
          <cell r="A32992">
            <v>43739</v>
          </cell>
        </row>
        <row r="32993">
          <cell r="A32993">
            <v>43373</v>
          </cell>
        </row>
        <row r="32994">
          <cell r="A32994">
            <v>43528</v>
          </cell>
        </row>
        <row r="32995">
          <cell r="A32995">
            <v>43231</v>
          </cell>
        </row>
        <row r="32996">
          <cell r="A32996">
            <v>43907</v>
          </cell>
        </row>
        <row r="32997">
          <cell r="A32997">
            <v>43266</v>
          </cell>
        </row>
        <row r="32998">
          <cell r="A32998">
            <v>43175</v>
          </cell>
        </row>
        <row r="32999">
          <cell r="A32999">
            <v>43284</v>
          </cell>
        </row>
        <row r="33000">
          <cell r="A33000">
            <v>43353</v>
          </cell>
        </row>
        <row r="33001">
          <cell r="A33001">
            <v>43466</v>
          </cell>
        </row>
        <row r="33002">
          <cell r="A33002">
            <v>43337</v>
          </cell>
        </row>
        <row r="33003">
          <cell r="A33003">
            <v>43707</v>
          </cell>
        </row>
        <row r="33004">
          <cell r="A33004">
            <v>43861</v>
          </cell>
        </row>
        <row r="33005">
          <cell r="A33005">
            <v>43106</v>
          </cell>
        </row>
        <row r="33006">
          <cell r="A33006">
            <v>43224</v>
          </cell>
        </row>
        <row r="33007">
          <cell r="A33007">
            <v>43773</v>
          </cell>
        </row>
        <row r="33008">
          <cell r="A33008">
            <v>43554</v>
          </cell>
        </row>
        <row r="33009">
          <cell r="A33009">
            <v>43423</v>
          </cell>
        </row>
        <row r="33010">
          <cell r="A33010">
            <v>43775</v>
          </cell>
        </row>
        <row r="33011">
          <cell r="A33011">
            <v>43412</v>
          </cell>
        </row>
        <row r="33012">
          <cell r="A33012">
            <v>43616</v>
          </cell>
        </row>
        <row r="33013">
          <cell r="A33013">
            <v>43424</v>
          </cell>
        </row>
        <row r="33014">
          <cell r="A33014">
            <v>43917</v>
          </cell>
        </row>
        <row r="33015">
          <cell r="A33015">
            <v>43820</v>
          </cell>
        </row>
        <row r="33016">
          <cell r="A33016">
            <v>43875</v>
          </cell>
        </row>
        <row r="33017">
          <cell r="A33017">
            <v>43758</v>
          </cell>
        </row>
        <row r="33018">
          <cell r="A33018">
            <v>43153</v>
          </cell>
        </row>
        <row r="33019">
          <cell r="A33019">
            <v>43794</v>
          </cell>
        </row>
        <row r="33020">
          <cell r="A33020">
            <v>43807</v>
          </cell>
        </row>
        <row r="33021">
          <cell r="A33021">
            <v>43588</v>
          </cell>
        </row>
        <row r="33022">
          <cell r="A33022">
            <v>43642</v>
          </cell>
        </row>
        <row r="33023">
          <cell r="A33023">
            <v>43696</v>
          </cell>
        </row>
        <row r="33024">
          <cell r="A33024">
            <v>43577</v>
          </cell>
        </row>
        <row r="33025">
          <cell r="A33025">
            <v>43444</v>
          </cell>
        </row>
        <row r="33026">
          <cell r="A33026">
            <v>43660</v>
          </cell>
        </row>
        <row r="33027">
          <cell r="A33027">
            <v>43352</v>
          </cell>
        </row>
        <row r="33028">
          <cell r="A33028">
            <v>43263</v>
          </cell>
        </row>
        <row r="33029">
          <cell r="A33029">
            <v>43125</v>
          </cell>
        </row>
        <row r="33030">
          <cell r="A33030">
            <v>43226</v>
          </cell>
        </row>
        <row r="33031">
          <cell r="A33031">
            <v>43699</v>
          </cell>
        </row>
        <row r="33032">
          <cell r="A33032">
            <v>43541</v>
          </cell>
        </row>
        <row r="33033">
          <cell r="A33033">
            <v>43518</v>
          </cell>
        </row>
        <row r="33034">
          <cell r="A33034">
            <v>43280</v>
          </cell>
        </row>
        <row r="33035">
          <cell r="A33035">
            <v>43833</v>
          </cell>
        </row>
        <row r="33036">
          <cell r="A33036">
            <v>43356</v>
          </cell>
        </row>
        <row r="33037">
          <cell r="A33037">
            <v>43216</v>
          </cell>
        </row>
        <row r="33038">
          <cell r="A33038">
            <v>43394</v>
          </cell>
        </row>
        <row r="33039">
          <cell r="A33039">
            <v>43366</v>
          </cell>
        </row>
        <row r="33040">
          <cell r="A33040">
            <v>43487</v>
          </cell>
        </row>
        <row r="33041">
          <cell r="A33041">
            <v>43814</v>
          </cell>
        </row>
        <row r="33042">
          <cell r="A33042">
            <v>43470</v>
          </cell>
        </row>
        <row r="33043">
          <cell r="A33043">
            <v>43378</v>
          </cell>
        </row>
        <row r="33044">
          <cell r="A33044">
            <v>43286</v>
          </cell>
        </row>
        <row r="33045">
          <cell r="A33045">
            <v>43890</v>
          </cell>
        </row>
        <row r="33046">
          <cell r="A33046">
            <v>43226</v>
          </cell>
        </row>
        <row r="33047">
          <cell r="A33047">
            <v>43309</v>
          </cell>
        </row>
        <row r="33048">
          <cell r="A33048">
            <v>43449</v>
          </cell>
        </row>
        <row r="33049">
          <cell r="A33049">
            <v>43224</v>
          </cell>
        </row>
        <row r="33050">
          <cell r="A33050">
            <v>43793</v>
          </cell>
        </row>
        <row r="33051">
          <cell r="A33051">
            <v>43219</v>
          </cell>
        </row>
        <row r="33052">
          <cell r="A33052">
            <v>43450</v>
          </cell>
        </row>
        <row r="33053">
          <cell r="A33053">
            <v>43393</v>
          </cell>
        </row>
        <row r="33054">
          <cell r="A33054">
            <v>43667</v>
          </cell>
        </row>
        <row r="33055">
          <cell r="A33055">
            <v>43569</v>
          </cell>
        </row>
        <row r="33056">
          <cell r="A33056">
            <v>43578</v>
          </cell>
        </row>
        <row r="33057">
          <cell r="A33057">
            <v>43207</v>
          </cell>
        </row>
        <row r="33058">
          <cell r="A33058">
            <v>43910</v>
          </cell>
        </row>
        <row r="33059">
          <cell r="A33059">
            <v>43316</v>
          </cell>
        </row>
        <row r="33060">
          <cell r="A33060">
            <v>43102</v>
          </cell>
        </row>
        <row r="33061">
          <cell r="A33061">
            <v>43817</v>
          </cell>
        </row>
        <row r="33062">
          <cell r="A33062">
            <v>43297</v>
          </cell>
        </row>
        <row r="33063">
          <cell r="A33063">
            <v>43273</v>
          </cell>
        </row>
        <row r="33064">
          <cell r="A33064">
            <v>43319</v>
          </cell>
        </row>
        <row r="33065">
          <cell r="A33065">
            <v>43916</v>
          </cell>
        </row>
        <row r="33066">
          <cell r="A33066">
            <v>43169</v>
          </cell>
        </row>
        <row r="33067">
          <cell r="A33067">
            <v>43310</v>
          </cell>
        </row>
        <row r="33068">
          <cell r="A33068">
            <v>43290</v>
          </cell>
        </row>
        <row r="33069">
          <cell r="A33069">
            <v>43649</v>
          </cell>
        </row>
        <row r="33070">
          <cell r="A33070">
            <v>43894</v>
          </cell>
        </row>
        <row r="33071">
          <cell r="A33071">
            <v>43130</v>
          </cell>
        </row>
        <row r="33072">
          <cell r="A33072">
            <v>43272</v>
          </cell>
        </row>
        <row r="33073">
          <cell r="A33073">
            <v>43220</v>
          </cell>
        </row>
        <row r="33074">
          <cell r="A33074">
            <v>43897</v>
          </cell>
        </row>
        <row r="33075">
          <cell r="A33075">
            <v>43262</v>
          </cell>
        </row>
        <row r="33076">
          <cell r="A33076">
            <v>43716</v>
          </cell>
        </row>
        <row r="33077">
          <cell r="A33077">
            <v>43515</v>
          </cell>
        </row>
        <row r="33078">
          <cell r="A33078">
            <v>43388</v>
          </cell>
        </row>
        <row r="33079">
          <cell r="A33079">
            <v>43812</v>
          </cell>
        </row>
        <row r="33080">
          <cell r="A33080">
            <v>43455</v>
          </cell>
        </row>
        <row r="33081">
          <cell r="A33081">
            <v>43663</v>
          </cell>
        </row>
        <row r="33082">
          <cell r="A33082">
            <v>43494</v>
          </cell>
        </row>
        <row r="33083">
          <cell r="A33083">
            <v>43225</v>
          </cell>
        </row>
        <row r="33084">
          <cell r="A33084">
            <v>43520</v>
          </cell>
        </row>
        <row r="33085">
          <cell r="A33085">
            <v>43176</v>
          </cell>
        </row>
        <row r="33086">
          <cell r="A33086">
            <v>43481</v>
          </cell>
        </row>
        <row r="33087">
          <cell r="A33087">
            <v>43277</v>
          </cell>
        </row>
        <row r="33088">
          <cell r="A33088">
            <v>43817</v>
          </cell>
        </row>
        <row r="33089">
          <cell r="A33089">
            <v>43621</v>
          </cell>
        </row>
        <row r="33090">
          <cell r="A33090">
            <v>43822</v>
          </cell>
        </row>
        <row r="33091">
          <cell r="A33091">
            <v>43377</v>
          </cell>
        </row>
        <row r="33092">
          <cell r="A33092">
            <v>43341</v>
          </cell>
        </row>
        <row r="33093">
          <cell r="A33093">
            <v>43248</v>
          </cell>
        </row>
        <row r="33094">
          <cell r="A33094">
            <v>43383</v>
          </cell>
        </row>
        <row r="33095">
          <cell r="A33095">
            <v>43638</v>
          </cell>
        </row>
        <row r="33096">
          <cell r="A33096">
            <v>43342</v>
          </cell>
        </row>
        <row r="33097">
          <cell r="A33097">
            <v>43818</v>
          </cell>
        </row>
        <row r="33098">
          <cell r="A33098">
            <v>43914</v>
          </cell>
        </row>
        <row r="33099">
          <cell r="A33099">
            <v>43829</v>
          </cell>
        </row>
        <row r="33100">
          <cell r="A33100">
            <v>43201</v>
          </cell>
        </row>
        <row r="33101">
          <cell r="A33101">
            <v>43316</v>
          </cell>
        </row>
        <row r="33102">
          <cell r="A33102">
            <v>43107</v>
          </cell>
        </row>
        <row r="33103">
          <cell r="A33103">
            <v>43451</v>
          </cell>
        </row>
        <row r="33104">
          <cell r="A33104">
            <v>43215</v>
          </cell>
        </row>
        <row r="33105">
          <cell r="A33105">
            <v>43168</v>
          </cell>
        </row>
        <row r="33106">
          <cell r="A33106">
            <v>43230</v>
          </cell>
        </row>
        <row r="33107">
          <cell r="A33107">
            <v>43604</v>
          </cell>
        </row>
        <row r="33108">
          <cell r="A33108">
            <v>43886</v>
          </cell>
        </row>
        <row r="33109">
          <cell r="A33109">
            <v>43440</v>
          </cell>
        </row>
        <row r="33110">
          <cell r="A33110">
            <v>43668</v>
          </cell>
        </row>
        <row r="33111">
          <cell r="A33111">
            <v>43731</v>
          </cell>
        </row>
        <row r="33112">
          <cell r="A33112">
            <v>43135</v>
          </cell>
        </row>
        <row r="33113">
          <cell r="A33113">
            <v>43216</v>
          </cell>
        </row>
        <row r="33114">
          <cell r="A33114">
            <v>43403</v>
          </cell>
        </row>
        <row r="33115">
          <cell r="A33115">
            <v>43483</v>
          </cell>
        </row>
        <row r="33116">
          <cell r="A33116">
            <v>43715</v>
          </cell>
        </row>
        <row r="33117">
          <cell r="A33117">
            <v>43744</v>
          </cell>
        </row>
        <row r="33118">
          <cell r="A33118">
            <v>43608</v>
          </cell>
        </row>
        <row r="33119">
          <cell r="A33119">
            <v>43558</v>
          </cell>
        </row>
        <row r="33120">
          <cell r="A33120">
            <v>43238</v>
          </cell>
        </row>
        <row r="33121">
          <cell r="A33121">
            <v>43628</v>
          </cell>
        </row>
        <row r="33122">
          <cell r="A33122">
            <v>43161</v>
          </cell>
        </row>
        <row r="33123">
          <cell r="A33123">
            <v>43338</v>
          </cell>
        </row>
        <row r="33124">
          <cell r="A33124">
            <v>43624</v>
          </cell>
        </row>
        <row r="33125">
          <cell r="A33125">
            <v>43591</v>
          </cell>
        </row>
        <row r="33126">
          <cell r="A33126">
            <v>43595</v>
          </cell>
        </row>
        <row r="33127">
          <cell r="A33127">
            <v>43888</v>
          </cell>
        </row>
        <row r="33128">
          <cell r="A33128">
            <v>43549</v>
          </cell>
        </row>
        <row r="33129">
          <cell r="A33129">
            <v>43772</v>
          </cell>
        </row>
        <row r="33130">
          <cell r="A33130">
            <v>43123</v>
          </cell>
        </row>
        <row r="33131">
          <cell r="A33131">
            <v>43507</v>
          </cell>
        </row>
        <row r="33132">
          <cell r="A33132">
            <v>43904</v>
          </cell>
        </row>
        <row r="33133">
          <cell r="A33133">
            <v>43485</v>
          </cell>
        </row>
        <row r="33134">
          <cell r="A33134">
            <v>43800</v>
          </cell>
        </row>
        <row r="33135">
          <cell r="A33135">
            <v>43237</v>
          </cell>
        </row>
        <row r="33136">
          <cell r="A33136">
            <v>43348</v>
          </cell>
        </row>
        <row r="33137">
          <cell r="A33137">
            <v>43754</v>
          </cell>
        </row>
        <row r="33138">
          <cell r="A33138">
            <v>43708</v>
          </cell>
        </row>
        <row r="33139">
          <cell r="A33139">
            <v>43308</v>
          </cell>
        </row>
        <row r="33140">
          <cell r="A33140">
            <v>43752</v>
          </cell>
        </row>
        <row r="33141">
          <cell r="A33141">
            <v>43478</v>
          </cell>
        </row>
        <row r="33142">
          <cell r="A33142">
            <v>43277</v>
          </cell>
        </row>
        <row r="33143">
          <cell r="A33143">
            <v>43503</v>
          </cell>
        </row>
        <row r="33144">
          <cell r="A33144">
            <v>43843</v>
          </cell>
        </row>
        <row r="33145">
          <cell r="A33145">
            <v>43852</v>
          </cell>
        </row>
        <row r="33146">
          <cell r="A33146">
            <v>43829</v>
          </cell>
        </row>
        <row r="33147">
          <cell r="A33147">
            <v>43640</v>
          </cell>
        </row>
        <row r="33148">
          <cell r="A33148">
            <v>43915</v>
          </cell>
        </row>
        <row r="33149">
          <cell r="A33149">
            <v>43211</v>
          </cell>
        </row>
        <row r="33150">
          <cell r="A33150">
            <v>43884</v>
          </cell>
        </row>
        <row r="33151">
          <cell r="A33151">
            <v>43236</v>
          </cell>
        </row>
        <row r="33152">
          <cell r="A33152">
            <v>43450</v>
          </cell>
        </row>
        <row r="33153">
          <cell r="A33153">
            <v>43164</v>
          </cell>
        </row>
        <row r="33154">
          <cell r="A33154">
            <v>43228</v>
          </cell>
        </row>
        <row r="33155">
          <cell r="A33155">
            <v>43634</v>
          </cell>
        </row>
        <row r="33156">
          <cell r="A33156">
            <v>43146</v>
          </cell>
        </row>
        <row r="33157">
          <cell r="A33157">
            <v>43641</v>
          </cell>
        </row>
        <row r="33158">
          <cell r="A33158">
            <v>43344</v>
          </cell>
        </row>
        <row r="33159">
          <cell r="A33159">
            <v>43294</v>
          </cell>
        </row>
        <row r="33160">
          <cell r="A33160">
            <v>43788</v>
          </cell>
        </row>
        <row r="33161">
          <cell r="A33161">
            <v>43404</v>
          </cell>
        </row>
        <row r="33162">
          <cell r="A33162">
            <v>43808</v>
          </cell>
        </row>
        <row r="33163">
          <cell r="A33163">
            <v>43142</v>
          </cell>
        </row>
        <row r="33164">
          <cell r="A33164">
            <v>43582</v>
          </cell>
        </row>
        <row r="33165">
          <cell r="A33165">
            <v>43319</v>
          </cell>
        </row>
        <row r="33166">
          <cell r="A33166">
            <v>43917</v>
          </cell>
        </row>
        <row r="33167">
          <cell r="A33167">
            <v>43512</v>
          </cell>
        </row>
        <row r="33168">
          <cell r="A33168">
            <v>43229</v>
          </cell>
        </row>
        <row r="33169">
          <cell r="A33169">
            <v>43697</v>
          </cell>
        </row>
        <row r="33170">
          <cell r="A33170">
            <v>43407</v>
          </cell>
        </row>
        <row r="33171">
          <cell r="A33171">
            <v>43744</v>
          </cell>
        </row>
        <row r="33172">
          <cell r="A33172">
            <v>43670</v>
          </cell>
        </row>
        <row r="33173">
          <cell r="A33173">
            <v>43330</v>
          </cell>
        </row>
        <row r="33174">
          <cell r="A33174">
            <v>43417</v>
          </cell>
        </row>
        <row r="33175">
          <cell r="A33175">
            <v>43458</v>
          </cell>
        </row>
        <row r="33176">
          <cell r="A33176">
            <v>43324</v>
          </cell>
        </row>
        <row r="33177">
          <cell r="A33177">
            <v>43519</v>
          </cell>
        </row>
        <row r="33178">
          <cell r="A33178">
            <v>43841</v>
          </cell>
        </row>
        <row r="33179">
          <cell r="A33179">
            <v>43169</v>
          </cell>
        </row>
        <row r="33180">
          <cell r="A33180">
            <v>43426</v>
          </cell>
        </row>
        <row r="33181">
          <cell r="A33181">
            <v>43677</v>
          </cell>
        </row>
        <row r="33182">
          <cell r="A33182">
            <v>43666</v>
          </cell>
        </row>
        <row r="33183">
          <cell r="A33183">
            <v>43314</v>
          </cell>
        </row>
        <row r="33184">
          <cell r="A33184">
            <v>43400</v>
          </cell>
        </row>
        <row r="33185">
          <cell r="A33185">
            <v>43659</v>
          </cell>
        </row>
        <row r="33186">
          <cell r="A33186">
            <v>43288</v>
          </cell>
        </row>
        <row r="33187">
          <cell r="A33187">
            <v>43152</v>
          </cell>
        </row>
        <row r="33188">
          <cell r="A33188">
            <v>43395</v>
          </cell>
        </row>
        <row r="33189">
          <cell r="A33189">
            <v>43170</v>
          </cell>
        </row>
        <row r="33190">
          <cell r="A33190">
            <v>43375</v>
          </cell>
        </row>
        <row r="33191">
          <cell r="A33191">
            <v>43588</v>
          </cell>
        </row>
        <row r="33192">
          <cell r="A33192">
            <v>43789</v>
          </cell>
        </row>
        <row r="33193">
          <cell r="A33193">
            <v>43748</v>
          </cell>
        </row>
        <row r="33194">
          <cell r="A33194">
            <v>43654</v>
          </cell>
        </row>
        <row r="33195">
          <cell r="A33195">
            <v>43454</v>
          </cell>
        </row>
        <row r="33196">
          <cell r="A33196">
            <v>43823</v>
          </cell>
        </row>
        <row r="33197">
          <cell r="A33197">
            <v>43567</v>
          </cell>
        </row>
        <row r="33198">
          <cell r="A33198">
            <v>43542</v>
          </cell>
        </row>
        <row r="33199">
          <cell r="A33199">
            <v>43489</v>
          </cell>
        </row>
        <row r="33200">
          <cell r="A33200">
            <v>43786</v>
          </cell>
        </row>
        <row r="33201">
          <cell r="A33201">
            <v>43724</v>
          </cell>
        </row>
        <row r="33202">
          <cell r="A33202">
            <v>43550</v>
          </cell>
        </row>
        <row r="33203">
          <cell r="A33203">
            <v>43858</v>
          </cell>
        </row>
        <row r="33204">
          <cell r="A33204">
            <v>43670</v>
          </cell>
        </row>
        <row r="33205">
          <cell r="A33205">
            <v>43687</v>
          </cell>
        </row>
        <row r="33206">
          <cell r="A33206">
            <v>43104</v>
          </cell>
        </row>
        <row r="33207">
          <cell r="A33207">
            <v>43447</v>
          </cell>
        </row>
        <row r="33208">
          <cell r="A33208">
            <v>43163</v>
          </cell>
        </row>
        <row r="33209">
          <cell r="A33209">
            <v>43914</v>
          </cell>
        </row>
        <row r="33210">
          <cell r="A33210">
            <v>43588</v>
          </cell>
        </row>
        <row r="33211">
          <cell r="A33211">
            <v>43713</v>
          </cell>
        </row>
        <row r="33212">
          <cell r="A33212">
            <v>43499</v>
          </cell>
        </row>
        <row r="33213">
          <cell r="A33213">
            <v>43374</v>
          </cell>
        </row>
        <row r="33214">
          <cell r="A33214">
            <v>43748</v>
          </cell>
        </row>
        <row r="33215">
          <cell r="A33215">
            <v>43732</v>
          </cell>
        </row>
        <row r="33216">
          <cell r="A33216">
            <v>43537</v>
          </cell>
        </row>
        <row r="33217">
          <cell r="A33217">
            <v>43400</v>
          </cell>
        </row>
        <row r="33218">
          <cell r="A33218">
            <v>43752</v>
          </cell>
        </row>
        <row r="33219">
          <cell r="A33219">
            <v>43633</v>
          </cell>
        </row>
        <row r="33220">
          <cell r="A33220">
            <v>43843</v>
          </cell>
        </row>
        <row r="33221">
          <cell r="A33221">
            <v>43119</v>
          </cell>
        </row>
        <row r="33222">
          <cell r="A33222">
            <v>43218</v>
          </cell>
        </row>
        <row r="33223">
          <cell r="A33223">
            <v>43519</v>
          </cell>
        </row>
        <row r="33224">
          <cell r="A33224">
            <v>43799</v>
          </cell>
        </row>
        <row r="33225">
          <cell r="A33225">
            <v>43429</v>
          </cell>
        </row>
        <row r="33226">
          <cell r="A33226">
            <v>43336</v>
          </cell>
        </row>
        <row r="33227">
          <cell r="A33227">
            <v>43421</v>
          </cell>
        </row>
        <row r="33228">
          <cell r="A33228">
            <v>43491</v>
          </cell>
        </row>
        <row r="33229">
          <cell r="A33229">
            <v>43559</v>
          </cell>
        </row>
        <row r="33230">
          <cell r="A33230">
            <v>43645</v>
          </cell>
        </row>
        <row r="33231">
          <cell r="A33231">
            <v>43472</v>
          </cell>
        </row>
        <row r="33232">
          <cell r="A33232">
            <v>43749</v>
          </cell>
        </row>
        <row r="33233">
          <cell r="A33233">
            <v>43452</v>
          </cell>
        </row>
        <row r="33234">
          <cell r="A33234">
            <v>43143</v>
          </cell>
        </row>
        <row r="33235">
          <cell r="A33235">
            <v>43247</v>
          </cell>
        </row>
        <row r="33236">
          <cell r="A33236">
            <v>43907</v>
          </cell>
        </row>
        <row r="33237">
          <cell r="A33237">
            <v>43104</v>
          </cell>
        </row>
        <row r="33238">
          <cell r="A33238">
            <v>43459</v>
          </cell>
        </row>
        <row r="33239">
          <cell r="A33239">
            <v>43203</v>
          </cell>
        </row>
        <row r="33240">
          <cell r="A33240">
            <v>43912</v>
          </cell>
        </row>
        <row r="33241">
          <cell r="A33241">
            <v>43378</v>
          </cell>
        </row>
        <row r="33242">
          <cell r="A33242">
            <v>43359</v>
          </cell>
        </row>
        <row r="33243">
          <cell r="A33243">
            <v>43220</v>
          </cell>
        </row>
        <row r="33244">
          <cell r="A33244">
            <v>43811</v>
          </cell>
        </row>
        <row r="33245">
          <cell r="A33245">
            <v>43431</v>
          </cell>
        </row>
        <row r="33246">
          <cell r="A33246">
            <v>43327</v>
          </cell>
        </row>
        <row r="33247">
          <cell r="A33247">
            <v>43635</v>
          </cell>
        </row>
        <row r="33248">
          <cell r="A33248">
            <v>43200</v>
          </cell>
        </row>
        <row r="33249">
          <cell r="A33249">
            <v>43805</v>
          </cell>
        </row>
        <row r="33250">
          <cell r="A33250">
            <v>43389</v>
          </cell>
        </row>
        <row r="33251">
          <cell r="A33251">
            <v>43880</v>
          </cell>
        </row>
        <row r="33252">
          <cell r="A33252">
            <v>43816</v>
          </cell>
        </row>
        <row r="33253">
          <cell r="A33253">
            <v>43523</v>
          </cell>
        </row>
        <row r="33254">
          <cell r="A33254">
            <v>43919</v>
          </cell>
        </row>
        <row r="33255">
          <cell r="A33255">
            <v>43865</v>
          </cell>
        </row>
        <row r="33256">
          <cell r="A33256">
            <v>43339</v>
          </cell>
        </row>
        <row r="33257">
          <cell r="A33257">
            <v>43880</v>
          </cell>
        </row>
        <row r="33258">
          <cell r="A33258">
            <v>43792</v>
          </cell>
        </row>
        <row r="33259">
          <cell r="A33259">
            <v>43827</v>
          </cell>
        </row>
        <row r="33260">
          <cell r="A33260">
            <v>43780</v>
          </cell>
        </row>
        <row r="33261">
          <cell r="A33261">
            <v>43913</v>
          </cell>
        </row>
        <row r="33262">
          <cell r="A33262">
            <v>43498</v>
          </cell>
        </row>
        <row r="33263">
          <cell r="A33263">
            <v>43687</v>
          </cell>
        </row>
        <row r="33264">
          <cell r="A33264">
            <v>43258</v>
          </cell>
        </row>
        <row r="33265">
          <cell r="A33265">
            <v>43420</v>
          </cell>
        </row>
        <row r="33266">
          <cell r="A33266">
            <v>43426</v>
          </cell>
        </row>
        <row r="33267">
          <cell r="A33267">
            <v>43702</v>
          </cell>
        </row>
        <row r="33268">
          <cell r="A33268">
            <v>43243</v>
          </cell>
        </row>
        <row r="33269">
          <cell r="A33269">
            <v>43790</v>
          </cell>
        </row>
        <row r="33270">
          <cell r="A33270">
            <v>43315</v>
          </cell>
        </row>
        <row r="33271">
          <cell r="A33271">
            <v>43258</v>
          </cell>
        </row>
        <row r="33272">
          <cell r="A33272">
            <v>43201</v>
          </cell>
        </row>
        <row r="33273">
          <cell r="A33273">
            <v>43309</v>
          </cell>
        </row>
        <row r="33274">
          <cell r="A33274">
            <v>43372</v>
          </cell>
        </row>
        <row r="33275">
          <cell r="A33275">
            <v>43579</v>
          </cell>
        </row>
        <row r="33276">
          <cell r="A33276">
            <v>43834</v>
          </cell>
        </row>
        <row r="33277">
          <cell r="A33277">
            <v>43579</v>
          </cell>
        </row>
        <row r="33278">
          <cell r="A33278">
            <v>43853</v>
          </cell>
        </row>
        <row r="33279">
          <cell r="A33279">
            <v>43489</v>
          </cell>
        </row>
        <row r="33280">
          <cell r="A33280">
            <v>43379</v>
          </cell>
        </row>
        <row r="33281">
          <cell r="A33281">
            <v>43441</v>
          </cell>
        </row>
        <row r="33282">
          <cell r="A33282">
            <v>43897</v>
          </cell>
        </row>
        <row r="33283">
          <cell r="A33283">
            <v>43650</v>
          </cell>
        </row>
        <row r="33284">
          <cell r="A33284">
            <v>43674</v>
          </cell>
        </row>
        <row r="33285">
          <cell r="A33285">
            <v>43606</v>
          </cell>
        </row>
        <row r="33286">
          <cell r="A33286">
            <v>43525</v>
          </cell>
        </row>
        <row r="33287">
          <cell r="A33287">
            <v>43272</v>
          </cell>
        </row>
        <row r="33288">
          <cell r="A33288">
            <v>43393</v>
          </cell>
        </row>
        <row r="33289">
          <cell r="A33289">
            <v>43387</v>
          </cell>
        </row>
        <row r="33290">
          <cell r="A33290">
            <v>43909</v>
          </cell>
        </row>
        <row r="33291">
          <cell r="A33291">
            <v>43516</v>
          </cell>
        </row>
        <row r="33292">
          <cell r="A33292">
            <v>43642</v>
          </cell>
        </row>
        <row r="33293">
          <cell r="A33293">
            <v>43685</v>
          </cell>
        </row>
        <row r="33294">
          <cell r="A33294">
            <v>43619</v>
          </cell>
        </row>
        <row r="33295">
          <cell r="A33295">
            <v>43327</v>
          </cell>
        </row>
        <row r="33296">
          <cell r="A33296">
            <v>43335</v>
          </cell>
        </row>
        <row r="33297">
          <cell r="A33297">
            <v>43443</v>
          </cell>
        </row>
        <row r="33298">
          <cell r="A33298">
            <v>43265</v>
          </cell>
        </row>
        <row r="33299">
          <cell r="A33299">
            <v>43126</v>
          </cell>
        </row>
        <row r="33300">
          <cell r="A33300">
            <v>43302</v>
          </cell>
        </row>
        <row r="33301">
          <cell r="A33301">
            <v>43683</v>
          </cell>
        </row>
        <row r="33302">
          <cell r="A33302">
            <v>43539</v>
          </cell>
        </row>
        <row r="33303">
          <cell r="A33303">
            <v>43389</v>
          </cell>
        </row>
        <row r="33304">
          <cell r="A33304">
            <v>43286</v>
          </cell>
        </row>
        <row r="33305">
          <cell r="A33305">
            <v>43730</v>
          </cell>
        </row>
        <row r="33306">
          <cell r="A33306">
            <v>43493</v>
          </cell>
        </row>
        <row r="33307">
          <cell r="A33307">
            <v>43614</v>
          </cell>
        </row>
        <row r="33308">
          <cell r="A33308">
            <v>43500</v>
          </cell>
        </row>
        <row r="33309">
          <cell r="A33309">
            <v>43788</v>
          </cell>
        </row>
        <row r="33310">
          <cell r="A33310">
            <v>43326</v>
          </cell>
        </row>
        <row r="33311">
          <cell r="A33311">
            <v>43135</v>
          </cell>
        </row>
        <row r="33312">
          <cell r="A33312">
            <v>43720</v>
          </cell>
        </row>
        <row r="33313">
          <cell r="A33313">
            <v>43147</v>
          </cell>
        </row>
        <row r="33314">
          <cell r="A33314">
            <v>43487</v>
          </cell>
        </row>
        <row r="33315">
          <cell r="A33315">
            <v>43113</v>
          </cell>
        </row>
        <row r="33316">
          <cell r="A33316">
            <v>43329</v>
          </cell>
        </row>
        <row r="33317">
          <cell r="A33317">
            <v>43107</v>
          </cell>
        </row>
        <row r="33318">
          <cell r="A33318">
            <v>43539</v>
          </cell>
        </row>
        <row r="33319">
          <cell r="A33319">
            <v>43724</v>
          </cell>
        </row>
        <row r="33320">
          <cell r="A33320">
            <v>43237</v>
          </cell>
        </row>
        <row r="33321">
          <cell r="A33321">
            <v>43548</v>
          </cell>
        </row>
        <row r="33322">
          <cell r="A33322">
            <v>43727</v>
          </cell>
        </row>
        <row r="33323">
          <cell r="A33323">
            <v>43568</v>
          </cell>
        </row>
        <row r="33324">
          <cell r="A33324">
            <v>43189</v>
          </cell>
        </row>
        <row r="33325">
          <cell r="A33325">
            <v>43418</v>
          </cell>
        </row>
        <row r="33326">
          <cell r="A33326">
            <v>43168</v>
          </cell>
        </row>
        <row r="33327">
          <cell r="A33327">
            <v>43613</v>
          </cell>
        </row>
        <row r="33328">
          <cell r="A33328">
            <v>43877</v>
          </cell>
        </row>
        <row r="33329">
          <cell r="A33329">
            <v>43773</v>
          </cell>
        </row>
        <row r="33330">
          <cell r="A33330">
            <v>43754</v>
          </cell>
        </row>
        <row r="33331">
          <cell r="A33331">
            <v>43330</v>
          </cell>
        </row>
        <row r="33332">
          <cell r="A33332">
            <v>43402</v>
          </cell>
        </row>
        <row r="33333">
          <cell r="A33333">
            <v>43628</v>
          </cell>
        </row>
        <row r="33334">
          <cell r="A33334">
            <v>43575</v>
          </cell>
        </row>
        <row r="33335">
          <cell r="A33335">
            <v>43671</v>
          </cell>
        </row>
        <row r="33336">
          <cell r="A33336">
            <v>43322</v>
          </cell>
        </row>
        <row r="33337">
          <cell r="A33337">
            <v>43889</v>
          </cell>
        </row>
        <row r="33338">
          <cell r="A33338">
            <v>43724</v>
          </cell>
        </row>
        <row r="33339">
          <cell r="A33339">
            <v>43815</v>
          </cell>
        </row>
        <row r="33340">
          <cell r="A33340">
            <v>43134</v>
          </cell>
        </row>
        <row r="33341">
          <cell r="A33341">
            <v>43506</v>
          </cell>
        </row>
        <row r="33342">
          <cell r="A33342">
            <v>43173</v>
          </cell>
        </row>
        <row r="33343">
          <cell r="A33343">
            <v>43775</v>
          </cell>
        </row>
        <row r="33344">
          <cell r="A33344">
            <v>43519</v>
          </cell>
        </row>
        <row r="33345">
          <cell r="A33345">
            <v>43874</v>
          </cell>
        </row>
        <row r="33346">
          <cell r="A33346">
            <v>43412</v>
          </cell>
        </row>
        <row r="33347">
          <cell r="A33347">
            <v>43214</v>
          </cell>
        </row>
        <row r="33348">
          <cell r="A33348">
            <v>43732</v>
          </cell>
        </row>
        <row r="33349">
          <cell r="A33349">
            <v>43803</v>
          </cell>
        </row>
        <row r="33350">
          <cell r="A33350">
            <v>43271</v>
          </cell>
        </row>
        <row r="33351">
          <cell r="A33351">
            <v>43170</v>
          </cell>
        </row>
        <row r="33352">
          <cell r="A33352">
            <v>43641</v>
          </cell>
        </row>
        <row r="33353">
          <cell r="A33353">
            <v>43235</v>
          </cell>
        </row>
        <row r="33354">
          <cell r="A33354">
            <v>43789</v>
          </cell>
        </row>
        <row r="33355">
          <cell r="A33355">
            <v>43475</v>
          </cell>
        </row>
        <row r="33356">
          <cell r="A33356">
            <v>43893</v>
          </cell>
        </row>
        <row r="33357">
          <cell r="A33357">
            <v>43335</v>
          </cell>
        </row>
        <row r="33358">
          <cell r="A33358">
            <v>43625</v>
          </cell>
        </row>
        <row r="33359">
          <cell r="A33359">
            <v>43386</v>
          </cell>
        </row>
        <row r="33360">
          <cell r="A33360">
            <v>43389</v>
          </cell>
        </row>
        <row r="33361">
          <cell r="A33361">
            <v>43543</v>
          </cell>
        </row>
        <row r="33362">
          <cell r="A33362">
            <v>43545</v>
          </cell>
        </row>
        <row r="33363">
          <cell r="A33363">
            <v>43749</v>
          </cell>
        </row>
        <row r="33364">
          <cell r="A33364">
            <v>43737</v>
          </cell>
        </row>
        <row r="33365">
          <cell r="A33365">
            <v>43300</v>
          </cell>
        </row>
        <row r="33366">
          <cell r="A33366">
            <v>43577</v>
          </cell>
        </row>
        <row r="33367">
          <cell r="A33367">
            <v>43170</v>
          </cell>
        </row>
        <row r="33368">
          <cell r="A33368">
            <v>43236</v>
          </cell>
        </row>
        <row r="33369">
          <cell r="A33369">
            <v>43742</v>
          </cell>
        </row>
        <row r="33370">
          <cell r="A33370">
            <v>43177</v>
          </cell>
        </row>
        <row r="33371">
          <cell r="A33371">
            <v>43637</v>
          </cell>
        </row>
        <row r="33372">
          <cell r="A33372">
            <v>43629</v>
          </cell>
        </row>
        <row r="33373">
          <cell r="A33373">
            <v>43644</v>
          </cell>
        </row>
        <row r="33374">
          <cell r="A33374">
            <v>43372</v>
          </cell>
        </row>
        <row r="33375">
          <cell r="A33375">
            <v>43108</v>
          </cell>
        </row>
        <row r="33376">
          <cell r="A33376">
            <v>43579</v>
          </cell>
        </row>
        <row r="33377">
          <cell r="A33377">
            <v>43460</v>
          </cell>
        </row>
        <row r="33378">
          <cell r="A33378">
            <v>43447</v>
          </cell>
        </row>
        <row r="33379">
          <cell r="A33379">
            <v>43604</v>
          </cell>
        </row>
        <row r="33380">
          <cell r="A33380">
            <v>43797</v>
          </cell>
        </row>
        <row r="33381">
          <cell r="A33381">
            <v>43786</v>
          </cell>
        </row>
        <row r="33382">
          <cell r="A33382">
            <v>43665</v>
          </cell>
        </row>
        <row r="33383">
          <cell r="A33383">
            <v>43841</v>
          </cell>
        </row>
        <row r="33384">
          <cell r="A33384">
            <v>43474</v>
          </cell>
        </row>
        <row r="33385">
          <cell r="A33385">
            <v>43526</v>
          </cell>
        </row>
        <row r="33386">
          <cell r="A33386">
            <v>43676</v>
          </cell>
        </row>
        <row r="33387">
          <cell r="A33387">
            <v>43910</v>
          </cell>
        </row>
        <row r="33388">
          <cell r="A33388">
            <v>43509</v>
          </cell>
        </row>
        <row r="33389">
          <cell r="A33389">
            <v>43859</v>
          </cell>
        </row>
        <row r="33390">
          <cell r="A33390">
            <v>43578</v>
          </cell>
        </row>
        <row r="33391">
          <cell r="A33391">
            <v>43575</v>
          </cell>
        </row>
        <row r="33392">
          <cell r="A33392">
            <v>43699</v>
          </cell>
        </row>
        <row r="33393">
          <cell r="A33393">
            <v>43800</v>
          </cell>
        </row>
        <row r="33394">
          <cell r="A33394">
            <v>43904</v>
          </cell>
        </row>
        <row r="33395">
          <cell r="A33395">
            <v>43481</v>
          </cell>
        </row>
        <row r="33396">
          <cell r="A33396">
            <v>43883</v>
          </cell>
        </row>
        <row r="33397">
          <cell r="A33397">
            <v>43296</v>
          </cell>
        </row>
        <row r="33398">
          <cell r="A33398">
            <v>43535</v>
          </cell>
        </row>
        <row r="33399">
          <cell r="A33399">
            <v>43839</v>
          </cell>
        </row>
        <row r="33400">
          <cell r="A33400">
            <v>43554</v>
          </cell>
        </row>
        <row r="33401">
          <cell r="A33401">
            <v>43857</v>
          </cell>
        </row>
        <row r="33402">
          <cell r="A33402">
            <v>43546</v>
          </cell>
        </row>
        <row r="33403">
          <cell r="A33403">
            <v>43602</v>
          </cell>
        </row>
        <row r="33404">
          <cell r="A33404">
            <v>43239</v>
          </cell>
        </row>
        <row r="33405">
          <cell r="A33405">
            <v>43539</v>
          </cell>
        </row>
        <row r="33406">
          <cell r="A33406">
            <v>43319</v>
          </cell>
        </row>
        <row r="33407">
          <cell r="A33407">
            <v>43641</v>
          </cell>
        </row>
        <row r="33408">
          <cell r="A33408">
            <v>43113</v>
          </cell>
        </row>
        <row r="33409">
          <cell r="A33409">
            <v>43661</v>
          </cell>
        </row>
        <row r="33410">
          <cell r="A33410">
            <v>43780</v>
          </cell>
        </row>
        <row r="33411">
          <cell r="A33411">
            <v>43442</v>
          </cell>
        </row>
        <row r="33412">
          <cell r="A33412">
            <v>43110</v>
          </cell>
        </row>
        <row r="33413">
          <cell r="A33413">
            <v>43157</v>
          </cell>
        </row>
        <row r="33414">
          <cell r="A33414">
            <v>43410</v>
          </cell>
        </row>
        <row r="33415">
          <cell r="A33415">
            <v>43834</v>
          </cell>
        </row>
        <row r="33416">
          <cell r="A33416">
            <v>43381</v>
          </cell>
        </row>
        <row r="33417">
          <cell r="A33417">
            <v>43399</v>
          </cell>
        </row>
        <row r="33418">
          <cell r="A33418">
            <v>43856</v>
          </cell>
        </row>
        <row r="33419">
          <cell r="A33419">
            <v>43240</v>
          </cell>
        </row>
        <row r="33420">
          <cell r="A33420">
            <v>43914</v>
          </cell>
        </row>
        <row r="33421">
          <cell r="A33421">
            <v>43600</v>
          </cell>
        </row>
        <row r="33422">
          <cell r="A33422">
            <v>43181</v>
          </cell>
        </row>
        <row r="33423">
          <cell r="A33423">
            <v>43120</v>
          </cell>
        </row>
        <row r="33424">
          <cell r="A33424">
            <v>43668</v>
          </cell>
        </row>
        <row r="33425">
          <cell r="A33425">
            <v>43210</v>
          </cell>
        </row>
        <row r="33426">
          <cell r="A33426">
            <v>43325</v>
          </cell>
        </row>
        <row r="33427">
          <cell r="A33427">
            <v>43133</v>
          </cell>
        </row>
        <row r="33428">
          <cell r="A33428">
            <v>43611</v>
          </cell>
        </row>
        <row r="33429">
          <cell r="A33429">
            <v>43215</v>
          </cell>
        </row>
        <row r="33430">
          <cell r="A33430">
            <v>43620</v>
          </cell>
        </row>
        <row r="33431">
          <cell r="A33431">
            <v>43373</v>
          </cell>
        </row>
        <row r="33432">
          <cell r="A33432">
            <v>43597</v>
          </cell>
        </row>
        <row r="33433">
          <cell r="A33433">
            <v>43317</v>
          </cell>
        </row>
        <row r="33434">
          <cell r="A33434">
            <v>43886</v>
          </cell>
        </row>
        <row r="33435">
          <cell r="A33435">
            <v>43255</v>
          </cell>
        </row>
        <row r="33436">
          <cell r="A33436">
            <v>43554</v>
          </cell>
        </row>
        <row r="33437">
          <cell r="A33437">
            <v>43187</v>
          </cell>
        </row>
        <row r="33438">
          <cell r="A33438">
            <v>43275</v>
          </cell>
        </row>
        <row r="33439">
          <cell r="A33439">
            <v>43503</v>
          </cell>
        </row>
        <row r="33440">
          <cell r="A33440">
            <v>43130</v>
          </cell>
        </row>
        <row r="33441">
          <cell r="A33441">
            <v>43218</v>
          </cell>
        </row>
        <row r="33442">
          <cell r="A33442">
            <v>43300</v>
          </cell>
        </row>
        <row r="33443">
          <cell r="A33443">
            <v>43158</v>
          </cell>
        </row>
        <row r="33444">
          <cell r="A33444">
            <v>43195</v>
          </cell>
        </row>
        <row r="33445">
          <cell r="A33445">
            <v>43395</v>
          </cell>
        </row>
        <row r="33446">
          <cell r="A33446">
            <v>43833</v>
          </cell>
        </row>
        <row r="33447">
          <cell r="A33447">
            <v>43233</v>
          </cell>
        </row>
        <row r="33448">
          <cell r="A33448">
            <v>43765</v>
          </cell>
        </row>
        <row r="33449">
          <cell r="A33449">
            <v>43742</v>
          </cell>
        </row>
        <row r="33450">
          <cell r="A33450">
            <v>43343</v>
          </cell>
        </row>
        <row r="33451">
          <cell r="A33451">
            <v>43454</v>
          </cell>
        </row>
        <row r="33452">
          <cell r="A33452">
            <v>43678</v>
          </cell>
        </row>
        <row r="33453">
          <cell r="A33453">
            <v>43641</v>
          </cell>
        </row>
        <row r="33454">
          <cell r="A33454">
            <v>43419</v>
          </cell>
        </row>
        <row r="33455">
          <cell r="A33455">
            <v>43286</v>
          </cell>
        </row>
        <row r="33456">
          <cell r="A33456">
            <v>43115</v>
          </cell>
        </row>
        <row r="33457">
          <cell r="A33457">
            <v>43375</v>
          </cell>
        </row>
        <row r="33458">
          <cell r="A33458">
            <v>43589</v>
          </cell>
        </row>
        <row r="33459">
          <cell r="A33459">
            <v>43531</v>
          </cell>
        </row>
        <row r="33460">
          <cell r="A33460">
            <v>43472</v>
          </cell>
        </row>
        <row r="33461">
          <cell r="A33461">
            <v>43557</v>
          </cell>
        </row>
        <row r="33462">
          <cell r="A33462">
            <v>43156</v>
          </cell>
        </row>
        <row r="33463">
          <cell r="A33463">
            <v>43799</v>
          </cell>
        </row>
        <row r="33464">
          <cell r="A33464">
            <v>43237</v>
          </cell>
        </row>
        <row r="33465">
          <cell r="A33465">
            <v>43435</v>
          </cell>
        </row>
        <row r="33466">
          <cell r="A33466">
            <v>43835</v>
          </cell>
        </row>
        <row r="33467">
          <cell r="A33467">
            <v>43777</v>
          </cell>
        </row>
        <row r="33468">
          <cell r="A33468">
            <v>43618</v>
          </cell>
        </row>
        <row r="33469">
          <cell r="A33469">
            <v>43200</v>
          </cell>
        </row>
        <row r="33470">
          <cell r="A33470">
            <v>43236</v>
          </cell>
        </row>
        <row r="33471">
          <cell r="A33471">
            <v>43601</v>
          </cell>
        </row>
        <row r="33472">
          <cell r="A33472">
            <v>43679</v>
          </cell>
        </row>
        <row r="33473">
          <cell r="A33473">
            <v>43150</v>
          </cell>
        </row>
        <row r="33474">
          <cell r="A33474">
            <v>43429</v>
          </cell>
        </row>
        <row r="33475">
          <cell r="A33475">
            <v>43660</v>
          </cell>
        </row>
        <row r="33476">
          <cell r="A33476">
            <v>43813</v>
          </cell>
        </row>
        <row r="33477">
          <cell r="A33477">
            <v>43835</v>
          </cell>
        </row>
        <row r="33478">
          <cell r="A33478">
            <v>43144</v>
          </cell>
        </row>
        <row r="33479">
          <cell r="A33479">
            <v>43156</v>
          </cell>
        </row>
        <row r="33480">
          <cell r="A33480">
            <v>43342</v>
          </cell>
        </row>
        <row r="33481">
          <cell r="A33481">
            <v>43717</v>
          </cell>
        </row>
        <row r="33482">
          <cell r="A33482">
            <v>43680</v>
          </cell>
        </row>
        <row r="33483">
          <cell r="A33483">
            <v>43716</v>
          </cell>
        </row>
        <row r="33484">
          <cell r="A33484">
            <v>43421</v>
          </cell>
        </row>
        <row r="33485">
          <cell r="A33485">
            <v>43335</v>
          </cell>
        </row>
        <row r="33486">
          <cell r="A33486">
            <v>43886</v>
          </cell>
        </row>
        <row r="33487">
          <cell r="A33487">
            <v>43104</v>
          </cell>
        </row>
        <row r="33488">
          <cell r="A33488">
            <v>43445</v>
          </cell>
        </row>
        <row r="33489">
          <cell r="A33489">
            <v>43208</v>
          </cell>
        </row>
        <row r="33490">
          <cell r="A33490">
            <v>43236</v>
          </cell>
        </row>
        <row r="33491">
          <cell r="A33491">
            <v>43469</v>
          </cell>
        </row>
        <row r="33492">
          <cell r="A33492">
            <v>43255</v>
          </cell>
        </row>
        <row r="33493">
          <cell r="A33493">
            <v>43654</v>
          </cell>
        </row>
        <row r="33494">
          <cell r="A33494">
            <v>43205</v>
          </cell>
        </row>
        <row r="33495">
          <cell r="A33495">
            <v>43774</v>
          </cell>
        </row>
        <row r="33496">
          <cell r="A33496">
            <v>43417</v>
          </cell>
        </row>
        <row r="33497">
          <cell r="A33497">
            <v>43240</v>
          </cell>
        </row>
        <row r="33498">
          <cell r="A33498">
            <v>43517</v>
          </cell>
        </row>
        <row r="33499">
          <cell r="A33499">
            <v>43527</v>
          </cell>
        </row>
        <row r="33500">
          <cell r="A33500">
            <v>43847</v>
          </cell>
        </row>
        <row r="33501">
          <cell r="A33501">
            <v>43836</v>
          </cell>
        </row>
        <row r="33502">
          <cell r="A33502">
            <v>43895</v>
          </cell>
        </row>
        <row r="33503">
          <cell r="A33503">
            <v>43386</v>
          </cell>
        </row>
        <row r="33504">
          <cell r="A33504">
            <v>43167</v>
          </cell>
        </row>
        <row r="33505">
          <cell r="A33505">
            <v>43440</v>
          </cell>
        </row>
        <row r="33506">
          <cell r="A33506">
            <v>43914</v>
          </cell>
        </row>
        <row r="33507">
          <cell r="A33507">
            <v>43266</v>
          </cell>
        </row>
        <row r="33508">
          <cell r="A33508">
            <v>43124</v>
          </cell>
        </row>
        <row r="33509">
          <cell r="A33509">
            <v>43886</v>
          </cell>
        </row>
        <row r="33510">
          <cell r="A33510">
            <v>43261</v>
          </cell>
        </row>
        <row r="33511">
          <cell r="A33511">
            <v>43861</v>
          </cell>
        </row>
        <row r="33512">
          <cell r="A33512">
            <v>43232</v>
          </cell>
        </row>
        <row r="33513">
          <cell r="A33513">
            <v>43602</v>
          </cell>
        </row>
        <row r="33514">
          <cell r="A33514">
            <v>43892</v>
          </cell>
        </row>
        <row r="33515">
          <cell r="A33515">
            <v>43667</v>
          </cell>
        </row>
        <row r="33516">
          <cell r="A33516">
            <v>43666</v>
          </cell>
        </row>
        <row r="33517">
          <cell r="A33517">
            <v>43405</v>
          </cell>
        </row>
        <row r="33518">
          <cell r="A33518">
            <v>43184</v>
          </cell>
        </row>
        <row r="33519">
          <cell r="A33519">
            <v>43278</v>
          </cell>
        </row>
        <row r="33520">
          <cell r="A33520">
            <v>43163</v>
          </cell>
        </row>
        <row r="33521">
          <cell r="A33521">
            <v>43603</v>
          </cell>
        </row>
        <row r="33522">
          <cell r="A33522">
            <v>43239</v>
          </cell>
        </row>
        <row r="33523">
          <cell r="A33523">
            <v>43394</v>
          </cell>
        </row>
        <row r="33524">
          <cell r="A33524">
            <v>43626</v>
          </cell>
        </row>
        <row r="33525">
          <cell r="A33525">
            <v>43714</v>
          </cell>
        </row>
        <row r="33526">
          <cell r="A33526">
            <v>43757</v>
          </cell>
        </row>
        <row r="33527">
          <cell r="A33527">
            <v>43415</v>
          </cell>
        </row>
        <row r="33528">
          <cell r="A33528">
            <v>43660</v>
          </cell>
        </row>
        <row r="33529">
          <cell r="A33529">
            <v>43225</v>
          </cell>
        </row>
        <row r="33530">
          <cell r="A33530">
            <v>43385</v>
          </cell>
        </row>
        <row r="33531">
          <cell r="A33531">
            <v>43747</v>
          </cell>
        </row>
        <row r="33532">
          <cell r="A33532">
            <v>43714</v>
          </cell>
        </row>
        <row r="33533">
          <cell r="A33533">
            <v>43239</v>
          </cell>
        </row>
        <row r="33534">
          <cell r="A33534">
            <v>43514</v>
          </cell>
        </row>
        <row r="33535">
          <cell r="A33535">
            <v>43782</v>
          </cell>
        </row>
        <row r="33536">
          <cell r="A33536">
            <v>43493</v>
          </cell>
        </row>
        <row r="33537">
          <cell r="A33537">
            <v>43167</v>
          </cell>
        </row>
        <row r="33538">
          <cell r="A33538">
            <v>43677</v>
          </cell>
        </row>
        <row r="33539">
          <cell r="A33539">
            <v>43715</v>
          </cell>
        </row>
        <row r="33540">
          <cell r="A33540">
            <v>43862</v>
          </cell>
        </row>
        <row r="33541">
          <cell r="A33541">
            <v>43503</v>
          </cell>
        </row>
        <row r="33542">
          <cell r="A33542">
            <v>43618</v>
          </cell>
        </row>
        <row r="33543">
          <cell r="A33543">
            <v>43717</v>
          </cell>
        </row>
        <row r="33544">
          <cell r="A33544">
            <v>43453</v>
          </cell>
        </row>
        <row r="33545">
          <cell r="A33545">
            <v>43329</v>
          </cell>
        </row>
        <row r="33546">
          <cell r="A33546">
            <v>43757</v>
          </cell>
        </row>
        <row r="33547">
          <cell r="A33547">
            <v>43614</v>
          </cell>
        </row>
        <row r="33548">
          <cell r="A33548">
            <v>43830</v>
          </cell>
        </row>
        <row r="33549">
          <cell r="A33549">
            <v>43107</v>
          </cell>
        </row>
        <row r="33550">
          <cell r="A33550">
            <v>43123</v>
          </cell>
        </row>
        <row r="33551">
          <cell r="A33551">
            <v>43418</v>
          </cell>
        </row>
        <row r="33552">
          <cell r="A33552">
            <v>43791</v>
          </cell>
        </row>
        <row r="33553">
          <cell r="A33553">
            <v>43706</v>
          </cell>
        </row>
        <row r="33554">
          <cell r="A33554">
            <v>43294</v>
          </cell>
        </row>
        <row r="33555">
          <cell r="A33555">
            <v>43536</v>
          </cell>
        </row>
        <row r="33556">
          <cell r="A33556">
            <v>43422</v>
          </cell>
        </row>
        <row r="33557">
          <cell r="A33557">
            <v>43169</v>
          </cell>
        </row>
        <row r="33558">
          <cell r="A33558">
            <v>43203</v>
          </cell>
        </row>
        <row r="33559">
          <cell r="A33559">
            <v>43149</v>
          </cell>
        </row>
        <row r="33560">
          <cell r="A33560">
            <v>43208</v>
          </cell>
        </row>
        <row r="33561">
          <cell r="A33561">
            <v>43711</v>
          </cell>
        </row>
        <row r="33562">
          <cell r="A33562">
            <v>43678</v>
          </cell>
        </row>
        <row r="33563">
          <cell r="A33563">
            <v>43146</v>
          </cell>
        </row>
        <row r="33564">
          <cell r="A33564">
            <v>43711</v>
          </cell>
        </row>
        <row r="33565">
          <cell r="A33565">
            <v>43737</v>
          </cell>
        </row>
        <row r="33566">
          <cell r="A33566">
            <v>43738</v>
          </cell>
        </row>
        <row r="33567">
          <cell r="A33567">
            <v>43684</v>
          </cell>
        </row>
        <row r="33568">
          <cell r="A33568">
            <v>43490</v>
          </cell>
        </row>
        <row r="33569">
          <cell r="A33569">
            <v>43336</v>
          </cell>
        </row>
        <row r="33570">
          <cell r="A33570">
            <v>43526</v>
          </cell>
        </row>
        <row r="33571">
          <cell r="A33571">
            <v>43842</v>
          </cell>
        </row>
        <row r="33572">
          <cell r="A33572">
            <v>43356</v>
          </cell>
        </row>
        <row r="33573">
          <cell r="A33573">
            <v>43872</v>
          </cell>
        </row>
        <row r="33574">
          <cell r="A33574">
            <v>43877</v>
          </cell>
        </row>
        <row r="33575">
          <cell r="A33575">
            <v>43457</v>
          </cell>
        </row>
        <row r="33576">
          <cell r="A33576">
            <v>43720</v>
          </cell>
        </row>
        <row r="33577">
          <cell r="A33577">
            <v>43846</v>
          </cell>
        </row>
        <row r="33578">
          <cell r="A33578">
            <v>43776</v>
          </cell>
        </row>
        <row r="33579">
          <cell r="A33579">
            <v>43702</v>
          </cell>
        </row>
        <row r="33580">
          <cell r="A33580">
            <v>43765</v>
          </cell>
        </row>
        <row r="33581">
          <cell r="A33581">
            <v>43846</v>
          </cell>
        </row>
        <row r="33582">
          <cell r="A33582">
            <v>43494</v>
          </cell>
        </row>
        <row r="33583">
          <cell r="A33583">
            <v>43373</v>
          </cell>
        </row>
        <row r="33584">
          <cell r="A33584">
            <v>43317</v>
          </cell>
        </row>
        <row r="33585">
          <cell r="A33585">
            <v>43397</v>
          </cell>
        </row>
        <row r="33586">
          <cell r="A33586">
            <v>43831</v>
          </cell>
        </row>
        <row r="33587">
          <cell r="A33587">
            <v>43661</v>
          </cell>
        </row>
        <row r="33588">
          <cell r="A33588">
            <v>43265</v>
          </cell>
        </row>
        <row r="33589">
          <cell r="A33589">
            <v>43124</v>
          </cell>
        </row>
        <row r="33590">
          <cell r="A33590">
            <v>43903</v>
          </cell>
        </row>
        <row r="33591">
          <cell r="A33591">
            <v>43833</v>
          </cell>
        </row>
        <row r="33592">
          <cell r="A33592">
            <v>43573</v>
          </cell>
        </row>
        <row r="33593">
          <cell r="A33593">
            <v>43425</v>
          </cell>
        </row>
        <row r="33594">
          <cell r="A33594">
            <v>43400</v>
          </cell>
        </row>
        <row r="33595">
          <cell r="A33595">
            <v>43908</v>
          </cell>
        </row>
        <row r="33596">
          <cell r="A33596">
            <v>43226</v>
          </cell>
        </row>
        <row r="33597">
          <cell r="A33597">
            <v>43817</v>
          </cell>
        </row>
        <row r="33598">
          <cell r="A33598">
            <v>43682</v>
          </cell>
        </row>
        <row r="33599">
          <cell r="A33599">
            <v>43682</v>
          </cell>
        </row>
        <row r="33600">
          <cell r="A33600">
            <v>43648</v>
          </cell>
        </row>
        <row r="33601">
          <cell r="A33601">
            <v>43416</v>
          </cell>
        </row>
        <row r="33602">
          <cell r="A33602">
            <v>43714</v>
          </cell>
        </row>
        <row r="33603">
          <cell r="A33603">
            <v>43219</v>
          </cell>
        </row>
        <row r="33604">
          <cell r="A33604">
            <v>43474</v>
          </cell>
        </row>
        <row r="33605">
          <cell r="A33605">
            <v>43348</v>
          </cell>
        </row>
        <row r="33606">
          <cell r="A33606">
            <v>43696</v>
          </cell>
        </row>
        <row r="33607">
          <cell r="A33607">
            <v>43437</v>
          </cell>
        </row>
        <row r="33608">
          <cell r="A33608">
            <v>43538</v>
          </cell>
        </row>
        <row r="33609">
          <cell r="A33609">
            <v>43581</v>
          </cell>
        </row>
        <row r="33610">
          <cell r="A33610">
            <v>43562</v>
          </cell>
        </row>
        <row r="33611">
          <cell r="A33611">
            <v>43625</v>
          </cell>
        </row>
        <row r="33612">
          <cell r="A33612">
            <v>43123</v>
          </cell>
        </row>
        <row r="33613">
          <cell r="A33613">
            <v>43657</v>
          </cell>
        </row>
        <row r="33614">
          <cell r="A33614">
            <v>43391</v>
          </cell>
        </row>
        <row r="33615">
          <cell r="A33615">
            <v>43911</v>
          </cell>
        </row>
        <row r="33616">
          <cell r="A33616">
            <v>43104</v>
          </cell>
        </row>
        <row r="33617">
          <cell r="A33617">
            <v>43318</v>
          </cell>
        </row>
        <row r="33618">
          <cell r="A33618">
            <v>43408</v>
          </cell>
        </row>
        <row r="33619">
          <cell r="A33619">
            <v>43342</v>
          </cell>
        </row>
        <row r="33620">
          <cell r="A33620">
            <v>43201</v>
          </cell>
        </row>
        <row r="33621">
          <cell r="A33621">
            <v>43913</v>
          </cell>
        </row>
        <row r="33622">
          <cell r="A33622">
            <v>43145</v>
          </cell>
        </row>
        <row r="33623">
          <cell r="A33623">
            <v>43652</v>
          </cell>
        </row>
        <row r="33624">
          <cell r="A33624">
            <v>43447</v>
          </cell>
        </row>
        <row r="33625">
          <cell r="A33625">
            <v>43446</v>
          </cell>
        </row>
        <row r="33626">
          <cell r="A33626">
            <v>43202</v>
          </cell>
        </row>
        <row r="33627">
          <cell r="A33627">
            <v>43493</v>
          </cell>
        </row>
        <row r="33628">
          <cell r="A33628">
            <v>43907</v>
          </cell>
        </row>
        <row r="33629">
          <cell r="A33629">
            <v>43333</v>
          </cell>
        </row>
        <row r="33630">
          <cell r="A33630">
            <v>43542</v>
          </cell>
        </row>
        <row r="33631">
          <cell r="A33631">
            <v>43130</v>
          </cell>
        </row>
        <row r="33632">
          <cell r="A33632">
            <v>43822</v>
          </cell>
        </row>
        <row r="33633">
          <cell r="A33633">
            <v>43516</v>
          </cell>
        </row>
        <row r="33634">
          <cell r="A33634">
            <v>43218</v>
          </cell>
        </row>
        <row r="33635">
          <cell r="A33635">
            <v>43820</v>
          </cell>
        </row>
        <row r="33636">
          <cell r="A33636">
            <v>43672</v>
          </cell>
        </row>
        <row r="33637">
          <cell r="A33637">
            <v>43864</v>
          </cell>
        </row>
        <row r="33638">
          <cell r="A33638">
            <v>43128</v>
          </cell>
        </row>
        <row r="33639">
          <cell r="A33639">
            <v>43656</v>
          </cell>
        </row>
        <row r="33640">
          <cell r="A33640">
            <v>43149</v>
          </cell>
        </row>
        <row r="33641">
          <cell r="A33641">
            <v>43259</v>
          </cell>
        </row>
        <row r="33642">
          <cell r="A33642">
            <v>43276</v>
          </cell>
        </row>
        <row r="33643">
          <cell r="A33643">
            <v>43370</v>
          </cell>
        </row>
        <row r="33644">
          <cell r="A33644">
            <v>43268</v>
          </cell>
        </row>
        <row r="33645">
          <cell r="A33645">
            <v>43287</v>
          </cell>
        </row>
        <row r="33646">
          <cell r="A33646">
            <v>43862</v>
          </cell>
        </row>
        <row r="33647">
          <cell r="A33647">
            <v>43794</v>
          </cell>
        </row>
        <row r="33648">
          <cell r="A33648">
            <v>43186</v>
          </cell>
        </row>
        <row r="33649">
          <cell r="A33649">
            <v>43154</v>
          </cell>
        </row>
        <row r="33650">
          <cell r="A33650">
            <v>43777</v>
          </cell>
        </row>
        <row r="33651">
          <cell r="A33651">
            <v>43822</v>
          </cell>
        </row>
        <row r="33652">
          <cell r="A33652">
            <v>43274</v>
          </cell>
        </row>
        <row r="33653">
          <cell r="A33653">
            <v>43298</v>
          </cell>
        </row>
        <row r="33654">
          <cell r="A33654">
            <v>43613</v>
          </cell>
        </row>
        <row r="33655">
          <cell r="A33655">
            <v>43427</v>
          </cell>
        </row>
        <row r="33656">
          <cell r="A33656">
            <v>43423</v>
          </cell>
        </row>
        <row r="33657">
          <cell r="A33657">
            <v>43285</v>
          </cell>
        </row>
        <row r="33658">
          <cell r="A33658">
            <v>43676</v>
          </cell>
        </row>
        <row r="33659">
          <cell r="A33659">
            <v>43481</v>
          </cell>
        </row>
        <row r="33660">
          <cell r="A33660">
            <v>43114</v>
          </cell>
        </row>
        <row r="33661">
          <cell r="A33661">
            <v>43914</v>
          </cell>
        </row>
        <row r="33662">
          <cell r="A33662">
            <v>43339</v>
          </cell>
        </row>
        <row r="33663">
          <cell r="A33663">
            <v>43467</v>
          </cell>
        </row>
        <row r="33664">
          <cell r="A33664">
            <v>43396</v>
          </cell>
        </row>
        <row r="33665">
          <cell r="A33665">
            <v>43426</v>
          </cell>
        </row>
        <row r="33666">
          <cell r="A33666">
            <v>43266</v>
          </cell>
        </row>
        <row r="33667">
          <cell r="A33667">
            <v>43511</v>
          </cell>
        </row>
        <row r="33668">
          <cell r="A33668">
            <v>43357</v>
          </cell>
        </row>
        <row r="33669">
          <cell r="A33669">
            <v>43523</v>
          </cell>
        </row>
        <row r="33670">
          <cell r="A33670">
            <v>43516</v>
          </cell>
        </row>
        <row r="33671">
          <cell r="A33671">
            <v>43303</v>
          </cell>
        </row>
        <row r="33672">
          <cell r="A33672">
            <v>43289</v>
          </cell>
        </row>
        <row r="33673">
          <cell r="A33673">
            <v>43109</v>
          </cell>
        </row>
        <row r="33674">
          <cell r="A33674">
            <v>43284</v>
          </cell>
        </row>
        <row r="33675">
          <cell r="A33675">
            <v>43726</v>
          </cell>
        </row>
        <row r="33676">
          <cell r="A33676">
            <v>43874</v>
          </cell>
        </row>
        <row r="33677">
          <cell r="A33677">
            <v>43468</v>
          </cell>
        </row>
        <row r="33678">
          <cell r="A33678">
            <v>43735</v>
          </cell>
        </row>
        <row r="33679">
          <cell r="A33679">
            <v>43343</v>
          </cell>
        </row>
        <row r="33680">
          <cell r="A33680">
            <v>43225</v>
          </cell>
        </row>
        <row r="33681">
          <cell r="A33681">
            <v>43721</v>
          </cell>
        </row>
        <row r="33682">
          <cell r="A33682">
            <v>43757</v>
          </cell>
        </row>
        <row r="33683">
          <cell r="A33683">
            <v>43738</v>
          </cell>
        </row>
        <row r="33684">
          <cell r="A33684">
            <v>43514</v>
          </cell>
        </row>
        <row r="33685">
          <cell r="A33685">
            <v>43835</v>
          </cell>
        </row>
        <row r="33686">
          <cell r="A33686">
            <v>43691</v>
          </cell>
        </row>
        <row r="33687">
          <cell r="A33687">
            <v>43725</v>
          </cell>
        </row>
        <row r="33688">
          <cell r="A33688">
            <v>43789</v>
          </cell>
        </row>
        <row r="33689">
          <cell r="A33689">
            <v>43449</v>
          </cell>
        </row>
        <row r="33690">
          <cell r="A33690">
            <v>43481</v>
          </cell>
        </row>
        <row r="33691">
          <cell r="A33691">
            <v>43819</v>
          </cell>
        </row>
        <row r="33692">
          <cell r="A33692">
            <v>43304</v>
          </cell>
        </row>
        <row r="33693">
          <cell r="A33693">
            <v>43609</v>
          </cell>
        </row>
        <row r="33694">
          <cell r="A33694">
            <v>43901</v>
          </cell>
        </row>
        <row r="33695">
          <cell r="A33695">
            <v>43914</v>
          </cell>
        </row>
        <row r="33696">
          <cell r="A33696">
            <v>43880</v>
          </cell>
        </row>
        <row r="33697">
          <cell r="A33697">
            <v>43668</v>
          </cell>
        </row>
        <row r="33698">
          <cell r="A33698">
            <v>43369</v>
          </cell>
        </row>
        <row r="33699">
          <cell r="A33699">
            <v>43526</v>
          </cell>
        </row>
        <row r="33700">
          <cell r="A33700">
            <v>43111</v>
          </cell>
        </row>
        <row r="33701">
          <cell r="A33701">
            <v>43812</v>
          </cell>
        </row>
        <row r="33702">
          <cell r="A33702">
            <v>43536</v>
          </cell>
        </row>
        <row r="33703">
          <cell r="A33703">
            <v>43544</v>
          </cell>
        </row>
        <row r="33704">
          <cell r="A33704">
            <v>43553</v>
          </cell>
        </row>
        <row r="33705">
          <cell r="A33705">
            <v>43530</v>
          </cell>
        </row>
        <row r="33706">
          <cell r="A33706">
            <v>43196</v>
          </cell>
        </row>
        <row r="33707">
          <cell r="A33707">
            <v>43176</v>
          </cell>
        </row>
        <row r="33708">
          <cell r="A33708">
            <v>43882</v>
          </cell>
        </row>
        <row r="33709">
          <cell r="A33709">
            <v>43761</v>
          </cell>
        </row>
        <row r="33710">
          <cell r="A33710">
            <v>43644</v>
          </cell>
        </row>
        <row r="33711">
          <cell r="A33711">
            <v>43800</v>
          </cell>
        </row>
        <row r="33712">
          <cell r="A33712">
            <v>43564</v>
          </cell>
        </row>
        <row r="33713">
          <cell r="A33713">
            <v>43701</v>
          </cell>
        </row>
        <row r="33714">
          <cell r="A33714">
            <v>43397</v>
          </cell>
        </row>
        <row r="33715">
          <cell r="A33715">
            <v>43593</v>
          </cell>
        </row>
        <row r="33716">
          <cell r="A33716">
            <v>43312</v>
          </cell>
        </row>
        <row r="33717">
          <cell r="A33717">
            <v>43811</v>
          </cell>
        </row>
        <row r="33718">
          <cell r="A33718">
            <v>43837</v>
          </cell>
        </row>
        <row r="33719">
          <cell r="A33719">
            <v>43302</v>
          </cell>
        </row>
        <row r="33720">
          <cell r="A33720">
            <v>43577</v>
          </cell>
        </row>
        <row r="33721">
          <cell r="A33721">
            <v>43710</v>
          </cell>
        </row>
        <row r="33722">
          <cell r="A33722">
            <v>43831</v>
          </cell>
        </row>
        <row r="33723">
          <cell r="A33723">
            <v>43669</v>
          </cell>
        </row>
        <row r="33724">
          <cell r="A33724">
            <v>43346</v>
          </cell>
        </row>
        <row r="33725">
          <cell r="A33725">
            <v>43655</v>
          </cell>
        </row>
        <row r="33726">
          <cell r="A33726">
            <v>43807</v>
          </cell>
        </row>
        <row r="33727">
          <cell r="A33727">
            <v>43575</v>
          </cell>
        </row>
        <row r="33728">
          <cell r="A33728">
            <v>43887</v>
          </cell>
        </row>
        <row r="33729">
          <cell r="A33729">
            <v>43365</v>
          </cell>
        </row>
        <row r="33730">
          <cell r="A33730">
            <v>43239</v>
          </cell>
        </row>
        <row r="33731">
          <cell r="A33731">
            <v>43292</v>
          </cell>
        </row>
        <row r="33732">
          <cell r="A33732">
            <v>43161</v>
          </cell>
        </row>
        <row r="33733">
          <cell r="A33733">
            <v>43262</v>
          </cell>
        </row>
        <row r="33734">
          <cell r="A33734">
            <v>43652</v>
          </cell>
        </row>
        <row r="33735">
          <cell r="A33735">
            <v>43149</v>
          </cell>
        </row>
        <row r="33736">
          <cell r="A33736">
            <v>43386</v>
          </cell>
        </row>
        <row r="33737">
          <cell r="A33737">
            <v>43205</v>
          </cell>
        </row>
        <row r="33738">
          <cell r="A33738">
            <v>43825</v>
          </cell>
        </row>
        <row r="33739">
          <cell r="A33739">
            <v>43700</v>
          </cell>
        </row>
        <row r="33740">
          <cell r="A33740">
            <v>43898</v>
          </cell>
        </row>
        <row r="33741">
          <cell r="A33741">
            <v>43770</v>
          </cell>
        </row>
        <row r="33742">
          <cell r="A33742">
            <v>43705</v>
          </cell>
        </row>
        <row r="33743">
          <cell r="A33743">
            <v>43103</v>
          </cell>
        </row>
        <row r="33744">
          <cell r="A33744">
            <v>43854</v>
          </cell>
        </row>
        <row r="33745">
          <cell r="A33745">
            <v>43229</v>
          </cell>
        </row>
        <row r="33746">
          <cell r="A33746">
            <v>43745</v>
          </cell>
        </row>
        <row r="33747">
          <cell r="A33747">
            <v>43854</v>
          </cell>
        </row>
        <row r="33748">
          <cell r="A33748">
            <v>43747</v>
          </cell>
        </row>
        <row r="33749">
          <cell r="A33749">
            <v>43909</v>
          </cell>
        </row>
        <row r="33750">
          <cell r="A33750">
            <v>43427</v>
          </cell>
        </row>
        <row r="33751">
          <cell r="A33751">
            <v>43441</v>
          </cell>
        </row>
        <row r="33752">
          <cell r="A33752">
            <v>43674</v>
          </cell>
        </row>
        <row r="33753">
          <cell r="A33753">
            <v>43724</v>
          </cell>
        </row>
        <row r="33754">
          <cell r="A33754">
            <v>43143</v>
          </cell>
        </row>
        <row r="33755">
          <cell r="A33755">
            <v>43477</v>
          </cell>
        </row>
        <row r="33756">
          <cell r="A33756">
            <v>43239</v>
          </cell>
        </row>
        <row r="33757">
          <cell r="A33757">
            <v>43301</v>
          </cell>
        </row>
        <row r="33758">
          <cell r="A33758">
            <v>43633</v>
          </cell>
        </row>
        <row r="33759">
          <cell r="A33759">
            <v>43327</v>
          </cell>
        </row>
        <row r="33760">
          <cell r="A33760">
            <v>43525</v>
          </cell>
        </row>
        <row r="33761">
          <cell r="A33761">
            <v>43741</v>
          </cell>
        </row>
        <row r="33762">
          <cell r="A33762">
            <v>43799</v>
          </cell>
        </row>
        <row r="33763">
          <cell r="A33763">
            <v>43550</v>
          </cell>
        </row>
        <row r="33764">
          <cell r="A33764">
            <v>43472</v>
          </cell>
        </row>
        <row r="33765">
          <cell r="A33765">
            <v>43515</v>
          </cell>
        </row>
        <row r="33766">
          <cell r="A33766">
            <v>43695</v>
          </cell>
        </row>
        <row r="33767">
          <cell r="A33767">
            <v>43660</v>
          </cell>
        </row>
        <row r="33768">
          <cell r="A33768">
            <v>43510</v>
          </cell>
        </row>
        <row r="33769">
          <cell r="A33769">
            <v>43792</v>
          </cell>
        </row>
        <row r="33770">
          <cell r="A33770">
            <v>43890</v>
          </cell>
        </row>
        <row r="33771">
          <cell r="A33771">
            <v>43769</v>
          </cell>
        </row>
        <row r="33772">
          <cell r="A33772">
            <v>43461</v>
          </cell>
        </row>
        <row r="33773">
          <cell r="A33773">
            <v>43572</v>
          </cell>
        </row>
        <row r="33774">
          <cell r="A33774">
            <v>43362</v>
          </cell>
        </row>
        <row r="33775">
          <cell r="A33775">
            <v>43196</v>
          </cell>
        </row>
        <row r="33776">
          <cell r="A33776">
            <v>43164</v>
          </cell>
        </row>
        <row r="33777">
          <cell r="A33777">
            <v>43230</v>
          </cell>
        </row>
        <row r="33778">
          <cell r="A33778">
            <v>43172</v>
          </cell>
        </row>
        <row r="33779">
          <cell r="A33779">
            <v>43578</v>
          </cell>
        </row>
        <row r="33780">
          <cell r="A33780">
            <v>43761</v>
          </cell>
        </row>
        <row r="33781">
          <cell r="A33781">
            <v>43731</v>
          </cell>
        </row>
        <row r="33782">
          <cell r="A33782">
            <v>43596</v>
          </cell>
        </row>
        <row r="33783">
          <cell r="A33783">
            <v>43220</v>
          </cell>
        </row>
        <row r="33784">
          <cell r="A33784">
            <v>43351</v>
          </cell>
        </row>
        <row r="33785">
          <cell r="A33785">
            <v>43306</v>
          </cell>
        </row>
        <row r="33786">
          <cell r="A33786">
            <v>43337</v>
          </cell>
        </row>
        <row r="33787">
          <cell r="A33787">
            <v>43350</v>
          </cell>
        </row>
        <row r="33788">
          <cell r="A33788">
            <v>43474</v>
          </cell>
        </row>
        <row r="33789">
          <cell r="A33789">
            <v>43867</v>
          </cell>
        </row>
        <row r="33790">
          <cell r="A33790">
            <v>43741</v>
          </cell>
        </row>
        <row r="33791">
          <cell r="A33791">
            <v>43339</v>
          </cell>
        </row>
        <row r="33792">
          <cell r="A33792">
            <v>43508</v>
          </cell>
        </row>
        <row r="33793">
          <cell r="A33793">
            <v>43399</v>
          </cell>
        </row>
        <row r="33794">
          <cell r="A33794">
            <v>43593</v>
          </cell>
        </row>
        <row r="33795">
          <cell r="A33795">
            <v>43112</v>
          </cell>
        </row>
        <row r="33796">
          <cell r="A33796">
            <v>43694</v>
          </cell>
        </row>
        <row r="33797">
          <cell r="A33797">
            <v>43424</v>
          </cell>
        </row>
        <row r="33798">
          <cell r="A33798">
            <v>43904</v>
          </cell>
        </row>
        <row r="33799">
          <cell r="A33799">
            <v>43450</v>
          </cell>
        </row>
        <row r="33800">
          <cell r="A33800">
            <v>43222</v>
          </cell>
        </row>
        <row r="33801">
          <cell r="A33801">
            <v>43560</v>
          </cell>
        </row>
        <row r="33802">
          <cell r="A33802">
            <v>43203</v>
          </cell>
        </row>
        <row r="33803">
          <cell r="A33803">
            <v>43692</v>
          </cell>
        </row>
        <row r="33804">
          <cell r="A33804">
            <v>43754</v>
          </cell>
        </row>
        <row r="33805">
          <cell r="A33805">
            <v>43912</v>
          </cell>
        </row>
        <row r="33806">
          <cell r="A33806">
            <v>43654</v>
          </cell>
        </row>
        <row r="33807">
          <cell r="A33807">
            <v>43358</v>
          </cell>
        </row>
        <row r="33808">
          <cell r="A33808">
            <v>43251</v>
          </cell>
        </row>
        <row r="33809">
          <cell r="A33809">
            <v>43232</v>
          </cell>
        </row>
        <row r="33810">
          <cell r="A33810">
            <v>43808</v>
          </cell>
        </row>
        <row r="33811">
          <cell r="A33811">
            <v>43777</v>
          </cell>
        </row>
        <row r="33812">
          <cell r="A33812">
            <v>43313</v>
          </cell>
        </row>
        <row r="33813">
          <cell r="A33813">
            <v>43505</v>
          </cell>
        </row>
        <row r="33814">
          <cell r="A33814">
            <v>43552</v>
          </cell>
        </row>
        <row r="33815">
          <cell r="A33815">
            <v>43593</v>
          </cell>
        </row>
        <row r="33816">
          <cell r="A33816">
            <v>43413</v>
          </cell>
        </row>
        <row r="33817">
          <cell r="A33817">
            <v>43599</v>
          </cell>
        </row>
        <row r="33818">
          <cell r="A33818">
            <v>43660</v>
          </cell>
        </row>
        <row r="33819">
          <cell r="A33819">
            <v>43528</v>
          </cell>
        </row>
        <row r="33820">
          <cell r="A33820">
            <v>43726</v>
          </cell>
        </row>
        <row r="33821">
          <cell r="A33821">
            <v>43494</v>
          </cell>
        </row>
        <row r="33822">
          <cell r="A33822">
            <v>43760</v>
          </cell>
        </row>
        <row r="33823">
          <cell r="A33823">
            <v>43101</v>
          </cell>
        </row>
        <row r="33824">
          <cell r="A33824">
            <v>43360</v>
          </cell>
        </row>
        <row r="33825">
          <cell r="A33825">
            <v>43812</v>
          </cell>
        </row>
        <row r="33826">
          <cell r="A33826">
            <v>43725</v>
          </cell>
        </row>
        <row r="33827">
          <cell r="A33827">
            <v>43494</v>
          </cell>
        </row>
        <row r="33828">
          <cell r="A33828">
            <v>43456</v>
          </cell>
        </row>
        <row r="33829">
          <cell r="A33829">
            <v>43569</v>
          </cell>
        </row>
        <row r="33830">
          <cell r="A33830">
            <v>43626</v>
          </cell>
        </row>
        <row r="33831">
          <cell r="A33831">
            <v>43380</v>
          </cell>
        </row>
        <row r="33832">
          <cell r="A33832">
            <v>43384</v>
          </cell>
        </row>
        <row r="33833">
          <cell r="A33833">
            <v>43776</v>
          </cell>
        </row>
        <row r="33834">
          <cell r="A33834">
            <v>43903</v>
          </cell>
        </row>
        <row r="33835">
          <cell r="A33835">
            <v>43571</v>
          </cell>
        </row>
        <row r="33836">
          <cell r="A33836">
            <v>43905</v>
          </cell>
        </row>
        <row r="33837">
          <cell r="A33837">
            <v>43387</v>
          </cell>
        </row>
        <row r="33838">
          <cell r="A33838">
            <v>43396</v>
          </cell>
        </row>
        <row r="33839">
          <cell r="A33839">
            <v>43716</v>
          </cell>
        </row>
        <row r="33840">
          <cell r="A33840">
            <v>43144</v>
          </cell>
        </row>
        <row r="33841">
          <cell r="A33841">
            <v>43654</v>
          </cell>
        </row>
        <row r="33842">
          <cell r="A33842">
            <v>43851</v>
          </cell>
        </row>
        <row r="33843">
          <cell r="A33843">
            <v>43627</v>
          </cell>
        </row>
        <row r="33844">
          <cell r="A33844">
            <v>43535</v>
          </cell>
        </row>
        <row r="33845">
          <cell r="A33845">
            <v>43438</v>
          </cell>
        </row>
        <row r="33846">
          <cell r="A33846">
            <v>43452</v>
          </cell>
        </row>
        <row r="33847">
          <cell r="A33847">
            <v>43866</v>
          </cell>
        </row>
        <row r="33848">
          <cell r="A33848">
            <v>43516</v>
          </cell>
        </row>
        <row r="33849">
          <cell r="A33849">
            <v>43201</v>
          </cell>
        </row>
        <row r="33850">
          <cell r="A33850">
            <v>43371</v>
          </cell>
        </row>
        <row r="33851">
          <cell r="A33851">
            <v>43416</v>
          </cell>
        </row>
        <row r="33852">
          <cell r="A33852">
            <v>43278</v>
          </cell>
        </row>
        <row r="33853">
          <cell r="A33853">
            <v>43381</v>
          </cell>
        </row>
        <row r="33854">
          <cell r="A33854">
            <v>43174</v>
          </cell>
        </row>
        <row r="33855">
          <cell r="A33855">
            <v>43511</v>
          </cell>
        </row>
        <row r="33856">
          <cell r="A33856">
            <v>43485</v>
          </cell>
        </row>
        <row r="33857">
          <cell r="A33857">
            <v>43680</v>
          </cell>
        </row>
        <row r="33858">
          <cell r="A33858">
            <v>43821</v>
          </cell>
        </row>
        <row r="33859">
          <cell r="A33859">
            <v>43811</v>
          </cell>
        </row>
        <row r="33860">
          <cell r="A33860">
            <v>43904</v>
          </cell>
        </row>
        <row r="33861">
          <cell r="A33861">
            <v>43254</v>
          </cell>
        </row>
        <row r="33862">
          <cell r="A33862">
            <v>43704</v>
          </cell>
        </row>
        <row r="33863">
          <cell r="A33863">
            <v>43698</v>
          </cell>
        </row>
        <row r="33864">
          <cell r="A33864">
            <v>43884</v>
          </cell>
        </row>
        <row r="33865">
          <cell r="A33865">
            <v>43240</v>
          </cell>
        </row>
        <row r="33866">
          <cell r="A33866">
            <v>43584</v>
          </cell>
        </row>
        <row r="33867">
          <cell r="A33867">
            <v>43138</v>
          </cell>
        </row>
        <row r="33868">
          <cell r="A33868">
            <v>43835</v>
          </cell>
        </row>
        <row r="33869">
          <cell r="A33869">
            <v>43572</v>
          </cell>
        </row>
        <row r="33870">
          <cell r="A33870">
            <v>43542</v>
          </cell>
        </row>
        <row r="33871">
          <cell r="A33871">
            <v>43782</v>
          </cell>
        </row>
        <row r="33872">
          <cell r="A33872">
            <v>43836</v>
          </cell>
        </row>
        <row r="33873">
          <cell r="A33873">
            <v>43408</v>
          </cell>
        </row>
        <row r="33874">
          <cell r="A33874">
            <v>43324</v>
          </cell>
        </row>
        <row r="33875">
          <cell r="A33875">
            <v>43654</v>
          </cell>
        </row>
        <row r="33876">
          <cell r="A33876">
            <v>43436</v>
          </cell>
        </row>
        <row r="33877">
          <cell r="A33877">
            <v>43143</v>
          </cell>
        </row>
        <row r="33878">
          <cell r="A33878">
            <v>43658</v>
          </cell>
        </row>
        <row r="33879">
          <cell r="A33879">
            <v>43873</v>
          </cell>
        </row>
        <row r="33880">
          <cell r="A33880">
            <v>43396</v>
          </cell>
        </row>
        <row r="33881">
          <cell r="A33881">
            <v>43543</v>
          </cell>
        </row>
        <row r="33882">
          <cell r="A33882">
            <v>43127</v>
          </cell>
        </row>
        <row r="33883">
          <cell r="A33883">
            <v>43634</v>
          </cell>
        </row>
        <row r="33884">
          <cell r="A33884">
            <v>43636</v>
          </cell>
        </row>
        <row r="33885">
          <cell r="A33885">
            <v>43135</v>
          </cell>
        </row>
        <row r="33886">
          <cell r="A33886">
            <v>43438</v>
          </cell>
        </row>
        <row r="33887">
          <cell r="A33887">
            <v>43302</v>
          </cell>
        </row>
        <row r="33888">
          <cell r="A33888">
            <v>43344</v>
          </cell>
        </row>
        <row r="33889">
          <cell r="A33889">
            <v>43581</v>
          </cell>
        </row>
        <row r="33890">
          <cell r="A33890">
            <v>43399</v>
          </cell>
        </row>
        <row r="33891">
          <cell r="A33891">
            <v>43876</v>
          </cell>
        </row>
        <row r="33892">
          <cell r="A33892">
            <v>43400</v>
          </cell>
        </row>
        <row r="33893">
          <cell r="A33893">
            <v>43114</v>
          </cell>
        </row>
        <row r="33894">
          <cell r="A33894">
            <v>43359</v>
          </cell>
        </row>
        <row r="33895">
          <cell r="A33895">
            <v>43639</v>
          </cell>
        </row>
        <row r="33896">
          <cell r="A33896">
            <v>43256</v>
          </cell>
        </row>
        <row r="33897">
          <cell r="A33897">
            <v>43752</v>
          </cell>
        </row>
        <row r="33898">
          <cell r="A33898">
            <v>43437</v>
          </cell>
        </row>
        <row r="33899">
          <cell r="A33899">
            <v>43833</v>
          </cell>
        </row>
        <row r="33900">
          <cell r="A33900">
            <v>43799</v>
          </cell>
        </row>
        <row r="33901">
          <cell r="A33901">
            <v>43128</v>
          </cell>
        </row>
        <row r="33902">
          <cell r="A33902">
            <v>43105</v>
          </cell>
        </row>
        <row r="33903">
          <cell r="A33903">
            <v>43809</v>
          </cell>
        </row>
        <row r="33904">
          <cell r="A33904">
            <v>43823</v>
          </cell>
        </row>
        <row r="33905">
          <cell r="A33905">
            <v>43783</v>
          </cell>
        </row>
        <row r="33906">
          <cell r="A33906">
            <v>43323</v>
          </cell>
        </row>
        <row r="33907">
          <cell r="A33907">
            <v>43592</v>
          </cell>
        </row>
        <row r="33908">
          <cell r="A33908">
            <v>43566</v>
          </cell>
        </row>
        <row r="33909">
          <cell r="A33909">
            <v>43808</v>
          </cell>
        </row>
        <row r="33910">
          <cell r="A33910">
            <v>43815</v>
          </cell>
        </row>
        <row r="33911">
          <cell r="A33911">
            <v>43141</v>
          </cell>
        </row>
        <row r="33912">
          <cell r="A33912">
            <v>43832</v>
          </cell>
        </row>
        <row r="33913">
          <cell r="A33913">
            <v>43742</v>
          </cell>
        </row>
        <row r="33914">
          <cell r="A33914">
            <v>43751</v>
          </cell>
        </row>
        <row r="33915">
          <cell r="A33915">
            <v>43238</v>
          </cell>
        </row>
        <row r="33916">
          <cell r="A33916">
            <v>43604</v>
          </cell>
        </row>
        <row r="33917">
          <cell r="A33917">
            <v>43840</v>
          </cell>
        </row>
        <row r="33918">
          <cell r="A33918">
            <v>43135</v>
          </cell>
        </row>
        <row r="33919">
          <cell r="A33919">
            <v>43634</v>
          </cell>
        </row>
        <row r="33920">
          <cell r="A33920">
            <v>43498</v>
          </cell>
        </row>
        <row r="33921">
          <cell r="A33921">
            <v>43454</v>
          </cell>
        </row>
        <row r="33922">
          <cell r="A33922">
            <v>43156</v>
          </cell>
        </row>
        <row r="33923">
          <cell r="A33923">
            <v>43314</v>
          </cell>
        </row>
        <row r="33924">
          <cell r="A33924">
            <v>43685</v>
          </cell>
        </row>
        <row r="33925">
          <cell r="A33925">
            <v>43583</v>
          </cell>
        </row>
        <row r="33926">
          <cell r="A33926">
            <v>43228</v>
          </cell>
        </row>
        <row r="33927">
          <cell r="A33927">
            <v>43244</v>
          </cell>
        </row>
        <row r="33928">
          <cell r="A33928">
            <v>43392</v>
          </cell>
        </row>
        <row r="33929">
          <cell r="A33929">
            <v>43358</v>
          </cell>
        </row>
        <row r="33930">
          <cell r="A33930">
            <v>43545</v>
          </cell>
        </row>
        <row r="33931">
          <cell r="A33931">
            <v>43293</v>
          </cell>
        </row>
        <row r="33932">
          <cell r="A33932">
            <v>43855</v>
          </cell>
        </row>
        <row r="33933">
          <cell r="A33933">
            <v>43728</v>
          </cell>
        </row>
        <row r="33934">
          <cell r="A33934">
            <v>43811</v>
          </cell>
        </row>
        <row r="33935">
          <cell r="A33935">
            <v>43346</v>
          </cell>
        </row>
        <row r="33936">
          <cell r="A33936">
            <v>43297</v>
          </cell>
        </row>
        <row r="33937">
          <cell r="A33937">
            <v>43660</v>
          </cell>
        </row>
        <row r="33938">
          <cell r="A33938">
            <v>43500</v>
          </cell>
        </row>
        <row r="33939">
          <cell r="A33939">
            <v>43717</v>
          </cell>
        </row>
        <row r="33940">
          <cell r="A33940">
            <v>43646</v>
          </cell>
        </row>
        <row r="33941">
          <cell r="A33941">
            <v>43596</v>
          </cell>
        </row>
        <row r="33942">
          <cell r="A33942">
            <v>43575</v>
          </cell>
        </row>
        <row r="33943">
          <cell r="A33943">
            <v>43528</v>
          </cell>
        </row>
        <row r="33944">
          <cell r="A33944">
            <v>43422</v>
          </cell>
        </row>
        <row r="33945">
          <cell r="A33945">
            <v>43846</v>
          </cell>
        </row>
        <row r="33946">
          <cell r="A33946">
            <v>43274</v>
          </cell>
        </row>
        <row r="33947">
          <cell r="A33947">
            <v>43320</v>
          </cell>
        </row>
        <row r="33948">
          <cell r="A33948">
            <v>43194</v>
          </cell>
        </row>
        <row r="33949">
          <cell r="A33949">
            <v>43851</v>
          </cell>
        </row>
        <row r="33950">
          <cell r="A33950">
            <v>43874</v>
          </cell>
        </row>
        <row r="33951">
          <cell r="A33951">
            <v>43400</v>
          </cell>
        </row>
        <row r="33952">
          <cell r="A33952">
            <v>43101</v>
          </cell>
        </row>
        <row r="33953">
          <cell r="A33953">
            <v>43362</v>
          </cell>
        </row>
        <row r="33954">
          <cell r="A33954">
            <v>43298</v>
          </cell>
        </row>
        <row r="33955">
          <cell r="A33955">
            <v>43507</v>
          </cell>
        </row>
        <row r="33956">
          <cell r="A33956">
            <v>43483</v>
          </cell>
        </row>
        <row r="33957">
          <cell r="A33957">
            <v>43149</v>
          </cell>
        </row>
        <row r="33958">
          <cell r="A33958">
            <v>43667</v>
          </cell>
        </row>
        <row r="33959">
          <cell r="A33959">
            <v>43391</v>
          </cell>
        </row>
        <row r="33960">
          <cell r="A33960">
            <v>43582</v>
          </cell>
        </row>
        <row r="33961">
          <cell r="A33961">
            <v>43840</v>
          </cell>
        </row>
        <row r="33962">
          <cell r="A33962">
            <v>43599</v>
          </cell>
        </row>
        <row r="33963">
          <cell r="A33963">
            <v>43107</v>
          </cell>
        </row>
        <row r="33964">
          <cell r="A33964">
            <v>43335</v>
          </cell>
        </row>
        <row r="33965">
          <cell r="A33965">
            <v>43797</v>
          </cell>
        </row>
        <row r="33966">
          <cell r="A33966">
            <v>43111</v>
          </cell>
        </row>
        <row r="33967">
          <cell r="A33967">
            <v>43144</v>
          </cell>
        </row>
        <row r="33968">
          <cell r="A33968">
            <v>43256</v>
          </cell>
        </row>
        <row r="33969">
          <cell r="A33969">
            <v>43506</v>
          </cell>
        </row>
        <row r="33970">
          <cell r="A33970">
            <v>43225</v>
          </cell>
        </row>
        <row r="33971">
          <cell r="A33971">
            <v>43303</v>
          </cell>
        </row>
        <row r="33972">
          <cell r="A33972">
            <v>43732</v>
          </cell>
        </row>
        <row r="33973">
          <cell r="A33973">
            <v>43365</v>
          </cell>
        </row>
        <row r="33974">
          <cell r="A33974">
            <v>43136</v>
          </cell>
        </row>
        <row r="33975">
          <cell r="A33975">
            <v>43297</v>
          </cell>
        </row>
        <row r="33976">
          <cell r="A33976">
            <v>43117</v>
          </cell>
        </row>
        <row r="33977">
          <cell r="A33977">
            <v>43826</v>
          </cell>
        </row>
        <row r="33978">
          <cell r="A33978">
            <v>43766</v>
          </cell>
        </row>
        <row r="33979">
          <cell r="A33979">
            <v>43504</v>
          </cell>
        </row>
        <row r="33980">
          <cell r="A33980">
            <v>43433</v>
          </cell>
        </row>
        <row r="33981">
          <cell r="A33981">
            <v>43104</v>
          </cell>
        </row>
        <row r="33982">
          <cell r="A33982">
            <v>43369</v>
          </cell>
        </row>
        <row r="33983">
          <cell r="A33983">
            <v>43722</v>
          </cell>
        </row>
        <row r="33984">
          <cell r="A33984">
            <v>43269</v>
          </cell>
        </row>
        <row r="33985">
          <cell r="A33985">
            <v>43715</v>
          </cell>
        </row>
        <row r="33986">
          <cell r="A33986">
            <v>43269</v>
          </cell>
        </row>
        <row r="33987">
          <cell r="A33987">
            <v>43542</v>
          </cell>
        </row>
        <row r="33988">
          <cell r="A33988">
            <v>43248</v>
          </cell>
        </row>
        <row r="33989">
          <cell r="A33989">
            <v>43148</v>
          </cell>
        </row>
        <row r="33990">
          <cell r="A33990">
            <v>43322</v>
          </cell>
        </row>
        <row r="33991">
          <cell r="A33991">
            <v>43354</v>
          </cell>
        </row>
        <row r="33992">
          <cell r="A33992">
            <v>43597</v>
          </cell>
        </row>
        <row r="33993">
          <cell r="A33993">
            <v>43670</v>
          </cell>
        </row>
        <row r="33994">
          <cell r="A33994">
            <v>43800</v>
          </cell>
        </row>
        <row r="33995">
          <cell r="A33995">
            <v>43905</v>
          </cell>
        </row>
        <row r="33996">
          <cell r="A33996">
            <v>43135</v>
          </cell>
        </row>
        <row r="33997">
          <cell r="A33997">
            <v>43575</v>
          </cell>
        </row>
        <row r="33998">
          <cell r="A33998">
            <v>43355</v>
          </cell>
        </row>
        <row r="33999">
          <cell r="A33999">
            <v>43904</v>
          </cell>
        </row>
        <row r="34000">
          <cell r="A34000">
            <v>43681</v>
          </cell>
        </row>
        <row r="34001">
          <cell r="A34001">
            <v>43752</v>
          </cell>
        </row>
        <row r="34002">
          <cell r="A34002">
            <v>43113</v>
          </cell>
        </row>
        <row r="34003">
          <cell r="A34003">
            <v>43575</v>
          </cell>
        </row>
        <row r="34004">
          <cell r="A34004">
            <v>43719</v>
          </cell>
        </row>
        <row r="34005">
          <cell r="A34005">
            <v>43284</v>
          </cell>
        </row>
        <row r="34006">
          <cell r="A34006">
            <v>43884</v>
          </cell>
        </row>
        <row r="34007">
          <cell r="A34007">
            <v>43758</v>
          </cell>
        </row>
        <row r="34008">
          <cell r="A34008">
            <v>43309</v>
          </cell>
        </row>
        <row r="34009">
          <cell r="A34009">
            <v>43411</v>
          </cell>
        </row>
        <row r="34010">
          <cell r="A34010">
            <v>43327</v>
          </cell>
        </row>
        <row r="34011">
          <cell r="A34011">
            <v>43426</v>
          </cell>
        </row>
        <row r="34012">
          <cell r="A34012">
            <v>43410</v>
          </cell>
        </row>
        <row r="34013">
          <cell r="A34013">
            <v>43394</v>
          </cell>
        </row>
        <row r="34014">
          <cell r="A34014">
            <v>43361</v>
          </cell>
        </row>
        <row r="34015">
          <cell r="A34015">
            <v>43553</v>
          </cell>
        </row>
        <row r="34016">
          <cell r="A34016">
            <v>43380</v>
          </cell>
        </row>
        <row r="34017">
          <cell r="A34017">
            <v>43584</v>
          </cell>
        </row>
        <row r="34018">
          <cell r="A34018">
            <v>43366</v>
          </cell>
        </row>
        <row r="34019">
          <cell r="A34019">
            <v>43163</v>
          </cell>
        </row>
        <row r="34020">
          <cell r="A34020">
            <v>43870</v>
          </cell>
        </row>
        <row r="34021">
          <cell r="A34021">
            <v>43893</v>
          </cell>
        </row>
        <row r="34022">
          <cell r="A34022">
            <v>43606</v>
          </cell>
        </row>
        <row r="34023">
          <cell r="A34023">
            <v>43604</v>
          </cell>
        </row>
        <row r="34024">
          <cell r="A34024">
            <v>43166</v>
          </cell>
        </row>
        <row r="34025">
          <cell r="A34025">
            <v>43286</v>
          </cell>
        </row>
        <row r="34026">
          <cell r="A34026">
            <v>43376</v>
          </cell>
        </row>
        <row r="34027">
          <cell r="A34027">
            <v>43531</v>
          </cell>
        </row>
        <row r="34028">
          <cell r="A34028">
            <v>43156</v>
          </cell>
        </row>
        <row r="34029">
          <cell r="A34029">
            <v>43899</v>
          </cell>
        </row>
        <row r="34030">
          <cell r="A34030">
            <v>43152</v>
          </cell>
        </row>
        <row r="34031">
          <cell r="A34031">
            <v>43582</v>
          </cell>
        </row>
        <row r="34032">
          <cell r="A34032">
            <v>43155</v>
          </cell>
        </row>
        <row r="34033">
          <cell r="A34033">
            <v>43433</v>
          </cell>
        </row>
        <row r="34034">
          <cell r="A34034">
            <v>43696</v>
          </cell>
        </row>
        <row r="34035">
          <cell r="A34035">
            <v>43396</v>
          </cell>
        </row>
        <row r="34036">
          <cell r="A34036">
            <v>43141</v>
          </cell>
        </row>
        <row r="34037">
          <cell r="A34037">
            <v>43566</v>
          </cell>
        </row>
        <row r="34038">
          <cell r="A34038">
            <v>43353</v>
          </cell>
        </row>
        <row r="34039">
          <cell r="A34039">
            <v>43862</v>
          </cell>
        </row>
        <row r="34040">
          <cell r="A34040">
            <v>43527</v>
          </cell>
        </row>
        <row r="34041">
          <cell r="A34041">
            <v>43749</v>
          </cell>
        </row>
        <row r="34042">
          <cell r="A34042">
            <v>43192</v>
          </cell>
        </row>
        <row r="34043">
          <cell r="A34043">
            <v>43607</v>
          </cell>
        </row>
        <row r="34044">
          <cell r="A34044">
            <v>43386</v>
          </cell>
        </row>
        <row r="34045">
          <cell r="A34045">
            <v>43713</v>
          </cell>
        </row>
        <row r="34046">
          <cell r="A34046">
            <v>43112</v>
          </cell>
        </row>
        <row r="34047">
          <cell r="A34047">
            <v>43667</v>
          </cell>
        </row>
        <row r="34048">
          <cell r="A34048">
            <v>43194</v>
          </cell>
        </row>
        <row r="34049">
          <cell r="A34049">
            <v>43170</v>
          </cell>
        </row>
        <row r="34050">
          <cell r="A34050">
            <v>43535</v>
          </cell>
        </row>
        <row r="34051">
          <cell r="A34051">
            <v>43618</v>
          </cell>
        </row>
        <row r="34052">
          <cell r="A34052">
            <v>43407</v>
          </cell>
        </row>
        <row r="34053">
          <cell r="A34053">
            <v>43211</v>
          </cell>
        </row>
        <row r="34054">
          <cell r="A34054">
            <v>43331</v>
          </cell>
        </row>
        <row r="34055">
          <cell r="A34055">
            <v>43810</v>
          </cell>
        </row>
        <row r="34056">
          <cell r="A34056">
            <v>43504</v>
          </cell>
        </row>
        <row r="34057">
          <cell r="A34057">
            <v>43127</v>
          </cell>
        </row>
        <row r="34058">
          <cell r="A34058">
            <v>43318</v>
          </cell>
        </row>
        <row r="34059">
          <cell r="A34059">
            <v>43146</v>
          </cell>
        </row>
        <row r="34060">
          <cell r="A34060">
            <v>43194</v>
          </cell>
        </row>
        <row r="34061">
          <cell r="A34061">
            <v>43243</v>
          </cell>
        </row>
        <row r="34062">
          <cell r="A34062">
            <v>43257</v>
          </cell>
        </row>
        <row r="34063">
          <cell r="A34063">
            <v>43262</v>
          </cell>
        </row>
        <row r="34064">
          <cell r="A34064">
            <v>43188</v>
          </cell>
        </row>
        <row r="34065">
          <cell r="A34065">
            <v>43563</v>
          </cell>
        </row>
        <row r="34066">
          <cell r="A34066">
            <v>43459</v>
          </cell>
        </row>
        <row r="34067">
          <cell r="A34067">
            <v>43557</v>
          </cell>
        </row>
        <row r="34068">
          <cell r="A34068">
            <v>43496</v>
          </cell>
        </row>
        <row r="34069">
          <cell r="A34069">
            <v>43827</v>
          </cell>
        </row>
        <row r="34070">
          <cell r="A34070">
            <v>43466</v>
          </cell>
        </row>
        <row r="34071">
          <cell r="A34071">
            <v>43399</v>
          </cell>
        </row>
        <row r="34072">
          <cell r="A34072">
            <v>43325</v>
          </cell>
        </row>
        <row r="34073">
          <cell r="A34073">
            <v>43645</v>
          </cell>
        </row>
        <row r="34074">
          <cell r="A34074">
            <v>43418</v>
          </cell>
        </row>
        <row r="34075">
          <cell r="A34075">
            <v>43793</v>
          </cell>
        </row>
        <row r="34076">
          <cell r="A34076">
            <v>43889</v>
          </cell>
        </row>
        <row r="34077">
          <cell r="A34077">
            <v>43829</v>
          </cell>
        </row>
        <row r="34078">
          <cell r="A34078">
            <v>43536</v>
          </cell>
        </row>
        <row r="34079">
          <cell r="A34079">
            <v>43847</v>
          </cell>
        </row>
        <row r="34080">
          <cell r="A34080">
            <v>43195</v>
          </cell>
        </row>
        <row r="34081">
          <cell r="A34081">
            <v>43158</v>
          </cell>
        </row>
        <row r="34082">
          <cell r="A34082">
            <v>43507</v>
          </cell>
        </row>
        <row r="34083">
          <cell r="A34083">
            <v>43257</v>
          </cell>
        </row>
        <row r="34084">
          <cell r="A34084">
            <v>43285</v>
          </cell>
        </row>
        <row r="34085">
          <cell r="A34085">
            <v>43271</v>
          </cell>
        </row>
        <row r="34086">
          <cell r="A34086">
            <v>43185</v>
          </cell>
        </row>
        <row r="34087">
          <cell r="A34087">
            <v>43384</v>
          </cell>
        </row>
        <row r="34088">
          <cell r="A34088">
            <v>43542</v>
          </cell>
        </row>
        <row r="34089">
          <cell r="A34089">
            <v>43150</v>
          </cell>
        </row>
        <row r="34090">
          <cell r="A34090">
            <v>43866</v>
          </cell>
        </row>
        <row r="34091">
          <cell r="A34091">
            <v>43497</v>
          </cell>
        </row>
        <row r="34092">
          <cell r="A34092">
            <v>43250</v>
          </cell>
        </row>
        <row r="34093">
          <cell r="A34093">
            <v>43460</v>
          </cell>
        </row>
        <row r="34094">
          <cell r="A34094">
            <v>43532</v>
          </cell>
        </row>
        <row r="34095">
          <cell r="A34095">
            <v>43119</v>
          </cell>
        </row>
        <row r="34096">
          <cell r="A34096">
            <v>43348</v>
          </cell>
        </row>
        <row r="34097">
          <cell r="A34097">
            <v>43593</v>
          </cell>
        </row>
        <row r="34098">
          <cell r="A34098">
            <v>43430</v>
          </cell>
        </row>
        <row r="34099">
          <cell r="A34099">
            <v>43654</v>
          </cell>
        </row>
        <row r="34100">
          <cell r="A34100">
            <v>43911</v>
          </cell>
        </row>
        <row r="34101">
          <cell r="A34101">
            <v>43815</v>
          </cell>
        </row>
        <row r="34102">
          <cell r="A34102">
            <v>43433</v>
          </cell>
        </row>
        <row r="34103">
          <cell r="A34103">
            <v>43785</v>
          </cell>
        </row>
        <row r="34104">
          <cell r="A34104">
            <v>43752</v>
          </cell>
        </row>
        <row r="34105">
          <cell r="A34105">
            <v>43479</v>
          </cell>
        </row>
        <row r="34106">
          <cell r="A34106">
            <v>43153</v>
          </cell>
        </row>
        <row r="34107">
          <cell r="A34107">
            <v>43732</v>
          </cell>
        </row>
        <row r="34108">
          <cell r="A34108">
            <v>43311</v>
          </cell>
        </row>
        <row r="34109">
          <cell r="A34109">
            <v>43211</v>
          </cell>
        </row>
        <row r="34110">
          <cell r="A34110">
            <v>43395</v>
          </cell>
        </row>
        <row r="34111">
          <cell r="A34111">
            <v>43769</v>
          </cell>
        </row>
        <row r="34112">
          <cell r="A34112">
            <v>43747</v>
          </cell>
        </row>
        <row r="34113">
          <cell r="A34113">
            <v>43477</v>
          </cell>
        </row>
        <row r="34114">
          <cell r="A34114">
            <v>43788</v>
          </cell>
        </row>
        <row r="34115">
          <cell r="A34115">
            <v>43151</v>
          </cell>
        </row>
        <row r="34116">
          <cell r="A34116">
            <v>43499</v>
          </cell>
        </row>
        <row r="34117">
          <cell r="A34117">
            <v>43731</v>
          </cell>
        </row>
        <row r="34118">
          <cell r="A34118">
            <v>43684</v>
          </cell>
        </row>
        <row r="34119">
          <cell r="A34119">
            <v>43625</v>
          </cell>
        </row>
        <row r="34120">
          <cell r="A34120">
            <v>43311</v>
          </cell>
        </row>
        <row r="34121">
          <cell r="A34121">
            <v>43915</v>
          </cell>
        </row>
        <row r="34122">
          <cell r="A34122">
            <v>43853</v>
          </cell>
        </row>
        <row r="34123">
          <cell r="A34123">
            <v>43159</v>
          </cell>
        </row>
        <row r="34124">
          <cell r="A34124">
            <v>43739</v>
          </cell>
        </row>
        <row r="34125">
          <cell r="A34125">
            <v>43350</v>
          </cell>
        </row>
        <row r="34126">
          <cell r="A34126">
            <v>43290</v>
          </cell>
        </row>
        <row r="34127">
          <cell r="A34127">
            <v>43165</v>
          </cell>
        </row>
        <row r="34128">
          <cell r="A34128">
            <v>43621</v>
          </cell>
        </row>
        <row r="34129">
          <cell r="A34129">
            <v>43128</v>
          </cell>
        </row>
        <row r="34130">
          <cell r="A34130">
            <v>43615</v>
          </cell>
        </row>
        <row r="34131">
          <cell r="A34131">
            <v>43364</v>
          </cell>
        </row>
        <row r="34132">
          <cell r="A34132">
            <v>43190</v>
          </cell>
        </row>
        <row r="34133">
          <cell r="A34133">
            <v>43535</v>
          </cell>
        </row>
        <row r="34134">
          <cell r="A34134">
            <v>43280</v>
          </cell>
        </row>
        <row r="34135">
          <cell r="A34135">
            <v>43333</v>
          </cell>
        </row>
        <row r="34136">
          <cell r="A34136">
            <v>43230</v>
          </cell>
        </row>
        <row r="34137">
          <cell r="A34137">
            <v>43828</v>
          </cell>
        </row>
        <row r="34138">
          <cell r="A34138">
            <v>43458</v>
          </cell>
        </row>
        <row r="34139">
          <cell r="A34139">
            <v>43469</v>
          </cell>
        </row>
        <row r="34140">
          <cell r="A34140">
            <v>43124</v>
          </cell>
        </row>
        <row r="34141">
          <cell r="A34141">
            <v>43435</v>
          </cell>
        </row>
        <row r="34142">
          <cell r="A34142">
            <v>43732</v>
          </cell>
        </row>
        <row r="34143">
          <cell r="A34143">
            <v>43604</v>
          </cell>
        </row>
        <row r="34144">
          <cell r="A34144">
            <v>43800</v>
          </cell>
        </row>
        <row r="34145">
          <cell r="A34145">
            <v>43383</v>
          </cell>
        </row>
        <row r="34146">
          <cell r="A34146">
            <v>43274</v>
          </cell>
        </row>
        <row r="34147">
          <cell r="A34147">
            <v>43665</v>
          </cell>
        </row>
        <row r="34148">
          <cell r="A34148">
            <v>43678</v>
          </cell>
        </row>
        <row r="34149">
          <cell r="A34149">
            <v>43344</v>
          </cell>
        </row>
        <row r="34150">
          <cell r="A34150">
            <v>43662</v>
          </cell>
        </row>
        <row r="34151">
          <cell r="A34151">
            <v>43185</v>
          </cell>
        </row>
        <row r="34152">
          <cell r="A34152">
            <v>43614</v>
          </cell>
        </row>
        <row r="34153">
          <cell r="A34153">
            <v>43191</v>
          </cell>
        </row>
        <row r="34154">
          <cell r="A34154">
            <v>43464</v>
          </cell>
        </row>
        <row r="34155">
          <cell r="A34155">
            <v>43141</v>
          </cell>
        </row>
        <row r="34156">
          <cell r="A34156">
            <v>43818</v>
          </cell>
        </row>
        <row r="34157">
          <cell r="A34157">
            <v>43407</v>
          </cell>
        </row>
        <row r="34158">
          <cell r="A34158">
            <v>43803</v>
          </cell>
        </row>
        <row r="34159">
          <cell r="A34159">
            <v>43265</v>
          </cell>
        </row>
        <row r="34160">
          <cell r="A34160">
            <v>43335</v>
          </cell>
        </row>
        <row r="34161">
          <cell r="A34161">
            <v>43473</v>
          </cell>
        </row>
        <row r="34162">
          <cell r="A34162">
            <v>43894</v>
          </cell>
        </row>
        <row r="34163">
          <cell r="A34163">
            <v>43521</v>
          </cell>
        </row>
        <row r="34164">
          <cell r="A34164">
            <v>43395</v>
          </cell>
        </row>
        <row r="34165">
          <cell r="A34165">
            <v>43224</v>
          </cell>
        </row>
        <row r="34166">
          <cell r="A34166">
            <v>43905</v>
          </cell>
        </row>
        <row r="34167">
          <cell r="A34167">
            <v>43423</v>
          </cell>
        </row>
        <row r="34168">
          <cell r="A34168">
            <v>43570</v>
          </cell>
        </row>
        <row r="34169">
          <cell r="A34169">
            <v>43645</v>
          </cell>
        </row>
        <row r="34170">
          <cell r="A34170">
            <v>43376</v>
          </cell>
        </row>
        <row r="34171">
          <cell r="A34171">
            <v>43366</v>
          </cell>
        </row>
        <row r="34172">
          <cell r="A34172">
            <v>43802</v>
          </cell>
        </row>
        <row r="34173">
          <cell r="A34173">
            <v>43254</v>
          </cell>
        </row>
        <row r="34174">
          <cell r="A34174">
            <v>43153</v>
          </cell>
        </row>
        <row r="34175">
          <cell r="A34175">
            <v>43345</v>
          </cell>
        </row>
        <row r="34176">
          <cell r="A34176">
            <v>43796</v>
          </cell>
        </row>
        <row r="34177">
          <cell r="A34177">
            <v>43875</v>
          </cell>
        </row>
        <row r="34178">
          <cell r="A34178">
            <v>43173</v>
          </cell>
        </row>
        <row r="34179">
          <cell r="A34179">
            <v>43343</v>
          </cell>
        </row>
        <row r="34180">
          <cell r="A34180">
            <v>43207</v>
          </cell>
        </row>
        <row r="34181">
          <cell r="A34181">
            <v>43192</v>
          </cell>
        </row>
        <row r="34182">
          <cell r="A34182">
            <v>43428</v>
          </cell>
        </row>
        <row r="34183">
          <cell r="A34183">
            <v>43373</v>
          </cell>
        </row>
        <row r="34184">
          <cell r="A34184">
            <v>43314</v>
          </cell>
        </row>
        <row r="34185">
          <cell r="A34185">
            <v>43131</v>
          </cell>
        </row>
        <row r="34186">
          <cell r="A34186">
            <v>43454</v>
          </cell>
        </row>
        <row r="34187">
          <cell r="A34187">
            <v>43418</v>
          </cell>
        </row>
        <row r="34188">
          <cell r="A34188">
            <v>43236</v>
          </cell>
        </row>
        <row r="34189">
          <cell r="A34189">
            <v>43364</v>
          </cell>
        </row>
        <row r="34190">
          <cell r="A34190">
            <v>43672</v>
          </cell>
        </row>
        <row r="34191">
          <cell r="A34191">
            <v>43741</v>
          </cell>
        </row>
        <row r="34192">
          <cell r="A34192">
            <v>43350</v>
          </cell>
        </row>
        <row r="34193">
          <cell r="A34193">
            <v>43457</v>
          </cell>
        </row>
        <row r="34194">
          <cell r="A34194">
            <v>43486</v>
          </cell>
        </row>
        <row r="34195">
          <cell r="A34195">
            <v>43238</v>
          </cell>
        </row>
        <row r="34196">
          <cell r="A34196">
            <v>43692</v>
          </cell>
        </row>
        <row r="34197">
          <cell r="A34197">
            <v>43875</v>
          </cell>
        </row>
        <row r="34198">
          <cell r="A34198">
            <v>43705</v>
          </cell>
        </row>
        <row r="34199">
          <cell r="A34199">
            <v>43288</v>
          </cell>
        </row>
        <row r="34200">
          <cell r="A34200">
            <v>43449</v>
          </cell>
        </row>
        <row r="34201">
          <cell r="A34201">
            <v>43751</v>
          </cell>
        </row>
        <row r="34202">
          <cell r="A34202">
            <v>43314</v>
          </cell>
        </row>
        <row r="34203">
          <cell r="A34203">
            <v>43704</v>
          </cell>
        </row>
        <row r="34204">
          <cell r="A34204">
            <v>43762</v>
          </cell>
        </row>
        <row r="34205">
          <cell r="A34205">
            <v>43423</v>
          </cell>
        </row>
        <row r="34206">
          <cell r="A34206">
            <v>43826</v>
          </cell>
        </row>
        <row r="34207">
          <cell r="A34207">
            <v>43862</v>
          </cell>
        </row>
        <row r="34208">
          <cell r="A34208">
            <v>43180</v>
          </cell>
        </row>
        <row r="34209">
          <cell r="A34209">
            <v>43516</v>
          </cell>
        </row>
        <row r="34210">
          <cell r="A34210">
            <v>43745</v>
          </cell>
        </row>
        <row r="34211">
          <cell r="A34211">
            <v>43228</v>
          </cell>
        </row>
        <row r="34212">
          <cell r="A34212">
            <v>43802</v>
          </cell>
        </row>
        <row r="34213">
          <cell r="A34213">
            <v>43857</v>
          </cell>
        </row>
        <row r="34214">
          <cell r="A34214">
            <v>43255</v>
          </cell>
        </row>
        <row r="34215">
          <cell r="A34215">
            <v>43297</v>
          </cell>
        </row>
        <row r="34216">
          <cell r="A34216">
            <v>43867</v>
          </cell>
        </row>
        <row r="34217">
          <cell r="A34217">
            <v>43486</v>
          </cell>
        </row>
        <row r="34218">
          <cell r="A34218">
            <v>43552</v>
          </cell>
        </row>
        <row r="34219">
          <cell r="A34219">
            <v>43343</v>
          </cell>
        </row>
        <row r="34220">
          <cell r="A34220">
            <v>43888</v>
          </cell>
        </row>
        <row r="34221">
          <cell r="A34221">
            <v>43718</v>
          </cell>
        </row>
        <row r="34222">
          <cell r="A34222">
            <v>43282</v>
          </cell>
        </row>
        <row r="34223">
          <cell r="A34223">
            <v>43601</v>
          </cell>
        </row>
        <row r="34224">
          <cell r="A34224">
            <v>43847</v>
          </cell>
        </row>
        <row r="34225">
          <cell r="A34225">
            <v>43114</v>
          </cell>
        </row>
        <row r="34226">
          <cell r="A34226">
            <v>43804</v>
          </cell>
        </row>
        <row r="34227">
          <cell r="A34227">
            <v>43698</v>
          </cell>
        </row>
        <row r="34228">
          <cell r="A34228">
            <v>43277</v>
          </cell>
        </row>
        <row r="34229">
          <cell r="A34229">
            <v>43760</v>
          </cell>
        </row>
        <row r="34230">
          <cell r="A34230">
            <v>43245</v>
          </cell>
        </row>
        <row r="34231">
          <cell r="A34231">
            <v>43542</v>
          </cell>
        </row>
        <row r="34232">
          <cell r="A34232">
            <v>43647</v>
          </cell>
        </row>
        <row r="34233">
          <cell r="A34233">
            <v>43313</v>
          </cell>
        </row>
        <row r="34234">
          <cell r="A34234">
            <v>43789</v>
          </cell>
        </row>
        <row r="34235">
          <cell r="A34235">
            <v>43539</v>
          </cell>
        </row>
        <row r="34236">
          <cell r="A34236">
            <v>43832</v>
          </cell>
        </row>
        <row r="34237">
          <cell r="A34237">
            <v>43543</v>
          </cell>
        </row>
        <row r="34238">
          <cell r="A34238">
            <v>43868</v>
          </cell>
        </row>
        <row r="34239">
          <cell r="A34239">
            <v>43265</v>
          </cell>
        </row>
        <row r="34240">
          <cell r="A34240">
            <v>43789</v>
          </cell>
        </row>
        <row r="34241">
          <cell r="A34241">
            <v>43723</v>
          </cell>
        </row>
        <row r="34242">
          <cell r="A34242">
            <v>43710</v>
          </cell>
        </row>
        <row r="34243">
          <cell r="A34243">
            <v>43544</v>
          </cell>
        </row>
        <row r="34244">
          <cell r="A34244">
            <v>43120</v>
          </cell>
        </row>
        <row r="34245">
          <cell r="A34245">
            <v>43396</v>
          </cell>
        </row>
        <row r="34246">
          <cell r="A34246">
            <v>43355</v>
          </cell>
        </row>
        <row r="34247">
          <cell r="A34247">
            <v>43536</v>
          </cell>
        </row>
        <row r="34248">
          <cell r="A34248">
            <v>43103</v>
          </cell>
        </row>
        <row r="34249">
          <cell r="A34249">
            <v>43750</v>
          </cell>
        </row>
        <row r="34250">
          <cell r="A34250">
            <v>43320</v>
          </cell>
        </row>
        <row r="34251">
          <cell r="A34251">
            <v>43259</v>
          </cell>
        </row>
        <row r="34252">
          <cell r="A34252">
            <v>43379</v>
          </cell>
        </row>
        <row r="34253">
          <cell r="A34253">
            <v>43207</v>
          </cell>
        </row>
        <row r="34254">
          <cell r="A34254">
            <v>43592</v>
          </cell>
        </row>
        <row r="34255">
          <cell r="A34255">
            <v>43454</v>
          </cell>
        </row>
        <row r="34256">
          <cell r="A34256">
            <v>43378</v>
          </cell>
        </row>
        <row r="34257">
          <cell r="A34257">
            <v>43245</v>
          </cell>
        </row>
        <row r="34258">
          <cell r="A34258">
            <v>43543</v>
          </cell>
        </row>
        <row r="34259">
          <cell r="A34259">
            <v>43768</v>
          </cell>
        </row>
        <row r="34260">
          <cell r="A34260">
            <v>43488</v>
          </cell>
        </row>
        <row r="34261">
          <cell r="A34261">
            <v>43265</v>
          </cell>
        </row>
        <row r="34262">
          <cell r="A34262">
            <v>43345</v>
          </cell>
        </row>
        <row r="34263">
          <cell r="A34263">
            <v>43819</v>
          </cell>
        </row>
        <row r="34264">
          <cell r="A34264">
            <v>43350</v>
          </cell>
        </row>
        <row r="34265">
          <cell r="A34265">
            <v>43476</v>
          </cell>
        </row>
        <row r="34266">
          <cell r="A34266">
            <v>43670</v>
          </cell>
        </row>
        <row r="34267">
          <cell r="A34267">
            <v>43460</v>
          </cell>
        </row>
        <row r="34268">
          <cell r="A34268">
            <v>43304</v>
          </cell>
        </row>
        <row r="34269">
          <cell r="A34269">
            <v>43310</v>
          </cell>
        </row>
        <row r="34270">
          <cell r="A34270">
            <v>43181</v>
          </cell>
        </row>
        <row r="34271">
          <cell r="A34271">
            <v>43210</v>
          </cell>
        </row>
        <row r="34272">
          <cell r="A34272">
            <v>43530</v>
          </cell>
        </row>
        <row r="34273">
          <cell r="A34273">
            <v>43434</v>
          </cell>
        </row>
        <row r="34274">
          <cell r="A34274">
            <v>43112</v>
          </cell>
        </row>
        <row r="34275">
          <cell r="A34275">
            <v>43636</v>
          </cell>
        </row>
        <row r="34276">
          <cell r="A34276">
            <v>43465</v>
          </cell>
        </row>
        <row r="34277">
          <cell r="A34277">
            <v>43666</v>
          </cell>
        </row>
        <row r="34278">
          <cell r="A34278">
            <v>43683</v>
          </cell>
        </row>
        <row r="34279">
          <cell r="A34279">
            <v>43720</v>
          </cell>
        </row>
        <row r="34280">
          <cell r="A34280">
            <v>43751</v>
          </cell>
        </row>
        <row r="34281">
          <cell r="A34281">
            <v>43746</v>
          </cell>
        </row>
        <row r="34282">
          <cell r="A34282">
            <v>43113</v>
          </cell>
        </row>
        <row r="34283">
          <cell r="A34283">
            <v>43150</v>
          </cell>
        </row>
        <row r="34284">
          <cell r="A34284">
            <v>43539</v>
          </cell>
        </row>
        <row r="34285">
          <cell r="A34285">
            <v>43309</v>
          </cell>
        </row>
        <row r="34286">
          <cell r="A34286">
            <v>43281</v>
          </cell>
        </row>
        <row r="34287">
          <cell r="A34287">
            <v>43332</v>
          </cell>
        </row>
        <row r="34288">
          <cell r="A34288">
            <v>43764</v>
          </cell>
        </row>
        <row r="34289">
          <cell r="A34289">
            <v>43633</v>
          </cell>
        </row>
        <row r="34290">
          <cell r="A34290">
            <v>43574</v>
          </cell>
        </row>
        <row r="34291">
          <cell r="A34291">
            <v>43216</v>
          </cell>
        </row>
        <row r="34292">
          <cell r="A34292">
            <v>43679</v>
          </cell>
        </row>
        <row r="34293">
          <cell r="A34293">
            <v>43915</v>
          </cell>
        </row>
        <row r="34294">
          <cell r="A34294">
            <v>43211</v>
          </cell>
        </row>
        <row r="34295">
          <cell r="A34295">
            <v>43779</v>
          </cell>
        </row>
        <row r="34296">
          <cell r="A34296">
            <v>43519</v>
          </cell>
        </row>
        <row r="34297">
          <cell r="A34297">
            <v>43255</v>
          </cell>
        </row>
        <row r="34298">
          <cell r="A34298">
            <v>43132</v>
          </cell>
        </row>
        <row r="34299">
          <cell r="A34299">
            <v>43570</v>
          </cell>
        </row>
        <row r="34300">
          <cell r="A34300">
            <v>43870</v>
          </cell>
        </row>
        <row r="34301">
          <cell r="A34301">
            <v>43515</v>
          </cell>
        </row>
        <row r="34302">
          <cell r="A34302">
            <v>43480</v>
          </cell>
        </row>
        <row r="34303">
          <cell r="A34303">
            <v>43737</v>
          </cell>
        </row>
        <row r="34304">
          <cell r="A34304">
            <v>43345</v>
          </cell>
        </row>
        <row r="34305">
          <cell r="A34305">
            <v>43867</v>
          </cell>
        </row>
        <row r="34306">
          <cell r="A34306">
            <v>43638</v>
          </cell>
        </row>
        <row r="34307">
          <cell r="A34307">
            <v>43118</v>
          </cell>
        </row>
        <row r="34308">
          <cell r="A34308">
            <v>43643</v>
          </cell>
        </row>
        <row r="34309">
          <cell r="A34309">
            <v>43151</v>
          </cell>
        </row>
        <row r="34310">
          <cell r="A34310">
            <v>43335</v>
          </cell>
        </row>
        <row r="34311">
          <cell r="A34311">
            <v>43325</v>
          </cell>
        </row>
        <row r="34312">
          <cell r="A34312">
            <v>43660</v>
          </cell>
        </row>
        <row r="34313">
          <cell r="A34313">
            <v>43288</v>
          </cell>
        </row>
        <row r="34314">
          <cell r="A34314">
            <v>43850</v>
          </cell>
        </row>
        <row r="34315">
          <cell r="A34315">
            <v>43857</v>
          </cell>
        </row>
        <row r="34316">
          <cell r="A34316">
            <v>43512</v>
          </cell>
        </row>
        <row r="34317">
          <cell r="A34317">
            <v>43894</v>
          </cell>
        </row>
        <row r="34318">
          <cell r="A34318">
            <v>43436</v>
          </cell>
        </row>
        <row r="34319">
          <cell r="A34319">
            <v>43431</v>
          </cell>
        </row>
        <row r="34320">
          <cell r="A34320">
            <v>43397</v>
          </cell>
        </row>
        <row r="34321">
          <cell r="A34321">
            <v>43360</v>
          </cell>
        </row>
        <row r="34322">
          <cell r="A34322">
            <v>43871</v>
          </cell>
        </row>
        <row r="34323">
          <cell r="A34323">
            <v>43191</v>
          </cell>
        </row>
        <row r="34324">
          <cell r="A34324">
            <v>43378</v>
          </cell>
        </row>
        <row r="34325">
          <cell r="A34325">
            <v>43438</v>
          </cell>
        </row>
        <row r="34326">
          <cell r="A34326">
            <v>43140</v>
          </cell>
        </row>
        <row r="34327">
          <cell r="A34327">
            <v>43252</v>
          </cell>
        </row>
        <row r="34328">
          <cell r="A34328">
            <v>43287</v>
          </cell>
        </row>
        <row r="34329">
          <cell r="A34329">
            <v>43466</v>
          </cell>
        </row>
        <row r="34330">
          <cell r="A34330">
            <v>43341</v>
          </cell>
        </row>
        <row r="34331">
          <cell r="A34331">
            <v>43748</v>
          </cell>
        </row>
        <row r="34332">
          <cell r="A34332">
            <v>43387</v>
          </cell>
        </row>
        <row r="34333">
          <cell r="A34333">
            <v>43125</v>
          </cell>
        </row>
        <row r="34334">
          <cell r="A34334">
            <v>43341</v>
          </cell>
        </row>
        <row r="34335">
          <cell r="A34335">
            <v>43834</v>
          </cell>
        </row>
        <row r="34336">
          <cell r="A34336">
            <v>43853</v>
          </cell>
        </row>
        <row r="34337">
          <cell r="A34337">
            <v>43630</v>
          </cell>
        </row>
        <row r="34338">
          <cell r="A34338">
            <v>43800</v>
          </cell>
        </row>
        <row r="34339">
          <cell r="A34339">
            <v>43694</v>
          </cell>
        </row>
        <row r="34340">
          <cell r="A34340">
            <v>43141</v>
          </cell>
        </row>
        <row r="34341">
          <cell r="A34341">
            <v>43782</v>
          </cell>
        </row>
        <row r="34342">
          <cell r="A34342">
            <v>43267</v>
          </cell>
        </row>
        <row r="34343">
          <cell r="A34343">
            <v>43718</v>
          </cell>
        </row>
        <row r="34344">
          <cell r="A34344">
            <v>43497</v>
          </cell>
        </row>
        <row r="34345">
          <cell r="A34345">
            <v>43848</v>
          </cell>
        </row>
        <row r="34346">
          <cell r="A34346">
            <v>43398</v>
          </cell>
        </row>
        <row r="34347">
          <cell r="A34347">
            <v>43878</v>
          </cell>
        </row>
        <row r="34348">
          <cell r="A34348">
            <v>43746</v>
          </cell>
        </row>
        <row r="34349">
          <cell r="A34349">
            <v>43551</v>
          </cell>
        </row>
        <row r="34350">
          <cell r="A34350">
            <v>43654</v>
          </cell>
        </row>
        <row r="34351">
          <cell r="A34351">
            <v>43767</v>
          </cell>
        </row>
        <row r="34352">
          <cell r="A34352">
            <v>43826</v>
          </cell>
        </row>
        <row r="34353">
          <cell r="A34353">
            <v>43691</v>
          </cell>
        </row>
        <row r="34354">
          <cell r="A34354">
            <v>43466</v>
          </cell>
        </row>
        <row r="34355">
          <cell r="A34355">
            <v>43453</v>
          </cell>
        </row>
        <row r="34356">
          <cell r="A34356">
            <v>43327</v>
          </cell>
        </row>
        <row r="34357">
          <cell r="A34357">
            <v>43273</v>
          </cell>
        </row>
        <row r="34358">
          <cell r="A34358">
            <v>43184</v>
          </cell>
        </row>
        <row r="34359">
          <cell r="A34359">
            <v>43433</v>
          </cell>
        </row>
        <row r="34360">
          <cell r="A34360">
            <v>43689</v>
          </cell>
        </row>
        <row r="34361">
          <cell r="A34361">
            <v>43336</v>
          </cell>
        </row>
        <row r="34362">
          <cell r="A34362">
            <v>43305</v>
          </cell>
        </row>
        <row r="34363">
          <cell r="A34363">
            <v>43370</v>
          </cell>
        </row>
        <row r="34364">
          <cell r="A34364">
            <v>43670</v>
          </cell>
        </row>
        <row r="34365">
          <cell r="A34365">
            <v>43873</v>
          </cell>
        </row>
        <row r="34366">
          <cell r="A34366">
            <v>43641</v>
          </cell>
        </row>
        <row r="34367">
          <cell r="A34367">
            <v>43130</v>
          </cell>
        </row>
        <row r="34368">
          <cell r="A34368">
            <v>43696</v>
          </cell>
        </row>
        <row r="34369">
          <cell r="A34369">
            <v>43693</v>
          </cell>
        </row>
        <row r="34370">
          <cell r="A34370">
            <v>43559</v>
          </cell>
        </row>
        <row r="34371">
          <cell r="A34371">
            <v>43240</v>
          </cell>
        </row>
        <row r="34372">
          <cell r="A34372">
            <v>43225</v>
          </cell>
        </row>
        <row r="34373">
          <cell r="A34373">
            <v>43627</v>
          </cell>
        </row>
        <row r="34374">
          <cell r="A34374">
            <v>43733</v>
          </cell>
        </row>
        <row r="34375">
          <cell r="A34375">
            <v>43788</v>
          </cell>
        </row>
        <row r="34376">
          <cell r="A34376">
            <v>43769</v>
          </cell>
        </row>
        <row r="34377">
          <cell r="A34377">
            <v>43714</v>
          </cell>
        </row>
        <row r="34378">
          <cell r="A34378">
            <v>43708</v>
          </cell>
        </row>
        <row r="34379">
          <cell r="A34379">
            <v>43270</v>
          </cell>
        </row>
        <row r="34380">
          <cell r="A34380">
            <v>43744</v>
          </cell>
        </row>
        <row r="34381">
          <cell r="A34381">
            <v>43380</v>
          </cell>
        </row>
        <row r="34382">
          <cell r="A34382">
            <v>43173</v>
          </cell>
        </row>
        <row r="34383">
          <cell r="A34383">
            <v>43519</v>
          </cell>
        </row>
        <row r="34384">
          <cell r="A34384">
            <v>43348</v>
          </cell>
        </row>
        <row r="34385">
          <cell r="A34385">
            <v>43306</v>
          </cell>
        </row>
        <row r="34386">
          <cell r="A34386">
            <v>43639</v>
          </cell>
        </row>
        <row r="34387">
          <cell r="A34387">
            <v>43180</v>
          </cell>
        </row>
        <row r="34388">
          <cell r="A34388">
            <v>43316</v>
          </cell>
        </row>
        <row r="34389">
          <cell r="A34389">
            <v>43399</v>
          </cell>
        </row>
        <row r="34390">
          <cell r="A34390">
            <v>43706</v>
          </cell>
        </row>
        <row r="34391">
          <cell r="A34391">
            <v>43236</v>
          </cell>
        </row>
        <row r="34392">
          <cell r="A34392">
            <v>43141</v>
          </cell>
        </row>
        <row r="34393">
          <cell r="A34393">
            <v>43378</v>
          </cell>
        </row>
        <row r="34394">
          <cell r="A34394">
            <v>43921</v>
          </cell>
        </row>
        <row r="34395">
          <cell r="A34395">
            <v>43239</v>
          </cell>
        </row>
        <row r="34396">
          <cell r="A34396">
            <v>43562</v>
          </cell>
        </row>
        <row r="34397">
          <cell r="A34397">
            <v>43770</v>
          </cell>
        </row>
        <row r="34398">
          <cell r="A34398">
            <v>43422</v>
          </cell>
        </row>
        <row r="34399">
          <cell r="A34399">
            <v>43662</v>
          </cell>
        </row>
        <row r="34400">
          <cell r="A34400">
            <v>43173</v>
          </cell>
        </row>
        <row r="34401">
          <cell r="A34401">
            <v>43627</v>
          </cell>
        </row>
        <row r="34402">
          <cell r="A34402">
            <v>43903</v>
          </cell>
        </row>
        <row r="34403">
          <cell r="A34403">
            <v>43806</v>
          </cell>
        </row>
        <row r="34404">
          <cell r="A34404">
            <v>43456</v>
          </cell>
        </row>
        <row r="34405">
          <cell r="A34405">
            <v>43232</v>
          </cell>
        </row>
        <row r="34406">
          <cell r="A34406">
            <v>43229</v>
          </cell>
        </row>
        <row r="34407">
          <cell r="A34407">
            <v>43620</v>
          </cell>
        </row>
        <row r="34408">
          <cell r="A34408">
            <v>43264</v>
          </cell>
        </row>
        <row r="34409">
          <cell r="A34409">
            <v>43456</v>
          </cell>
        </row>
        <row r="34410">
          <cell r="A34410">
            <v>43503</v>
          </cell>
        </row>
        <row r="34411">
          <cell r="A34411">
            <v>43313</v>
          </cell>
        </row>
        <row r="34412">
          <cell r="A34412">
            <v>43646</v>
          </cell>
        </row>
        <row r="34413">
          <cell r="A34413">
            <v>43816</v>
          </cell>
        </row>
        <row r="34414">
          <cell r="A34414">
            <v>43254</v>
          </cell>
        </row>
        <row r="34415">
          <cell r="A34415">
            <v>43237</v>
          </cell>
        </row>
        <row r="34416">
          <cell r="A34416">
            <v>43541</v>
          </cell>
        </row>
        <row r="34417">
          <cell r="A34417">
            <v>43539</v>
          </cell>
        </row>
        <row r="34418">
          <cell r="A34418">
            <v>43354</v>
          </cell>
        </row>
        <row r="34419">
          <cell r="A34419">
            <v>43427</v>
          </cell>
        </row>
        <row r="34420">
          <cell r="A34420">
            <v>43789</v>
          </cell>
        </row>
        <row r="34421">
          <cell r="A34421">
            <v>43676</v>
          </cell>
        </row>
        <row r="34422">
          <cell r="A34422">
            <v>43815</v>
          </cell>
        </row>
        <row r="34423">
          <cell r="A34423">
            <v>43886</v>
          </cell>
        </row>
        <row r="34424">
          <cell r="A34424">
            <v>43149</v>
          </cell>
        </row>
        <row r="34425">
          <cell r="A34425">
            <v>43465</v>
          </cell>
        </row>
        <row r="34426">
          <cell r="A34426">
            <v>43845</v>
          </cell>
        </row>
        <row r="34427">
          <cell r="A34427">
            <v>43620</v>
          </cell>
        </row>
        <row r="34428">
          <cell r="A34428">
            <v>43767</v>
          </cell>
        </row>
        <row r="34429">
          <cell r="A34429">
            <v>43162</v>
          </cell>
        </row>
        <row r="34430">
          <cell r="A34430">
            <v>43217</v>
          </cell>
        </row>
        <row r="34431">
          <cell r="A34431">
            <v>43118</v>
          </cell>
        </row>
        <row r="34432">
          <cell r="A34432">
            <v>43681</v>
          </cell>
        </row>
        <row r="34433">
          <cell r="A34433">
            <v>43370</v>
          </cell>
        </row>
        <row r="34434">
          <cell r="A34434">
            <v>43681</v>
          </cell>
        </row>
        <row r="34435">
          <cell r="A34435">
            <v>43453</v>
          </cell>
        </row>
        <row r="34436">
          <cell r="A34436">
            <v>43260</v>
          </cell>
        </row>
        <row r="34437">
          <cell r="A34437">
            <v>43374</v>
          </cell>
        </row>
        <row r="34438">
          <cell r="A34438">
            <v>43456</v>
          </cell>
        </row>
        <row r="34439">
          <cell r="A34439">
            <v>43176</v>
          </cell>
        </row>
        <row r="34440">
          <cell r="A34440">
            <v>43502</v>
          </cell>
        </row>
        <row r="34441">
          <cell r="A34441">
            <v>43207</v>
          </cell>
        </row>
        <row r="34442">
          <cell r="A34442">
            <v>43383</v>
          </cell>
        </row>
        <row r="34443">
          <cell r="A34443">
            <v>43726</v>
          </cell>
        </row>
        <row r="34444">
          <cell r="A34444">
            <v>43868</v>
          </cell>
        </row>
        <row r="34445">
          <cell r="A34445">
            <v>43748</v>
          </cell>
        </row>
        <row r="34446">
          <cell r="A34446">
            <v>43655</v>
          </cell>
        </row>
        <row r="34447">
          <cell r="A34447">
            <v>43399</v>
          </cell>
        </row>
        <row r="34448">
          <cell r="A34448">
            <v>43158</v>
          </cell>
        </row>
        <row r="34449">
          <cell r="A34449">
            <v>43635</v>
          </cell>
        </row>
        <row r="34450">
          <cell r="A34450">
            <v>43799</v>
          </cell>
        </row>
        <row r="34451">
          <cell r="A34451">
            <v>43331</v>
          </cell>
        </row>
        <row r="34452">
          <cell r="A34452">
            <v>43311</v>
          </cell>
        </row>
        <row r="34453">
          <cell r="A34453">
            <v>43644</v>
          </cell>
        </row>
        <row r="34454">
          <cell r="A34454">
            <v>43872</v>
          </cell>
        </row>
        <row r="34455">
          <cell r="A34455">
            <v>43132</v>
          </cell>
        </row>
        <row r="34456">
          <cell r="A34456">
            <v>43877</v>
          </cell>
        </row>
        <row r="34457">
          <cell r="A34457">
            <v>43836</v>
          </cell>
        </row>
        <row r="34458">
          <cell r="A34458">
            <v>43707</v>
          </cell>
        </row>
        <row r="34459">
          <cell r="A34459">
            <v>43729</v>
          </cell>
        </row>
        <row r="34460">
          <cell r="A34460">
            <v>43478</v>
          </cell>
        </row>
        <row r="34461">
          <cell r="A34461">
            <v>43617</v>
          </cell>
        </row>
        <row r="34462">
          <cell r="A34462">
            <v>43402</v>
          </cell>
        </row>
        <row r="34463">
          <cell r="A34463">
            <v>43698</v>
          </cell>
        </row>
        <row r="34464">
          <cell r="A34464">
            <v>43741</v>
          </cell>
        </row>
        <row r="34465">
          <cell r="A34465">
            <v>43647</v>
          </cell>
        </row>
        <row r="34466">
          <cell r="A34466">
            <v>43515</v>
          </cell>
        </row>
        <row r="34467">
          <cell r="A34467">
            <v>43881</v>
          </cell>
        </row>
        <row r="34468">
          <cell r="A34468">
            <v>43712</v>
          </cell>
        </row>
        <row r="34469">
          <cell r="A34469">
            <v>43632</v>
          </cell>
        </row>
        <row r="34470">
          <cell r="A34470">
            <v>43499</v>
          </cell>
        </row>
        <row r="34471">
          <cell r="A34471">
            <v>43379</v>
          </cell>
        </row>
        <row r="34472">
          <cell r="A34472">
            <v>43385</v>
          </cell>
        </row>
        <row r="34473">
          <cell r="A34473">
            <v>43233</v>
          </cell>
        </row>
        <row r="34474">
          <cell r="A34474">
            <v>43147</v>
          </cell>
        </row>
        <row r="34475">
          <cell r="A34475">
            <v>43324</v>
          </cell>
        </row>
        <row r="34476">
          <cell r="A34476">
            <v>43194</v>
          </cell>
        </row>
        <row r="34477">
          <cell r="A34477">
            <v>43723</v>
          </cell>
        </row>
        <row r="34478">
          <cell r="A34478">
            <v>43656</v>
          </cell>
        </row>
        <row r="34479">
          <cell r="A34479">
            <v>43914</v>
          </cell>
        </row>
        <row r="34480">
          <cell r="A34480">
            <v>43908</v>
          </cell>
        </row>
        <row r="34481">
          <cell r="A34481">
            <v>43622</v>
          </cell>
        </row>
        <row r="34482">
          <cell r="A34482">
            <v>43388</v>
          </cell>
        </row>
        <row r="34483">
          <cell r="A34483">
            <v>43166</v>
          </cell>
        </row>
        <row r="34484">
          <cell r="A34484">
            <v>43224</v>
          </cell>
        </row>
        <row r="34485">
          <cell r="A34485">
            <v>43855</v>
          </cell>
        </row>
        <row r="34486">
          <cell r="A34486">
            <v>43764</v>
          </cell>
        </row>
        <row r="34487">
          <cell r="A34487">
            <v>43417</v>
          </cell>
        </row>
        <row r="34488">
          <cell r="A34488">
            <v>43745</v>
          </cell>
        </row>
        <row r="34489">
          <cell r="A34489">
            <v>43707</v>
          </cell>
        </row>
        <row r="34490">
          <cell r="A34490">
            <v>43863</v>
          </cell>
        </row>
        <row r="34491">
          <cell r="A34491">
            <v>43424</v>
          </cell>
        </row>
        <row r="34492">
          <cell r="A34492">
            <v>43111</v>
          </cell>
        </row>
        <row r="34493">
          <cell r="A34493">
            <v>43634</v>
          </cell>
        </row>
        <row r="34494">
          <cell r="A34494">
            <v>43904</v>
          </cell>
        </row>
        <row r="34495">
          <cell r="A34495">
            <v>43707</v>
          </cell>
        </row>
        <row r="34496">
          <cell r="A34496">
            <v>43723</v>
          </cell>
        </row>
        <row r="34497">
          <cell r="A34497">
            <v>43643</v>
          </cell>
        </row>
        <row r="34498">
          <cell r="A34498">
            <v>43517</v>
          </cell>
        </row>
        <row r="34499">
          <cell r="A34499">
            <v>43817</v>
          </cell>
        </row>
        <row r="34500">
          <cell r="A34500">
            <v>43106</v>
          </cell>
        </row>
        <row r="34501">
          <cell r="A34501">
            <v>43887</v>
          </cell>
        </row>
        <row r="34502">
          <cell r="A34502">
            <v>43184</v>
          </cell>
        </row>
        <row r="34503">
          <cell r="A34503">
            <v>43266</v>
          </cell>
        </row>
        <row r="34504">
          <cell r="A34504">
            <v>43197</v>
          </cell>
        </row>
        <row r="34505">
          <cell r="A34505">
            <v>43224</v>
          </cell>
        </row>
        <row r="34506">
          <cell r="A34506">
            <v>43861</v>
          </cell>
        </row>
        <row r="34507">
          <cell r="A34507">
            <v>43525</v>
          </cell>
        </row>
        <row r="34508">
          <cell r="A34508">
            <v>43402</v>
          </cell>
        </row>
        <row r="34509">
          <cell r="A34509">
            <v>43215</v>
          </cell>
        </row>
        <row r="34510">
          <cell r="A34510">
            <v>43590</v>
          </cell>
        </row>
        <row r="34511">
          <cell r="A34511">
            <v>43398</v>
          </cell>
        </row>
        <row r="34512">
          <cell r="A34512">
            <v>43422</v>
          </cell>
        </row>
        <row r="34513">
          <cell r="A34513">
            <v>43731</v>
          </cell>
        </row>
        <row r="34514">
          <cell r="A34514">
            <v>43285</v>
          </cell>
        </row>
        <row r="34515">
          <cell r="A34515">
            <v>43492</v>
          </cell>
        </row>
        <row r="34516">
          <cell r="A34516">
            <v>43857</v>
          </cell>
        </row>
        <row r="34517">
          <cell r="A34517">
            <v>43584</v>
          </cell>
        </row>
        <row r="34518">
          <cell r="A34518">
            <v>43171</v>
          </cell>
        </row>
        <row r="34519">
          <cell r="A34519">
            <v>43604</v>
          </cell>
        </row>
        <row r="34520">
          <cell r="A34520">
            <v>43606</v>
          </cell>
        </row>
        <row r="34521">
          <cell r="A34521">
            <v>43912</v>
          </cell>
        </row>
        <row r="34522">
          <cell r="A34522">
            <v>43564</v>
          </cell>
        </row>
        <row r="34523">
          <cell r="A34523">
            <v>43534</v>
          </cell>
        </row>
        <row r="34524">
          <cell r="A34524">
            <v>43666</v>
          </cell>
        </row>
        <row r="34525">
          <cell r="A34525">
            <v>43243</v>
          </cell>
        </row>
        <row r="34526">
          <cell r="A34526">
            <v>43691</v>
          </cell>
        </row>
        <row r="34527">
          <cell r="A34527">
            <v>43226</v>
          </cell>
        </row>
        <row r="34528">
          <cell r="A34528">
            <v>43208</v>
          </cell>
        </row>
        <row r="34529">
          <cell r="A34529">
            <v>43824</v>
          </cell>
        </row>
        <row r="34530">
          <cell r="A34530">
            <v>43895</v>
          </cell>
        </row>
        <row r="34531">
          <cell r="A34531">
            <v>43212</v>
          </cell>
        </row>
        <row r="34532">
          <cell r="A34532">
            <v>43582</v>
          </cell>
        </row>
        <row r="34533">
          <cell r="A34533">
            <v>43599</v>
          </cell>
        </row>
        <row r="34534">
          <cell r="A34534">
            <v>43509</v>
          </cell>
        </row>
        <row r="34535">
          <cell r="A34535">
            <v>43275</v>
          </cell>
        </row>
        <row r="34536">
          <cell r="A34536">
            <v>43301</v>
          </cell>
        </row>
        <row r="34537">
          <cell r="A34537">
            <v>43850</v>
          </cell>
        </row>
        <row r="34538">
          <cell r="A34538">
            <v>43261</v>
          </cell>
        </row>
        <row r="34539">
          <cell r="A34539">
            <v>43533</v>
          </cell>
        </row>
        <row r="34540">
          <cell r="A34540">
            <v>43739</v>
          </cell>
        </row>
        <row r="34541">
          <cell r="A34541">
            <v>43296</v>
          </cell>
        </row>
        <row r="34542">
          <cell r="A34542">
            <v>43516</v>
          </cell>
        </row>
        <row r="34543">
          <cell r="A34543">
            <v>43131</v>
          </cell>
        </row>
        <row r="34544">
          <cell r="A34544">
            <v>43110</v>
          </cell>
        </row>
        <row r="34545">
          <cell r="A34545">
            <v>43468</v>
          </cell>
        </row>
        <row r="34546">
          <cell r="A34546">
            <v>43709</v>
          </cell>
        </row>
        <row r="34547">
          <cell r="A34547">
            <v>43612</v>
          </cell>
        </row>
        <row r="34548">
          <cell r="A34548">
            <v>43578</v>
          </cell>
        </row>
        <row r="34549">
          <cell r="A34549">
            <v>43569</v>
          </cell>
        </row>
        <row r="34550">
          <cell r="A34550">
            <v>43899</v>
          </cell>
        </row>
        <row r="34551">
          <cell r="A34551">
            <v>43896</v>
          </cell>
        </row>
        <row r="34552">
          <cell r="A34552">
            <v>43735</v>
          </cell>
        </row>
        <row r="34553">
          <cell r="A34553">
            <v>43366</v>
          </cell>
        </row>
        <row r="34554">
          <cell r="A34554">
            <v>43855</v>
          </cell>
        </row>
        <row r="34555">
          <cell r="A34555">
            <v>43632</v>
          </cell>
        </row>
        <row r="34556">
          <cell r="A34556">
            <v>43663</v>
          </cell>
        </row>
        <row r="34557">
          <cell r="A34557">
            <v>43238</v>
          </cell>
        </row>
        <row r="34558">
          <cell r="A34558">
            <v>43303</v>
          </cell>
        </row>
        <row r="34559">
          <cell r="A34559">
            <v>43365</v>
          </cell>
        </row>
        <row r="34560">
          <cell r="A34560">
            <v>43482</v>
          </cell>
        </row>
        <row r="34561">
          <cell r="A34561">
            <v>43920</v>
          </cell>
        </row>
        <row r="34562">
          <cell r="A34562">
            <v>43668</v>
          </cell>
        </row>
        <row r="34563">
          <cell r="A34563">
            <v>43834</v>
          </cell>
        </row>
        <row r="34564">
          <cell r="A34564">
            <v>43536</v>
          </cell>
        </row>
        <row r="34565">
          <cell r="A34565">
            <v>43234</v>
          </cell>
        </row>
        <row r="34566">
          <cell r="A34566">
            <v>43709</v>
          </cell>
        </row>
        <row r="34567">
          <cell r="A34567">
            <v>43590</v>
          </cell>
        </row>
        <row r="34568">
          <cell r="A34568">
            <v>43694</v>
          </cell>
        </row>
        <row r="34569">
          <cell r="A34569">
            <v>43425</v>
          </cell>
        </row>
        <row r="34570">
          <cell r="A34570">
            <v>43636</v>
          </cell>
        </row>
        <row r="34571">
          <cell r="A34571">
            <v>43368</v>
          </cell>
        </row>
        <row r="34572">
          <cell r="A34572">
            <v>43823</v>
          </cell>
        </row>
        <row r="34573">
          <cell r="A34573">
            <v>43869</v>
          </cell>
        </row>
        <row r="34574">
          <cell r="A34574">
            <v>43157</v>
          </cell>
        </row>
        <row r="34575">
          <cell r="A34575">
            <v>43181</v>
          </cell>
        </row>
        <row r="34576">
          <cell r="A34576">
            <v>43719</v>
          </cell>
        </row>
        <row r="34577">
          <cell r="A34577">
            <v>43583</v>
          </cell>
        </row>
        <row r="34578">
          <cell r="A34578">
            <v>43711</v>
          </cell>
        </row>
        <row r="34579">
          <cell r="A34579">
            <v>43169</v>
          </cell>
        </row>
        <row r="34580">
          <cell r="A34580">
            <v>43333</v>
          </cell>
        </row>
        <row r="34581">
          <cell r="A34581">
            <v>43730</v>
          </cell>
        </row>
        <row r="34582">
          <cell r="A34582">
            <v>43266</v>
          </cell>
        </row>
        <row r="34583">
          <cell r="A34583">
            <v>43341</v>
          </cell>
        </row>
        <row r="34584">
          <cell r="A34584">
            <v>43272</v>
          </cell>
        </row>
        <row r="34585">
          <cell r="A34585">
            <v>43520</v>
          </cell>
        </row>
        <row r="34586">
          <cell r="A34586">
            <v>43452</v>
          </cell>
        </row>
        <row r="34587">
          <cell r="A34587">
            <v>43410</v>
          </cell>
        </row>
        <row r="34588">
          <cell r="A34588">
            <v>43136</v>
          </cell>
        </row>
        <row r="34589">
          <cell r="A34589">
            <v>43236</v>
          </cell>
        </row>
        <row r="34590">
          <cell r="A34590">
            <v>43824</v>
          </cell>
        </row>
        <row r="34591">
          <cell r="A34591">
            <v>43318</v>
          </cell>
        </row>
        <row r="34592">
          <cell r="A34592">
            <v>43603</v>
          </cell>
        </row>
        <row r="34593">
          <cell r="A34593">
            <v>43713</v>
          </cell>
        </row>
        <row r="34594">
          <cell r="A34594">
            <v>43506</v>
          </cell>
        </row>
        <row r="34595">
          <cell r="A34595">
            <v>43467</v>
          </cell>
        </row>
        <row r="34596">
          <cell r="A34596">
            <v>43612</v>
          </cell>
        </row>
        <row r="34597">
          <cell r="A34597">
            <v>43101</v>
          </cell>
        </row>
        <row r="34598">
          <cell r="A34598">
            <v>43429</v>
          </cell>
        </row>
        <row r="34599">
          <cell r="A34599">
            <v>43680</v>
          </cell>
        </row>
        <row r="34600">
          <cell r="A34600">
            <v>43307</v>
          </cell>
        </row>
        <row r="34601">
          <cell r="A34601">
            <v>43677</v>
          </cell>
        </row>
        <row r="34602">
          <cell r="A34602">
            <v>43688</v>
          </cell>
        </row>
        <row r="34603">
          <cell r="A34603">
            <v>43402</v>
          </cell>
        </row>
        <row r="34604">
          <cell r="A34604">
            <v>43350</v>
          </cell>
        </row>
        <row r="34605">
          <cell r="A34605">
            <v>43455</v>
          </cell>
        </row>
        <row r="34606">
          <cell r="A34606">
            <v>43609</v>
          </cell>
        </row>
        <row r="34607">
          <cell r="A34607">
            <v>43512</v>
          </cell>
        </row>
        <row r="34608">
          <cell r="A34608">
            <v>43770</v>
          </cell>
        </row>
        <row r="34609">
          <cell r="A34609">
            <v>43447</v>
          </cell>
        </row>
        <row r="34610">
          <cell r="A34610">
            <v>43131</v>
          </cell>
        </row>
        <row r="34611">
          <cell r="A34611">
            <v>43524</v>
          </cell>
        </row>
        <row r="34612">
          <cell r="A34612">
            <v>43276</v>
          </cell>
        </row>
        <row r="34613">
          <cell r="A34613">
            <v>43861</v>
          </cell>
        </row>
        <row r="34614">
          <cell r="A34614">
            <v>43734</v>
          </cell>
        </row>
        <row r="34615">
          <cell r="A34615">
            <v>43584</v>
          </cell>
        </row>
        <row r="34616">
          <cell r="A34616">
            <v>43238</v>
          </cell>
        </row>
        <row r="34617">
          <cell r="A34617">
            <v>43779</v>
          </cell>
        </row>
        <row r="34618">
          <cell r="A34618">
            <v>43542</v>
          </cell>
        </row>
        <row r="34619">
          <cell r="A34619">
            <v>43615</v>
          </cell>
        </row>
        <row r="34620">
          <cell r="A34620">
            <v>43120</v>
          </cell>
        </row>
        <row r="34621">
          <cell r="A34621">
            <v>43485</v>
          </cell>
        </row>
        <row r="34622">
          <cell r="A34622">
            <v>43900</v>
          </cell>
        </row>
        <row r="34623">
          <cell r="A34623">
            <v>43326</v>
          </cell>
        </row>
        <row r="34624">
          <cell r="A34624">
            <v>43327</v>
          </cell>
        </row>
        <row r="34625">
          <cell r="A34625">
            <v>43224</v>
          </cell>
        </row>
        <row r="34626">
          <cell r="A34626">
            <v>43344</v>
          </cell>
        </row>
        <row r="34627">
          <cell r="A34627">
            <v>43201</v>
          </cell>
        </row>
        <row r="34628">
          <cell r="A34628">
            <v>43540</v>
          </cell>
        </row>
        <row r="34629">
          <cell r="A34629">
            <v>43542</v>
          </cell>
        </row>
        <row r="34630">
          <cell r="A34630">
            <v>43763</v>
          </cell>
        </row>
        <row r="34631">
          <cell r="A34631">
            <v>43148</v>
          </cell>
        </row>
        <row r="34632">
          <cell r="A34632">
            <v>43882</v>
          </cell>
        </row>
        <row r="34633">
          <cell r="A34633">
            <v>43547</v>
          </cell>
        </row>
        <row r="34634">
          <cell r="A34634">
            <v>43224</v>
          </cell>
        </row>
        <row r="34635">
          <cell r="A34635">
            <v>43625</v>
          </cell>
        </row>
        <row r="34636">
          <cell r="A34636">
            <v>43129</v>
          </cell>
        </row>
        <row r="34637">
          <cell r="A34637">
            <v>43632</v>
          </cell>
        </row>
        <row r="34638">
          <cell r="A34638">
            <v>43848</v>
          </cell>
        </row>
        <row r="34639">
          <cell r="A34639">
            <v>43431</v>
          </cell>
        </row>
        <row r="34640">
          <cell r="A34640">
            <v>43819</v>
          </cell>
        </row>
        <row r="34641">
          <cell r="A34641">
            <v>43860</v>
          </cell>
        </row>
        <row r="34642">
          <cell r="A34642">
            <v>43394</v>
          </cell>
        </row>
        <row r="34643">
          <cell r="A34643">
            <v>43698</v>
          </cell>
        </row>
        <row r="34644">
          <cell r="A34644">
            <v>43563</v>
          </cell>
        </row>
        <row r="34645">
          <cell r="A34645">
            <v>43158</v>
          </cell>
        </row>
        <row r="34646">
          <cell r="A34646">
            <v>43458</v>
          </cell>
        </row>
        <row r="34647">
          <cell r="A34647">
            <v>43917</v>
          </cell>
        </row>
        <row r="34648">
          <cell r="A34648">
            <v>43920</v>
          </cell>
        </row>
        <row r="34649">
          <cell r="A34649">
            <v>43384</v>
          </cell>
        </row>
        <row r="34650">
          <cell r="A34650">
            <v>43315</v>
          </cell>
        </row>
        <row r="34651">
          <cell r="A34651">
            <v>43527</v>
          </cell>
        </row>
        <row r="34652">
          <cell r="A34652">
            <v>43500</v>
          </cell>
        </row>
        <row r="34653">
          <cell r="A34653">
            <v>43884</v>
          </cell>
        </row>
        <row r="34654">
          <cell r="A34654">
            <v>43128</v>
          </cell>
        </row>
        <row r="34655">
          <cell r="A34655">
            <v>43461</v>
          </cell>
        </row>
        <row r="34656">
          <cell r="A34656">
            <v>43874</v>
          </cell>
        </row>
        <row r="34657">
          <cell r="A34657">
            <v>43671</v>
          </cell>
        </row>
        <row r="34658">
          <cell r="A34658">
            <v>43533</v>
          </cell>
        </row>
        <row r="34659">
          <cell r="A34659">
            <v>43385</v>
          </cell>
        </row>
        <row r="34660">
          <cell r="A34660">
            <v>43561</v>
          </cell>
        </row>
        <row r="34661">
          <cell r="A34661">
            <v>43389</v>
          </cell>
        </row>
        <row r="34662">
          <cell r="A34662">
            <v>43612</v>
          </cell>
        </row>
        <row r="34663">
          <cell r="A34663">
            <v>43211</v>
          </cell>
        </row>
        <row r="34664">
          <cell r="A34664">
            <v>43282</v>
          </cell>
        </row>
        <row r="34665">
          <cell r="A34665">
            <v>43118</v>
          </cell>
        </row>
        <row r="34666">
          <cell r="A34666">
            <v>43394</v>
          </cell>
        </row>
        <row r="34667">
          <cell r="A34667">
            <v>43390</v>
          </cell>
        </row>
        <row r="34668">
          <cell r="A34668">
            <v>43403</v>
          </cell>
        </row>
        <row r="34669">
          <cell r="A34669">
            <v>43319</v>
          </cell>
        </row>
        <row r="34670">
          <cell r="A34670">
            <v>43440</v>
          </cell>
        </row>
        <row r="34671">
          <cell r="A34671">
            <v>43718</v>
          </cell>
        </row>
        <row r="34672">
          <cell r="A34672">
            <v>43808</v>
          </cell>
        </row>
        <row r="34673">
          <cell r="A34673">
            <v>43517</v>
          </cell>
        </row>
        <row r="34674">
          <cell r="A34674">
            <v>43150</v>
          </cell>
        </row>
        <row r="34675">
          <cell r="A34675">
            <v>43399</v>
          </cell>
        </row>
        <row r="34676">
          <cell r="A34676">
            <v>43232</v>
          </cell>
        </row>
        <row r="34677">
          <cell r="A34677">
            <v>43330</v>
          </cell>
        </row>
        <row r="34678">
          <cell r="A34678">
            <v>43189</v>
          </cell>
        </row>
        <row r="34679">
          <cell r="A34679">
            <v>43195</v>
          </cell>
        </row>
        <row r="34680">
          <cell r="A34680">
            <v>43668</v>
          </cell>
        </row>
        <row r="34681">
          <cell r="A34681">
            <v>43497</v>
          </cell>
        </row>
        <row r="34682">
          <cell r="A34682">
            <v>43406</v>
          </cell>
        </row>
        <row r="34683">
          <cell r="A34683">
            <v>43146</v>
          </cell>
        </row>
        <row r="34684">
          <cell r="A34684">
            <v>43884</v>
          </cell>
        </row>
        <row r="34685">
          <cell r="A34685">
            <v>43188</v>
          </cell>
        </row>
        <row r="34686">
          <cell r="A34686">
            <v>43360</v>
          </cell>
        </row>
        <row r="34687">
          <cell r="A34687">
            <v>43745</v>
          </cell>
        </row>
        <row r="34688">
          <cell r="A34688">
            <v>43768</v>
          </cell>
        </row>
        <row r="34689">
          <cell r="A34689">
            <v>43727</v>
          </cell>
        </row>
        <row r="34690">
          <cell r="A34690">
            <v>43634</v>
          </cell>
        </row>
        <row r="34691">
          <cell r="A34691">
            <v>43675</v>
          </cell>
        </row>
        <row r="34692">
          <cell r="A34692">
            <v>43902</v>
          </cell>
        </row>
        <row r="34693">
          <cell r="A34693">
            <v>43103</v>
          </cell>
        </row>
        <row r="34694">
          <cell r="A34694">
            <v>43905</v>
          </cell>
        </row>
        <row r="34695">
          <cell r="A34695">
            <v>43114</v>
          </cell>
        </row>
        <row r="34696">
          <cell r="A34696">
            <v>43519</v>
          </cell>
        </row>
        <row r="34697">
          <cell r="A34697">
            <v>43399</v>
          </cell>
        </row>
        <row r="34698">
          <cell r="A34698">
            <v>43433</v>
          </cell>
        </row>
        <row r="34699">
          <cell r="A34699">
            <v>43542</v>
          </cell>
        </row>
        <row r="34700">
          <cell r="A34700">
            <v>43739</v>
          </cell>
        </row>
        <row r="34701">
          <cell r="A34701">
            <v>43154</v>
          </cell>
        </row>
        <row r="34702">
          <cell r="A34702">
            <v>43225</v>
          </cell>
        </row>
        <row r="34703">
          <cell r="A34703">
            <v>43471</v>
          </cell>
        </row>
        <row r="34704">
          <cell r="A34704">
            <v>43174</v>
          </cell>
        </row>
        <row r="34705">
          <cell r="A34705">
            <v>43904</v>
          </cell>
        </row>
        <row r="34706">
          <cell r="A34706">
            <v>43574</v>
          </cell>
        </row>
        <row r="34707">
          <cell r="A34707">
            <v>43749</v>
          </cell>
        </row>
        <row r="34708">
          <cell r="A34708">
            <v>43756</v>
          </cell>
        </row>
        <row r="34709">
          <cell r="A34709">
            <v>43273</v>
          </cell>
        </row>
        <row r="34710">
          <cell r="A34710">
            <v>43668</v>
          </cell>
        </row>
        <row r="34711">
          <cell r="A34711">
            <v>43481</v>
          </cell>
        </row>
        <row r="34712">
          <cell r="A34712">
            <v>43357</v>
          </cell>
        </row>
        <row r="34713">
          <cell r="A34713">
            <v>43790</v>
          </cell>
        </row>
        <row r="34714">
          <cell r="A34714">
            <v>43707</v>
          </cell>
        </row>
        <row r="34715">
          <cell r="A34715">
            <v>43617</v>
          </cell>
        </row>
        <row r="34716">
          <cell r="A34716">
            <v>43780</v>
          </cell>
        </row>
        <row r="34717">
          <cell r="A34717">
            <v>43246</v>
          </cell>
        </row>
        <row r="34718">
          <cell r="A34718">
            <v>43594</v>
          </cell>
        </row>
        <row r="34719">
          <cell r="A34719">
            <v>43264</v>
          </cell>
        </row>
        <row r="34720">
          <cell r="A34720">
            <v>43173</v>
          </cell>
        </row>
        <row r="34721">
          <cell r="A34721">
            <v>43366</v>
          </cell>
        </row>
        <row r="34722">
          <cell r="A34722">
            <v>43584</v>
          </cell>
        </row>
        <row r="34723">
          <cell r="A34723">
            <v>43205</v>
          </cell>
        </row>
        <row r="34724">
          <cell r="A34724">
            <v>43259</v>
          </cell>
        </row>
        <row r="34725">
          <cell r="A34725">
            <v>43442</v>
          </cell>
        </row>
        <row r="34726">
          <cell r="A34726">
            <v>43427</v>
          </cell>
        </row>
        <row r="34727">
          <cell r="A34727">
            <v>43490</v>
          </cell>
        </row>
        <row r="34728">
          <cell r="A34728">
            <v>43876</v>
          </cell>
        </row>
        <row r="34729">
          <cell r="A34729">
            <v>43617</v>
          </cell>
        </row>
        <row r="34730">
          <cell r="A34730">
            <v>43461</v>
          </cell>
        </row>
        <row r="34731">
          <cell r="A34731">
            <v>43480</v>
          </cell>
        </row>
        <row r="34732">
          <cell r="A34732">
            <v>43632</v>
          </cell>
        </row>
        <row r="34733">
          <cell r="A34733">
            <v>43211</v>
          </cell>
        </row>
        <row r="34734">
          <cell r="A34734">
            <v>43119</v>
          </cell>
        </row>
        <row r="34735">
          <cell r="A34735">
            <v>43911</v>
          </cell>
        </row>
        <row r="34736">
          <cell r="A34736">
            <v>43730</v>
          </cell>
        </row>
        <row r="34737">
          <cell r="A34737">
            <v>43406</v>
          </cell>
        </row>
        <row r="34738">
          <cell r="A34738">
            <v>43560</v>
          </cell>
        </row>
        <row r="34739">
          <cell r="A34739">
            <v>43759</v>
          </cell>
        </row>
        <row r="34740">
          <cell r="A34740">
            <v>43597</v>
          </cell>
        </row>
        <row r="34741">
          <cell r="A34741">
            <v>43631</v>
          </cell>
        </row>
        <row r="34742">
          <cell r="A34742">
            <v>43526</v>
          </cell>
        </row>
        <row r="34743">
          <cell r="A34743">
            <v>43577</v>
          </cell>
        </row>
        <row r="34744">
          <cell r="A34744">
            <v>43632</v>
          </cell>
        </row>
        <row r="34745">
          <cell r="A34745">
            <v>43593</v>
          </cell>
        </row>
        <row r="34746">
          <cell r="A34746">
            <v>43763</v>
          </cell>
        </row>
        <row r="34747">
          <cell r="A34747">
            <v>43656</v>
          </cell>
        </row>
        <row r="34748">
          <cell r="A34748">
            <v>43894</v>
          </cell>
        </row>
        <row r="34749">
          <cell r="A34749">
            <v>43754</v>
          </cell>
        </row>
        <row r="34750">
          <cell r="A34750">
            <v>43509</v>
          </cell>
        </row>
        <row r="34751">
          <cell r="A34751">
            <v>43118</v>
          </cell>
        </row>
        <row r="34752">
          <cell r="A34752">
            <v>43364</v>
          </cell>
        </row>
        <row r="34753">
          <cell r="A34753">
            <v>43894</v>
          </cell>
        </row>
        <row r="34754">
          <cell r="A34754">
            <v>43477</v>
          </cell>
        </row>
        <row r="34755">
          <cell r="A34755">
            <v>43323</v>
          </cell>
        </row>
        <row r="34756">
          <cell r="A34756">
            <v>43383</v>
          </cell>
        </row>
        <row r="34757">
          <cell r="A34757">
            <v>43506</v>
          </cell>
        </row>
        <row r="34758">
          <cell r="A34758">
            <v>43264</v>
          </cell>
        </row>
        <row r="34759">
          <cell r="A34759">
            <v>43730</v>
          </cell>
        </row>
        <row r="34760">
          <cell r="A34760">
            <v>43737</v>
          </cell>
        </row>
        <row r="34761">
          <cell r="A34761">
            <v>43394</v>
          </cell>
        </row>
        <row r="34762">
          <cell r="A34762">
            <v>43895</v>
          </cell>
        </row>
        <row r="34763">
          <cell r="A34763">
            <v>43779</v>
          </cell>
        </row>
        <row r="34764">
          <cell r="A34764">
            <v>43783</v>
          </cell>
        </row>
        <row r="34765">
          <cell r="A34765">
            <v>43115</v>
          </cell>
        </row>
        <row r="34766">
          <cell r="A34766">
            <v>43136</v>
          </cell>
        </row>
        <row r="34767">
          <cell r="A34767">
            <v>43747</v>
          </cell>
        </row>
        <row r="34768">
          <cell r="A34768">
            <v>43500</v>
          </cell>
        </row>
        <row r="34769">
          <cell r="A34769">
            <v>43919</v>
          </cell>
        </row>
        <row r="34770">
          <cell r="A34770">
            <v>43298</v>
          </cell>
        </row>
        <row r="34771">
          <cell r="A34771">
            <v>43204</v>
          </cell>
        </row>
        <row r="34772">
          <cell r="A34772">
            <v>43491</v>
          </cell>
        </row>
        <row r="34773">
          <cell r="A34773">
            <v>43370</v>
          </cell>
        </row>
        <row r="34774">
          <cell r="A34774">
            <v>43486</v>
          </cell>
        </row>
        <row r="34775">
          <cell r="A34775">
            <v>43662</v>
          </cell>
        </row>
        <row r="34776">
          <cell r="A34776">
            <v>43721</v>
          </cell>
        </row>
        <row r="34777">
          <cell r="A34777">
            <v>43260</v>
          </cell>
        </row>
        <row r="34778">
          <cell r="A34778">
            <v>43591</v>
          </cell>
        </row>
        <row r="34779">
          <cell r="A34779">
            <v>43236</v>
          </cell>
        </row>
        <row r="34780">
          <cell r="A34780">
            <v>43363</v>
          </cell>
        </row>
        <row r="34781">
          <cell r="A34781">
            <v>43351</v>
          </cell>
        </row>
        <row r="34782">
          <cell r="A34782">
            <v>43688</v>
          </cell>
        </row>
        <row r="34783">
          <cell r="A34783">
            <v>43446</v>
          </cell>
        </row>
        <row r="34784">
          <cell r="A34784">
            <v>43394</v>
          </cell>
        </row>
        <row r="34785">
          <cell r="A34785">
            <v>43451</v>
          </cell>
        </row>
        <row r="34786">
          <cell r="A34786">
            <v>43215</v>
          </cell>
        </row>
        <row r="34787">
          <cell r="A34787">
            <v>43881</v>
          </cell>
        </row>
        <row r="34788">
          <cell r="A34788">
            <v>43818</v>
          </cell>
        </row>
        <row r="34789">
          <cell r="A34789">
            <v>43652</v>
          </cell>
        </row>
        <row r="34790">
          <cell r="A34790">
            <v>43616</v>
          </cell>
        </row>
        <row r="34791">
          <cell r="A34791">
            <v>43802</v>
          </cell>
        </row>
        <row r="34792">
          <cell r="A34792">
            <v>43351</v>
          </cell>
        </row>
        <row r="34793">
          <cell r="A34793">
            <v>43649</v>
          </cell>
        </row>
        <row r="34794">
          <cell r="A34794">
            <v>43345</v>
          </cell>
        </row>
        <row r="34795">
          <cell r="A34795">
            <v>43634</v>
          </cell>
        </row>
        <row r="34796">
          <cell r="A34796">
            <v>43577</v>
          </cell>
        </row>
        <row r="34797">
          <cell r="A34797">
            <v>43705</v>
          </cell>
        </row>
        <row r="34798">
          <cell r="A34798">
            <v>43336</v>
          </cell>
        </row>
        <row r="34799">
          <cell r="A34799">
            <v>43481</v>
          </cell>
        </row>
        <row r="34800">
          <cell r="A34800">
            <v>43388</v>
          </cell>
        </row>
        <row r="34801">
          <cell r="A34801">
            <v>43179</v>
          </cell>
        </row>
        <row r="34802">
          <cell r="A34802">
            <v>43540</v>
          </cell>
        </row>
        <row r="34803">
          <cell r="A34803">
            <v>43479</v>
          </cell>
        </row>
        <row r="34804">
          <cell r="A34804">
            <v>43195</v>
          </cell>
        </row>
        <row r="34805">
          <cell r="A34805">
            <v>43643</v>
          </cell>
        </row>
        <row r="34806">
          <cell r="A34806">
            <v>43391</v>
          </cell>
        </row>
        <row r="34807">
          <cell r="A34807">
            <v>43333</v>
          </cell>
        </row>
        <row r="34808">
          <cell r="A34808">
            <v>43210</v>
          </cell>
        </row>
        <row r="34809">
          <cell r="A34809">
            <v>43669</v>
          </cell>
        </row>
        <row r="34810">
          <cell r="A34810">
            <v>43332</v>
          </cell>
        </row>
        <row r="34811">
          <cell r="A34811">
            <v>43670</v>
          </cell>
        </row>
        <row r="34812">
          <cell r="A34812">
            <v>43547</v>
          </cell>
        </row>
        <row r="34813">
          <cell r="A34813">
            <v>43286</v>
          </cell>
        </row>
        <row r="34814">
          <cell r="A34814">
            <v>43253</v>
          </cell>
        </row>
        <row r="34815">
          <cell r="A34815">
            <v>43900</v>
          </cell>
        </row>
        <row r="34816">
          <cell r="A34816">
            <v>43571</v>
          </cell>
        </row>
        <row r="34817">
          <cell r="A34817">
            <v>43515</v>
          </cell>
        </row>
        <row r="34818">
          <cell r="A34818">
            <v>43776</v>
          </cell>
        </row>
        <row r="34819">
          <cell r="A34819">
            <v>43651</v>
          </cell>
        </row>
        <row r="34820">
          <cell r="A34820">
            <v>43912</v>
          </cell>
        </row>
        <row r="34821">
          <cell r="A34821">
            <v>43913</v>
          </cell>
        </row>
        <row r="34822">
          <cell r="A34822">
            <v>43413</v>
          </cell>
        </row>
        <row r="34823">
          <cell r="A34823">
            <v>43158</v>
          </cell>
        </row>
        <row r="34824">
          <cell r="A34824">
            <v>43609</v>
          </cell>
        </row>
        <row r="34825">
          <cell r="A34825">
            <v>43572</v>
          </cell>
        </row>
        <row r="34826">
          <cell r="A34826">
            <v>43274</v>
          </cell>
        </row>
        <row r="34827">
          <cell r="A34827">
            <v>43234</v>
          </cell>
        </row>
        <row r="34828">
          <cell r="A34828">
            <v>43164</v>
          </cell>
        </row>
        <row r="34829">
          <cell r="A34829">
            <v>43284</v>
          </cell>
        </row>
        <row r="34830">
          <cell r="A34830">
            <v>43225</v>
          </cell>
        </row>
        <row r="34831">
          <cell r="A34831">
            <v>43153</v>
          </cell>
        </row>
        <row r="34832">
          <cell r="A34832">
            <v>43387</v>
          </cell>
        </row>
        <row r="34833">
          <cell r="A34833">
            <v>43224</v>
          </cell>
        </row>
        <row r="34834">
          <cell r="A34834">
            <v>43723</v>
          </cell>
        </row>
        <row r="34835">
          <cell r="A34835">
            <v>43259</v>
          </cell>
        </row>
        <row r="34836">
          <cell r="A34836">
            <v>43347</v>
          </cell>
        </row>
        <row r="34837">
          <cell r="A34837">
            <v>43422</v>
          </cell>
        </row>
        <row r="34838">
          <cell r="A34838">
            <v>43411</v>
          </cell>
        </row>
        <row r="34839">
          <cell r="A34839">
            <v>43357</v>
          </cell>
        </row>
        <row r="34840">
          <cell r="A34840">
            <v>43410</v>
          </cell>
        </row>
        <row r="34841">
          <cell r="A34841">
            <v>43325</v>
          </cell>
        </row>
        <row r="34842">
          <cell r="A34842">
            <v>43424</v>
          </cell>
        </row>
        <row r="34843">
          <cell r="A34843">
            <v>43835</v>
          </cell>
        </row>
        <row r="34844">
          <cell r="A34844">
            <v>43571</v>
          </cell>
        </row>
        <row r="34845">
          <cell r="A34845">
            <v>43437</v>
          </cell>
        </row>
        <row r="34846">
          <cell r="A34846">
            <v>43143</v>
          </cell>
        </row>
        <row r="34847">
          <cell r="A34847">
            <v>43624</v>
          </cell>
        </row>
        <row r="34848">
          <cell r="A34848">
            <v>43777</v>
          </cell>
        </row>
        <row r="34849">
          <cell r="A34849">
            <v>43740</v>
          </cell>
        </row>
        <row r="34850">
          <cell r="A34850">
            <v>43881</v>
          </cell>
        </row>
        <row r="34851">
          <cell r="A34851">
            <v>43314</v>
          </cell>
        </row>
        <row r="34852">
          <cell r="A34852">
            <v>43825</v>
          </cell>
        </row>
        <row r="34853">
          <cell r="A34853">
            <v>43882</v>
          </cell>
        </row>
        <row r="34854">
          <cell r="A34854">
            <v>43475</v>
          </cell>
        </row>
        <row r="34855">
          <cell r="A34855">
            <v>43710</v>
          </cell>
        </row>
        <row r="34856">
          <cell r="A34856">
            <v>43257</v>
          </cell>
        </row>
        <row r="34857">
          <cell r="A34857">
            <v>43897</v>
          </cell>
        </row>
        <row r="34858">
          <cell r="A34858">
            <v>43812</v>
          </cell>
        </row>
        <row r="34859">
          <cell r="A34859">
            <v>43300</v>
          </cell>
        </row>
        <row r="34860">
          <cell r="A34860">
            <v>43405</v>
          </cell>
        </row>
        <row r="34861">
          <cell r="A34861">
            <v>43161</v>
          </cell>
        </row>
        <row r="34862">
          <cell r="A34862">
            <v>43142</v>
          </cell>
        </row>
        <row r="34863">
          <cell r="A34863">
            <v>43159</v>
          </cell>
        </row>
        <row r="34864">
          <cell r="A34864">
            <v>43331</v>
          </cell>
        </row>
        <row r="34865">
          <cell r="A34865">
            <v>43667</v>
          </cell>
        </row>
        <row r="34866">
          <cell r="A34866">
            <v>43861</v>
          </cell>
        </row>
        <row r="34867">
          <cell r="A34867">
            <v>43457</v>
          </cell>
        </row>
        <row r="34868">
          <cell r="A34868">
            <v>43886</v>
          </cell>
        </row>
        <row r="34869">
          <cell r="A34869">
            <v>43384</v>
          </cell>
        </row>
        <row r="34870">
          <cell r="A34870">
            <v>43631</v>
          </cell>
        </row>
        <row r="34871">
          <cell r="A34871">
            <v>43910</v>
          </cell>
        </row>
        <row r="34872">
          <cell r="A34872">
            <v>43132</v>
          </cell>
        </row>
        <row r="34873">
          <cell r="A34873">
            <v>43665</v>
          </cell>
        </row>
        <row r="34874">
          <cell r="A34874">
            <v>43421</v>
          </cell>
        </row>
        <row r="34875">
          <cell r="A34875">
            <v>43545</v>
          </cell>
        </row>
        <row r="34876">
          <cell r="A34876">
            <v>43503</v>
          </cell>
        </row>
        <row r="34877">
          <cell r="A34877">
            <v>43919</v>
          </cell>
        </row>
        <row r="34878">
          <cell r="A34878">
            <v>43315</v>
          </cell>
        </row>
        <row r="34879">
          <cell r="A34879">
            <v>43324</v>
          </cell>
        </row>
        <row r="34880">
          <cell r="A34880">
            <v>43235</v>
          </cell>
        </row>
        <row r="34881">
          <cell r="A34881">
            <v>43393</v>
          </cell>
        </row>
        <row r="34882">
          <cell r="A34882">
            <v>43414</v>
          </cell>
        </row>
        <row r="34883">
          <cell r="A34883">
            <v>43680</v>
          </cell>
        </row>
        <row r="34884">
          <cell r="A34884">
            <v>43454</v>
          </cell>
        </row>
        <row r="34885">
          <cell r="A34885">
            <v>43631</v>
          </cell>
        </row>
        <row r="34886">
          <cell r="A34886">
            <v>43666</v>
          </cell>
        </row>
        <row r="34887">
          <cell r="A34887">
            <v>43627</v>
          </cell>
        </row>
        <row r="34888">
          <cell r="A34888">
            <v>43467</v>
          </cell>
        </row>
        <row r="34889">
          <cell r="A34889">
            <v>43190</v>
          </cell>
        </row>
        <row r="34890">
          <cell r="A34890">
            <v>43562</v>
          </cell>
        </row>
        <row r="34891">
          <cell r="A34891">
            <v>43335</v>
          </cell>
        </row>
        <row r="34892">
          <cell r="A34892">
            <v>43834</v>
          </cell>
        </row>
        <row r="34893">
          <cell r="A34893">
            <v>43704</v>
          </cell>
        </row>
        <row r="34894">
          <cell r="A34894">
            <v>43912</v>
          </cell>
        </row>
        <row r="34895">
          <cell r="A34895">
            <v>43843</v>
          </cell>
        </row>
        <row r="34896">
          <cell r="A34896">
            <v>43859</v>
          </cell>
        </row>
        <row r="34897">
          <cell r="A34897">
            <v>43197</v>
          </cell>
        </row>
        <row r="34898">
          <cell r="A34898">
            <v>43832</v>
          </cell>
        </row>
        <row r="34899">
          <cell r="A34899">
            <v>43918</v>
          </cell>
        </row>
        <row r="34900">
          <cell r="A34900">
            <v>43779</v>
          </cell>
        </row>
        <row r="34901">
          <cell r="A34901">
            <v>43537</v>
          </cell>
        </row>
        <row r="34902">
          <cell r="A34902">
            <v>43275</v>
          </cell>
        </row>
        <row r="34903">
          <cell r="A34903">
            <v>43785</v>
          </cell>
        </row>
        <row r="34904">
          <cell r="A34904">
            <v>43268</v>
          </cell>
        </row>
        <row r="34905">
          <cell r="A34905">
            <v>43742</v>
          </cell>
        </row>
        <row r="34906">
          <cell r="A34906">
            <v>43812</v>
          </cell>
        </row>
        <row r="34907">
          <cell r="A34907">
            <v>43857</v>
          </cell>
        </row>
        <row r="34908">
          <cell r="A34908">
            <v>43677</v>
          </cell>
        </row>
        <row r="34909">
          <cell r="A34909">
            <v>43571</v>
          </cell>
        </row>
        <row r="34910">
          <cell r="A34910">
            <v>43270</v>
          </cell>
        </row>
        <row r="34911">
          <cell r="A34911">
            <v>43397</v>
          </cell>
        </row>
        <row r="34912">
          <cell r="A34912">
            <v>43763</v>
          </cell>
        </row>
        <row r="34913">
          <cell r="A34913">
            <v>43195</v>
          </cell>
        </row>
        <row r="34914">
          <cell r="A34914">
            <v>43185</v>
          </cell>
        </row>
        <row r="34915">
          <cell r="A34915">
            <v>43244</v>
          </cell>
        </row>
        <row r="34916">
          <cell r="A34916">
            <v>43313</v>
          </cell>
        </row>
        <row r="34917">
          <cell r="A34917">
            <v>43531</v>
          </cell>
        </row>
        <row r="34918">
          <cell r="A34918">
            <v>43693</v>
          </cell>
        </row>
        <row r="34919">
          <cell r="A34919">
            <v>43409</v>
          </cell>
        </row>
        <row r="34920">
          <cell r="A34920">
            <v>43412</v>
          </cell>
        </row>
        <row r="34921">
          <cell r="A34921">
            <v>43617</v>
          </cell>
        </row>
        <row r="34922">
          <cell r="A34922">
            <v>43892</v>
          </cell>
        </row>
        <row r="34923">
          <cell r="A34923">
            <v>43410</v>
          </cell>
        </row>
        <row r="34924">
          <cell r="A34924">
            <v>43815</v>
          </cell>
        </row>
        <row r="34925">
          <cell r="A34925">
            <v>43608</v>
          </cell>
        </row>
        <row r="34926">
          <cell r="A34926">
            <v>43791</v>
          </cell>
        </row>
        <row r="34927">
          <cell r="A34927">
            <v>43451</v>
          </cell>
        </row>
        <row r="34928">
          <cell r="A34928">
            <v>43352</v>
          </cell>
        </row>
        <row r="34929">
          <cell r="A34929">
            <v>43252</v>
          </cell>
        </row>
        <row r="34930">
          <cell r="A34930">
            <v>43465</v>
          </cell>
        </row>
        <row r="34931">
          <cell r="A34931">
            <v>43348</v>
          </cell>
        </row>
        <row r="34932">
          <cell r="A34932">
            <v>43880</v>
          </cell>
        </row>
        <row r="34933">
          <cell r="A34933">
            <v>43286</v>
          </cell>
        </row>
        <row r="34934">
          <cell r="A34934">
            <v>43873</v>
          </cell>
        </row>
        <row r="34935">
          <cell r="A34935">
            <v>43692</v>
          </cell>
        </row>
        <row r="34936">
          <cell r="A34936">
            <v>43660</v>
          </cell>
        </row>
        <row r="34937">
          <cell r="A34937">
            <v>43205</v>
          </cell>
        </row>
        <row r="34938">
          <cell r="A34938">
            <v>43885</v>
          </cell>
        </row>
        <row r="34939">
          <cell r="A34939">
            <v>43554</v>
          </cell>
        </row>
        <row r="34940">
          <cell r="A34940">
            <v>43229</v>
          </cell>
        </row>
        <row r="34941">
          <cell r="A34941">
            <v>43477</v>
          </cell>
        </row>
        <row r="34942">
          <cell r="A34942">
            <v>43680</v>
          </cell>
        </row>
        <row r="34943">
          <cell r="A34943">
            <v>43285</v>
          </cell>
        </row>
        <row r="34944">
          <cell r="A34944">
            <v>43235</v>
          </cell>
        </row>
        <row r="34945">
          <cell r="A34945">
            <v>43153</v>
          </cell>
        </row>
        <row r="34946">
          <cell r="A34946">
            <v>43375</v>
          </cell>
        </row>
        <row r="34947">
          <cell r="A34947">
            <v>43290</v>
          </cell>
        </row>
        <row r="34948">
          <cell r="A34948">
            <v>43528</v>
          </cell>
        </row>
        <row r="34949">
          <cell r="A34949">
            <v>43660</v>
          </cell>
        </row>
        <row r="34950">
          <cell r="A34950">
            <v>43236</v>
          </cell>
        </row>
        <row r="34951">
          <cell r="A34951">
            <v>43217</v>
          </cell>
        </row>
        <row r="34952">
          <cell r="A34952">
            <v>43798</v>
          </cell>
        </row>
        <row r="34953">
          <cell r="A34953">
            <v>43538</v>
          </cell>
        </row>
        <row r="34954">
          <cell r="A34954">
            <v>43384</v>
          </cell>
        </row>
        <row r="34955">
          <cell r="A34955">
            <v>43639</v>
          </cell>
        </row>
        <row r="34956">
          <cell r="A34956">
            <v>43551</v>
          </cell>
        </row>
        <row r="34957">
          <cell r="A34957">
            <v>43815</v>
          </cell>
        </row>
        <row r="34958">
          <cell r="A34958">
            <v>43360</v>
          </cell>
        </row>
        <row r="34959">
          <cell r="A34959">
            <v>43743</v>
          </cell>
        </row>
        <row r="34960">
          <cell r="A34960">
            <v>43512</v>
          </cell>
        </row>
        <row r="34961">
          <cell r="A34961">
            <v>43258</v>
          </cell>
        </row>
        <row r="34962">
          <cell r="A34962">
            <v>43443</v>
          </cell>
        </row>
        <row r="34963">
          <cell r="A34963">
            <v>43564</v>
          </cell>
        </row>
        <row r="34964">
          <cell r="A34964">
            <v>43865</v>
          </cell>
        </row>
        <row r="34965">
          <cell r="A34965">
            <v>43256</v>
          </cell>
        </row>
        <row r="34966">
          <cell r="A34966">
            <v>43345</v>
          </cell>
        </row>
        <row r="34967">
          <cell r="A34967">
            <v>43744</v>
          </cell>
        </row>
        <row r="34968">
          <cell r="A34968">
            <v>43754</v>
          </cell>
        </row>
        <row r="34969">
          <cell r="A34969">
            <v>43102</v>
          </cell>
        </row>
        <row r="34970">
          <cell r="A34970">
            <v>43705</v>
          </cell>
        </row>
        <row r="34971">
          <cell r="A34971">
            <v>43616</v>
          </cell>
        </row>
        <row r="34972">
          <cell r="A34972">
            <v>43578</v>
          </cell>
        </row>
        <row r="34973">
          <cell r="A34973">
            <v>43120</v>
          </cell>
        </row>
        <row r="34974">
          <cell r="A34974">
            <v>43617</v>
          </cell>
        </row>
        <row r="34975">
          <cell r="A34975">
            <v>43166</v>
          </cell>
        </row>
        <row r="34976">
          <cell r="A34976">
            <v>43838</v>
          </cell>
        </row>
        <row r="34977">
          <cell r="A34977">
            <v>43870</v>
          </cell>
        </row>
        <row r="34978">
          <cell r="A34978">
            <v>43479</v>
          </cell>
        </row>
        <row r="34979">
          <cell r="A34979">
            <v>43862</v>
          </cell>
        </row>
        <row r="34980">
          <cell r="A34980">
            <v>43528</v>
          </cell>
        </row>
        <row r="34981">
          <cell r="A34981">
            <v>43875</v>
          </cell>
        </row>
        <row r="34982">
          <cell r="A34982">
            <v>43617</v>
          </cell>
        </row>
        <row r="34983">
          <cell r="A34983">
            <v>43776</v>
          </cell>
        </row>
        <row r="34984">
          <cell r="A34984">
            <v>43828</v>
          </cell>
        </row>
        <row r="34985">
          <cell r="A34985">
            <v>43119</v>
          </cell>
        </row>
        <row r="34986">
          <cell r="A34986">
            <v>43227</v>
          </cell>
        </row>
        <row r="34987">
          <cell r="A34987">
            <v>43513</v>
          </cell>
        </row>
        <row r="34988">
          <cell r="A34988">
            <v>43271</v>
          </cell>
        </row>
        <row r="34989">
          <cell r="A34989">
            <v>43600</v>
          </cell>
        </row>
        <row r="34990">
          <cell r="A34990">
            <v>43191</v>
          </cell>
        </row>
        <row r="34991">
          <cell r="A34991">
            <v>43116</v>
          </cell>
        </row>
        <row r="34992">
          <cell r="A34992">
            <v>43864</v>
          </cell>
        </row>
        <row r="34993">
          <cell r="A34993">
            <v>43696</v>
          </cell>
        </row>
        <row r="34994">
          <cell r="A34994">
            <v>43439</v>
          </cell>
        </row>
        <row r="34995">
          <cell r="A34995">
            <v>43813</v>
          </cell>
        </row>
        <row r="34996">
          <cell r="A34996">
            <v>43628</v>
          </cell>
        </row>
        <row r="34997">
          <cell r="A34997">
            <v>43105</v>
          </cell>
        </row>
        <row r="34998">
          <cell r="A34998">
            <v>43558</v>
          </cell>
        </row>
        <row r="34999">
          <cell r="A34999">
            <v>43630</v>
          </cell>
        </row>
        <row r="35000">
          <cell r="A35000">
            <v>43167</v>
          </cell>
        </row>
        <row r="35001">
          <cell r="A35001">
            <v>43528</v>
          </cell>
        </row>
        <row r="35002">
          <cell r="A35002">
            <v>43505</v>
          </cell>
        </row>
        <row r="35003">
          <cell r="A35003">
            <v>43300</v>
          </cell>
        </row>
        <row r="35004">
          <cell r="A35004">
            <v>43306</v>
          </cell>
        </row>
        <row r="35005">
          <cell r="A35005">
            <v>43480</v>
          </cell>
        </row>
        <row r="35006">
          <cell r="A35006">
            <v>43651</v>
          </cell>
        </row>
        <row r="35007">
          <cell r="A35007">
            <v>43542</v>
          </cell>
        </row>
        <row r="35008">
          <cell r="A35008">
            <v>43918</v>
          </cell>
        </row>
        <row r="35009">
          <cell r="A35009">
            <v>43536</v>
          </cell>
        </row>
        <row r="35010">
          <cell r="A35010">
            <v>43529</v>
          </cell>
        </row>
        <row r="35011">
          <cell r="A35011">
            <v>43466</v>
          </cell>
        </row>
        <row r="35012">
          <cell r="A35012">
            <v>43475</v>
          </cell>
        </row>
        <row r="35013">
          <cell r="A35013">
            <v>43793</v>
          </cell>
        </row>
        <row r="35014">
          <cell r="A35014">
            <v>43848</v>
          </cell>
        </row>
        <row r="35015">
          <cell r="A35015">
            <v>43663</v>
          </cell>
        </row>
        <row r="35016">
          <cell r="A35016">
            <v>43269</v>
          </cell>
        </row>
        <row r="35017">
          <cell r="A35017">
            <v>43282</v>
          </cell>
        </row>
        <row r="35018">
          <cell r="A35018">
            <v>43237</v>
          </cell>
        </row>
        <row r="35019">
          <cell r="A35019">
            <v>43662</v>
          </cell>
        </row>
        <row r="35020">
          <cell r="A35020">
            <v>43417</v>
          </cell>
        </row>
        <row r="35021">
          <cell r="A35021">
            <v>43255</v>
          </cell>
        </row>
        <row r="35022">
          <cell r="A35022">
            <v>43920</v>
          </cell>
        </row>
        <row r="35023">
          <cell r="A35023">
            <v>43306</v>
          </cell>
        </row>
        <row r="35024">
          <cell r="A35024">
            <v>43921</v>
          </cell>
        </row>
        <row r="35025">
          <cell r="A35025">
            <v>43143</v>
          </cell>
        </row>
        <row r="35026">
          <cell r="A35026">
            <v>43580</v>
          </cell>
        </row>
        <row r="35027">
          <cell r="A35027">
            <v>43183</v>
          </cell>
        </row>
        <row r="35028">
          <cell r="A35028">
            <v>43371</v>
          </cell>
        </row>
        <row r="35029">
          <cell r="A35029">
            <v>43428</v>
          </cell>
        </row>
        <row r="35030">
          <cell r="A35030">
            <v>43211</v>
          </cell>
        </row>
        <row r="35031">
          <cell r="A35031">
            <v>43376</v>
          </cell>
        </row>
        <row r="35032">
          <cell r="A35032">
            <v>43496</v>
          </cell>
        </row>
        <row r="35033">
          <cell r="A35033">
            <v>43132</v>
          </cell>
        </row>
        <row r="35034">
          <cell r="A35034">
            <v>43591</v>
          </cell>
        </row>
        <row r="35035">
          <cell r="A35035">
            <v>43270</v>
          </cell>
        </row>
        <row r="35036">
          <cell r="A35036">
            <v>43369</v>
          </cell>
        </row>
        <row r="35037">
          <cell r="A35037">
            <v>43360</v>
          </cell>
        </row>
        <row r="35038">
          <cell r="A35038">
            <v>43653</v>
          </cell>
        </row>
        <row r="35039">
          <cell r="A35039">
            <v>43313</v>
          </cell>
        </row>
        <row r="35040">
          <cell r="A35040">
            <v>43257</v>
          </cell>
        </row>
        <row r="35041">
          <cell r="A35041">
            <v>43265</v>
          </cell>
        </row>
        <row r="35042">
          <cell r="A35042">
            <v>43158</v>
          </cell>
        </row>
        <row r="35043">
          <cell r="A35043">
            <v>43613</v>
          </cell>
        </row>
        <row r="35044">
          <cell r="A35044">
            <v>43373</v>
          </cell>
        </row>
        <row r="35045">
          <cell r="A35045">
            <v>43623</v>
          </cell>
        </row>
        <row r="35046">
          <cell r="A35046">
            <v>43120</v>
          </cell>
        </row>
        <row r="35047">
          <cell r="A35047">
            <v>43149</v>
          </cell>
        </row>
        <row r="35048">
          <cell r="A35048">
            <v>43307</v>
          </cell>
        </row>
        <row r="35049">
          <cell r="A35049">
            <v>43585</v>
          </cell>
        </row>
        <row r="35050">
          <cell r="A35050">
            <v>43858</v>
          </cell>
        </row>
        <row r="35051">
          <cell r="A35051">
            <v>43456</v>
          </cell>
        </row>
        <row r="35052">
          <cell r="A35052">
            <v>43131</v>
          </cell>
        </row>
        <row r="35053">
          <cell r="A35053">
            <v>43661</v>
          </cell>
        </row>
        <row r="35054">
          <cell r="A35054">
            <v>43480</v>
          </cell>
        </row>
        <row r="35055">
          <cell r="A35055">
            <v>43587</v>
          </cell>
        </row>
        <row r="35056">
          <cell r="A35056">
            <v>43694</v>
          </cell>
        </row>
        <row r="35057">
          <cell r="A35057">
            <v>43869</v>
          </cell>
        </row>
        <row r="35058">
          <cell r="A35058">
            <v>43209</v>
          </cell>
        </row>
        <row r="35059">
          <cell r="A35059">
            <v>43369</v>
          </cell>
        </row>
        <row r="35060">
          <cell r="A35060">
            <v>43916</v>
          </cell>
        </row>
        <row r="35061">
          <cell r="A35061">
            <v>43758</v>
          </cell>
        </row>
        <row r="35062">
          <cell r="A35062">
            <v>43836</v>
          </cell>
        </row>
        <row r="35063">
          <cell r="A35063">
            <v>43555</v>
          </cell>
        </row>
        <row r="35064">
          <cell r="A35064">
            <v>43207</v>
          </cell>
        </row>
        <row r="35065">
          <cell r="A35065">
            <v>43115</v>
          </cell>
        </row>
        <row r="35066">
          <cell r="A35066">
            <v>43192</v>
          </cell>
        </row>
        <row r="35067">
          <cell r="A35067">
            <v>43516</v>
          </cell>
        </row>
        <row r="35068">
          <cell r="A35068">
            <v>43722</v>
          </cell>
        </row>
        <row r="35069">
          <cell r="A35069">
            <v>43778</v>
          </cell>
        </row>
        <row r="35070">
          <cell r="A35070">
            <v>43693</v>
          </cell>
        </row>
        <row r="35071">
          <cell r="A35071">
            <v>43498</v>
          </cell>
        </row>
        <row r="35072">
          <cell r="A35072">
            <v>43787</v>
          </cell>
        </row>
        <row r="35073">
          <cell r="A35073">
            <v>43910</v>
          </cell>
        </row>
        <row r="35074">
          <cell r="A35074">
            <v>43871</v>
          </cell>
        </row>
        <row r="35075">
          <cell r="A35075">
            <v>43255</v>
          </cell>
        </row>
        <row r="35076">
          <cell r="A35076">
            <v>43145</v>
          </cell>
        </row>
        <row r="35077">
          <cell r="A35077">
            <v>43485</v>
          </cell>
        </row>
        <row r="35078">
          <cell r="A35078">
            <v>43264</v>
          </cell>
        </row>
        <row r="35079">
          <cell r="A35079">
            <v>43438</v>
          </cell>
        </row>
        <row r="35080">
          <cell r="A35080">
            <v>43631</v>
          </cell>
        </row>
        <row r="35081">
          <cell r="A35081">
            <v>43706</v>
          </cell>
        </row>
        <row r="35082">
          <cell r="A35082">
            <v>43819</v>
          </cell>
        </row>
        <row r="35083">
          <cell r="A35083">
            <v>43663</v>
          </cell>
        </row>
        <row r="35084">
          <cell r="A35084">
            <v>43168</v>
          </cell>
        </row>
        <row r="35085">
          <cell r="A35085">
            <v>43247</v>
          </cell>
        </row>
        <row r="35086">
          <cell r="A35086">
            <v>43555</v>
          </cell>
        </row>
        <row r="35087">
          <cell r="A35087">
            <v>43309</v>
          </cell>
        </row>
        <row r="35088">
          <cell r="A35088">
            <v>43252</v>
          </cell>
        </row>
        <row r="35089">
          <cell r="A35089">
            <v>43298</v>
          </cell>
        </row>
        <row r="35090">
          <cell r="A35090">
            <v>43243</v>
          </cell>
        </row>
        <row r="35091">
          <cell r="A35091">
            <v>43231</v>
          </cell>
        </row>
        <row r="35092">
          <cell r="A35092">
            <v>43210</v>
          </cell>
        </row>
        <row r="35093">
          <cell r="A35093">
            <v>43184</v>
          </cell>
        </row>
        <row r="35094">
          <cell r="A35094">
            <v>43567</v>
          </cell>
        </row>
        <row r="35095">
          <cell r="A35095">
            <v>43430</v>
          </cell>
        </row>
        <row r="35096">
          <cell r="A35096">
            <v>43781</v>
          </cell>
        </row>
        <row r="35097">
          <cell r="A35097">
            <v>43108</v>
          </cell>
        </row>
        <row r="35098">
          <cell r="A35098">
            <v>43821</v>
          </cell>
        </row>
        <row r="35099">
          <cell r="A35099">
            <v>43808</v>
          </cell>
        </row>
        <row r="35100">
          <cell r="A35100">
            <v>43772</v>
          </cell>
        </row>
        <row r="35101">
          <cell r="A35101">
            <v>43129</v>
          </cell>
        </row>
        <row r="35102">
          <cell r="A35102">
            <v>43622</v>
          </cell>
        </row>
        <row r="35103">
          <cell r="A35103">
            <v>43324</v>
          </cell>
        </row>
        <row r="35104">
          <cell r="A35104">
            <v>43859</v>
          </cell>
        </row>
        <row r="35105">
          <cell r="A35105">
            <v>43869</v>
          </cell>
        </row>
        <row r="35106">
          <cell r="A35106">
            <v>43846</v>
          </cell>
        </row>
        <row r="35107">
          <cell r="A35107">
            <v>43688</v>
          </cell>
        </row>
        <row r="35108">
          <cell r="A35108">
            <v>43911</v>
          </cell>
        </row>
        <row r="35109">
          <cell r="A35109">
            <v>43662</v>
          </cell>
        </row>
        <row r="35110">
          <cell r="A35110">
            <v>43219</v>
          </cell>
        </row>
        <row r="35111">
          <cell r="A35111">
            <v>43212</v>
          </cell>
        </row>
        <row r="35112">
          <cell r="A35112">
            <v>43295</v>
          </cell>
        </row>
        <row r="35113">
          <cell r="A35113">
            <v>43223</v>
          </cell>
        </row>
        <row r="35114">
          <cell r="A35114">
            <v>43748</v>
          </cell>
        </row>
        <row r="35115">
          <cell r="A35115">
            <v>43553</v>
          </cell>
        </row>
        <row r="35116">
          <cell r="A35116">
            <v>43505</v>
          </cell>
        </row>
        <row r="35117">
          <cell r="A35117">
            <v>43805</v>
          </cell>
        </row>
        <row r="35118">
          <cell r="A35118">
            <v>43697</v>
          </cell>
        </row>
        <row r="35119">
          <cell r="A35119">
            <v>43712</v>
          </cell>
        </row>
        <row r="35120">
          <cell r="A35120">
            <v>43470</v>
          </cell>
        </row>
        <row r="35121">
          <cell r="A35121">
            <v>43642</v>
          </cell>
        </row>
        <row r="35122">
          <cell r="A35122">
            <v>43449</v>
          </cell>
        </row>
        <row r="35123">
          <cell r="A35123">
            <v>43334</v>
          </cell>
        </row>
        <row r="35124">
          <cell r="A35124">
            <v>43174</v>
          </cell>
        </row>
        <row r="35125">
          <cell r="A35125">
            <v>43907</v>
          </cell>
        </row>
        <row r="35126">
          <cell r="A35126">
            <v>43335</v>
          </cell>
        </row>
        <row r="35127">
          <cell r="A35127">
            <v>43760</v>
          </cell>
        </row>
        <row r="35128">
          <cell r="A35128">
            <v>43705</v>
          </cell>
        </row>
        <row r="35129">
          <cell r="A35129">
            <v>43731</v>
          </cell>
        </row>
        <row r="35130">
          <cell r="A35130">
            <v>43342</v>
          </cell>
        </row>
        <row r="35131">
          <cell r="A35131">
            <v>43719</v>
          </cell>
        </row>
        <row r="35132">
          <cell r="A35132">
            <v>43643</v>
          </cell>
        </row>
        <row r="35133">
          <cell r="A35133">
            <v>43802</v>
          </cell>
        </row>
        <row r="35134">
          <cell r="A35134">
            <v>43859</v>
          </cell>
        </row>
        <row r="35135">
          <cell r="A35135">
            <v>43898</v>
          </cell>
        </row>
        <row r="35136">
          <cell r="A35136">
            <v>43589</v>
          </cell>
        </row>
        <row r="35137">
          <cell r="A35137">
            <v>43221</v>
          </cell>
        </row>
        <row r="35138">
          <cell r="A35138">
            <v>43587</v>
          </cell>
        </row>
        <row r="35139">
          <cell r="A35139">
            <v>43650</v>
          </cell>
        </row>
        <row r="35140">
          <cell r="A35140">
            <v>43392</v>
          </cell>
        </row>
        <row r="35141">
          <cell r="A35141">
            <v>43393</v>
          </cell>
        </row>
        <row r="35142">
          <cell r="A35142">
            <v>43268</v>
          </cell>
        </row>
        <row r="35143">
          <cell r="A35143">
            <v>43529</v>
          </cell>
        </row>
        <row r="35144">
          <cell r="A35144">
            <v>43559</v>
          </cell>
        </row>
        <row r="35145">
          <cell r="A35145">
            <v>43891</v>
          </cell>
        </row>
        <row r="35146">
          <cell r="A35146">
            <v>43738</v>
          </cell>
        </row>
        <row r="35147">
          <cell r="A35147">
            <v>43700</v>
          </cell>
        </row>
        <row r="35148">
          <cell r="A35148">
            <v>43230</v>
          </cell>
        </row>
        <row r="35149">
          <cell r="A35149">
            <v>43670</v>
          </cell>
        </row>
        <row r="35150">
          <cell r="A35150">
            <v>43256</v>
          </cell>
        </row>
        <row r="35151">
          <cell r="A35151">
            <v>43910</v>
          </cell>
        </row>
        <row r="35152">
          <cell r="A35152">
            <v>43581</v>
          </cell>
        </row>
        <row r="35153">
          <cell r="A35153">
            <v>43867</v>
          </cell>
        </row>
        <row r="35154">
          <cell r="A35154">
            <v>43119</v>
          </cell>
        </row>
        <row r="35155">
          <cell r="A35155">
            <v>43118</v>
          </cell>
        </row>
        <row r="35156">
          <cell r="A35156">
            <v>43450</v>
          </cell>
        </row>
        <row r="35157">
          <cell r="A35157">
            <v>43899</v>
          </cell>
        </row>
        <row r="35158">
          <cell r="A35158">
            <v>43285</v>
          </cell>
        </row>
        <row r="35159">
          <cell r="A35159">
            <v>43345</v>
          </cell>
        </row>
        <row r="35160">
          <cell r="A35160">
            <v>43535</v>
          </cell>
        </row>
        <row r="35161">
          <cell r="A35161">
            <v>43123</v>
          </cell>
        </row>
        <row r="35162">
          <cell r="A35162">
            <v>43460</v>
          </cell>
        </row>
        <row r="35163">
          <cell r="A35163">
            <v>43169</v>
          </cell>
        </row>
        <row r="35164">
          <cell r="A35164">
            <v>43275</v>
          </cell>
        </row>
        <row r="35165">
          <cell r="A35165">
            <v>43326</v>
          </cell>
        </row>
        <row r="35166">
          <cell r="A35166">
            <v>43131</v>
          </cell>
        </row>
        <row r="35167">
          <cell r="A35167">
            <v>43892</v>
          </cell>
        </row>
        <row r="35168">
          <cell r="A35168">
            <v>43362</v>
          </cell>
        </row>
        <row r="35169">
          <cell r="A35169">
            <v>43268</v>
          </cell>
        </row>
        <row r="35170">
          <cell r="A35170">
            <v>43640</v>
          </cell>
        </row>
        <row r="35171">
          <cell r="A35171">
            <v>43435</v>
          </cell>
        </row>
        <row r="35172">
          <cell r="A35172">
            <v>43647</v>
          </cell>
        </row>
        <row r="35173">
          <cell r="A35173">
            <v>43552</v>
          </cell>
        </row>
        <row r="35174">
          <cell r="A35174">
            <v>43310</v>
          </cell>
        </row>
        <row r="35175">
          <cell r="A35175">
            <v>43839</v>
          </cell>
        </row>
        <row r="35176">
          <cell r="A35176">
            <v>43664</v>
          </cell>
        </row>
        <row r="35177">
          <cell r="A35177">
            <v>43600</v>
          </cell>
        </row>
        <row r="35178">
          <cell r="A35178">
            <v>43860</v>
          </cell>
        </row>
        <row r="35179">
          <cell r="A35179">
            <v>43391</v>
          </cell>
        </row>
        <row r="35180">
          <cell r="A35180">
            <v>43819</v>
          </cell>
        </row>
        <row r="35181">
          <cell r="A35181">
            <v>43617</v>
          </cell>
        </row>
        <row r="35182">
          <cell r="A35182">
            <v>43675</v>
          </cell>
        </row>
        <row r="35183">
          <cell r="A35183">
            <v>43369</v>
          </cell>
        </row>
        <row r="35184">
          <cell r="A35184">
            <v>43759</v>
          </cell>
        </row>
        <row r="35185">
          <cell r="A35185">
            <v>43388</v>
          </cell>
        </row>
        <row r="35186">
          <cell r="A35186">
            <v>43229</v>
          </cell>
        </row>
        <row r="35187">
          <cell r="A35187">
            <v>43219</v>
          </cell>
        </row>
        <row r="35188">
          <cell r="A35188">
            <v>43195</v>
          </cell>
        </row>
        <row r="35189">
          <cell r="A35189">
            <v>43773</v>
          </cell>
        </row>
        <row r="35190">
          <cell r="A35190">
            <v>43750</v>
          </cell>
        </row>
        <row r="35191">
          <cell r="A35191">
            <v>43766</v>
          </cell>
        </row>
        <row r="35192">
          <cell r="A35192">
            <v>43723</v>
          </cell>
        </row>
        <row r="35193">
          <cell r="A35193">
            <v>43368</v>
          </cell>
        </row>
        <row r="35194">
          <cell r="A35194">
            <v>43512</v>
          </cell>
        </row>
        <row r="35195">
          <cell r="A35195">
            <v>43354</v>
          </cell>
        </row>
        <row r="35196">
          <cell r="A35196">
            <v>43155</v>
          </cell>
        </row>
        <row r="35197">
          <cell r="A35197">
            <v>43545</v>
          </cell>
        </row>
        <row r="35198">
          <cell r="A35198">
            <v>43225</v>
          </cell>
        </row>
        <row r="35199">
          <cell r="A35199">
            <v>43239</v>
          </cell>
        </row>
        <row r="35200">
          <cell r="A35200">
            <v>43141</v>
          </cell>
        </row>
        <row r="35201">
          <cell r="A35201">
            <v>43809</v>
          </cell>
        </row>
        <row r="35202">
          <cell r="A35202">
            <v>43432</v>
          </cell>
        </row>
        <row r="35203">
          <cell r="A35203">
            <v>43239</v>
          </cell>
        </row>
        <row r="35204">
          <cell r="A35204">
            <v>43227</v>
          </cell>
        </row>
        <row r="35205">
          <cell r="A35205">
            <v>43416</v>
          </cell>
        </row>
        <row r="35206">
          <cell r="A35206">
            <v>43894</v>
          </cell>
        </row>
        <row r="35207">
          <cell r="A35207">
            <v>43323</v>
          </cell>
        </row>
        <row r="35208">
          <cell r="A35208">
            <v>43599</v>
          </cell>
        </row>
        <row r="35209">
          <cell r="A35209">
            <v>43756</v>
          </cell>
        </row>
        <row r="35210">
          <cell r="A35210">
            <v>43668</v>
          </cell>
        </row>
        <row r="35211">
          <cell r="A35211">
            <v>43141</v>
          </cell>
        </row>
        <row r="35212">
          <cell r="A35212">
            <v>43832</v>
          </cell>
        </row>
        <row r="35213">
          <cell r="A35213">
            <v>43523</v>
          </cell>
        </row>
        <row r="35214">
          <cell r="A35214">
            <v>43599</v>
          </cell>
        </row>
        <row r="35215">
          <cell r="A35215">
            <v>43493</v>
          </cell>
        </row>
        <row r="35216">
          <cell r="A35216">
            <v>43618</v>
          </cell>
        </row>
        <row r="35217">
          <cell r="A35217">
            <v>43259</v>
          </cell>
        </row>
        <row r="35218">
          <cell r="A35218">
            <v>43324</v>
          </cell>
        </row>
        <row r="35219">
          <cell r="A35219">
            <v>43749</v>
          </cell>
        </row>
        <row r="35220">
          <cell r="A35220">
            <v>43893</v>
          </cell>
        </row>
        <row r="35221">
          <cell r="A35221">
            <v>43459</v>
          </cell>
        </row>
        <row r="35222">
          <cell r="A35222">
            <v>43893</v>
          </cell>
        </row>
        <row r="35223">
          <cell r="A35223">
            <v>43862</v>
          </cell>
        </row>
        <row r="35224">
          <cell r="A35224">
            <v>43818</v>
          </cell>
        </row>
        <row r="35225">
          <cell r="A35225">
            <v>43367</v>
          </cell>
        </row>
        <row r="35226">
          <cell r="A35226">
            <v>43343</v>
          </cell>
        </row>
        <row r="35227">
          <cell r="A35227">
            <v>43242</v>
          </cell>
        </row>
        <row r="35228">
          <cell r="A35228">
            <v>43436</v>
          </cell>
        </row>
        <row r="35229">
          <cell r="A35229">
            <v>43665</v>
          </cell>
        </row>
        <row r="35230">
          <cell r="A35230">
            <v>43209</v>
          </cell>
        </row>
        <row r="35231">
          <cell r="A35231">
            <v>43708</v>
          </cell>
        </row>
        <row r="35232">
          <cell r="A35232">
            <v>43530</v>
          </cell>
        </row>
        <row r="35233">
          <cell r="A35233">
            <v>43556</v>
          </cell>
        </row>
        <row r="35234">
          <cell r="A35234">
            <v>43267</v>
          </cell>
        </row>
        <row r="35235">
          <cell r="A35235">
            <v>43806</v>
          </cell>
        </row>
        <row r="35236">
          <cell r="A35236">
            <v>43851</v>
          </cell>
        </row>
        <row r="35237">
          <cell r="A35237">
            <v>43516</v>
          </cell>
        </row>
        <row r="35238">
          <cell r="A35238">
            <v>43420</v>
          </cell>
        </row>
        <row r="35239">
          <cell r="A35239">
            <v>43756</v>
          </cell>
        </row>
        <row r="35240">
          <cell r="A35240">
            <v>43593</v>
          </cell>
        </row>
        <row r="35241">
          <cell r="A35241">
            <v>43206</v>
          </cell>
        </row>
        <row r="35242">
          <cell r="A35242">
            <v>43737</v>
          </cell>
        </row>
        <row r="35243">
          <cell r="A35243">
            <v>43763</v>
          </cell>
        </row>
        <row r="35244">
          <cell r="A35244">
            <v>43860</v>
          </cell>
        </row>
        <row r="35245">
          <cell r="A35245">
            <v>43839</v>
          </cell>
        </row>
        <row r="35246">
          <cell r="A35246">
            <v>43652</v>
          </cell>
        </row>
        <row r="35247">
          <cell r="A35247">
            <v>43742</v>
          </cell>
        </row>
        <row r="35248">
          <cell r="A35248">
            <v>43295</v>
          </cell>
        </row>
        <row r="35249">
          <cell r="A35249">
            <v>43152</v>
          </cell>
        </row>
        <row r="35250">
          <cell r="A35250">
            <v>43832</v>
          </cell>
        </row>
        <row r="35251">
          <cell r="A35251">
            <v>43804</v>
          </cell>
        </row>
        <row r="35252">
          <cell r="A35252">
            <v>43438</v>
          </cell>
        </row>
        <row r="35253">
          <cell r="A35253">
            <v>43583</v>
          </cell>
        </row>
        <row r="35254">
          <cell r="A35254">
            <v>43205</v>
          </cell>
        </row>
        <row r="35255">
          <cell r="A35255">
            <v>43374</v>
          </cell>
        </row>
        <row r="35256">
          <cell r="A35256">
            <v>43875</v>
          </cell>
        </row>
        <row r="35257">
          <cell r="A35257">
            <v>43451</v>
          </cell>
        </row>
        <row r="35258">
          <cell r="A35258">
            <v>43590</v>
          </cell>
        </row>
        <row r="35259">
          <cell r="A35259">
            <v>43453</v>
          </cell>
        </row>
        <row r="35260">
          <cell r="A35260">
            <v>43177</v>
          </cell>
        </row>
        <row r="35261">
          <cell r="A35261">
            <v>43695</v>
          </cell>
        </row>
        <row r="35262">
          <cell r="A35262">
            <v>43496</v>
          </cell>
        </row>
        <row r="35263">
          <cell r="A35263">
            <v>43237</v>
          </cell>
        </row>
        <row r="35264">
          <cell r="A35264">
            <v>43490</v>
          </cell>
        </row>
        <row r="35265">
          <cell r="A35265">
            <v>43343</v>
          </cell>
        </row>
        <row r="35266">
          <cell r="A35266">
            <v>43357</v>
          </cell>
        </row>
        <row r="35267">
          <cell r="A35267">
            <v>43115</v>
          </cell>
        </row>
        <row r="35268">
          <cell r="A35268">
            <v>43340</v>
          </cell>
        </row>
        <row r="35269">
          <cell r="A35269">
            <v>43214</v>
          </cell>
        </row>
        <row r="35270">
          <cell r="A35270">
            <v>43529</v>
          </cell>
        </row>
        <row r="35271">
          <cell r="A35271">
            <v>43859</v>
          </cell>
        </row>
        <row r="35272">
          <cell r="A35272">
            <v>43166</v>
          </cell>
        </row>
        <row r="35273">
          <cell r="A35273">
            <v>43114</v>
          </cell>
        </row>
        <row r="35274">
          <cell r="A35274">
            <v>43491</v>
          </cell>
        </row>
        <row r="35275">
          <cell r="A35275">
            <v>43827</v>
          </cell>
        </row>
        <row r="35276">
          <cell r="A35276">
            <v>43126</v>
          </cell>
        </row>
        <row r="35277">
          <cell r="A35277">
            <v>43707</v>
          </cell>
        </row>
        <row r="35278">
          <cell r="A35278">
            <v>43420</v>
          </cell>
        </row>
        <row r="35279">
          <cell r="A35279">
            <v>43421</v>
          </cell>
        </row>
        <row r="35280">
          <cell r="A35280">
            <v>43742</v>
          </cell>
        </row>
        <row r="35281">
          <cell r="A35281">
            <v>43482</v>
          </cell>
        </row>
        <row r="35282">
          <cell r="A35282">
            <v>43505</v>
          </cell>
        </row>
        <row r="35283">
          <cell r="A35283">
            <v>43714</v>
          </cell>
        </row>
        <row r="35284">
          <cell r="A35284">
            <v>43352</v>
          </cell>
        </row>
        <row r="35285">
          <cell r="A35285">
            <v>43259</v>
          </cell>
        </row>
        <row r="35286">
          <cell r="A35286">
            <v>43202</v>
          </cell>
        </row>
        <row r="35287">
          <cell r="A35287">
            <v>43469</v>
          </cell>
        </row>
        <row r="35288">
          <cell r="A35288">
            <v>43559</v>
          </cell>
        </row>
        <row r="35289">
          <cell r="A35289">
            <v>43611</v>
          </cell>
        </row>
        <row r="35290">
          <cell r="A35290">
            <v>43357</v>
          </cell>
        </row>
        <row r="35291">
          <cell r="A35291">
            <v>43432</v>
          </cell>
        </row>
        <row r="35292">
          <cell r="A35292">
            <v>43846</v>
          </cell>
        </row>
        <row r="35293">
          <cell r="A35293">
            <v>43666</v>
          </cell>
        </row>
        <row r="35294">
          <cell r="A35294">
            <v>43737</v>
          </cell>
        </row>
        <row r="35295">
          <cell r="A35295">
            <v>43736</v>
          </cell>
        </row>
        <row r="35296">
          <cell r="A35296">
            <v>43693</v>
          </cell>
        </row>
        <row r="35297">
          <cell r="A35297">
            <v>43661</v>
          </cell>
        </row>
        <row r="35298">
          <cell r="A35298">
            <v>43675</v>
          </cell>
        </row>
        <row r="35299">
          <cell r="A35299">
            <v>43546</v>
          </cell>
        </row>
        <row r="35300">
          <cell r="A35300">
            <v>43211</v>
          </cell>
        </row>
        <row r="35301">
          <cell r="A35301">
            <v>43128</v>
          </cell>
        </row>
        <row r="35302">
          <cell r="A35302">
            <v>43846</v>
          </cell>
        </row>
        <row r="35303">
          <cell r="A35303">
            <v>43185</v>
          </cell>
        </row>
        <row r="35304">
          <cell r="A35304">
            <v>43317</v>
          </cell>
        </row>
        <row r="35305">
          <cell r="A35305">
            <v>43787</v>
          </cell>
        </row>
        <row r="35306">
          <cell r="A35306">
            <v>43754</v>
          </cell>
        </row>
        <row r="35307">
          <cell r="A35307">
            <v>43318</v>
          </cell>
        </row>
        <row r="35308">
          <cell r="A35308">
            <v>43168</v>
          </cell>
        </row>
        <row r="35309">
          <cell r="A35309">
            <v>43132</v>
          </cell>
        </row>
        <row r="35310">
          <cell r="A35310">
            <v>43642</v>
          </cell>
        </row>
        <row r="35311">
          <cell r="A35311">
            <v>43245</v>
          </cell>
        </row>
        <row r="35312">
          <cell r="A35312">
            <v>43806</v>
          </cell>
        </row>
        <row r="35313">
          <cell r="A35313">
            <v>43498</v>
          </cell>
        </row>
        <row r="35314">
          <cell r="A35314">
            <v>43529</v>
          </cell>
        </row>
        <row r="35315">
          <cell r="A35315">
            <v>43441</v>
          </cell>
        </row>
        <row r="35316">
          <cell r="A35316">
            <v>43640</v>
          </cell>
        </row>
        <row r="35317">
          <cell r="A35317">
            <v>43676</v>
          </cell>
        </row>
        <row r="35318">
          <cell r="A35318">
            <v>43255</v>
          </cell>
        </row>
        <row r="35319">
          <cell r="A35319">
            <v>43892</v>
          </cell>
        </row>
        <row r="35320">
          <cell r="A35320">
            <v>43167</v>
          </cell>
        </row>
        <row r="35321">
          <cell r="A35321">
            <v>43901</v>
          </cell>
        </row>
        <row r="35322">
          <cell r="A35322">
            <v>43506</v>
          </cell>
        </row>
        <row r="35323">
          <cell r="A35323">
            <v>43356</v>
          </cell>
        </row>
        <row r="35324">
          <cell r="A35324">
            <v>43377</v>
          </cell>
        </row>
        <row r="35325">
          <cell r="A35325">
            <v>43647</v>
          </cell>
        </row>
        <row r="35326">
          <cell r="A35326">
            <v>43178</v>
          </cell>
        </row>
        <row r="35327">
          <cell r="A35327">
            <v>43510</v>
          </cell>
        </row>
        <row r="35328">
          <cell r="A35328">
            <v>43777</v>
          </cell>
        </row>
        <row r="35329">
          <cell r="A35329">
            <v>43480</v>
          </cell>
        </row>
        <row r="35330">
          <cell r="A35330">
            <v>43613</v>
          </cell>
        </row>
        <row r="35331">
          <cell r="A35331">
            <v>43888</v>
          </cell>
        </row>
        <row r="35332">
          <cell r="A35332">
            <v>43454</v>
          </cell>
        </row>
        <row r="35333">
          <cell r="A35333">
            <v>43323</v>
          </cell>
        </row>
        <row r="35334">
          <cell r="A35334">
            <v>43864</v>
          </cell>
        </row>
        <row r="35335">
          <cell r="A35335">
            <v>43521</v>
          </cell>
        </row>
        <row r="35336">
          <cell r="A35336">
            <v>43512</v>
          </cell>
        </row>
        <row r="35337">
          <cell r="A35337">
            <v>43683</v>
          </cell>
        </row>
        <row r="35338">
          <cell r="A35338">
            <v>43756</v>
          </cell>
        </row>
        <row r="35339">
          <cell r="A35339">
            <v>43786</v>
          </cell>
        </row>
        <row r="35340">
          <cell r="A35340">
            <v>43441</v>
          </cell>
        </row>
        <row r="35341">
          <cell r="A35341">
            <v>43158</v>
          </cell>
        </row>
        <row r="35342">
          <cell r="A35342">
            <v>43484</v>
          </cell>
        </row>
        <row r="35343">
          <cell r="A35343">
            <v>43610</v>
          </cell>
        </row>
        <row r="35344">
          <cell r="A35344">
            <v>43553</v>
          </cell>
        </row>
        <row r="35345">
          <cell r="A35345">
            <v>43185</v>
          </cell>
        </row>
        <row r="35346">
          <cell r="A35346">
            <v>43383</v>
          </cell>
        </row>
        <row r="35347">
          <cell r="A35347">
            <v>43735</v>
          </cell>
        </row>
        <row r="35348">
          <cell r="A35348">
            <v>43726</v>
          </cell>
        </row>
        <row r="35349">
          <cell r="A35349">
            <v>43739</v>
          </cell>
        </row>
        <row r="35350">
          <cell r="A35350">
            <v>43565</v>
          </cell>
        </row>
        <row r="35351">
          <cell r="A35351">
            <v>43519</v>
          </cell>
        </row>
        <row r="35352">
          <cell r="A35352">
            <v>43913</v>
          </cell>
        </row>
        <row r="35353">
          <cell r="A35353">
            <v>43109</v>
          </cell>
        </row>
        <row r="35354">
          <cell r="A35354">
            <v>43706</v>
          </cell>
        </row>
        <row r="35355">
          <cell r="A35355">
            <v>43450</v>
          </cell>
        </row>
        <row r="35356">
          <cell r="A35356">
            <v>43183</v>
          </cell>
        </row>
        <row r="35357">
          <cell r="A35357">
            <v>43919</v>
          </cell>
        </row>
        <row r="35358">
          <cell r="A35358">
            <v>43783</v>
          </cell>
        </row>
        <row r="35359">
          <cell r="A35359">
            <v>43447</v>
          </cell>
        </row>
        <row r="35360">
          <cell r="A35360">
            <v>43421</v>
          </cell>
        </row>
        <row r="35361">
          <cell r="A35361">
            <v>43280</v>
          </cell>
        </row>
        <row r="35362">
          <cell r="A35362">
            <v>43290</v>
          </cell>
        </row>
        <row r="35363">
          <cell r="A35363">
            <v>43689</v>
          </cell>
        </row>
        <row r="35364">
          <cell r="A35364">
            <v>43462</v>
          </cell>
        </row>
        <row r="35365">
          <cell r="A35365">
            <v>43467</v>
          </cell>
        </row>
        <row r="35366">
          <cell r="A35366">
            <v>43812</v>
          </cell>
        </row>
        <row r="35367">
          <cell r="A35367">
            <v>43809</v>
          </cell>
        </row>
        <row r="35368">
          <cell r="A35368">
            <v>43269</v>
          </cell>
        </row>
        <row r="35369">
          <cell r="A35369">
            <v>43307</v>
          </cell>
        </row>
        <row r="35370">
          <cell r="A35370">
            <v>43401</v>
          </cell>
        </row>
        <row r="35371">
          <cell r="A35371">
            <v>43499</v>
          </cell>
        </row>
        <row r="35372">
          <cell r="A35372">
            <v>43673</v>
          </cell>
        </row>
        <row r="35373">
          <cell r="A35373">
            <v>43811</v>
          </cell>
        </row>
        <row r="35374">
          <cell r="A35374">
            <v>43606</v>
          </cell>
        </row>
        <row r="35375">
          <cell r="A35375">
            <v>43698</v>
          </cell>
        </row>
        <row r="35376">
          <cell r="A35376">
            <v>43880</v>
          </cell>
        </row>
        <row r="35377">
          <cell r="A35377">
            <v>43248</v>
          </cell>
        </row>
        <row r="35378">
          <cell r="A35378">
            <v>43724</v>
          </cell>
        </row>
        <row r="35379">
          <cell r="A35379">
            <v>43199</v>
          </cell>
        </row>
        <row r="35380">
          <cell r="A35380">
            <v>43279</v>
          </cell>
        </row>
        <row r="35381">
          <cell r="A35381">
            <v>43885</v>
          </cell>
        </row>
        <row r="35382">
          <cell r="A35382">
            <v>43322</v>
          </cell>
        </row>
        <row r="35383">
          <cell r="A35383">
            <v>43387</v>
          </cell>
        </row>
        <row r="35384">
          <cell r="A35384">
            <v>43487</v>
          </cell>
        </row>
        <row r="35385">
          <cell r="A35385">
            <v>43665</v>
          </cell>
        </row>
        <row r="35386">
          <cell r="A35386">
            <v>43568</v>
          </cell>
        </row>
        <row r="35387">
          <cell r="A35387">
            <v>43164</v>
          </cell>
        </row>
        <row r="35388">
          <cell r="A35388">
            <v>43676</v>
          </cell>
        </row>
        <row r="35389">
          <cell r="A35389">
            <v>43485</v>
          </cell>
        </row>
        <row r="35390">
          <cell r="A35390">
            <v>43834</v>
          </cell>
        </row>
        <row r="35391">
          <cell r="A35391">
            <v>43105</v>
          </cell>
        </row>
        <row r="35392">
          <cell r="A35392">
            <v>43195</v>
          </cell>
        </row>
        <row r="35393">
          <cell r="A35393">
            <v>43687</v>
          </cell>
        </row>
        <row r="35394">
          <cell r="A35394">
            <v>43722</v>
          </cell>
        </row>
        <row r="35395">
          <cell r="A35395">
            <v>43509</v>
          </cell>
        </row>
        <row r="35396">
          <cell r="A35396">
            <v>43839</v>
          </cell>
        </row>
        <row r="35397">
          <cell r="A35397">
            <v>43433</v>
          </cell>
        </row>
        <row r="35398">
          <cell r="A35398">
            <v>43444</v>
          </cell>
        </row>
        <row r="35399">
          <cell r="A35399">
            <v>43225</v>
          </cell>
        </row>
        <row r="35400">
          <cell r="A35400">
            <v>43165</v>
          </cell>
        </row>
        <row r="35401">
          <cell r="A35401">
            <v>43712</v>
          </cell>
        </row>
        <row r="35402">
          <cell r="A35402">
            <v>43461</v>
          </cell>
        </row>
        <row r="35403">
          <cell r="A35403">
            <v>43722</v>
          </cell>
        </row>
        <row r="35404">
          <cell r="A35404">
            <v>43412</v>
          </cell>
        </row>
        <row r="35405">
          <cell r="A35405">
            <v>43189</v>
          </cell>
        </row>
        <row r="35406">
          <cell r="A35406">
            <v>43318</v>
          </cell>
        </row>
        <row r="35407">
          <cell r="A35407">
            <v>43264</v>
          </cell>
        </row>
        <row r="35408">
          <cell r="A35408">
            <v>43156</v>
          </cell>
        </row>
        <row r="35409">
          <cell r="A35409">
            <v>43367</v>
          </cell>
        </row>
        <row r="35410">
          <cell r="A35410">
            <v>43354</v>
          </cell>
        </row>
        <row r="35411">
          <cell r="A35411">
            <v>43699</v>
          </cell>
        </row>
        <row r="35412">
          <cell r="A35412">
            <v>43395</v>
          </cell>
        </row>
        <row r="35413">
          <cell r="A35413">
            <v>43695</v>
          </cell>
        </row>
        <row r="35414">
          <cell r="A35414">
            <v>43312</v>
          </cell>
        </row>
        <row r="35415">
          <cell r="A35415">
            <v>43871</v>
          </cell>
        </row>
        <row r="35416">
          <cell r="A35416">
            <v>43232</v>
          </cell>
        </row>
        <row r="35417">
          <cell r="A35417">
            <v>43171</v>
          </cell>
        </row>
        <row r="35418">
          <cell r="A35418">
            <v>43487</v>
          </cell>
        </row>
        <row r="35419">
          <cell r="A35419">
            <v>43418</v>
          </cell>
        </row>
        <row r="35420">
          <cell r="A35420">
            <v>43704</v>
          </cell>
        </row>
        <row r="35421">
          <cell r="A35421">
            <v>43205</v>
          </cell>
        </row>
        <row r="35422">
          <cell r="A35422">
            <v>43101</v>
          </cell>
        </row>
        <row r="35423">
          <cell r="A35423">
            <v>43380</v>
          </cell>
        </row>
        <row r="35424">
          <cell r="A35424">
            <v>43752</v>
          </cell>
        </row>
        <row r="35425">
          <cell r="A35425">
            <v>43784</v>
          </cell>
        </row>
        <row r="35426">
          <cell r="A35426">
            <v>43679</v>
          </cell>
        </row>
        <row r="35427">
          <cell r="A35427">
            <v>43788</v>
          </cell>
        </row>
        <row r="35428">
          <cell r="A35428">
            <v>43583</v>
          </cell>
        </row>
        <row r="35429">
          <cell r="A35429">
            <v>43835</v>
          </cell>
        </row>
        <row r="35430">
          <cell r="A35430">
            <v>43139</v>
          </cell>
        </row>
        <row r="35431">
          <cell r="A35431">
            <v>43335</v>
          </cell>
        </row>
        <row r="35432">
          <cell r="A35432">
            <v>43568</v>
          </cell>
        </row>
        <row r="35433">
          <cell r="A35433">
            <v>43685</v>
          </cell>
        </row>
        <row r="35434">
          <cell r="A35434">
            <v>43171</v>
          </cell>
        </row>
        <row r="35435">
          <cell r="A35435">
            <v>43531</v>
          </cell>
        </row>
        <row r="35436">
          <cell r="A35436">
            <v>43636</v>
          </cell>
        </row>
        <row r="35437">
          <cell r="A35437">
            <v>43447</v>
          </cell>
        </row>
        <row r="35438">
          <cell r="A35438">
            <v>43772</v>
          </cell>
        </row>
        <row r="35439">
          <cell r="A35439">
            <v>43784</v>
          </cell>
        </row>
        <row r="35440">
          <cell r="A35440">
            <v>43911</v>
          </cell>
        </row>
        <row r="35441">
          <cell r="A35441">
            <v>43368</v>
          </cell>
        </row>
        <row r="35442">
          <cell r="A35442">
            <v>43881</v>
          </cell>
        </row>
        <row r="35443">
          <cell r="A35443">
            <v>43396</v>
          </cell>
        </row>
        <row r="35444">
          <cell r="A35444">
            <v>43260</v>
          </cell>
        </row>
        <row r="35445">
          <cell r="A35445">
            <v>43801</v>
          </cell>
        </row>
        <row r="35446">
          <cell r="A35446">
            <v>43711</v>
          </cell>
        </row>
        <row r="35447">
          <cell r="A35447">
            <v>43456</v>
          </cell>
        </row>
        <row r="35448">
          <cell r="A35448">
            <v>43916</v>
          </cell>
        </row>
        <row r="35449">
          <cell r="A35449">
            <v>43417</v>
          </cell>
        </row>
        <row r="35450">
          <cell r="A35450">
            <v>43475</v>
          </cell>
        </row>
        <row r="35451">
          <cell r="A35451">
            <v>43627</v>
          </cell>
        </row>
        <row r="35452">
          <cell r="A35452">
            <v>43724</v>
          </cell>
        </row>
        <row r="35453">
          <cell r="A35453">
            <v>43753</v>
          </cell>
        </row>
        <row r="35454">
          <cell r="A35454">
            <v>43443</v>
          </cell>
        </row>
        <row r="35455">
          <cell r="A35455">
            <v>43439</v>
          </cell>
        </row>
        <row r="35456">
          <cell r="A35456">
            <v>43404</v>
          </cell>
        </row>
        <row r="35457">
          <cell r="A35457">
            <v>43244</v>
          </cell>
        </row>
        <row r="35458">
          <cell r="A35458">
            <v>43634</v>
          </cell>
        </row>
        <row r="35459">
          <cell r="A35459">
            <v>43616</v>
          </cell>
        </row>
        <row r="35460">
          <cell r="A35460">
            <v>43140</v>
          </cell>
        </row>
        <row r="35461">
          <cell r="A35461">
            <v>43212</v>
          </cell>
        </row>
        <row r="35462">
          <cell r="A35462">
            <v>43301</v>
          </cell>
        </row>
        <row r="35463">
          <cell r="A35463">
            <v>43512</v>
          </cell>
        </row>
        <row r="35464">
          <cell r="A35464">
            <v>43420</v>
          </cell>
        </row>
        <row r="35465">
          <cell r="A35465">
            <v>43166</v>
          </cell>
        </row>
        <row r="35466">
          <cell r="A35466">
            <v>43232</v>
          </cell>
        </row>
        <row r="35467">
          <cell r="A35467">
            <v>43905</v>
          </cell>
        </row>
        <row r="35468">
          <cell r="A35468">
            <v>43191</v>
          </cell>
        </row>
        <row r="35469">
          <cell r="A35469">
            <v>43662</v>
          </cell>
        </row>
        <row r="35470">
          <cell r="A35470">
            <v>43395</v>
          </cell>
        </row>
        <row r="35471">
          <cell r="A35471">
            <v>43295</v>
          </cell>
        </row>
        <row r="35472">
          <cell r="A35472">
            <v>43153</v>
          </cell>
        </row>
        <row r="35473">
          <cell r="A35473">
            <v>43739</v>
          </cell>
        </row>
        <row r="35474">
          <cell r="A35474">
            <v>43464</v>
          </cell>
        </row>
        <row r="35475">
          <cell r="A35475">
            <v>43809</v>
          </cell>
        </row>
        <row r="35476">
          <cell r="A35476">
            <v>43193</v>
          </cell>
        </row>
        <row r="35477">
          <cell r="A35477">
            <v>43786</v>
          </cell>
        </row>
        <row r="35478">
          <cell r="A35478">
            <v>43597</v>
          </cell>
        </row>
        <row r="35479">
          <cell r="A35479">
            <v>43203</v>
          </cell>
        </row>
        <row r="35480">
          <cell r="A35480">
            <v>43535</v>
          </cell>
        </row>
        <row r="35481">
          <cell r="A35481">
            <v>43540</v>
          </cell>
        </row>
        <row r="35482">
          <cell r="A35482">
            <v>43505</v>
          </cell>
        </row>
        <row r="35483">
          <cell r="A35483">
            <v>43193</v>
          </cell>
        </row>
        <row r="35484">
          <cell r="A35484">
            <v>43197</v>
          </cell>
        </row>
        <row r="35485">
          <cell r="A35485">
            <v>43603</v>
          </cell>
        </row>
        <row r="35486">
          <cell r="A35486">
            <v>43626</v>
          </cell>
        </row>
        <row r="35487">
          <cell r="A35487">
            <v>43454</v>
          </cell>
        </row>
        <row r="35488">
          <cell r="A35488">
            <v>43791</v>
          </cell>
        </row>
        <row r="35489">
          <cell r="A35489">
            <v>43118</v>
          </cell>
        </row>
        <row r="35490">
          <cell r="A35490">
            <v>43609</v>
          </cell>
        </row>
        <row r="35491">
          <cell r="A35491">
            <v>43248</v>
          </cell>
        </row>
        <row r="35492">
          <cell r="A35492">
            <v>43736</v>
          </cell>
        </row>
        <row r="35493">
          <cell r="A35493">
            <v>43480</v>
          </cell>
        </row>
        <row r="35494">
          <cell r="A35494">
            <v>43525</v>
          </cell>
        </row>
        <row r="35495">
          <cell r="A35495">
            <v>43154</v>
          </cell>
        </row>
        <row r="35496">
          <cell r="A35496">
            <v>43274</v>
          </cell>
        </row>
        <row r="35497">
          <cell r="A35497">
            <v>43528</v>
          </cell>
        </row>
        <row r="35498">
          <cell r="A35498">
            <v>43807</v>
          </cell>
        </row>
        <row r="35499">
          <cell r="A35499">
            <v>43852</v>
          </cell>
        </row>
        <row r="35500">
          <cell r="A35500">
            <v>43118</v>
          </cell>
        </row>
        <row r="35501">
          <cell r="A35501">
            <v>43289</v>
          </cell>
        </row>
        <row r="35502">
          <cell r="A35502">
            <v>43113</v>
          </cell>
        </row>
        <row r="35503">
          <cell r="A35503">
            <v>43599</v>
          </cell>
        </row>
        <row r="35504">
          <cell r="A35504">
            <v>43725</v>
          </cell>
        </row>
        <row r="35505">
          <cell r="A35505">
            <v>43800</v>
          </cell>
        </row>
        <row r="35506">
          <cell r="A35506">
            <v>43206</v>
          </cell>
        </row>
        <row r="35507">
          <cell r="A35507">
            <v>43410</v>
          </cell>
        </row>
        <row r="35508">
          <cell r="A35508">
            <v>43180</v>
          </cell>
        </row>
        <row r="35509">
          <cell r="A35509">
            <v>43536</v>
          </cell>
        </row>
        <row r="35510">
          <cell r="A35510">
            <v>43252</v>
          </cell>
        </row>
        <row r="35511">
          <cell r="A35511">
            <v>43520</v>
          </cell>
        </row>
        <row r="35512">
          <cell r="A35512">
            <v>43355</v>
          </cell>
        </row>
        <row r="35513">
          <cell r="A35513">
            <v>43163</v>
          </cell>
        </row>
        <row r="35514">
          <cell r="A35514">
            <v>43753</v>
          </cell>
        </row>
        <row r="35515">
          <cell r="A35515">
            <v>43541</v>
          </cell>
        </row>
        <row r="35516">
          <cell r="A35516">
            <v>43657</v>
          </cell>
        </row>
        <row r="35517">
          <cell r="A35517">
            <v>43195</v>
          </cell>
        </row>
        <row r="35518">
          <cell r="A35518">
            <v>43635</v>
          </cell>
        </row>
        <row r="35519">
          <cell r="A35519">
            <v>43780</v>
          </cell>
        </row>
        <row r="35520">
          <cell r="A35520">
            <v>43684</v>
          </cell>
        </row>
        <row r="35521">
          <cell r="A35521">
            <v>43904</v>
          </cell>
        </row>
        <row r="35522">
          <cell r="A35522">
            <v>43208</v>
          </cell>
        </row>
        <row r="35523">
          <cell r="A35523">
            <v>43812</v>
          </cell>
        </row>
        <row r="35524">
          <cell r="A35524">
            <v>43556</v>
          </cell>
        </row>
        <row r="35525">
          <cell r="A35525">
            <v>43584</v>
          </cell>
        </row>
        <row r="35526">
          <cell r="A35526">
            <v>43114</v>
          </cell>
        </row>
        <row r="35527">
          <cell r="A35527">
            <v>43228</v>
          </cell>
        </row>
        <row r="35528">
          <cell r="A35528">
            <v>43286</v>
          </cell>
        </row>
        <row r="35529">
          <cell r="A35529">
            <v>43780</v>
          </cell>
        </row>
        <row r="35530">
          <cell r="A35530">
            <v>43491</v>
          </cell>
        </row>
        <row r="35531">
          <cell r="A35531">
            <v>43767</v>
          </cell>
        </row>
        <row r="35532">
          <cell r="A35532">
            <v>43167</v>
          </cell>
        </row>
        <row r="35533">
          <cell r="A35533">
            <v>43270</v>
          </cell>
        </row>
        <row r="35534">
          <cell r="A35534">
            <v>43365</v>
          </cell>
        </row>
        <row r="35535">
          <cell r="A35535">
            <v>43823</v>
          </cell>
        </row>
        <row r="35536">
          <cell r="A35536">
            <v>43782</v>
          </cell>
        </row>
        <row r="35537">
          <cell r="A35537">
            <v>43899</v>
          </cell>
        </row>
        <row r="35538">
          <cell r="A35538">
            <v>43242</v>
          </cell>
        </row>
        <row r="35539">
          <cell r="A35539">
            <v>43292</v>
          </cell>
        </row>
        <row r="35540">
          <cell r="A35540">
            <v>43346</v>
          </cell>
        </row>
        <row r="35541">
          <cell r="A35541">
            <v>43571</v>
          </cell>
        </row>
        <row r="35542">
          <cell r="A35542">
            <v>43136</v>
          </cell>
        </row>
        <row r="35543">
          <cell r="A35543">
            <v>43657</v>
          </cell>
        </row>
        <row r="35544">
          <cell r="A35544">
            <v>43523</v>
          </cell>
        </row>
        <row r="35545">
          <cell r="A35545">
            <v>43624</v>
          </cell>
        </row>
        <row r="35546">
          <cell r="A35546">
            <v>43491</v>
          </cell>
        </row>
        <row r="35547">
          <cell r="A35547">
            <v>43636</v>
          </cell>
        </row>
        <row r="35548">
          <cell r="A35548">
            <v>43590</v>
          </cell>
        </row>
        <row r="35549">
          <cell r="A35549">
            <v>43880</v>
          </cell>
        </row>
        <row r="35550">
          <cell r="A35550">
            <v>43129</v>
          </cell>
        </row>
        <row r="35551">
          <cell r="A35551">
            <v>43482</v>
          </cell>
        </row>
        <row r="35552">
          <cell r="A35552">
            <v>43190</v>
          </cell>
        </row>
        <row r="35553">
          <cell r="A35553">
            <v>43814</v>
          </cell>
        </row>
        <row r="35554">
          <cell r="A35554">
            <v>43474</v>
          </cell>
        </row>
        <row r="35555">
          <cell r="A35555">
            <v>43529</v>
          </cell>
        </row>
        <row r="35556">
          <cell r="A35556">
            <v>43398</v>
          </cell>
        </row>
        <row r="35557">
          <cell r="A35557">
            <v>43910</v>
          </cell>
        </row>
        <row r="35558">
          <cell r="A35558">
            <v>43869</v>
          </cell>
        </row>
        <row r="35559">
          <cell r="A35559">
            <v>43890</v>
          </cell>
        </row>
        <row r="35560">
          <cell r="A35560">
            <v>43813</v>
          </cell>
        </row>
        <row r="35561">
          <cell r="A35561">
            <v>43378</v>
          </cell>
        </row>
        <row r="35562">
          <cell r="A35562">
            <v>43367</v>
          </cell>
        </row>
        <row r="35563">
          <cell r="A35563">
            <v>43597</v>
          </cell>
        </row>
        <row r="35564">
          <cell r="A35564">
            <v>43650</v>
          </cell>
        </row>
        <row r="35565">
          <cell r="A35565">
            <v>43443</v>
          </cell>
        </row>
        <row r="35566">
          <cell r="A35566">
            <v>43667</v>
          </cell>
        </row>
        <row r="35567">
          <cell r="A35567">
            <v>43427</v>
          </cell>
        </row>
        <row r="35568">
          <cell r="A35568">
            <v>43407</v>
          </cell>
        </row>
        <row r="35569">
          <cell r="A35569">
            <v>43679</v>
          </cell>
        </row>
        <row r="35570">
          <cell r="A35570">
            <v>43256</v>
          </cell>
        </row>
        <row r="35571">
          <cell r="A35571">
            <v>43297</v>
          </cell>
        </row>
        <row r="35572">
          <cell r="A35572">
            <v>43702</v>
          </cell>
        </row>
        <row r="35573">
          <cell r="A35573">
            <v>43375</v>
          </cell>
        </row>
        <row r="35574">
          <cell r="A35574">
            <v>43396</v>
          </cell>
        </row>
        <row r="35575">
          <cell r="A35575">
            <v>43289</v>
          </cell>
        </row>
        <row r="35576">
          <cell r="A35576">
            <v>43526</v>
          </cell>
        </row>
        <row r="35577">
          <cell r="A35577">
            <v>43776</v>
          </cell>
        </row>
        <row r="35578">
          <cell r="A35578">
            <v>43806</v>
          </cell>
        </row>
        <row r="35579">
          <cell r="A35579">
            <v>43118</v>
          </cell>
        </row>
        <row r="35580">
          <cell r="A35580">
            <v>43580</v>
          </cell>
        </row>
        <row r="35581">
          <cell r="A35581">
            <v>43671</v>
          </cell>
        </row>
        <row r="35582">
          <cell r="A35582">
            <v>43597</v>
          </cell>
        </row>
        <row r="35583">
          <cell r="A35583">
            <v>43349</v>
          </cell>
        </row>
        <row r="35584">
          <cell r="A35584">
            <v>43270</v>
          </cell>
        </row>
        <row r="35585">
          <cell r="A35585">
            <v>43139</v>
          </cell>
        </row>
        <row r="35586">
          <cell r="A35586">
            <v>43307</v>
          </cell>
        </row>
        <row r="35587">
          <cell r="A35587">
            <v>43249</v>
          </cell>
        </row>
        <row r="35588">
          <cell r="A35588">
            <v>43841</v>
          </cell>
        </row>
        <row r="35589">
          <cell r="A35589">
            <v>43768</v>
          </cell>
        </row>
        <row r="35590">
          <cell r="A35590">
            <v>43815</v>
          </cell>
        </row>
        <row r="35591">
          <cell r="A35591">
            <v>43474</v>
          </cell>
        </row>
        <row r="35592">
          <cell r="A35592">
            <v>43376</v>
          </cell>
        </row>
        <row r="35593">
          <cell r="A35593">
            <v>43388</v>
          </cell>
        </row>
        <row r="35594">
          <cell r="A35594">
            <v>43557</v>
          </cell>
        </row>
        <row r="35595">
          <cell r="A35595">
            <v>43353</v>
          </cell>
        </row>
        <row r="35596">
          <cell r="A35596">
            <v>43828</v>
          </cell>
        </row>
        <row r="35597">
          <cell r="A35597">
            <v>43264</v>
          </cell>
        </row>
        <row r="35598">
          <cell r="A35598">
            <v>43377</v>
          </cell>
        </row>
        <row r="35599">
          <cell r="A35599">
            <v>43772</v>
          </cell>
        </row>
        <row r="35600">
          <cell r="A35600">
            <v>43374</v>
          </cell>
        </row>
        <row r="35601">
          <cell r="A35601">
            <v>43617</v>
          </cell>
        </row>
        <row r="35602">
          <cell r="A35602">
            <v>43640</v>
          </cell>
        </row>
        <row r="35603">
          <cell r="A35603">
            <v>43138</v>
          </cell>
        </row>
        <row r="35604">
          <cell r="A35604">
            <v>43576</v>
          </cell>
        </row>
        <row r="35605">
          <cell r="A35605">
            <v>43820</v>
          </cell>
        </row>
        <row r="35606">
          <cell r="A35606">
            <v>43381</v>
          </cell>
        </row>
        <row r="35607">
          <cell r="A35607">
            <v>43713</v>
          </cell>
        </row>
        <row r="35608">
          <cell r="A35608">
            <v>43375</v>
          </cell>
        </row>
        <row r="35609">
          <cell r="A35609">
            <v>43145</v>
          </cell>
        </row>
        <row r="35610">
          <cell r="A35610">
            <v>43295</v>
          </cell>
        </row>
        <row r="35611">
          <cell r="A35611">
            <v>43206</v>
          </cell>
        </row>
        <row r="35612">
          <cell r="A35612">
            <v>43336</v>
          </cell>
        </row>
        <row r="35613">
          <cell r="A35613">
            <v>43398</v>
          </cell>
        </row>
        <row r="35614">
          <cell r="A35614">
            <v>43210</v>
          </cell>
        </row>
        <row r="35615">
          <cell r="A35615">
            <v>43865</v>
          </cell>
        </row>
        <row r="35616">
          <cell r="A35616">
            <v>43487</v>
          </cell>
        </row>
        <row r="35617">
          <cell r="A35617">
            <v>43466</v>
          </cell>
        </row>
        <row r="35618">
          <cell r="A35618">
            <v>43855</v>
          </cell>
        </row>
        <row r="35619">
          <cell r="A35619">
            <v>43534</v>
          </cell>
        </row>
        <row r="35620">
          <cell r="A35620">
            <v>43736</v>
          </cell>
        </row>
        <row r="35621">
          <cell r="A35621">
            <v>43620</v>
          </cell>
        </row>
        <row r="35622">
          <cell r="A35622">
            <v>43431</v>
          </cell>
        </row>
        <row r="35623">
          <cell r="A35623">
            <v>43679</v>
          </cell>
        </row>
        <row r="35624">
          <cell r="A35624">
            <v>43371</v>
          </cell>
        </row>
        <row r="35625">
          <cell r="A35625">
            <v>43567</v>
          </cell>
        </row>
        <row r="35626">
          <cell r="A35626">
            <v>43559</v>
          </cell>
        </row>
        <row r="35627">
          <cell r="A35627">
            <v>43292</v>
          </cell>
        </row>
        <row r="35628">
          <cell r="A35628">
            <v>43213</v>
          </cell>
        </row>
        <row r="35629">
          <cell r="A35629">
            <v>43793</v>
          </cell>
        </row>
        <row r="35630">
          <cell r="A35630">
            <v>43222</v>
          </cell>
        </row>
        <row r="35631">
          <cell r="A35631">
            <v>43460</v>
          </cell>
        </row>
        <row r="35632">
          <cell r="A35632">
            <v>43795</v>
          </cell>
        </row>
        <row r="35633">
          <cell r="A35633">
            <v>43667</v>
          </cell>
        </row>
        <row r="35634">
          <cell r="A35634">
            <v>43124</v>
          </cell>
        </row>
        <row r="35635">
          <cell r="A35635">
            <v>43140</v>
          </cell>
        </row>
        <row r="35636">
          <cell r="A35636">
            <v>43427</v>
          </cell>
        </row>
        <row r="35637">
          <cell r="A35637">
            <v>43419</v>
          </cell>
        </row>
        <row r="35638">
          <cell r="A35638">
            <v>43765</v>
          </cell>
        </row>
        <row r="35639">
          <cell r="A35639">
            <v>43171</v>
          </cell>
        </row>
        <row r="35640">
          <cell r="A35640">
            <v>43277</v>
          </cell>
        </row>
        <row r="35641">
          <cell r="A35641">
            <v>43874</v>
          </cell>
        </row>
        <row r="35642">
          <cell r="A35642">
            <v>43360</v>
          </cell>
        </row>
        <row r="35643">
          <cell r="A35643">
            <v>43379</v>
          </cell>
        </row>
        <row r="35644">
          <cell r="A35644">
            <v>43105</v>
          </cell>
        </row>
        <row r="35645">
          <cell r="A35645">
            <v>43647</v>
          </cell>
        </row>
        <row r="35646">
          <cell r="A35646">
            <v>43914</v>
          </cell>
        </row>
        <row r="35647">
          <cell r="A35647">
            <v>43215</v>
          </cell>
        </row>
        <row r="35648">
          <cell r="A35648">
            <v>43835</v>
          </cell>
        </row>
        <row r="35649">
          <cell r="A35649">
            <v>43424</v>
          </cell>
        </row>
        <row r="35650">
          <cell r="A35650">
            <v>43246</v>
          </cell>
        </row>
        <row r="35651">
          <cell r="A35651">
            <v>43905</v>
          </cell>
        </row>
        <row r="35652">
          <cell r="A35652">
            <v>43878</v>
          </cell>
        </row>
        <row r="35653">
          <cell r="A35653">
            <v>43433</v>
          </cell>
        </row>
        <row r="35654">
          <cell r="A35654">
            <v>43897</v>
          </cell>
        </row>
        <row r="35655">
          <cell r="A35655">
            <v>43771</v>
          </cell>
        </row>
        <row r="35656">
          <cell r="A35656">
            <v>43105</v>
          </cell>
        </row>
        <row r="35657">
          <cell r="A35657">
            <v>43282</v>
          </cell>
        </row>
        <row r="35658">
          <cell r="A35658">
            <v>43376</v>
          </cell>
        </row>
        <row r="35659">
          <cell r="A35659">
            <v>43735</v>
          </cell>
        </row>
        <row r="35660">
          <cell r="A35660">
            <v>43201</v>
          </cell>
        </row>
        <row r="35661">
          <cell r="A35661">
            <v>43807</v>
          </cell>
        </row>
        <row r="35662">
          <cell r="A35662">
            <v>43116</v>
          </cell>
        </row>
        <row r="35663">
          <cell r="A35663">
            <v>43673</v>
          </cell>
        </row>
        <row r="35664">
          <cell r="A35664">
            <v>43790</v>
          </cell>
        </row>
        <row r="35665">
          <cell r="A35665">
            <v>43557</v>
          </cell>
        </row>
        <row r="35666">
          <cell r="A35666">
            <v>43470</v>
          </cell>
        </row>
        <row r="35667">
          <cell r="A35667">
            <v>43790</v>
          </cell>
        </row>
        <row r="35668">
          <cell r="A35668">
            <v>43473</v>
          </cell>
        </row>
        <row r="35669">
          <cell r="A35669">
            <v>43502</v>
          </cell>
        </row>
        <row r="35670">
          <cell r="A35670">
            <v>43320</v>
          </cell>
        </row>
        <row r="35671">
          <cell r="A35671">
            <v>43756</v>
          </cell>
        </row>
        <row r="35672">
          <cell r="A35672">
            <v>43613</v>
          </cell>
        </row>
        <row r="35673">
          <cell r="A35673">
            <v>43225</v>
          </cell>
        </row>
        <row r="35674">
          <cell r="A35674">
            <v>43233</v>
          </cell>
        </row>
        <row r="35675">
          <cell r="A35675">
            <v>43316</v>
          </cell>
        </row>
        <row r="35676">
          <cell r="A35676">
            <v>43252</v>
          </cell>
        </row>
        <row r="35677">
          <cell r="A35677">
            <v>43553</v>
          </cell>
        </row>
        <row r="35678">
          <cell r="A35678">
            <v>43518</v>
          </cell>
        </row>
        <row r="35679">
          <cell r="A35679">
            <v>43711</v>
          </cell>
        </row>
        <row r="35680">
          <cell r="A35680">
            <v>43563</v>
          </cell>
        </row>
        <row r="35681">
          <cell r="A35681">
            <v>43418</v>
          </cell>
        </row>
        <row r="35682">
          <cell r="A35682">
            <v>43136</v>
          </cell>
        </row>
        <row r="35683">
          <cell r="A35683">
            <v>43902</v>
          </cell>
        </row>
        <row r="35684">
          <cell r="A35684">
            <v>43611</v>
          </cell>
        </row>
        <row r="35685">
          <cell r="A35685">
            <v>43628</v>
          </cell>
        </row>
        <row r="35686">
          <cell r="A35686">
            <v>43656</v>
          </cell>
        </row>
        <row r="35687">
          <cell r="A35687">
            <v>43138</v>
          </cell>
        </row>
        <row r="35688">
          <cell r="A35688">
            <v>43442</v>
          </cell>
        </row>
        <row r="35689">
          <cell r="A35689">
            <v>43246</v>
          </cell>
        </row>
        <row r="35690">
          <cell r="A35690">
            <v>43440</v>
          </cell>
        </row>
        <row r="35691">
          <cell r="A35691">
            <v>43681</v>
          </cell>
        </row>
        <row r="35692">
          <cell r="A35692">
            <v>43694</v>
          </cell>
        </row>
        <row r="35693">
          <cell r="A35693">
            <v>43503</v>
          </cell>
        </row>
        <row r="35694">
          <cell r="A35694">
            <v>43543</v>
          </cell>
        </row>
        <row r="35695">
          <cell r="A35695">
            <v>43438</v>
          </cell>
        </row>
        <row r="35696">
          <cell r="A35696">
            <v>43246</v>
          </cell>
        </row>
        <row r="35697">
          <cell r="A35697">
            <v>43341</v>
          </cell>
        </row>
        <row r="35698">
          <cell r="A35698">
            <v>43252</v>
          </cell>
        </row>
        <row r="35699">
          <cell r="A35699">
            <v>43237</v>
          </cell>
        </row>
        <row r="35700">
          <cell r="A35700">
            <v>43270</v>
          </cell>
        </row>
        <row r="35701">
          <cell r="A35701">
            <v>43891</v>
          </cell>
        </row>
        <row r="35702">
          <cell r="A35702">
            <v>43342</v>
          </cell>
        </row>
        <row r="35703">
          <cell r="A35703">
            <v>43886</v>
          </cell>
        </row>
        <row r="35704">
          <cell r="A35704">
            <v>43817</v>
          </cell>
        </row>
        <row r="35705">
          <cell r="A35705">
            <v>43531</v>
          </cell>
        </row>
        <row r="35706">
          <cell r="A35706">
            <v>43636</v>
          </cell>
        </row>
        <row r="35707">
          <cell r="A35707">
            <v>43737</v>
          </cell>
        </row>
        <row r="35708">
          <cell r="A35708">
            <v>43423</v>
          </cell>
        </row>
        <row r="35709">
          <cell r="A35709">
            <v>43745</v>
          </cell>
        </row>
        <row r="35710">
          <cell r="A35710">
            <v>43257</v>
          </cell>
        </row>
        <row r="35711">
          <cell r="A35711">
            <v>43525</v>
          </cell>
        </row>
        <row r="35712">
          <cell r="A35712">
            <v>43754</v>
          </cell>
        </row>
        <row r="35713">
          <cell r="A35713">
            <v>43760</v>
          </cell>
        </row>
        <row r="35714">
          <cell r="A35714">
            <v>43852</v>
          </cell>
        </row>
        <row r="35715">
          <cell r="A35715">
            <v>43278</v>
          </cell>
        </row>
        <row r="35716">
          <cell r="A35716">
            <v>43494</v>
          </cell>
        </row>
        <row r="35717">
          <cell r="A35717">
            <v>43469</v>
          </cell>
        </row>
        <row r="35718">
          <cell r="A35718">
            <v>43413</v>
          </cell>
        </row>
        <row r="35719">
          <cell r="A35719">
            <v>43780</v>
          </cell>
        </row>
        <row r="35720">
          <cell r="A35720">
            <v>43506</v>
          </cell>
        </row>
        <row r="35721">
          <cell r="A35721">
            <v>43113</v>
          </cell>
        </row>
        <row r="35722">
          <cell r="A35722">
            <v>43707</v>
          </cell>
        </row>
        <row r="35723">
          <cell r="A35723">
            <v>43519</v>
          </cell>
        </row>
        <row r="35724">
          <cell r="A35724">
            <v>43825</v>
          </cell>
        </row>
        <row r="35725">
          <cell r="A35725">
            <v>43145</v>
          </cell>
        </row>
        <row r="35726">
          <cell r="A35726">
            <v>43745</v>
          </cell>
        </row>
        <row r="35727">
          <cell r="A35727">
            <v>43113</v>
          </cell>
        </row>
        <row r="35728">
          <cell r="A35728">
            <v>43868</v>
          </cell>
        </row>
        <row r="35729">
          <cell r="A35729">
            <v>43225</v>
          </cell>
        </row>
        <row r="35730">
          <cell r="A35730">
            <v>43689</v>
          </cell>
        </row>
        <row r="35731">
          <cell r="A35731">
            <v>43177</v>
          </cell>
        </row>
        <row r="35732">
          <cell r="A35732">
            <v>43506</v>
          </cell>
        </row>
        <row r="35733">
          <cell r="A35733">
            <v>43904</v>
          </cell>
        </row>
        <row r="35734">
          <cell r="A35734">
            <v>43359</v>
          </cell>
        </row>
        <row r="35735">
          <cell r="A35735">
            <v>43653</v>
          </cell>
        </row>
        <row r="35736">
          <cell r="A35736">
            <v>43283</v>
          </cell>
        </row>
        <row r="35737">
          <cell r="A35737">
            <v>43295</v>
          </cell>
        </row>
        <row r="35738">
          <cell r="A35738">
            <v>43288</v>
          </cell>
        </row>
        <row r="35739">
          <cell r="A35739">
            <v>43853</v>
          </cell>
        </row>
        <row r="35740">
          <cell r="A35740">
            <v>43102</v>
          </cell>
        </row>
        <row r="35741">
          <cell r="A35741">
            <v>43326</v>
          </cell>
        </row>
        <row r="35742">
          <cell r="A35742">
            <v>43851</v>
          </cell>
        </row>
        <row r="35743">
          <cell r="A35743">
            <v>43476</v>
          </cell>
        </row>
        <row r="35744">
          <cell r="A35744">
            <v>43294</v>
          </cell>
        </row>
        <row r="35745">
          <cell r="A35745">
            <v>43654</v>
          </cell>
        </row>
        <row r="35746">
          <cell r="A35746">
            <v>43865</v>
          </cell>
        </row>
        <row r="35747">
          <cell r="A35747">
            <v>43418</v>
          </cell>
        </row>
        <row r="35748">
          <cell r="A35748">
            <v>43448</v>
          </cell>
        </row>
        <row r="35749">
          <cell r="A35749">
            <v>43368</v>
          </cell>
        </row>
        <row r="35750">
          <cell r="A35750">
            <v>43387</v>
          </cell>
        </row>
        <row r="35751">
          <cell r="A35751">
            <v>43738</v>
          </cell>
        </row>
        <row r="35752">
          <cell r="A35752">
            <v>43509</v>
          </cell>
        </row>
        <row r="35753">
          <cell r="A35753">
            <v>43742</v>
          </cell>
        </row>
        <row r="35754">
          <cell r="A35754">
            <v>43618</v>
          </cell>
        </row>
        <row r="35755">
          <cell r="A35755">
            <v>43210</v>
          </cell>
        </row>
        <row r="35756">
          <cell r="A35756">
            <v>43911</v>
          </cell>
        </row>
        <row r="35757">
          <cell r="A35757">
            <v>43390</v>
          </cell>
        </row>
        <row r="35758">
          <cell r="A35758">
            <v>43195</v>
          </cell>
        </row>
        <row r="35759">
          <cell r="A35759">
            <v>43165</v>
          </cell>
        </row>
        <row r="35760">
          <cell r="A35760">
            <v>43198</v>
          </cell>
        </row>
        <row r="35761">
          <cell r="A35761">
            <v>43221</v>
          </cell>
        </row>
        <row r="35762">
          <cell r="A35762">
            <v>43473</v>
          </cell>
        </row>
        <row r="35763">
          <cell r="A35763">
            <v>43349</v>
          </cell>
        </row>
        <row r="35764">
          <cell r="A35764">
            <v>43445</v>
          </cell>
        </row>
        <row r="35765">
          <cell r="A35765">
            <v>43738</v>
          </cell>
        </row>
        <row r="35766">
          <cell r="A35766">
            <v>43290</v>
          </cell>
        </row>
        <row r="35767">
          <cell r="A35767">
            <v>43673</v>
          </cell>
        </row>
        <row r="35768">
          <cell r="A35768">
            <v>43346</v>
          </cell>
        </row>
        <row r="35769">
          <cell r="A35769">
            <v>43280</v>
          </cell>
        </row>
        <row r="35770">
          <cell r="A35770">
            <v>43103</v>
          </cell>
        </row>
        <row r="35771">
          <cell r="A35771">
            <v>43102</v>
          </cell>
        </row>
        <row r="35772">
          <cell r="A35772">
            <v>43335</v>
          </cell>
        </row>
        <row r="35773">
          <cell r="A35773">
            <v>43843</v>
          </cell>
        </row>
        <row r="35774">
          <cell r="A35774">
            <v>43536</v>
          </cell>
        </row>
        <row r="35775">
          <cell r="A35775">
            <v>43527</v>
          </cell>
        </row>
        <row r="35776">
          <cell r="A35776">
            <v>43536</v>
          </cell>
        </row>
        <row r="35777">
          <cell r="A35777">
            <v>43556</v>
          </cell>
        </row>
        <row r="35778">
          <cell r="A35778">
            <v>43434</v>
          </cell>
        </row>
        <row r="35779">
          <cell r="A35779">
            <v>43189</v>
          </cell>
        </row>
        <row r="35780">
          <cell r="A35780">
            <v>43197</v>
          </cell>
        </row>
        <row r="35781">
          <cell r="A35781">
            <v>43872</v>
          </cell>
        </row>
        <row r="35782">
          <cell r="A35782">
            <v>43417</v>
          </cell>
        </row>
        <row r="35783">
          <cell r="A35783">
            <v>43347</v>
          </cell>
        </row>
        <row r="35784">
          <cell r="A35784">
            <v>43364</v>
          </cell>
        </row>
        <row r="35785">
          <cell r="A35785">
            <v>43489</v>
          </cell>
        </row>
        <row r="35786">
          <cell r="A35786">
            <v>43267</v>
          </cell>
        </row>
        <row r="35787">
          <cell r="A35787">
            <v>43868</v>
          </cell>
        </row>
        <row r="35788">
          <cell r="A35788">
            <v>43499</v>
          </cell>
        </row>
        <row r="35789">
          <cell r="A35789">
            <v>43626</v>
          </cell>
        </row>
        <row r="35790">
          <cell r="A35790">
            <v>43502</v>
          </cell>
        </row>
        <row r="35791">
          <cell r="A35791">
            <v>43269</v>
          </cell>
        </row>
        <row r="35792">
          <cell r="A35792">
            <v>43278</v>
          </cell>
        </row>
        <row r="35793">
          <cell r="A35793">
            <v>43532</v>
          </cell>
        </row>
        <row r="35794">
          <cell r="A35794">
            <v>43458</v>
          </cell>
        </row>
        <row r="35795">
          <cell r="A35795">
            <v>43334</v>
          </cell>
        </row>
        <row r="35796">
          <cell r="A35796">
            <v>43744</v>
          </cell>
        </row>
        <row r="35797">
          <cell r="A35797">
            <v>43781</v>
          </cell>
        </row>
        <row r="35798">
          <cell r="A35798">
            <v>43170</v>
          </cell>
        </row>
        <row r="35799">
          <cell r="A35799">
            <v>43107</v>
          </cell>
        </row>
        <row r="35800">
          <cell r="A35800">
            <v>43294</v>
          </cell>
        </row>
        <row r="35801">
          <cell r="A35801">
            <v>43817</v>
          </cell>
        </row>
        <row r="35802">
          <cell r="A35802">
            <v>43246</v>
          </cell>
        </row>
        <row r="35803">
          <cell r="A35803">
            <v>43275</v>
          </cell>
        </row>
        <row r="35804">
          <cell r="A35804">
            <v>43497</v>
          </cell>
        </row>
        <row r="35805">
          <cell r="A35805">
            <v>43277</v>
          </cell>
        </row>
        <row r="35806">
          <cell r="A35806">
            <v>43653</v>
          </cell>
        </row>
        <row r="35807">
          <cell r="A35807">
            <v>43158</v>
          </cell>
        </row>
        <row r="35808">
          <cell r="A35808">
            <v>43841</v>
          </cell>
        </row>
        <row r="35809">
          <cell r="A35809">
            <v>43356</v>
          </cell>
        </row>
        <row r="35810">
          <cell r="A35810">
            <v>43488</v>
          </cell>
        </row>
        <row r="35811">
          <cell r="A35811">
            <v>43388</v>
          </cell>
        </row>
        <row r="35812">
          <cell r="A35812">
            <v>43846</v>
          </cell>
        </row>
        <row r="35813">
          <cell r="A35813">
            <v>43459</v>
          </cell>
        </row>
        <row r="35814">
          <cell r="A35814">
            <v>43876</v>
          </cell>
        </row>
        <row r="35815">
          <cell r="A35815">
            <v>43520</v>
          </cell>
        </row>
        <row r="35816">
          <cell r="A35816">
            <v>43126</v>
          </cell>
        </row>
        <row r="35817">
          <cell r="A35817">
            <v>43540</v>
          </cell>
        </row>
        <row r="35818">
          <cell r="A35818">
            <v>43318</v>
          </cell>
        </row>
        <row r="35819">
          <cell r="A35819">
            <v>43495</v>
          </cell>
        </row>
        <row r="35820">
          <cell r="A35820">
            <v>43768</v>
          </cell>
        </row>
        <row r="35821">
          <cell r="A35821">
            <v>43506</v>
          </cell>
        </row>
        <row r="35822">
          <cell r="A35822">
            <v>43295</v>
          </cell>
        </row>
        <row r="35823">
          <cell r="A35823">
            <v>43269</v>
          </cell>
        </row>
        <row r="35824">
          <cell r="A35824">
            <v>43470</v>
          </cell>
        </row>
        <row r="35825">
          <cell r="A35825">
            <v>43384</v>
          </cell>
        </row>
        <row r="35826">
          <cell r="A35826">
            <v>43503</v>
          </cell>
        </row>
        <row r="35827">
          <cell r="A35827">
            <v>43490</v>
          </cell>
        </row>
        <row r="35828">
          <cell r="A35828">
            <v>43154</v>
          </cell>
        </row>
        <row r="35829">
          <cell r="A35829">
            <v>43831</v>
          </cell>
        </row>
        <row r="35830">
          <cell r="A35830">
            <v>43366</v>
          </cell>
        </row>
        <row r="35831">
          <cell r="A35831">
            <v>43438</v>
          </cell>
        </row>
        <row r="35832">
          <cell r="A35832">
            <v>43145</v>
          </cell>
        </row>
        <row r="35833">
          <cell r="A35833">
            <v>43414</v>
          </cell>
        </row>
        <row r="35834">
          <cell r="A35834">
            <v>43217</v>
          </cell>
        </row>
        <row r="35835">
          <cell r="A35835">
            <v>43237</v>
          </cell>
        </row>
        <row r="35836">
          <cell r="A35836">
            <v>43158</v>
          </cell>
        </row>
        <row r="35837">
          <cell r="A35837">
            <v>43526</v>
          </cell>
        </row>
        <row r="35838">
          <cell r="A35838">
            <v>43885</v>
          </cell>
        </row>
        <row r="35839">
          <cell r="A35839">
            <v>43759</v>
          </cell>
        </row>
        <row r="35840">
          <cell r="A35840">
            <v>43863</v>
          </cell>
        </row>
        <row r="35841">
          <cell r="A35841">
            <v>43386</v>
          </cell>
        </row>
        <row r="35842">
          <cell r="A35842">
            <v>43462</v>
          </cell>
        </row>
        <row r="35843">
          <cell r="A35843">
            <v>43750</v>
          </cell>
        </row>
        <row r="35844">
          <cell r="A35844">
            <v>43524</v>
          </cell>
        </row>
        <row r="35845">
          <cell r="A35845">
            <v>43433</v>
          </cell>
        </row>
        <row r="35846">
          <cell r="A35846">
            <v>43627</v>
          </cell>
        </row>
        <row r="35847">
          <cell r="A35847">
            <v>43724</v>
          </cell>
        </row>
        <row r="35848">
          <cell r="A35848">
            <v>43289</v>
          </cell>
        </row>
        <row r="35849">
          <cell r="A35849">
            <v>43391</v>
          </cell>
        </row>
        <row r="35850">
          <cell r="A35850">
            <v>43515</v>
          </cell>
        </row>
        <row r="35851">
          <cell r="A35851">
            <v>43188</v>
          </cell>
        </row>
        <row r="35852">
          <cell r="A35852">
            <v>43313</v>
          </cell>
        </row>
        <row r="35853">
          <cell r="A35853">
            <v>43275</v>
          </cell>
        </row>
        <row r="35854">
          <cell r="A35854">
            <v>43373</v>
          </cell>
        </row>
        <row r="35855">
          <cell r="A35855">
            <v>43687</v>
          </cell>
        </row>
        <row r="35856">
          <cell r="A35856">
            <v>43438</v>
          </cell>
        </row>
        <row r="35857">
          <cell r="A35857">
            <v>43327</v>
          </cell>
        </row>
        <row r="35858">
          <cell r="A35858">
            <v>43420</v>
          </cell>
        </row>
        <row r="35859">
          <cell r="A35859">
            <v>43579</v>
          </cell>
        </row>
        <row r="35860">
          <cell r="A35860">
            <v>43462</v>
          </cell>
        </row>
        <row r="35861">
          <cell r="A35861">
            <v>43666</v>
          </cell>
        </row>
        <row r="35862">
          <cell r="A35862">
            <v>43864</v>
          </cell>
        </row>
        <row r="35863">
          <cell r="A35863">
            <v>43363</v>
          </cell>
        </row>
        <row r="35864">
          <cell r="A35864">
            <v>43830</v>
          </cell>
        </row>
        <row r="35865">
          <cell r="A35865">
            <v>43403</v>
          </cell>
        </row>
        <row r="35866">
          <cell r="A35866">
            <v>43437</v>
          </cell>
        </row>
        <row r="35867">
          <cell r="A35867">
            <v>43664</v>
          </cell>
        </row>
        <row r="35868">
          <cell r="A35868">
            <v>43653</v>
          </cell>
        </row>
        <row r="35869">
          <cell r="A35869">
            <v>43116</v>
          </cell>
        </row>
        <row r="35870">
          <cell r="A35870">
            <v>43725</v>
          </cell>
        </row>
        <row r="35871">
          <cell r="A35871">
            <v>43451</v>
          </cell>
        </row>
        <row r="35872">
          <cell r="A35872">
            <v>43671</v>
          </cell>
        </row>
        <row r="35873">
          <cell r="A35873">
            <v>43390</v>
          </cell>
        </row>
        <row r="35874">
          <cell r="A35874">
            <v>43289</v>
          </cell>
        </row>
        <row r="35875">
          <cell r="A35875">
            <v>43209</v>
          </cell>
        </row>
        <row r="35876">
          <cell r="A35876">
            <v>43291</v>
          </cell>
        </row>
        <row r="35877">
          <cell r="A35877">
            <v>43283</v>
          </cell>
        </row>
        <row r="35878">
          <cell r="A35878">
            <v>43827</v>
          </cell>
        </row>
        <row r="35879">
          <cell r="A35879">
            <v>43781</v>
          </cell>
        </row>
        <row r="35880">
          <cell r="A35880">
            <v>43406</v>
          </cell>
        </row>
        <row r="35881">
          <cell r="A35881">
            <v>43623</v>
          </cell>
        </row>
        <row r="35882">
          <cell r="A35882">
            <v>43167</v>
          </cell>
        </row>
        <row r="35883">
          <cell r="A35883">
            <v>43920</v>
          </cell>
        </row>
        <row r="35884">
          <cell r="A35884">
            <v>43571</v>
          </cell>
        </row>
        <row r="35885">
          <cell r="A35885">
            <v>43769</v>
          </cell>
        </row>
        <row r="35886">
          <cell r="A35886">
            <v>43770</v>
          </cell>
        </row>
        <row r="35887">
          <cell r="A35887">
            <v>43308</v>
          </cell>
        </row>
        <row r="35888">
          <cell r="A35888">
            <v>43535</v>
          </cell>
        </row>
        <row r="35889">
          <cell r="A35889">
            <v>43646</v>
          </cell>
        </row>
        <row r="35890">
          <cell r="A35890">
            <v>43135</v>
          </cell>
        </row>
        <row r="35891">
          <cell r="A35891">
            <v>43455</v>
          </cell>
        </row>
        <row r="35892">
          <cell r="A35892">
            <v>43515</v>
          </cell>
        </row>
        <row r="35893">
          <cell r="A35893">
            <v>43153</v>
          </cell>
        </row>
        <row r="35894">
          <cell r="A35894">
            <v>43459</v>
          </cell>
        </row>
        <row r="35895">
          <cell r="A35895">
            <v>43510</v>
          </cell>
        </row>
        <row r="35896">
          <cell r="A35896">
            <v>43257</v>
          </cell>
        </row>
        <row r="35897">
          <cell r="A35897">
            <v>43132</v>
          </cell>
        </row>
        <row r="35898">
          <cell r="A35898">
            <v>43175</v>
          </cell>
        </row>
        <row r="35899">
          <cell r="A35899">
            <v>43775</v>
          </cell>
        </row>
        <row r="35900">
          <cell r="A35900">
            <v>43753</v>
          </cell>
        </row>
        <row r="35901">
          <cell r="A35901">
            <v>43346</v>
          </cell>
        </row>
        <row r="35902">
          <cell r="A35902">
            <v>43455</v>
          </cell>
        </row>
        <row r="35903">
          <cell r="A35903">
            <v>43589</v>
          </cell>
        </row>
        <row r="35904">
          <cell r="A35904">
            <v>43601</v>
          </cell>
        </row>
        <row r="35905">
          <cell r="A35905">
            <v>43688</v>
          </cell>
        </row>
        <row r="35906">
          <cell r="A35906">
            <v>43822</v>
          </cell>
        </row>
        <row r="35907">
          <cell r="A35907">
            <v>43172</v>
          </cell>
        </row>
        <row r="35908">
          <cell r="A35908">
            <v>43385</v>
          </cell>
        </row>
        <row r="35909">
          <cell r="A35909">
            <v>43323</v>
          </cell>
        </row>
        <row r="35910">
          <cell r="A35910">
            <v>43502</v>
          </cell>
        </row>
        <row r="35911">
          <cell r="A35911">
            <v>43707</v>
          </cell>
        </row>
        <row r="35912">
          <cell r="A35912">
            <v>43620</v>
          </cell>
        </row>
        <row r="35913">
          <cell r="A35913">
            <v>43315</v>
          </cell>
        </row>
        <row r="35914">
          <cell r="A35914">
            <v>43620</v>
          </cell>
        </row>
        <row r="35915">
          <cell r="A35915">
            <v>43362</v>
          </cell>
        </row>
        <row r="35916">
          <cell r="A35916">
            <v>43762</v>
          </cell>
        </row>
        <row r="35917">
          <cell r="A35917">
            <v>43204</v>
          </cell>
        </row>
        <row r="35918">
          <cell r="A35918">
            <v>43148</v>
          </cell>
        </row>
        <row r="35919">
          <cell r="A35919">
            <v>43308</v>
          </cell>
        </row>
        <row r="35920">
          <cell r="A35920">
            <v>43453</v>
          </cell>
        </row>
        <row r="35921">
          <cell r="A35921">
            <v>43770</v>
          </cell>
        </row>
        <row r="35922">
          <cell r="A35922">
            <v>43151</v>
          </cell>
        </row>
        <row r="35923">
          <cell r="A35923">
            <v>43578</v>
          </cell>
        </row>
        <row r="35924">
          <cell r="A35924">
            <v>43829</v>
          </cell>
        </row>
        <row r="35925">
          <cell r="A35925">
            <v>43464</v>
          </cell>
        </row>
        <row r="35926">
          <cell r="A35926">
            <v>43561</v>
          </cell>
        </row>
        <row r="35927">
          <cell r="A35927">
            <v>43629</v>
          </cell>
        </row>
        <row r="35928">
          <cell r="A35928">
            <v>43124</v>
          </cell>
        </row>
        <row r="35929">
          <cell r="A35929">
            <v>43796</v>
          </cell>
        </row>
        <row r="35930">
          <cell r="A35930">
            <v>43111</v>
          </cell>
        </row>
        <row r="35931">
          <cell r="A35931">
            <v>43164</v>
          </cell>
        </row>
        <row r="35932">
          <cell r="A35932">
            <v>43732</v>
          </cell>
        </row>
        <row r="35933">
          <cell r="A35933">
            <v>43272</v>
          </cell>
        </row>
        <row r="35934">
          <cell r="A35934">
            <v>43817</v>
          </cell>
        </row>
        <row r="35935">
          <cell r="A35935">
            <v>43309</v>
          </cell>
        </row>
        <row r="35936">
          <cell r="A35936">
            <v>43388</v>
          </cell>
        </row>
        <row r="35937">
          <cell r="A35937">
            <v>43472</v>
          </cell>
        </row>
        <row r="35938">
          <cell r="A35938">
            <v>43742</v>
          </cell>
        </row>
        <row r="35939">
          <cell r="A35939">
            <v>43352</v>
          </cell>
        </row>
        <row r="35940">
          <cell r="A35940">
            <v>43653</v>
          </cell>
        </row>
        <row r="35941">
          <cell r="A35941">
            <v>43601</v>
          </cell>
        </row>
        <row r="35942">
          <cell r="A35942">
            <v>43841</v>
          </cell>
        </row>
        <row r="35943">
          <cell r="A35943">
            <v>43261</v>
          </cell>
        </row>
        <row r="35944">
          <cell r="A35944">
            <v>43903</v>
          </cell>
        </row>
        <row r="35945">
          <cell r="A35945">
            <v>43610</v>
          </cell>
        </row>
        <row r="35946">
          <cell r="A35946">
            <v>43875</v>
          </cell>
        </row>
        <row r="35947">
          <cell r="A35947">
            <v>43905</v>
          </cell>
        </row>
        <row r="35948">
          <cell r="A35948">
            <v>43284</v>
          </cell>
        </row>
        <row r="35949">
          <cell r="A35949">
            <v>43460</v>
          </cell>
        </row>
        <row r="35950">
          <cell r="A35950">
            <v>43497</v>
          </cell>
        </row>
        <row r="35951">
          <cell r="A35951">
            <v>43239</v>
          </cell>
        </row>
        <row r="35952">
          <cell r="A35952">
            <v>43905</v>
          </cell>
        </row>
        <row r="35953">
          <cell r="A35953">
            <v>43281</v>
          </cell>
        </row>
        <row r="35954">
          <cell r="A35954">
            <v>43536</v>
          </cell>
        </row>
        <row r="35955">
          <cell r="A35955">
            <v>43822</v>
          </cell>
        </row>
        <row r="35956">
          <cell r="A35956">
            <v>43112</v>
          </cell>
        </row>
        <row r="35957">
          <cell r="A35957">
            <v>43809</v>
          </cell>
        </row>
        <row r="35958">
          <cell r="A35958">
            <v>43826</v>
          </cell>
        </row>
        <row r="35959">
          <cell r="A35959">
            <v>43507</v>
          </cell>
        </row>
        <row r="35960">
          <cell r="A35960">
            <v>43688</v>
          </cell>
        </row>
        <row r="35961">
          <cell r="A35961">
            <v>43190</v>
          </cell>
        </row>
        <row r="35962">
          <cell r="A35962">
            <v>43669</v>
          </cell>
        </row>
        <row r="35963">
          <cell r="A35963">
            <v>43529</v>
          </cell>
        </row>
        <row r="35964">
          <cell r="A35964">
            <v>43361</v>
          </cell>
        </row>
        <row r="35965">
          <cell r="A35965">
            <v>43445</v>
          </cell>
        </row>
        <row r="35966">
          <cell r="A35966">
            <v>43101</v>
          </cell>
        </row>
        <row r="35967">
          <cell r="A35967">
            <v>43166</v>
          </cell>
        </row>
        <row r="35968">
          <cell r="A35968">
            <v>43593</v>
          </cell>
        </row>
        <row r="35969">
          <cell r="A35969">
            <v>43676</v>
          </cell>
        </row>
        <row r="35970">
          <cell r="A35970">
            <v>43673</v>
          </cell>
        </row>
        <row r="35971">
          <cell r="A35971">
            <v>43781</v>
          </cell>
        </row>
        <row r="35972">
          <cell r="A35972">
            <v>43660</v>
          </cell>
        </row>
        <row r="35973">
          <cell r="A35973">
            <v>43159</v>
          </cell>
        </row>
        <row r="35974">
          <cell r="A35974">
            <v>43434</v>
          </cell>
        </row>
        <row r="35975">
          <cell r="A35975">
            <v>43416</v>
          </cell>
        </row>
        <row r="35976">
          <cell r="A35976">
            <v>43651</v>
          </cell>
        </row>
        <row r="35977">
          <cell r="A35977">
            <v>43317</v>
          </cell>
        </row>
        <row r="35978">
          <cell r="A35978">
            <v>43887</v>
          </cell>
        </row>
        <row r="35979">
          <cell r="A35979">
            <v>43408</v>
          </cell>
        </row>
        <row r="35980">
          <cell r="A35980">
            <v>43119</v>
          </cell>
        </row>
        <row r="35981">
          <cell r="A35981">
            <v>43420</v>
          </cell>
        </row>
        <row r="35982">
          <cell r="A35982">
            <v>43117</v>
          </cell>
        </row>
        <row r="35983">
          <cell r="A35983">
            <v>43573</v>
          </cell>
        </row>
        <row r="35984">
          <cell r="A35984">
            <v>43819</v>
          </cell>
        </row>
        <row r="35985">
          <cell r="A35985">
            <v>43778</v>
          </cell>
        </row>
        <row r="35986">
          <cell r="A35986">
            <v>43609</v>
          </cell>
        </row>
        <row r="35987">
          <cell r="A35987">
            <v>43874</v>
          </cell>
        </row>
        <row r="35988">
          <cell r="A35988">
            <v>43796</v>
          </cell>
        </row>
        <row r="35989">
          <cell r="A35989">
            <v>43331</v>
          </cell>
        </row>
        <row r="35990">
          <cell r="A35990">
            <v>43697</v>
          </cell>
        </row>
        <row r="35991">
          <cell r="A35991">
            <v>43754</v>
          </cell>
        </row>
        <row r="35992">
          <cell r="A35992">
            <v>43316</v>
          </cell>
        </row>
        <row r="35993">
          <cell r="A35993">
            <v>43227</v>
          </cell>
        </row>
        <row r="35994">
          <cell r="A35994">
            <v>43268</v>
          </cell>
        </row>
        <row r="35995">
          <cell r="A35995">
            <v>43149</v>
          </cell>
        </row>
        <row r="35996">
          <cell r="A35996">
            <v>43277</v>
          </cell>
        </row>
        <row r="35997">
          <cell r="A35997">
            <v>43280</v>
          </cell>
        </row>
        <row r="35998">
          <cell r="A35998">
            <v>43412</v>
          </cell>
        </row>
        <row r="35999">
          <cell r="A35999">
            <v>43217</v>
          </cell>
        </row>
        <row r="36000">
          <cell r="A36000">
            <v>43710</v>
          </cell>
        </row>
        <row r="36001">
          <cell r="A36001">
            <v>43446</v>
          </cell>
        </row>
        <row r="36002">
          <cell r="A36002">
            <v>43482</v>
          </cell>
        </row>
        <row r="36003">
          <cell r="A36003">
            <v>43665</v>
          </cell>
        </row>
        <row r="36004">
          <cell r="A36004">
            <v>43855</v>
          </cell>
        </row>
        <row r="36005">
          <cell r="A36005">
            <v>43146</v>
          </cell>
        </row>
        <row r="36006">
          <cell r="A36006">
            <v>43463</v>
          </cell>
        </row>
        <row r="36007">
          <cell r="A36007">
            <v>43595</v>
          </cell>
        </row>
        <row r="36008">
          <cell r="A36008">
            <v>43258</v>
          </cell>
        </row>
        <row r="36009">
          <cell r="A36009">
            <v>43191</v>
          </cell>
        </row>
        <row r="36010">
          <cell r="A36010">
            <v>43173</v>
          </cell>
        </row>
        <row r="36011">
          <cell r="A36011">
            <v>43669</v>
          </cell>
        </row>
        <row r="36012">
          <cell r="A36012">
            <v>43165</v>
          </cell>
        </row>
        <row r="36013">
          <cell r="A36013">
            <v>43601</v>
          </cell>
        </row>
        <row r="36014">
          <cell r="A36014">
            <v>43398</v>
          </cell>
        </row>
        <row r="36015">
          <cell r="A36015">
            <v>43476</v>
          </cell>
        </row>
        <row r="36016">
          <cell r="A36016">
            <v>43131</v>
          </cell>
        </row>
        <row r="36017">
          <cell r="A36017">
            <v>43620</v>
          </cell>
        </row>
        <row r="36018">
          <cell r="A36018">
            <v>43839</v>
          </cell>
        </row>
        <row r="36019">
          <cell r="A36019">
            <v>43268</v>
          </cell>
        </row>
        <row r="36020">
          <cell r="A36020">
            <v>43592</v>
          </cell>
        </row>
        <row r="36021">
          <cell r="A36021">
            <v>43323</v>
          </cell>
        </row>
        <row r="36022">
          <cell r="A36022">
            <v>43867</v>
          </cell>
        </row>
        <row r="36023">
          <cell r="A36023">
            <v>43228</v>
          </cell>
        </row>
        <row r="36024">
          <cell r="A36024">
            <v>43163</v>
          </cell>
        </row>
        <row r="36025">
          <cell r="A36025">
            <v>43346</v>
          </cell>
        </row>
        <row r="36026">
          <cell r="A36026">
            <v>43379</v>
          </cell>
        </row>
        <row r="36027">
          <cell r="A36027">
            <v>43344</v>
          </cell>
        </row>
        <row r="36028">
          <cell r="A36028">
            <v>43463</v>
          </cell>
        </row>
        <row r="36029">
          <cell r="A36029">
            <v>43473</v>
          </cell>
        </row>
        <row r="36030">
          <cell r="A36030">
            <v>43152</v>
          </cell>
        </row>
        <row r="36031">
          <cell r="A36031">
            <v>43504</v>
          </cell>
        </row>
        <row r="36032">
          <cell r="A36032">
            <v>43570</v>
          </cell>
        </row>
        <row r="36033">
          <cell r="A36033">
            <v>43151</v>
          </cell>
        </row>
        <row r="36034">
          <cell r="A36034">
            <v>43390</v>
          </cell>
        </row>
        <row r="36035">
          <cell r="A36035">
            <v>43792</v>
          </cell>
        </row>
        <row r="36036">
          <cell r="A36036">
            <v>43216</v>
          </cell>
        </row>
        <row r="36037">
          <cell r="A36037">
            <v>43434</v>
          </cell>
        </row>
        <row r="36038">
          <cell r="A36038">
            <v>43434</v>
          </cell>
        </row>
        <row r="36039">
          <cell r="A36039">
            <v>43610</v>
          </cell>
        </row>
        <row r="36040">
          <cell r="A36040">
            <v>43337</v>
          </cell>
        </row>
        <row r="36041">
          <cell r="A36041">
            <v>43288</v>
          </cell>
        </row>
        <row r="36042">
          <cell r="A36042">
            <v>43882</v>
          </cell>
        </row>
        <row r="36043">
          <cell r="A36043">
            <v>43469</v>
          </cell>
        </row>
        <row r="36044">
          <cell r="A36044">
            <v>43424</v>
          </cell>
        </row>
        <row r="36045">
          <cell r="A36045">
            <v>43124</v>
          </cell>
        </row>
        <row r="36046">
          <cell r="A36046">
            <v>43918</v>
          </cell>
        </row>
        <row r="36047">
          <cell r="A36047">
            <v>43219</v>
          </cell>
        </row>
        <row r="36048">
          <cell r="A36048">
            <v>43628</v>
          </cell>
        </row>
        <row r="36049">
          <cell r="A36049">
            <v>43782</v>
          </cell>
        </row>
        <row r="36050">
          <cell r="A36050">
            <v>43636</v>
          </cell>
        </row>
        <row r="36051">
          <cell r="A36051">
            <v>43116</v>
          </cell>
        </row>
        <row r="36052">
          <cell r="A36052">
            <v>43517</v>
          </cell>
        </row>
        <row r="36053">
          <cell r="A36053">
            <v>43412</v>
          </cell>
        </row>
        <row r="36054">
          <cell r="A36054">
            <v>43589</v>
          </cell>
        </row>
        <row r="36055">
          <cell r="A36055">
            <v>43177</v>
          </cell>
        </row>
        <row r="36056">
          <cell r="A36056">
            <v>43426</v>
          </cell>
        </row>
        <row r="36057">
          <cell r="A36057">
            <v>43473</v>
          </cell>
        </row>
        <row r="36058">
          <cell r="A36058">
            <v>43160</v>
          </cell>
        </row>
        <row r="36059">
          <cell r="A36059">
            <v>43610</v>
          </cell>
        </row>
        <row r="36060">
          <cell r="A36060">
            <v>43919</v>
          </cell>
        </row>
        <row r="36061">
          <cell r="A36061">
            <v>43427</v>
          </cell>
        </row>
        <row r="36062">
          <cell r="A36062">
            <v>43778</v>
          </cell>
        </row>
        <row r="36063">
          <cell r="A36063">
            <v>43111</v>
          </cell>
        </row>
        <row r="36064">
          <cell r="A36064">
            <v>43565</v>
          </cell>
        </row>
        <row r="36065">
          <cell r="A36065">
            <v>43786</v>
          </cell>
        </row>
        <row r="36066">
          <cell r="A36066">
            <v>43248</v>
          </cell>
        </row>
        <row r="36067">
          <cell r="A36067">
            <v>43677</v>
          </cell>
        </row>
        <row r="36068">
          <cell r="A36068">
            <v>43490</v>
          </cell>
        </row>
        <row r="36069">
          <cell r="A36069">
            <v>43571</v>
          </cell>
        </row>
        <row r="36070">
          <cell r="A36070">
            <v>43329</v>
          </cell>
        </row>
        <row r="36071">
          <cell r="A36071">
            <v>43540</v>
          </cell>
        </row>
        <row r="36072">
          <cell r="A36072">
            <v>43808</v>
          </cell>
        </row>
        <row r="36073">
          <cell r="A36073">
            <v>43754</v>
          </cell>
        </row>
        <row r="36074">
          <cell r="A36074">
            <v>43688</v>
          </cell>
        </row>
        <row r="36075">
          <cell r="A36075">
            <v>43506</v>
          </cell>
        </row>
        <row r="36076">
          <cell r="A36076">
            <v>43601</v>
          </cell>
        </row>
        <row r="36077">
          <cell r="A36077">
            <v>43425</v>
          </cell>
        </row>
        <row r="36078">
          <cell r="A36078">
            <v>43830</v>
          </cell>
        </row>
        <row r="36079">
          <cell r="A36079">
            <v>43158</v>
          </cell>
        </row>
        <row r="36080">
          <cell r="A36080">
            <v>43884</v>
          </cell>
        </row>
        <row r="36081">
          <cell r="A36081">
            <v>43658</v>
          </cell>
        </row>
        <row r="36082">
          <cell r="A36082">
            <v>43140</v>
          </cell>
        </row>
        <row r="36083">
          <cell r="A36083">
            <v>43195</v>
          </cell>
        </row>
        <row r="36084">
          <cell r="A36084">
            <v>43790</v>
          </cell>
        </row>
        <row r="36085">
          <cell r="A36085">
            <v>43747</v>
          </cell>
        </row>
        <row r="36086">
          <cell r="A36086">
            <v>43330</v>
          </cell>
        </row>
        <row r="36087">
          <cell r="A36087">
            <v>43609</v>
          </cell>
        </row>
        <row r="36088">
          <cell r="A36088">
            <v>43376</v>
          </cell>
        </row>
        <row r="36089">
          <cell r="A36089">
            <v>43757</v>
          </cell>
        </row>
        <row r="36090">
          <cell r="A36090">
            <v>43745</v>
          </cell>
        </row>
        <row r="36091">
          <cell r="A36091">
            <v>43422</v>
          </cell>
        </row>
        <row r="36092">
          <cell r="A36092">
            <v>43906</v>
          </cell>
        </row>
        <row r="36093">
          <cell r="A36093">
            <v>43425</v>
          </cell>
        </row>
        <row r="36094">
          <cell r="A36094">
            <v>43174</v>
          </cell>
        </row>
        <row r="36095">
          <cell r="A36095">
            <v>43214</v>
          </cell>
        </row>
        <row r="36096">
          <cell r="A36096">
            <v>43628</v>
          </cell>
        </row>
        <row r="36097">
          <cell r="A36097">
            <v>43386</v>
          </cell>
        </row>
        <row r="36098">
          <cell r="A36098">
            <v>43700</v>
          </cell>
        </row>
        <row r="36099">
          <cell r="A36099">
            <v>43832</v>
          </cell>
        </row>
        <row r="36100">
          <cell r="A36100">
            <v>43295</v>
          </cell>
        </row>
        <row r="36101">
          <cell r="A36101">
            <v>43496</v>
          </cell>
        </row>
        <row r="36102">
          <cell r="A36102">
            <v>43863</v>
          </cell>
        </row>
        <row r="36103">
          <cell r="A36103">
            <v>43599</v>
          </cell>
        </row>
        <row r="36104">
          <cell r="A36104">
            <v>43526</v>
          </cell>
        </row>
        <row r="36105">
          <cell r="A36105">
            <v>43483</v>
          </cell>
        </row>
        <row r="36106">
          <cell r="A36106">
            <v>43480</v>
          </cell>
        </row>
        <row r="36107">
          <cell r="A36107">
            <v>43202</v>
          </cell>
        </row>
        <row r="36108">
          <cell r="A36108">
            <v>43486</v>
          </cell>
        </row>
        <row r="36109">
          <cell r="A36109">
            <v>43522</v>
          </cell>
        </row>
        <row r="36110">
          <cell r="A36110">
            <v>43176</v>
          </cell>
        </row>
        <row r="36111">
          <cell r="A36111">
            <v>43920</v>
          </cell>
        </row>
        <row r="36112">
          <cell r="A36112">
            <v>43806</v>
          </cell>
        </row>
        <row r="36113">
          <cell r="A36113">
            <v>43919</v>
          </cell>
        </row>
        <row r="36114">
          <cell r="A36114">
            <v>43889</v>
          </cell>
        </row>
        <row r="36115">
          <cell r="A36115">
            <v>43253</v>
          </cell>
        </row>
        <row r="36116">
          <cell r="A36116">
            <v>43332</v>
          </cell>
        </row>
        <row r="36117">
          <cell r="A36117">
            <v>43267</v>
          </cell>
        </row>
        <row r="36118">
          <cell r="A36118">
            <v>43285</v>
          </cell>
        </row>
        <row r="36119">
          <cell r="A36119">
            <v>43399</v>
          </cell>
        </row>
        <row r="36120">
          <cell r="A36120">
            <v>43291</v>
          </cell>
        </row>
        <row r="36121">
          <cell r="A36121">
            <v>43135</v>
          </cell>
        </row>
        <row r="36122">
          <cell r="A36122">
            <v>43912</v>
          </cell>
        </row>
        <row r="36123">
          <cell r="A36123">
            <v>43113</v>
          </cell>
        </row>
        <row r="36124">
          <cell r="A36124">
            <v>43353</v>
          </cell>
        </row>
        <row r="36125">
          <cell r="A36125">
            <v>43693</v>
          </cell>
        </row>
        <row r="36126">
          <cell r="A36126">
            <v>43390</v>
          </cell>
        </row>
        <row r="36127">
          <cell r="A36127">
            <v>43406</v>
          </cell>
        </row>
        <row r="36128">
          <cell r="A36128">
            <v>43106</v>
          </cell>
        </row>
        <row r="36129">
          <cell r="A36129">
            <v>43602</v>
          </cell>
        </row>
        <row r="36130">
          <cell r="A36130">
            <v>43892</v>
          </cell>
        </row>
        <row r="36131">
          <cell r="A36131">
            <v>43417</v>
          </cell>
        </row>
        <row r="36132">
          <cell r="A36132">
            <v>43307</v>
          </cell>
        </row>
        <row r="36133">
          <cell r="A36133">
            <v>43377</v>
          </cell>
        </row>
        <row r="36134">
          <cell r="A36134">
            <v>43520</v>
          </cell>
        </row>
        <row r="36135">
          <cell r="A36135">
            <v>43610</v>
          </cell>
        </row>
        <row r="36136">
          <cell r="A36136">
            <v>43570</v>
          </cell>
        </row>
        <row r="36137">
          <cell r="A36137">
            <v>43715</v>
          </cell>
        </row>
        <row r="36138">
          <cell r="A36138">
            <v>43772</v>
          </cell>
        </row>
        <row r="36139">
          <cell r="A36139">
            <v>43574</v>
          </cell>
        </row>
        <row r="36140">
          <cell r="A36140">
            <v>43273</v>
          </cell>
        </row>
        <row r="36141">
          <cell r="A36141">
            <v>43130</v>
          </cell>
        </row>
        <row r="36142">
          <cell r="A36142">
            <v>43884</v>
          </cell>
        </row>
        <row r="36143">
          <cell r="A36143">
            <v>43716</v>
          </cell>
        </row>
        <row r="36144">
          <cell r="A36144">
            <v>43510</v>
          </cell>
        </row>
        <row r="36145">
          <cell r="A36145">
            <v>43281</v>
          </cell>
        </row>
        <row r="36146">
          <cell r="A36146">
            <v>43799</v>
          </cell>
        </row>
        <row r="36147">
          <cell r="A36147">
            <v>43514</v>
          </cell>
        </row>
        <row r="36148">
          <cell r="A36148">
            <v>43388</v>
          </cell>
        </row>
        <row r="36149">
          <cell r="A36149">
            <v>43454</v>
          </cell>
        </row>
        <row r="36150">
          <cell r="A36150">
            <v>43807</v>
          </cell>
        </row>
        <row r="36151">
          <cell r="A36151">
            <v>43727</v>
          </cell>
        </row>
        <row r="36152">
          <cell r="A36152">
            <v>43359</v>
          </cell>
        </row>
        <row r="36153">
          <cell r="A36153">
            <v>43579</v>
          </cell>
        </row>
        <row r="36154">
          <cell r="A36154">
            <v>43391</v>
          </cell>
        </row>
        <row r="36155">
          <cell r="A36155">
            <v>43672</v>
          </cell>
        </row>
        <row r="36156">
          <cell r="A36156">
            <v>43150</v>
          </cell>
        </row>
        <row r="36157">
          <cell r="A36157">
            <v>43297</v>
          </cell>
        </row>
        <row r="36158">
          <cell r="A36158">
            <v>43385</v>
          </cell>
        </row>
        <row r="36159">
          <cell r="A36159">
            <v>43203</v>
          </cell>
        </row>
        <row r="36160">
          <cell r="A36160">
            <v>43455</v>
          </cell>
        </row>
        <row r="36161">
          <cell r="A36161">
            <v>43635</v>
          </cell>
        </row>
        <row r="36162">
          <cell r="A36162">
            <v>43608</v>
          </cell>
        </row>
        <row r="36163">
          <cell r="A36163">
            <v>43875</v>
          </cell>
        </row>
        <row r="36164">
          <cell r="A36164">
            <v>43880</v>
          </cell>
        </row>
        <row r="36165">
          <cell r="A36165">
            <v>43524</v>
          </cell>
        </row>
        <row r="36166">
          <cell r="A36166">
            <v>43419</v>
          </cell>
        </row>
        <row r="36167">
          <cell r="A36167">
            <v>43303</v>
          </cell>
        </row>
        <row r="36168">
          <cell r="A36168">
            <v>43198</v>
          </cell>
        </row>
        <row r="36169">
          <cell r="A36169">
            <v>43178</v>
          </cell>
        </row>
        <row r="36170">
          <cell r="A36170">
            <v>43169</v>
          </cell>
        </row>
        <row r="36171">
          <cell r="A36171">
            <v>43757</v>
          </cell>
        </row>
        <row r="36172">
          <cell r="A36172">
            <v>43655</v>
          </cell>
        </row>
        <row r="36173">
          <cell r="A36173">
            <v>43203</v>
          </cell>
        </row>
        <row r="36174">
          <cell r="A36174">
            <v>43163</v>
          </cell>
        </row>
        <row r="36175">
          <cell r="A36175">
            <v>43310</v>
          </cell>
        </row>
        <row r="36176">
          <cell r="A36176">
            <v>43107</v>
          </cell>
        </row>
        <row r="36177">
          <cell r="A36177">
            <v>43241</v>
          </cell>
        </row>
        <row r="36178">
          <cell r="A36178">
            <v>43256</v>
          </cell>
        </row>
        <row r="36179">
          <cell r="A36179">
            <v>43461</v>
          </cell>
        </row>
        <row r="36180">
          <cell r="A36180">
            <v>43495</v>
          </cell>
        </row>
        <row r="36181">
          <cell r="A36181">
            <v>43883</v>
          </cell>
        </row>
        <row r="36182">
          <cell r="A36182">
            <v>43316</v>
          </cell>
        </row>
        <row r="36183">
          <cell r="A36183">
            <v>43163</v>
          </cell>
        </row>
        <row r="36184">
          <cell r="A36184">
            <v>43387</v>
          </cell>
        </row>
        <row r="36185">
          <cell r="A36185">
            <v>43305</v>
          </cell>
        </row>
        <row r="36186">
          <cell r="A36186">
            <v>43736</v>
          </cell>
        </row>
        <row r="36187">
          <cell r="A36187">
            <v>43329</v>
          </cell>
        </row>
        <row r="36188">
          <cell r="A36188">
            <v>43411</v>
          </cell>
        </row>
        <row r="36189">
          <cell r="A36189">
            <v>43261</v>
          </cell>
        </row>
        <row r="36190">
          <cell r="A36190">
            <v>43682</v>
          </cell>
        </row>
        <row r="36191">
          <cell r="A36191">
            <v>43506</v>
          </cell>
        </row>
        <row r="36192">
          <cell r="A36192">
            <v>43549</v>
          </cell>
        </row>
        <row r="36193">
          <cell r="A36193">
            <v>43623</v>
          </cell>
        </row>
        <row r="36194">
          <cell r="A36194">
            <v>43462</v>
          </cell>
        </row>
        <row r="36195">
          <cell r="A36195">
            <v>43355</v>
          </cell>
        </row>
        <row r="36196">
          <cell r="A36196">
            <v>43336</v>
          </cell>
        </row>
        <row r="36197">
          <cell r="A36197">
            <v>43204</v>
          </cell>
        </row>
        <row r="36198">
          <cell r="A36198">
            <v>43838</v>
          </cell>
        </row>
        <row r="36199">
          <cell r="A36199">
            <v>43380</v>
          </cell>
        </row>
        <row r="36200">
          <cell r="A36200">
            <v>43185</v>
          </cell>
        </row>
        <row r="36201">
          <cell r="A36201">
            <v>43469</v>
          </cell>
        </row>
        <row r="36202">
          <cell r="A36202">
            <v>43688</v>
          </cell>
        </row>
        <row r="36203">
          <cell r="A36203">
            <v>43416</v>
          </cell>
        </row>
        <row r="36204">
          <cell r="A36204">
            <v>43749</v>
          </cell>
        </row>
        <row r="36205">
          <cell r="A36205">
            <v>43851</v>
          </cell>
        </row>
        <row r="36206">
          <cell r="A36206">
            <v>43725</v>
          </cell>
        </row>
        <row r="36207">
          <cell r="A36207">
            <v>43422</v>
          </cell>
        </row>
        <row r="36208">
          <cell r="A36208">
            <v>43561</v>
          </cell>
        </row>
        <row r="36209">
          <cell r="A36209">
            <v>43386</v>
          </cell>
        </row>
        <row r="36210">
          <cell r="A36210">
            <v>43816</v>
          </cell>
        </row>
        <row r="36211">
          <cell r="A36211">
            <v>43688</v>
          </cell>
        </row>
        <row r="36212">
          <cell r="A36212">
            <v>43389</v>
          </cell>
        </row>
        <row r="36213">
          <cell r="A36213">
            <v>43266</v>
          </cell>
        </row>
        <row r="36214">
          <cell r="A36214">
            <v>43347</v>
          </cell>
        </row>
        <row r="36215">
          <cell r="A36215">
            <v>43528</v>
          </cell>
        </row>
        <row r="36216">
          <cell r="A36216">
            <v>43228</v>
          </cell>
        </row>
        <row r="36217">
          <cell r="A36217">
            <v>43642</v>
          </cell>
        </row>
        <row r="36218">
          <cell r="A36218">
            <v>43259</v>
          </cell>
        </row>
        <row r="36219">
          <cell r="A36219">
            <v>43381</v>
          </cell>
        </row>
        <row r="36220">
          <cell r="A36220">
            <v>43743</v>
          </cell>
        </row>
        <row r="36221">
          <cell r="A36221">
            <v>43396</v>
          </cell>
        </row>
        <row r="36222">
          <cell r="A36222">
            <v>43737</v>
          </cell>
        </row>
        <row r="36223">
          <cell r="A36223">
            <v>43551</v>
          </cell>
        </row>
        <row r="36224">
          <cell r="A36224">
            <v>43336</v>
          </cell>
        </row>
        <row r="36225">
          <cell r="A36225">
            <v>43606</v>
          </cell>
        </row>
        <row r="36226">
          <cell r="A36226">
            <v>43381</v>
          </cell>
        </row>
        <row r="36227">
          <cell r="A36227">
            <v>43101</v>
          </cell>
        </row>
        <row r="36228">
          <cell r="A36228">
            <v>43178</v>
          </cell>
        </row>
        <row r="36229">
          <cell r="A36229">
            <v>43283</v>
          </cell>
        </row>
        <row r="36230">
          <cell r="A36230">
            <v>43766</v>
          </cell>
        </row>
        <row r="36231">
          <cell r="A36231">
            <v>43505</v>
          </cell>
        </row>
        <row r="36232">
          <cell r="A36232">
            <v>43680</v>
          </cell>
        </row>
        <row r="36233">
          <cell r="A36233">
            <v>43682</v>
          </cell>
        </row>
        <row r="36234">
          <cell r="A36234">
            <v>43493</v>
          </cell>
        </row>
        <row r="36235">
          <cell r="A36235">
            <v>43863</v>
          </cell>
        </row>
        <row r="36236">
          <cell r="A36236">
            <v>43438</v>
          </cell>
        </row>
        <row r="36237">
          <cell r="A36237">
            <v>43432</v>
          </cell>
        </row>
        <row r="36238">
          <cell r="A36238">
            <v>43410</v>
          </cell>
        </row>
        <row r="36239">
          <cell r="A36239">
            <v>43494</v>
          </cell>
        </row>
        <row r="36240">
          <cell r="A36240">
            <v>43255</v>
          </cell>
        </row>
        <row r="36241">
          <cell r="A36241">
            <v>43279</v>
          </cell>
        </row>
        <row r="36242">
          <cell r="A36242">
            <v>43518</v>
          </cell>
        </row>
        <row r="36243">
          <cell r="A36243">
            <v>43355</v>
          </cell>
        </row>
        <row r="36244">
          <cell r="A36244">
            <v>43177</v>
          </cell>
        </row>
        <row r="36245">
          <cell r="A36245">
            <v>43403</v>
          </cell>
        </row>
        <row r="36246">
          <cell r="A36246">
            <v>43658</v>
          </cell>
        </row>
        <row r="36247">
          <cell r="A36247">
            <v>43271</v>
          </cell>
        </row>
        <row r="36248">
          <cell r="A36248">
            <v>43563</v>
          </cell>
        </row>
        <row r="36249">
          <cell r="A36249">
            <v>43729</v>
          </cell>
        </row>
        <row r="36250">
          <cell r="A36250">
            <v>43274</v>
          </cell>
        </row>
        <row r="36251">
          <cell r="A36251">
            <v>43662</v>
          </cell>
        </row>
        <row r="36252">
          <cell r="A36252">
            <v>43799</v>
          </cell>
        </row>
        <row r="36253">
          <cell r="A36253">
            <v>43419</v>
          </cell>
        </row>
        <row r="36254">
          <cell r="A36254">
            <v>43267</v>
          </cell>
        </row>
        <row r="36255">
          <cell r="A36255">
            <v>43511</v>
          </cell>
        </row>
        <row r="36256">
          <cell r="A36256">
            <v>43233</v>
          </cell>
        </row>
        <row r="36257">
          <cell r="A36257">
            <v>43171</v>
          </cell>
        </row>
        <row r="36258">
          <cell r="A36258">
            <v>43410</v>
          </cell>
        </row>
        <row r="36259">
          <cell r="A36259">
            <v>43685</v>
          </cell>
        </row>
        <row r="36260">
          <cell r="A36260">
            <v>43503</v>
          </cell>
        </row>
        <row r="36261">
          <cell r="A36261">
            <v>43324</v>
          </cell>
        </row>
        <row r="36262">
          <cell r="A36262">
            <v>43237</v>
          </cell>
        </row>
        <row r="36263">
          <cell r="A36263">
            <v>43647</v>
          </cell>
        </row>
        <row r="36264">
          <cell r="A36264">
            <v>43710</v>
          </cell>
        </row>
        <row r="36265">
          <cell r="A36265">
            <v>43759</v>
          </cell>
        </row>
        <row r="36266">
          <cell r="A36266">
            <v>43300</v>
          </cell>
        </row>
        <row r="36267">
          <cell r="A36267">
            <v>43289</v>
          </cell>
        </row>
        <row r="36268">
          <cell r="A36268">
            <v>43607</v>
          </cell>
        </row>
        <row r="36269">
          <cell r="A36269">
            <v>43721</v>
          </cell>
        </row>
        <row r="36270">
          <cell r="A36270">
            <v>43183</v>
          </cell>
        </row>
        <row r="36271">
          <cell r="A36271">
            <v>43246</v>
          </cell>
        </row>
        <row r="36272">
          <cell r="A36272">
            <v>43506</v>
          </cell>
        </row>
        <row r="36273">
          <cell r="A36273">
            <v>43211</v>
          </cell>
        </row>
        <row r="36274">
          <cell r="A36274">
            <v>43191</v>
          </cell>
        </row>
        <row r="36275">
          <cell r="A36275">
            <v>43188</v>
          </cell>
        </row>
        <row r="36276">
          <cell r="A36276">
            <v>43523</v>
          </cell>
        </row>
        <row r="36277">
          <cell r="A36277">
            <v>43834</v>
          </cell>
        </row>
        <row r="36278">
          <cell r="A36278">
            <v>43172</v>
          </cell>
        </row>
        <row r="36279">
          <cell r="A36279">
            <v>43425</v>
          </cell>
        </row>
        <row r="36280">
          <cell r="A36280">
            <v>43384</v>
          </cell>
        </row>
        <row r="36281">
          <cell r="A36281">
            <v>43423</v>
          </cell>
        </row>
        <row r="36282">
          <cell r="A36282">
            <v>43826</v>
          </cell>
        </row>
        <row r="36283">
          <cell r="A36283">
            <v>43857</v>
          </cell>
        </row>
        <row r="36284">
          <cell r="A36284">
            <v>43493</v>
          </cell>
        </row>
        <row r="36285">
          <cell r="A36285">
            <v>43851</v>
          </cell>
        </row>
        <row r="36286">
          <cell r="A36286">
            <v>43638</v>
          </cell>
        </row>
        <row r="36287">
          <cell r="A36287">
            <v>43213</v>
          </cell>
        </row>
        <row r="36288">
          <cell r="A36288">
            <v>43775</v>
          </cell>
        </row>
        <row r="36289">
          <cell r="A36289">
            <v>43555</v>
          </cell>
        </row>
        <row r="36290">
          <cell r="A36290">
            <v>43102</v>
          </cell>
        </row>
        <row r="36291">
          <cell r="A36291">
            <v>43467</v>
          </cell>
        </row>
        <row r="36292">
          <cell r="A36292">
            <v>43907</v>
          </cell>
        </row>
        <row r="36293">
          <cell r="A36293">
            <v>43828</v>
          </cell>
        </row>
        <row r="36294">
          <cell r="A36294">
            <v>43916</v>
          </cell>
        </row>
        <row r="36295">
          <cell r="A36295">
            <v>43454</v>
          </cell>
        </row>
        <row r="36296">
          <cell r="A36296">
            <v>43243</v>
          </cell>
        </row>
        <row r="36297">
          <cell r="A36297">
            <v>43877</v>
          </cell>
        </row>
        <row r="36298">
          <cell r="A36298">
            <v>43534</v>
          </cell>
        </row>
        <row r="36299">
          <cell r="A36299">
            <v>43804</v>
          </cell>
        </row>
        <row r="36300">
          <cell r="A36300">
            <v>43439</v>
          </cell>
        </row>
        <row r="36301">
          <cell r="A36301">
            <v>43591</v>
          </cell>
        </row>
        <row r="36302">
          <cell r="A36302">
            <v>43444</v>
          </cell>
        </row>
        <row r="36303">
          <cell r="A36303">
            <v>43337</v>
          </cell>
        </row>
        <row r="36304">
          <cell r="A36304">
            <v>43388</v>
          </cell>
        </row>
        <row r="36305">
          <cell r="A36305">
            <v>43116</v>
          </cell>
        </row>
        <row r="36306">
          <cell r="A36306">
            <v>43730</v>
          </cell>
        </row>
        <row r="36307">
          <cell r="A36307">
            <v>43881</v>
          </cell>
        </row>
        <row r="36308">
          <cell r="A36308">
            <v>43672</v>
          </cell>
        </row>
        <row r="36309">
          <cell r="A36309">
            <v>43401</v>
          </cell>
        </row>
        <row r="36310">
          <cell r="A36310">
            <v>43781</v>
          </cell>
        </row>
        <row r="36311">
          <cell r="A36311">
            <v>43566</v>
          </cell>
        </row>
        <row r="36312">
          <cell r="A36312">
            <v>43252</v>
          </cell>
        </row>
        <row r="36313">
          <cell r="A36313">
            <v>43467</v>
          </cell>
        </row>
        <row r="36314">
          <cell r="A36314">
            <v>43446</v>
          </cell>
        </row>
        <row r="36315">
          <cell r="A36315">
            <v>43105</v>
          </cell>
        </row>
        <row r="36316">
          <cell r="A36316">
            <v>43407</v>
          </cell>
        </row>
        <row r="36317">
          <cell r="A36317">
            <v>43761</v>
          </cell>
        </row>
        <row r="36318">
          <cell r="A36318">
            <v>43235</v>
          </cell>
        </row>
        <row r="36319">
          <cell r="A36319">
            <v>43692</v>
          </cell>
        </row>
        <row r="36320">
          <cell r="A36320">
            <v>43803</v>
          </cell>
        </row>
        <row r="36321">
          <cell r="A36321">
            <v>43608</v>
          </cell>
        </row>
        <row r="36322">
          <cell r="A36322">
            <v>43891</v>
          </cell>
        </row>
        <row r="36323">
          <cell r="A36323">
            <v>43341</v>
          </cell>
        </row>
        <row r="36324">
          <cell r="A36324">
            <v>43672</v>
          </cell>
        </row>
        <row r="36325">
          <cell r="A36325">
            <v>43658</v>
          </cell>
        </row>
        <row r="36326">
          <cell r="A36326">
            <v>43154</v>
          </cell>
        </row>
        <row r="36327">
          <cell r="A36327">
            <v>43477</v>
          </cell>
        </row>
        <row r="36328">
          <cell r="A36328">
            <v>43373</v>
          </cell>
        </row>
        <row r="36329">
          <cell r="A36329">
            <v>43495</v>
          </cell>
        </row>
        <row r="36330">
          <cell r="A36330">
            <v>43371</v>
          </cell>
        </row>
        <row r="36331">
          <cell r="A36331">
            <v>43504</v>
          </cell>
        </row>
        <row r="36332">
          <cell r="A36332">
            <v>43147</v>
          </cell>
        </row>
        <row r="36333">
          <cell r="A36333">
            <v>43914</v>
          </cell>
        </row>
        <row r="36334">
          <cell r="A36334">
            <v>43818</v>
          </cell>
        </row>
        <row r="36335">
          <cell r="A36335">
            <v>43234</v>
          </cell>
        </row>
        <row r="36336">
          <cell r="A36336">
            <v>43613</v>
          </cell>
        </row>
        <row r="36337">
          <cell r="A36337">
            <v>43584</v>
          </cell>
        </row>
        <row r="36338">
          <cell r="A36338">
            <v>43455</v>
          </cell>
        </row>
        <row r="36339">
          <cell r="A36339">
            <v>43578</v>
          </cell>
        </row>
        <row r="36340">
          <cell r="A36340">
            <v>43511</v>
          </cell>
        </row>
        <row r="36341">
          <cell r="A36341">
            <v>43459</v>
          </cell>
        </row>
        <row r="36342">
          <cell r="A36342">
            <v>43208</v>
          </cell>
        </row>
        <row r="36343">
          <cell r="A36343">
            <v>43825</v>
          </cell>
        </row>
        <row r="36344">
          <cell r="A36344">
            <v>43825</v>
          </cell>
        </row>
        <row r="36345">
          <cell r="A36345">
            <v>43585</v>
          </cell>
        </row>
        <row r="36346">
          <cell r="A36346">
            <v>43530</v>
          </cell>
        </row>
        <row r="36347">
          <cell r="A36347">
            <v>43613</v>
          </cell>
        </row>
        <row r="36348">
          <cell r="A36348">
            <v>43567</v>
          </cell>
        </row>
        <row r="36349">
          <cell r="A36349">
            <v>43463</v>
          </cell>
        </row>
        <row r="36350">
          <cell r="A36350">
            <v>43796</v>
          </cell>
        </row>
        <row r="36351">
          <cell r="A36351">
            <v>43390</v>
          </cell>
        </row>
        <row r="36352">
          <cell r="A36352">
            <v>43655</v>
          </cell>
        </row>
        <row r="36353">
          <cell r="A36353">
            <v>43372</v>
          </cell>
        </row>
        <row r="36354">
          <cell r="A36354">
            <v>43265</v>
          </cell>
        </row>
        <row r="36355">
          <cell r="A36355">
            <v>43240</v>
          </cell>
        </row>
        <row r="36356">
          <cell r="A36356">
            <v>43627</v>
          </cell>
        </row>
        <row r="36357">
          <cell r="A36357">
            <v>43110</v>
          </cell>
        </row>
        <row r="36358">
          <cell r="A36358">
            <v>43770</v>
          </cell>
        </row>
        <row r="36359">
          <cell r="A36359">
            <v>43450</v>
          </cell>
        </row>
        <row r="36360">
          <cell r="A36360">
            <v>43596</v>
          </cell>
        </row>
        <row r="36361">
          <cell r="A36361">
            <v>43511</v>
          </cell>
        </row>
        <row r="36362">
          <cell r="A36362">
            <v>43727</v>
          </cell>
        </row>
        <row r="36363">
          <cell r="A36363">
            <v>43193</v>
          </cell>
        </row>
        <row r="36364">
          <cell r="A36364">
            <v>43693</v>
          </cell>
        </row>
        <row r="36365">
          <cell r="A36365">
            <v>43177</v>
          </cell>
        </row>
        <row r="36366">
          <cell r="A36366">
            <v>43126</v>
          </cell>
        </row>
        <row r="36367">
          <cell r="A36367">
            <v>43650</v>
          </cell>
        </row>
        <row r="36368">
          <cell r="A36368">
            <v>43646</v>
          </cell>
        </row>
        <row r="36369">
          <cell r="A36369">
            <v>43175</v>
          </cell>
        </row>
        <row r="36370">
          <cell r="A36370">
            <v>43601</v>
          </cell>
        </row>
        <row r="36371">
          <cell r="A36371">
            <v>43513</v>
          </cell>
        </row>
        <row r="36372">
          <cell r="A36372">
            <v>43649</v>
          </cell>
        </row>
        <row r="36373">
          <cell r="A36373">
            <v>43486</v>
          </cell>
        </row>
        <row r="36374">
          <cell r="A36374">
            <v>43823</v>
          </cell>
        </row>
        <row r="36375">
          <cell r="A36375">
            <v>43461</v>
          </cell>
        </row>
        <row r="36376">
          <cell r="A36376">
            <v>43338</v>
          </cell>
        </row>
        <row r="36377">
          <cell r="A36377">
            <v>43117</v>
          </cell>
        </row>
        <row r="36378">
          <cell r="A36378">
            <v>43554</v>
          </cell>
        </row>
        <row r="36379">
          <cell r="A36379">
            <v>43403</v>
          </cell>
        </row>
        <row r="36380">
          <cell r="A36380">
            <v>43461</v>
          </cell>
        </row>
        <row r="36381">
          <cell r="A36381">
            <v>43606</v>
          </cell>
        </row>
        <row r="36382">
          <cell r="A36382">
            <v>43841</v>
          </cell>
        </row>
        <row r="36383">
          <cell r="A36383">
            <v>43891</v>
          </cell>
        </row>
        <row r="36384">
          <cell r="A36384">
            <v>43745</v>
          </cell>
        </row>
        <row r="36385">
          <cell r="A36385">
            <v>43905</v>
          </cell>
        </row>
        <row r="36386">
          <cell r="A36386">
            <v>43824</v>
          </cell>
        </row>
        <row r="36387">
          <cell r="A36387">
            <v>43400</v>
          </cell>
        </row>
        <row r="36388">
          <cell r="A36388">
            <v>43568</v>
          </cell>
        </row>
        <row r="36389">
          <cell r="A36389">
            <v>43331</v>
          </cell>
        </row>
        <row r="36390">
          <cell r="A36390">
            <v>43242</v>
          </cell>
        </row>
        <row r="36391">
          <cell r="A36391">
            <v>43864</v>
          </cell>
        </row>
        <row r="36392">
          <cell r="A36392">
            <v>43119</v>
          </cell>
        </row>
        <row r="36393">
          <cell r="A36393">
            <v>43123</v>
          </cell>
        </row>
        <row r="36394">
          <cell r="A36394">
            <v>43565</v>
          </cell>
        </row>
        <row r="36395">
          <cell r="A36395">
            <v>43501</v>
          </cell>
        </row>
        <row r="36396">
          <cell r="A36396">
            <v>43835</v>
          </cell>
        </row>
        <row r="36397">
          <cell r="A36397">
            <v>43160</v>
          </cell>
        </row>
        <row r="36398">
          <cell r="A36398">
            <v>43752</v>
          </cell>
        </row>
        <row r="36399">
          <cell r="A36399">
            <v>43405</v>
          </cell>
        </row>
        <row r="36400">
          <cell r="A36400">
            <v>43764</v>
          </cell>
        </row>
        <row r="36401">
          <cell r="A36401">
            <v>43178</v>
          </cell>
        </row>
        <row r="36402">
          <cell r="A36402">
            <v>43475</v>
          </cell>
        </row>
        <row r="36403">
          <cell r="A36403">
            <v>43183</v>
          </cell>
        </row>
        <row r="36404">
          <cell r="A36404">
            <v>43685</v>
          </cell>
        </row>
        <row r="36405">
          <cell r="A36405">
            <v>43413</v>
          </cell>
        </row>
        <row r="36406">
          <cell r="A36406">
            <v>43891</v>
          </cell>
        </row>
        <row r="36407">
          <cell r="A36407">
            <v>43674</v>
          </cell>
        </row>
        <row r="36408">
          <cell r="A36408">
            <v>43738</v>
          </cell>
        </row>
        <row r="36409">
          <cell r="A36409">
            <v>43395</v>
          </cell>
        </row>
        <row r="36410">
          <cell r="A36410">
            <v>43527</v>
          </cell>
        </row>
        <row r="36411">
          <cell r="A36411">
            <v>43572</v>
          </cell>
        </row>
        <row r="36412">
          <cell r="A36412">
            <v>43397</v>
          </cell>
        </row>
        <row r="36413">
          <cell r="A36413">
            <v>43567</v>
          </cell>
        </row>
        <row r="36414">
          <cell r="A36414">
            <v>43592</v>
          </cell>
        </row>
        <row r="36415">
          <cell r="A36415">
            <v>43432</v>
          </cell>
        </row>
        <row r="36416">
          <cell r="A36416">
            <v>43240</v>
          </cell>
        </row>
        <row r="36417">
          <cell r="A36417">
            <v>43842</v>
          </cell>
        </row>
        <row r="36418">
          <cell r="A36418">
            <v>43362</v>
          </cell>
        </row>
        <row r="36419">
          <cell r="A36419">
            <v>43690</v>
          </cell>
        </row>
        <row r="36420">
          <cell r="A36420">
            <v>43313</v>
          </cell>
        </row>
        <row r="36421">
          <cell r="A36421">
            <v>43538</v>
          </cell>
        </row>
        <row r="36422">
          <cell r="A36422">
            <v>43197</v>
          </cell>
        </row>
        <row r="36423">
          <cell r="A36423">
            <v>43796</v>
          </cell>
        </row>
        <row r="36424">
          <cell r="A36424">
            <v>43632</v>
          </cell>
        </row>
        <row r="36425">
          <cell r="A36425">
            <v>43194</v>
          </cell>
        </row>
        <row r="36426">
          <cell r="A36426">
            <v>43355</v>
          </cell>
        </row>
        <row r="36427">
          <cell r="A36427">
            <v>43832</v>
          </cell>
        </row>
        <row r="36428">
          <cell r="A36428">
            <v>43199</v>
          </cell>
        </row>
        <row r="36429">
          <cell r="A36429">
            <v>43101</v>
          </cell>
        </row>
        <row r="36430">
          <cell r="A36430">
            <v>43804</v>
          </cell>
        </row>
        <row r="36431">
          <cell r="A36431">
            <v>43739</v>
          </cell>
        </row>
        <row r="36432">
          <cell r="A36432">
            <v>43857</v>
          </cell>
        </row>
        <row r="36433">
          <cell r="A36433">
            <v>43642</v>
          </cell>
        </row>
        <row r="36434">
          <cell r="A36434">
            <v>43830</v>
          </cell>
        </row>
        <row r="36435">
          <cell r="A36435">
            <v>43298</v>
          </cell>
        </row>
        <row r="36436">
          <cell r="A36436">
            <v>43610</v>
          </cell>
        </row>
        <row r="36437">
          <cell r="A36437">
            <v>43883</v>
          </cell>
        </row>
        <row r="36438">
          <cell r="A36438">
            <v>43123</v>
          </cell>
        </row>
        <row r="36439">
          <cell r="A36439">
            <v>43115</v>
          </cell>
        </row>
        <row r="36440">
          <cell r="A36440">
            <v>43751</v>
          </cell>
        </row>
        <row r="36441">
          <cell r="A36441">
            <v>43548</v>
          </cell>
        </row>
        <row r="36442">
          <cell r="A36442">
            <v>43775</v>
          </cell>
        </row>
        <row r="36443">
          <cell r="A36443">
            <v>43656</v>
          </cell>
        </row>
        <row r="36444">
          <cell r="A36444">
            <v>43246</v>
          </cell>
        </row>
        <row r="36445">
          <cell r="A36445">
            <v>43439</v>
          </cell>
        </row>
        <row r="36446">
          <cell r="A36446">
            <v>43700</v>
          </cell>
        </row>
        <row r="36447">
          <cell r="A36447">
            <v>43526</v>
          </cell>
        </row>
        <row r="36448">
          <cell r="A36448">
            <v>43532</v>
          </cell>
        </row>
        <row r="36449">
          <cell r="A36449">
            <v>43759</v>
          </cell>
        </row>
        <row r="36450">
          <cell r="A36450">
            <v>43717</v>
          </cell>
        </row>
        <row r="36451">
          <cell r="A36451">
            <v>43709</v>
          </cell>
        </row>
        <row r="36452">
          <cell r="A36452">
            <v>43902</v>
          </cell>
        </row>
        <row r="36453">
          <cell r="A36453">
            <v>43780</v>
          </cell>
        </row>
        <row r="36454">
          <cell r="A36454">
            <v>43425</v>
          </cell>
        </row>
        <row r="36455">
          <cell r="A36455">
            <v>43183</v>
          </cell>
        </row>
        <row r="36456">
          <cell r="A36456">
            <v>43738</v>
          </cell>
        </row>
        <row r="36457">
          <cell r="A36457">
            <v>43308</v>
          </cell>
        </row>
        <row r="36458">
          <cell r="A36458">
            <v>43481</v>
          </cell>
        </row>
        <row r="36459">
          <cell r="A36459">
            <v>43170</v>
          </cell>
        </row>
        <row r="36460">
          <cell r="A36460">
            <v>43688</v>
          </cell>
        </row>
        <row r="36461">
          <cell r="A36461">
            <v>43373</v>
          </cell>
        </row>
        <row r="36462">
          <cell r="A36462">
            <v>43256</v>
          </cell>
        </row>
        <row r="36463">
          <cell r="A36463">
            <v>43911</v>
          </cell>
        </row>
        <row r="36464">
          <cell r="A36464">
            <v>43718</v>
          </cell>
        </row>
        <row r="36465">
          <cell r="A36465">
            <v>43868</v>
          </cell>
        </row>
        <row r="36466">
          <cell r="A36466">
            <v>43388</v>
          </cell>
        </row>
        <row r="36467">
          <cell r="A36467">
            <v>43919</v>
          </cell>
        </row>
        <row r="36468">
          <cell r="A36468">
            <v>43583</v>
          </cell>
        </row>
        <row r="36469">
          <cell r="A36469">
            <v>43636</v>
          </cell>
        </row>
        <row r="36470">
          <cell r="A36470">
            <v>43369</v>
          </cell>
        </row>
        <row r="36471">
          <cell r="A36471">
            <v>43451</v>
          </cell>
        </row>
        <row r="36472">
          <cell r="A36472">
            <v>43196</v>
          </cell>
        </row>
        <row r="36473">
          <cell r="A36473">
            <v>43545</v>
          </cell>
        </row>
        <row r="36474">
          <cell r="A36474">
            <v>43112</v>
          </cell>
        </row>
        <row r="36475">
          <cell r="A36475">
            <v>43528</v>
          </cell>
        </row>
        <row r="36476">
          <cell r="A36476">
            <v>43221</v>
          </cell>
        </row>
        <row r="36477">
          <cell r="A36477">
            <v>43472</v>
          </cell>
        </row>
        <row r="36478">
          <cell r="A36478">
            <v>43239</v>
          </cell>
        </row>
        <row r="36479">
          <cell r="A36479">
            <v>43591</v>
          </cell>
        </row>
        <row r="36480">
          <cell r="A36480">
            <v>43383</v>
          </cell>
        </row>
        <row r="36481">
          <cell r="A36481">
            <v>43554</v>
          </cell>
        </row>
        <row r="36482">
          <cell r="A36482">
            <v>43195</v>
          </cell>
        </row>
        <row r="36483">
          <cell r="A36483">
            <v>43421</v>
          </cell>
        </row>
        <row r="36484">
          <cell r="A36484">
            <v>43847</v>
          </cell>
        </row>
        <row r="36485">
          <cell r="A36485">
            <v>43759</v>
          </cell>
        </row>
        <row r="36486">
          <cell r="A36486">
            <v>43120</v>
          </cell>
        </row>
        <row r="36487">
          <cell r="A36487">
            <v>43190</v>
          </cell>
        </row>
        <row r="36488">
          <cell r="A36488">
            <v>43218</v>
          </cell>
        </row>
        <row r="36489">
          <cell r="A36489">
            <v>43130</v>
          </cell>
        </row>
        <row r="36490">
          <cell r="A36490">
            <v>43597</v>
          </cell>
        </row>
        <row r="36491">
          <cell r="A36491">
            <v>43384</v>
          </cell>
        </row>
        <row r="36492">
          <cell r="A36492">
            <v>43636</v>
          </cell>
        </row>
        <row r="36493">
          <cell r="A36493">
            <v>43450</v>
          </cell>
        </row>
        <row r="36494">
          <cell r="A36494">
            <v>43325</v>
          </cell>
        </row>
        <row r="36495">
          <cell r="A36495">
            <v>43613</v>
          </cell>
        </row>
        <row r="36496">
          <cell r="A36496">
            <v>43277</v>
          </cell>
        </row>
        <row r="36497">
          <cell r="A36497">
            <v>43577</v>
          </cell>
        </row>
        <row r="36498">
          <cell r="A36498">
            <v>43401</v>
          </cell>
        </row>
        <row r="36499">
          <cell r="A36499">
            <v>43793</v>
          </cell>
        </row>
        <row r="36500">
          <cell r="A36500">
            <v>43119</v>
          </cell>
        </row>
        <row r="36501">
          <cell r="A36501">
            <v>43318</v>
          </cell>
        </row>
        <row r="36502">
          <cell r="A36502">
            <v>43677</v>
          </cell>
        </row>
        <row r="36503">
          <cell r="A36503">
            <v>43767</v>
          </cell>
        </row>
        <row r="36504">
          <cell r="A36504">
            <v>43157</v>
          </cell>
        </row>
        <row r="36505">
          <cell r="A36505">
            <v>43854</v>
          </cell>
        </row>
        <row r="36506">
          <cell r="A36506">
            <v>43363</v>
          </cell>
        </row>
        <row r="36507">
          <cell r="A36507">
            <v>43848</v>
          </cell>
        </row>
        <row r="36508">
          <cell r="A36508">
            <v>43902</v>
          </cell>
        </row>
        <row r="36509">
          <cell r="A36509">
            <v>43756</v>
          </cell>
        </row>
        <row r="36510">
          <cell r="A36510">
            <v>43112</v>
          </cell>
        </row>
        <row r="36511">
          <cell r="A36511">
            <v>43571</v>
          </cell>
        </row>
        <row r="36512">
          <cell r="A36512">
            <v>43182</v>
          </cell>
        </row>
        <row r="36513">
          <cell r="A36513">
            <v>43879</v>
          </cell>
        </row>
        <row r="36514">
          <cell r="A36514">
            <v>43165</v>
          </cell>
        </row>
        <row r="36515">
          <cell r="A36515">
            <v>43753</v>
          </cell>
        </row>
        <row r="36516">
          <cell r="A36516">
            <v>43277</v>
          </cell>
        </row>
        <row r="36517">
          <cell r="A36517">
            <v>43367</v>
          </cell>
        </row>
        <row r="36518">
          <cell r="A36518">
            <v>43175</v>
          </cell>
        </row>
        <row r="36519">
          <cell r="A36519">
            <v>43387</v>
          </cell>
        </row>
        <row r="36520">
          <cell r="A36520">
            <v>43852</v>
          </cell>
        </row>
        <row r="36521">
          <cell r="A36521">
            <v>43730</v>
          </cell>
        </row>
        <row r="36522">
          <cell r="A36522">
            <v>43137</v>
          </cell>
        </row>
        <row r="36523">
          <cell r="A36523">
            <v>43516</v>
          </cell>
        </row>
        <row r="36524">
          <cell r="A36524">
            <v>43783</v>
          </cell>
        </row>
        <row r="36525">
          <cell r="A36525">
            <v>43524</v>
          </cell>
        </row>
        <row r="36526">
          <cell r="A36526">
            <v>43210</v>
          </cell>
        </row>
        <row r="36527">
          <cell r="A36527">
            <v>43192</v>
          </cell>
        </row>
        <row r="36528">
          <cell r="A36528">
            <v>43515</v>
          </cell>
        </row>
        <row r="36529">
          <cell r="A36529">
            <v>43439</v>
          </cell>
        </row>
        <row r="36530">
          <cell r="A36530">
            <v>43342</v>
          </cell>
        </row>
        <row r="36531">
          <cell r="A36531">
            <v>43660</v>
          </cell>
        </row>
        <row r="36532">
          <cell r="A36532">
            <v>43661</v>
          </cell>
        </row>
        <row r="36533">
          <cell r="A36533">
            <v>43472</v>
          </cell>
        </row>
        <row r="36534">
          <cell r="A36534">
            <v>43192</v>
          </cell>
        </row>
        <row r="36535">
          <cell r="A36535">
            <v>43353</v>
          </cell>
        </row>
        <row r="36536">
          <cell r="A36536">
            <v>43720</v>
          </cell>
        </row>
        <row r="36537">
          <cell r="A36537">
            <v>43600</v>
          </cell>
        </row>
        <row r="36538">
          <cell r="A36538">
            <v>43774</v>
          </cell>
        </row>
        <row r="36539">
          <cell r="A36539">
            <v>43432</v>
          </cell>
        </row>
        <row r="36540">
          <cell r="A36540">
            <v>43815</v>
          </cell>
        </row>
        <row r="36541">
          <cell r="A36541">
            <v>43781</v>
          </cell>
        </row>
        <row r="36542">
          <cell r="A36542">
            <v>43260</v>
          </cell>
        </row>
        <row r="36543">
          <cell r="A36543">
            <v>43858</v>
          </cell>
        </row>
        <row r="36544">
          <cell r="A36544">
            <v>43264</v>
          </cell>
        </row>
        <row r="36545">
          <cell r="A36545">
            <v>43804</v>
          </cell>
        </row>
        <row r="36546">
          <cell r="A36546">
            <v>43433</v>
          </cell>
        </row>
        <row r="36547">
          <cell r="A36547">
            <v>43358</v>
          </cell>
        </row>
        <row r="36548">
          <cell r="A36548">
            <v>43547</v>
          </cell>
        </row>
        <row r="36549">
          <cell r="A36549">
            <v>43216</v>
          </cell>
        </row>
        <row r="36550">
          <cell r="A36550">
            <v>43413</v>
          </cell>
        </row>
        <row r="36551">
          <cell r="A36551">
            <v>43896</v>
          </cell>
        </row>
        <row r="36552">
          <cell r="A36552">
            <v>43364</v>
          </cell>
        </row>
        <row r="36553">
          <cell r="A36553">
            <v>43281</v>
          </cell>
        </row>
        <row r="36554">
          <cell r="A36554">
            <v>43918</v>
          </cell>
        </row>
        <row r="36555">
          <cell r="A36555">
            <v>43375</v>
          </cell>
        </row>
        <row r="36556">
          <cell r="A36556">
            <v>43724</v>
          </cell>
        </row>
        <row r="36557">
          <cell r="A36557">
            <v>43765</v>
          </cell>
        </row>
        <row r="36558">
          <cell r="A36558">
            <v>43783</v>
          </cell>
        </row>
        <row r="36559">
          <cell r="A36559">
            <v>43284</v>
          </cell>
        </row>
        <row r="36560">
          <cell r="A36560">
            <v>43316</v>
          </cell>
        </row>
        <row r="36561">
          <cell r="A36561">
            <v>43352</v>
          </cell>
        </row>
        <row r="36562">
          <cell r="A36562">
            <v>43728</v>
          </cell>
        </row>
        <row r="36563">
          <cell r="A36563">
            <v>43693</v>
          </cell>
        </row>
        <row r="36564">
          <cell r="A36564">
            <v>43565</v>
          </cell>
        </row>
        <row r="36565">
          <cell r="A36565">
            <v>43848</v>
          </cell>
        </row>
        <row r="36566">
          <cell r="A36566">
            <v>43428</v>
          </cell>
        </row>
        <row r="36567">
          <cell r="A36567">
            <v>43526</v>
          </cell>
        </row>
        <row r="36568">
          <cell r="A36568">
            <v>43756</v>
          </cell>
        </row>
        <row r="36569">
          <cell r="A36569">
            <v>43709</v>
          </cell>
        </row>
        <row r="36570">
          <cell r="A36570">
            <v>43309</v>
          </cell>
        </row>
        <row r="36571">
          <cell r="A36571">
            <v>43441</v>
          </cell>
        </row>
        <row r="36572">
          <cell r="A36572">
            <v>43468</v>
          </cell>
        </row>
        <row r="36573">
          <cell r="A36573">
            <v>43550</v>
          </cell>
        </row>
        <row r="36574">
          <cell r="A36574">
            <v>43242</v>
          </cell>
        </row>
        <row r="36575">
          <cell r="A36575">
            <v>43748</v>
          </cell>
        </row>
        <row r="36576">
          <cell r="A36576">
            <v>43618</v>
          </cell>
        </row>
        <row r="36577">
          <cell r="A36577">
            <v>43281</v>
          </cell>
        </row>
        <row r="36578">
          <cell r="A36578">
            <v>43771</v>
          </cell>
        </row>
        <row r="36579">
          <cell r="A36579">
            <v>43789</v>
          </cell>
        </row>
        <row r="36580">
          <cell r="A36580">
            <v>43146</v>
          </cell>
        </row>
        <row r="36581">
          <cell r="A36581">
            <v>43475</v>
          </cell>
        </row>
        <row r="36582">
          <cell r="A36582">
            <v>43115</v>
          </cell>
        </row>
        <row r="36583">
          <cell r="A36583">
            <v>43144</v>
          </cell>
        </row>
        <row r="36584">
          <cell r="A36584">
            <v>43126</v>
          </cell>
        </row>
        <row r="36585">
          <cell r="A36585">
            <v>43911</v>
          </cell>
        </row>
        <row r="36586">
          <cell r="A36586">
            <v>43394</v>
          </cell>
        </row>
        <row r="36587">
          <cell r="A36587">
            <v>43183</v>
          </cell>
        </row>
        <row r="36588">
          <cell r="A36588">
            <v>43461</v>
          </cell>
        </row>
        <row r="36589">
          <cell r="A36589">
            <v>43164</v>
          </cell>
        </row>
        <row r="36590">
          <cell r="A36590">
            <v>43790</v>
          </cell>
        </row>
        <row r="36591">
          <cell r="A36591">
            <v>43166</v>
          </cell>
        </row>
        <row r="36592">
          <cell r="A36592">
            <v>43608</v>
          </cell>
        </row>
        <row r="36593">
          <cell r="A36593">
            <v>43403</v>
          </cell>
        </row>
        <row r="36594">
          <cell r="A36594">
            <v>43581</v>
          </cell>
        </row>
        <row r="36595">
          <cell r="A36595">
            <v>43565</v>
          </cell>
        </row>
        <row r="36596">
          <cell r="A36596">
            <v>43557</v>
          </cell>
        </row>
        <row r="36597">
          <cell r="A36597">
            <v>43474</v>
          </cell>
        </row>
        <row r="36598">
          <cell r="A36598">
            <v>43688</v>
          </cell>
        </row>
        <row r="36599">
          <cell r="A36599">
            <v>43654</v>
          </cell>
        </row>
        <row r="36600">
          <cell r="A36600">
            <v>43654</v>
          </cell>
        </row>
        <row r="36601">
          <cell r="A36601">
            <v>43844</v>
          </cell>
        </row>
        <row r="36602">
          <cell r="A36602">
            <v>43555</v>
          </cell>
        </row>
        <row r="36603">
          <cell r="A36603">
            <v>43394</v>
          </cell>
        </row>
        <row r="36604">
          <cell r="A36604">
            <v>43694</v>
          </cell>
        </row>
        <row r="36605">
          <cell r="A36605">
            <v>43343</v>
          </cell>
        </row>
        <row r="36606">
          <cell r="A36606">
            <v>43714</v>
          </cell>
        </row>
        <row r="36607">
          <cell r="A36607">
            <v>43862</v>
          </cell>
        </row>
        <row r="36608">
          <cell r="A36608">
            <v>43499</v>
          </cell>
        </row>
        <row r="36609">
          <cell r="A36609">
            <v>43376</v>
          </cell>
        </row>
        <row r="36610">
          <cell r="A36610">
            <v>43758</v>
          </cell>
        </row>
        <row r="36611">
          <cell r="A36611">
            <v>43536</v>
          </cell>
        </row>
        <row r="36612">
          <cell r="A36612">
            <v>43918</v>
          </cell>
        </row>
        <row r="36613">
          <cell r="A36613">
            <v>43269</v>
          </cell>
        </row>
        <row r="36614">
          <cell r="A36614">
            <v>43409</v>
          </cell>
        </row>
        <row r="36615">
          <cell r="A36615">
            <v>43457</v>
          </cell>
        </row>
        <row r="36616">
          <cell r="A36616">
            <v>43778</v>
          </cell>
        </row>
        <row r="36617">
          <cell r="A36617">
            <v>43462</v>
          </cell>
        </row>
        <row r="36618">
          <cell r="A36618">
            <v>43866</v>
          </cell>
        </row>
        <row r="36619">
          <cell r="A36619">
            <v>43776</v>
          </cell>
        </row>
        <row r="36620">
          <cell r="A36620">
            <v>43386</v>
          </cell>
        </row>
        <row r="36621">
          <cell r="A36621">
            <v>43237</v>
          </cell>
        </row>
        <row r="36622">
          <cell r="A36622">
            <v>43551</v>
          </cell>
        </row>
        <row r="36623">
          <cell r="A36623">
            <v>43683</v>
          </cell>
        </row>
        <row r="36624">
          <cell r="A36624">
            <v>43343</v>
          </cell>
        </row>
        <row r="36625">
          <cell r="A36625">
            <v>43327</v>
          </cell>
        </row>
        <row r="36626">
          <cell r="A36626">
            <v>43411</v>
          </cell>
        </row>
        <row r="36627">
          <cell r="A36627">
            <v>43133</v>
          </cell>
        </row>
        <row r="36628">
          <cell r="A36628">
            <v>43516</v>
          </cell>
        </row>
        <row r="36629">
          <cell r="A36629">
            <v>43380</v>
          </cell>
        </row>
        <row r="36630">
          <cell r="A36630">
            <v>43862</v>
          </cell>
        </row>
        <row r="36631">
          <cell r="A36631">
            <v>43788</v>
          </cell>
        </row>
        <row r="36632">
          <cell r="A36632">
            <v>43597</v>
          </cell>
        </row>
        <row r="36633">
          <cell r="A36633">
            <v>43692</v>
          </cell>
        </row>
        <row r="36634">
          <cell r="A36634">
            <v>43750</v>
          </cell>
        </row>
        <row r="36635">
          <cell r="A36635">
            <v>43179</v>
          </cell>
        </row>
        <row r="36636">
          <cell r="A36636">
            <v>43857</v>
          </cell>
        </row>
        <row r="36637">
          <cell r="A36637">
            <v>43250</v>
          </cell>
        </row>
        <row r="36638">
          <cell r="A36638">
            <v>43252</v>
          </cell>
        </row>
        <row r="36639">
          <cell r="A36639">
            <v>43393</v>
          </cell>
        </row>
        <row r="36640">
          <cell r="A36640">
            <v>43528</v>
          </cell>
        </row>
        <row r="36641">
          <cell r="A36641">
            <v>43535</v>
          </cell>
        </row>
        <row r="36642">
          <cell r="A36642">
            <v>43340</v>
          </cell>
        </row>
        <row r="36643">
          <cell r="A36643">
            <v>43739</v>
          </cell>
        </row>
        <row r="36644">
          <cell r="A36644">
            <v>43886</v>
          </cell>
        </row>
        <row r="36645">
          <cell r="A36645">
            <v>43421</v>
          </cell>
        </row>
        <row r="36646">
          <cell r="A36646">
            <v>43131</v>
          </cell>
        </row>
        <row r="36647">
          <cell r="A36647">
            <v>43833</v>
          </cell>
        </row>
        <row r="36648">
          <cell r="A36648">
            <v>43898</v>
          </cell>
        </row>
        <row r="36649">
          <cell r="A36649">
            <v>43465</v>
          </cell>
        </row>
        <row r="36650">
          <cell r="A36650">
            <v>43185</v>
          </cell>
        </row>
        <row r="36651">
          <cell r="A36651">
            <v>43655</v>
          </cell>
        </row>
        <row r="36652">
          <cell r="A36652">
            <v>43410</v>
          </cell>
        </row>
        <row r="36653">
          <cell r="A36653">
            <v>43541</v>
          </cell>
        </row>
        <row r="36654">
          <cell r="A36654">
            <v>43243</v>
          </cell>
        </row>
        <row r="36655">
          <cell r="A36655">
            <v>43214</v>
          </cell>
        </row>
        <row r="36656">
          <cell r="A36656">
            <v>43303</v>
          </cell>
        </row>
        <row r="36657">
          <cell r="A36657">
            <v>43497</v>
          </cell>
        </row>
        <row r="36658">
          <cell r="A36658">
            <v>43565</v>
          </cell>
        </row>
        <row r="36659">
          <cell r="A36659">
            <v>43391</v>
          </cell>
        </row>
        <row r="36660">
          <cell r="A36660">
            <v>43281</v>
          </cell>
        </row>
        <row r="36661">
          <cell r="A36661">
            <v>43782</v>
          </cell>
        </row>
        <row r="36662">
          <cell r="A36662">
            <v>43211</v>
          </cell>
        </row>
        <row r="36663">
          <cell r="A36663">
            <v>43188</v>
          </cell>
        </row>
        <row r="36664">
          <cell r="A36664">
            <v>43700</v>
          </cell>
        </row>
        <row r="36665">
          <cell r="A36665">
            <v>43258</v>
          </cell>
        </row>
        <row r="36666">
          <cell r="A36666">
            <v>43240</v>
          </cell>
        </row>
        <row r="36667">
          <cell r="A36667">
            <v>43167</v>
          </cell>
        </row>
        <row r="36668">
          <cell r="A36668">
            <v>43316</v>
          </cell>
        </row>
        <row r="36669">
          <cell r="A36669">
            <v>43915</v>
          </cell>
        </row>
        <row r="36670">
          <cell r="A36670">
            <v>43545</v>
          </cell>
        </row>
        <row r="36671">
          <cell r="A36671">
            <v>43292</v>
          </cell>
        </row>
        <row r="36672">
          <cell r="A36672">
            <v>43596</v>
          </cell>
        </row>
        <row r="36673">
          <cell r="A36673">
            <v>43404</v>
          </cell>
        </row>
        <row r="36674">
          <cell r="A36674">
            <v>43347</v>
          </cell>
        </row>
        <row r="36675">
          <cell r="A36675">
            <v>43907</v>
          </cell>
        </row>
        <row r="36676">
          <cell r="A36676">
            <v>43393</v>
          </cell>
        </row>
        <row r="36677">
          <cell r="A36677">
            <v>43163</v>
          </cell>
        </row>
        <row r="36678">
          <cell r="A36678">
            <v>43900</v>
          </cell>
        </row>
        <row r="36679">
          <cell r="A36679">
            <v>43129</v>
          </cell>
        </row>
        <row r="36680">
          <cell r="A36680">
            <v>43631</v>
          </cell>
        </row>
        <row r="36681">
          <cell r="A36681">
            <v>43539</v>
          </cell>
        </row>
        <row r="36682">
          <cell r="A36682">
            <v>43734</v>
          </cell>
        </row>
        <row r="36683">
          <cell r="A36683">
            <v>43248</v>
          </cell>
        </row>
        <row r="36684">
          <cell r="A36684">
            <v>43754</v>
          </cell>
        </row>
        <row r="36685">
          <cell r="A36685">
            <v>43336</v>
          </cell>
        </row>
        <row r="36686">
          <cell r="A36686">
            <v>43916</v>
          </cell>
        </row>
        <row r="36687">
          <cell r="A36687">
            <v>43814</v>
          </cell>
        </row>
        <row r="36688">
          <cell r="A36688">
            <v>43447</v>
          </cell>
        </row>
        <row r="36689">
          <cell r="A36689">
            <v>43571</v>
          </cell>
        </row>
        <row r="36690">
          <cell r="A36690">
            <v>43866</v>
          </cell>
        </row>
        <row r="36691">
          <cell r="A36691">
            <v>43185</v>
          </cell>
        </row>
        <row r="36692">
          <cell r="A36692">
            <v>43726</v>
          </cell>
        </row>
        <row r="36693">
          <cell r="A36693">
            <v>43293</v>
          </cell>
        </row>
        <row r="36694">
          <cell r="A36694">
            <v>43757</v>
          </cell>
        </row>
        <row r="36695">
          <cell r="A36695">
            <v>43626</v>
          </cell>
        </row>
        <row r="36696">
          <cell r="A36696">
            <v>43705</v>
          </cell>
        </row>
        <row r="36697">
          <cell r="A36697">
            <v>43569</v>
          </cell>
        </row>
        <row r="36698">
          <cell r="A36698">
            <v>43470</v>
          </cell>
        </row>
        <row r="36699">
          <cell r="A36699">
            <v>43350</v>
          </cell>
        </row>
        <row r="36700">
          <cell r="A36700">
            <v>43584</v>
          </cell>
        </row>
        <row r="36701">
          <cell r="A36701">
            <v>43233</v>
          </cell>
        </row>
        <row r="36702">
          <cell r="A36702">
            <v>43415</v>
          </cell>
        </row>
        <row r="36703">
          <cell r="A36703">
            <v>43115</v>
          </cell>
        </row>
        <row r="36704">
          <cell r="A36704">
            <v>43750</v>
          </cell>
        </row>
        <row r="36705">
          <cell r="A36705">
            <v>43252</v>
          </cell>
        </row>
        <row r="36706">
          <cell r="A36706">
            <v>43593</v>
          </cell>
        </row>
        <row r="36707">
          <cell r="A36707">
            <v>43240</v>
          </cell>
        </row>
        <row r="36708">
          <cell r="A36708">
            <v>43589</v>
          </cell>
        </row>
        <row r="36709">
          <cell r="A36709">
            <v>43437</v>
          </cell>
        </row>
        <row r="36710">
          <cell r="A36710">
            <v>43478</v>
          </cell>
        </row>
        <row r="36711">
          <cell r="A36711">
            <v>43287</v>
          </cell>
        </row>
        <row r="36712">
          <cell r="A36712">
            <v>43207</v>
          </cell>
        </row>
        <row r="36713">
          <cell r="A36713">
            <v>43156</v>
          </cell>
        </row>
        <row r="36714">
          <cell r="A36714">
            <v>43181</v>
          </cell>
        </row>
        <row r="36715">
          <cell r="A36715">
            <v>43535</v>
          </cell>
        </row>
        <row r="36716">
          <cell r="A36716">
            <v>43844</v>
          </cell>
        </row>
        <row r="36717">
          <cell r="A36717">
            <v>43868</v>
          </cell>
        </row>
        <row r="36718">
          <cell r="A36718">
            <v>43349</v>
          </cell>
        </row>
        <row r="36719">
          <cell r="A36719">
            <v>43616</v>
          </cell>
        </row>
        <row r="36720">
          <cell r="A36720">
            <v>43253</v>
          </cell>
        </row>
        <row r="36721">
          <cell r="A36721">
            <v>43745</v>
          </cell>
        </row>
        <row r="36722">
          <cell r="A36722">
            <v>43275</v>
          </cell>
        </row>
        <row r="36723">
          <cell r="A36723">
            <v>43860</v>
          </cell>
        </row>
        <row r="36724">
          <cell r="A36724">
            <v>43395</v>
          </cell>
        </row>
        <row r="36725">
          <cell r="A36725">
            <v>43572</v>
          </cell>
        </row>
        <row r="36726">
          <cell r="A36726">
            <v>43589</v>
          </cell>
        </row>
        <row r="36727">
          <cell r="A36727">
            <v>43759</v>
          </cell>
        </row>
        <row r="36728">
          <cell r="A36728">
            <v>43287</v>
          </cell>
        </row>
        <row r="36729">
          <cell r="A36729">
            <v>43437</v>
          </cell>
        </row>
        <row r="36730">
          <cell r="A36730">
            <v>43260</v>
          </cell>
        </row>
        <row r="36731">
          <cell r="A36731">
            <v>43276</v>
          </cell>
        </row>
        <row r="36732">
          <cell r="A36732">
            <v>43906</v>
          </cell>
        </row>
        <row r="36733">
          <cell r="A36733">
            <v>43678</v>
          </cell>
        </row>
        <row r="36734">
          <cell r="A36734">
            <v>43825</v>
          </cell>
        </row>
        <row r="36735">
          <cell r="A36735">
            <v>43284</v>
          </cell>
        </row>
        <row r="36736">
          <cell r="A36736">
            <v>43120</v>
          </cell>
        </row>
        <row r="36737">
          <cell r="A36737">
            <v>43120</v>
          </cell>
        </row>
        <row r="36738">
          <cell r="A36738">
            <v>43512</v>
          </cell>
        </row>
        <row r="36739">
          <cell r="A36739">
            <v>43886</v>
          </cell>
        </row>
        <row r="36740">
          <cell r="A36740">
            <v>43469</v>
          </cell>
        </row>
        <row r="36741">
          <cell r="A36741">
            <v>43871</v>
          </cell>
        </row>
        <row r="36742">
          <cell r="A36742">
            <v>43570</v>
          </cell>
        </row>
        <row r="36743">
          <cell r="A36743">
            <v>43425</v>
          </cell>
        </row>
        <row r="36744">
          <cell r="A36744">
            <v>43512</v>
          </cell>
        </row>
        <row r="36745">
          <cell r="A36745">
            <v>43665</v>
          </cell>
        </row>
        <row r="36746">
          <cell r="A36746">
            <v>43589</v>
          </cell>
        </row>
        <row r="36747">
          <cell r="A36747">
            <v>43169</v>
          </cell>
        </row>
        <row r="36748">
          <cell r="A36748">
            <v>43323</v>
          </cell>
        </row>
        <row r="36749">
          <cell r="A36749">
            <v>43553</v>
          </cell>
        </row>
        <row r="36750">
          <cell r="A36750">
            <v>43647</v>
          </cell>
        </row>
        <row r="36751">
          <cell r="A36751">
            <v>43695</v>
          </cell>
        </row>
        <row r="36752">
          <cell r="A36752">
            <v>43825</v>
          </cell>
        </row>
        <row r="36753">
          <cell r="A36753">
            <v>43282</v>
          </cell>
        </row>
        <row r="36754">
          <cell r="A36754">
            <v>43376</v>
          </cell>
        </row>
        <row r="36755">
          <cell r="A36755">
            <v>43741</v>
          </cell>
        </row>
        <row r="36756">
          <cell r="A36756">
            <v>43804</v>
          </cell>
        </row>
        <row r="36757">
          <cell r="A36757">
            <v>43304</v>
          </cell>
        </row>
        <row r="36758">
          <cell r="A36758">
            <v>43297</v>
          </cell>
        </row>
        <row r="36759">
          <cell r="A36759">
            <v>43373</v>
          </cell>
        </row>
        <row r="36760">
          <cell r="A36760">
            <v>43115</v>
          </cell>
        </row>
        <row r="36761">
          <cell r="A36761">
            <v>43478</v>
          </cell>
        </row>
        <row r="36762">
          <cell r="A36762">
            <v>43198</v>
          </cell>
        </row>
        <row r="36763">
          <cell r="A36763">
            <v>43454</v>
          </cell>
        </row>
        <row r="36764">
          <cell r="A36764">
            <v>43171</v>
          </cell>
        </row>
        <row r="36765">
          <cell r="A36765">
            <v>43536</v>
          </cell>
        </row>
        <row r="36766">
          <cell r="A36766">
            <v>43335</v>
          </cell>
        </row>
        <row r="36767">
          <cell r="A36767">
            <v>43198</v>
          </cell>
        </row>
        <row r="36768">
          <cell r="A36768">
            <v>43425</v>
          </cell>
        </row>
        <row r="36769">
          <cell r="A36769">
            <v>43256</v>
          </cell>
        </row>
        <row r="36770">
          <cell r="A36770">
            <v>43170</v>
          </cell>
        </row>
        <row r="36771">
          <cell r="A36771">
            <v>43230</v>
          </cell>
        </row>
        <row r="36772">
          <cell r="A36772">
            <v>43610</v>
          </cell>
        </row>
        <row r="36773">
          <cell r="A36773">
            <v>43357</v>
          </cell>
        </row>
        <row r="36774">
          <cell r="A36774">
            <v>43732</v>
          </cell>
        </row>
        <row r="36775">
          <cell r="A36775">
            <v>43441</v>
          </cell>
        </row>
        <row r="36776">
          <cell r="A36776">
            <v>43503</v>
          </cell>
        </row>
        <row r="36777">
          <cell r="A36777">
            <v>43575</v>
          </cell>
        </row>
        <row r="36778">
          <cell r="A36778">
            <v>43484</v>
          </cell>
        </row>
        <row r="36779">
          <cell r="A36779">
            <v>43241</v>
          </cell>
        </row>
        <row r="36780">
          <cell r="A36780">
            <v>43116</v>
          </cell>
        </row>
        <row r="36781">
          <cell r="A36781">
            <v>43644</v>
          </cell>
        </row>
        <row r="36782">
          <cell r="A36782">
            <v>43188</v>
          </cell>
        </row>
        <row r="36783">
          <cell r="A36783">
            <v>43373</v>
          </cell>
        </row>
        <row r="36784">
          <cell r="A36784">
            <v>43299</v>
          </cell>
        </row>
        <row r="36785">
          <cell r="A36785">
            <v>43108</v>
          </cell>
        </row>
        <row r="36786">
          <cell r="A36786">
            <v>43489</v>
          </cell>
        </row>
        <row r="36787">
          <cell r="A36787">
            <v>43134</v>
          </cell>
        </row>
        <row r="36788">
          <cell r="A36788">
            <v>43114</v>
          </cell>
        </row>
        <row r="36789">
          <cell r="A36789">
            <v>43917</v>
          </cell>
        </row>
        <row r="36790">
          <cell r="A36790">
            <v>43689</v>
          </cell>
        </row>
        <row r="36791">
          <cell r="A36791">
            <v>43113</v>
          </cell>
        </row>
        <row r="36792">
          <cell r="A36792">
            <v>43570</v>
          </cell>
        </row>
        <row r="36793">
          <cell r="A36793">
            <v>43187</v>
          </cell>
        </row>
        <row r="36794">
          <cell r="A36794">
            <v>43537</v>
          </cell>
        </row>
        <row r="36795">
          <cell r="A36795">
            <v>43419</v>
          </cell>
        </row>
        <row r="36796">
          <cell r="A36796">
            <v>43605</v>
          </cell>
        </row>
        <row r="36797">
          <cell r="A36797">
            <v>43306</v>
          </cell>
        </row>
        <row r="36798">
          <cell r="A36798">
            <v>43620</v>
          </cell>
        </row>
        <row r="36799">
          <cell r="A36799">
            <v>43150</v>
          </cell>
        </row>
        <row r="36800">
          <cell r="A36800">
            <v>43702</v>
          </cell>
        </row>
        <row r="36801">
          <cell r="A36801">
            <v>43374</v>
          </cell>
        </row>
        <row r="36802">
          <cell r="A36802">
            <v>43768</v>
          </cell>
        </row>
        <row r="36803">
          <cell r="A36803">
            <v>43645</v>
          </cell>
        </row>
        <row r="36804">
          <cell r="A36804">
            <v>43569</v>
          </cell>
        </row>
        <row r="36805">
          <cell r="A36805">
            <v>43624</v>
          </cell>
        </row>
        <row r="36806">
          <cell r="A36806">
            <v>43267</v>
          </cell>
        </row>
        <row r="36807">
          <cell r="A36807">
            <v>43706</v>
          </cell>
        </row>
        <row r="36808">
          <cell r="A36808">
            <v>43338</v>
          </cell>
        </row>
        <row r="36809">
          <cell r="A36809">
            <v>43217</v>
          </cell>
        </row>
        <row r="36810">
          <cell r="A36810">
            <v>43604</v>
          </cell>
        </row>
        <row r="36811">
          <cell r="A36811">
            <v>43486</v>
          </cell>
        </row>
        <row r="36812">
          <cell r="A36812">
            <v>43423</v>
          </cell>
        </row>
        <row r="36813">
          <cell r="A36813">
            <v>43425</v>
          </cell>
        </row>
        <row r="36814">
          <cell r="A36814">
            <v>43469</v>
          </cell>
        </row>
        <row r="36815">
          <cell r="A36815">
            <v>43860</v>
          </cell>
        </row>
        <row r="36816">
          <cell r="A36816">
            <v>43745</v>
          </cell>
        </row>
        <row r="36817">
          <cell r="A36817">
            <v>43480</v>
          </cell>
        </row>
        <row r="36818">
          <cell r="A36818">
            <v>43760</v>
          </cell>
        </row>
        <row r="36819">
          <cell r="A36819">
            <v>43348</v>
          </cell>
        </row>
        <row r="36820">
          <cell r="A36820">
            <v>43808</v>
          </cell>
        </row>
        <row r="36821">
          <cell r="A36821">
            <v>43829</v>
          </cell>
        </row>
        <row r="36822">
          <cell r="A36822">
            <v>43176</v>
          </cell>
        </row>
        <row r="36823">
          <cell r="A36823">
            <v>43852</v>
          </cell>
        </row>
        <row r="36824">
          <cell r="A36824">
            <v>43181</v>
          </cell>
        </row>
        <row r="36825">
          <cell r="A36825">
            <v>43772</v>
          </cell>
        </row>
        <row r="36826">
          <cell r="A36826">
            <v>43720</v>
          </cell>
        </row>
        <row r="36827">
          <cell r="A36827">
            <v>43283</v>
          </cell>
        </row>
        <row r="36828">
          <cell r="A36828">
            <v>43331</v>
          </cell>
        </row>
        <row r="36829">
          <cell r="A36829">
            <v>43633</v>
          </cell>
        </row>
        <row r="36830">
          <cell r="A36830">
            <v>43472</v>
          </cell>
        </row>
        <row r="36831">
          <cell r="A36831">
            <v>43185</v>
          </cell>
        </row>
        <row r="36832">
          <cell r="A36832">
            <v>43829</v>
          </cell>
        </row>
        <row r="36833">
          <cell r="A36833">
            <v>43732</v>
          </cell>
        </row>
        <row r="36834">
          <cell r="A36834">
            <v>43571</v>
          </cell>
        </row>
        <row r="36835">
          <cell r="A36835">
            <v>43101</v>
          </cell>
        </row>
        <row r="36836">
          <cell r="A36836">
            <v>43897</v>
          </cell>
        </row>
        <row r="36837">
          <cell r="A36837">
            <v>43760</v>
          </cell>
        </row>
        <row r="36838">
          <cell r="A36838">
            <v>43164</v>
          </cell>
        </row>
        <row r="36839">
          <cell r="A36839">
            <v>43648</v>
          </cell>
        </row>
        <row r="36840">
          <cell r="A36840">
            <v>43790</v>
          </cell>
        </row>
        <row r="36841">
          <cell r="A36841">
            <v>43855</v>
          </cell>
        </row>
        <row r="36842">
          <cell r="A36842">
            <v>43384</v>
          </cell>
        </row>
        <row r="36843">
          <cell r="A36843">
            <v>43445</v>
          </cell>
        </row>
        <row r="36844">
          <cell r="A36844">
            <v>43792</v>
          </cell>
        </row>
        <row r="36845">
          <cell r="A36845">
            <v>43473</v>
          </cell>
        </row>
        <row r="36846">
          <cell r="A36846">
            <v>43815</v>
          </cell>
        </row>
        <row r="36847">
          <cell r="A36847">
            <v>43224</v>
          </cell>
        </row>
        <row r="36848">
          <cell r="A36848">
            <v>43447</v>
          </cell>
        </row>
        <row r="36849">
          <cell r="A36849">
            <v>43573</v>
          </cell>
        </row>
        <row r="36850">
          <cell r="A36850">
            <v>43873</v>
          </cell>
        </row>
        <row r="36851">
          <cell r="A36851">
            <v>43565</v>
          </cell>
        </row>
        <row r="36852">
          <cell r="A36852">
            <v>43185</v>
          </cell>
        </row>
        <row r="36853">
          <cell r="A36853">
            <v>43518</v>
          </cell>
        </row>
        <row r="36854">
          <cell r="A36854">
            <v>43210</v>
          </cell>
        </row>
        <row r="36855">
          <cell r="A36855">
            <v>43550</v>
          </cell>
        </row>
        <row r="36856">
          <cell r="A36856">
            <v>43708</v>
          </cell>
        </row>
        <row r="36857">
          <cell r="A36857">
            <v>43829</v>
          </cell>
        </row>
        <row r="36858">
          <cell r="A36858">
            <v>43283</v>
          </cell>
        </row>
        <row r="36859">
          <cell r="A36859">
            <v>43462</v>
          </cell>
        </row>
        <row r="36860">
          <cell r="A36860">
            <v>43705</v>
          </cell>
        </row>
        <row r="36861">
          <cell r="A36861">
            <v>43338</v>
          </cell>
        </row>
        <row r="36862">
          <cell r="A36862">
            <v>43198</v>
          </cell>
        </row>
        <row r="36863">
          <cell r="A36863">
            <v>43576</v>
          </cell>
        </row>
        <row r="36864">
          <cell r="A36864">
            <v>43459</v>
          </cell>
        </row>
        <row r="36865">
          <cell r="A36865">
            <v>43561</v>
          </cell>
        </row>
        <row r="36866">
          <cell r="A36866">
            <v>43526</v>
          </cell>
        </row>
        <row r="36867">
          <cell r="A36867">
            <v>43512</v>
          </cell>
        </row>
        <row r="36868">
          <cell r="A36868">
            <v>43126</v>
          </cell>
        </row>
        <row r="36869">
          <cell r="A36869">
            <v>43530</v>
          </cell>
        </row>
        <row r="36870">
          <cell r="A36870">
            <v>43330</v>
          </cell>
        </row>
        <row r="36871">
          <cell r="A36871">
            <v>43171</v>
          </cell>
        </row>
        <row r="36872">
          <cell r="A36872">
            <v>43261</v>
          </cell>
        </row>
        <row r="36873">
          <cell r="A36873">
            <v>43467</v>
          </cell>
        </row>
        <row r="36874">
          <cell r="A36874">
            <v>43915</v>
          </cell>
        </row>
        <row r="36875">
          <cell r="A36875">
            <v>43396</v>
          </cell>
        </row>
        <row r="36876">
          <cell r="A36876">
            <v>43787</v>
          </cell>
        </row>
        <row r="36877">
          <cell r="A36877">
            <v>43305</v>
          </cell>
        </row>
        <row r="36878">
          <cell r="A36878">
            <v>43290</v>
          </cell>
        </row>
        <row r="36879">
          <cell r="A36879">
            <v>43553</v>
          </cell>
        </row>
        <row r="36880">
          <cell r="A36880">
            <v>43383</v>
          </cell>
        </row>
        <row r="36881">
          <cell r="A36881">
            <v>43220</v>
          </cell>
        </row>
        <row r="36882">
          <cell r="A36882">
            <v>43416</v>
          </cell>
        </row>
        <row r="36883">
          <cell r="A36883">
            <v>43527</v>
          </cell>
        </row>
        <row r="36884">
          <cell r="A36884">
            <v>43598</v>
          </cell>
        </row>
        <row r="36885">
          <cell r="A36885">
            <v>43778</v>
          </cell>
        </row>
        <row r="36886">
          <cell r="A36886">
            <v>43167</v>
          </cell>
        </row>
        <row r="36887">
          <cell r="A36887">
            <v>43460</v>
          </cell>
        </row>
        <row r="36888">
          <cell r="A36888">
            <v>43523</v>
          </cell>
        </row>
        <row r="36889">
          <cell r="A36889">
            <v>43873</v>
          </cell>
        </row>
        <row r="36890">
          <cell r="A36890">
            <v>43820</v>
          </cell>
        </row>
        <row r="36891">
          <cell r="A36891">
            <v>43663</v>
          </cell>
        </row>
        <row r="36892">
          <cell r="A36892">
            <v>43525</v>
          </cell>
        </row>
        <row r="36893">
          <cell r="A36893">
            <v>43711</v>
          </cell>
        </row>
        <row r="36894">
          <cell r="A36894">
            <v>43517</v>
          </cell>
        </row>
        <row r="36895">
          <cell r="A36895">
            <v>43574</v>
          </cell>
        </row>
        <row r="36896">
          <cell r="A36896">
            <v>43169</v>
          </cell>
        </row>
        <row r="36897">
          <cell r="A36897">
            <v>43468</v>
          </cell>
        </row>
        <row r="36898">
          <cell r="A36898">
            <v>43448</v>
          </cell>
        </row>
        <row r="36899">
          <cell r="A36899">
            <v>43905</v>
          </cell>
        </row>
        <row r="36900">
          <cell r="A36900">
            <v>43882</v>
          </cell>
        </row>
        <row r="36901">
          <cell r="A36901">
            <v>43491</v>
          </cell>
        </row>
        <row r="36902">
          <cell r="A36902">
            <v>43868</v>
          </cell>
        </row>
        <row r="36903">
          <cell r="A36903">
            <v>43492</v>
          </cell>
        </row>
        <row r="36904">
          <cell r="A36904">
            <v>43506</v>
          </cell>
        </row>
        <row r="36905">
          <cell r="A36905">
            <v>43888</v>
          </cell>
        </row>
        <row r="36906">
          <cell r="A36906">
            <v>43802</v>
          </cell>
        </row>
        <row r="36907">
          <cell r="A36907">
            <v>43403</v>
          </cell>
        </row>
        <row r="36908">
          <cell r="A36908">
            <v>43119</v>
          </cell>
        </row>
        <row r="36909">
          <cell r="A36909">
            <v>43736</v>
          </cell>
        </row>
        <row r="36910">
          <cell r="A36910">
            <v>43855</v>
          </cell>
        </row>
        <row r="36911">
          <cell r="A36911">
            <v>43644</v>
          </cell>
        </row>
        <row r="36912">
          <cell r="A36912">
            <v>43788</v>
          </cell>
        </row>
        <row r="36913">
          <cell r="A36913">
            <v>43734</v>
          </cell>
        </row>
        <row r="36914">
          <cell r="A36914">
            <v>43479</v>
          </cell>
        </row>
        <row r="36915">
          <cell r="A36915">
            <v>43678</v>
          </cell>
        </row>
        <row r="36916">
          <cell r="A36916">
            <v>43204</v>
          </cell>
        </row>
        <row r="36917">
          <cell r="A36917">
            <v>43813</v>
          </cell>
        </row>
        <row r="36918">
          <cell r="A36918">
            <v>43643</v>
          </cell>
        </row>
        <row r="36919">
          <cell r="A36919">
            <v>43310</v>
          </cell>
        </row>
        <row r="36920">
          <cell r="A36920">
            <v>43733</v>
          </cell>
        </row>
        <row r="36921">
          <cell r="A36921">
            <v>43183</v>
          </cell>
        </row>
        <row r="36922">
          <cell r="A36922">
            <v>43837</v>
          </cell>
        </row>
        <row r="36923">
          <cell r="A36923">
            <v>43239</v>
          </cell>
        </row>
        <row r="36924">
          <cell r="A36924">
            <v>43264</v>
          </cell>
        </row>
        <row r="36925">
          <cell r="A36925">
            <v>43700</v>
          </cell>
        </row>
        <row r="36926">
          <cell r="A36926">
            <v>43858</v>
          </cell>
        </row>
        <row r="36927">
          <cell r="A36927">
            <v>43462</v>
          </cell>
        </row>
        <row r="36928">
          <cell r="A36928">
            <v>43148</v>
          </cell>
        </row>
        <row r="36929">
          <cell r="A36929">
            <v>43407</v>
          </cell>
        </row>
        <row r="36930">
          <cell r="A36930">
            <v>43505</v>
          </cell>
        </row>
        <row r="36931">
          <cell r="A36931">
            <v>43138</v>
          </cell>
        </row>
        <row r="36932">
          <cell r="A36932">
            <v>43688</v>
          </cell>
        </row>
        <row r="36933">
          <cell r="A36933">
            <v>43281</v>
          </cell>
        </row>
        <row r="36934">
          <cell r="A36934">
            <v>43241</v>
          </cell>
        </row>
        <row r="36935">
          <cell r="A36935">
            <v>43286</v>
          </cell>
        </row>
        <row r="36936">
          <cell r="A36936">
            <v>43584</v>
          </cell>
        </row>
        <row r="36937">
          <cell r="A36937">
            <v>43144</v>
          </cell>
        </row>
        <row r="36938">
          <cell r="A36938">
            <v>43792</v>
          </cell>
        </row>
        <row r="36939">
          <cell r="A36939">
            <v>43512</v>
          </cell>
        </row>
        <row r="36940">
          <cell r="A36940">
            <v>43760</v>
          </cell>
        </row>
        <row r="36941">
          <cell r="A36941">
            <v>43739</v>
          </cell>
        </row>
        <row r="36942">
          <cell r="A36942">
            <v>43117</v>
          </cell>
        </row>
        <row r="36943">
          <cell r="A36943">
            <v>43803</v>
          </cell>
        </row>
        <row r="36944">
          <cell r="A36944">
            <v>43734</v>
          </cell>
        </row>
        <row r="36945">
          <cell r="A36945">
            <v>43493</v>
          </cell>
        </row>
        <row r="36946">
          <cell r="A36946">
            <v>43324</v>
          </cell>
        </row>
        <row r="36947">
          <cell r="A36947">
            <v>43251</v>
          </cell>
        </row>
        <row r="36948">
          <cell r="A36948">
            <v>43717</v>
          </cell>
        </row>
        <row r="36949">
          <cell r="A36949">
            <v>43697</v>
          </cell>
        </row>
        <row r="36950">
          <cell r="A36950">
            <v>43145</v>
          </cell>
        </row>
        <row r="36951">
          <cell r="A36951">
            <v>43726</v>
          </cell>
        </row>
        <row r="36952">
          <cell r="A36952">
            <v>43186</v>
          </cell>
        </row>
        <row r="36953">
          <cell r="A36953">
            <v>43485</v>
          </cell>
        </row>
        <row r="36954">
          <cell r="A36954">
            <v>43527</v>
          </cell>
        </row>
        <row r="36955">
          <cell r="A36955">
            <v>43733</v>
          </cell>
        </row>
        <row r="36956">
          <cell r="A36956">
            <v>43349</v>
          </cell>
        </row>
        <row r="36957">
          <cell r="A36957">
            <v>43916</v>
          </cell>
        </row>
        <row r="36958">
          <cell r="A36958">
            <v>43380</v>
          </cell>
        </row>
        <row r="36959">
          <cell r="A36959">
            <v>43637</v>
          </cell>
        </row>
        <row r="36960">
          <cell r="A36960">
            <v>43636</v>
          </cell>
        </row>
        <row r="36961">
          <cell r="A36961">
            <v>43340</v>
          </cell>
        </row>
        <row r="36962">
          <cell r="A36962">
            <v>43159</v>
          </cell>
        </row>
        <row r="36963">
          <cell r="A36963">
            <v>43259</v>
          </cell>
        </row>
        <row r="36964">
          <cell r="A36964">
            <v>43601</v>
          </cell>
        </row>
        <row r="36965">
          <cell r="A36965">
            <v>43508</v>
          </cell>
        </row>
        <row r="36966">
          <cell r="A36966">
            <v>43470</v>
          </cell>
        </row>
        <row r="36967">
          <cell r="A36967">
            <v>43764</v>
          </cell>
        </row>
        <row r="36968">
          <cell r="A36968">
            <v>43343</v>
          </cell>
        </row>
        <row r="36969">
          <cell r="A36969">
            <v>43892</v>
          </cell>
        </row>
        <row r="36970">
          <cell r="A36970">
            <v>43426</v>
          </cell>
        </row>
        <row r="36971">
          <cell r="A36971">
            <v>43911</v>
          </cell>
        </row>
        <row r="36972">
          <cell r="A36972">
            <v>43636</v>
          </cell>
        </row>
        <row r="36973">
          <cell r="A36973">
            <v>43555</v>
          </cell>
        </row>
        <row r="36974">
          <cell r="A36974">
            <v>43426</v>
          </cell>
        </row>
        <row r="36975">
          <cell r="A36975">
            <v>43294</v>
          </cell>
        </row>
        <row r="36976">
          <cell r="A36976">
            <v>43479</v>
          </cell>
        </row>
        <row r="36977">
          <cell r="A36977">
            <v>43428</v>
          </cell>
        </row>
        <row r="36978">
          <cell r="A36978">
            <v>43151</v>
          </cell>
        </row>
        <row r="36979">
          <cell r="A36979">
            <v>43712</v>
          </cell>
        </row>
        <row r="36980">
          <cell r="A36980">
            <v>43900</v>
          </cell>
        </row>
        <row r="36981">
          <cell r="A36981">
            <v>43501</v>
          </cell>
        </row>
        <row r="36982">
          <cell r="A36982">
            <v>43142</v>
          </cell>
        </row>
        <row r="36983">
          <cell r="A36983">
            <v>43331</v>
          </cell>
        </row>
        <row r="36984">
          <cell r="A36984">
            <v>43543</v>
          </cell>
        </row>
        <row r="36985">
          <cell r="A36985">
            <v>43482</v>
          </cell>
        </row>
        <row r="36986">
          <cell r="A36986">
            <v>43228</v>
          </cell>
        </row>
        <row r="36987">
          <cell r="A36987">
            <v>43221</v>
          </cell>
        </row>
        <row r="36988">
          <cell r="A36988">
            <v>43582</v>
          </cell>
        </row>
        <row r="36989">
          <cell r="A36989">
            <v>43420</v>
          </cell>
        </row>
        <row r="36990">
          <cell r="A36990">
            <v>43596</v>
          </cell>
        </row>
        <row r="36991">
          <cell r="A36991">
            <v>43901</v>
          </cell>
        </row>
        <row r="36992">
          <cell r="A36992">
            <v>43421</v>
          </cell>
        </row>
        <row r="36993">
          <cell r="A36993">
            <v>43572</v>
          </cell>
        </row>
        <row r="36994">
          <cell r="A36994">
            <v>43839</v>
          </cell>
        </row>
        <row r="36995">
          <cell r="A36995">
            <v>43490</v>
          </cell>
        </row>
        <row r="36996">
          <cell r="A36996">
            <v>43849</v>
          </cell>
        </row>
        <row r="36997">
          <cell r="A36997">
            <v>43356</v>
          </cell>
        </row>
        <row r="36998">
          <cell r="A36998">
            <v>43797</v>
          </cell>
        </row>
        <row r="36999">
          <cell r="A36999">
            <v>43118</v>
          </cell>
        </row>
        <row r="37000">
          <cell r="A37000">
            <v>43235</v>
          </cell>
        </row>
        <row r="37001">
          <cell r="A37001">
            <v>43185</v>
          </cell>
        </row>
        <row r="37002">
          <cell r="A37002">
            <v>43387</v>
          </cell>
        </row>
        <row r="37003">
          <cell r="A37003">
            <v>43448</v>
          </cell>
        </row>
        <row r="37004">
          <cell r="A37004">
            <v>43861</v>
          </cell>
        </row>
        <row r="37005">
          <cell r="A37005">
            <v>43775</v>
          </cell>
        </row>
        <row r="37006">
          <cell r="A37006">
            <v>43538</v>
          </cell>
        </row>
        <row r="37007">
          <cell r="A37007">
            <v>43619</v>
          </cell>
        </row>
        <row r="37008">
          <cell r="A37008">
            <v>43820</v>
          </cell>
        </row>
        <row r="37009">
          <cell r="A37009">
            <v>43434</v>
          </cell>
        </row>
        <row r="37010">
          <cell r="A37010">
            <v>43749</v>
          </cell>
        </row>
        <row r="37011">
          <cell r="A37011">
            <v>43875</v>
          </cell>
        </row>
        <row r="37012">
          <cell r="A37012">
            <v>43573</v>
          </cell>
        </row>
        <row r="37013">
          <cell r="A37013">
            <v>43115</v>
          </cell>
        </row>
        <row r="37014">
          <cell r="A37014">
            <v>43435</v>
          </cell>
        </row>
        <row r="37015">
          <cell r="A37015">
            <v>43722</v>
          </cell>
        </row>
        <row r="37016">
          <cell r="A37016">
            <v>43220</v>
          </cell>
        </row>
        <row r="37017">
          <cell r="A37017">
            <v>43514</v>
          </cell>
        </row>
        <row r="37018">
          <cell r="A37018">
            <v>43183</v>
          </cell>
        </row>
        <row r="37019">
          <cell r="A37019">
            <v>43195</v>
          </cell>
        </row>
        <row r="37020">
          <cell r="A37020">
            <v>43766</v>
          </cell>
        </row>
        <row r="37021">
          <cell r="A37021">
            <v>43290</v>
          </cell>
        </row>
        <row r="37022">
          <cell r="A37022">
            <v>43665</v>
          </cell>
        </row>
        <row r="37023">
          <cell r="A37023">
            <v>43818</v>
          </cell>
        </row>
        <row r="37024">
          <cell r="A37024">
            <v>43157</v>
          </cell>
        </row>
        <row r="37025">
          <cell r="A37025">
            <v>43284</v>
          </cell>
        </row>
        <row r="37026">
          <cell r="A37026">
            <v>43786</v>
          </cell>
        </row>
        <row r="37027">
          <cell r="A37027">
            <v>43220</v>
          </cell>
        </row>
        <row r="37028">
          <cell r="A37028">
            <v>43665</v>
          </cell>
        </row>
        <row r="37029">
          <cell r="A37029">
            <v>43603</v>
          </cell>
        </row>
        <row r="37030">
          <cell r="A37030">
            <v>43770</v>
          </cell>
        </row>
        <row r="37031">
          <cell r="A37031">
            <v>43589</v>
          </cell>
        </row>
        <row r="37032">
          <cell r="A37032">
            <v>43238</v>
          </cell>
        </row>
        <row r="37033">
          <cell r="A37033">
            <v>43269</v>
          </cell>
        </row>
        <row r="37034">
          <cell r="A37034">
            <v>43837</v>
          </cell>
        </row>
        <row r="37035">
          <cell r="A37035">
            <v>43824</v>
          </cell>
        </row>
        <row r="37036">
          <cell r="A37036">
            <v>43322</v>
          </cell>
        </row>
        <row r="37037">
          <cell r="A37037">
            <v>43193</v>
          </cell>
        </row>
        <row r="37038">
          <cell r="A37038">
            <v>43673</v>
          </cell>
        </row>
        <row r="37039">
          <cell r="A37039">
            <v>43468</v>
          </cell>
        </row>
        <row r="37040">
          <cell r="A37040">
            <v>43332</v>
          </cell>
        </row>
        <row r="37041">
          <cell r="A37041">
            <v>43604</v>
          </cell>
        </row>
        <row r="37042">
          <cell r="A37042">
            <v>43361</v>
          </cell>
        </row>
        <row r="37043">
          <cell r="A37043">
            <v>43655</v>
          </cell>
        </row>
        <row r="37044">
          <cell r="A37044">
            <v>43163</v>
          </cell>
        </row>
        <row r="37045">
          <cell r="A37045">
            <v>43778</v>
          </cell>
        </row>
        <row r="37046">
          <cell r="A37046">
            <v>43358</v>
          </cell>
        </row>
        <row r="37047">
          <cell r="A37047">
            <v>43363</v>
          </cell>
        </row>
        <row r="37048">
          <cell r="A37048">
            <v>43721</v>
          </cell>
        </row>
        <row r="37049">
          <cell r="A37049">
            <v>43718</v>
          </cell>
        </row>
        <row r="37050">
          <cell r="A37050">
            <v>43135</v>
          </cell>
        </row>
        <row r="37051">
          <cell r="A37051">
            <v>43696</v>
          </cell>
        </row>
        <row r="37052">
          <cell r="A37052">
            <v>43186</v>
          </cell>
        </row>
        <row r="37053">
          <cell r="A37053">
            <v>43781</v>
          </cell>
        </row>
        <row r="37054">
          <cell r="A37054">
            <v>43679</v>
          </cell>
        </row>
        <row r="37055">
          <cell r="A37055">
            <v>43483</v>
          </cell>
        </row>
        <row r="37056">
          <cell r="A37056">
            <v>43251</v>
          </cell>
        </row>
        <row r="37057">
          <cell r="A37057">
            <v>43869</v>
          </cell>
        </row>
        <row r="37058">
          <cell r="A37058">
            <v>43169</v>
          </cell>
        </row>
        <row r="37059">
          <cell r="A37059">
            <v>43618</v>
          </cell>
        </row>
        <row r="37060">
          <cell r="A37060">
            <v>43810</v>
          </cell>
        </row>
        <row r="37061">
          <cell r="A37061">
            <v>43556</v>
          </cell>
        </row>
        <row r="37062">
          <cell r="A37062">
            <v>43879</v>
          </cell>
        </row>
        <row r="37063">
          <cell r="A37063">
            <v>43804</v>
          </cell>
        </row>
        <row r="37064">
          <cell r="A37064">
            <v>43104</v>
          </cell>
        </row>
        <row r="37065">
          <cell r="A37065">
            <v>43890</v>
          </cell>
        </row>
        <row r="37066">
          <cell r="A37066">
            <v>43807</v>
          </cell>
        </row>
        <row r="37067">
          <cell r="A37067">
            <v>43782</v>
          </cell>
        </row>
        <row r="37068">
          <cell r="A37068">
            <v>43266</v>
          </cell>
        </row>
        <row r="37069">
          <cell r="A37069">
            <v>43744</v>
          </cell>
        </row>
        <row r="37070">
          <cell r="A37070">
            <v>43179</v>
          </cell>
        </row>
        <row r="37071">
          <cell r="A37071">
            <v>43360</v>
          </cell>
        </row>
        <row r="37072">
          <cell r="A37072">
            <v>43882</v>
          </cell>
        </row>
        <row r="37073">
          <cell r="A37073">
            <v>43426</v>
          </cell>
        </row>
        <row r="37074">
          <cell r="A37074">
            <v>43228</v>
          </cell>
        </row>
        <row r="37075">
          <cell r="A37075">
            <v>43784</v>
          </cell>
        </row>
        <row r="37076">
          <cell r="A37076">
            <v>43140</v>
          </cell>
        </row>
        <row r="37077">
          <cell r="A37077">
            <v>43503</v>
          </cell>
        </row>
        <row r="37078">
          <cell r="A37078">
            <v>43116</v>
          </cell>
        </row>
        <row r="37079">
          <cell r="A37079">
            <v>43285</v>
          </cell>
        </row>
        <row r="37080">
          <cell r="A37080">
            <v>43883</v>
          </cell>
        </row>
        <row r="37081">
          <cell r="A37081">
            <v>43518</v>
          </cell>
        </row>
        <row r="37082">
          <cell r="A37082">
            <v>43763</v>
          </cell>
        </row>
        <row r="37083">
          <cell r="A37083">
            <v>43562</v>
          </cell>
        </row>
        <row r="37084">
          <cell r="A37084">
            <v>43796</v>
          </cell>
        </row>
        <row r="37085">
          <cell r="A37085">
            <v>43343</v>
          </cell>
        </row>
        <row r="37086">
          <cell r="A37086">
            <v>43354</v>
          </cell>
        </row>
        <row r="37087">
          <cell r="A37087">
            <v>43120</v>
          </cell>
        </row>
        <row r="37088">
          <cell r="A37088">
            <v>43408</v>
          </cell>
        </row>
        <row r="37089">
          <cell r="A37089">
            <v>43256</v>
          </cell>
        </row>
        <row r="37090">
          <cell r="A37090">
            <v>43531</v>
          </cell>
        </row>
        <row r="37091">
          <cell r="A37091">
            <v>43882</v>
          </cell>
        </row>
        <row r="37092">
          <cell r="A37092">
            <v>43703</v>
          </cell>
        </row>
        <row r="37093">
          <cell r="A37093">
            <v>43708</v>
          </cell>
        </row>
        <row r="37094">
          <cell r="A37094">
            <v>43150</v>
          </cell>
        </row>
        <row r="37095">
          <cell r="A37095">
            <v>43136</v>
          </cell>
        </row>
        <row r="37096">
          <cell r="A37096">
            <v>43275</v>
          </cell>
        </row>
        <row r="37097">
          <cell r="A37097">
            <v>43801</v>
          </cell>
        </row>
        <row r="37098">
          <cell r="A37098">
            <v>43430</v>
          </cell>
        </row>
        <row r="37099">
          <cell r="A37099">
            <v>43571</v>
          </cell>
        </row>
        <row r="37100">
          <cell r="A37100">
            <v>43270</v>
          </cell>
        </row>
        <row r="37101">
          <cell r="A37101">
            <v>43804</v>
          </cell>
        </row>
        <row r="37102">
          <cell r="A37102">
            <v>43182</v>
          </cell>
        </row>
        <row r="37103">
          <cell r="A37103">
            <v>43725</v>
          </cell>
        </row>
        <row r="37104">
          <cell r="A37104">
            <v>43681</v>
          </cell>
        </row>
        <row r="37105">
          <cell r="A37105">
            <v>43816</v>
          </cell>
        </row>
        <row r="37106">
          <cell r="A37106">
            <v>43397</v>
          </cell>
        </row>
        <row r="37107">
          <cell r="A37107">
            <v>43170</v>
          </cell>
        </row>
        <row r="37108">
          <cell r="A37108">
            <v>43266</v>
          </cell>
        </row>
        <row r="37109">
          <cell r="A37109">
            <v>43335</v>
          </cell>
        </row>
        <row r="37110">
          <cell r="A37110">
            <v>43901</v>
          </cell>
        </row>
        <row r="37111">
          <cell r="A37111">
            <v>43200</v>
          </cell>
        </row>
        <row r="37112">
          <cell r="A37112">
            <v>43325</v>
          </cell>
        </row>
        <row r="37113">
          <cell r="A37113">
            <v>43516</v>
          </cell>
        </row>
        <row r="37114">
          <cell r="A37114">
            <v>43561</v>
          </cell>
        </row>
        <row r="37115">
          <cell r="A37115">
            <v>43781</v>
          </cell>
        </row>
        <row r="37116">
          <cell r="A37116">
            <v>43124</v>
          </cell>
        </row>
        <row r="37117">
          <cell r="A37117">
            <v>43449</v>
          </cell>
        </row>
        <row r="37118">
          <cell r="A37118">
            <v>43108</v>
          </cell>
        </row>
        <row r="37119">
          <cell r="A37119">
            <v>43315</v>
          </cell>
        </row>
        <row r="37120">
          <cell r="A37120">
            <v>43409</v>
          </cell>
        </row>
        <row r="37121">
          <cell r="A37121">
            <v>43288</v>
          </cell>
        </row>
        <row r="37122">
          <cell r="A37122">
            <v>43588</v>
          </cell>
        </row>
        <row r="37123">
          <cell r="A37123">
            <v>43555</v>
          </cell>
        </row>
        <row r="37124">
          <cell r="A37124">
            <v>43252</v>
          </cell>
        </row>
        <row r="37125">
          <cell r="A37125">
            <v>43716</v>
          </cell>
        </row>
        <row r="37126">
          <cell r="A37126">
            <v>43222</v>
          </cell>
        </row>
        <row r="37127">
          <cell r="A37127">
            <v>43487</v>
          </cell>
        </row>
        <row r="37128">
          <cell r="A37128">
            <v>43662</v>
          </cell>
        </row>
        <row r="37129">
          <cell r="A37129">
            <v>43696</v>
          </cell>
        </row>
        <row r="37130">
          <cell r="A37130">
            <v>43139</v>
          </cell>
        </row>
        <row r="37131">
          <cell r="A37131">
            <v>43794</v>
          </cell>
        </row>
        <row r="37132">
          <cell r="A37132">
            <v>43594</v>
          </cell>
        </row>
        <row r="37133">
          <cell r="A37133">
            <v>43323</v>
          </cell>
        </row>
        <row r="37134">
          <cell r="A37134">
            <v>43228</v>
          </cell>
        </row>
        <row r="37135">
          <cell r="A37135">
            <v>43670</v>
          </cell>
        </row>
        <row r="37136">
          <cell r="A37136">
            <v>43918</v>
          </cell>
        </row>
        <row r="37137">
          <cell r="A37137">
            <v>43362</v>
          </cell>
        </row>
        <row r="37138">
          <cell r="A37138">
            <v>43192</v>
          </cell>
        </row>
        <row r="37139">
          <cell r="A37139">
            <v>43151</v>
          </cell>
        </row>
        <row r="37140">
          <cell r="A37140">
            <v>43493</v>
          </cell>
        </row>
        <row r="37141">
          <cell r="A37141">
            <v>43788</v>
          </cell>
        </row>
        <row r="37142">
          <cell r="A37142">
            <v>43511</v>
          </cell>
        </row>
        <row r="37143">
          <cell r="A37143">
            <v>43115</v>
          </cell>
        </row>
        <row r="37144">
          <cell r="A37144">
            <v>43620</v>
          </cell>
        </row>
        <row r="37145">
          <cell r="A37145">
            <v>43367</v>
          </cell>
        </row>
        <row r="37146">
          <cell r="A37146">
            <v>43885</v>
          </cell>
        </row>
        <row r="37147">
          <cell r="A37147">
            <v>43499</v>
          </cell>
        </row>
        <row r="37148">
          <cell r="A37148">
            <v>43430</v>
          </cell>
        </row>
        <row r="37149">
          <cell r="A37149">
            <v>43722</v>
          </cell>
        </row>
        <row r="37150">
          <cell r="A37150">
            <v>43477</v>
          </cell>
        </row>
        <row r="37151">
          <cell r="A37151">
            <v>43810</v>
          </cell>
        </row>
        <row r="37152">
          <cell r="A37152">
            <v>43654</v>
          </cell>
        </row>
        <row r="37153">
          <cell r="A37153">
            <v>43518</v>
          </cell>
        </row>
        <row r="37154">
          <cell r="A37154">
            <v>43839</v>
          </cell>
        </row>
        <row r="37155">
          <cell r="A37155">
            <v>43905</v>
          </cell>
        </row>
        <row r="37156">
          <cell r="A37156">
            <v>43791</v>
          </cell>
        </row>
        <row r="37157">
          <cell r="A37157">
            <v>43242</v>
          </cell>
        </row>
        <row r="37158">
          <cell r="A37158">
            <v>43529</v>
          </cell>
        </row>
        <row r="37159">
          <cell r="A37159">
            <v>43449</v>
          </cell>
        </row>
        <row r="37160">
          <cell r="A37160">
            <v>43419</v>
          </cell>
        </row>
        <row r="37161">
          <cell r="A37161">
            <v>43568</v>
          </cell>
        </row>
        <row r="37162">
          <cell r="A37162">
            <v>43101</v>
          </cell>
        </row>
        <row r="37163">
          <cell r="A37163">
            <v>43747</v>
          </cell>
        </row>
        <row r="37164">
          <cell r="A37164">
            <v>43880</v>
          </cell>
        </row>
        <row r="37165">
          <cell r="A37165">
            <v>43164</v>
          </cell>
        </row>
        <row r="37166">
          <cell r="A37166">
            <v>43487</v>
          </cell>
        </row>
        <row r="37167">
          <cell r="A37167">
            <v>43671</v>
          </cell>
        </row>
        <row r="37168">
          <cell r="A37168">
            <v>43404</v>
          </cell>
        </row>
        <row r="37169">
          <cell r="A37169">
            <v>43589</v>
          </cell>
        </row>
        <row r="37170">
          <cell r="A37170">
            <v>43367</v>
          </cell>
        </row>
        <row r="37171">
          <cell r="A37171">
            <v>43718</v>
          </cell>
        </row>
        <row r="37172">
          <cell r="A37172">
            <v>43270</v>
          </cell>
        </row>
        <row r="37173">
          <cell r="A37173">
            <v>43793</v>
          </cell>
        </row>
        <row r="37174">
          <cell r="A37174">
            <v>43875</v>
          </cell>
        </row>
        <row r="37175">
          <cell r="A37175">
            <v>43875</v>
          </cell>
        </row>
        <row r="37176">
          <cell r="A37176">
            <v>43689</v>
          </cell>
        </row>
        <row r="37177">
          <cell r="A37177">
            <v>43297</v>
          </cell>
        </row>
        <row r="37178">
          <cell r="A37178">
            <v>43261</v>
          </cell>
        </row>
        <row r="37179">
          <cell r="A37179">
            <v>43276</v>
          </cell>
        </row>
        <row r="37180">
          <cell r="A37180">
            <v>43888</v>
          </cell>
        </row>
        <row r="37181">
          <cell r="A37181">
            <v>43299</v>
          </cell>
        </row>
        <row r="37182">
          <cell r="A37182">
            <v>43542</v>
          </cell>
        </row>
        <row r="37183">
          <cell r="A37183">
            <v>43841</v>
          </cell>
        </row>
        <row r="37184">
          <cell r="A37184">
            <v>43176</v>
          </cell>
        </row>
        <row r="37185">
          <cell r="A37185">
            <v>43735</v>
          </cell>
        </row>
        <row r="37186">
          <cell r="A37186">
            <v>43209</v>
          </cell>
        </row>
        <row r="37187">
          <cell r="A37187">
            <v>43316</v>
          </cell>
        </row>
        <row r="37188">
          <cell r="A37188">
            <v>43795</v>
          </cell>
        </row>
        <row r="37189">
          <cell r="A37189">
            <v>43255</v>
          </cell>
        </row>
        <row r="37190">
          <cell r="A37190">
            <v>43384</v>
          </cell>
        </row>
        <row r="37191">
          <cell r="A37191">
            <v>43150</v>
          </cell>
        </row>
        <row r="37192">
          <cell r="A37192">
            <v>43168</v>
          </cell>
        </row>
        <row r="37193">
          <cell r="A37193">
            <v>43681</v>
          </cell>
        </row>
        <row r="37194">
          <cell r="A37194">
            <v>43530</v>
          </cell>
        </row>
        <row r="37195">
          <cell r="A37195">
            <v>43808</v>
          </cell>
        </row>
        <row r="37196">
          <cell r="A37196">
            <v>43721</v>
          </cell>
        </row>
        <row r="37197">
          <cell r="A37197">
            <v>43506</v>
          </cell>
        </row>
        <row r="37198">
          <cell r="A37198">
            <v>43768</v>
          </cell>
        </row>
        <row r="37199">
          <cell r="A37199">
            <v>43339</v>
          </cell>
        </row>
        <row r="37200">
          <cell r="A37200">
            <v>43282</v>
          </cell>
        </row>
        <row r="37201">
          <cell r="A37201">
            <v>43118</v>
          </cell>
        </row>
        <row r="37202">
          <cell r="A37202">
            <v>43696</v>
          </cell>
        </row>
        <row r="37203">
          <cell r="A37203">
            <v>43621</v>
          </cell>
        </row>
        <row r="37204">
          <cell r="A37204">
            <v>43333</v>
          </cell>
        </row>
        <row r="37205">
          <cell r="A37205">
            <v>43439</v>
          </cell>
        </row>
        <row r="37206">
          <cell r="A37206">
            <v>43825</v>
          </cell>
        </row>
        <row r="37207">
          <cell r="A37207">
            <v>43587</v>
          </cell>
        </row>
        <row r="37208">
          <cell r="A37208">
            <v>43258</v>
          </cell>
        </row>
        <row r="37209">
          <cell r="A37209">
            <v>43396</v>
          </cell>
        </row>
        <row r="37210">
          <cell r="A37210">
            <v>43727</v>
          </cell>
        </row>
        <row r="37211">
          <cell r="A37211">
            <v>43880</v>
          </cell>
        </row>
        <row r="37212">
          <cell r="A37212">
            <v>43258</v>
          </cell>
        </row>
        <row r="37213">
          <cell r="A37213">
            <v>43122</v>
          </cell>
        </row>
        <row r="37214">
          <cell r="A37214">
            <v>43905</v>
          </cell>
        </row>
        <row r="37215">
          <cell r="A37215">
            <v>43141</v>
          </cell>
        </row>
        <row r="37216">
          <cell r="A37216">
            <v>43886</v>
          </cell>
        </row>
        <row r="37217">
          <cell r="A37217">
            <v>43857</v>
          </cell>
        </row>
        <row r="37218">
          <cell r="A37218">
            <v>43662</v>
          </cell>
        </row>
        <row r="37219">
          <cell r="A37219">
            <v>43756</v>
          </cell>
        </row>
        <row r="37220">
          <cell r="A37220">
            <v>43860</v>
          </cell>
        </row>
        <row r="37221">
          <cell r="A37221">
            <v>43184</v>
          </cell>
        </row>
        <row r="37222">
          <cell r="A37222">
            <v>43155</v>
          </cell>
        </row>
        <row r="37223">
          <cell r="A37223">
            <v>43370</v>
          </cell>
        </row>
        <row r="37224">
          <cell r="A37224">
            <v>43517</v>
          </cell>
        </row>
        <row r="37225">
          <cell r="A37225">
            <v>43458</v>
          </cell>
        </row>
        <row r="37226">
          <cell r="A37226">
            <v>43774</v>
          </cell>
        </row>
        <row r="37227">
          <cell r="A37227">
            <v>43436</v>
          </cell>
        </row>
        <row r="37228">
          <cell r="A37228">
            <v>43593</v>
          </cell>
        </row>
        <row r="37229">
          <cell r="A37229">
            <v>43790</v>
          </cell>
        </row>
        <row r="37230">
          <cell r="A37230">
            <v>43495</v>
          </cell>
        </row>
        <row r="37231">
          <cell r="A37231">
            <v>43330</v>
          </cell>
        </row>
        <row r="37232">
          <cell r="A37232">
            <v>43422</v>
          </cell>
        </row>
        <row r="37233">
          <cell r="A37233">
            <v>43246</v>
          </cell>
        </row>
        <row r="37234">
          <cell r="A37234">
            <v>43656</v>
          </cell>
        </row>
        <row r="37235">
          <cell r="A37235">
            <v>43556</v>
          </cell>
        </row>
        <row r="37236">
          <cell r="A37236">
            <v>43251</v>
          </cell>
        </row>
        <row r="37237">
          <cell r="A37237">
            <v>43290</v>
          </cell>
        </row>
        <row r="37238">
          <cell r="A37238">
            <v>43817</v>
          </cell>
        </row>
        <row r="37239">
          <cell r="A37239">
            <v>43427</v>
          </cell>
        </row>
        <row r="37240">
          <cell r="A37240">
            <v>43824</v>
          </cell>
        </row>
        <row r="37241">
          <cell r="A37241">
            <v>43665</v>
          </cell>
        </row>
        <row r="37242">
          <cell r="A37242">
            <v>43249</v>
          </cell>
        </row>
        <row r="37243">
          <cell r="A37243">
            <v>43654</v>
          </cell>
        </row>
        <row r="37244">
          <cell r="A37244">
            <v>43833</v>
          </cell>
        </row>
        <row r="37245">
          <cell r="A37245">
            <v>43492</v>
          </cell>
        </row>
        <row r="37246">
          <cell r="A37246">
            <v>43753</v>
          </cell>
        </row>
        <row r="37247">
          <cell r="A37247">
            <v>43500</v>
          </cell>
        </row>
        <row r="37248">
          <cell r="A37248">
            <v>43743</v>
          </cell>
        </row>
        <row r="37249">
          <cell r="A37249">
            <v>43770</v>
          </cell>
        </row>
        <row r="37250">
          <cell r="A37250">
            <v>43900</v>
          </cell>
        </row>
        <row r="37251">
          <cell r="A37251">
            <v>43791</v>
          </cell>
        </row>
        <row r="37252">
          <cell r="A37252">
            <v>43585</v>
          </cell>
        </row>
        <row r="37253">
          <cell r="A37253">
            <v>43884</v>
          </cell>
        </row>
        <row r="37254">
          <cell r="A37254">
            <v>43361</v>
          </cell>
        </row>
        <row r="37255">
          <cell r="A37255">
            <v>43273</v>
          </cell>
        </row>
        <row r="37256">
          <cell r="A37256">
            <v>43185</v>
          </cell>
        </row>
        <row r="37257">
          <cell r="A37257">
            <v>43599</v>
          </cell>
        </row>
        <row r="37258">
          <cell r="A37258">
            <v>43807</v>
          </cell>
        </row>
        <row r="37259">
          <cell r="A37259">
            <v>43501</v>
          </cell>
        </row>
        <row r="37260">
          <cell r="A37260">
            <v>43657</v>
          </cell>
        </row>
        <row r="37261">
          <cell r="A37261">
            <v>43138</v>
          </cell>
        </row>
        <row r="37262">
          <cell r="A37262">
            <v>43445</v>
          </cell>
        </row>
        <row r="37263">
          <cell r="A37263">
            <v>43320</v>
          </cell>
        </row>
        <row r="37264">
          <cell r="A37264">
            <v>43675</v>
          </cell>
        </row>
        <row r="37265">
          <cell r="A37265">
            <v>43824</v>
          </cell>
        </row>
        <row r="37266">
          <cell r="A37266">
            <v>43638</v>
          </cell>
        </row>
        <row r="37267">
          <cell r="A37267">
            <v>43166</v>
          </cell>
        </row>
        <row r="37268">
          <cell r="A37268">
            <v>43644</v>
          </cell>
        </row>
        <row r="37269">
          <cell r="A37269">
            <v>43484</v>
          </cell>
        </row>
        <row r="37270">
          <cell r="A37270">
            <v>43640</v>
          </cell>
        </row>
        <row r="37271">
          <cell r="A37271">
            <v>43865</v>
          </cell>
        </row>
        <row r="37272">
          <cell r="A37272">
            <v>43597</v>
          </cell>
        </row>
        <row r="37273">
          <cell r="A37273">
            <v>43198</v>
          </cell>
        </row>
        <row r="37274">
          <cell r="A37274">
            <v>43546</v>
          </cell>
        </row>
        <row r="37275">
          <cell r="A37275">
            <v>43742</v>
          </cell>
        </row>
        <row r="37276">
          <cell r="A37276">
            <v>43358</v>
          </cell>
        </row>
        <row r="37277">
          <cell r="A37277">
            <v>43639</v>
          </cell>
        </row>
        <row r="37278">
          <cell r="A37278">
            <v>43894</v>
          </cell>
        </row>
        <row r="37279">
          <cell r="A37279">
            <v>43346</v>
          </cell>
        </row>
        <row r="37280">
          <cell r="A37280">
            <v>43450</v>
          </cell>
        </row>
        <row r="37281">
          <cell r="A37281">
            <v>43675</v>
          </cell>
        </row>
        <row r="37282">
          <cell r="A37282">
            <v>43763</v>
          </cell>
        </row>
        <row r="37283">
          <cell r="A37283">
            <v>43734</v>
          </cell>
        </row>
        <row r="37284">
          <cell r="A37284">
            <v>43691</v>
          </cell>
        </row>
        <row r="37285">
          <cell r="A37285">
            <v>43799</v>
          </cell>
        </row>
        <row r="37286">
          <cell r="A37286">
            <v>43224</v>
          </cell>
        </row>
        <row r="37287">
          <cell r="A37287">
            <v>43498</v>
          </cell>
        </row>
        <row r="37288">
          <cell r="A37288">
            <v>43782</v>
          </cell>
        </row>
        <row r="37289">
          <cell r="A37289">
            <v>43706</v>
          </cell>
        </row>
        <row r="37290">
          <cell r="A37290">
            <v>43352</v>
          </cell>
        </row>
        <row r="37291">
          <cell r="A37291">
            <v>43445</v>
          </cell>
        </row>
        <row r="37292">
          <cell r="A37292">
            <v>43810</v>
          </cell>
        </row>
        <row r="37293">
          <cell r="A37293">
            <v>43107</v>
          </cell>
        </row>
        <row r="37294">
          <cell r="A37294">
            <v>43285</v>
          </cell>
        </row>
        <row r="37295">
          <cell r="A37295">
            <v>43235</v>
          </cell>
        </row>
        <row r="37296">
          <cell r="A37296">
            <v>43690</v>
          </cell>
        </row>
        <row r="37297">
          <cell r="A37297">
            <v>43156</v>
          </cell>
        </row>
        <row r="37298">
          <cell r="A37298">
            <v>43760</v>
          </cell>
        </row>
        <row r="37299">
          <cell r="A37299">
            <v>43122</v>
          </cell>
        </row>
        <row r="37300">
          <cell r="A37300">
            <v>43353</v>
          </cell>
        </row>
        <row r="37301">
          <cell r="A37301">
            <v>43320</v>
          </cell>
        </row>
        <row r="37302">
          <cell r="A37302">
            <v>43135</v>
          </cell>
        </row>
        <row r="37303">
          <cell r="A37303">
            <v>43414</v>
          </cell>
        </row>
        <row r="37304">
          <cell r="A37304">
            <v>43624</v>
          </cell>
        </row>
        <row r="37305">
          <cell r="A37305">
            <v>43745</v>
          </cell>
        </row>
        <row r="37306">
          <cell r="A37306">
            <v>43463</v>
          </cell>
        </row>
        <row r="37307">
          <cell r="A37307">
            <v>43334</v>
          </cell>
        </row>
        <row r="37308">
          <cell r="A37308">
            <v>43783</v>
          </cell>
        </row>
        <row r="37309">
          <cell r="A37309">
            <v>43381</v>
          </cell>
        </row>
        <row r="37310">
          <cell r="A37310">
            <v>43826</v>
          </cell>
        </row>
        <row r="37311">
          <cell r="A37311">
            <v>43788</v>
          </cell>
        </row>
        <row r="37312">
          <cell r="A37312">
            <v>43920</v>
          </cell>
        </row>
        <row r="37313">
          <cell r="A37313">
            <v>43191</v>
          </cell>
        </row>
        <row r="37314">
          <cell r="A37314">
            <v>43822</v>
          </cell>
        </row>
        <row r="37315">
          <cell r="A37315">
            <v>43533</v>
          </cell>
        </row>
        <row r="37316">
          <cell r="A37316">
            <v>43440</v>
          </cell>
        </row>
        <row r="37317">
          <cell r="A37317">
            <v>43252</v>
          </cell>
        </row>
        <row r="37318">
          <cell r="A37318">
            <v>43484</v>
          </cell>
        </row>
        <row r="37319">
          <cell r="A37319">
            <v>43870</v>
          </cell>
        </row>
        <row r="37320">
          <cell r="A37320">
            <v>43693</v>
          </cell>
        </row>
        <row r="37321">
          <cell r="A37321">
            <v>43582</v>
          </cell>
        </row>
        <row r="37322">
          <cell r="A37322">
            <v>43208</v>
          </cell>
        </row>
        <row r="37323">
          <cell r="A37323">
            <v>43506</v>
          </cell>
        </row>
        <row r="37324">
          <cell r="A37324">
            <v>43689</v>
          </cell>
        </row>
        <row r="37325">
          <cell r="A37325">
            <v>43288</v>
          </cell>
        </row>
        <row r="37326">
          <cell r="A37326">
            <v>43463</v>
          </cell>
        </row>
        <row r="37327">
          <cell r="A37327">
            <v>43909</v>
          </cell>
        </row>
        <row r="37328">
          <cell r="A37328">
            <v>43842</v>
          </cell>
        </row>
        <row r="37329">
          <cell r="A37329">
            <v>43741</v>
          </cell>
        </row>
        <row r="37330">
          <cell r="A37330">
            <v>43824</v>
          </cell>
        </row>
        <row r="37331">
          <cell r="A37331">
            <v>43205</v>
          </cell>
        </row>
        <row r="37332">
          <cell r="A37332">
            <v>43906</v>
          </cell>
        </row>
        <row r="37333">
          <cell r="A37333">
            <v>43697</v>
          </cell>
        </row>
        <row r="37334">
          <cell r="A37334">
            <v>43500</v>
          </cell>
        </row>
        <row r="37335">
          <cell r="A37335">
            <v>43538</v>
          </cell>
        </row>
        <row r="37336">
          <cell r="A37336">
            <v>43523</v>
          </cell>
        </row>
        <row r="37337">
          <cell r="A37337">
            <v>43188</v>
          </cell>
        </row>
        <row r="37338">
          <cell r="A37338">
            <v>43891</v>
          </cell>
        </row>
        <row r="37339">
          <cell r="A37339">
            <v>43626</v>
          </cell>
        </row>
        <row r="37340">
          <cell r="A37340">
            <v>43293</v>
          </cell>
        </row>
        <row r="37341">
          <cell r="A37341">
            <v>43699</v>
          </cell>
        </row>
        <row r="37342">
          <cell r="A37342">
            <v>43463</v>
          </cell>
        </row>
        <row r="37343">
          <cell r="A37343">
            <v>43673</v>
          </cell>
        </row>
        <row r="37344">
          <cell r="A37344">
            <v>43397</v>
          </cell>
        </row>
        <row r="37345">
          <cell r="A37345">
            <v>43434</v>
          </cell>
        </row>
        <row r="37346">
          <cell r="A37346">
            <v>43438</v>
          </cell>
        </row>
        <row r="37347">
          <cell r="A37347">
            <v>43249</v>
          </cell>
        </row>
        <row r="37348">
          <cell r="A37348">
            <v>43560</v>
          </cell>
        </row>
        <row r="37349">
          <cell r="A37349">
            <v>43831</v>
          </cell>
        </row>
        <row r="37350">
          <cell r="A37350">
            <v>43144</v>
          </cell>
        </row>
        <row r="37351">
          <cell r="A37351">
            <v>43812</v>
          </cell>
        </row>
        <row r="37352">
          <cell r="A37352">
            <v>43104</v>
          </cell>
        </row>
        <row r="37353">
          <cell r="A37353">
            <v>43286</v>
          </cell>
        </row>
        <row r="37354">
          <cell r="A37354">
            <v>43181</v>
          </cell>
        </row>
        <row r="37355">
          <cell r="A37355">
            <v>43724</v>
          </cell>
        </row>
        <row r="37356">
          <cell r="A37356">
            <v>43845</v>
          </cell>
        </row>
        <row r="37357">
          <cell r="A37357">
            <v>43208</v>
          </cell>
        </row>
        <row r="37358">
          <cell r="A37358">
            <v>43885</v>
          </cell>
        </row>
        <row r="37359">
          <cell r="A37359">
            <v>43663</v>
          </cell>
        </row>
        <row r="37360">
          <cell r="A37360">
            <v>43374</v>
          </cell>
        </row>
        <row r="37361">
          <cell r="A37361">
            <v>43240</v>
          </cell>
        </row>
        <row r="37362">
          <cell r="A37362">
            <v>43397</v>
          </cell>
        </row>
        <row r="37363">
          <cell r="A37363">
            <v>43890</v>
          </cell>
        </row>
        <row r="37364">
          <cell r="A37364">
            <v>43255</v>
          </cell>
        </row>
        <row r="37365">
          <cell r="A37365">
            <v>43205</v>
          </cell>
        </row>
        <row r="37366">
          <cell r="A37366">
            <v>43185</v>
          </cell>
        </row>
        <row r="37367">
          <cell r="A37367">
            <v>43657</v>
          </cell>
        </row>
        <row r="37368">
          <cell r="A37368">
            <v>43259</v>
          </cell>
        </row>
        <row r="37369">
          <cell r="A37369">
            <v>43868</v>
          </cell>
        </row>
        <row r="37370">
          <cell r="A37370">
            <v>43472</v>
          </cell>
        </row>
        <row r="37371">
          <cell r="A37371">
            <v>43604</v>
          </cell>
        </row>
        <row r="37372">
          <cell r="A37372">
            <v>43252</v>
          </cell>
        </row>
        <row r="37373">
          <cell r="A37373">
            <v>43663</v>
          </cell>
        </row>
        <row r="37374">
          <cell r="A37374">
            <v>43610</v>
          </cell>
        </row>
        <row r="37375">
          <cell r="A37375">
            <v>43697</v>
          </cell>
        </row>
        <row r="37376">
          <cell r="A37376">
            <v>43703</v>
          </cell>
        </row>
        <row r="37377">
          <cell r="A37377">
            <v>43916</v>
          </cell>
        </row>
        <row r="37378">
          <cell r="A37378">
            <v>43711</v>
          </cell>
        </row>
        <row r="37379">
          <cell r="A37379">
            <v>43570</v>
          </cell>
        </row>
        <row r="37380">
          <cell r="A37380">
            <v>43400</v>
          </cell>
        </row>
        <row r="37381">
          <cell r="A37381">
            <v>43300</v>
          </cell>
        </row>
        <row r="37382">
          <cell r="A37382">
            <v>43285</v>
          </cell>
        </row>
        <row r="37383">
          <cell r="A37383">
            <v>43605</v>
          </cell>
        </row>
        <row r="37384">
          <cell r="A37384">
            <v>43142</v>
          </cell>
        </row>
        <row r="37385">
          <cell r="A37385">
            <v>43149</v>
          </cell>
        </row>
        <row r="37386">
          <cell r="A37386">
            <v>43401</v>
          </cell>
        </row>
        <row r="37387">
          <cell r="A37387">
            <v>43485</v>
          </cell>
        </row>
        <row r="37388">
          <cell r="A37388">
            <v>43131</v>
          </cell>
        </row>
        <row r="37389">
          <cell r="A37389">
            <v>43847</v>
          </cell>
        </row>
        <row r="37390">
          <cell r="A37390">
            <v>43423</v>
          </cell>
        </row>
        <row r="37391">
          <cell r="A37391">
            <v>43769</v>
          </cell>
        </row>
        <row r="37392">
          <cell r="A37392">
            <v>43541</v>
          </cell>
        </row>
        <row r="37393">
          <cell r="A37393">
            <v>43657</v>
          </cell>
        </row>
        <row r="37394">
          <cell r="A37394">
            <v>43251</v>
          </cell>
        </row>
        <row r="37395">
          <cell r="A37395">
            <v>43578</v>
          </cell>
        </row>
        <row r="37396">
          <cell r="A37396">
            <v>43255</v>
          </cell>
        </row>
        <row r="37397">
          <cell r="A37397">
            <v>43570</v>
          </cell>
        </row>
        <row r="37398">
          <cell r="A37398">
            <v>43838</v>
          </cell>
        </row>
        <row r="37399">
          <cell r="A37399">
            <v>43884</v>
          </cell>
        </row>
        <row r="37400">
          <cell r="A37400">
            <v>43573</v>
          </cell>
        </row>
        <row r="37401">
          <cell r="A37401">
            <v>43195</v>
          </cell>
        </row>
        <row r="37402">
          <cell r="A37402">
            <v>43570</v>
          </cell>
        </row>
        <row r="37403">
          <cell r="A37403">
            <v>43347</v>
          </cell>
        </row>
        <row r="37404">
          <cell r="A37404">
            <v>43182</v>
          </cell>
        </row>
        <row r="37405">
          <cell r="A37405">
            <v>43207</v>
          </cell>
        </row>
        <row r="37406">
          <cell r="A37406">
            <v>43185</v>
          </cell>
        </row>
        <row r="37407">
          <cell r="A37407">
            <v>43602</v>
          </cell>
        </row>
        <row r="37408">
          <cell r="A37408">
            <v>43739</v>
          </cell>
        </row>
        <row r="37409">
          <cell r="A37409">
            <v>43291</v>
          </cell>
        </row>
        <row r="37410">
          <cell r="A37410">
            <v>43248</v>
          </cell>
        </row>
        <row r="37411">
          <cell r="A37411">
            <v>43760</v>
          </cell>
        </row>
        <row r="37412">
          <cell r="A37412">
            <v>43339</v>
          </cell>
        </row>
        <row r="37413">
          <cell r="A37413">
            <v>43631</v>
          </cell>
        </row>
        <row r="37414">
          <cell r="A37414">
            <v>43183</v>
          </cell>
        </row>
        <row r="37415">
          <cell r="A37415">
            <v>43245</v>
          </cell>
        </row>
        <row r="37416">
          <cell r="A37416">
            <v>43739</v>
          </cell>
        </row>
        <row r="37417">
          <cell r="A37417">
            <v>43568</v>
          </cell>
        </row>
        <row r="37418">
          <cell r="A37418">
            <v>43438</v>
          </cell>
        </row>
        <row r="37419">
          <cell r="A37419">
            <v>43314</v>
          </cell>
        </row>
        <row r="37420">
          <cell r="A37420">
            <v>43182</v>
          </cell>
        </row>
        <row r="37421">
          <cell r="A37421">
            <v>43141</v>
          </cell>
        </row>
        <row r="37422">
          <cell r="A37422">
            <v>43422</v>
          </cell>
        </row>
        <row r="37423">
          <cell r="A37423">
            <v>43155</v>
          </cell>
        </row>
        <row r="37424">
          <cell r="A37424">
            <v>43673</v>
          </cell>
        </row>
        <row r="37425">
          <cell r="A37425">
            <v>43396</v>
          </cell>
        </row>
        <row r="37426">
          <cell r="A37426">
            <v>43468</v>
          </cell>
        </row>
        <row r="37427">
          <cell r="A37427">
            <v>43352</v>
          </cell>
        </row>
        <row r="37428">
          <cell r="A37428">
            <v>43734</v>
          </cell>
        </row>
        <row r="37429">
          <cell r="A37429">
            <v>43220</v>
          </cell>
        </row>
        <row r="37430">
          <cell r="A37430">
            <v>43850</v>
          </cell>
        </row>
        <row r="37431">
          <cell r="A37431">
            <v>43657</v>
          </cell>
        </row>
        <row r="37432">
          <cell r="A37432">
            <v>43425</v>
          </cell>
        </row>
        <row r="37433">
          <cell r="A37433">
            <v>43564</v>
          </cell>
        </row>
        <row r="37434">
          <cell r="A37434">
            <v>43507</v>
          </cell>
        </row>
        <row r="37435">
          <cell r="A37435">
            <v>43464</v>
          </cell>
        </row>
        <row r="37436">
          <cell r="A37436">
            <v>43612</v>
          </cell>
        </row>
        <row r="37437">
          <cell r="A37437">
            <v>43530</v>
          </cell>
        </row>
        <row r="37438">
          <cell r="A37438">
            <v>43729</v>
          </cell>
        </row>
        <row r="37439">
          <cell r="A37439">
            <v>43740</v>
          </cell>
        </row>
        <row r="37440">
          <cell r="A37440">
            <v>43546</v>
          </cell>
        </row>
        <row r="37441">
          <cell r="A37441">
            <v>43175</v>
          </cell>
        </row>
        <row r="37442">
          <cell r="A37442">
            <v>43263</v>
          </cell>
        </row>
        <row r="37443">
          <cell r="A37443">
            <v>43833</v>
          </cell>
        </row>
        <row r="37444">
          <cell r="A37444">
            <v>43320</v>
          </cell>
        </row>
        <row r="37445">
          <cell r="A37445">
            <v>43904</v>
          </cell>
        </row>
        <row r="37446">
          <cell r="A37446">
            <v>43788</v>
          </cell>
        </row>
        <row r="37447">
          <cell r="A37447">
            <v>43573</v>
          </cell>
        </row>
        <row r="37448">
          <cell r="A37448">
            <v>43604</v>
          </cell>
        </row>
        <row r="37449">
          <cell r="A37449">
            <v>43126</v>
          </cell>
        </row>
        <row r="37450">
          <cell r="A37450">
            <v>43667</v>
          </cell>
        </row>
        <row r="37451">
          <cell r="A37451">
            <v>43550</v>
          </cell>
        </row>
        <row r="37452">
          <cell r="A37452">
            <v>43663</v>
          </cell>
        </row>
        <row r="37453">
          <cell r="A37453">
            <v>43465</v>
          </cell>
        </row>
        <row r="37454">
          <cell r="A37454">
            <v>43539</v>
          </cell>
        </row>
        <row r="37455">
          <cell r="A37455">
            <v>43859</v>
          </cell>
        </row>
        <row r="37456">
          <cell r="A37456">
            <v>43696</v>
          </cell>
        </row>
        <row r="37457">
          <cell r="A37457">
            <v>43636</v>
          </cell>
        </row>
        <row r="37458">
          <cell r="A37458">
            <v>43162</v>
          </cell>
        </row>
        <row r="37459">
          <cell r="A37459">
            <v>43145</v>
          </cell>
        </row>
        <row r="37460">
          <cell r="A37460">
            <v>43205</v>
          </cell>
        </row>
        <row r="37461">
          <cell r="A37461">
            <v>43644</v>
          </cell>
        </row>
        <row r="37462">
          <cell r="A37462">
            <v>43860</v>
          </cell>
        </row>
        <row r="37463">
          <cell r="A37463">
            <v>43253</v>
          </cell>
        </row>
        <row r="37464">
          <cell r="A37464">
            <v>43631</v>
          </cell>
        </row>
        <row r="37465">
          <cell r="A37465">
            <v>43811</v>
          </cell>
        </row>
        <row r="37466">
          <cell r="A37466">
            <v>43863</v>
          </cell>
        </row>
        <row r="37467">
          <cell r="A37467">
            <v>43780</v>
          </cell>
        </row>
        <row r="37468">
          <cell r="A37468">
            <v>43223</v>
          </cell>
        </row>
        <row r="37469">
          <cell r="A37469">
            <v>43106</v>
          </cell>
        </row>
        <row r="37470">
          <cell r="A37470">
            <v>43779</v>
          </cell>
        </row>
        <row r="37471">
          <cell r="A37471">
            <v>43525</v>
          </cell>
        </row>
        <row r="37472">
          <cell r="A37472">
            <v>43539</v>
          </cell>
        </row>
        <row r="37473">
          <cell r="A37473">
            <v>43776</v>
          </cell>
        </row>
        <row r="37474">
          <cell r="A37474">
            <v>43778</v>
          </cell>
        </row>
        <row r="37475">
          <cell r="A37475">
            <v>43142</v>
          </cell>
        </row>
        <row r="37476">
          <cell r="A37476">
            <v>43878</v>
          </cell>
        </row>
        <row r="37477">
          <cell r="A37477">
            <v>43480</v>
          </cell>
        </row>
        <row r="37478">
          <cell r="A37478">
            <v>43375</v>
          </cell>
        </row>
        <row r="37479">
          <cell r="A37479">
            <v>43361</v>
          </cell>
        </row>
        <row r="37480">
          <cell r="A37480">
            <v>43150</v>
          </cell>
        </row>
        <row r="37481">
          <cell r="A37481">
            <v>43106</v>
          </cell>
        </row>
        <row r="37482">
          <cell r="A37482">
            <v>43458</v>
          </cell>
        </row>
        <row r="37483">
          <cell r="A37483">
            <v>43446</v>
          </cell>
        </row>
        <row r="37484">
          <cell r="A37484">
            <v>43875</v>
          </cell>
        </row>
        <row r="37485">
          <cell r="A37485">
            <v>43662</v>
          </cell>
        </row>
        <row r="37486">
          <cell r="A37486">
            <v>43610</v>
          </cell>
        </row>
        <row r="37487">
          <cell r="A37487">
            <v>43518</v>
          </cell>
        </row>
        <row r="37488">
          <cell r="A37488">
            <v>43722</v>
          </cell>
        </row>
        <row r="37489">
          <cell r="A37489">
            <v>43318</v>
          </cell>
        </row>
        <row r="37490">
          <cell r="A37490">
            <v>43491</v>
          </cell>
        </row>
        <row r="37491">
          <cell r="A37491">
            <v>43192</v>
          </cell>
        </row>
        <row r="37492">
          <cell r="A37492">
            <v>43294</v>
          </cell>
        </row>
        <row r="37493">
          <cell r="A37493">
            <v>43530</v>
          </cell>
        </row>
        <row r="37494">
          <cell r="A37494">
            <v>43623</v>
          </cell>
        </row>
        <row r="37495">
          <cell r="A37495">
            <v>43317</v>
          </cell>
        </row>
        <row r="37496">
          <cell r="A37496">
            <v>43280</v>
          </cell>
        </row>
        <row r="37497">
          <cell r="A37497">
            <v>43857</v>
          </cell>
        </row>
        <row r="37498">
          <cell r="A37498">
            <v>43114</v>
          </cell>
        </row>
        <row r="37499">
          <cell r="A37499">
            <v>43711</v>
          </cell>
        </row>
        <row r="37500">
          <cell r="A37500">
            <v>43356</v>
          </cell>
        </row>
        <row r="37501">
          <cell r="A37501">
            <v>43326</v>
          </cell>
        </row>
        <row r="37502">
          <cell r="A37502">
            <v>43254</v>
          </cell>
        </row>
        <row r="37503">
          <cell r="A37503">
            <v>43383</v>
          </cell>
        </row>
        <row r="37504">
          <cell r="A37504">
            <v>43254</v>
          </cell>
        </row>
        <row r="37505">
          <cell r="A37505">
            <v>43921</v>
          </cell>
        </row>
        <row r="37506">
          <cell r="A37506">
            <v>43547</v>
          </cell>
        </row>
        <row r="37507">
          <cell r="A37507">
            <v>43675</v>
          </cell>
        </row>
        <row r="37508">
          <cell r="A37508">
            <v>43500</v>
          </cell>
        </row>
        <row r="37509">
          <cell r="A37509">
            <v>43254</v>
          </cell>
        </row>
        <row r="37510">
          <cell r="A37510">
            <v>43479</v>
          </cell>
        </row>
        <row r="37511">
          <cell r="A37511">
            <v>43392</v>
          </cell>
        </row>
        <row r="37512">
          <cell r="A37512">
            <v>43208</v>
          </cell>
        </row>
        <row r="37513">
          <cell r="A37513">
            <v>43495</v>
          </cell>
        </row>
        <row r="37514">
          <cell r="A37514">
            <v>43658</v>
          </cell>
        </row>
        <row r="37515">
          <cell r="A37515">
            <v>43506</v>
          </cell>
        </row>
        <row r="37516">
          <cell r="A37516">
            <v>43810</v>
          </cell>
        </row>
        <row r="37517">
          <cell r="A37517">
            <v>43125</v>
          </cell>
        </row>
        <row r="37518">
          <cell r="A37518">
            <v>43235</v>
          </cell>
        </row>
        <row r="37519">
          <cell r="A37519">
            <v>43115</v>
          </cell>
        </row>
        <row r="37520">
          <cell r="A37520">
            <v>43357</v>
          </cell>
        </row>
        <row r="37521">
          <cell r="A37521">
            <v>43604</v>
          </cell>
        </row>
        <row r="37522">
          <cell r="A37522">
            <v>43206</v>
          </cell>
        </row>
        <row r="37523">
          <cell r="A37523">
            <v>43679</v>
          </cell>
        </row>
        <row r="37524">
          <cell r="A37524">
            <v>43639</v>
          </cell>
        </row>
        <row r="37525">
          <cell r="A37525">
            <v>43260</v>
          </cell>
        </row>
        <row r="37526">
          <cell r="A37526">
            <v>43821</v>
          </cell>
        </row>
        <row r="37527">
          <cell r="A37527">
            <v>43600</v>
          </cell>
        </row>
        <row r="37528">
          <cell r="A37528">
            <v>43112</v>
          </cell>
        </row>
        <row r="37529">
          <cell r="A37529">
            <v>43612</v>
          </cell>
        </row>
        <row r="37530">
          <cell r="A37530">
            <v>43641</v>
          </cell>
        </row>
        <row r="37531">
          <cell r="A37531">
            <v>43475</v>
          </cell>
        </row>
        <row r="37532">
          <cell r="A37532">
            <v>43310</v>
          </cell>
        </row>
        <row r="37533">
          <cell r="A37533">
            <v>43277</v>
          </cell>
        </row>
        <row r="37534">
          <cell r="A37534">
            <v>43487</v>
          </cell>
        </row>
        <row r="37535">
          <cell r="A37535">
            <v>43308</v>
          </cell>
        </row>
        <row r="37536">
          <cell r="A37536">
            <v>43241</v>
          </cell>
        </row>
        <row r="37537">
          <cell r="A37537">
            <v>43227</v>
          </cell>
        </row>
        <row r="37538">
          <cell r="A37538">
            <v>43674</v>
          </cell>
        </row>
        <row r="37539">
          <cell r="A37539">
            <v>43586</v>
          </cell>
        </row>
        <row r="37540">
          <cell r="A37540">
            <v>43665</v>
          </cell>
        </row>
        <row r="37541">
          <cell r="A37541">
            <v>43325</v>
          </cell>
        </row>
        <row r="37542">
          <cell r="A37542">
            <v>43912</v>
          </cell>
        </row>
        <row r="37543">
          <cell r="A37543">
            <v>43886</v>
          </cell>
        </row>
        <row r="37544">
          <cell r="A37544">
            <v>43424</v>
          </cell>
        </row>
        <row r="37545">
          <cell r="A37545">
            <v>43168</v>
          </cell>
        </row>
        <row r="37546">
          <cell r="A37546">
            <v>43548</v>
          </cell>
        </row>
        <row r="37547">
          <cell r="A37547">
            <v>43893</v>
          </cell>
        </row>
        <row r="37548">
          <cell r="A37548">
            <v>43554</v>
          </cell>
        </row>
        <row r="37549">
          <cell r="A37549">
            <v>43777</v>
          </cell>
        </row>
        <row r="37550">
          <cell r="A37550">
            <v>43716</v>
          </cell>
        </row>
        <row r="37551">
          <cell r="A37551">
            <v>43569</v>
          </cell>
        </row>
        <row r="37552">
          <cell r="A37552">
            <v>43331</v>
          </cell>
        </row>
        <row r="37553">
          <cell r="A37553">
            <v>43559</v>
          </cell>
        </row>
        <row r="37554">
          <cell r="A37554">
            <v>43363</v>
          </cell>
        </row>
        <row r="37555">
          <cell r="A37555">
            <v>43393</v>
          </cell>
        </row>
        <row r="37556">
          <cell r="A37556">
            <v>43406</v>
          </cell>
        </row>
        <row r="37557">
          <cell r="A37557">
            <v>43421</v>
          </cell>
        </row>
        <row r="37558">
          <cell r="A37558">
            <v>43397</v>
          </cell>
        </row>
        <row r="37559">
          <cell r="A37559">
            <v>43763</v>
          </cell>
        </row>
        <row r="37560">
          <cell r="A37560">
            <v>43486</v>
          </cell>
        </row>
        <row r="37561">
          <cell r="A37561">
            <v>43631</v>
          </cell>
        </row>
        <row r="37562">
          <cell r="A37562">
            <v>43215</v>
          </cell>
        </row>
        <row r="37563">
          <cell r="A37563">
            <v>43710</v>
          </cell>
        </row>
        <row r="37564">
          <cell r="A37564">
            <v>43914</v>
          </cell>
        </row>
        <row r="37565">
          <cell r="A37565">
            <v>43308</v>
          </cell>
        </row>
        <row r="37566">
          <cell r="A37566">
            <v>43616</v>
          </cell>
        </row>
        <row r="37567">
          <cell r="A37567">
            <v>43577</v>
          </cell>
        </row>
        <row r="37568">
          <cell r="A37568">
            <v>43424</v>
          </cell>
        </row>
        <row r="37569">
          <cell r="A37569">
            <v>43675</v>
          </cell>
        </row>
        <row r="37570">
          <cell r="A37570">
            <v>43124</v>
          </cell>
        </row>
        <row r="37571">
          <cell r="A37571">
            <v>43744</v>
          </cell>
        </row>
        <row r="37572">
          <cell r="A37572">
            <v>43340</v>
          </cell>
        </row>
        <row r="37573">
          <cell r="A37573">
            <v>43564</v>
          </cell>
        </row>
        <row r="37574">
          <cell r="A37574">
            <v>43472</v>
          </cell>
        </row>
        <row r="37575">
          <cell r="A37575">
            <v>43265</v>
          </cell>
        </row>
        <row r="37576">
          <cell r="A37576">
            <v>43509</v>
          </cell>
        </row>
        <row r="37577">
          <cell r="A37577">
            <v>43459</v>
          </cell>
        </row>
        <row r="37578">
          <cell r="A37578">
            <v>43797</v>
          </cell>
        </row>
        <row r="37579">
          <cell r="A37579">
            <v>43276</v>
          </cell>
        </row>
        <row r="37580">
          <cell r="A37580">
            <v>43703</v>
          </cell>
        </row>
        <row r="37581">
          <cell r="A37581">
            <v>43488</v>
          </cell>
        </row>
        <row r="37582">
          <cell r="A37582">
            <v>43254</v>
          </cell>
        </row>
        <row r="37583">
          <cell r="A37583">
            <v>43463</v>
          </cell>
        </row>
        <row r="37584">
          <cell r="A37584">
            <v>43329</v>
          </cell>
        </row>
        <row r="37585">
          <cell r="A37585">
            <v>43776</v>
          </cell>
        </row>
        <row r="37586">
          <cell r="A37586">
            <v>43147</v>
          </cell>
        </row>
        <row r="37587">
          <cell r="A37587">
            <v>43365</v>
          </cell>
        </row>
        <row r="37588">
          <cell r="A37588">
            <v>43570</v>
          </cell>
        </row>
        <row r="37589">
          <cell r="A37589">
            <v>43247</v>
          </cell>
        </row>
        <row r="37590">
          <cell r="A37590">
            <v>43629</v>
          </cell>
        </row>
        <row r="37591">
          <cell r="A37591">
            <v>43102</v>
          </cell>
        </row>
        <row r="37592">
          <cell r="A37592">
            <v>43421</v>
          </cell>
        </row>
        <row r="37593">
          <cell r="A37593">
            <v>43265</v>
          </cell>
        </row>
        <row r="37594">
          <cell r="A37594">
            <v>43195</v>
          </cell>
        </row>
        <row r="37595">
          <cell r="A37595">
            <v>43910</v>
          </cell>
        </row>
        <row r="37596">
          <cell r="A37596">
            <v>43195</v>
          </cell>
        </row>
        <row r="37597">
          <cell r="A37597">
            <v>43207</v>
          </cell>
        </row>
        <row r="37598">
          <cell r="A37598">
            <v>43564</v>
          </cell>
        </row>
        <row r="37599">
          <cell r="A37599">
            <v>43768</v>
          </cell>
        </row>
        <row r="37600">
          <cell r="A37600">
            <v>43573</v>
          </cell>
        </row>
        <row r="37601">
          <cell r="A37601">
            <v>43852</v>
          </cell>
        </row>
        <row r="37602">
          <cell r="A37602">
            <v>43399</v>
          </cell>
        </row>
        <row r="37603">
          <cell r="A37603">
            <v>43494</v>
          </cell>
        </row>
        <row r="37604">
          <cell r="A37604">
            <v>43590</v>
          </cell>
        </row>
        <row r="37605">
          <cell r="A37605">
            <v>43195</v>
          </cell>
        </row>
        <row r="37606">
          <cell r="A37606">
            <v>43254</v>
          </cell>
        </row>
        <row r="37607">
          <cell r="A37607">
            <v>43768</v>
          </cell>
        </row>
        <row r="37608">
          <cell r="A37608">
            <v>43513</v>
          </cell>
        </row>
        <row r="37609">
          <cell r="A37609">
            <v>43603</v>
          </cell>
        </row>
        <row r="37610">
          <cell r="A37610">
            <v>43533</v>
          </cell>
        </row>
        <row r="37611">
          <cell r="A37611">
            <v>43721</v>
          </cell>
        </row>
        <row r="37612">
          <cell r="A37612">
            <v>43709</v>
          </cell>
        </row>
        <row r="37613">
          <cell r="A37613">
            <v>43242</v>
          </cell>
        </row>
        <row r="37614">
          <cell r="A37614">
            <v>43734</v>
          </cell>
        </row>
        <row r="37615">
          <cell r="A37615">
            <v>43304</v>
          </cell>
        </row>
        <row r="37616">
          <cell r="A37616">
            <v>43736</v>
          </cell>
        </row>
        <row r="37617">
          <cell r="A37617">
            <v>43496</v>
          </cell>
        </row>
        <row r="37618">
          <cell r="A37618">
            <v>43243</v>
          </cell>
        </row>
        <row r="37619">
          <cell r="A37619">
            <v>43610</v>
          </cell>
        </row>
        <row r="37620">
          <cell r="A37620">
            <v>43552</v>
          </cell>
        </row>
        <row r="37621">
          <cell r="A37621">
            <v>43532</v>
          </cell>
        </row>
        <row r="37622">
          <cell r="A37622">
            <v>43167</v>
          </cell>
        </row>
        <row r="37623">
          <cell r="A37623">
            <v>43663</v>
          </cell>
        </row>
        <row r="37624">
          <cell r="A37624">
            <v>43257</v>
          </cell>
        </row>
        <row r="37625">
          <cell r="A37625">
            <v>43409</v>
          </cell>
        </row>
        <row r="37626">
          <cell r="A37626">
            <v>43146</v>
          </cell>
        </row>
        <row r="37627">
          <cell r="A37627">
            <v>43361</v>
          </cell>
        </row>
        <row r="37628">
          <cell r="A37628">
            <v>43781</v>
          </cell>
        </row>
        <row r="37629">
          <cell r="A37629">
            <v>43699</v>
          </cell>
        </row>
        <row r="37630">
          <cell r="A37630">
            <v>43712</v>
          </cell>
        </row>
        <row r="37631">
          <cell r="A37631">
            <v>43844</v>
          </cell>
        </row>
        <row r="37632">
          <cell r="A37632">
            <v>43857</v>
          </cell>
        </row>
        <row r="37633">
          <cell r="A37633">
            <v>43318</v>
          </cell>
        </row>
        <row r="37634">
          <cell r="A37634">
            <v>43259</v>
          </cell>
        </row>
        <row r="37635">
          <cell r="A37635">
            <v>43344</v>
          </cell>
        </row>
        <row r="37636">
          <cell r="A37636">
            <v>43562</v>
          </cell>
        </row>
        <row r="37637">
          <cell r="A37637">
            <v>43781</v>
          </cell>
        </row>
        <row r="37638">
          <cell r="A37638">
            <v>43749</v>
          </cell>
        </row>
        <row r="37639">
          <cell r="A37639">
            <v>43449</v>
          </cell>
        </row>
        <row r="37640">
          <cell r="A37640">
            <v>43292</v>
          </cell>
        </row>
        <row r="37641">
          <cell r="A37641">
            <v>43571</v>
          </cell>
        </row>
        <row r="37642">
          <cell r="A37642">
            <v>43160</v>
          </cell>
        </row>
        <row r="37643">
          <cell r="A37643">
            <v>43505</v>
          </cell>
        </row>
        <row r="37644">
          <cell r="A37644">
            <v>43169</v>
          </cell>
        </row>
        <row r="37645">
          <cell r="A37645">
            <v>43151</v>
          </cell>
        </row>
        <row r="37646">
          <cell r="A37646">
            <v>43387</v>
          </cell>
        </row>
        <row r="37647">
          <cell r="A37647">
            <v>43329</v>
          </cell>
        </row>
        <row r="37648">
          <cell r="A37648">
            <v>43707</v>
          </cell>
        </row>
        <row r="37649">
          <cell r="A37649">
            <v>43162</v>
          </cell>
        </row>
        <row r="37650">
          <cell r="A37650">
            <v>43884</v>
          </cell>
        </row>
        <row r="37651">
          <cell r="A37651">
            <v>43772</v>
          </cell>
        </row>
        <row r="37652">
          <cell r="A37652">
            <v>43783</v>
          </cell>
        </row>
        <row r="37653">
          <cell r="A37653">
            <v>43671</v>
          </cell>
        </row>
        <row r="37654">
          <cell r="A37654">
            <v>43847</v>
          </cell>
        </row>
        <row r="37655">
          <cell r="A37655">
            <v>43102</v>
          </cell>
        </row>
        <row r="37656">
          <cell r="A37656">
            <v>43745</v>
          </cell>
        </row>
        <row r="37657">
          <cell r="A37657">
            <v>43273</v>
          </cell>
        </row>
        <row r="37658">
          <cell r="A37658">
            <v>43311</v>
          </cell>
        </row>
        <row r="37659">
          <cell r="A37659">
            <v>43441</v>
          </cell>
        </row>
        <row r="37660">
          <cell r="A37660">
            <v>43578</v>
          </cell>
        </row>
        <row r="37661">
          <cell r="A37661">
            <v>43128</v>
          </cell>
        </row>
        <row r="37662">
          <cell r="A37662">
            <v>43764</v>
          </cell>
        </row>
        <row r="37663">
          <cell r="A37663">
            <v>43463</v>
          </cell>
        </row>
        <row r="37664">
          <cell r="A37664">
            <v>43570</v>
          </cell>
        </row>
        <row r="37665">
          <cell r="A37665">
            <v>43243</v>
          </cell>
        </row>
        <row r="37666">
          <cell r="A37666">
            <v>43188</v>
          </cell>
        </row>
        <row r="37667">
          <cell r="A37667">
            <v>43629</v>
          </cell>
        </row>
        <row r="37668">
          <cell r="A37668">
            <v>43857</v>
          </cell>
        </row>
        <row r="37669">
          <cell r="A37669">
            <v>43556</v>
          </cell>
        </row>
        <row r="37670">
          <cell r="A37670">
            <v>43678</v>
          </cell>
        </row>
        <row r="37671">
          <cell r="A37671">
            <v>43782</v>
          </cell>
        </row>
        <row r="37672">
          <cell r="A37672">
            <v>43368</v>
          </cell>
        </row>
        <row r="37673">
          <cell r="A37673">
            <v>43581</v>
          </cell>
        </row>
        <row r="37674">
          <cell r="A37674">
            <v>43144</v>
          </cell>
        </row>
        <row r="37675">
          <cell r="A37675">
            <v>43749</v>
          </cell>
        </row>
        <row r="37676">
          <cell r="A37676">
            <v>43615</v>
          </cell>
        </row>
        <row r="37677">
          <cell r="A37677">
            <v>43364</v>
          </cell>
        </row>
        <row r="37678">
          <cell r="A37678">
            <v>43535</v>
          </cell>
        </row>
        <row r="37679">
          <cell r="A37679">
            <v>43683</v>
          </cell>
        </row>
        <row r="37680">
          <cell r="A37680">
            <v>43421</v>
          </cell>
        </row>
        <row r="37681">
          <cell r="A37681">
            <v>43651</v>
          </cell>
        </row>
        <row r="37682">
          <cell r="A37682">
            <v>43722</v>
          </cell>
        </row>
        <row r="37683">
          <cell r="A37683">
            <v>43527</v>
          </cell>
        </row>
        <row r="37684">
          <cell r="A37684">
            <v>43744</v>
          </cell>
        </row>
        <row r="37685">
          <cell r="A37685">
            <v>43518</v>
          </cell>
        </row>
        <row r="37686">
          <cell r="A37686">
            <v>43247</v>
          </cell>
        </row>
        <row r="37687">
          <cell r="A37687">
            <v>43194</v>
          </cell>
        </row>
        <row r="37688">
          <cell r="A37688">
            <v>43337</v>
          </cell>
        </row>
        <row r="37689">
          <cell r="A37689">
            <v>43279</v>
          </cell>
        </row>
        <row r="37690">
          <cell r="A37690">
            <v>43688</v>
          </cell>
        </row>
        <row r="37691">
          <cell r="A37691">
            <v>43254</v>
          </cell>
        </row>
        <row r="37692">
          <cell r="A37692">
            <v>43703</v>
          </cell>
        </row>
        <row r="37693">
          <cell r="A37693">
            <v>43311</v>
          </cell>
        </row>
        <row r="37694">
          <cell r="A37694">
            <v>43305</v>
          </cell>
        </row>
        <row r="37695">
          <cell r="A37695">
            <v>43617</v>
          </cell>
        </row>
        <row r="37696">
          <cell r="A37696">
            <v>43494</v>
          </cell>
        </row>
        <row r="37697">
          <cell r="A37697">
            <v>43429</v>
          </cell>
        </row>
        <row r="37698">
          <cell r="A37698">
            <v>43686</v>
          </cell>
        </row>
        <row r="37699">
          <cell r="A37699">
            <v>43130</v>
          </cell>
        </row>
        <row r="37700">
          <cell r="A37700">
            <v>43498</v>
          </cell>
        </row>
        <row r="37701">
          <cell r="A37701">
            <v>43764</v>
          </cell>
        </row>
        <row r="37702">
          <cell r="A37702">
            <v>43313</v>
          </cell>
        </row>
        <row r="37703">
          <cell r="A37703">
            <v>43251</v>
          </cell>
        </row>
        <row r="37704">
          <cell r="A37704">
            <v>43800</v>
          </cell>
        </row>
        <row r="37705">
          <cell r="A37705">
            <v>43401</v>
          </cell>
        </row>
        <row r="37706">
          <cell r="A37706">
            <v>43606</v>
          </cell>
        </row>
        <row r="37707">
          <cell r="A37707">
            <v>43481</v>
          </cell>
        </row>
        <row r="37708">
          <cell r="A37708">
            <v>43345</v>
          </cell>
        </row>
        <row r="37709">
          <cell r="A37709">
            <v>43887</v>
          </cell>
        </row>
        <row r="37710">
          <cell r="A37710">
            <v>43656</v>
          </cell>
        </row>
        <row r="37711">
          <cell r="A37711">
            <v>43756</v>
          </cell>
        </row>
        <row r="37712">
          <cell r="A37712">
            <v>43425</v>
          </cell>
        </row>
        <row r="37713">
          <cell r="A37713">
            <v>43781</v>
          </cell>
        </row>
        <row r="37714">
          <cell r="A37714">
            <v>43572</v>
          </cell>
        </row>
        <row r="37715">
          <cell r="A37715">
            <v>43745</v>
          </cell>
        </row>
        <row r="37716">
          <cell r="A37716">
            <v>43365</v>
          </cell>
        </row>
        <row r="37717">
          <cell r="A37717">
            <v>43580</v>
          </cell>
        </row>
        <row r="37718">
          <cell r="A37718">
            <v>43104</v>
          </cell>
        </row>
        <row r="37719">
          <cell r="A37719">
            <v>43742</v>
          </cell>
        </row>
        <row r="37720">
          <cell r="A37720">
            <v>43591</v>
          </cell>
        </row>
        <row r="37721">
          <cell r="A37721">
            <v>43611</v>
          </cell>
        </row>
        <row r="37722">
          <cell r="A37722">
            <v>43150</v>
          </cell>
        </row>
        <row r="37723">
          <cell r="A37723">
            <v>43451</v>
          </cell>
        </row>
        <row r="37724">
          <cell r="A37724">
            <v>43205</v>
          </cell>
        </row>
        <row r="37725">
          <cell r="A37725">
            <v>43811</v>
          </cell>
        </row>
        <row r="37726">
          <cell r="A37726">
            <v>43649</v>
          </cell>
        </row>
        <row r="37727">
          <cell r="A37727">
            <v>43476</v>
          </cell>
        </row>
        <row r="37728">
          <cell r="A37728">
            <v>43620</v>
          </cell>
        </row>
        <row r="37729">
          <cell r="A37729">
            <v>43363</v>
          </cell>
        </row>
        <row r="37730">
          <cell r="A37730">
            <v>43690</v>
          </cell>
        </row>
        <row r="37731">
          <cell r="A37731">
            <v>43273</v>
          </cell>
        </row>
        <row r="37732">
          <cell r="A37732">
            <v>43694</v>
          </cell>
        </row>
        <row r="37733">
          <cell r="A37733">
            <v>43109</v>
          </cell>
        </row>
        <row r="37734">
          <cell r="A37734">
            <v>43864</v>
          </cell>
        </row>
        <row r="37735">
          <cell r="A37735">
            <v>43549</v>
          </cell>
        </row>
        <row r="37736">
          <cell r="A37736">
            <v>43269</v>
          </cell>
        </row>
        <row r="37737">
          <cell r="A37737">
            <v>43586</v>
          </cell>
        </row>
        <row r="37738">
          <cell r="A37738">
            <v>43437</v>
          </cell>
        </row>
        <row r="37739">
          <cell r="A37739">
            <v>43581</v>
          </cell>
        </row>
        <row r="37740">
          <cell r="A37740">
            <v>43615</v>
          </cell>
        </row>
        <row r="37741">
          <cell r="A37741">
            <v>43143</v>
          </cell>
        </row>
        <row r="37742">
          <cell r="A37742">
            <v>43112</v>
          </cell>
        </row>
        <row r="37743">
          <cell r="A37743">
            <v>43436</v>
          </cell>
        </row>
        <row r="37744">
          <cell r="A37744">
            <v>43519</v>
          </cell>
        </row>
        <row r="37745">
          <cell r="A37745">
            <v>43652</v>
          </cell>
        </row>
        <row r="37746">
          <cell r="A37746">
            <v>43798</v>
          </cell>
        </row>
        <row r="37747">
          <cell r="A37747">
            <v>43397</v>
          </cell>
        </row>
        <row r="37748">
          <cell r="A37748">
            <v>43849</v>
          </cell>
        </row>
        <row r="37749">
          <cell r="A37749">
            <v>43809</v>
          </cell>
        </row>
        <row r="37750">
          <cell r="A37750">
            <v>43296</v>
          </cell>
        </row>
        <row r="37751">
          <cell r="A37751">
            <v>43593</v>
          </cell>
        </row>
        <row r="37752">
          <cell r="A37752">
            <v>43371</v>
          </cell>
        </row>
        <row r="37753">
          <cell r="A37753">
            <v>43476</v>
          </cell>
        </row>
        <row r="37754">
          <cell r="A37754">
            <v>43332</v>
          </cell>
        </row>
        <row r="37755">
          <cell r="A37755">
            <v>43621</v>
          </cell>
        </row>
        <row r="37756">
          <cell r="A37756">
            <v>43110</v>
          </cell>
        </row>
        <row r="37757">
          <cell r="A37757">
            <v>43183</v>
          </cell>
        </row>
        <row r="37758">
          <cell r="A37758">
            <v>43873</v>
          </cell>
        </row>
        <row r="37759">
          <cell r="A37759">
            <v>43159</v>
          </cell>
        </row>
        <row r="37760">
          <cell r="A37760">
            <v>43822</v>
          </cell>
        </row>
        <row r="37761">
          <cell r="A37761">
            <v>43286</v>
          </cell>
        </row>
        <row r="37762">
          <cell r="A37762">
            <v>43348</v>
          </cell>
        </row>
        <row r="37763">
          <cell r="A37763">
            <v>43233</v>
          </cell>
        </row>
        <row r="37764">
          <cell r="A37764">
            <v>43906</v>
          </cell>
        </row>
        <row r="37765">
          <cell r="A37765">
            <v>43896</v>
          </cell>
        </row>
        <row r="37766">
          <cell r="A37766">
            <v>43646</v>
          </cell>
        </row>
        <row r="37767">
          <cell r="A37767">
            <v>43259</v>
          </cell>
        </row>
        <row r="37768">
          <cell r="A37768">
            <v>43652</v>
          </cell>
        </row>
        <row r="37769">
          <cell r="A37769">
            <v>43545</v>
          </cell>
        </row>
        <row r="37770">
          <cell r="A37770">
            <v>43557</v>
          </cell>
        </row>
        <row r="37771">
          <cell r="A37771">
            <v>43646</v>
          </cell>
        </row>
        <row r="37772">
          <cell r="A37772">
            <v>43784</v>
          </cell>
        </row>
        <row r="37773">
          <cell r="A37773">
            <v>43658</v>
          </cell>
        </row>
        <row r="37774">
          <cell r="A37774">
            <v>43916</v>
          </cell>
        </row>
        <row r="37775">
          <cell r="A37775">
            <v>43701</v>
          </cell>
        </row>
        <row r="37776">
          <cell r="A37776">
            <v>43678</v>
          </cell>
        </row>
        <row r="37777">
          <cell r="A37777">
            <v>43727</v>
          </cell>
        </row>
        <row r="37778">
          <cell r="A37778">
            <v>43559</v>
          </cell>
        </row>
        <row r="37779">
          <cell r="A37779">
            <v>43869</v>
          </cell>
        </row>
        <row r="37780">
          <cell r="A37780">
            <v>43452</v>
          </cell>
        </row>
        <row r="37781">
          <cell r="A37781">
            <v>43384</v>
          </cell>
        </row>
        <row r="37782">
          <cell r="A37782">
            <v>43180</v>
          </cell>
        </row>
        <row r="37783">
          <cell r="A37783">
            <v>43630</v>
          </cell>
        </row>
        <row r="37784">
          <cell r="A37784">
            <v>43749</v>
          </cell>
        </row>
        <row r="37785">
          <cell r="A37785">
            <v>43413</v>
          </cell>
        </row>
        <row r="37786">
          <cell r="A37786">
            <v>43569</v>
          </cell>
        </row>
        <row r="37787">
          <cell r="A37787">
            <v>43794</v>
          </cell>
        </row>
        <row r="37788">
          <cell r="A37788">
            <v>43691</v>
          </cell>
        </row>
        <row r="37789">
          <cell r="A37789">
            <v>43465</v>
          </cell>
        </row>
        <row r="37790">
          <cell r="A37790">
            <v>43899</v>
          </cell>
        </row>
        <row r="37791">
          <cell r="A37791">
            <v>43836</v>
          </cell>
        </row>
        <row r="37792">
          <cell r="A37792">
            <v>43187</v>
          </cell>
        </row>
        <row r="37793">
          <cell r="A37793">
            <v>43315</v>
          </cell>
        </row>
        <row r="37794">
          <cell r="A37794">
            <v>43289</v>
          </cell>
        </row>
        <row r="37795">
          <cell r="A37795">
            <v>43187</v>
          </cell>
        </row>
        <row r="37796">
          <cell r="A37796">
            <v>43833</v>
          </cell>
        </row>
        <row r="37797">
          <cell r="A37797">
            <v>43272</v>
          </cell>
        </row>
        <row r="37798">
          <cell r="A37798">
            <v>43250</v>
          </cell>
        </row>
        <row r="37799">
          <cell r="A37799">
            <v>43438</v>
          </cell>
        </row>
        <row r="37800">
          <cell r="A37800">
            <v>43498</v>
          </cell>
        </row>
        <row r="37801">
          <cell r="A37801">
            <v>43665</v>
          </cell>
        </row>
        <row r="37802">
          <cell r="A37802">
            <v>43453</v>
          </cell>
        </row>
        <row r="37803">
          <cell r="A37803">
            <v>43174</v>
          </cell>
        </row>
        <row r="37804">
          <cell r="A37804">
            <v>43824</v>
          </cell>
        </row>
        <row r="37805">
          <cell r="A37805">
            <v>43142</v>
          </cell>
        </row>
        <row r="37806">
          <cell r="A37806">
            <v>43165</v>
          </cell>
        </row>
        <row r="37807">
          <cell r="A37807">
            <v>43691</v>
          </cell>
        </row>
        <row r="37808">
          <cell r="A37808">
            <v>43578</v>
          </cell>
        </row>
        <row r="37809">
          <cell r="A37809">
            <v>43381</v>
          </cell>
        </row>
        <row r="37810">
          <cell r="A37810">
            <v>43297</v>
          </cell>
        </row>
        <row r="37811">
          <cell r="A37811">
            <v>43521</v>
          </cell>
        </row>
        <row r="37812">
          <cell r="A37812">
            <v>43822</v>
          </cell>
        </row>
        <row r="37813">
          <cell r="A37813">
            <v>43253</v>
          </cell>
        </row>
        <row r="37814">
          <cell r="A37814">
            <v>43332</v>
          </cell>
        </row>
        <row r="37815">
          <cell r="A37815">
            <v>43622</v>
          </cell>
        </row>
        <row r="37816">
          <cell r="A37816">
            <v>43835</v>
          </cell>
        </row>
        <row r="37817">
          <cell r="A37817">
            <v>43520</v>
          </cell>
        </row>
        <row r="37818">
          <cell r="A37818">
            <v>43304</v>
          </cell>
        </row>
        <row r="37819">
          <cell r="A37819">
            <v>43570</v>
          </cell>
        </row>
        <row r="37820">
          <cell r="A37820">
            <v>43725</v>
          </cell>
        </row>
        <row r="37821">
          <cell r="A37821">
            <v>43768</v>
          </cell>
        </row>
        <row r="37822">
          <cell r="A37822">
            <v>43239</v>
          </cell>
        </row>
        <row r="37823">
          <cell r="A37823">
            <v>43575</v>
          </cell>
        </row>
        <row r="37824">
          <cell r="A37824">
            <v>43232</v>
          </cell>
        </row>
        <row r="37825">
          <cell r="A37825">
            <v>43732</v>
          </cell>
        </row>
        <row r="37826">
          <cell r="A37826">
            <v>43846</v>
          </cell>
        </row>
        <row r="37827">
          <cell r="A37827">
            <v>43223</v>
          </cell>
        </row>
        <row r="37828">
          <cell r="A37828">
            <v>43915</v>
          </cell>
        </row>
        <row r="37829">
          <cell r="A37829">
            <v>43137</v>
          </cell>
        </row>
        <row r="37830">
          <cell r="A37830">
            <v>43578</v>
          </cell>
        </row>
        <row r="37831">
          <cell r="A37831">
            <v>43122</v>
          </cell>
        </row>
        <row r="37832">
          <cell r="A37832">
            <v>43559</v>
          </cell>
        </row>
        <row r="37833">
          <cell r="A37833">
            <v>43413</v>
          </cell>
        </row>
        <row r="37834">
          <cell r="A37834">
            <v>43644</v>
          </cell>
        </row>
        <row r="37835">
          <cell r="A37835">
            <v>43919</v>
          </cell>
        </row>
        <row r="37836">
          <cell r="A37836">
            <v>43689</v>
          </cell>
        </row>
        <row r="37837">
          <cell r="A37837">
            <v>43615</v>
          </cell>
        </row>
        <row r="37838">
          <cell r="A37838">
            <v>43475</v>
          </cell>
        </row>
        <row r="37839">
          <cell r="A37839">
            <v>43887</v>
          </cell>
        </row>
        <row r="37840">
          <cell r="A37840">
            <v>43123</v>
          </cell>
        </row>
        <row r="37841">
          <cell r="A37841">
            <v>43691</v>
          </cell>
        </row>
        <row r="37842">
          <cell r="A37842">
            <v>43411</v>
          </cell>
        </row>
        <row r="37843">
          <cell r="A37843">
            <v>43397</v>
          </cell>
        </row>
        <row r="37844">
          <cell r="A37844">
            <v>43342</v>
          </cell>
        </row>
        <row r="37845">
          <cell r="A37845">
            <v>43343</v>
          </cell>
        </row>
        <row r="37846">
          <cell r="A37846">
            <v>43223</v>
          </cell>
        </row>
        <row r="37847">
          <cell r="A37847">
            <v>43239</v>
          </cell>
        </row>
        <row r="37848">
          <cell r="A37848">
            <v>43516</v>
          </cell>
        </row>
        <row r="37849">
          <cell r="A37849">
            <v>43900</v>
          </cell>
        </row>
        <row r="37850">
          <cell r="A37850">
            <v>43259</v>
          </cell>
        </row>
        <row r="37851">
          <cell r="A37851">
            <v>43650</v>
          </cell>
        </row>
        <row r="37852">
          <cell r="A37852">
            <v>43349</v>
          </cell>
        </row>
        <row r="37853">
          <cell r="A37853">
            <v>43713</v>
          </cell>
        </row>
        <row r="37854">
          <cell r="A37854">
            <v>43296</v>
          </cell>
        </row>
        <row r="37855">
          <cell r="A37855">
            <v>43862</v>
          </cell>
        </row>
        <row r="37856">
          <cell r="A37856">
            <v>43755</v>
          </cell>
        </row>
        <row r="37857">
          <cell r="A37857">
            <v>43556</v>
          </cell>
        </row>
        <row r="37858">
          <cell r="A37858">
            <v>43824</v>
          </cell>
        </row>
        <row r="37859">
          <cell r="A37859">
            <v>43254</v>
          </cell>
        </row>
        <row r="37860">
          <cell r="A37860">
            <v>43822</v>
          </cell>
        </row>
        <row r="37861">
          <cell r="A37861">
            <v>43691</v>
          </cell>
        </row>
        <row r="37862">
          <cell r="A37862">
            <v>43266</v>
          </cell>
        </row>
        <row r="37863">
          <cell r="A37863">
            <v>43686</v>
          </cell>
        </row>
        <row r="37864">
          <cell r="A37864">
            <v>43681</v>
          </cell>
        </row>
        <row r="37865">
          <cell r="A37865">
            <v>43300</v>
          </cell>
        </row>
        <row r="37866">
          <cell r="A37866">
            <v>43525</v>
          </cell>
        </row>
        <row r="37867">
          <cell r="A37867">
            <v>43200</v>
          </cell>
        </row>
        <row r="37868">
          <cell r="A37868">
            <v>43381</v>
          </cell>
        </row>
        <row r="37869">
          <cell r="A37869">
            <v>43405</v>
          </cell>
        </row>
        <row r="37870">
          <cell r="A37870">
            <v>43561</v>
          </cell>
        </row>
        <row r="37871">
          <cell r="A37871">
            <v>43916</v>
          </cell>
        </row>
        <row r="37872">
          <cell r="A37872">
            <v>43610</v>
          </cell>
        </row>
        <row r="37873">
          <cell r="A37873">
            <v>43299</v>
          </cell>
        </row>
        <row r="37874">
          <cell r="A37874">
            <v>43192</v>
          </cell>
        </row>
        <row r="37875">
          <cell r="A37875">
            <v>43383</v>
          </cell>
        </row>
        <row r="37876">
          <cell r="A37876">
            <v>43284</v>
          </cell>
        </row>
        <row r="37877">
          <cell r="A37877">
            <v>43204</v>
          </cell>
        </row>
        <row r="37878">
          <cell r="A37878">
            <v>43835</v>
          </cell>
        </row>
        <row r="37879">
          <cell r="A37879">
            <v>43333</v>
          </cell>
        </row>
        <row r="37880">
          <cell r="A37880">
            <v>43368</v>
          </cell>
        </row>
        <row r="37881">
          <cell r="A37881">
            <v>43913</v>
          </cell>
        </row>
        <row r="37882">
          <cell r="A37882">
            <v>43918</v>
          </cell>
        </row>
        <row r="37883">
          <cell r="A37883">
            <v>43585</v>
          </cell>
        </row>
        <row r="37884">
          <cell r="A37884">
            <v>43725</v>
          </cell>
        </row>
        <row r="37885">
          <cell r="A37885">
            <v>43501</v>
          </cell>
        </row>
        <row r="37886">
          <cell r="A37886">
            <v>43393</v>
          </cell>
        </row>
        <row r="37887">
          <cell r="A37887">
            <v>43249</v>
          </cell>
        </row>
        <row r="37888">
          <cell r="A37888">
            <v>43360</v>
          </cell>
        </row>
        <row r="37889">
          <cell r="A37889">
            <v>43278</v>
          </cell>
        </row>
        <row r="37890">
          <cell r="A37890">
            <v>43449</v>
          </cell>
        </row>
        <row r="37891">
          <cell r="A37891">
            <v>43451</v>
          </cell>
        </row>
        <row r="37892">
          <cell r="A37892">
            <v>43188</v>
          </cell>
        </row>
        <row r="37893">
          <cell r="A37893">
            <v>43384</v>
          </cell>
        </row>
        <row r="37894">
          <cell r="A37894">
            <v>43887</v>
          </cell>
        </row>
        <row r="37895">
          <cell r="A37895">
            <v>43240</v>
          </cell>
        </row>
        <row r="37896">
          <cell r="A37896">
            <v>43262</v>
          </cell>
        </row>
        <row r="37897">
          <cell r="A37897">
            <v>43830</v>
          </cell>
        </row>
        <row r="37898">
          <cell r="A37898">
            <v>43883</v>
          </cell>
        </row>
        <row r="37899">
          <cell r="A37899">
            <v>43304</v>
          </cell>
        </row>
        <row r="37900">
          <cell r="A37900">
            <v>43711</v>
          </cell>
        </row>
        <row r="37901">
          <cell r="A37901">
            <v>43618</v>
          </cell>
        </row>
        <row r="37902">
          <cell r="A37902">
            <v>43358</v>
          </cell>
        </row>
        <row r="37903">
          <cell r="A37903">
            <v>43334</v>
          </cell>
        </row>
        <row r="37904">
          <cell r="A37904">
            <v>43119</v>
          </cell>
        </row>
        <row r="37905">
          <cell r="A37905">
            <v>43825</v>
          </cell>
        </row>
        <row r="37906">
          <cell r="A37906">
            <v>43218</v>
          </cell>
        </row>
        <row r="37907">
          <cell r="A37907">
            <v>43920</v>
          </cell>
        </row>
        <row r="37908">
          <cell r="A37908">
            <v>43480</v>
          </cell>
        </row>
        <row r="37909">
          <cell r="A37909">
            <v>43356</v>
          </cell>
        </row>
        <row r="37910">
          <cell r="A37910">
            <v>43298</v>
          </cell>
        </row>
        <row r="37911">
          <cell r="A37911">
            <v>43854</v>
          </cell>
        </row>
        <row r="37912">
          <cell r="A37912">
            <v>43309</v>
          </cell>
        </row>
        <row r="37913">
          <cell r="A37913">
            <v>43137</v>
          </cell>
        </row>
        <row r="37914">
          <cell r="A37914">
            <v>43253</v>
          </cell>
        </row>
        <row r="37915">
          <cell r="A37915">
            <v>43376</v>
          </cell>
        </row>
        <row r="37916">
          <cell r="A37916">
            <v>43581</v>
          </cell>
        </row>
        <row r="37917">
          <cell r="A37917">
            <v>43582</v>
          </cell>
        </row>
        <row r="37918">
          <cell r="A37918">
            <v>43213</v>
          </cell>
        </row>
        <row r="37919">
          <cell r="A37919">
            <v>43101</v>
          </cell>
        </row>
        <row r="37920">
          <cell r="A37920">
            <v>43918</v>
          </cell>
        </row>
        <row r="37921">
          <cell r="A37921">
            <v>43207</v>
          </cell>
        </row>
        <row r="37922">
          <cell r="A37922">
            <v>43875</v>
          </cell>
        </row>
        <row r="37923">
          <cell r="A37923">
            <v>43522</v>
          </cell>
        </row>
        <row r="37924">
          <cell r="A37924">
            <v>43262</v>
          </cell>
        </row>
        <row r="37925">
          <cell r="A37925">
            <v>43904</v>
          </cell>
        </row>
        <row r="37926">
          <cell r="A37926">
            <v>43346</v>
          </cell>
        </row>
        <row r="37927">
          <cell r="A37927">
            <v>43490</v>
          </cell>
        </row>
        <row r="37928">
          <cell r="A37928">
            <v>43337</v>
          </cell>
        </row>
        <row r="37929">
          <cell r="A37929">
            <v>43908</v>
          </cell>
        </row>
        <row r="37930">
          <cell r="A37930">
            <v>43798</v>
          </cell>
        </row>
        <row r="37931">
          <cell r="A37931">
            <v>43165</v>
          </cell>
        </row>
        <row r="37932">
          <cell r="A37932">
            <v>43835</v>
          </cell>
        </row>
        <row r="37933">
          <cell r="A37933">
            <v>43783</v>
          </cell>
        </row>
        <row r="37934">
          <cell r="A37934">
            <v>43695</v>
          </cell>
        </row>
        <row r="37935">
          <cell r="A37935">
            <v>43203</v>
          </cell>
        </row>
        <row r="37936">
          <cell r="A37936">
            <v>43417</v>
          </cell>
        </row>
        <row r="37937">
          <cell r="A37937">
            <v>43483</v>
          </cell>
        </row>
        <row r="37938">
          <cell r="A37938">
            <v>43293</v>
          </cell>
        </row>
        <row r="37939">
          <cell r="A37939">
            <v>43483</v>
          </cell>
        </row>
        <row r="37940">
          <cell r="A37940">
            <v>43330</v>
          </cell>
        </row>
        <row r="37941">
          <cell r="A37941">
            <v>43436</v>
          </cell>
        </row>
        <row r="37942">
          <cell r="A37942">
            <v>43255</v>
          </cell>
        </row>
        <row r="37943">
          <cell r="A37943">
            <v>43498</v>
          </cell>
        </row>
        <row r="37944">
          <cell r="A37944">
            <v>43913</v>
          </cell>
        </row>
        <row r="37945">
          <cell r="A37945">
            <v>43753</v>
          </cell>
        </row>
        <row r="37946">
          <cell r="A37946">
            <v>43753</v>
          </cell>
        </row>
        <row r="37947">
          <cell r="A37947">
            <v>43706</v>
          </cell>
        </row>
        <row r="37948">
          <cell r="A37948">
            <v>43819</v>
          </cell>
        </row>
        <row r="37949">
          <cell r="A37949">
            <v>43513</v>
          </cell>
        </row>
        <row r="37950">
          <cell r="A37950">
            <v>43920</v>
          </cell>
        </row>
        <row r="37951">
          <cell r="A37951">
            <v>43719</v>
          </cell>
        </row>
        <row r="37952">
          <cell r="A37952">
            <v>43342</v>
          </cell>
        </row>
        <row r="37953">
          <cell r="A37953">
            <v>43151</v>
          </cell>
        </row>
        <row r="37954">
          <cell r="A37954">
            <v>43738</v>
          </cell>
        </row>
        <row r="37955">
          <cell r="A37955">
            <v>43688</v>
          </cell>
        </row>
        <row r="37956">
          <cell r="A37956">
            <v>43611</v>
          </cell>
        </row>
        <row r="37957">
          <cell r="A37957">
            <v>43817</v>
          </cell>
        </row>
        <row r="37958">
          <cell r="A37958">
            <v>43525</v>
          </cell>
        </row>
        <row r="37959">
          <cell r="A37959">
            <v>43502</v>
          </cell>
        </row>
        <row r="37960">
          <cell r="A37960">
            <v>43212</v>
          </cell>
        </row>
        <row r="37961">
          <cell r="A37961">
            <v>43350</v>
          </cell>
        </row>
        <row r="37962">
          <cell r="A37962">
            <v>43327</v>
          </cell>
        </row>
        <row r="37963">
          <cell r="A37963">
            <v>43748</v>
          </cell>
        </row>
        <row r="37964">
          <cell r="A37964">
            <v>43364</v>
          </cell>
        </row>
        <row r="37965">
          <cell r="A37965">
            <v>43425</v>
          </cell>
        </row>
        <row r="37966">
          <cell r="A37966">
            <v>43457</v>
          </cell>
        </row>
        <row r="37967">
          <cell r="A37967">
            <v>43542</v>
          </cell>
        </row>
        <row r="37968">
          <cell r="A37968">
            <v>43362</v>
          </cell>
        </row>
        <row r="37969">
          <cell r="A37969">
            <v>43913</v>
          </cell>
        </row>
        <row r="37970">
          <cell r="A37970">
            <v>43500</v>
          </cell>
        </row>
        <row r="37971">
          <cell r="A37971">
            <v>43736</v>
          </cell>
        </row>
        <row r="37972">
          <cell r="A37972">
            <v>43232</v>
          </cell>
        </row>
        <row r="37973">
          <cell r="A37973">
            <v>43521</v>
          </cell>
        </row>
        <row r="37974">
          <cell r="A37974">
            <v>43462</v>
          </cell>
        </row>
        <row r="37975">
          <cell r="A37975">
            <v>43230</v>
          </cell>
        </row>
        <row r="37976">
          <cell r="A37976">
            <v>43215</v>
          </cell>
        </row>
        <row r="37977">
          <cell r="A37977">
            <v>43698</v>
          </cell>
        </row>
        <row r="37978">
          <cell r="A37978">
            <v>43421</v>
          </cell>
        </row>
        <row r="37979">
          <cell r="A37979">
            <v>43183</v>
          </cell>
        </row>
        <row r="37980">
          <cell r="A37980">
            <v>43621</v>
          </cell>
        </row>
        <row r="37981">
          <cell r="A37981">
            <v>43140</v>
          </cell>
        </row>
        <row r="37982">
          <cell r="A37982">
            <v>43551</v>
          </cell>
        </row>
        <row r="37983">
          <cell r="A37983">
            <v>43519</v>
          </cell>
        </row>
        <row r="37984">
          <cell r="A37984">
            <v>43713</v>
          </cell>
        </row>
        <row r="37985">
          <cell r="A37985">
            <v>43765</v>
          </cell>
        </row>
        <row r="37986">
          <cell r="A37986">
            <v>43563</v>
          </cell>
        </row>
        <row r="37987">
          <cell r="A37987">
            <v>43289</v>
          </cell>
        </row>
        <row r="37988">
          <cell r="A37988">
            <v>43551</v>
          </cell>
        </row>
        <row r="37989">
          <cell r="A37989">
            <v>43194</v>
          </cell>
        </row>
        <row r="37990">
          <cell r="A37990">
            <v>43173</v>
          </cell>
        </row>
        <row r="37991">
          <cell r="A37991">
            <v>43195</v>
          </cell>
        </row>
        <row r="37992">
          <cell r="A37992">
            <v>43133</v>
          </cell>
        </row>
        <row r="37993">
          <cell r="A37993">
            <v>43212</v>
          </cell>
        </row>
        <row r="37994">
          <cell r="A37994">
            <v>43723</v>
          </cell>
        </row>
        <row r="37995">
          <cell r="A37995">
            <v>43200</v>
          </cell>
        </row>
        <row r="37996">
          <cell r="A37996">
            <v>43568</v>
          </cell>
        </row>
        <row r="37997">
          <cell r="A37997">
            <v>43135</v>
          </cell>
        </row>
        <row r="37998">
          <cell r="A37998">
            <v>43740</v>
          </cell>
        </row>
        <row r="37999">
          <cell r="A37999">
            <v>43417</v>
          </cell>
        </row>
        <row r="38000">
          <cell r="A38000">
            <v>43915</v>
          </cell>
        </row>
        <row r="38001">
          <cell r="A38001">
            <v>43400</v>
          </cell>
        </row>
        <row r="38002">
          <cell r="A38002">
            <v>43157</v>
          </cell>
        </row>
        <row r="38003">
          <cell r="A38003">
            <v>43738</v>
          </cell>
        </row>
        <row r="38004">
          <cell r="A38004">
            <v>43905</v>
          </cell>
        </row>
        <row r="38005">
          <cell r="A38005">
            <v>43789</v>
          </cell>
        </row>
        <row r="38006">
          <cell r="A38006">
            <v>43568</v>
          </cell>
        </row>
        <row r="38007">
          <cell r="A38007">
            <v>43877</v>
          </cell>
        </row>
        <row r="38008">
          <cell r="A38008">
            <v>43889</v>
          </cell>
        </row>
        <row r="38009">
          <cell r="A38009">
            <v>43809</v>
          </cell>
        </row>
        <row r="38010">
          <cell r="A38010">
            <v>43592</v>
          </cell>
        </row>
        <row r="38011">
          <cell r="A38011">
            <v>43592</v>
          </cell>
        </row>
        <row r="38012">
          <cell r="A38012">
            <v>43907</v>
          </cell>
        </row>
        <row r="38013">
          <cell r="A38013">
            <v>43163</v>
          </cell>
        </row>
        <row r="38014">
          <cell r="A38014">
            <v>43904</v>
          </cell>
        </row>
        <row r="38015">
          <cell r="A38015">
            <v>43429</v>
          </cell>
        </row>
        <row r="38016">
          <cell r="A38016">
            <v>43795</v>
          </cell>
        </row>
        <row r="38017">
          <cell r="A38017">
            <v>43284</v>
          </cell>
        </row>
        <row r="38018">
          <cell r="A38018">
            <v>43125</v>
          </cell>
        </row>
        <row r="38019">
          <cell r="A38019">
            <v>43281</v>
          </cell>
        </row>
        <row r="38020">
          <cell r="A38020">
            <v>43800</v>
          </cell>
        </row>
        <row r="38021">
          <cell r="A38021">
            <v>43396</v>
          </cell>
        </row>
        <row r="38022">
          <cell r="A38022">
            <v>43510</v>
          </cell>
        </row>
        <row r="38023">
          <cell r="A38023">
            <v>43165</v>
          </cell>
        </row>
        <row r="38024">
          <cell r="A38024">
            <v>43718</v>
          </cell>
        </row>
        <row r="38025">
          <cell r="A38025">
            <v>43317</v>
          </cell>
        </row>
        <row r="38026">
          <cell r="A38026">
            <v>43820</v>
          </cell>
        </row>
        <row r="38027">
          <cell r="A38027">
            <v>43719</v>
          </cell>
        </row>
        <row r="38028">
          <cell r="A38028">
            <v>43679</v>
          </cell>
        </row>
        <row r="38029">
          <cell r="A38029">
            <v>43727</v>
          </cell>
        </row>
        <row r="38030">
          <cell r="A38030">
            <v>43803</v>
          </cell>
        </row>
        <row r="38031">
          <cell r="A38031">
            <v>43106</v>
          </cell>
        </row>
        <row r="38032">
          <cell r="A38032">
            <v>43686</v>
          </cell>
        </row>
        <row r="38033">
          <cell r="A38033">
            <v>43427</v>
          </cell>
        </row>
        <row r="38034">
          <cell r="A38034">
            <v>43344</v>
          </cell>
        </row>
        <row r="38035">
          <cell r="A38035">
            <v>43414</v>
          </cell>
        </row>
        <row r="38036">
          <cell r="A38036">
            <v>43636</v>
          </cell>
        </row>
        <row r="38037">
          <cell r="A38037">
            <v>43412</v>
          </cell>
        </row>
        <row r="38038">
          <cell r="A38038">
            <v>43274</v>
          </cell>
        </row>
        <row r="38039">
          <cell r="A38039">
            <v>43134</v>
          </cell>
        </row>
        <row r="38040">
          <cell r="A38040">
            <v>43892</v>
          </cell>
        </row>
        <row r="38041">
          <cell r="A38041">
            <v>43871</v>
          </cell>
        </row>
        <row r="38042">
          <cell r="A38042">
            <v>43447</v>
          </cell>
        </row>
        <row r="38043">
          <cell r="A38043">
            <v>43128</v>
          </cell>
        </row>
        <row r="38044">
          <cell r="A38044">
            <v>43437</v>
          </cell>
        </row>
        <row r="38045">
          <cell r="A38045">
            <v>43239</v>
          </cell>
        </row>
        <row r="38046">
          <cell r="A38046">
            <v>43228</v>
          </cell>
        </row>
        <row r="38047">
          <cell r="A38047">
            <v>43283</v>
          </cell>
        </row>
        <row r="38048">
          <cell r="A38048">
            <v>43762</v>
          </cell>
        </row>
        <row r="38049">
          <cell r="A38049">
            <v>43507</v>
          </cell>
        </row>
        <row r="38050">
          <cell r="A38050">
            <v>43191</v>
          </cell>
        </row>
        <row r="38051">
          <cell r="A38051">
            <v>43234</v>
          </cell>
        </row>
        <row r="38052">
          <cell r="A38052">
            <v>43735</v>
          </cell>
        </row>
        <row r="38053">
          <cell r="A38053">
            <v>43264</v>
          </cell>
        </row>
        <row r="38054">
          <cell r="A38054">
            <v>43685</v>
          </cell>
        </row>
        <row r="38055">
          <cell r="A38055">
            <v>43859</v>
          </cell>
        </row>
        <row r="38056">
          <cell r="A38056">
            <v>43654</v>
          </cell>
        </row>
        <row r="38057">
          <cell r="A38057">
            <v>43562</v>
          </cell>
        </row>
        <row r="38058">
          <cell r="A38058">
            <v>43396</v>
          </cell>
        </row>
        <row r="38059">
          <cell r="A38059">
            <v>43579</v>
          </cell>
        </row>
        <row r="38060">
          <cell r="A38060">
            <v>43196</v>
          </cell>
        </row>
        <row r="38061">
          <cell r="A38061">
            <v>43805</v>
          </cell>
        </row>
        <row r="38062">
          <cell r="A38062">
            <v>43907</v>
          </cell>
        </row>
        <row r="38063">
          <cell r="A38063">
            <v>43751</v>
          </cell>
        </row>
        <row r="38064">
          <cell r="A38064">
            <v>43718</v>
          </cell>
        </row>
        <row r="38065">
          <cell r="A38065">
            <v>43915</v>
          </cell>
        </row>
        <row r="38066">
          <cell r="A38066">
            <v>43538</v>
          </cell>
        </row>
        <row r="38067">
          <cell r="A38067">
            <v>43339</v>
          </cell>
        </row>
        <row r="38068">
          <cell r="A38068">
            <v>43432</v>
          </cell>
        </row>
        <row r="38069">
          <cell r="A38069">
            <v>43546</v>
          </cell>
        </row>
        <row r="38070">
          <cell r="A38070">
            <v>43647</v>
          </cell>
        </row>
        <row r="38071">
          <cell r="A38071">
            <v>43420</v>
          </cell>
        </row>
        <row r="38072">
          <cell r="A38072">
            <v>43728</v>
          </cell>
        </row>
        <row r="38073">
          <cell r="A38073">
            <v>43482</v>
          </cell>
        </row>
        <row r="38074">
          <cell r="A38074">
            <v>43801</v>
          </cell>
        </row>
        <row r="38075">
          <cell r="A38075">
            <v>43465</v>
          </cell>
        </row>
        <row r="38076">
          <cell r="A38076">
            <v>43803</v>
          </cell>
        </row>
        <row r="38077">
          <cell r="A38077">
            <v>43890</v>
          </cell>
        </row>
        <row r="38078">
          <cell r="A38078">
            <v>43304</v>
          </cell>
        </row>
        <row r="38079">
          <cell r="A38079">
            <v>43110</v>
          </cell>
        </row>
        <row r="38080">
          <cell r="A38080">
            <v>43907</v>
          </cell>
        </row>
        <row r="38081">
          <cell r="A38081">
            <v>43269</v>
          </cell>
        </row>
        <row r="38082">
          <cell r="A38082">
            <v>43810</v>
          </cell>
        </row>
        <row r="38083">
          <cell r="A38083">
            <v>43903</v>
          </cell>
        </row>
        <row r="38084">
          <cell r="A38084">
            <v>43154</v>
          </cell>
        </row>
        <row r="38085">
          <cell r="A38085">
            <v>43865</v>
          </cell>
        </row>
        <row r="38086">
          <cell r="A38086">
            <v>43454</v>
          </cell>
        </row>
        <row r="38087">
          <cell r="A38087">
            <v>43661</v>
          </cell>
        </row>
        <row r="38088">
          <cell r="A38088">
            <v>43677</v>
          </cell>
        </row>
        <row r="38089">
          <cell r="A38089">
            <v>43574</v>
          </cell>
        </row>
        <row r="38090">
          <cell r="A38090">
            <v>43209</v>
          </cell>
        </row>
        <row r="38091">
          <cell r="A38091">
            <v>43364</v>
          </cell>
        </row>
        <row r="38092">
          <cell r="A38092">
            <v>43554</v>
          </cell>
        </row>
        <row r="38093">
          <cell r="A38093">
            <v>43542</v>
          </cell>
        </row>
        <row r="38094">
          <cell r="A38094">
            <v>43326</v>
          </cell>
        </row>
        <row r="38095">
          <cell r="A38095">
            <v>43145</v>
          </cell>
        </row>
        <row r="38096">
          <cell r="A38096">
            <v>43606</v>
          </cell>
        </row>
        <row r="38097">
          <cell r="A38097">
            <v>43897</v>
          </cell>
        </row>
        <row r="38098">
          <cell r="A38098">
            <v>43606</v>
          </cell>
        </row>
        <row r="38099">
          <cell r="A38099">
            <v>43216</v>
          </cell>
        </row>
        <row r="38100">
          <cell r="A38100">
            <v>43858</v>
          </cell>
        </row>
        <row r="38101">
          <cell r="A38101">
            <v>43160</v>
          </cell>
        </row>
        <row r="38102">
          <cell r="A38102">
            <v>43838</v>
          </cell>
        </row>
        <row r="38103">
          <cell r="A38103">
            <v>43823</v>
          </cell>
        </row>
        <row r="38104">
          <cell r="A38104">
            <v>43618</v>
          </cell>
        </row>
        <row r="38105">
          <cell r="A38105">
            <v>43887</v>
          </cell>
        </row>
        <row r="38106">
          <cell r="A38106">
            <v>43522</v>
          </cell>
        </row>
        <row r="38107">
          <cell r="A38107">
            <v>43296</v>
          </cell>
        </row>
        <row r="38108">
          <cell r="A38108">
            <v>43413</v>
          </cell>
        </row>
        <row r="38109">
          <cell r="A38109">
            <v>43723</v>
          </cell>
        </row>
        <row r="38110">
          <cell r="A38110">
            <v>43560</v>
          </cell>
        </row>
        <row r="38111">
          <cell r="A38111">
            <v>43830</v>
          </cell>
        </row>
        <row r="38112">
          <cell r="A38112">
            <v>43268</v>
          </cell>
        </row>
        <row r="38113">
          <cell r="A38113">
            <v>43641</v>
          </cell>
        </row>
        <row r="38114">
          <cell r="A38114">
            <v>43314</v>
          </cell>
        </row>
        <row r="38115">
          <cell r="A38115">
            <v>43162</v>
          </cell>
        </row>
        <row r="38116">
          <cell r="A38116">
            <v>43898</v>
          </cell>
        </row>
        <row r="38117">
          <cell r="A38117">
            <v>43254</v>
          </cell>
        </row>
        <row r="38118">
          <cell r="A38118">
            <v>43533</v>
          </cell>
        </row>
        <row r="38119">
          <cell r="A38119">
            <v>43566</v>
          </cell>
        </row>
        <row r="38120">
          <cell r="A38120">
            <v>43717</v>
          </cell>
        </row>
        <row r="38121">
          <cell r="A38121">
            <v>43378</v>
          </cell>
        </row>
        <row r="38122">
          <cell r="A38122">
            <v>43101</v>
          </cell>
        </row>
        <row r="38123">
          <cell r="A38123">
            <v>43750</v>
          </cell>
        </row>
        <row r="38124">
          <cell r="A38124">
            <v>43364</v>
          </cell>
        </row>
        <row r="38125">
          <cell r="A38125">
            <v>43791</v>
          </cell>
        </row>
        <row r="38126">
          <cell r="A38126">
            <v>43792</v>
          </cell>
        </row>
        <row r="38127">
          <cell r="A38127">
            <v>43320</v>
          </cell>
        </row>
        <row r="38128">
          <cell r="A38128">
            <v>43657</v>
          </cell>
        </row>
        <row r="38129">
          <cell r="A38129">
            <v>43832</v>
          </cell>
        </row>
        <row r="38130">
          <cell r="A38130">
            <v>43679</v>
          </cell>
        </row>
        <row r="38131">
          <cell r="A38131">
            <v>43815</v>
          </cell>
        </row>
        <row r="38132">
          <cell r="A38132">
            <v>43880</v>
          </cell>
        </row>
        <row r="38133">
          <cell r="A38133">
            <v>43262</v>
          </cell>
        </row>
        <row r="38134">
          <cell r="A38134">
            <v>43770</v>
          </cell>
        </row>
        <row r="38135">
          <cell r="A38135">
            <v>43362</v>
          </cell>
        </row>
        <row r="38136">
          <cell r="A38136">
            <v>43882</v>
          </cell>
        </row>
        <row r="38137">
          <cell r="A38137">
            <v>43696</v>
          </cell>
        </row>
        <row r="38138">
          <cell r="A38138">
            <v>43642</v>
          </cell>
        </row>
        <row r="38139">
          <cell r="A38139">
            <v>43558</v>
          </cell>
        </row>
        <row r="38140">
          <cell r="A38140">
            <v>43446</v>
          </cell>
        </row>
        <row r="38141">
          <cell r="A38141">
            <v>43519</v>
          </cell>
        </row>
        <row r="38142">
          <cell r="A38142">
            <v>43609</v>
          </cell>
        </row>
        <row r="38143">
          <cell r="A38143">
            <v>43646</v>
          </cell>
        </row>
        <row r="38144">
          <cell r="A38144">
            <v>43700</v>
          </cell>
        </row>
        <row r="38145">
          <cell r="A38145">
            <v>43635</v>
          </cell>
        </row>
        <row r="38146">
          <cell r="A38146">
            <v>43215</v>
          </cell>
        </row>
        <row r="38147">
          <cell r="A38147">
            <v>43867</v>
          </cell>
        </row>
        <row r="38148">
          <cell r="A38148">
            <v>43434</v>
          </cell>
        </row>
        <row r="38149">
          <cell r="A38149">
            <v>43362</v>
          </cell>
        </row>
        <row r="38150">
          <cell r="A38150">
            <v>43456</v>
          </cell>
        </row>
        <row r="38151">
          <cell r="A38151">
            <v>43671</v>
          </cell>
        </row>
        <row r="38152">
          <cell r="A38152">
            <v>43407</v>
          </cell>
        </row>
        <row r="38153">
          <cell r="A38153">
            <v>43422</v>
          </cell>
        </row>
        <row r="38154">
          <cell r="A38154">
            <v>43566</v>
          </cell>
        </row>
        <row r="38155">
          <cell r="A38155">
            <v>43875</v>
          </cell>
        </row>
        <row r="38156">
          <cell r="A38156">
            <v>43339</v>
          </cell>
        </row>
        <row r="38157">
          <cell r="A38157">
            <v>43490</v>
          </cell>
        </row>
        <row r="38158">
          <cell r="A38158">
            <v>43452</v>
          </cell>
        </row>
        <row r="38159">
          <cell r="A38159">
            <v>43406</v>
          </cell>
        </row>
        <row r="38160">
          <cell r="A38160">
            <v>43173</v>
          </cell>
        </row>
        <row r="38161">
          <cell r="A38161">
            <v>43191</v>
          </cell>
        </row>
        <row r="38162">
          <cell r="A38162">
            <v>43441</v>
          </cell>
        </row>
        <row r="38163">
          <cell r="A38163">
            <v>43358</v>
          </cell>
        </row>
        <row r="38164">
          <cell r="A38164">
            <v>43769</v>
          </cell>
        </row>
        <row r="38165">
          <cell r="A38165">
            <v>43295</v>
          </cell>
        </row>
        <row r="38166">
          <cell r="A38166">
            <v>43607</v>
          </cell>
        </row>
        <row r="38167">
          <cell r="A38167">
            <v>43693</v>
          </cell>
        </row>
        <row r="38168">
          <cell r="A38168">
            <v>43431</v>
          </cell>
        </row>
        <row r="38169">
          <cell r="A38169">
            <v>43862</v>
          </cell>
        </row>
        <row r="38170">
          <cell r="A38170">
            <v>43905</v>
          </cell>
        </row>
        <row r="38171">
          <cell r="A38171">
            <v>43483</v>
          </cell>
        </row>
        <row r="38172">
          <cell r="A38172">
            <v>43315</v>
          </cell>
        </row>
        <row r="38173">
          <cell r="A38173">
            <v>43573</v>
          </cell>
        </row>
        <row r="38174">
          <cell r="A38174">
            <v>43450</v>
          </cell>
        </row>
        <row r="38175">
          <cell r="A38175">
            <v>43450</v>
          </cell>
        </row>
        <row r="38176">
          <cell r="A38176">
            <v>43343</v>
          </cell>
        </row>
        <row r="38177">
          <cell r="A38177">
            <v>43260</v>
          </cell>
        </row>
        <row r="38178">
          <cell r="A38178">
            <v>43532</v>
          </cell>
        </row>
        <row r="38179">
          <cell r="A38179">
            <v>43782</v>
          </cell>
        </row>
        <row r="38180">
          <cell r="A38180">
            <v>43626</v>
          </cell>
        </row>
        <row r="38181">
          <cell r="A38181">
            <v>43665</v>
          </cell>
        </row>
        <row r="38182">
          <cell r="A38182">
            <v>43116</v>
          </cell>
        </row>
        <row r="38183">
          <cell r="A38183">
            <v>43517</v>
          </cell>
        </row>
        <row r="38184">
          <cell r="A38184">
            <v>43346</v>
          </cell>
        </row>
        <row r="38185">
          <cell r="A38185">
            <v>43312</v>
          </cell>
        </row>
        <row r="38186">
          <cell r="A38186">
            <v>43815</v>
          </cell>
        </row>
        <row r="38187">
          <cell r="A38187">
            <v>43516</v>
          </cell>
        </row>
        <row r="38188">
          <cell r="A38188">
            <v>43694</v>
          </cell>
        </row>
        <row r="38189">
          <cell r="A38189">
            <v>43497</v>
          </cell>
        </row>
        <row r="38190">
          <cell r="A38190">
            <v>43612</v>
          </cell>
        </row>
        <row r="38191">
          <cell r="A38191">
            <v>43418</v>
          </cell>
        </row>
        <row r="38192">
          <cell r="A38192">
            <v>43187</v>
          </cell>
        </row>
        <row r="38193">
          <cell r="A38193">
            <v>43318</v>
          </cell>
        </row>
        <row r="38194">
          <cell r="A38194">
            <v>43673</v>
          </cell>
        </row>
        <row r="38195">
          <cell r="A38195">
            <v>43515</v>
          </cell>
        </row>
        <row r="38196">
          <cell r="A38196">
            <v>43863</v>
          </cell>
        </row>
        <row r="38197">
          <cell r="A38197">
            <v>43144</v>
          </cell>
        </row>
        <row r="38198">
          <cell r="A38198">
            <v>43804</v>
          </cell>
        </row>
        <row r="38199">
          <cell r="A38199">
            <v>43456</v>
          </cell>
        </row>
        <row r="38200">
          <cell r="A38200">
            <v>43392</v>
          </cell>
        </row>
        <row r="38201">
          <cell r="A38201">
            <v>43572</v>
          </cell>
        </row>
        <row r="38202">
          <cell r="A38202">
            <v>43410</v>
          </cell>
        </row>
        <row r="38203">
          <cell r="A38203">
            <v>43315</v>
          </cell>
        </row>
        <row r="38204">
          <cell r="A38204">
            <v>43151</v>
          </cell>
        </row>
        <row r="38205">
          <cell r="A38205">
            <v>43364</v>
          </cell>
        </row>
        <row r="38206">
          <cell r="A38206">
            <v>43695</v>
          </cell>
        </row>
        <row r="38207">
          <cell r="A38207">
            <v>43868</v>
          </cell>
        </row>
        <row r="38208">
          <cell r="A38208">
            <v>43672</v>
          </cell>
        </row>
        <row r="38209">
          <cell r="A38209">
            <v>43735</v>
          </cell>
        </row>
        <row r="38210">
          <cell r="A38210">
            <v>43658</v>
          </cell>
        </row>
        <row r="38211">
          <cell r="A38211">
            <v>43397</v>
          </cell>
        </row>
        <row r="38212">
          <cell r="A38212">
            <v>43915</v>
          </cell>
        </row>
        <row r="38213">
          <cell r="A38213">
            <v>43597</v>
          </cell>
        </row>
        <row r="38214">
          <cell r="A38214">
            <v>43730</v>
          </cell>
        </row>
        <row r="38215">
          <cell r="A38215">
            <v>43600</v>
          </cell>
        </row>
        <row r="38216">
          <cell r="A38216">
            <v>43425</v>
          </cell>
        </row>
        <row r="38217">
          <cell r="A38217">
            <v>43112</v>
          </cell>
        </row>
        <row r="38218">
          <cell r="A38218">
            <v>43273</v>
          </cell>
        </row>
        <row r="38219">
          <cell r="A38219">
            <v>43263</v>
          </cell>
        </row>
        <row r="38220">
          <cell r="A38220">
            <v>43918</v>
          </cell>
        </row>
        <row r="38221">
          <cell r="A38221">
            <v>43243</v>
          </cell>
        </row>
        <row r="38222">
          <cell r="A38222">
            <v>43452</v>
          </cell>
        </row>
        <row r="38223">
          <cell r="A38223">
            <v>43481</v>
          </cell>
        </row>
        <row r="38224">
          <cell r="A38224">
            <v>43203</v>
          </cell>
        </row>
        <row r="38225">
          <cell r="A38225">
            <v>43494</v>
          </cell>
        </row>
        <row r="38226">
          <cell r="A38226">
            <v>43477</v>
          </cell>
        </row>
        <row r="38227">
          <cell r="A38227">
            <v>43502</v>
          </cell>
        </row>
        <row r="38228">
          <cell r="A38228">
            <v>43865</v>
          </cell>
        </row>
        <row r="38229">
          <cell r="A38229">
            <v>43149</v>
          </cell>
        </row>
        <row r="38230">
          <cell r="A38230">
            <v>43324</v>
          </cell>
        </row>
        <row r="38231">
          <cell r="A38231">
            <v>43722</v>
          </cell>
        </row>
        <row r="38232">
          <cell r="A38232">
            <v>43601</v>
          </cell>
        </row>
        <row r="38233">
          <cell r="A38233">
            <v>43805</v>
          </cell>
        </row>
        <row r="38234">
          <cell r="A38234">
            <v>43486</v>
          </cell>
        </row>
        <row r="38235">
          <cell r="A38235">
            <v>43811</v>
          </cell>
        </row>
        <row r="38236">
          <cell r="A38236">
            <v>43220</v>
          </cell>
        </row>
        <row r="38237">
          <cell r="A38237">
            <v>43463</v>
          </cell>
        </row>
        <row r="38238">
          <cell r="A38238">
            <v>43428</v>
          </cell>
        </row>
        <row r="38239">
          <cell r="A38239">
            <v>43597</v>
          </cell>
        </row>
        <row r="38240">
          <cell r="A38240">
            <v>43422</v>
          </cell>
        </row>
        <row r="38241">
          <cell r="A38241">
            <v>43351</v>
          </cell>
        </row>
        <row r="38242">
          <cell r="A38242">
            <v>43237</v>
          </cell>
        </row>
        <row r="38243">
          <cell r="A38243">
            <v>43740</v>
          </cell>
        </row>
        <row r="38244">
          <cell r="A38244">
            <v>43590</v>
          </cell>
        </row>
        <row r="38245">
          <cell r="A38245">
            <v>43160</v>
          </cell>
        </row>
        <row r="38246">
          <cell r="A38246">
            <v>43564</v>
          </cell>
        </row>
        <row r="38247">
          <cell r="A38247">
            <v>43706</v>
          </cell>
        </row>
        <row r="38248">
          <cell r="A38248">
            <v>43866</v>
          </cell>
        </row>
        <row r="38249">
          <cell r="A38249">
            <v>43360</v>
          </cell>
        </row>
        <row r="38250">
          <cell r="A38250">
            <v>43769</v>
          </cell>
        </row>
        <row r="38251">
          <cell r="A38251">
            <v>43663</v>
          </cell>
        </row>
        <row r="38252">
          <cell r="A38252">
            <v>43788</v>
          </cell>
        </row>
        <row r="38253">
          <cell r="A38253">
            <v>43808</v>
          </cell>
        </row>
        <row r="38254">
          <cell r="A38254">
            <v>43122</v>
          </cell>
        </row>
        <row r="38255">
          <cell r="A38255">
            <v>43543</v>
          </cell>
        </row>
        <row r="38256">
          <cell r="A38256">
            <v>43274</v>
          </cell>
        </row>
        <row r="38257">
          <cell r="A38257">
            <v>43652</v>
          </cell>
        </row>
        <row r="38258">
          <cell r="A38258">
            <v>43546</v>
          </cell>
        </row>
        <row r="38259">
          <cell r="A38259">
            <v>43390</v>
          </cell>
        </row>
        <row r="38260">
          <cell r="A38260">
            <v>43261</v>
          </cell>
        </row>
        <row r="38261">
          <cell r="A38261">
            <v>43223</v>
          </cell>
        </row>
        <row r="38262">
          <cell r="A38262">
            <v>43759</v>
          </cell>
        </row>
        <row r="38263">
          <cell r="A38263">
            <v>43839</v>
          </cell>
        </row>
        <row r="38264">
          <cell r="A38264">
            <v>43671</v>
          </cell>
        </row>
        <row r="38265">
          <cell r="A38265">
            <v>43427</v>
          </cell>
        </row>
        <row r="38266">
          <cell r="A38266">
            <v>43199</v>
          </cell>
        </row>
        <row r="38267">
          <cell r="A38267">
            <v>43158</v>
          </cell>
        </row>
        <row r="38268">
          <cell r="A38268">
            <v>43401</v>
          </cell>
        </row>
        <row r="38269">
          <cell r="A38269">
            <v>43828</v>
          </cell>
        </row>
        <row r="38270">
          <cell r="A38270">
            <v>43204</v>
          </cell>
        </row>
        <row r="38271">
          <cell r="A38271">
            <v>43479</v>
          </cell>
        </row>
        <row r="38272">
          <cell r="A38272">
            <v>43469</v>
          </cell>
        </row>
        <row r="38273">
          <cell r="A38273">
            <v>43860</v>
          </cell>
        </row>
        <row r="38274">
          <cell r="A38274">
            <v>43918</v>
          </cell>
        </row>
        <row r="38275">
          <cell r="A38275">
            <v>43412</v>
          </cell>
        </row>
        <row r="38276">
          <cell r="A38276">
            <v>43844</v>
          </cell>
        </row>
        <row r="38277">
          <cell r="A38277">
            <v>43172</v>
          </cell>
        </row>
        <row r="38278">
          <cell r="A38278">
            <v>43718</v>
          </cell>
        </row>
        <row r="38279">
          <cell r="A38279">
            <v>43700</v>
          </cell>
        </row>
        <row r="38280">
          <cell r="A38280">
            <v>43133</v>
          </cell>
        </row>
        <row r="38281">
          <cell r="A38281">
            <v>43458</v>
          </cell>
        </row>
        <row r="38282">
          <cell r="A38282">
            <v>43726</v>
          </cell>
        </row>
        <row r="38283">
          <cell r="A38283">
            <v>43277</v>
          </cell>
        </row>
        <row r="38284">
          <cell r="A38284">
            <v>43191</v>
          </cell>
        </row>
        <row r="38285">
          <cell r="A38285">
            <v>43753</v>
          </cell>
        </row>
        <row r="38286">
          <cell r="A38286">
            <v>43319</v>
          </cell>
        </row>
        <row r="38287">
          <cell r="A38287">
            <v>43894</v>
          </cell>
        </row>
        <row r="38288">
          <cell r="A38288">
            <v>43312</v>
          </cell>
        </row>
        <row r="38289">
          <cell r="A38289">
            <v>43858</v>
          </cell>
        </row>
        <row r="38290">
          <cell r="A38290">
            <v>43258</v>
          </cell>
        </row>
        <row r="38291">
          <cell r="A38291">
            <v>43245</v>
          </cell>
        </row>
        <row r="38292">
          <cell r="A38292">
            <v>43690</v>
          </cell>
        </row>
        <row r="38293">
          <cell r="A38293">
            <v>43741</v>
          </cell>
        </row>
        <row r="38294">
          <cell r="A38294">
            <v>43749</v>
          </cell>
        </row>
        <row r="38295">
          <cell r="A38295">
            <v>43452</v>
          </cell>
        </row>
        <row r="38296">
          <cell r="A38296">
            <v>43301</v>
          </cell>
        </row>
        <row r="38297">
          <cell r="A38297">
            <v>43425</v>
          </cell>
        </row>
        <row r="38298">
          <cell r="A38298">
            <v>43900</v>
          </cell>
        </row>
        <row r="38299">
          <cell r="A38299">
            <v>43920</v>
          </cell>
        </row>
        <row r="38300">
          <cell r="A38300">
            <v>43752</v>
          </cell>
        </row>
        <row r="38301">
          <cell r="A38301">
            <v>43104</v>
          </cell>
        </row>
        <row r="38302">
          <cell r="A38302">
            <v>43609</v>
          </cell>
        </row>
        <row r="38303">
          <cell r="A38303">
            <v>43851</v>
          </cell>
        </row>
        <row r="38304">
          <cell r="A38304">
            <v>43347</v>
          </cell>
        </row>
        <row r="38305">
          <cell r="A38305">
            <v>43847</v>
          </cell>
        </row>
        <row r="38306">
          <cell r="A38306">
            <v>43305</v>
          </cell>
        </row>
        <row r="38307">
          <cell r="A38307">
            <v>43520</v>
          </cell>
        </row>
        <row r="38308">
          <cell r="A38308">
            <v>43534</v>
          </cell>
        </row>
        <row r="38309">
          <cell r="A38309">
            <v>43806</v>
          </cell>
        </row>
        <row r="38310">
          <cell r="A38310">
            <v>43181</v>
          </cell>
        </row>
        <row r="38311">
          <cell r="A38311">
            <v>43685</v>
          </cell>
        </row>
        <row r="38312">
          <cell r="A38312">
            <v>43299</v>
          </cell>
        </row>
        <row r="38313">
          <cell r="A38313">
            <v>43443</v>
          </cell>
        </row>
        <row r="38314">
          <cell r="A38314">
            <v>43203</v>
          </cell>
        </row>
        <row r="38315">
          <cell r="A38315">
            <v>43697</v>
          </cell>
        </row>
        <row r="38316">
          <cell r="A38316">
            <v>43825</v>
          </cell>
        </row>
        <row r="38317">
          <cell r="A38317">
            <v>43256</v>
          </cell>
        </row>
        <row r="38318">
          <cell r="A38318">
            <v>43589</v>
          </cell>
        </row>
        <row r="38319">
          <cell r="A38319">
            <v>43377</v>
          </cell>
        </row>
        <row r="38320">
          <cell r="A38320">
            <v>43760</v>
          </cell>
        </row>
        <row r="38321">
          <cell r="A38321">
            <v>43178</v>
          </cell>
        </row>
        <row r="38322">
          <cell r="A38322">
            <v>43360</v>
          </cell>
        </row>
        <row r="38323">
          <cell r="A38323">
            <v>43603</v>
          </cell>
        </row>
        <row r="38324">
          <cell r="A38324">
            <v>43817</v>
          </cell>
        </row>
        <row r="38325">
          <cell r="A38325">
            <v>43417</v>
          </cell>
        </row>
        <row r="38326">
          <cell r="A38326">
            <v>43760</v>
          </cell>
        </row>
        <row r="38327">
          <cell r="A38327">
            <v>43685</v>
          </cell>
        </row>
        <row r="38328">
          <cell r="A38328">
            <v>43160</v>
          </cell>
        </row>
        <row r="38329">
          <cell r="A38329">
            <v>43408</v>
          </cell>
        </row>
        <row r="38330">
          <cell r="A38330">
            <v>43275</v>
          </cell>
        </row>
        <row r="38331">
          <cell r="A38331">
            <v>43448</v>
          </cell>
        </row>
        <row r="38332">
          <cell r="A38332">
            <v>43310</v>
          </cell>
        </row>
        <row r="38333">
          <cell r="A38333">
            <v>43657</v>
          </cell>
        </row>
        <row r="38334">
          <cell r="A38334">
            <v>43595</v>
          </cell>
        </row>
        <row r="38335">
          <cell r="A38335">
            <v>43363</v>
          </cell>
        </row>
        <row r="38336">
          <cell r="A38336">
            <v>43178</v>
          </cell>
        </row>
        <row r="38337">
          <cell r="A38337">
            <v>43243</v>
          </cell>
        </row>
        <row r="38338">
          <cell r="A38338">
            <v>43560</v>
          </cell>
        </row>
        <row r="38339">
          <cell r="A38339">
            <v>43237</v>
          </cell>
        </row>
        <row r="38340">
          <cell r="A38340">
            <v>43359</v>
          </cell>
        </row>
        <row r="38341">
          <cell r="A38341">
            <v>43560</v>
          </cell>
        </row>
        <row r="38342">
          <cell r="A38342">
            <v>43196</v>
          </cell>
        </row>
        <row r="38343">
          <cell r="A38343">
            <v>43489</v>
          </cell>
        </row>
        <row r="38344">
          <cell r="A38344">
            <v>43663</v>
          </cell>
        </row>
        <row r="38345">
          <cell r="A38345">
            <v>43889</v>
          </cell>
        </row>
        <row r="38346">
          <cell r="A38346">
            <v>43619</v>
          </cell>
        </row>
        <row r="38347">
          <cell r="A38347">
            <v>43190</v>
          </cell>
        </row>
        <row r="38348">
          <cell r="A38348">
            <v>43612</v>
          </cell>
        </row>
        <row r="38349">
          <cell r="A38349">
            <v>43845</v>
          </cell>
        </row>
        <row r="38350">
          <cell r="A38350">
            <v>43343</v>
          </cell>
        </row>
        <row r="38351">
          <cell r="A38351">
            <v>43789</v>
          </cell>
        </row>
        <row r="38352">
          <cell r="A38352">
            <v>43386</v>
          </cell>
        </row>
        <row r="38353">
          <cell r="A38353">
            <v>43626</v>
          </cell>
        </row>
        <row r="38354">
          <cell r="A38354">
            <v>43437</v>
          </cell>
        </row>
        <row r="38355">
          <cell r="A38355">
            <v>43485</v>
          </cell>
        </row>
        <row r="38356">
          <cell r="A38356">
            <v>43559</v>
          </cell>
        </row>
        <row r="38357">
          <cell r="A38357">
            <v>43731</v>
          </cell>
        </row>
        <row r="38358">
          <cell r="A38358">
            <v>43473</v>
          </cell>
        </row>
        <row r="38359">
          <cell r="A38359">
            <v>43770</v>
          </cell>
        </row>
        <row r="38360">
          <cell r="A38360">
            <v>43639</v>
          </cell>
        </row>
        <row r="38361">
          <cell r="A38361">
            <v>43166</v>
          </cell>
        </row>
        <row r="38362">
          <cell r="A38362">
            <v>43865</v>
          </cell>
        </row>
        <row r="38363">
          <cell r="A38363">
            <v>43502</v>
          </cell>
        </row>
        <row r="38364">
          <cell r="A38364">
            <v>43668</v>
          </cell>
        </row>
        <row r="38365">
          <cell r="A38365">
            <v>43208</v>
          </cell>
        </row>
        <row r="38366">
          <cell r="A38366">
            <v>43291</v>
          </cell>
        </row>
        <row r="38367">
          <cell r="A38367">
            <v>43607</v>
          </cell>
        </row>
        <row r="38368">
          <cell r="A38368">
            <v>43281</v>
          </cell>
        </row>
        <row r="38369">
          <cell r="A38369">
            <v>43905</v>
          </cell>
        </row>
        <row r="38370">
          <cell r="A38370">
            <v>43459</v>
          </cell>
        </row>
        <row r="38371">
          <cell r="A38371">
            <v>43606</v>
          </cell>
        </row>
        <row r="38372">
          <cell r="A38372">
            <v>43465</v>
          </cell>
        </row>
        <row r="38373">
          <cell r="A38373">
            <v>43788</v>
          </cell>
        </row>
        <row r="38374">
          <cell r="A38374">
            <v>43747</v>
          </cell>
        </row>
        <row r="38375">
          <cell r="A38375">
            <v>43149</v>
          </cell>
        </row>
        <row r="38376">
          <cell r="A38376">
            <v>43178</v>
          </cell>
        </row>
        <row r="38377">
          <cell r="A38377">
            <v>43439</v>
          </cell>
        </row>
        <row r="38378">
          <cell r="A38378">
            <v>43167</v>
          </cell>
        </row>
        <row r="38379">
          <cell r="A38379">
            <v>43679</v>
          </cell>
        </row>
        <row r="38380">
          <cell r="A38380">
            <v>43675</v>
          </cell>
        </row>
        <row r="38381">
          <cell r="A38381">
            <v>43344</v>
          </cell>
        </row>
        <row r="38382">
          <cell r="A38382">
            <v>43125</v>
          </cell>
        </row>
        <row r="38383">
          <cell r="A38383">
            <v>43584</v>
          </cell>
        </row>
        <row r="38384">
          <cell r="A38384">
            <v>43880</v>
          </cell>
        </row>
        <row r="38385">
          <cell r="A38385">
            <v>43866</v>
          </cell>
        </row>
        <row r="38386">
          <cell r="A38386">
            <v>43607</v>
          </cell>
        </row>
        <row r="38387">
          <cell r="A38387">
            <v>43728</v>
          </cell>
        </row>
        <row r="38388">
          <cell r="A38388">
            <v>43251</v>
          </cell>
        </row>
        <row r="38389">
          <cell r="A38389">
            <v>43441</v>
          </cell>
        </row>
        <row r="38390">
          <cell r="A38390">
            <v>43264</v>
          </cell>
        </row>
        <row r="38391">
          <cell r="A38391">
            <v>43321</v>
          </cell>
        </row>
        <row r="38392">
          <cell r="A38392">
            <v>43657</v>
          </cell>
        </row>
        <row r="38393">
          <cell r="A38393">
            <v>43892</v>
          </cell>
        </row>
        <row r="38394">
          <cell r="A38394">
            <v>43796</v>
          </cell>
        </row>
        <row r="38395">
          <cell r="A38395">
            <v>43776</v>
          </cell>
        </row>
        <row r="38396">
          <cell r="A38396">
            <v>43711</v>
          </cell>
        </row>
        <row r="38397">
          <cell r="A38397">
            <v>43906</v>
          </cell>
        </row>
        <row r="38398">
          <cell r="A38398">
            <v>43767</v>
          </cell>
        </row>
        <row r="38399">
          <cell r="A38399">
            <v>43610</v>
          </cell>
        </row>
        <row r="38400">
          <cell r="A38400">
            <v>43203</v>
          </cell>
        </row>
        <row r="38401">
          <cell r="A38401">
            <v>43355</v>
          </cell>
        </row>
        <row r="38402">
          <cell r="A38402">
            <v>43125</v>
          </cell>
        </row>
        <row r="38403">
          <cell r="A38403">
            <v>43664</v>
          </cell>
        </row>
        <row r="38404">
          <cell r="A38404">
            <v>43707</v>
          </cell>
        </row>
        <row r="38405">
          <cell r="A38405">
            <v>43891</v>
          </cell>
        </row>
        <row r="38406">
          <cell r="A38406">
            <v>43201</v>
          </cell>
        </row>
        <row r="38407">
          <cell r="A38407">
            <v>43351</v>
          </cell>
        </row>
        <row r="38408">
          <cell r="A38408">
            <v>43394</v>
          </cell>
        </row>
        <row r="38409">
          <cell r="A38409">
            <v>43373</v>
          </cell>
        </row>
        <row r="38410">
          <cell r="A38410">
            <v>43125</v>
          </cell>
        </row>
        <row r="38411">
          <cell r="A38411">
            <v>43644</v>
          </cell>
        </row>
        <row r="38412">
          <cell r="A38412">
            <v>43755</v>
          </cell>
        </row>
        <row r="38413">
          <cell r="A38413">
            <v>43628</v>
          </cell>
        </row>
        <row r="38414">
          <cell r="A38414">
            <v>43125</v>
          </cell>
        </row>
        <row r="38415">
          <cell r="A38415">
            <v>43134</v>
          </cell>
        </row>
        <row r="38416">
          <cell r="A38416">
            <v>43733</v>
          </cell>
        </row>
        <row r="38417">
          <cell r="A38417">
            <v>43774</v>
          </cell>
        </row>
        <row r="38418">
          <cell r="A38418">
            <v>43315</v>
          </cell>
        </row>
        <row r="38419">
          <cell r="A38419">
            <v>43816</v>
          </cell>
        </row>
        <row r="38420">
          <cell r="A38420">
            <v>43429</v>
          </cell>
        </row>
        <row r="38421">
          <cell r="A38421">
            <v>43142</v>
          </cell>
        </row>
        <row r="38422">
          <cell r="A38422">
            <v>43859</v>
          </cell>
        </row>
        <row r="38423">
          <cell r="A38423">
            <v>43872</v>
          </cell>
        </row>
        <row r="38424">
          <cell r="A38424">
            <v>43819</v>
          </cell>
        </row>
        <row r="38425">
          <cell r="A38425">
            <v>43865</v>
          </cell>
        </row>
        <row r="38426">
          <cell r="A38426">
            <v>43547</v>
          </cell>
        </row>
        <row r="38427">
          <cell r="A38427">
            <v>43893</v>
          </cell>
        </row>
        <row r="38428">
          <cell r="A38428">
            <v>43619</v>
          </cell>
        </row>
        <row r="38429">
          <cell r="A38429">
            <v>43880</v>
          </cell>
        </row>
        <row r="38430">
          <cell r="A38430">
            <v>43917</v>
          </cell>
        </row>
        <row r="38431">
          <cell r="A38431">
            <v>43473</v>
          </cell>
        </row>
        <row r="38432">
          <cell r="A38432">
            <v>43263</v>
          </cell>
        </row>
        <row r="38433">
          <cell r="A38433">
            <v>43254</v>
          </cell>
        </row>
        <row r="38434">
          <cell r="A38434">
            <v>43611</v>
          </cell>
        </row>
        <row r="38435">
          <cell r="A38435">
            <v>43650</v>
          </cell>
        </row>
        <row r="38436">
          <cell r="A38436">
            <v>43591</v>
          </cell>
        </row>
        <row r="38437">
          <cell r="A38437">
            <v>43352</v>
          </cell>
        </row>
        <row r="38438">
          <cell r="A38438">
            <v>43554</v>
          </cell>
        </row>
        <row r="38439">
          <cell r="A38439">
            <v>43681</v>
          </cell>
        </row>
        <row r="38440">
          <cell r="A38440">
            <v>43873</v>
          </cell>
        </row>
        <row r="38441">
          <cell r="A38441">
            <v>43159</v>
          </cell>
        </row>
        <row r="38442">
          <cell r="A38442">
            <v>43435</v>
          </cell>
        </row>
        <row r="38443">
          <cell r="A38443">
            <v>43428</v>
          </cell>
        </row>
        <row r="38444">
          <cell r="A38444">
            <v>43242</v>
          </cell>
        </row>
        <row r="38445">
          <cell r="A38445">
            <v>43770</v>
          </cell>
        </row>
        <row r="38446">
          <cell r="A38446">
            <v>43659</v>
          </cell>
        </row>
        <row r="38447">
          <cell r="A38447">
            <v>43724</v>
          </cell>
        </row>
        <row r="38448">
          <cell r="A38448">
            <v>43768</v>
          </cell>
        </row>
        <row r="38449">
          <cell r="A38449">
            <v>43323</v>
          </cell>
        </row>
        <row r="38450">
          <cell r="A38450">
            <v>43195</v>
          </cell>
        </row>
        <row r="38451">
          <cell r="A38451">
            <v>43102</v>
          </cell>
        </row>
        <row r="38452">
          <cell r="A38452">
            <v>43656</v>
          </cell>
        </row>
        <row r="38453">
          <cell r="A38453">
            <v>43328</v>
          </cell>
        </row>
        <row r="38454">
          <cell r="A38454">
            <v>43490</v>
          </cell>
        </row>
        <row r="38455">
          <cell r="A38455">
            <v>43194</v>
          </cell>
        </row>
        <row r="38456">
          <cell r="A38456">
            <v>43630</v>
          </cell>
        </row>
        <row r="38457">
          <cell r="A38457">
            <v>43837</v>
          </cell>
        </row>
        <row r="38458">
          <cell r="A38458">
            <v>43897</v>
          </cell>
        </row>
        <row r="38459">
          <cell r="A38459">
            <v>43821</v>
          </cell>
        </row>
        <row r="38460">
          <cell r="A38460">
            <v>43424</v>
          </cell>
        </row>
        <row r="38461">
          <cell r="A38461">
            <v>43741</v>
          </cell>
        </row>
        <row r="38462">
          <cell r="A38462">
            <v>43680</v>
          </cell>
        </row>
        <row r="38463">
          <cell r="A38463">
            <v>43860</v>
          </cell>
        </row>
        <row r="38464">
          <cell r="A38464">
            <v>43765</v>
          </cell>
        </row>
        <row r="38465">
          <cell r="A38465">
            <v>43854</v>
          </cell>
        </row>
        <row r="38466">
          <cell r="A38466">
            <v>43618</v>
          </cell>
        </row>
        <row r="38467">
          <cell r="A38467">
            <v>43244</v>
          </cell>
        </row>
        <row r="38468">
          <cell r="A38468">
            <v>43455</v>
          </cell>
        </row>
        <row r="38469">
          <cell r="A38469">
            <v>43359</v>
          </cell>
        </row>
        <row r="38470">
          <cell r="A38470">
            <v>43792</v>
          </cell>
        </row>
        <row r="38471">
          <cell r="A38471">
            <v>43828</v>
          </cell>
        </row>
        <row r="38472">
          <cell r="A38472">
            <v>43270</v>
          </cell>
        </row>
        <row r="38473">
          <cell r="A38473">
            <v>43198</v>
          </cell>
        </row>
        <row r="38474">
          <cell r="A38474">
            <v>43907</v>
          </cell>
        </row>
        <row r="38475">
          <cell r="A38475">
            <v>43611</v>
          </cell>
        </row>
        <row r="38476">
          <cell r="A38476">
            <v>43680</v>
          </cell>
        </row>
        <row r="38477">
          <cell r="A38477">
            <v>43391</v>
          </cell>
        </row>
        <row r="38478">
          <cell r="A38478">
            <v>43711</v>
          </cell>
        </row>
        <row r="38479">
          <cell r="A38479">
            <v>43505</v>
          </cell>
        </row>
        <row r="38480">
          <cell r="A38480">
            <v>43759</v>
          </cell>
        </row>
        <row r="38481">
          <cell r="A38481">
            <v>43170</v>
          </cell>
        </row>
        <row r="38482">
          <cell r="A38482">
            <v>43396</v>
          </cell>
        </row>
        <row r="38483">
          <cell r="A38483">
            <v>43808</v>
          </cell>
        </row>
        <row r="38484">
          <cell r="A38484">
            <v>43493</v>
          </cell>
        </row>
        <row r="38485">
          <cell r="A38485">
            <v>43572</v>
          </cell>
        </row>
        <row r="38486">
          <cell r="A38486">
            <v>43613</v>
          </cell>
        </row>
        <row r="38487">
          <cell r="A38487">
            <v>43611</v>
          </cell>
        </row>
        <row r="38488">
          <cell r="A38488">
            <v>43667</v>
          </cell>
        </row>
        <row r="38489">
          <cell r="A38489">
            <v>43512</v>
          </cell>
        </row>
        <row r="38490">
          <cell r="A38490">
            <v>43835</v>
          </cell>
        </row>
        <row r="38491">
          <cell r="A38491">
            <v>43529</v>
          </cell>
        </row>
        <row r="38492">
          <cell r="A38492">
            <v>43294</v>
          </cell>
        </row>
        <row r="38493">
          <cell r="A38493">
            <v>43728</v>
          </cell>
        </row>
        <row r="38494">
          <cell r="A38494">
            <v>43292</v>
          </cell>
        </row>
        <row r="38495">
          <cell r="A38495">
            <v>43681</v>
          </cell>
        </row>
        <row r="38496">
          <cell r="A38496">
            <v>43679</v>
          </cell>
        </row>
        <row r="38497">
          <cell r="A38497">
            <v>43836</v>
          </cell>
        </row>
        <row r="38498">
          <cell r="A38498">
            <v>43888</v>
          </cell>
        </row>
        <row r="38499">
          <cell r="A38499">
            <v>43864</v>
          </cell>
        </row>
        <row r="38500">
          <cell r="A38500">
            <v>43694</v>
          </cell>
        </row>
        <row r="38501">
          <cell r="A38501">
            <v>43232</v>
          </cell>
        </row>
        <row r="38502">
          <cell r="A38502">
            <v>43310</v>
          </cell>
        </row>
        <row r="38503">
          <cell r="A38503">
            <v>43150</v>
          </cell>
        </row>
        <row r="38504">
          <cell r="A38504">
            <v>43630</v>
          </cell>
        </row>
        <row r="38505">
          <cell r="A38505">
            <v>43666</v>
          </cell>
        </row>
        <row r="38506">
          <cell r="A38506">
            <v>43174</v>
          </cell>
        </row>
        <row r="38507">
          <cell r="A38507">
            <v>43799</v>
          </cell>
        </row>
        <row r="38508">
          <cell r="A38508">
            <v>43641</v>
          </cell>
        </row>
        <row r="38509">
          <cell r="A38509">
            <v>43752</v>
          </cell>
        </row>
        <row r="38510">
          <cell r="A38510">
            <v>43118</v>
          </cell>
        </row>
        <row r="38511">
          <cell r="A38511">
            <v>43385</v>
          </cell>
        </row>
        <row r="38512">
          <cell r="A38512">
            <v>43639</v>
          </cell>
        </row>
        <row r="38513">
          <cell r="A38513">
            <v>43669</v>
          </cell>
        </row>
        <row r="38514">
          <cell r="A38514">
            <v>43744</v>
          </cell>
        </row>
        <row r="38515">
          <cell r="A38515">
            <v>43126</v>
          </cell>
        </row>
        <row r="38516">
          <cell r="A38516">
            <v>43349</v>
          </cell>
        </row>
        <row r="38517">
          <cell r="A38517">
            <v>43890</v>
          </cell>
        </row>
        <row r="38518">
          <cell r="A38518">
            <v>43548</v>
          </cell>
        </row>
        <row r="38519">
          <cell r="A38519">
            <v>43486</v>
          </cell>
        </row>
        <row r="38520">
          <cell r="A38520">
            <v>43129</v>
          </cell>
        </row>
        <row r="38521">
          <cell r="A38521">
            <v>43601</v>
          </cell>
        </row>
        <row r="38522">
          <cell r="A38522">
            <v>43820</v>
          </cell>
        </row>
        <row r="38523">
          <cell r="A38523">
            <v>43499</v>
          </cell>
        </row>
        <row r="38524">
          <cell r="A38524">
            <v>43263</v>
          </cell>
        </row>
        <row r="38525">
          <cell r="A38525">
            <v>43624</v>
          </cell>
        </row>
        <row r="38526">
          <cell r="A38526">
            <v>43501</v>
          </cell>
        </row>
        <row r="38527">
          <cell r="A38527">
            <v>43186</v>
          </cell>
        </row>
        <row r="38528">
          <cell r="A38528">
            <v>43418</v>
          </cell>
        </row>
        <row r="38529">
          <cell r="A38529">
            <v>43304</v>
          </cell>
        </row>
        <row r="38530">
          <cell r="A38530">
            <v>43125</v>
          </cell>
        </row>
        <row r="38531">
          <cell r="A38531">
            <v>43920</v>
          </cell>
        </row>
        <row r="38532">
          <cell r="A38532">
            <v>43273</v>
          </cell>
        </row>
        <row r="38533">
          <cell r="A38533">
            <v>43313</v>
          </cell>
        </row>
        <row r="38534">
          <cell r="A38534">
            <v>43570</v>
          </cell>
        </row>
        <row r="38535">
          <cell r="A38535">
            <v>43700</v>
          </cell>
        </row>
        <row r="38536">
          <cell r="A38536">
            <v>43592</v>
          </cell>
        </row>
        <row r="38537">
          <cell r="A38537">
            <v>43333</v>
          </cell>
        </row>
        <row r="38538">
          <cell r="A38538">
            <v>43856</v>
          </cell>
        </row>
        <row r="38539">
          <cell r="A38539">
            <v>43418</v>
          </cell>
        </row>
        <row r="38540">
          <cell r="A38540">
            <v>43295</v>
          </cell>
        </row>
        <row r="38541">
          <cell r="A38541">
            <v>43560</v>
          </cell>
        </row>
        <row r="38542">
          <cell r="A38542">
            <v>43107</v>
          </cell>
        </row>
        <row r="38543">
          <cell r="A38543">
            <v>43716</v>
          </cell>
        </row>
        <row r="38544">
          <cell r="A38544">
            <v>43721</v>
          </cell>
        </row>
        <row r="38545">
          <cell r="A38545">
            <v>43117</v>
          </cell>
        </row>
        <row r="38546">
          <cell r="A38546">
            <v>43576</v>
          </cell>
        </row>
        <row r="38547">
          <cell r="A38547">
            <v>43238</v>
          </cell>
        </row>
        <row r="38548">
          <cell r="A38548">
            <v>43416</v>
          </cell>
        </row>
        <row r="38549">
          <cell r="A38549">
            <v>43206</v>
          </cell>
        </row>
        <row r="38550">
          <cell r="A38550">
            <v>43486</v>
          </cell>
        </row>
        <row r="38551">
          <cell r="A38551">
            <v>43458</v>
          </cell>
        </row>
        <row r="38552">
          <cell r="A38552">
            <v>43804</v>
          </cell>
        </row>
        <row r="38553">
          <cell r="A38553">
            <v>43339</v>
          </cell>
        </row>
        <row r="38554">
          <cell r="A38554">
            <v>43594</v>
          </cell>
        </row>
        <row r="38555">
          <cell r="A38555">
            <v>43300</v>
          </cell>
        </row>
        <row r="38556">
          <cell r="A38556">
            <v>43841</v>
          </cell>
        </row>
        <row r="38557">
          <cell r="A38557">
            <v>43673</v>
          </cell>
        </row>
        <row r="38558">
          <cell r="A38558">
            <v>43861</v>
          </cell>
        </row>
        <row r="38559">
          <cell r="A38559">
            <v>43705</v>
          </cell>
        </row>
        <row r="38560">
          <cell r="A38560">
            <v>43710</v>
          </cell>
        </row>
        <row r="38561">
          <cell r="A38561">
            <v>43627</v>
          </cell>
        </row>
        <row r="38562">
          <cell r="A38562">
            <v>43711</v>
          </cell>
        </row>
        <row r="38563">
          <cell r="A38563">
            <v>43445</v>
          </cell>
        </row>
        <row r="38564">
          <cell r="A38564">
            <v>43310</v>
          </cell>
        </row>
        <row r="38565">
          <cell r="A38565">
            <v>43646</v>
          </cell>
        </row>
        <row r="38566">
          <cell r="A38566">
            <v>43553</v>
          </cell>
        </row>
        <row r="38567">
          <cell r="A38567">
            <v>43511</v>
          </cell>
        </row>
        <row r="38568">
          <cell r="A38568">
            <v>43163</v>
          </cell>
        </row>
        <row r="38569">
          <cell r="A38569">
            <v>43738</v>
          </cell>
        </row>
        <row r="38570">
          <cell r="A38570">
            <v>43303</v>
          </cell>
        </row>
        <row r="38571">
          <cell r="A38571">
            <v>43584</v>
          </cell>
        </row>
        <row r="38572">
          <cell r="A38572">
            <v>43542</v>
          </cell>
        </row>
        <row r="38573">
          <cell r="A38573">
            <v>43918</v>
          </cell>
        </row>
        <row r="38574">
          <cell r="A38574">
            <v>43605</v>
          </cell>
        </row>
        <row r="38575">
          <cell r="A38575">
            <v>43522</v>
          </cell>
        </row>
        <row r="38576">
          <cell r="A38576">
            <v>43435</v>
          </cell>
        </row>
        <row r="38577">
          <cell r="A38577">
            <v>43854</v>
          </cell>
        </row>
        <row r="38578">
          <cell r="A38578">
            <v>43703</v>
          </cell>
        </row>
        <row r="38579">
          <cell r="A38579">
            <v>43273</v>
          </cell>
        </row>
        <row r="38580">
          <cell r="A38580">
            <v>43615</v>
          </cell>
        </row>
        <row r="38581">
          <cell r="A38581">
            <v>43821</v>
          </cell>
        </row>
        <row r="38582">
          <cell r="A38582">
            <v>43111</v>
          </cell>
        </row>
        <row r="38583">
          <cell r="A38583">
            <v>43243</v>
          </cell>
        </row>
        <row r="38584">
          <cell r="A38584">
            <v>43485</v>
          </cell>
        </row>
        <row r="38585">
          <cell r="A38585">
            <v>43110</v>
          </cell>
        </row>
        <row r="38586">
          <cell r="A38586">
            <v>43648</v>
          </cell>
        </row>
        <row r="38587">
          <cell r="A38587">
            <v>43333</v>
          </cell>
        </row>
        <row r="38588">
          <cell r="A38588">
            <v>43470</v>
          </cell>
        </row>
        <row r="38589">
          <cell r="A38589">
            <v>43745</v>
          </cell>
        </row>
        <row r="38590">
          <cell r="A38590">
            <v>43435</v>
          </cell>
        </row>
        <row r="38591">
          <cell r="A38591">
            <v>43362</v>
          </cell>
        </row>
        <row r="38592">
          <cell r="A38592">
            <v>43908</v>
          </cell>
        </row>
        <row r="38593">
          <cell r="A38593">
            <v>43897</v>
          </cell>
        </row>
        <row r="38594">
          <cell r="A38594">
            <v>43911</v>
          </cell>
        </row>
        <row r="38595">
          <cell r="A38595">
            <v>43146</v>
          </cell>
        </row>
        <row r="38596">
          <cell r="A38596">
            <v>43367</v>
          </cell>
        </row>
        <row r="38597">
          <cell r="A38597">
            <v>43234</v>
          </cell>
        </row>
        <row r="38598">
          <cell r="A38598">
            <v>43618</v>
          </cell>
        </row>
        <row r="38599">
          <cell r="A38599">
            <v>43292</v>
          </cell>
        </row>
        <row r="38600">
          <cell r="A38600">
            <v>43412</v>
          </cell>
        </row>
        <row r="38601">
          <cell r="A38601">
            <v>43758</v>
          </cell>
        </row>
        <row r="38602">
          <cell r="A38602">
            <v>43397</v>
          </cell>
        </row>
        <row r="38603">
          <cell r="A38603">
            <v>43364</v>
          </cell>
        </row>
        <row r="38604">
          <cell r="A38604">
            <v>43207</v>
          </cell>
        </row>
        <row r="38605">
          <cell r="A38605">
            <v>43357</v>
          </cell>
        </row>
        <row r="38606">
          <cell r="A38606">
            <v>43295</v>
          </cell>
        </row>
        <row r="38607">
          <cell r="A38607">
            <v>43733</v>
          </cell>
        </row>
        <row r="38608">
          <cell r="A38608">
            <v>43556</v>
          </cell>
        </row>
        <row r="38609">
          <cell r="A38609">
            <v>43760</v>
          </cell>
        </row>
        <row r="38610">
          <cell r="A38610">
            <v>43920</v>
          </cell>
        </row>
        <row r="38611">
          <cell r="A38611">
            <v>43860</v>
          </cell>
        </row>
        <row r="38612">
          <cell r="A38612">
            <v>43864</v>
          </cell>
        </row>
        <row r="38613">
          <cell r="A38613">
            <v>43473</v>
          </cell>
        </row>
        <row r="38614">
          <cell r="A38614">
            <v>43220</v>
          </cell>
        </row>
        <row r="38615">
          <cell r="A38615">
            <v>43161</v>
          </cell>
        </row>
        <row r="38616">
          <cell r="A38616">
            <v>43877</v>
          </cell>
        </row>
        <row r="38617">
          <cell r="A38617">
            <v>43878</v>
          </cell>
        </row>
        <row r="38618">
          <cell r="A38618">
            <v>43577</v>
          </cell>
        </row>
        <row r="38619">
          <cell r="A38619">
            <v>43881</v>
          </cell>
        </row>
        <row r="38620">
          <cell r="A38620">
            <v>43784</v>
          </cell>
        </row>
        <row r="38621">
          <cell r="A38621">
            <v>43866</v>
          </cell>
        </row>
        <row r="38622">
          <cell r="A38622">
            <v>43397</v>
          </cell>
        </row>
        <row r="38623">
          <cell r="A38623">
            <v>43806</v>
          </cell>
        </row>
        <row r="38624">
          <cell r="A38624">
            <v>43565</v>
          </cell>
        </row>
        <row r="38625">
          <cell r="A38625">
            <v>43370</v>
          </cell>
        </row>
        <row r="38626">
          <cell r="A38626">
            <v>43691</v>
          </cell>
        </row>
        <row r="38627">
          <cell r="A38627">
            <v>43664</v>
          </cell>
        </row>
        <row r="38628">
          <cell r="A38628">
            <v>43640</v>
          </cell>
        </row>
        <row r="38629">
          <cell r="A38629">
            <v>43433</v>
          </cell>
        </row>
        <row r="38630">
          <cell r="A38630">
            <v>43619</v>
          </cell>
        </row>
        <row r="38631">
          <cell r="A38631">
            <v>43500</v>
          </cell>
        </row>
        <row r="38632">
          <cell r="A38632">
            <v>43359</v>
          </cell>
        </row>
        <row r="38633">
          <cell r="A38633">
            <v>43470</v>
          </cell>
        </row>
        <row r="38634">
          <cell r="A38634">
            <v>43825</v>
          </cell>
        </row>
        <row r="38635">
          <cell r="A38635">
            <v>43689</v>
          </cell>
        </row>
        <row r="38636">
          <cell r="A38636">
            <v>43248</v>
          </cell>
        </row>
        <row r="38637">
          <cell r="A38637">
            <v>43680</v>
          </cell>
        </row>
        <row r="38638">
          <cell r="A38638">
            <v>43243</v>
          </cell>
        </row>
        <row r="38639">
          <cell r="A38639">
            <v>43381</v>
          </cell>
        </row>
        <row r="38640">
          <cell r="A38640">
            <v>43783</v>
          </cell>
        </row>
        <row r="38641">
          <cell r="A38641">
            <v>43405</v>
          </cell>
        </row>
        <row r="38642">
          <cell r="A38642">
            <v>43539</v>
          </cell>
        </row>
        <row r="38643">
          <cell r="A38643">
            <v>43460</v>
          </cell>
        </row>
        <row r="38644">
          <cell r="A38644">
            <v>43855</v>
          </cell>
        </row>
        <row r="38645">
          <cell r="A38645">
            <v>43689</v>
          </cell>
        </row>
        <row r="38646">
          <cell r="A38646">
            <v>43291</v>
          </cell>
        </row>
        <row r="38647">
          <cell r="A38647">
            <v>43755</v>
          </cell>
        </row>
        <row r="38648">
          <cell r="A38648">
            <v>43725</v>
          </cell>
        </row>
        <row r="38649">
          <cell r="A38649">
            <v>43182</v>
          </cell>
        </row>
        <row r="38650">
          <cell r="A38650">
            <v>43584</v>
          </cell>
        </row>
        <row r="38651">
          <cell r="A38651">
            <v>43692</v>
          </cell>
        </row>
        <row r="38652">
          <cell r="A38652">
            <v>43916</v>
          </cell>
        </row>
        <row r="38653">
          <cell r="A38653">
            <v>43735</v>
          </cell>
        </row>
        <row r="38654">
          <cell r="A38654">
            <v>43172</v>
          </cell>
        </row>
        <row r="38655">
          <cell r="A38655">
            <v>43461</v>
          </cell>
        </row>
        <row r="38656">
          <cell r="A38656">
            <v>43610</v>
          </cell>
        </row>
        <row r="38657">
          <cell r="A38657">
            <v>43665</v>
          </cell>
        </row>
        <row r="38658">
          <cell r="A38658">
            <v>43652</v>
          </cell>
        </row>
        <row r="38659">
          <cell r="A38659">
            <v>43306</v>
          </cell>
        </row>
        <row r="38660">
          <cell r="A38660">
            <v>43656</v>
          </cell>
        </row>
        <row r="38661">
          <cell r="A38661">
            <v>43907</v>
          </cell>
        </row>
        <row r="38662">
          <cell r="A38662">
            <v>43916</v>
          </cell>
        </row>
        <row r="38663">
          <cell r="A38663">
            <v>43773</v>
          </cell>
        </row>
        <row r="38664">
          <cell r="A38664">
            <v>43649</v>
          </cell>
        </row>
        <row r="38665">
          <cell r="A38665">
            <v>43360</v>
          </cell>
        </row>
        <row r="38666">
          <cell r="A38666">
            <v>43659</v>
          </cell>
        </row>
        <row r="38667">
          <cell r="A38667">
            <v>43481</v>
          </cell>
        </row>
        <row r="38668">
          <cell r="A38668">
            <v>43123</v>
          </cell>
        </row>
        <row r="38669">
          <cell r="A38669">
            <v>43229</v>
          </cell>
        </row>
        <row r="38670">
          <cell r="A38670">
            <v>43670</v>
          </cell>
        </row>
        <row r="38671">
          <cell r="A38671">
            <v>43469</v>
          </cell>
        </row>
        <row r="38672">
          <cell r="A38672">
            <v>43104</v>
          </cell>
        </row>
        <row r="38673">
          <cell r="A38673">
            <v>43348</v>
          </cell>
        </row>
        <row r="38674">
          <cell r="A38674">
            <v>43702</v>
          </cell>
        </row>
        <row r="38675">
          <cell r="A38675">
            <v>43285</v>
          </cell>
        </row>
        <row r="38676">
          <cell r="A38676">
            <v>43215</v>
          </cell>
        </row>
        <row r="38677">
          <cell r="A38677">
            <v>43335</v>
          </cell>
        </row>
        <row r="38678">
          <cell r="A38678">
            <v>43399</v>
          </cell>
        </row>
        <row r="38679">
          <cell r="A38679">
            <v>43720</v>
          </cell>
        </row>
        <row r="38680">
          <cell r="A38680">
            <v>43841</v>
          </cell>
        </row>
        <row r="38681">
          <cell r="A38681">
            <v>43662</v>
          </cell>
        </row>
        <row r="38682">
          <cell r="A38682">
            <v>43557</v>
          </cell>
        </row>
        <row r="38683">
          <cell r="A38683">
            <v>43209</v>
          </cell>
        </row>
        <row r="38684">
          <cell r="A38684">
            <v>43721</v>
          </cell>
        </row>
        <row r="38685">
          <cell r="A38685">
            <v>43867</v>
          </cell>
        </row>
        <row r="38686">
          <cell r="A38686">
            <v>43225</v>
          </cell>
        </row>
        <row r="38687">
          <cell r="A38687">
            <v>43493</v>
          </cell>
        </row>
        <row r="38688">
          <cell r="A38688">
            <v>43112</v>
          </cell>
        </row>
        <row r="38689">
          <cell r="A38689">
            <v>43866</v>
          </cell>
        </row>
        <row r="38690">
          <cell r="A38690">
            <v>43562</v>
          </cell>
        </row>
        <row r="38691">
          <cell r="A38691">
            <v>43632</v>
          </cell>
        </row>
        <row r="38692">
          <cell r="A38692">
            <v>43714</v>
          </cell>
        </row>
        <row r="38693">
          <cell r="A38693">
            <v>43452</v>
          </cell>
        </row>
        <row r="38694">
          <cell r="A38694">
            <v>43872</v>
          </cell>
        </row>
        <row r="38695">
          <cell r="A38695">
            <v>43837</v>
          </cell>
        </row>
        <row r="38696">
          <cell r="A38696">
            <v>43469</v>
          </cell>
        </row>
        <row r="38697">
          <cell r="A38697">
            <v>43790</v>
          </cell>
        </row>
        <row r="38698">
          <cell r="A38698">
            <v>43240</v>
          </cell>
        </row>
        <row r="38699">
          <cell r="A38699">
            <v>43453</v>
          </cell>
        </row>
        <row r="38700">
          <cell r="A38700">
            <v>43885</v>
          </cell>
        </row>
        <row r="38701">
          <cell r="A38701">
            <v>43520</v>
          </cell>
        </row>
        <row r="38702">
          <cell r="A38702">
            <v>43474</v>
          </cell>
        </row>
        <row r="38703">
          <cell r="A38703">
            <v>43366</v>
          </cell>
        </row>
        <row r="38704">
          <cell r="A38704">
            <v>43881</v>
          </cell>
        </row>
        <row r="38705">
          <cell r="A38705">
            <v>43133</v>
          </cell>
        </row>
        <row r="38706">
          <cell r="A38706">
            <v>43727</v>
          </cell>
        </row>
        <row r="38707">
          <cell r="A38707">
            <v>43895</v>
          </cell>
        </row>
        <row r="38708">
          <cell r="A38708">
            <v>43430</v>
          </cell>
        </row>
        <row r="38709">
          <cell r="A38709">
            <v>43175</v>
          </cell>
        </row>
        <row r="38710">
          <cell r="A38710">
            <v>43531</v>
          </cell>
        </row>
        <row r="38711">
          <cell r="A38711">
            <v>43123</v>
          </cell>
        </row>
        <row r="38712">
          <cell r="A38712">
            <v>43232</v>
          </cell>
        </row>
        <row r="38713">
          <cell r="A38713">
            <v>43377</v>
          </cell>
        </row>
        <row r="38714">
          <cell r="A38714">
            <v>43450</v>
          </cell>
        </row>
        <row r="38715">
          <cell r="A38715">
            <v>43162</v>
          </cell>
        </row>
        <row r="38716">
          <cell r="A38716">
            <v>43482</v>
          </cell>
        </row>
        <row r="38717">
          <cell r="A38717">
            <v>43615</v>
          </cell>
        </row>
        <row r="38718">
          <cell r="A38718">
            <v>43141</v>
          </cell>
        </row>
        <row r="38719">
          <cell r="A38719">
            <v>43790</v>
          </cell>
        </row>
        <row r="38720">
          <cell r="A38720">
            <v>43364</v>
          </cell>
        </row>
        <row r="38721">
          <cell r="A38721">
            <v>43467</v>
          </cell>
        </row>
        <row r="38722">
          <cell r="A38722">
            <v>43659</v>
          </cell>
        </row>
        <row r="38723">
          <cell r="A38723">
            <v>43312</v>
          </cell>
        </row>
        <row r="38724">
          <cell r="A38724">
            <v>43174</v>
          </cell>
        </row>
        <row r="38725">
          <cell r="A38725">
            <v>43837</v>
          </cell>
        </row>
        <row r="38726">
          <cell r="A38726">
            <v>43603</v>
          </cell>
        </row>
        <row r="38727">
          <cell r="A38727">
            <v>43146</v>
          </cell>
        </row>
        <row r="38728">
          <cell r="A38728">
            <v>43272</v>
          </cell>
        </row>
        <row r="38729">
          <cell r="A38729">
            <v>43737</v>
          </cell>
        </row>
        <row r="38730">
          <cell r="A38730">
            <v>43526</v>
          </cell>
        </row>
        <row r="38731">
          <cell r="A38731">
            <v>43879</v>
          </cell>
        </row>
        <row r="38732">
          <cell r="A38732">
            <v>43684</v>
          </cell>
        </row>
        <row r="38733">
          <cell r="A38733">
            <v>43332</v>
          </cell>
        </row>
        <row r="38734">
          <cell r="A38734">
            <v>43897</v>
          </cell>
        </row>
        <row r="38735">
          <cell r="A38735">
            <v>43595</v>
          </cell>
        </row>
        <row r="38736">
          <cell r="A38736">
            <v>43147</v>
          </cell>
        </row>
        <row r="38737">
          <cell r="A38737">
            <v>43620</v>
          </cell>
        </row>
        <row r="38738">
          <cell r="A38738">
            <v>43338</v>
          </cell>
        </row>
        <row r="38739">
          <cell r="A38739">
            <v>43526</v>
          </cell>
        </row>
        <row r="38740">
          <cell r="A38740">
            <v>43496</v>
          </cell>
        </row>
        <row r="38741">
          <cell r="A38741">
            <v>43252</v>
          </cell>
        </row>
        <row r="38742">
          <cell r="A38742">
            <v>43162</v>
          </cell>
        </row>
        <row r="38743">
          <cell r="A38743">
            <v>43692</v>
          </cell>
        </row>
        <row r="38744">
          <cell r="A38744">
            <v>43730</v>
          </cell>
        </row>
        <row r="38745">
          <cell r="A38745">
            <v>43777</v>
          </cell>
        </row>
        <row r="38746">
          <cell r="A38746">
            <v>43866</v>
          </cell>
        </row>
        <row r="38747">
          <cell r="A38747">
            <v>43346</v>
          </cell>
        </row>
        <row r="38748">
          <cell r="A38748">
            <v>43546</v>
          </cell>
        </row>
        <row r="38749">
          <cell r="A38749">
            <v>43359</v>
          </cell>
        </row>
        <row r="38750">
          <cell r="A38750">
            <v>43664</v>
          </cell>
        </row>
        <row r="38751">
          <cell r="A38751">
            <v>43348</v>
          </cell>
        </row>
        <row r="38752">
          <cell r="A38752">
            <v>43257</v>
          </cell>
        </row>
        <row r="38753">
          <cell r="A38753">
            <v>43229</v>
          </cell>
        </row>
        <row r="38754">
          <cell r="A38754">
            <v>43350</v>
          </cell>
        </row>
        <row r="38755">
          <cell r="A38755">
            <v>43857</v>
          </cell>
        </row>
        <row r="38756">
          <cell r="A38756">
            <v>43387</v>
          </cell>
        </row>
        <row r="38757">
          <cell r="A38757">
            <v>43915</v>
          </cell>
        </row>
        <row r="38758">
          <cell r="A38758">
            <v>43883</v>
          </cell>
        </row>
        <row r="38759">
          <cell r="A38759">
            <v>43571</v>
          </cell>
        </row>
        <row r="38760">
          <cell r="A38760">
            <v>43398</v>
          </cell>
        </row>
        <row r="38761">
          <cell r="A38761">
            <v>43919</v>
          </cell>
        </row>
        <row r="38762">
          <cell r="A38762">
            <v>43468</v>
          </cell>
        </row>
        <row r="38763">
          <cell r="A38763">
            <v>43422</v>
          </cell>
        </row>
        <row r="38764">
          <cell r="A38764">
            <v>43587</v>
          </cell>
        </row>
        <row r="38765">
          <cell r="A38765">
            <v>43914</v>
          </cell>
        </row>
        <row r="38766">
          <cell r="A38766">
            <v>43288</v>
          </cell>
        </row>
        <row r="38767">
          <cell r="A38767">
            <v>43608</v>
          </cell>
        </row>
        <row r="38768">
          <cell r="A38768">
            <v>43845</v>
          </cell>
        </row>
        <row r="38769">
          <cell r="A38769">
            <v>43219</v>
          </cell>
        </row>
        <row r="38770">
          <cell r="A38770">
            <v>43295</v>
          </cell>
        </row>
        <row r="38771">
          <cell r="A38771">
            <v>43398</v>
          </cell>
        </row>
        <row r="38772">
          <cell r="A38772">
            <v>43728</v>
          </cell>
        </row>
        <row r="38773">
          <cell r="A38773">
            <v>43917</v>
          </cell>
        </row>
        <row r="38774">
          <cell r="A38774">
            <v>43916</v>
          </cell>
        </row>
        <row r="38775">
          <cell r="A38775">
            <v>43819</v>
          </cell>
        </row>
        <row r="38776">
          <cell r="A38776">
            <v>43436</v>
          </cell>
        </row>
        <row r="38777">
          <cell r="A38777">
            <v>43522</v>
          </cell>
        </row>
        <row r="38778">
          <cell r="A38778">
            <v>43393</v>
          </cell>
        </row>
        <row r="38779">
          <cell r="A38779">
            <v>43915</v>
          </cell>
        </row>
        <row r="38780">
          <cell r="A38780">
            <v>43517</v>
          </cell>
        </row>
        <row r="38781">
          <cell r="A38781">
            <v>43833</v>
          </cell>
        </row>
        <row r="38782">
          <cell r="A38782">
            <v>43845</v>
          </cell>
        </row>
        <row r="38783">
          <cell r="A38783">
            <v>43695</v>
          </cell>
        </row>
        <row r="38784">
          <cell r="A38784">
            <v>43908</v>
          </cell>
        </row>
        <row r="38785">
          <cell r="A38785">
            <v>43411</v>
          </cell>
        </row>
        <row r="38786">
          <cell r="A38786">
            <v>43272</v>
          </cell>
        </row>
        <row r="38787">
          <cell r="A38787">
            <v>43752</v>
          </cell>
        </row>
        <row r="38788">
          <cell r="A38788">
            <v>43696</v>
          </cell>
        </row>
        <row r="38789">
          <cell r="A38789">
            <v>43468</v>
          </cell>
        </row>
        <row r="38790">
          <cell r="A38790">
            <v>43711</v>
          </cell>
        </row>
        <row r="38791">
          <cell r="A38791">
            <v>43276</v>
          </cell>
        </row>
        <row r="38792">
          <cell r="A38792">
            <v>43470</v>
          </cell>
        </row>
        <row r="38793">
          <cell r="A38793">
            <v>43898</v>
          </cell>
        </row>
        <row r="38794">
          <cell r="A38794">
            <v>43497</v>
          </cell>
        </row>
        <row r="38795">
          <cell r="A38795">
            <v>43743</v>
          </cell>
        </row>
        <row r="38796">
          <cell r="A38796">
            <v>43410</v>
          </cell>
        </row>
        <row r="38797">
          <cell r="A38797">
            <v>43666</v>
          </cell>
        </row>
        <row r="38798">
          <cell r="A38798">
            <v>43832</v>
          </cell>
        </row>
        <row r="38799">
          <cell r="A38799">
            <v>43542</v>
          </cell>
        </row>
        <row r="38800">
          <cell r="A38800">
            <v>43111</v>
          </cell>
        </row>
        <row r="38801">
          <cell r="A38801">
            <v>43187</v>
          </cell>
        </row>
        <row r="38802">
          <cell r="A38802">
            <v>43208</v>
          </cell>
        </row>
        <row r="38803">
          <cell r="A38803">
            <v>43680</v>
          </cell>
        </row>
        <row r="38804">
          <cell r="A38804">
            <v>43774</v>
          </cell>
        </row>
        <row r="38805">
          <cell r="A38805">
            <v>43697</v>
          </cell>
        </row>
        <row r="38806">
          <cell r="A38806">
            <v>43423</v>
          </cell>
        </row>
        <row r="38807">
          <cell r="A38807">
            <v>43499</v>
          </cell>
        </row>
        <row r="38808">
          <cell r="A38808">
            <v>43496</v>
          </cell>
        </row>
        <row r="38809">
          <cell r="A38809">
            <v>43439</v>
          </cell>
        </row>
        <row r="38810">
          <cell r="A38810">
            <v>43175</v>
          </cell>
        </row>
        <row r="38811">
          <cell r="A38811">
            <v>43401</v>
          </cell>
        </row>
        <row r="38812">
          <cell r="A38812">
            <v>43580</v>
          </cell>
        </row>
        <row r="38813">
          <cell r="A38813">
            <v>43275</v>
          </cell>
        </row>
        <row r="38814">
          <cell r="A38814">
            <v>43916</v>
          </cell>
        </row>
        <row r="38815">
          <cell r="A38815">
            <v>43918</v>
          </cell>
        </row>
        <row r="38816">
          <cell r="A38816">
            <v>43330</v>
          </cell>
        </row>
        <row r="38817">
          <cell r="A38817">
            <v>43386</v>
          </cell>
        </row>
        <row r="38818">
          <cell r="A38818">
            <v>43307</v>
          </cell>
        </row>
        <row r="38819">
          <cell r="A38819">
            <v>43602</v>
          </cell>
        </row>
        <row r="38820">
          <cell r="A38820">
            <v>43394</v>
          </cell>
        </row>
        <row r="38821">
          <cell r="A38821">
            <v>43315</v>
          </cell>
        </row>
        <row r="38822">
          <cell r="A38822">
            <v>43222</v>
          </cell>
        </row>
        <row r="38823">
          <cell r="A38823">
            <v>43660</v>
          </cell>
        </row>
        <row r="38824">
          <cell r="A38824">
            <v>43920</v>
          </cell>
        </row>
        <row r="38825">
          <cell r="A38825">
            <v>43895</v>
          </cell>
        </row>
        <row r="38826">
          <cell r="A38826">
            <v>43728</v>
          </cell>
        </row>
        <row r="38827">
          <cell r="A38827">
            <v>43734</v>
          </cell>
        </row>
        <row r="38828">
          <cell r="A38828">
            <v>43217</v>
          </cell>
        </row>
        <row r="38829">
          <cell r="A38829">
            <v>43592</v>
          </cell>
        </row>
        <row r="38830">
          <cell r="A38830">
            <v>43259</v>
          </cell>
        </row>
        <row r="38831">
          <cell r="A38831">
            <v>43346</v>
          </cell>
        </row>
        <row r="38832">
          <cell r="A38832">
            <v>43158</v>
          </cell>
        </row>
        <row r="38833">
          <cell r="A38833">
            <v>43152</v>
          </cell>
        </row>
        <row r="38834">
          <cell r="A38834">
            <v>43900</v>
          </cell>
        </row>
        <row r="38835">
          <cell r="A38835">
            <v>43299</v>
          </cell>
        </row>
        <row r="38836">
          <cell r="A38836">
            <v>43468</v>
          </cell>
        </row>
        <row r="38837">
          <cell r="A38837">
            <v>43468</v>
          </cell>
        </row>
        <row r="38838">
          <cell r="A38838">
            <v>43216</v>
          </cell>
        </row>
        <row r="38839">
          <cell r="A38839">
            <v>43549</v>
          </cell>
        </row>
        <row r="38840">
          <cell r="A38840">
            <v>43352</v>
          </cell>
        </row>
        <row r="38841">
          <cell r="A38841">
            <v>43463</v>
          </cell>
        </row>
        <row r="38842">
          <cell r="A38842">
            <v>43490</v>
          </cell>
        </row>
        <row r="38843">
          <cell r="A38843">
            <v>43327</v>
          </cell>
        </row>
        <row r="38844">
          <cell r="A38844">
            <v>43372</v>
          </cell>
        </row>
        <row r="38845">
          <cell r="A38845">
            <v>43920</v>
          </cell>
        </row>
        <row r="38846">
          <cell r="A38846">
            <v>43456</v>
          </cell>
        </row>
        <row r="38847">
          <cell r="A38847">
            <v>43499</v>
          </cell>
        </row>
        <row r="38848">
          <cell r="A38848">
            <v>43456</v>
          </cell>
        </row>
        <row r="38849">
          <cell r="A38849">
            <v>43591</v>
          </cell>
        </row>
        <row r="38850">
          <cell r="A38850">
            <v>43254</v>
          </cell>
        </row>
        <row r="38851">
          <cell r="A38851">
            <v>43111</v>
          </cell>
        </row>
        <row r="38852">
          <cell r="A38852">
            <v>43509</v>
          </cell>
        </row>
        <row r="38853">
          <cell r="A38853">
            <v>43767</v>
          </cell>
        </row>
        <row r="38854">
          <cell r="A38854">
            <v>43674</v>
          </cell>
        </row>
        <row r="38855">
          <cell r="A38855">
            <v>43535</v>
          </cell>
        </row>
        <row r="38856">
          <cell r="A38856">
            <v>43410</v>
          </cell>
        </row>
        <row r="38857">
          <cell r="A38857">
            <v>43810</v>
          </cell>
        </row>
        <row r="38858">
          <cell r="A38858">
            <v>43529</v>
          </cell>
        </row>
        <row r="38859">
          <cell r="A38859">
            <v>43493</v>
          </cell>
        </row>
        <row r="38860">
          <cell r="A38860">
            <v>43412</v>
          </cell>
        </row>
        <row r="38861">
          <cell r="A38861">
            <v>43553</v>
          </cell>
        </row>
        <row r="38862">
          <cell r="A38862">
            <v>43207</v>
          </cell>
        </row>
        <row r="38863">
          <cell r="A38863">
            <v>43393</v>
          </cell>
        </row>
        <row r="38864">
          <cell r="A38864">
            <v>43826</v>
          </cell>
        </row>
        <row r="38865">
          <cell r="A38865">
            <v>43877</v>
          </cell>
        </row>
        <row r="38866">
          <cell r="A38866">
            <v>43560</v>
          </cell>
        </row>
        <row r="38867">
          <cell r="A38867">
            <v>43903</v>
          </cell>
        </row>
        <row r="38868">
          <cell r="A38868">
            <v>43174</v>
          </cell>
        </row>
        <row r="38869">
          <cell r="A38869">
            <v>43706</v>
          </cell>
        </row>
        <row r="38870">
          <cell r="A38870">
            <v>43577</v>
          </cell>
        </row>
        <row r="38871">
          <cell r="A38871">
            <v>43705</v>
          </cell>
        </row>
        <row r="38872">
          <cell r="A38872">
            <v>43220</v>
          </cell>
        </row>
        <row r="38873">
          <cell r="A38873">
            <v>43277</v>
          </cell>
        </row>
        <row r="38874">
          <cell r="A38874">
            <v>43676</v>
          </cell>
        </row>
        <row r="38875">
          <cell r="A38875">
            <v>43278</v>
          </cell>
        </row>
        <row r="38876">
          <cell r="A38876">
            <v>43626</v>
          </cell>
        </row>
        <row r="38877">
          <cell r="A38877">
            <v>43777</v>
          </cell>
        </row>
        <row r="38878">
          <cell r="A38878">
            <v>43453</v>
          </cell>
        </row>
        <row r="38879">
          <cell r="A38879">
            <v>43394</v>
          </cell>
        </row>
        <row r="38880">
          <cell r="A38880">
            <v>43723</v>
          </cell>
        </row>
        <row r="38881">
          <cell r="A38881">
            <v>43774</v>
          </cell>
        </row>
        <row r="38882">
          <cell r="A38882">
            <v>43411</v>
          </cell>
        </row>
        <row r="38883">
          <cell r="A38883">
            <v>43752</v>
          </cell>
        </row>
        <row r="38884">
          <cell r="A38884">
            <v>43196</v>
          </cell>
        </row>
        <row r="38885">
          <cell r="A38885">
            <v>43916</v>
          </cell>
        </row>
        <row r="38886">
          <cell r="A38886">
            <v>43666</v>
          </cell>
        </row>
        <row r="38887">
          <cell r="A38887">
            <v>43454</v>
          </cell>
        </row>
        <row r="38888">
          <cell r="A38888">
            <v>43692</v>
          </cell>
        </row>
        <row r="38889">
          <cell r="A38889">
            <v>43884</v>
          </cell>
        </row>
        <row r="38890">
          <cell r="A38890">
            <v>43802</v>
          </cell>
        </row>
        <row r="38891">
          <cell r="A38891">
            <v>43741</v>
          </cell>
        </row>
        <row r="38892">
          <cell r="A38892">
            <v>43327</v>
          </cell>
        </row>
        <row r="38893">
          <cell r="A38893">
            <v>43279</v>
          </cell>
        </row>
        <row r="38894">
          <cell r="A38894">
            <v>43582</v>
          </cell>
        </row>
        <row r="38895">
          <cell r="A38895">
            <v>43370</v>
          </cell>
        </row>
        <row r="38896">
          <cell r="A38896">
            <v>43611</v>
          </cell>
        </row>
        <row r="38897">
          <cell r="A38897">
            <v>43718</v>
          </cell>
        </row>
        <row r="38898">
          <cell r="A38898">
            <v>43757</v>
          </cell>
        </row>
        <row r="38899">
          <cell r="A38899">
            <v>43191</v>
          </cell>
        </row>
        <row r="38900">
          <cell r="A38900">
            <v>43604</v>
          </cell>
        </row>
        <row r="38901">
          <cell r="A38901">
            <v>43751</v>
          </cell>
        </row>
        <row r="38902">
          <cell r="A38902">
            <v>43372</v>
          </cell>
        </row>
        <row r="38903">
          <cell r="A38903">
            <v>43129</v>
          </cell>
        </row>
        <row r="38904">
          <cell r="A38904">
            <v>43146</v>
          </cell>
        </row>
        <row r="38905">
          <cell r="A38905">
            <v>43372</v>
          </cell>
        </row>
        <row r="38906">
          <cell r="A38906">
            <v>43427</v>
          </cell>
        </row>
        <row r="38907">
          <cell r="A38907">
            <v>43768</v>
          </cell>
        </row>
        <row r="38908">
          <cell r="A38908">
            <v>43654</v>
          </cell>
        </row>
        <row r="38909">
          <cell r="A38909">
            <v>43142</v>
          </cell>
        </row>
        <row r="38910">
          <cell r="A38910">
            <v>43122</v>
          </cell>
        </row>
        <row r="38911">
          <cell r="A38911">
            <v>43274</v>
          </cell>
        </row>
        <row r="38912">
          <cell r="A38912">
            <v>43112</v>
          </cell>
        </row>
        <row r="38913">
          <cell r="A38913">
            <v>43825</v>
          </cell>
        </row>
        <row r="38914">
          <cell r="A38914">
            <v>43686</v>
          </cell>
        </row>
        <row r="38915">
          <cell r="A38915">
            <v>43583</v>
          </cell>
        </row>
        <row r="38916">
          <cell r="A38916">
            <v>43202</v>
          </cell>
        </row>
        <row r="38917">
          <cell r="A38917">
            <v>43160</v>
          </cell>
        </row>
        <row r="38918">
          <cell r="A38918">
            <v>43562</v>
          </cell>
        </row>
        <row r="38919">
          <cell r="A38919">
            <v>43862</v>
          </cell>
        </row>
        <row r="38920">
          <cell r="A38920">
            <v>43354</v>
          </cell>
        </row>
        <row r="38921">
          <cell r="A38921">
            <v>43823</v>
          </cell>
        </row>
        <row r="38922">
          <cell r="A38922">
            <v>43573</v>
          </cell>
        </row>
        <row r="38923">
          <cell r="A38923">
            <v>43104</v>
          </cell>
        </row>
        <row r="38924">
          <cell r="A38924">
            <v>43838</v>
          </cell>
        </row>
        <row r="38925">
          <cell r="A38925">
            <v>43856</v>
          </cell>
        </row>
        <row r="38926">
          <cell r="A38926">
            <v>43403</v>
          </cell>
        </row>
        <row r="38927">
          <cell r="A38927">
            <v>43499</v>
          </cell>
        </row>
        <row r="38928">
          <cell r="A38928">
            <v>43646</v>
          </cell>
        </row>
        <row r="38929">
          <cell r="A38929">
            <v>43723</v>
          </cell>
        </row>
        <row r="38930">
          <cell r="A38930">
            <v>43394</v>
          </cell>
        </row>
        <row r="38931">
          <cell r="A38931">
            <v>43440</v>
          </cell>
        </row>
        <row r="38932">
          <cell r="A38932">
            <v>43342</v>
          </cell>
        </row>
        <row r="38933">
          <cell r="A38933">
            <v>43650</v>
          </cell>
        </row>
        <row r="38934">
          <cell r="A38934">
            <v>43769</v>
          </cell>
        </row>
        <row r="38935">
          <cell r="A38935">
            <v>43120</v>
          </cell>
        </row>
        <row r="38936">
          <cell r="A38936">
            <v>43822</v>
          </cell>
        </row>
        <row r="38937">
          <cell r="A38937">
            <v>43664</v>
          </cell>
        </row>
        <row r="38938">
          <cell r="A38938">
            <v>43838</v>
          </cell>
        </row>
        <row r="38939">
          <cell r="A38939">
            <v>43374</v>
          </cell>
        </row>
        <row r="38940">
          <cell r="A38940">
            <v>43463</v>
          </cell>
        </row>
        <row r="38941">
          <cell r="A38941">
            <v>43558</v>
          </cell>
        </row>
        <row r="38942">
          <cell r="A38942">
            <v>43208</v>
          </cell>
        </row>
        <row r="38943">
          <cell r="A38943">
            <v>43723</v>
          </cell>
        </row>
        <row r="38944">
          <cell r="A38944">
            <v>43175</v>
          </cell>
        </row>
        <row r="38945">
          <cell r="A38945">
            <v>43234</v>
          </cell>
        </row>
        <row r="38946">
          <cell r="A38946">
            <v>43580</v>
          </cell>
        </row>
        <row r="38947">
          <cell r="A38947">
            <v>43912</v>
          </cell>
        </row>
        <row r="38948">
          <cell r="A38948">
            <v>43365</v>
          </cell>
        </row>
        <row r="38949">
          <cell r="A38949">
            <v>43513</v>
          </cell>
        </row>
        <row r="38950">
          <cell r="A38950">
            <v>43639</v>
          </cell>
        </row>
        <row r="38951">
          <cell r="A38951">
            <v>43716</v>
          </cell>
        </row>
        <row r="38952">
          <cell r="A38952">
            <v>43185</v>
          </cell>
        </row>
        <row r="38953">
          <cell r="A38953">
            <v>43624</v>
          </cell>
        </row>
        <row r="38954">
          <cell r="A38954">
            <v>43104</v>
          </cell>
        </row>
        <row r="38955">
          <cell r="A38955">
            <v>43242</v>
          </cell>
        </row>
        <row r="38956">
          <cell r="A38956">
            <v>43648</v>
          </cell>
        </row>
        <row r="38957">
          <cell r="A38957">
            <v>43798</v>
          </cell>
        </row>
        <row r="38958">
          <cell r="A38958">
            <v>43292</v>
          </cell>
        </row>
        <row r="38959">
          <cell r="A38959">
            <v>43362</v>
          </cell>
        </row>
        <row r="38960">
          <cell r="A38960">
            <v>43788</v>
          </cell>
        </row>
        <row r="38961">
          <cell r="A38961">
            <v>43701</v>
          </cell>
        </row>
        <row r="38962">
          <cell r="A38962">
            <v>43156</v>
          </cell>
        </row>
        <row r="38963">
          <cell r="A38963">
            <v>43479</v>
          </cell>
        </row>
        <row r="38964">
          <cell r="A38964">
            <v>43867</v>
          </cell>
        </row>
        <row r="38965">
          <cell r="A38965">
            <v>43448</v>
          </cell>
        </row>
        <row r="38966">
          <cell r="A38966">
            <v>43616</v>
          </cell>
        </row>
        <row r="38967">
          <cell r="A38967">
            <v>43630</v>
          </cell>
        </row>
        <row r="38968">
          <cell r="A38968">
            <v>43601</v>
          </cell>
        </row>
        <row r="38969">
          <cell r="A38969">
            <v>43579</v>
          </cell>
        </row>
        <row r="38970">
          <cell r="A38970">
            <v>43855</v>
          </cell>
        </row>
        <row r="38971">
          <cell r="A38971">
            <v>43830</v>
          </cell>
        </row>
        <row r="38972">
          <cell r="A38972">
            <v>43364</v>
          </cell>
        </row>
        <row r="38973">
          <cell r="A38973">
            <v>43618</v>
          </cell>
        </row>
        <row r="38974">
          <cell r="A38974">
            <v>43448</v>
          </cell>
        </row>
        <row r="38975">
          <cell r="A38975">
            <v>43594</v>
          </cell>
        </row>
        <row r="38976">
          <cell r="A38976">
            <v>43571</v>
          </cell>
        </row>
        <row r="38977">
          <cell r="A38977">
            <v>43453</v>
          </cell>
        </row>
        <row r="38978">
          <cell r="A38978">
            <v>43185</v>
          </cell>
        </row>
        <row r="38979">
          <cell r="A38979">
            <v>43261</v>
          </cell>
        </row>
        <row r="38980">
          <cell r="A38980">
            <v>43786</v>
          </cell>
        </row>
        <row r="38981">
          <cell r="A38981">
            <v>43189</v>
          </cell>
        </row>
        <row r="38982">
          <cell r="A38982">
            <v>43824</v>
          </cell>
        </row>
        <row r="38983">
          <cell r="A38983">
            <v>43783</v>
          </cell>
        </row>
        <row r="38984">
          <cell r="A38984">
            <v>43241</v>
          </cell>
        </row>
        <row r="38985">
          <cell r="A38985">
            <v>43605</v>
          </cell>
        </row>
        <row r="38986">
          <cell r="A38986">
            <v>43313</v>
          </cell>
        </row>
        <row r="38987">
          <cell r="A38987">
            <v>43892</v>
          </cell>
        </row>
        <row r="38988">
          <cell r="A38988">
            <v>43283</v>
          </cell>
        </row>
        <row r="38989">
          <cell r="A38989">
            <v>43426</v>
          </cell>
        </row>
        <row r="38990">
          <cell r="A38990">
            <v>43347</v>
          </cell>
        </row>
        <row r="38991">
          <cell r="A38991">
            <v>43557</v>
          </cell>
        </row>
        <row r="38992">
          <cell r="A38992">
            <v>43658</v>
          </cell>
        </row>
        <row r="38993">
          <cell r="A38993">
            <v>43139</v>
          </cell>
        </row>
        <row r="38994">
          <cell r="A38994">
            <v>43544</v>
          </cell>
        </row>
        <row r="38995">
          <cell r="A38995">
            <v>43534</v>
          </cell>
        </row>
        <row r="38996">
          <cell r="A38996">
            <v>43144</v>
          </cell>
        </row>
        <row r="38997">
          <cell r="A38997">
            <v>43831</v>
          </cell>
        </row>
        <row r="38998">
          <cell r="A38998">
            <v>43346</v>
          </cell>
        </row>
        <row r="38999">
          <cell r="A38999">
            <v>43547</v>
          </cell>
        </row>
        <row r="39000">
          <cell r="A39000">
            <v>43619</v>
          </cell>
        </row>
        <row r="39001">
          <cell r="A39001">
            <v>43467</v>
          </cell>
        </row>
        <row r="39002">
          <cell r="A39002">
            <v>43619</v>
          </cell>
        </row>
        <row r="39003">
          <cell r="A39003">
            <v>43611</v>
          </cell>
        </row>
        <row r="39004">
          <cell r="A39004">
            <v>43745</v>
          </cell>
        </row>
        <row r="39005">
          <cell r="A39005">
            <v>43369</v>
          </cell>
        </row>
        <row r="39006">
          <cell r="A39006">
            <v>43230</v>
          </cell>
        </row>
        <row r="39007">
          <cell r="A39007">
            <v>43171</v>
          </cell>
        </row>
        <row r="39008">
          <cell r="A39008">
            <v>43286</v>
          </cell>
        </row>
        <row r="39009">
          <cell r="A39009">
            <v>43277</v>
          </cell>
        </row>
        <row r="39010">
          <cell r="A39010">
            <v>43617</v>
          </cell>
        </row>
        <row r="39011">
          <cell r="A39011">
            <v>43365</v>
          </cell>
        </row>
        <row r="39012">
          <cell r="A39012">
            <v>43611</v>
          </cell>
        </row>
        <row r="39013">
          <cell r="A39013">
            <v>43141</v>
          </cell>
        </row>
        <row r="39014">
          <cell r="A39014">
            <v>43165</v>
          </cell>
        </row>
        <row r="39015">
          <cell r="A39015">
            <v>43365</v>
          </cell>
        </row>
        <row r="39016">
          <cell r="A39016">
            <v>43603</v>
          </cell>
        </row>
        <row r="39017">
          <cell r="A39017">
            <v>43734</v>
          </cell>
        </row>
        <row r="39018">
          <cell r="A39018">
            <v>43574</v>
          </cell>
        </row>
        <row r="39019">
          <cell r="A39019">
            <v>43763</v>
          </cell>
        </row>
        <row r="39020">
          <cell r="A39020">
            <v>43221</v>
          </cell>
        </row>
        <row r="39021">
          <cell r="A39021">
            <v>43153</v>
          </cell>
        </row>
        <row r="39022">
          <cell r="A39022">
            <v>43532</v>
          </cell>
        </row>
        <row r="39023">
          <cell r="A39023">
            <v>43682</v>
          </cell>
        </row>
        <row r="39024">
          <cell r="A39024">
            <v>43470</v>
          </cell>
        </row>
        <row r="39025">
          <cell r="A39025">
            <v>43544</v>
          </cell>
        </row>
        <row r="39026">
          <cell r="A39026">
            <v>43257</v>
          </cell>
        </row>
        <row r="39027">
          <cell r="A39027">
            <v>43882</v>
          </cell>
        </row>
        <row r="39028">
          <cell r="A39028">
            <v>43455</v>
          </cell>
        </row>
        <row r="39029">
          <cell r="A39029">
            <v>43375</v>
          </cell>
        </row>
        <row r="39030">
          <cell r="A39030">
            <v>43426</v>
          </cell>
        </row>
        <row r="39031">
          <cell r="A39031">
            <v>43700</v>
          </cell>
        </row>
        <row r="39032">
          <cell r="A39032">
            <v>43772</v>
          </cell>
        </row>
        <row r="39033">
          <cell r="A39033">
            <v>43243</v>
          </cell>
        </row>
        <row r="39034">
          <cell r="A39034">
            <v>43675</v>
          </cell>
        </row>
        <row r="39035">
          <cell r="A39035">
            <v>43812</v>
          </cell>
        </row>
        <row r="39036">
          <cell r="A39036">
            <v>43751</v>
          </cell>
        </row>
        <row r="39037">
          <cell r="A39037">
            <v>43650</v>
          </cell>
        </row>
        <row r="39038">
          <cell r="A39038">
            <v>43145</v>
          </cell>
        </row>
        <row r="39039">
          <cell r="A39039">
            <v>43921</v>
          </cell>
        </row>
        <row r="39040">
          <cell r="A39040">
            <v>43123</v>
          </cell>
        </row>
        <row r="39041">
          <cell r="A39041">
            <v>43118</v>
          </cell>
        </row>
        <row r="39042">
          <cell r="A39042">
            <v>43290</v>
          </cell>
        </row>
        <row r="39043">
          <cell r="A39043">
            <v>43136</v>
          </cell>
        </row>
        <row r="39044">
          <cell r="A39044">
            <v>43895</v>
          </cell>
        </row>
        <row r="39045">
          <cell r="A39045">
            <v>43771</v>
          </cell>
        </row>
        <row r="39046">
          <cell r="A39046">
            <v>43165</v>
          </cell>
        </row>
        <row r="39047">
          <cell r="A39047">
            <v>43246</v>
          </cell>
        </row>
        <row r="39048">
          <cell r="A39048">
            <v>43738</v>
          </cell>
        </row>
        <row r="39049">
          <cell r="A39049">
            <v>43410</v>
          </cell>
        </row>
        <row r="39050">
          <cell r="A39050">
            <v>43432</v>
          </cell>
        </row>
        <row r="39051">
          <cell r="A39051">
            <v>43664</v>
          </cell>
        </row>
        <row r="39052">
          <cell r="A39052">
            <v>43292</v>
          </cell>
        </row>
        <row r="39053">
          <cell r="A39053">
            <v>43674</v>
          </cell>
        </row>
        <row r="39054">
          <cell r="A39054">
            <v>43801</v>
          </cell>
        </row>
        <row r="39055">
          <cell r="A39055">
            <v>43628</v>
          </cell>
        </row>
        <row r="39056">
          <cell r="A39056">
            <v>43637</v>
          </cell>
        </row>
        <row r="39057">
          <cell r="A39057">
            <v>43647</v>
          </cell>
        </row>
        <row r="39058">
          <cell r="A39058">
            <v>43663</v>
          </cell>
        </row>
        <row r="39059">
          <cell r="A39059">
            <v>43756</v>
          </cell>
        </row>
        <row r="39060">
          <cell r="A39060">
            <v>43840</v>
          </cell>
        </row>
        <row r="39061">
          <cell r="A39061">
            <v>43183</v>
          </cell>
        </row>
        <row r="39062">
          <cell r="A39062">
            <v>43562</v>
          </cell>
        </row>
        <row r="39063">
          <cell r="A39063">
            <v>43455</v>
          </cell>
        </row>
        <row r="39064">
          <cell r="A39064">
            <v>43878</v>
          </cell>
        </row>
        <row r="39065">
          <cell r="A39065">
            <v>43150</v>
          </cell>
        </row>
        <row r="39066">
          <cell r="A39066">
            <v>43847</v>
          </cell>
        </row>
        <row r="39067">
          <cell r="A39067">
            <v>43449</v>
          </cell>
        </row>
        <row r="39068">
          <cell r="A39068">
            <v>43215</v>
          </cell>
        </row>
        <row r="39069">
          <cell r="A39069">
            <v>43154</v>
          </cell>
        </row>
        <row r="39070">
          <cell r="A39070">
            <v>43119</v>
          </cell>
        </row>
        <row r="39071">
          <cell r="A39071">
            <v>43626</v>
          </cell>
        </row>
        <row r="39072">
          <cell r="A39072">
            <v>43446</v>
          </cell>
        </row>
        <row r="39073">
          <cell r="A39073">
            <v>43678</v>
          </cell>
        </row>
        <row r="39074">
          <cell r="A39074">
            <v>43251</v>
          </cell>
        </row>
        <row r="39075">
          <cell r="A39075">
            <v>43260</v>
          </cell>
        </row>
        <row r="39076">
          <cell r="A39076">
            <v>43541</v>
          </cell>
        </row>
        <row r="39077">
          <cell r="A39077">
            <v>43411</v>
          </cell>
        </row>
        <row r="39078">
          <cell r="A39078">
            <v>43393</v>
          </cell>
        </row>
        <row r="39079">
          <cell r="A39079">
            <v>43516</v>
          </cell>
        </row>
        <row r="39080">
          <cell r="A39080">
            <v>43659</v>
          </cell>
        </row>
        <row r="39081">
          <cell r="A39081">
            <v>43901</v>
          </cell>
        </row>
        <row r="39082">
          <cell r="A39082">
            <v>43689</v>
          </cell>
        </row>
        <row r="39083">
          <cell r="A39083">
            <v>43430</v>
          </cell>
        </row>
        <row r="39084">
          <cell r="A39084">
            <v>43431</v>
          </cell>
        </row>
        <row r="39085">
          <cell r="A39085">
            <v>43568</v>
          </cell>
        </row>
        <row r="39086">
          <cell r="A39086">
            <v>43240</v>
          </cell>
        </row>
        <row r="39087">
          <cell r="A39087">
            <v>43196</v>
          </cell>
        </row>
        <row r="39088">
          <cell r="A39088">
            <v>43240</v>
          </cell>
        </row>
        <row r="39089">
          <cell r="A39089">
            <v>43245</v>
          </cell>
        </row>
        <row r="39090">
          <cell r="A39090">
            <v>43769</v>
          </cell>
        </row>
        <row r="39091">
          <cell r="A39091">
            <v>43708</v>
          </cell>
        </row>
        <row r="39092">
          <cell r="A39092">
            <v>43825</v>
          </cell>
        </row>
        <row r="39093">
          <cell r="A39093">
            <v>43195</v>
          </cell>
        </row>
        <row r="39094">
          <cell r="A39094">
            <v>43101</v>
          </cell>
        </row>
        <row r="39095">
          <cell r="A39095">
            <v>43807</v>
          </cell>
        </row>
        <row r="39096">
          <cell r="A39096">
            <v>43509</v>
          </cell>
        </row>
        <row r="39097">
          <cell r="A39097">
            <v>43349</v>
          </cell>
        </row>
        <row r="39098">
          <cell r="A39098">
            <v>43761</v>
          </cell>
        </row>
        <row r="39099">
          <cell r="A39099">
            <v>43204</v>
          </cell>
        </row>
        <row r="39100">
          <cell r="A39100">
            <v>43611</v>
          </cell>
        </row>
        <row r="39101">
          <cell r="A39101">
            <v>43530</v>
          </cell>
        </row>
        <row r="39102">
          <cell r="A39102">
            <v>43123</v>
          </cell>
        </row>
        <row r="39103">
          <cell r="A39103">
            <v>43422</v>
          </cell>
        </row>
        <row r="39104">
          <cell r="A39104">
            <v>43222</v>
          </cell>
        </row>
        <row r="39105">
          <cell r="A39105">
            <v>43918</v>
          </cell>
        </row>
        <row r="39106">
          <cell r="A39106">
            <v>43876</v>
          </cell>
        </row>
        <row r="39107">
          <cell r="A39107">
            <v>43725</v>
          </cell>
        </row>
        <row r="39108">
          <cell r="A39108">
            <v>43915</v>
          </cell>
        </row>
        <row r="39109">
          <cell r="A39109">
            <v>43246</v>
          </cell>
        </row>
        <row r="39110">
          <cell r="A39110">
            <v>43315</v>
          </cell>
        </row>
        <row r="39111">
          <cell r="A39111">
            <v>43236</v>
          </cell>
        </row>
        <row r="39112">
          <cell r="A39112">
            <v>43146</v>
          </cell>
        </row>
        <row r="39113">
          <cell r="A39113">
            <v>43145</v>
          </cell>
        </row>
        <row r="39114">
          <cell r="A39114">
            <v>43387</v>
          </cell>
        </row>
        <row r="39115">
          <cell r="A39115">
            <v>43886</v>
          </cell>
        </row>
        <row r="39116">
          <cell r="A39116">
            <v>43751</v>
          </cell>
        </row>
        <row r="39117">
          <cell r="A39117">
            <v>43726</v>
          </cell>
        </row>
        <row r="39118">
          <cell r="A39118">
            <v>43243</v>
          </cell>
        </row>
        <row r="39119">
          <cell r="A39119">
            <v>43815</v>
          </cell>
        </row>
        <row r="39120">
          <cell r="A39120">
            <v>43700</v>
          </cell>
        </row>
        <row r="39121">
          <cell r="A39121">
            <v>43401</v>
          </cell>
        </row>
        <row r="39122">
          <cell r="A39122">
            <v>43615</v>
          </cell>
        </row>
        <row r="39123">
          <cell r="A39123">
            <v>43883</v>
          </cell>
        </row>
        <row r="39124">
          <cell r="A39124">
            <v>43113</v>
          </cell>
        </row>
        <row r="39125">
          <cell r="A39125">
            <v>43833</v>
          </cell>
        </row>
        <row r="39126">
          <cell r="A39126">
            <v>43518</v>
          </cell>
        </row>
        <row r="39127">
          <cell r="A39127">
            <v>43480</v>
          </cell>
        </row>
        <row r="39128">
          <cell r="A39128">
            <v>43331</v>
          </cell>
        </row>
        <row r="39129">
          <cell r="A39129">
            <v>43906</v>
          </cell>
        </row>
        <row r="39130">
          <cell r="A39130">
            <v>43723</v>
          </cell>
        </row>
        <row r="39131">
          <cell r="A39131">
            <v>43476</v>
          </cell>
        </row>
        <row r="39132">
          <cell r="A39132">
            <v>43294</v>
          </cell>
        </row>
        <row r="39133">
          <cell r="A39133">
            <v>43198</v>
          </cell>
        </row>
        <row r="39134">
          <cell r="A39134">
            <v>43789</v>
          </cell>
        </row>
        <row r="39135">
          <cell r="A39135">
            <v>43227</v>
          </cell>
        </row>
        <row r="39136">
          <cell r="A39136">
            <v>43313</v>
          </cell>
        </row>
        <row r="39137">
          <cell r="A39137">
            <v>43849</v>
          </cell>
        </row>
        <row r="39138">
          <cell r="A39138">
            <v>43845</v>
          </cell>
        </row>
        <row r="39139">
          <cell r="A39139">
            <v>43362</v>
          </cell>
        </row>
        <row r="39140">
          <cell r="A39140">
            <v>43871</v>
          </cell>
        </row>
        <row r="39141">
          <cell r="A39141">
            <v>43529</v>
          </cell>
        </row>
        <row r="39142">
          <cell r="A39142">
            <v>43148</v>
          </cell>
        </row>
        <row r="39143">
          <cell r="A39143">
            <v>43272</v>
          </cell>
        </row>
        <row r="39144">
          <cell r="A39144">
            <v>43426</v>
          </cell>
        </row>
        <row r="39145">
          <cell r="A39145">
            <v>43325</v>
          </cell>
        </row>
        <row r="39146">
          <cell r="A39146">
            <v>43692</v>
          </cell>
        </row>
        <row r="39147">
          <cell r="A39147">
            <v>43551</v>
          </cell>
        </row>
        <row r="39148">
          <cell r="A39148">
            <v>43897</v>
          </cell>
        </row>
        <row r="39149">
          <cell r="A39149">
            <v>43640</v>
          </cell>
        </row>
        <row r="39150">
          <cell r="A39150">
            <v>43683</v>
          </cell>
        </row>
        <row r="39151">
          <cell r="A39151">
            <v>43825</v>
          </cell>
        </row>
        <row r="39152">
          <cell r="A39152">
            <v>43465</v>
          </cell>
        </row>
        <row r="39153">
          <cell r="A39153">
            <v>43199</v>
          </cell>
        </row>
        <row r="39154">
          <cell r="A39154">
            <v>43337</v>
          </cell>
        </row>
        <row r="39155">
          <cell r="A39155">
            <v>43217</v>
          </cell>
        </row>
        <row r="39156">
          <cell r="A39156">
            <v>43609</v>
          </cell>
        </row>
        <row r="39157">
          <cell r="A39157">
            <v>43899</v>
          </cell>
        </row>
        <row r="39158">
          <cell r="A39158">
            <v>43316</v>
          </cell>
        </row>
        <row r="39159">
          <cell r="A39159">
            <v>43189</v>
          </cell>
        </row>
        <row r="39160">
          <cell r="A39160">
            <v>43505</v>
          </cell>
        </row>
        <row r="39161">
          <cell r="A39161">
            <v>43822</v>
          </cell>
        </row>
        <row r="39162">
          <cell r="A39162">
            <v>43677</v>
          </cell>
        </row>
        <row r="39163">
          <cell r="A39163">
            <v>43499</v>
          </cell>
        </row>
        <row r="39164">
          <cell r="A39164">
            <v>43305</v>
          </cell>
        </row>
        <row r="39165">
          <cell r="A39165">
            <v>43921</v>
          </cell>
        </row>
        <row r="39166">
          <cell r="A39166">
            <v>43713</v>
          </cell>
        </row>
        <row r="39167">
          <cell r="A39167">
            <v>43611</v>
          </cell>
        </row>
        <row r="39168">
          <cell r="A39168">
            <v>43586</v>
          </cell>
        </row>
        <row r="39169">
          <cell r="A39169">
            <v>43637</v>
          </cell>
        </row>
        <row r="39170">
          <cell r="A39170">
            <v>43214</v>
          </cell>
        </row>
        <row r="39171">
          <cell r="A39171">
            <v>43736</v>
          </cell>
        </row>
        <row r="39172">
          <cell r="A39172">
            <v>43860</v>
          </cell>
        </row>
        <row r="39173">
          <cell r="A39173">
            <v>43921</v>
          </cell>
        </row>
        <row r="39174">
          <cell r="A39174">
            <v>43160</v>
          </cell>
        </row>
        <row r="39175">
          <cell r="A39175">
            <v>43134</v>
          </cell>
        </row>
        <row r="39176">
          <cell r="A39176">
            <v>43796</v>
          </cell>
        </row>
        <row r="39177">
          <cell r="A39177">
            <v>43221</v>
          </cell>
        </row>
        <row r="39178">
          <cell r="A39178">
            <v>43743</v>
          </cell>
        </row>
        <row r="39179">
          <cell r="A39179">
            <v>43652</v>
          </cell>
        </row>
        <row r="39180">
          <cell r="A39180">
            <v>43629</v>
          </cell>
        </row>
        <row r="39181">
          <cell r="A39181">
            <v>43616</v>
          </cell>
        </row>
        <row r="39182">
          <cell r="A39182">
            <v>43114</v>
          </cell>
        </row>
        <row r="39183">
          <cell r="A39183">
            <v>43882</v>
          </cell>
        </row>
        <row r="39184">
          <cell r="A39184">
            <v>43403</v>
          </cell>
        </row>
        <row r="39185">
          <cell r="A39185">
            <v>43861</v>
          </cell>
        </row>
        <row r="39186">
          <cell r="A39186">
            <v>43740</v>
          </cell>
        </row>
        <row r="39187">
          <cell r="A39187">
            <v>43657</v>
          </cell>
        </row>
        <row r="39188">
          <cell r="A39188">
            <v>43860</v>
          </cell>
        </row>
        <row r="39189">
          <cell r="A39189">
            <v>43298</v>
          </cell>
        </row>
        <row r="39190">
          <cell r="A39190">
            <v>43548</v>
          </cell>
        </row>
        <row r="39191">
          <cell r="A39191">
            <v>43835</v>
          </cell>
        </row>
        <row r="39192">
          <cell r="A39192">
            <v>43270</v>
          </cell>
        </row>
        <row r="39193">
          <cell r="A39193">
            <v>43168</v>
          </cell>
        </row>
        <row r="39194">
          <cell r="A39194">
            <v>43186</v>
          </cell>
        </row>
        <row r="39195">
          <cell r="A39195">
            <v>43627</v>
          </cell>
        </row>
        <row r="39196">
          <cell r="A39196">
            <v>43332</v>
          </cell>
        </row>
        <row r="39197">
          <cell r="A39197">
            <v>43410</v>
          </cell>
        </row>
        <row r="39198">
          <cell r="A39198">
            <v>43439</v>
          </cell>
        </row>
        <row r="39199">
          <cell r="A39199">
            <v>43124</v>
          </cell>
        </row>
        <row r="39200">
          <cell r="A39200">
            <v>43902</v>
          </cell>
        </row>
        <row r="39201">
          <cell r="A39201">
            <v>43495</v>
          </cell>
        </row>
        <row r="39202">
          <cell r="A39202">
            <v>43620</v>
          </cell>
        </row>
        <row r="39203">
          <cell r="A39203">
            <v>43361</v>
          </cell>
        </row>
        <row r="39204">
          <cell r="A39204">
            <v>43904</v>
          </cell>
        </row>
        <row r="39205">
          <cell r="A39205">
            <v>43862</v>
          </cell>
        </row>
        <row r="39206">
          <cell r="A39206">
            <v>43321</v>
          </cell>
        </row>
        <row r="39207">
          <cell r="A39207">
            <v>43428</v>
          </cell>
        </row>
        <row r="39208">
          <cell r="A39208">
            <v>43189</v>
          </cell>
        </row>
        <row r="39209">
          <cell r="A39209">
            <v>43731</v>
          </cell>
        </row>
        <row r="39210">
          <cell r="A39210">
            <v>43619</v>
          </cell>
        </row>
        <row r="39211">
          <cell r="A39211">
            <v>43552</v>
          </cell>
        </row>
        <row r="39212">
          <cell r="A39212">
            <v>43824</v>
          </cell>
        </row>
        <row r="39213">
          <cell r="A39213">
            <v>43256</v>
          </cell>
        </row>
        <row r="39214">
          <cell r="A39214">
            <v>43902</v>
          </cell>
        </row>
        <row r="39215">
          <cell r="A39215">
            <v>43789</v>
          </cell>
        </row>
        <row r="39216">
          <cell r="A39216">
            <v>43198</v>
          </cell>
        </row>
        <row r="39217">
          <cell r="A39217">
            <v>43553</v>
          </cell>
        </row>
        <row r="39218">
          <cell r="A39218">
            <v>43263</v>
          </cell>
        </row>
        <row r="39219">
          <cell r="A39219">
            <v>43912</v>
          </cell>
        </row>
        <row r="39220">
          <cell r="A39220">
            <v>43333</v>
          </cell>
        </row>
        <row r="39221">
          <cell r="A39221">
            <v>43717</v>
          </cell>
        </row>
        <row r="39222">
          <cell r="A39222">
            <v>43647</v>
          </cell>
        </row>
        <row r="39223">
          <cell r="A39223">
            <v>43681</v>
          </cell>
        </row>
        <row r="39224">
          <cell r="A39224">
            <v>43286</v>
          </cell>
        </row>
        <row r="39225">
          <cell r="A39225">
            <v>43736</v>
          </cell>
        </row>
        <row r="39226">
          <cell r="A39226">
            <v>43261</v>
          </cell>
        </row>
        <row r="39227">
          <cell r="A39227">
            <v>43759</v>
          </cell>
        </row>
        <row r="39228">
          <cell r="A39228">
            <v>43390</v>
          </cell>
        </row>
        <row r="39229">
          <cell r="A39229">
            <v>43750</v>
          </cell>
        </row>
        <row r="39230">
          <cell r="A39230">
            <v>43847</v>
          </cell>
        </row>
        <row r="39231">
          <cell r="A39231">
            <v>43672</v>
          </cell>
        </row>
        <row r="39232">
          <cell r="A39232">
            <v>43759</v>
          </cell>
        </row>
        <row r="39233">
          <cell r="A39233">
            <v>43462</v>
          </cell>
        </row>
        <row r="39234">
          <cell r="A39234">
            <v>43889</v>
          </cell>
        </row>
        <row r="39235">
          <cell r="A39235">
            <v>43805</v>
          </cell>
        </row>
        <row r="39236">
          <cell r="A39236">
            <v>43564</v>
          </cell>
        </row>
        <row r="39237">
          <cell r="A39237">
            <v>43149</v>
          </cell>
        </row>
        <row r="39238">
          <cell r="A39238">
            <v>43281</v>
          </cell>
        </row>
        <row r="39239">
          <cell r="A39239">
            <v>43343</v>
          </cell>
        </row>
        <row r="39240">
          <cell r="A39240">
            <v>43497</v>
          </cell>
        </row>
        <row r="39241">
          <cell r="A39241">
            <v>43244</v>
          </cell>
        </row>
        <row r="39242">
          <cell r="A39242">
            <v>43837</v>
          </cell>
        </row>
        <row r="39243">
          <cell r="A39243">
            <v>43604</v>
          </cell>
        </row>
        <row r="39244">
          <cell r="A39244">
            <v>43653</v>
          </cell>
        </row>
        <row r="39245">
          <cell r="A39245">
            <v>43672</v>
          </cell>
        </row>
        <row r="39246">
          <cell r="A39246">
            <v>43598</v>
          </cell>
        </row>
        <row r="39247">
          <cell r="A39247">
            <v>43731</v>
          </cell>
        </row>
        <row r="39248">
          <cell r="A39248">
            <v>43442</v>
          </cell>
        </row>
        <row r="39249">
          <cell r="A39249">
            <v>43635</v>
          </cell>
        </row>
        <row r="39250">
          <cell r="A39250">
            <v>43807</v>
          </cell>
        </row>
        <row r="39251">
          <cell r="A39251">
            <v>43275</v>
          </cell>
        </row>
        <row r="39252">
          <cell r="A39252">
            <v>43574</v>
          </cell>
        </row>
        <row r="39253">
          <cell r="A39253">
            <v>43837</v>
          </cell>
        </row>
        <row r="39254">
          <cell r="A39254">
            <v>43182</v>
          </cell>
        </row>
        <row r="39255">
          <cell r="A39255">
            <v>43605</v>
          </cell>
        </row>
        <row r="39256">
          <cell r="A39256">
            <v>43479</v>
          </cell>
        </row>
        <row r="39257">
          <cell r="A39257">
            <v>43231</v>
          </cell>
        </row>
        <row r="39258">
          <cell r="A39258">
            <v>43119</v>
          </cell>
        </row>
        <row r="39259">
          <cell r="A39259">
            <v>43878</v>
          </cell>
        </row>
        <row r="39260">
          <cell r="A39260">
            <v>43859</v>
          </cell>
        </row>
        <row r="39261">
          <cell r="A39261">
            <v>43233</v>
          </cell>
        </row>
        <row r="39262">
          <cell r="A39262">
            <v>43869</v>
          </cell>
        </row>
        <row r="39263">
          <cell r="A39263">
            <v>43778</v>
          </cell>
        </row>
        <row r="39264">
          <cell r="A39264">
            <v>43813</v>
          </cell>
        </row>
        <row r="39265">
          <cell r="A39265">
            <v>43493</v>
          </cell>
        </row>
        <row r="39266">
          <cell r="A39266">
            <v>43789</v>
          </cell>
        </row>
        <row r="39267">
          <cell r="A39267">
            <v>43468</v>
          </cell>
        </row>
        <row r="39268">
          <cell r="A39268">
            <v>43911</v>
          </cell>
        </row>
        <row r="39269">
          <cell r="A39269">
            <v>43297</v>
          </cell>
        </row>
        <row r="39270">
          <cell r="A39270">
            <v>43864</v>
          </cell>
        </row>
        <row r="39271">
          <cell r="A39271">
            <v>43319</v>
          </cell>
        </row>
        <row r="39272">
          <cell r="A39272">
            <v>43204</v>
          </cell>
        </row>
        <row r="39273">
          <cell r="A39273">
            <v>43495</v>
          </cell>
        </row>
        <row r="39274">
          <cell r="A39274">
            <v>43624</v>
          </cell>
        </row>
        <row r="39275">
          <cell r="A39275">
            <v>43457</v>
          </cell>
        </row>
        <row r="39276">
          <cell r="A39276">
            <v>43782</v>
          </cell>
        </row>
        <row r="39277">
          <cell r="A39277">
            <v>43180</v>
          </cell>
        </row>
        <row r="39278">
          <cell r="A39278">
            <v>43153</v>
          </cell>
        </row>
        <row r="39279">
          <cell r="A39279">
            <v>43639</v>
          </cell>
        </row>
        <row r="39280">
          <cell r="A39280">
            <v>43419</v>
          </cell>
        </row>
        <row r="39281">
          <cell r="A39281">
            <v>43902</v>
          </cell>
        </row>
        <row r="39282">
          <cell r="A39282">
            <v>43155</v>
          </cell>
        </row>
        <row r="39283">
          <cell r="A39283">
            <v>43669</v>
          </cell>
        </row>
        <row r="39284">
          <cell r="A39284">
            <v>43281</v>
          </cell>
        </row>
        <row r="39285">
          <cell r="A39285">
            <v>43392</v>
          </cell>
        </row>
        <row r="39286">
          <cell r="A39286">
            <v>43721</v>
          </cell>
        </row>
        <row r="39287">
          <cell r="A39287">
            <v>43525</v>
          </cell>
        </row>
        <row r="39288">
          <cell r="A39288">
            <v>43664</v>
          </cell>
        </row>
        <row r="39289">
          <cell r="A39289">
            <v>43841</v>
          </cell>
        </row>
        <row r="39290">
          <cell r="A39290">
            <v>43834</v>
          </cell>
        </row>
        <row r="39291">
          <cell r="A39291">
            <v>43807</v>
          </cell>
        </row>
        <row r="39292">
          <cell r="A39292">
            <v>43366</v>
          </cell>
        </row>
        <row r="39293">
          <cell r="A39293">
            <v>43229</v>
          </cell>
        </row>
        <row r="39294">
          <cell r="A39294">
            <v>43851</v>
          </cell>
        </row>
        <row r="39295">
          <cell r="A39295">
            <v>43762</v>
          </cell>
        </row>
        <row r="39296">
          <cell r="A39296">
            <v>43642</v>
          </cell>
        </row>
        <row r="39297">
          <cell r="A39297">
            <v>43553</v>
          </cell>
        </row>
        <row r="39298">
          <cell r="A39298">
            <v>43837</v>
          </cell>
        </row>
        <row r="39299">
          <cell r="A39299">
            <v>43680</v>
          </cell>
        </row>
        <row r="39300">
          <cell r="A39300">
            <v>43636</v>
          </cell>
        </row>
        <row r="39301">
          <cell r="A39301">
            <v>43587</v>
          </cell>
        </row>
        <row r="39302">
          <cell r="A39302">
            <v>43809</v>
          </cell>
        </row>
        <row r="39303">
          <cell r="A39303">
            <v>43336</v>
          </cell>
        </row>
        <row r="39304">
          <cell r="A39304">
            <v>43739</v>
          </cell>
        </row>
        <row r="39305">
          <cell r="A39305">
            <v>43133</v>
          </cell>
        </row>
        <row r="39306">
          <cell r="A39306">
            <v>43413</v>
          </cell>
        </row>
        <row r="39307">
          <cell r="A39307">
            <v>43288</v>
          </cell>
        </row>
        <row r="39308">
          <cell r="A39308">
            <v>43191</v>
          </cell>
        </row>
        <row r="39309">
          <cell r="A39309">
            <v>43616</v>
          </cell>
        </row>
        <row r="39310">
          <cell r="A39310">
            <v>43749</v>
          </cell>
        </row>
        <row r="39311">
          <cell r="A39311">
            <v>43503</v>
          </cell>
        </row>
        <row r="39312">
          <cell r="A39312">
            <v>43244</v>
          </cell>
        </row>
        <row r="39313">
          <cell r="A39313">
            <v>43420</v>
          </cell>
        </row>
        <row r="39314">
          <cell r="A39314">
            <v>43598</v>
          </cell>
        </row>
        <row r="39315">
          <cell r="A39315">
            <v>43288</v>
          </cell>
        </row>
        <row r="39316">
          <cell r="A39316">
            <v>43610</v>
          </cell>
        </row>
        <row r="39317">
          <cell r="A39317">
            <v>43687</v>
          </cell>
        </row>
        <row r="39318">
          <cell r="A39318">
            <v>43918</v>
          </cell>
        </row>
        <row r="39319">
          <cell r="A39319">
            <v>43756</v>
          </cell>
        </row>
        <row r="39320">
          <cell r="A39320">
            <v>43508</v>
          </cell>
        </row>
        <row r="39321">
          <cell r="A39321">
            <v>43171</v>
          </cell>
        </row>
        <row r="39322">
          <cell r="A39322">
            <v>43777</v>
          </cell>
        </row>
        <row r="39323">
          <cell r="A39323">
            <v>43651</v>
          </cell>
        </row>
        <row r="39324">
          <cell r="A39324">
            <v>43207</v>
          </cell>
        </row>
        <row r="39325">
          <cell r="A39325">
            <v>43348</v>
          </cell>
        </row>
        <row r="39326">
          <cell r="A39326">
            <v>43768</v>
          </cell>
        </row>
        <row r="39327">
          <cell r="A39327">
            <v>43848</v>
          </cell>
        </row>
        <row r="39328">
          <cell r="A39328">
            <v>43856</v>
          </cell>
        </row>
        <row r="39329">
          <cell r="A39329">
            <v>43212</v>
          </cell>
        </row>
        <row r="39330">
          <cell r="A39330">
            <v>43622</v>
          </cell>
        </row>
        <row r="39331">
          <cell r="A39331">
            <v>43382</v>
          </cell>
        </row>
        <row r="39332">
          <cell r="A39332">
            <v>43672</v>
          </cell>
        </row>
        <row r="39333">
          <cell r="A39333">
            <v>43686</v>
          </cell>
        </row>
        <row r="39334">
          <cell r="A39334">
            <v>43551</v>
          </cell>
        </row>
        <row r="39335">
          <cell r="A39335">
            <v>43320</v>
          </cell>
        </row>
        <row r="39336">
          <cell r="A39336">
            <v>43772</v>
          </cell>
        </row>
        <row r="39337">
          <cell r="A39337">
            <v>43564</v>
          </cell>
        </row>
        <row r="39338">
          <cell r="A39338">
            <v>43522</v>
          </cell>
        </row>
        <row r="39339">
          <cell r="A39339">
            <v>43848</v>
          </cell>
        </row>
        <row r="39340">
          <cell r="A39340">
            <v>43691</v>
          </cell>
        </row>
        <row r="39341">
          <cell r="A39341">
            <v>43224</v>
          </cell>
        </row>
        <row r="39342">
          <cell r="A39342">
            <v>43784</v>
          </cell>
        </row>
        <row r="39343">
          <cell r="A39343">
            <v>43303</v>
          </cell>
        </row>
        <row r="39344">
          <cell r="A39344">
            <v>43845</v>
          </cell>
        </row>
        <row r="39345">
          <cell r="A39345">
            <v>43289</v>
          </cell>
        </row>
        <row r="39346">
          <cell r="A39346">
            <v>43810</v>
          </cell>
        </row>
        <row r="39347">
          <cell r="A39347">
            <v>43496</v>
          </cell>
        </row>
        <row r="39348">
          <cell r="A39348">
            <v>43603</v>
          </cell>
        </row>
        <row r="39349">
          <cell r="A39349">
            <v>43714</v>
          </cell>
        </row>
        <row r="39350">
          <cell r="A39350">
            <v>43403</v>
          </cell>
        </row>
        <row r="39351">
          <cell r="A39351">
            <v>43499</v>
          </cell>
        </row>
        <row r="39352">
          <cell r="A39352">
            <v>43914</v>
          </cell>
        </row>
        <row r="39353">
          <cell r="A39353">
            <v>43642</v>
          </cell>
        </row>
        <row r="39354">
          <cell r="A39354">
            <v>43156</v>
          </cell>
        </row>
        <row r="39355">
          <cell r="A39355">
            <v>43600</v>
          </cell>
        </row>
        <row r="39356">
          <cell r="A39356">
            <v>43402</v>
          </cell>
        </row>
        <row r="39357">
          <cell r="A39357">
            <v>43897</v>
          </cell>
        </row>
        <row r="39358">
          <cell r="A39358">
            <v>43732</v>
          </cell>
        </row>
        <row r="39359">
          <cell r="A39359">
            <v>43222</v>
          </cell>
        </row>
        <row r="39360">
          <cell r="A39360">
            <v>43267</v>
          </cell>
        </row>
        <row r="39361">
          <cell r="A39361">
            <v>43408</v>
          </cell>
        </row>
        <row r="39362">
          <cell r="A39362">
            <v>43229</v>
          </cell>
        </row>
        <row r="39363">
          <cell r="A39363">
            <v>43637</v>
          </cell>
        </row>
        <row r="39364">
          <cell r="A39364">
            <v>43673</v>
          </cell>
        </row>
        <row r="39365">
          <cell r="A39365">
            <v>43514</v>
          </cell>
        </row>
        <row r="39366">
          <cell r="A39366">
            <v>43193</v>
          </cell>
        </row>
        <row r="39367">
          <cell r="A39367">
            <v>43647</v>
          </cell>
        </row>
        <row r="39368">
          <cell r="A39368">
            <v>43613</v>
          </cell>
        </row>
        <row r="39369">
          <cell r="A39369">
            <v>43515</v>
          </cell>
        </row>
        <row r="39370">
          <cell r="A39370">
            <v>43812</v>
          </cell>
        </row>
        <row r="39371">
          <cell r="A39371">
            <v>43534</v>
          </cell>
        </row>
        <row r="39372">
          <cell r="A39372">
            <v>43251</v>
          </cell>
        </row>
        <row r="39373">
          <cell r="A39373">
            <v>43716</v>
          </cell>
        </row>
        <row r="39374">
          <cell r="A39374">
            <v>43274</v>
          </cell>
        </row>
        <row r="39375">
          <cell r="A39375">
            <v>43468</v>
          </cell>
        </row>
        <row r="39376">
          <cell r="A39376">
            <v>43419</v>
          </cell>
        </row>
        <row r="39377">
          <cell r="A39377">
            <v>43301</v>
          </cell>
        </row>
        <row r="39378">
          <cell r="A39378">
            <v>43168</v>
          </cell>
        </row>
        <row r="39379">
          <cell r="A39379">
            <v>43179</v>
          </cell>
        </row>
        <row r="39380">
          <cell r="A39380">
            <v>43109</v>
          </cell>
        </row>
        <row r="39381">
          <cell r="A39381">
            <v>43423</v>
          </cell>
        </row>
        <row r="39382">
          <cell r="A39382">
            <v>43359</v>
          </cell>
        </row>
        <row r="39383">
          <cell r="A39383">
            <v>43302</v>
          </cell>
        </row>
        <row r="39384">
          <cell r="A39384">
            <v>43125</v>
          </cell>
        </row>
        <row r="39385">
          <cell r="A39385">
            <v>43160</v>
          </cell>
        </row>
        <row r="39386">
          <cell r="A39386">
            <v>43687</v>
          </cell>
        </row>
        <row r="39387">
          <cell r="A39387">
            <v>43847</v>
          </cell>
        </row>
        <row r="39388">
          <cell r="A39388">
            <v>43497</v>
          </cell>
        </row>
        <row r="39389">
          <cell r="A39389">
            <v>43198</v>
          </cell>
        </row>
        <row r="39390">
          <cell r="A39390">
            <v>43828</v>
          </cell>
        </row>
        <row r="39391">
          <cell r="A39391">
            <v>43575</v>
          </cell>
        </row>
        <row r="39392">
          <cell r="A39392">
            <v>43871</v>
          </cell>
        </row>
        <row r="39393">
          <cell r="A39393">
            <v>43652</v>
          </cell>
        </row>
        <row r="39394">
          <cell r="A39394">
            <v>43361</v>
          </cell>
        </row>
        <row r="39395">
          <cell r="A39395">
            <v>43290</v>
          </cell>
        </row>
        <row r="39396">
          <cell r="A39396">
            <v>43189</v>
          </cell>
        </row>
        <row r="39397">
          <cell r="A39397">
            <v>43160</v>
          </cell>
        </row>
        <row r="39398">
          <cell r="A39398">
            <v>43118</v>
          </cell>
        </row>
        <row r="39399">
          <cell r="A39399">
            <v>43279</v>
          </cell>
        </row>
        <row r="39400">
          <cell r="A39400">
            <v>43338</v>
          </cell>
        </row>
        <row r="39401">
          <cell r="A39401">
            <v>43423</v>
          </cell>
        </row>
        <row r="39402">
          <cell r="A39402">
            <v>43476</v>
          </cell>
        </row>
        <row r="39403">
          <cell r="A39403">
            <v>43590</v>
          </cell>
        </row>
        <row r="39404">
          <cell r="A39404">
            <v>43301</v>
          </cell>
        </row>
        <row r="39405">
          <cell r="A39405">
            <v>43431</v>
          </cell>
        </row>
        <row r="39406">
          <cell r="A39406">
            <v>43874</v>
          </cell>
        </row>
        <row r="39407">
          <cell r="A39407">
            <v>43643</v>
          </cell>
        </row>
        <row r="39408">
          <cell r="A39408">
            <v>43858</v>
          </cell>
        </row>
        <row r="39409">
          <cell r="A39409">
            <v>43367</v>
          </cell>
        </row>
        <row r="39410">
          <cell r="A39410">
            <v>43375</v>
          </cell>
        </row>
        <row r="39411">
          <cell r="A39411">
            <v>43396</v>
          </cell>
        </row>
        <row r="39412">
          <cell r="A39412">
            <v>43919</v>
          </cell>
        </row>
        <row r="39413">
          <cell r="A39413">
            <v>43137</v>
          </cell>
        </row>
        <row r="39414">
          <cell r="A39414">
            <v>43490</v>
          </cell>
        </row>
        <row r="39415">
          <cell r="A39415">
            <v>43501</v>
          </cell>
        </row>
        <row r="39416">
          <cell r="A39416">
            <v>43236</v>
          </cell>
        </row>
        <row r="39417">
          <cell r="A39417">
            <v>43259</v>
          </cell>
        </row>
        <row r="39418">
          <cell r="A39418">
            <v>43763</v>
          </cell>
        </row>
        <row r="39419">
          <cell r="A39419">
            <v>43861</v>
          </cell>
        </row>
        <row r="39420">
          <cell r="A39420">
            <v>43190</v>
          </cell>
        </row>
        <row r="39421">
          <cell r="A39421">
            <v>43321</v>
          </cell>
        </row>
        <row r="39422">
          <cell r="A39422">
            <v>43908</v>
          </cell>
        </row>
        <row r="39423">
          <cell r="A39423">
            <v>43384</v>
          </cell>
        </row>
        <row r="39424">
          <cell r="A39424">
            <v>43102</v>
          </cell>
        </row>
        <row r="39425">
          <cell r="A39425">
            <v>43489</v>
          </cell>
        </row>
        <row r="39426">
          <cell r="A39426">
            <v>43197</v>
          </cell>
        </row>
        <row r="39427">
          <cell r="A39427">
            <v>43253</v>
          </cell>
        </row>
        <row r="39428">
          <cell r="A39428">
            <v>43620</v>
          </cell>
        </row>
        <row r="39429">
          <cell r="A39429">
            <v>43418</v>
          </cell>
        </row>
        <row r="39430">
          <cell r="A39430">
            <v>43752</v>
          </cell>
        </row>
        <row r="39431">
          <cell r="A39431">
            <v>43370</v>
          </cell>
        </row>
        <row r="39432">
          <cell r="A39432">
            <v>43669</v>
          </cell>
        </row>
        <row r="39433">
          <cell r="A39433">
            <v>43492</v>
          </cell>
        </row>
        <row r="39434">
          <cell r="A39434">
            <v>43445</v>
          </cell>
        </row>
        <row r="39435">
          <cell r="A39435">
            <v>43782</v>
          </cell>
        </row>
        <row r="39436">
          <cell r="A39436">
            <v>43110</v>
          </cell>
        </row>
        <row r="39437">
          <cell r="A39437">
            <v>43143</v>
          </cell>
        </row>
        <row r="39438">
          <cell r="A39438">
            <v>43776</v>
          </cell>
        </row>
        <row r="39439">
          <cell r="A39439">
            <v>43727</v>
          </cell>
        </row>
        <row r="39440">
          <cell r="A39440">
            <v>43585</v>
          </cell>
        </row>
        <row r="39441">
          <cell r="A39441">
            <v>43361</v>
          </cell>
        </row>
        <row r="39442">
          <cell r="A39442">
            <v>43811</v>
          </cell>
        </row>
        <row r="39443">
          <cell r="A39443">
            <v>43703</v>
          </cell>
        </row>
        <row r="39444">
          <cell r="A39444">
            <v>43570</v>
          </cell>
        </row>
        <row r="39445">
          <cell r="A39445">
            <v>43639</v>
          </cell>
        </row>
        <row r="39446">
          <cell r="A39446">
            <v>43230</v>
          </cell>
        </row>
        <row r="39447">
          <cell r="A39447">
            <v>43151</v>
          </cell>
        </row>
        <row r="39448">
          <cell r="A39448">
            <v>43919</v>
          </cell>
        </row>
        <row r="39449">
          <cell r="A39449">
            <v>43173</v>
          </cell>
        </row>
        <row r="39450">
          <cell r="A39450">
            <v>43735</v>
          </cell>
        </row>
        <row r="39451">
          <cell r="A39451">
            <v>43809</v>
          </cell>
        </row>
        <row r="39452">
          <cell r="A39452">
            <v>43435</v>
          </cell>
        </row>
        <row r="39453">
          <cell r="A39453">
            <v>43191</v>
          </cell>
        </row>
        <row r="39454">
          <cell r="A39454">
            <v>43684</v>
          </cell>
        </row>
        <row r="39455">
          <cell r="A39455">
            <v>43481</v>
          </cell>
        </row>
        <row r="39456">
          <cell r="A39456">
            <v>43694</v>
          </cell>
        </row>
        <row r="39457">
          <cell r="A39457">
            <v>43592</v>
          </cell>
        </row>
        <row r="39458">
          <cell r="A39458">
            <v>43149</v>
          </cell>
        </row>
        <row r="39459">
          <cell r="A39459">
            <v>43544</v>
          </cell>
        </row>
        <row r="39460">
          <cell r="A39460">
            <v>43384</v>
          </cell>
        </row>
        <row r="39461">
          <cell r="A39461">
            <v>43164</v>
          </cell>
        </row>
        <row r="39462">
          <cell r="A39462">
            <v>43308</v>
          </cell>
        </row>
        <row r="39463">
          <cell r="A39463">
            <v>43836</v>
          </cell>
        </row>
        <row r="39464">
          <cell r="A39464">
            <v>43124</v>
          </cell>
        </row>
        <row r="39465">
          <cell r="A39465">
            <v>43204</v>
          </cell>
        </row>
        <row r="39466">
          <cell r="A39466">
            <v>43425</v>
          </cell>
        </row>
        <row r="39467">
          <cell r="A39467">
            <v>43265</v>
          </cell>
        </row>
        <row r="39468">
          <cell r="A39468">
            <v>43307</v>
          </cell>
        </row>
        <row r="39469">
          <cell r="A39469">
            <v>43357</v>
          </cell>
        </row>
        <row r="39470">
          <cell r="A39470">
            <v>43838</v>
          </cell>
        </row>
        <row r="39471">
          <cell r="A39471">
            <v>43576</v>
          </cell>
        </row>
        <row r="39472">
          <cell r="A39472">
            <v>43349</v>
          </cell>
        </row>
        <row r="39473">
          <cell r="A39473">
            <v>43146</v>
          </cell>
        </row>
        <row r="39474">
          <cell r="A39474">
            <v>43906</v>
          </cell>
        </row>
        <row r="39475">
          <cell r="A39475">
            <v>43357</v>
          </cell>
        </row>
        <row r="39476">
          <cell r="A39476">
            <v>43757</v>
          </cell>
        </row>
        <row r="39477">
          <cell r="A39477">
            <v>43489</v>
          </cell>
        </row>
        <row r="39478">
          <cell r="A39478">
            <v>43516</v>
          </cell>
        </row>
        <row r="39479">
          <cell r="A39479">
            <v>43184</v>
          </cell>
        </row>
        <row r="39480">
          <cell r="A39480">
            <v>43133</v>
          </cell>
        </row>
        <row r="39481">
          <cell r="A39481">
            <v>43433</v>
          </cell>
        </row>
        <row r="39482">
          <cell r="A39482">
            <v>43194</v>
          </cell>
        </row>
        <row r="39483">
          <cell r="A39483">
            <v>43674</v>
          </cell>
        </row>
        <row r="39484">
          <cell r="A39484">
            <v>43681</v>
          </cell>
        </row>
        <row r="39485">
          <cell r="A39485">
            <v>43545</v>
          </cell>
        </row>
        <row r="39486">
          <cell r="A39486">
            <v>43692</v>
          </cell>
        </row>
        <row r="39487">
          <cell r="A39487">
            <v>43145</v>
          </cell>
        </row>
        <row r="39488">
          <cell r="A39488">
            <v>43831</v>
          </cell>
        </row>
        <row r="39489">
          <cell r="A39489">
            <v>43530</v>
          </cell>
        </row>
        <row r="39490">
          <cell r="A39490">
            <v>43699</v>
          </cell>
        </row>
        <row r="39491">
          <cell r="A39491">
            <v>43223</v>
          </cell>
        </row>
        <row r="39492">
          <cell r="A39492">
            <v>43436</v>
          </cell>
        </row>
        <row r="39493">
          <cell r="A39493">
            <v>43483</v>
          </cell>
        </row>
        <row r="39494">
          <cell r="A39494">
            <v>43315</v>
          </cell>
        </row>
        <row r="39495">
          <cell r="A39495">
            <v>43342</v>
          </cell>
        </row>
        <row r="39496">
          <cell r="A39496">
            <v>43288</v>
          </cell>
        </row>
        <row r="39497">
          <cell r="A39497">
            <v>43658</v>
          </cell>
        </row>
        <row r="39498">
          <cell r="A39498">
            <v>43341</v>
          </cell>
        </row>
        <row r="39499">
          <cell r="A39499">
            <v>43390</v>
          </cell>
        </row>
        <row r="39500">
          <cell r="A39500">
            <v>43275</v>
          </cell>
        </row>
        <row r="39501">
          <cell r="A39501">
            <v>43650</v>
          </cell>
        </row>
        <row r="39502">
          <cell r="A39502">
            <v>43364</v>
          </cell>
        </row>
        <row r="39503">
          <cell r="A39503">
            <v>43814</v>
          </cell>
        </row>
        <row r="39504">
          <cell r="A39504">
            <v>43768</v>
          </cell>
        </row>
        <row r="39505">
          <cell r="A39505">
            <v>43740</v>
          </cell>
        </row>
        <row r="39506">
          <cell r="A39506">
            <v>43378</v>
          </cell>
        </row>
        <row r="39507">
          <cell r="A39507">
            <v>43210</v>
          </cell>
        </row>
        <row r="39508">
          <cell r="A39508">
            <v>43333</v>
          </cell>
        </row>
        <row r="39509">
          <cell r="A39509">
            <v>43119</v>
          </cell>
        </row>
        <row r="39510">
          <cell r="A39510">
            <v>43910</v>
          </cell>
        </row>
        <row r="39511">
          <cell r="A39511">
            <v>43175</v>
          </cell>
        </row>
        <row r="39512">
          <cell r="A39512">
            <v>43341</v>
          </cell>
        </row>
        <row r="39513">
          <cell r="A39513">
            <v>43122</v>
          </cell>
        </row>
        <row r="39514">
          <cell r="A39514">
            <v>43546</v>
          </cell>
        </row>
        <row r="39515">
          <cell r="A39515">
            <v>43408</v>
          </cell>
        </row>
        <row r="39516">
          <cell r="A39516">
            <v>43877</v>
          </cell>
        </row>
        <row r="39517">
          <cell r="A39517">
            <v>43144</v>
          </cell>
        </row>
        <row r="39518">
          <cell r="A39518">
            <v>43548</v>
          </cell>
        </row>
        <row r="39519">
          <cell r="A39519">
            <v>43411</v>
          </cell>
        </row>
        <row r="39520">
          <cell r="A39520">
            <v>43258</v>
          </cell>
        </row>
        <row r="39521">
          <cell r="A39521">
            <v>43912</v>
          </cell>
        </row>
        <row r="39522">
          <cell r="A39522">
            <v>43361</v>
          </cell>
        </row>
        <row r="39523">
          <cell r="A39523">
            <v>43375</v>
          </cell>
        </row>
        <row r="39524">
          <cell r="A39524">
            <v>43615</v>
          </cell>
        </row>
        <row r="39525">
          <cell r="A39525">
            <v>43382</v>
          </cell>
        </row>
        <row r="39526">
          <cell r="A39526">
            <v>43865</v>
          </cell>
        </row>
        <row r="39527">
          <cell r="A39527">
            <v>43471</v>
          </cell>
        </row>
        <row r="39528">
          <cell r="A39528">
            <v>43722</v>
          </cell>
        </row>
        <row r="39529">
          <cell r="A39529">
            <v>43666</v>
          </cell>
        </row>
        <row r="39530">
          <cell r="A39530">
            <v>43182</v>
          </cell>
        </row>
        <row r="39531">
          <cell r="A39531">
            <v>43351</v>
          </cell>
        </row>
        <row r="39532">
          <cell r="A39532">
            <v>43125</v>
          </cell>
        </row>
        <row r="39533">
          <cell r="A39533">
            <v>43233</v>
          </cell>
        </row>
        <row r="39534">
          <cell r="A39534">
            <v>43786</v>
          </cell>
        </row>
        <row r="39535">
          <cell r="A39535">
            <v>43493</v>
          </cell>
        </row>
        <row r="39536">
          <cell r="A39536">
            <v>43542</v>
          </cell>
        </row>
        <row r="39537">
          <cell r="A39537">
            <v>43181</v>
          </cell>
        </row>
        <row r="39538">
          <cell r="A39538">
            <v>43115</v>
          </cell>
        </row>
        <row r="39539">
          <cell r="A39539">
            <v>43141</v>
          </cell>
        </row>
        <row r="39540">
          <cell r="A39540">
            <v>43429</v>
          </cell>
        </row>
        <row r="39541">
          <cell r="A39541">
            <v>43183</v>
          </cell>
        </row>
        <row r="39542">
          <cell r="A39542">
            <v>43421</v>
          </cell>
        </row>
        <row r="39543">
          <cell r="A39543">
            <v>43298</v>
          </cell>
        </row>
        <row r="39544">
          <cell r="A39544">
            <v>43720</v>
          </cell>
        </row>
        <row r="39545">
          <cell r="A39545">
            <v>43516</v>
          </cell>
        </row>
        <row r="39546">
          <cell r="A39546">
            <v>43198</v>
          </cell>
        </row>
        <row r="39547">
          <cell r="A39547">
            <v>43472</v>
          </cell>
        </row>
        <row r="39548">
          <cell r="A39548">
            <v>43570</v>
          </cell>
        </row>
        <row r="39549">
          <cell r="A39549">
            <v>43666</v>
          </cell>
        </row>
        <row r="39550">
          <cell r="A39550">
            <v>43823</v>
          </cell>
        </row>
        <row r="39551">
          <cell r="A39551">
            <v>43268</v>
          </cell>
        </row>
        <row r="39552">
          <cell r="A39552">
            <v>43763</v>
          </cell>
        </row>
        <row r="39553">
          <cell r="A39553">
            <v>43169</v>
          </cell>
        </row>
        <row r="39554">
          <cell r="A39554">
            <v>43196</v>
          </cell>
        </row>
        <row r="39555">
          <cell r="A39555">
            <v>43389</v>
          </cell>
        </row>
        <row r="39556">
          <cell r="A39556">
            <v>43645</v>
          </cell>
        </row>
        <row r="39557">
          <cell r="A39557">
            <v>43207</v>
          </cell>
        </row>
        <row r="39558">
          <cell r="A39558">
            <v>43881</v>
          </cell>
        </row>
        <row r="39559">
          <cell r="A39559">
            <v>43553</v>
          </cell>
        </row>
        <row r="39560">
          <cell r="A39560">
            <v>43585</v>
          </cell>
        </row>
        <row r="39561">
          <cell r="A39561">
            <v>43148</v>
          </cell>
        </row>
        <row r="39562">
          <cell r="A39562">
            <v>43333</v>
          </cell>
        </row>
        <row r="39563">
          <cell r="A39563">
            <v>43193</v>
          </cell>
        </row>
        <row r="39564">
          <cell r="A39564">
            <v>43425</v>
          </cell>
        </row>
        <row r="39565">
          <cell r="A39565">
            <v>43571</v>
          </cell>
        </row>
        <row r="39566">
          <cell r="A39566">
            <v>43611</v>
          </cell>
        </row>
        <row r="39567">
          <cell r="A39567">
            <v>43376</v>
          </cell>
        </row>
        <row r="39568">
          <cell r="A39568">
            <v>43639</v>
          </cell>
        </row>
        <row r="39569">
          <cell r="A39569">
            <v>43332</v>
          </cell>
        </row>
        <row r="39570">
          <cell r="A39570">
            <v>43684</v>
          </cell>
        </row>
        <row r="39571">
          <cell r="A39571">
            <v>43510</v>
          </cell>
        </row>
        <row r="39572">
          <cell r="A39572">
            <v>43783</v>
          </cell>
        </row>
        <row r="39573">
          <cell r="A39573">
            <v>43256</v>
          </cell>
        </row>
        <row r="39574">
          <cell r="A39574">
            <v>43341</v>
          </cell>
        </row>
        <row r="39575">
          <cell r="A39575">
            <v>43881</v>
          </cell>
        </row>
        <row r="39576">
          <cell r="A39576">
            <v>43274</v>
          </cell>
        </row>
        <row r="39577">
          <cell r="A39577">
            <v>43462</v>
          </cell>
        </row>
        <row r="39578">
          <cell r="A39578">
            <v>43438</v>
          </cell>
        </row>
        <row r="39579">
          <cell r="A39579">
            <v>43522</v>
          </cell>
        </row>
        <row r="39580">
          <cell r="A39580">
            <v>43220</v>
          </cell>
        </row>
        <row r="39581">
          <cell r="A39581">
            <v>43421</v>
          </cell>
        </row>
        <row r="39582">
          <cell r="A39582">
            <v>43248</v>
          </cell>
        </row>
        <row r="39583">
          <cell r="A39583">
            <v>43859</v>
          </cell>
        </row>
        <row r="39584">
          <cell r="A39584">
            <v>43355</v>
          </cell>
        </row>
        <row r="39585">
          <cell r="A39585">
            <v>43664</v>
          </cell>
        </row>
        <row r="39586">
          <cell r="A39586">
            <v>43394</v>
          </cell>
        </row>
        <row r="39587">
          <cell r="A39587">
            <v>43852</v>
          </cell>
        </row>
        <row r="39588">
          <cell r="A39588">
            <v>43405</v>
          </cell>
        </row>
        <row r="39589">
          <cell r="A39589">
            <v>43180</v>
          </cell>
        </row>
        <row r="39590">
          <cell r="A39590">
            <v>43216</v>
          </cell>
        </row>
        <row r="39591">
          <cell r="A39591">
            <v>43786</v>
          </cell>
        </row>
        <row r="39592">
          <cell r="A39592">
            <v>43443</v>
          </cell>
        </row>
        <row r="39593">
          <cell r="A39593">
            <v>43330</v>
          </cell>
        </row>
        <row r="39594">
          <cell r="A39594">
            <v>43198</v>
          </cell>
        </row>
        <row r="39595">
          <cell r="A39595">
            <v>43596</v>
          </cell>
        </row>
        <row r="39596">
          <cell r="A39596">
            <v>43682</v>
          </cell>
        </row>
        <row r="39597">
          <cell r="A39597">
            <v>43116</v>
          </cell>
        </row>
        <row r="39598">
          <cell r="A39598">
            <v>43875</v>
          </cell>
        </row>
        <row r="39599">
          <cell r="A39599">
            <v>43280</v>
          </cell>
        </row>
        <row r="39600">
          <cell r="A39600">
            <v>43344</v>
          </cell>
        </row>
        <row r="39601">
          <cell r="A39601">
            <v>43852</v>
          </cell>
        </row>
        <row r="39602">
          <cell r="A39602">
            <v>43174</v>
          </cell>
        </row>
        <row r="39603">
          <cell r="A39603">
            <v>43485</v>
          </cell>
        </row>
        <row r="39604">
          <cell r="A39604">
            <v>43781</v>
          </cell>
        </row>
        <row r="39605">
          <cell r="A39605">
            <v>43114</v>
          </cell>
        </row>
        <row r="39606">
          <cell r="A39606">
            <v>43120</v>
          </cell>
        </row>
        <row r="39607">
          <cell r="A39607">
            <v>43585</v>
          </cell>
        </row>
        <row r="39608">
          <cell r="A39608">
            <v>43651</v>
          </cell>
        </row>
        <row r="39609">
          <cell r="A39609">
            <v>43771</v>
          </cell>
        </row>
        <row r="39610">
          <cell r="A39610">
            <v>43574</v>
          </cell>
        </row>
        <row r="39611">
          <cell r="A39611">
            <v>43890</v>
          </cell>
        </row>
        <row r="39612">
          <cell r="A39612">
            <v>43144</v>
          </cell>
        </row>
        <row r="39613">
          <cell r="A39613">
            <v>43556</v>
          </cell>
        </row>
        <row r="39614">
          <cell r="A39614">
            <v>43406</v>
          </cell>
        </row>
        <row r="39615">
          <cell r="A39615">
            <v>43491</v>
          </cell>
        </row>
        <row r="39616">
          <cell r="A39616">
            <v>43649</v>
          </cell>
        </row>
        <row r="39617">
          <cell r="A39617">
            <v>43461</v>
          </cell>
        </row>
        <row r="39618">
          <cell r="A39618">
            <v>43636</v>
          </cell>
        </row>
        <row r="39619">
          <cell r="A39619">
            <v>43205</v>
          </cell>
        </row>
        <row r="39620">
          <cell r="A39620">
            <v>43861</v>
          </cell>
        </row>
        <row r="39621">
          <cell r="A39621">
            <v>43858</v>
          </cell>
        </row>
        <row r="39622">
          <cell r="A39622">
            <v>43427</v>
          </cell>
        </row>
        <row r="39623">
          <cell r="A39623">
            <v>43495</v>
          </cell>
        </row>
        <row r="39624">
          <cell r="A39624">
            <v>43866</v>
          </cell>
        </row>
        <row r="39625">
          <cell r="A39625">
            <v>43401</v>
          </cell>
        </row>
        <row r="39626">
          <cell r="A39626">
            <v>43718</v>
          </cell>
        </row>
        <row r="39627">
          <cell r="A39627">
            <v>43460</v>
          </cell>
        </row>
        <row r="39628">
          <cell r="A39628">
            <v>43762</v>
          </cell>
        </row>
        <row r="39629">
          <cell r="A39629">
            <v>43108</v>
          </cell>
        </row>
        <row r="39630">
          <cell r="A39630">
            <v>43453</v>
          </cell>
        </row>
        <row r="39631">
          <cell r="A39631">
            <v>43180</v>
          </cell>
        </row>
        <row r="39632">
          <cell r="A39632">
            <v>43349</v>
          </cell>
        </row>
        <row r="39633">
          <cell r="A39633">
            <v>43427</v>
          </cell>
        </row>
        <row r="39634">
          <cell r="A39634">
            <v>43450</v>
          </cell>
        </row>
        <row r="39635">
          <cell r="A39635">
            <v>43624</v>
          </cell>
        </row>
        <row r="39636">
          <cell r="A39636">
            <v>43740</v>
          </cell>
        </row>
        <row r="39637">
          <cell r="A39637">
            <v>43343</v>
          </cell>
        </row>
        <row r="39638">
          <cell r="A39638">
            <v>43378</v>
          </cell>
        </row>
        <row r="39639">
          <cell r="A39639">
            <v>43596</v>
          </cell>
        </row>
        <row r="39640">
          <cell r="A39640">
            <v>43694</v>
          </cell>
        </row>
        <row r="39641">
          <cell r="A39641">
            <v>43312</v>
          </cell>
        </row>
        <row r="39642">
          <cell r="A39642">
            <v>43709</v>
          </cell>
        </row>
        <row r="39643">
          <cell r="A39643">
            <v>43221</v>
          </cell>
        </row>
        <row r="39644">
          <cell r="A39644">
            <v>43900</v>
          </cell>
        </row>
        <row r="39645">
          <cell r="A39645">
            <v>43387</v>
          </cell>
        </row>
        <row r="39646">
          <cell r="A39646">
            <v>43288</v>
          </cell>
        </row>
        <row r="39647">
          <cell r="A39647">
            <v>43371</v>
          </cell>
        </row>
        <row r="39648">
          <cell r="A39648">
            <v>43700</v>
          </cell>
        </row>
        <row r="39649">
          <cell r="A39649">
            <v>43901</v>
          </cell>
        </row>
        <row r="39650">
          <cell r="A39650">
            <v>43401</v>
          </cell>
        </row>
        <row r="39651">
          <cell r="A39651">
            <v>43781</v>
          </cell>
        </row>
        <row r="39652">
          <cell r="A39652">
            <v>43526</v>
          </cell>
        </row>
        <row r="39653">
          <cell r="A39653">
            <v>43802</v>
          </cell>
        </row>
        <row r="39654">
          <cell r="A39654">
            <v>43214</v>
          </cell>
        </row>
        <row r="39655">
          <cell r="A39655">
            <v>43291</v>
          </cell>
        </row>
        <row r="39656">
          <cell r="A39656">
            <v>43617</v>
          </cell>
        </row>
        <row r="39657">
          <cell r="A39657">
            <v>43132</v>
          </cell>
        </row>
        <row r="39658">
          <cell r="A39658">
            <v>43471</v>
          </cell>
        </row>
        <row r="39659">
          <cell r="A39659">
            <v>43169</v>
          </cell>
        </row>
        <row r="39660">
          <cell r="A39660">
            <v>43472</v>
          </cell>
        </row>
        <row r="39661">
          <cell r="A39661">
            <v>43529</v>
          </cell>
        </row>
        <row r="39662">
          <cell r="A39662">
            <v>43413</v>
          </cell>
        </row>
        <row r="39663">
          <cell r="A39663">
            <v>43639</v>
          </cell>
        </row>
        <row r="39664">
          <cell r="A39664">
            <v>43884</v>
          </cell>
        </row>
        <row r="39665">
          <cell r="A39665">
            <v>43644</v>
          </cell>
        </row>
        <row r="39666">
          <cell r="A39666">
            <v>43567</v>
          </cell>
        </row>
        <row r="39667">
          <cell r="A39667">
            <v>43399</v>
          </cell>
        </row>
        <row r="39668">
          <cell r="A39668">
            <v>43612</v>
          </cell>
        </row>
        <row r="39669">
          <cell r="A39669">
            <v>43491</v>
          </cell>
        </row>
        <row r="39670">
          <cell r="A39670">
            <v>43354</v>
          </cell>
        </row>
        <row r="39671">
          <cell r="A39671">
            <v>43638</v>
          </cell>
        </row>
        <row r="39672">
          <cell r="A39672">
            <v>43105</v>
          </cell>
        </row>
        <row r="39673">
          <cell r="A39673">
            <v>43885</v>
          </cell>
        </row>
        <row r="39674">
          <cell r="A39674">
            <v>43671</v>
          </cell>
        </row>
        <row r="39675">
          <cell r="A39675">
            <v>43140</v>
          </cell>
        </row>
        <row r="39676">
          <cell r="A39676">
            <v>43413</v>
          </cell>
        </row>
        <row r="39677">
          <cell r="A39677">
            <v>43345</v>
          </cell>
        </row>
        <row r="39678">
          <cell r="A39678">
            <v>43446</v>
          </cell>
        </row>
        <row r="39679">
          <cell r="A39679">
            <v>43663</v>
          </cell>
        </row>
        <row r="39680">
          <cell r="A39680">
            <v>43636</v>
          </cell>
        </row>
        <row r="39681">
          <cell r="A39681">
            <v>43397</v>
          </cell>
        </row>
        <row r="39682">
          <cell r="A39682">
            <v>43851</v>
          </cell>
        </row>
        <row r="39683">
          <cell r="A39683">
            <v>43348</v>
          </cell>
        </row>
        <row r="39684">
          <cell r="A39684">
            <v>43378</v>
          </cell>
        </row>
        <row r="39685">
          <cell r="A39685">
            <v>43788</v>
          </cell>
        </row>
        <row r="39686">
          <cell r="A39686">
            <v>43915</v>
          </cell>
        </row>
        <row r="39687">
          <cell r="A39687">
            <v>43380</v>
          </cell>
        </row>
        <row r="39688">
          <cell r="A39688">
            <v>43141</v>
          </cell>
        </row>
        <row r="39689">
          <cell r="A39689">
            <v>43297</v>
          </cell>
        </row>
        <row r="39690">
          <cell r="A39690">
            <v>43715</v>
          </cell>
        </row>
        <row r="39691">
          <cell r="A39691">
            <v>43591</v>
          </cell>
        </row>
        <row r="39692">
          <cell r="A39692">
            <v>43460</v>
          </cell>
        </row>
        <row r="39693">
          <cell r="A39693">
            <v>43269</v>
          </cell>
        </row>
        <row r="39694">
          <cell r="A39694">
            <v>43349</v>
          </cell>
        </row>
        <row r="39695">
          <cell r="A39695">
            <v>43317</v>
          </cell>
        </row>
        <row r="39696">
          <cell r="A39696">
            <v>43808</v>
          </cell>
        </row>
        <row r="39697">
          <cell r="A39697">
            <v>43334</v>
          </cell>
        </row>
        <row r="39698">
          <cell r="A39698">
            <v>43566</v>
          </cell>
        </row>
        <row r="39699">
          <cell r="A39699">
            <v>43684</v>
          </cell>
        </row>
        <row r="39700">
          <cell r="A39700">
            <v>43614</v>
          </cell>
        </row>
        <row r="39701">
          <cell r="A39701">
            <v>43802</v>
          </cell>
        </row>
        <row r="39702">
          <cell r="A39702">
            <v>43643</v>
          </cell>
        </row>
        <row r="39703">
          <cell r="A39703">
            <v>43520</v>
          </cell>
        </row>
        <row r="39704">
          <cell r="A39704">
            <v>43205</v>
          </cell>
        </row>
        <row r="39705">
          <cell r="A39705">
            <v>43251</v>
          </cell>
        </row>
        <row r="39706">
          <cell r="A39706">
            <v>43303</v>
          </cell>
        </row>
        <row r="39707">
          <cell r="A39707">
            <v>43654</v>
          </cell>
        </row>
        <row r="39708">
          <cell r="A39708">
            <v>43129</v>
          </cell>
        </row>
        <row r="39709">
          <cell r="A39709">
            <v>43418</v>
          </cell>
        </row>
        <row r="39710">
          <cell r="A39710">
            <v>43290</v>
          </cell>
        </row>
        <row r="39711">
          <cell r="A39711">
            <v>43699</v>
          </cell>
        </row>
        <row r="39712">
          <cell r="A39712">
            <v>43271</v>
          </cell>
        </row>
        <row r="39713">
          <cell r="A39713">
            <v>43653</v>
          </cell>
        </row>
        <row r="39714">
          <cell r="A39714">
            <v>43209</v>
          </cell>
        </row>
        <row r="39715">
          <cell r="A39715">
            <v>43139</v>
          </cell>
        </row>
        <row r="39716">
          <cell r="A39716">
            <v>43780</v>
          </cell>
        </row>
        <row r="39717">
          <cell r="A39717">
            <v>43304</v>
          </cell>
        </row>
        <row r="39718">
          <cell r="A39718">
            <v>43169</v>
          </cell>
        </row>
        <row r="39719">
          <cell r="A39719">
            <v>43883</v>
          </cell>
        </row>
        <row r="39720">
          <cell r="A39720">
            <v>43192</v>
          </cell>
        </row>
        <row r="39721">
          <cell r="A39721">
            <v>43730</v>
          </cell>
        </row>
        <row r="39722">
          <cell r="A39722">
            <v>43174</v>
          </cell>
        </row>
        <row r="39723">
          <cell r="A39723">
            <v>43151</v>
          </cell>
        </row>
        <row r="39724">
          <cell r="A39724">
            <v>43148</v>
          </cell>
        </row>
        <row r="39725">
          <cell r="A39725">
            <v>43492</v>
          </cell>
        </row>
        <row r="39726">
          <cell r="A39726">
            <v>43842</v>
          </cell>
        </row>
        <row r="39727">
          <cell r="A39727">
            <v>43602</v>
          </cell>
        </row>
        <row r="39728">
          <cell r="A39728">
            <v>43525</v>
          </cell>
        </row>
        <row r="39729">
          <cell r="A39729">
            <v>43206</v>
          </cell>
        </row>
        <row r="39730">
          <cell r="A39730">
            <v>43316</v>
          </cell>
        </row>
        <row r="39731">
          <cell r="A39731">
            <v>43239</v>
          </cell>
        </row>
        <row r="39732">
          <cell r="A39732">
            <v>43154</v>
          </cell>
        </row>
        <row r="39733">
          <cell r="A39733">
            <v>43173</v>
          </cell>
        </row>
        <row r="39734">
          <cell r="A39734">
            <v>43483</v>
          </cell>
        </row>
        <row r="39735">
          <cell r="A39735">
            <v>43525</v>
          </cell>
        </row>
        <row r="39736">
          <cell r="A39736">
            <v>43795</v>
          </cell>
        </row>
        <row r="39737">
          <cell r="A39737">
            <v>43654</v>
          </cell>
        </row>
        <row r="39738">
          <cell r="A39738">
            <v>43440</v>
          </cell>
        </row>
        <row r="39739">
          <cell r="A39739">
            <v>43580</v>
          </cell>
        </row>
        <row r="39740">
          <cell r="A39740">
            <v>43211</v>
          </cell>
        </row>
        <row r="39741">
          <cell r="A39741">
            <v>43248</v>
          </cell>
        </row>
        <row r="39742">
          <cell r="A39742">
            <v>43482</v>
          </cell>
        </row>
        <row r="39743">
          <cell r="A39743">
            <v>43497</v>
          </cell>
        </row>
        <row r="39744">
          <cell r="A39744">
            <v>43661</v>
          </cell>
        </row>
        <row r="39745">
          <cell r="A39745">
            <v>43368</v>
          </cell>
        </row>
        <row r="39746">
          <cell r="A39746">
            <v>43372</v>
          </cell>
        </row>
        <row r="39747">
          <cell r="A39747">
            <v>43181</v>
          </cell>
        </row>
        <row r="39748">
          <cell r="A39748">
            <v>43712</v>
          </cell>
        </row>
        <row r="39749">
          <cell r="A39749">
            <v>43573</v>
          </cell>
        </row>
        <row r="39750">
          <cell r="A39750">
            <v>43200</v>
          </cell>
        </row>
        <row r="39751">
          <cell r="A39751">
            <v>43116</v>
          </cell>
        </row>
        <row r="39752">
          <cell r="A39752">
            <v>43796</v>
          </cell>
        </row>
        <row r="39753">
          <cell r="A39753">
            <v>43553</v>
          </cell>
        </row>
        <row r="39754">
          <cell r="A39754">
            <v>43249</v>
          </cell>
        </row>
        <row r="39755">
          <cell r="A39755">
            <v>43448</v>
          </cell>
        </row>
        <row r="39756">
          <cell r="A39756">
            <v>43125</v>
          </cell>
        </row>
        <row r="39757">
          <cell r="A39757">
            <v>43470</v>
          </cell>
        </row>
        <row r="39758">
          <cell r="A39758">
            <v>43880</v>
          </cell>
        </row>
        <row r="39759">
          <cell r="A39759">
            <v>43356</v>
          </cell>
        </row>
        <row r="39760">
          <cell r="A39760">
            <v>43365</v>
          </cell>
        </row>
        <row r="39761">
          <cell r="A39761">
            <v>43345</v>
          </cell>
        </row>
        <row r="39762">
          <cell r="A39762">
            <v>43137</v>
          </cell>
        </row>
        <row r="39763">
          <cell r="A39763">
            <v>43843</v>
          </cell>
        </row>
        <row r="39764">
          <cell r="A39764">
            <v>43333</v>
          </cell>
        </row>
        <row r="39765">
          <cell r="A39765">
            <v>43705</v>
          </cell>
        </row>
        <row r="39766">
          <cell r="A39766">
            <v>43125</v>
          </cell>
        </row>
        <row r="39767">
          <cell r="A39767">
            <v>43307</v>
          </cell>
        </row>
        <row r="39768">
          <cell r="A39768">
            <v>43483</v>
          </cell>
        </row>
        <row r="39769">
          <cell r="A39769">
            <v>43276</v>
          </cell>
        </row>
        <row r="39770">
          <cell r="A39770">
            <v>43890</v>
          </cell>
        </row>
        <row r="39771">
          <cell r="A39771">
            <v>43421</v>
          </cell>
        </row>
        <row r="39772">
          <cell r="A39772">
            <v>43705</v>
          </cell>
        </row>
        <row r="39773">
          <cell r="A39773">
            <v>43795</v>
          </cell>
        </row>
        <row r="39774">
          <cell r="A39774">
            <v>43492</v>
          </cell>
        </row>
        <row r="39775">
          <cell r="A39775">
            <v>43701</v>
          </cell>
        </row>
        <row r="39776">
          <cell r="A39776">
            <v>43749</v>
          </cell>
        </row>
        <row r="39777">
          <cell r="A39777">
            <v>43246</v>
          </cell>
        </row>
        <row r="39778">
          <cell r="A39778">
            <v>43457</v>
          </cell>
        </row>
        <row r="39779">
          <cell r="A39779">
            <v>43467</v>
          </cell>
        </row>
        <row r="39780">
          <cell r="A39780">
            <v>43541</v>
          </cell>
        </row>
        <row r="39781">
          <cell r="A39781">
            <v>43522</v>
          </cell>
        </row>
        <row r="39782">
          <cell r="A39782">
            <v>43196</v>
          </cell>
        </row>
        <row r="39783">
          <cell r="A39783">
            <v>43496</v>
          </cell>
        </row>
        <row r="39784">
          <cell r="A39784">
            <v>43599</v>
          </cell>
        </row>
        <row r="39785">
          <cell r="A39785">
            <v>43772</v>
          </cell>
        </row>
        <row r="39786">
          <cell r="A39786">
            <v>43125</v>
          </cell>
        </row>
        <row r="39787">
          <cell r="A39787">
            <v>43672</v>
          </cell>
        </row>
        <row r="39788">
          <cell r="A39788">
            <v>43386</v>
          </cell>
        </row>
        <row r="39789">
          <cell r="A39789">
            <v>43689</v>
          </cell>
        </row>
        <row r="39790">
          <cell r="A39790">
            <v>43187</v>
          </cell>
        </row>
        <row r="39791">
          <cell r="A39791">
            <v>43277</v>
          </cell>
        </row>
        <row r="39792">
          <cell r="A39792">
            <v>43856</v>
          </cell>
        </row>
        <row r="39793">
          <cell r="A39793">
            <v>43222</v>
          </cell>
        </row>
        <row r="39794">
          <cell r="A39794">
            <v>43325</v>
          </cell>
        </row>
        <row r="39795">
          <cell r="A39795">
            <v>43784</v>
          </cell>
        </row>
        <row r="39796">
          <cell r="A39796">
            <v>43449</v>
          </cell>
        </row>
        <row r="39797">
          <cell r="A39797">
            <v>43474</v>
          </cell>
        </row>
        <row r="39798">
          <cell r="A39798">
            <v>43652</v>
          </cell>
        </row>
        <row r="39799">
          <cell r="A39799">
            <v>43626</v>
          </cell>
        </row>
        <row r="39800">
          <cell r="A39800">
            <v>43387</v>
          </cell>
        </row>
        <row r="39801">
          <cell r="A39801">
            <v>43224</v>
          </cell>
        </row>
        <row r="39802">
          <cell r="A39802">
            <v>43105</v>
          </cell>
        </row>
        <row r="39803">
          <cell r="A39803">
            <v>43153</v>
          </cell>
        </row>
        <row r="39804">
          <cell r="A39804">
            <v>43470</v>
          </cell>
        </row>
        <row r="39805">
          <cell r="A39805">
            <v>43473</v>
          </cell>
        </row>
        <row r="39806">
          <cell r="A39806">
            <v>43288</v>
          </cell>
        </row>
        <row r="39807">
          <cell r="A39807">
            <v>43652</v>
          </cell>
        </row>
        <row r="39808">
          <cell r="A39808">
            <v>43721</v>
          </cell>
        </row>
        <row r="39809">
          <cell r="A39809">
            <v>43755</v>
          </cell>
        </row>
        <row r="39810">
          <cell r="A39810">
            <v>43695</v>
          </cell>
        </row>
        <row r="39811">
          <cell r="A39811">
            <v>43216</v>
          </cell>
        </row>
        <row r="39812">
          <cell r="A39812">
            <v>43524</v>
          </cell>
        </row>
        <row r="39813">
          <cell r="A39813">
            <v>43440</v>
          </cell>
        </row>
        <row r="39814">
          <cell r="A39814">
            <v>43690</v>
          </cell>
        </row>
        <row r="39815">
          <cell r="A39815">
            <v>43428</v>
          </cell>
        </row>
        <row r="39816">
          <cell r="A39816">
            <v>43194</v>
          </cell>
        </row>
        <row r="39817">
          <cell r="A39817">
            <v>43264</v>
          </cell>
        </row>
        <row r="39818">
          <cell r="A39818">
            <v>43758</v>
          </cell>
        </row>
        <row r="39819">
          <cell r="A39819">
            <v>43830</v>
          </cell>
        </row>
        <row r="39820">
          <cell r="A39820">
            <v>43198</v>
          </cell>
        </row>
        <row r="39821">
          <cell r="A39821">
            <v>43232</v>
          </cell>
        </row>
        <row r="39822">
          <cell r="A39822">
            <v>43601</v>
          </cell>
        </row>
        <row r="39823">
          <cell r="A39823">
            <v>43260</v>
          </cell>
        </row>
        <row r="39824">
          <cell r="A39824">
            <v>43774</v>
          </cell>
        </row>
        <row r="39825">
          <cell r="A39825">
            <v>43485</v>
          </cell>
        </row>
        <row r="39826">
          <cell r="A39826">
            <v>43562</v>
          </cell>
        </row>
        <row r="39827">
          <cell r="A39827">
            <v>43526</v>
          </cell>
        </row>
        <row r="39828">
          <cell r="A39828">
            <v>43648</v>
          </cell>
        </row>
        <row r="39829">
          <cell r="A39829">
            <v>43866</v>
          </cell>
        </row>
        <row r="39830">
          <cell r="A39830">
            <v>43326</v>
          </cell>
        </row>
        <row r="39831">
          <cell r="A39831">
            <v>43416</v>
          </cell>
        </row>
        <row r="39832">
          <cell r="A39832">
            <v>43298</v>
          </cell>
        </row>
        <row r="39833">
          <cell r="A39833">
            <v>43707</v>
          </cell>
        </row>
        <row r="39834">
          <cell r="A39834">
            <v>43216</v>
          </cell>
        </row>
        <row r="39835">
          <cell r="A39835">
            <v>43344</v>
          </cell>
        </row>
        <row r="39836">
          <cell r="A39836">
            <v>43221</v>
          </cell>
        </row>
        <row r="39837">
          <cell r="A39837">
            <v>43519</v>
          </cell>
        </row>
        <row r="39838">
          <cell r="A39838">
            <v>43186</v>
          </cell>
        </row>
        <row r="39839">
          <cell r="A39839">
            <v>43748</v>
          </cell>
        </row>
        <row r="39840">
          <cell r="A39840">
            <v>43749</v>
          </cell>
        </row>
        <row r="39841">
          <cell r="A39841">
            <v>43568</v>
          </cell>
        </row>
        <row r="39842">
          <cell r="A39842">
            <v>43398</v>
          </cell>
        </row>
        <row r="39843">
          <cell r="A39843">
            <v>43514</v>
          </cell>
        </row>
        <row r="39844">
          <cell r="A39844">
            <v>43336</v>
          </cell>
        </row>
        <row r="39845">
          <cell r="A39845">
            <v>43122</v>
          </cell>
        </row>
        <row r="39846">
          <cell r="A39846">
            <v>43195</v>
          </cell>
        </row>
        <row r="39847">
          <cell r="A39847">
            <v>43754</v>
          </cell>
        </row>
        <row r="39848">
          <cell r="A39848">
            <v>43409</v>
          </cell>
        </row>
        <row r="39849">
          <cell r="A39849">
            <v>43655</v>
          </cell>
        </row>
        <row r="39850">
          <cell r="A39850">
            <v>43847</v>
          </cell>
        </row>
        <row r="39851">
          <cell r="A39851">
            <v>43529</v>
          </cell>
        </row>
        <row r="39852">
          <cell r="A39852">
            <v>43134</v>
          </cell>
        </row>
        <row r="39853">
          <cell r="A39853">
            <v>43835</v>
          </cell>
        </row>
        <row r="39854">
          <cell r="A39854">
            <v>43834</v>
          </cell>
        </row>
        <row r="39855">
          <cell r="A39855">
            <v>43313</v>
          </cell>
        </row>
        <row r="39856">
          <cell r="A39856">
            <v>43612</v>
          </cell>
        </row>
        <row r="39857">
          <cell r="A39857">
            <v>43571</v>
          </cell>
        </row>
        <row r="39858">
          <cell r="A39858">
            <v>43901</v>
          </cell>
        </row>
        <row r="39859">
          <cell r="A39859">
            <v>43201</v>
          </cell>
        </row>
        <row r="39860">
          <cell r="A39860">
            <v>43310</v>
          </cell>
        </row>
        <row r="39861">
          <cell r="A39861">
            <v>43650</v>
          </cell>
        </row>
        <row r="39862">
          <cell r="A39862">
            <v>43511</v>
          </cell>
        </row>
        <row r="39863">
          <cell r="A39863">
            <v>43250</v>
          </cell>
        </row>
        <row r="39864">
          <cell r="A39864">
            <v>43618</v>
          </cell>
        </row>
        <row r="39865">
          <cell r="A39865">
            <v>43753</v>
          </cell>
        </row>
        <row r="39866">
          <cell r="A39866">
            <v>43643</v>
          </cell>
        </row>
        <row r="39867">
          <cell r="A39867">
            <v>43582</v>
          </cell>
        </row>
        <row r="39868">
          <cell r="A39868">
            <v>43888</v>
          </cell>
        </row>
        <row r="39869">
          <cell r="A39869">
            <v>43368</v>
          </cell>
        </row>
        <row r="39870">
          <cell r="A39870">
            <v>43474</v>
          </cell>
        </row>
        <row r="39871">
          <cell r="A39871">
            <v>43216</v>
          </cell>
        </row>
        <row r="39872">
          <cell r="A39872">
            <v>43202</v>
          </cell>
        </row>
        <row r="39873">
          <cell r="A39873">
            <v>43678</v>
          </cell>
        </row>
        <row r="39874">
          <cell r="A39874">
            <v>43527</v>
          </cell>
        </row>
        <row r="39875">
          <cell r="A39875">
            <v>43405</v>
          </cell>
        </row>
        <row r="39876">
          <cell r="A39876">
            <v>43268</v>
          </cell>
        </row>
        <row r="39877">
          <cell r="A39877">
            <v>43128</v>
          </cell>
        </row>
        <row r="39878">
          <cell r="A39878">
            <v>43709</v>
          </cell>
        </row>
        <row r="39879">
          <cell r="A39879">
            <v>43149</v>
          </cell>
        </row>
        <row r="39880">
          <cell r="A39880">
            <v>43122</v>
          </cell>
        </row>
        <row r="39881">
          <cell r="A39881">
            <v>43348</v>
          </cell>
        </row>
        <row r="39882">
          <cell r="A39882">
            <v>43910</v>
          </cell>
        </row>
        <row r="39883">
          <cell r="A39883">
            <v>43529</v>
          </cell>
        </row>
        <row r="39884">
          <cell r="A39884">
            <v>43803</v>
          </cell>
        </row>
        <row r="39885">
          <cell r="A39885">
            <v>43215</v>
          </cell>
        </row>
        <row r="39886">
          <cell r="A39886">
            <v>43352</v>
          </cell>
        </row>
        <row r="39887">
          <cell r="A39887">
            <v>43596</v>
          </cell>
        </row>
        <row r="39888">
          <cell r="A39888">
            <v>43821</v>
          </cell>
        </row>
        <row r="39889">
          <cell r="A39889">
            <v>43891</v>
          </cell>
        </row>
        <row r="39890">
          <cell r="A39890">
            <v>43153</v>
          </cell>
        </row>
        <row r="39891">
          <cell r="A39891">
            <v>43543</v>
          </cell>
        </row>
        <row r="39892">
          <cell r="A39892">
            <v>43736</v>
          </cell>
        </row>
        <row r="39893">
          <cell r="A39893">
            <v>43192</v>
          </cell>
        </row>
        <row r="39894">
          <cell r="A39894">
            <v>43375</v>
          </cell>
        </row>
        <row r="39895">
          <cell r="A39895">
            <v>43815</v>
          </cell>
        </row>
        <row r="39896">
          <cell r="A39896">
            <v>43300</v>
          </cell>
        </row>
        <row r="39897">
          <cell r="A39897">
            <v>43447</v>
          </cell>
        </row>
        <row r="39898">
          <cell r="A39898">
            <v>43546</v>
          </cell>
        </row>
        <row r="39899">
          <cell r="A39899">
            <v>43793</v>
          </cell>
        </row>
        <row r="39900">
          <cell r="A39900">
            <v>43387</v>
          </cell>
        </row>
        <row r="39901">
          <cell r="A39901">
            <v>43469</v>
          </cell>
        </row>
        <row r="39902">
          <cell r="A39902">
            <v>43159</v>
          </cell>
        </row>
        <row r="39903">
          <cell r="A39903">
            <v>43918</v>
          </cell>
        </row>
        <row r="39904">
          <cell r="A39904">
            <v>43898</v>
          </cell>
        </row>
        <row r="39905">
          <cell r="A39905">
            <v>43534</v>
          </cell>
        </row>
        <row r="39906">
          <cell r="A39906">
            <v>43119</v>
          </cell>
        </row>
        <row r="39907">
          <cell r="A39907">
            <v>43767</v>
          </cell>
        </row>
        <row r="39908">
          <cell r="A39908">
            <v>43294</v>
          </cell>
        </row>
        <row r="39909">
          <cell r="A39909">
            <v>43365</v>
          </cell>
        </row>
        <row r="39910">
          <cell r="A39910">
            <v>43138</v>
          </cell>
        </row>
        <row r="39911">
          <cell r="A39911">
            <v>43117</v>
          </cell>
        </row>
        <row r="39912">
          <cell r="A39912">
            <v>43448</v>
          </cell>
        </row>
        <row r="39913">
          <cell r="A39913">
            <v>43466</v>
          </cell>
        </row>
        <row r="39914">
          <cell r="A39914">
            <v>43591</v>
          </cell>
        </row>
        <row r="39915">
          <cell r="A39915">
            <v>43785</v>
          </cell>
        </row>
        <row r="39916">
          <cell r="A39916">
            <v>43490</v>
          </cell>
        </row>
        <row r="39917">
          <cell r="A39917">
            <v>43457</v>
          </cell>
        </row>
        <row r="39918">
          <cell r="A39918">
            <v>43117</v>
          </cell>
        </row>
        <row r="39919">
          <cell r="A39919">
            <v>43276</v>
          </cell>
        </row>
        <row r="39920">
          <cell r="A39920">
            <v>43912</v>
          </cell>
        </row>
        <row r="39921">
          <cell r="A39921">
            <v>43760</v>
          </cell>
        </row>
        <row r="39922">
          <cell r="A39922">
            <v>43228</v>
          </cell>
        </row>
        <row r="39923">
          <cell r="A39923">
            <v>43770</v>
          </cell>
        </row>
        <row r="39924">
          <cell r="A39924">
            <v>43385</v>
          </cell>
        </row>
        <row r="39925">
          <cell r="A39925">
            <v>43758</v>
          </cell>
        </row>
        <row r="39926">
          <cell r="A39926">
            <v>43343</v>
          </cell>
        </row>
        <row r="39927">
          <cell r="A39927">
            <v>43249</v>
          </cell>
        </row>
        <row r="39928">
          <cell r="A39928">
            <v>43526</v>
          </cell>
        </row>
        <row r="39929">
          <cell r="A39929">
            <v>43185</v>
          </cell>
        </row>
        <row r="39930">
          <cell r="A39930">
            <v>43485</v>
          </cell>
        </row>
        <row r="39931">
          <cell r="A39931">
            <v>43291</v>
          </cell>
        </row>
        <row r="39932">
          <cell r="A39932">
            <v>43797</v>
          </cell>
        </row>
        <row r="39933">
          <cell r="A39933">
            <v>43484</v>
          </cell>
        </row>
        <row r="39934">
          <cell r="A39934">
            <v>43812</v>
          </cell>
        </row>
        <row r="39935">
          <cell r="A39935">
            <v>43182</v>
          </cell>
        </row>
        <row r="39936">
          <cell r="A39936">
            <v>43184</v>
          </cell>
        </row>
        <row r="39937">
          <cell r="A39937">
            <v>43562</v>
          </cell>
        </row>
        <row r="39938">
          <cell r="A39938">
            <v>43464</v>
          </cell>
        </row>
        <row r="39939">
          <cell r="A39939">
            <v>43347</v>
          </cell>
        </row>
        <row r="39940">
          <cell r="A39940">
            <v>43893</v>
          </cell>
        </row>
        <row r="39941">
          <cell r="A39941">
            <v>43463</v>
          </cell>
        </row>
        <row r="39942">
          <cell r="A39942">
            <v>43817</v>
          </cell>
        </row>
        <row r="39943">
          <cell r="A39943">
            <v>43858</v>
          </cell>
        </row>
        <row r="39944">
          <cell r="A39944">
            <v>43232</v>
          </cell>
        </row>
        <row r="39945">
          <cell r="A39945">
            <v>43745</v>
          </cell>
        </row>
        <row r="39946">
          <cell r="A39946">
            <v>43511</v>
          </cell>
        </row>
        <row r="39947">
          <cell r="A39947">
            <v>43550</v>
          </cell>
        </row>
        <row r="39948">
          <cell r="A39948">
            <v>43464</v>
          </cell>
        </row>
        <row r="39949">
          <cell r="A39949">
            <v>43592</v>
          </cell>
        </row>
        <row r="39950">
          <cell r="A39950">
            <v>43544</v>
          </cell>
        </row>
        <row r="39951">
          <cell r="A39951">
            <v>43813</v>
          </cell>
        </row>
        <row r="39952">
          <cell r="A39952">
            <v>43434</v>
          </cell>
        </row>
        <row r="39953">
          <cell r="A39953">
            <v>43485</v>
          </cell>
        </row>
        <row r="39954">
          <cell r="A39954">
            <v>43207</v>
          </cell>
        </row>
        <row r="39955">
          <cell r="A39955">
            <v>43446</v>
          </cell>
        </row>
        <row r="39956">
          <cell r="A39956">
            <v>43234</v>
          </cell>
        </row>
        <row r="39957">
          <cell r="A39957">
            <v>43734</v>
          </cell>
        </row>
        <row r="39958">
          <cell r="A39958">
            <v>43792</v>
          </cell>
        </row>
        <row r="39959">
          <cell r="A39959">
            <v>43317</v>
          </cell>
        </row>
        <row r="39960">
          <cell r="A39960">
            <v>43493</v>
          </cell>
        </row>
        <row r="39961">
          <cell r="A39961">
            <v>43223</v>
          </cell>
        </row>
        <row r="39962">
          <cell r="A39962">
            <v>43616</v>
          </cell>
        </row>
        <row r="39963">
          <cell r="A39963">
            <v>43388</v>
          </cell>
        </row>
        <row r="39964">
          <cell r="A39964">
            <v>43895</v>
          </cell>
        </row>
        <row r="39965">
          <cell r="A39965">
            <v>43740</v>
          </cell>
        </row>
        <row r="39966">
          <cell r="A39966">
            <v>43864</v>
          </cell>
        </row>
        <row r="39967">
          <cell r="A39967">
            <v>43773</v>
          </cell>
        </row>
        <row r="39968">
          <cell r="A39968">
            <v>43868</v>
          </cell>
        </row>
        <row r="39969">
          <cell r="A39969">
            <v>43598</v>
          </cell>
        </row>
        <row r="39970">
          <cell r="A39970">
            <v>43292</v>
          </cell>
        </row>
        <row r="39971">
          <cell r="A39971">
            <v>43228</v>
          </cell>
        </row>
        <row r="39972">
          <cell r="A39972">
            <v>43553</v>
          </cell>
        </row>
        <row r="39973">
          <cell r="A39973">
            <v>43795</v>
          </cell>
        </row>
        <row r="39974">
          <cell r="A39974">
            <v>43263</v>
          </cell>
        </row>
        <row r="39975">
          <cell r="A39975">
            <v>43469</v>
          </cell>
        </row>
        <row r="39976">
          <cell r="A39976">
            <v>43278</v>
          </cell>
        </row>
        <row r="39977">
          <cell r="A39977">
            <v>43318</v>
          </cell>
        </row>
        <row r="39978">
          <cell r="A39978">
            <v>43490</v>
          </cell>
        </row>
        <row r="39979">
          <cell r="A39979">
            <v>43699</v>
          </cell>
        </row>
        <row r="39980">
          <cell r="A39980">
            <v>43574</v>
          </cell>
        </row>
        <row r="39981">
          <cell r="A39981">
            <v>43666</v>
          </cell>
        </row>
        <row r="39982">
          <cell r="A39982">
            <v>43413</v>
          </cell>
        </row>
        <row r="39983">
          <cell r="A39983">
            <v>43861</v>
          </cell>
        </row>
        <row r="39984">
          <cell r="A39984">
            <v>43907</v>
          </cell>
        </row>
        <row r="39985">
          <cell r="A39985">
            <v>43464</v>
          </cell>
        </row>
        <row r="39986">
          <cell r="A39986">
            <v>43884</v>
          </cell>
        </row>
        <row r="39987">
          <cell r="A39987">
            <v>43226</v>
          </cell>
        </row>
        <row r="39988">
          <cell r="A39988">
            <v>43914</v>
          </cell>
        </row>
        <row r="39989">
          <cell r="A39989">
            <v>43188</v>
          </cell>
        </row>
        <row r="39990">
          <cell r="A39990">
            <v>43794</v>
          </cell>
        </row>
        <row r="39991">
          <cell r="A39991">
            <v>43729</v>
          </cell>
        </row>
        <row r="39992">
          <cell r="A39992">
            <v>43754</v>
          </cell>
        </row>
        <row r="39993">
          <cell r="A39993">
            <v>43412</v>
          </cell>
        </row>
        <row r="39994">
          <cell r="A39994">
            <v>43475</v>
          </cell>
        </row>
        <row r="39995">
          <cell r="A39995">
            <v>43459</v>
          </cell>
        </row>
        <row r="39996">
          <cell r="A39996">
            <v>43272</v>
          </cell>
        </row>
        <row r="39997">
          <cell r="A39997">
            <v>43586</v>
          </cell>
        </row>
        <row r="39998">
          <cell r="A39998">
            <v>43533</v>
          </cell>
        </row>
        <row r="39999">
          <cell r="A39999">
            <v>43178</v>
          </cell>
        </row>
        <row r="40000">
          <cell r="A40000">
            <v>43601</v>
          </cell>
        </row>
        <row r="40001">
          <cell r="A40001">
            <v>43223</v>
          </cell>
        </row>
        <row r="40002">
          <cell r="A40002">
            <v>43479</v>
          </cell>
        </row>
        <row r="40003">
          <cell r="A40003">
            <v>43376</v>
          </cell>
        </row>
        <row r="40004">
          <cell r="A40004">
            <v>43332</v>
          </cell>
        </row>
        <row r="40005">
          <cell r="A40005">
            <v>43502</v>
          </cell>
        </row>
        <row r="40006">
          <cell r="A40006">
            <v>43394</v>
          </cell>
        </row>
        <row r="40007">
          <cell r="A40007">
            <v>43238</v>
          </cell>
        </row>
        <row r="40008">
          <cell r="A40008">
            <v>43334</v>
          </cell>
        </row>
        <row r="40009">
          <cell r="A40009">
            <v>43747</v>
          </cell>
        </row>
        <row r="40010">
          <cell r="A40010">
            <v>43239</v>
          </cell>
        </row>
        <row r="40011">
          <cell r="A40011">
            <v>43593</v>
          </cell>
        </row>
        <row r="40012">
          <cell r="A40012">
            <v>43542</v>
          </cell>
        </row>
        <row r="40013">
          <cell r="A40013">
            <v>43498</v>
          </cell>
        </row>
        <row r="40014">
          <cell r="A40014">
            <v>43331</v>
          </cell>
        </row>
        <row r="40015">
          <cell r="A40015">
            <v>43384</v>
          </cell>
        </row>
        <row r="40016">
          <cell r="A40016">
            <v>43166</v>
          </cell>
        </row>
        <row r="40017">
          <cell r="A40017">
            <v>43147</v>
          </cell>
        </row>
        <row r="40018">
          <cell r="A40018">
            <v>43459</v>
          </cell>
        </row>
        <row r="40019">
          <cell r="A40019">
            <v>43548</v>
          </cell>
        </row>
        <row r="40020">
          <cell r="A40020">
            <v>43574</v>
          </cell>
        </row>
        <row r="40021">
          <cell r="A40021">
            <v>43145</v>
          </cell>
        </row>
        <row r="40022">
          <cell r="A40022">
            <v>43225</v>
          </cell>
        </row>
        <row r="40023">
          <cell r="A40023">
            <v>43774</v>
          </cell>
        </row>
        <row r="40024">
          <cell r="A40024">
            <v>43649</v>
          </cell>
        </row>
        <row r="40025">
          <cell r="A40025">
            <v>43242</v>
          </cell>
        </row>
        <row r="40026">
          <cell r="A40026">
            <v>43319</v>
          </cell>
        </row>
        <row r="40027">
          <cell r="A40027">
            <v>43604</v>
          </cell>
        </row>
        <row r="40028">
          <cell r="A40028">
            <v>43888</v>
          </cell>
        </row>
        <row r="40029">
          <cell r="A40029">
            <v>43916</v>
          </cell>
        </row>
        <row r="40030">
          <cell r="A40030">
            <v>43854</v>
          </cell>
        </row>
        <row r="40031">
          <cell r="A40031">
            <v>43619</v>
          </cell>
        </row>
        <row r="40032">
          <cell r="A40032">
            <v>43568</v>
          </cell>
        </row>
        <row r="40033">
          <cell r="A40033">
            <v>43798</v>
          </cell>
        </row>
        <row r="40034">
          <cell r="A40034">
            <v>43632</v>
          </cell>
        </row>
        <row r="40035">
          <cell r="A40035">
            <v>43553</v>
          </cell>
        </row>
        <row r="40036">
          <cell r="A40036">
            <v>43904</v>
          </cell>
        </row>
        <row r="40037">
          <cell r="A40037">
            <v>43469</v>
          </cell>
        </row>
        <row r="40038">
          <cell r="A40038">
            <v>43708</v>
          </cell>
        </row>
        <row r="40039">
          <cell r="A40039">
            <v>43630</v>
          </cell>
        </row>
        <row r="40040">
          <cell r="A40040">
            <v>43321</v>
          </cell>
        </row>
        <row r="40041">
          <cell r="A40041">
            <v>43347</v>
          </cell>
        </row>
        <row r="40042">
          <cell r="A40042">
            <v>43652</v>
          </cell>
        </row>
        <row r="40043">
          <cell r="A40043">
            <v>43646</v>
          </cell>
        </row>
        <row r="40044">
          <cell r="A40044">
            <v>43400</v>
          </cell>
        </row>
        <row r="40045">
          <cell r="A40045">
            <v>43401</v>
          </cell>
        </row>
        <row r="40046">
          <cell r="A40046">
            <v>43311</v>
          </cell>
        </row>
        <row r="40047">
          <cell r="A40047">
            <v>43395</v>
          </cell>
        </row>
        <row r="40048">
          <cell r="A40048">
            <v>43749</v>
          </cell>
        </row>
        <row r="40049">
          <cell r="A40049">
            <v>43401</v>
          </cell>
        </row>
        <row r="40050">
          <cell r="A40050">
            <v>43910</v>
          </cell>
        </row>
        <row r="40051">
          <cell r="A40051">
            <v>43114</v>
          </cell>
        </row>
        <row r="40052">
          <cell r="A40052">
            <v>43756</v>
          </cell>
        </row>
        <row r="40053">
          <cell r="A40053">
            <v>43767</v>
          </cell>
        </row>
        <row r="40054">
          <cell r="A40054">
            <v>43101</v>
          </cell>
        </row>
        <row r="40055">
          <cell r="A40055">
            <v>43816</v>
          </cell>
        </row>
        <row r="40056">
          <cell r="A40056">
            <v>43238</v>
          </cell>
        </row>
        <row r="40057">
          <cell r="A40057">
            <v>43708</v>
          </cell>
        </row>
        <row r="40058">
          <cell r="A40058">
            <v>43390</v>
          </cell>
        </row>
        <row r="40059">
          <cell r="A40059">
            <v>43506</v>
          </cell>
        </row>
        <row r="40060">
          <cell r="A40060">
            <v>43308</v>
          </cell>
        </row>
        <row r="40061">
          <cell r="A40061">
            <v>43420</v>
          </cell>
        </row>
        <row r="40062">
          <cell r="A40062">
            <v>43154</v>
          </cell>
        </row>
        <row r="40063">
          <cell r="A40063">
            <v>43662</v>
          </cell>
        </row>
        <row r="40064">
          <cell r="A40064">
            <v>43467</v>
          </cell>
        </row>
        <row r="40065">
          <cell r="A40065">
            <v>43833</v>
          </cell>
        </row>
        <row r="40066">
          <cell r="A40066">
            <v>43611</v>
          </cell>
        </row>
        <row r="40067">
          <cell r="A40067">
            <v>43400</v>
          </cell>
        </row>
        <row r="40068">
          <cell r="A40068">
            <v>43489</v>
          </cell>
        </row>
        <row r="40069">
          <cell r="A40069">
            <v>43413</v>
          </cell>
        </row>
        <row r="40070">
          <cell r="A40070">
            <v>43546</v>
          </cell>
        </row>
        <row r="40071">
          <cell r="A40071">
            <v>43852</v>
          </cell>
        </row>
        <row r="40072">
          <cell r="A40072">
            <v>43242</v>
          </cell>
        </row>
        <row r="40073">
          <cell r="A40073">
            <v>43655</v>
          </cell>
        </row>
        <row r="40074">
          <cell r="A40074">
            <v>43470</v>
          </cell>
        </row>
        <row r="40075">
          <cell r="A40075">
            <v>43649</v>
          </cell>
        </row>
        <row r="40076">
          <cell r="A40076">
            <v>43658</v>
          </cell>
        </row>
        <row r="40077">
          <cell r="A40077">
            <v>43715</v>
          </cell>
        </row>
        <row r="40078">
          <cell r="A40078">
            <v>43332</v>
          </cell>
        </row>
        <row r="40079">
          <cell r="A40079">
            <v>43440</v>
          </cell>
        </row>
        <row r="40080">
          <cell r="A40080">
            <v>43171</v>
          </cell>
        </row>
        <row r="40081">
          <cell r="A40081">
            <v>43207</v>
          </cell>
        </row>
        <row r="40082">
          <cell r="A40082">
            <v>43193</v>
          </cell>
        </row>
        <row r="40083">
          <cell r="A40083">
            <v>43441</v>
          </cell>
        </row>
        <row r="40084">
          <cell r="A40084">
            <v>43241</v>
          </cell>
        </row>
        <row r="40085">
          <cell r="A40085">
            <v>43502</v>
          </cell>
        </row>
        <row r="40086">
          <cell r="A40086">
            <v>43135</v>
          </cell>
        </row>
        <row r="40087">
          <cell r="A40087">
            <v>43227</v>
          </cell>
        </row>
        <row r="40088">
          <cell r="A40088">
            <v>43648</v>
          </cell>
        </row>
        <row r="40089">
          <cell r="A40089">
            <v>43103</v>
          </cell>
        </row>
        <row r="40090">
          <cell r="A40090">
            <v>43587</v>
          </cell>
        </row>
        <row r="40091">
          <cell r="A40091">
            <v>43338</v>
          </cell>
        </row>
        <row r="40092">
          <cell r="A40092">
            <v>43722</v>
          </cell>
        </row>
        <row r="40093">
          <cell r="A40093">
            <v>43144</v>
          </cell>
        </row>
        <row r="40094">
          <cell r="A40094">
            <v>43741</v>
          </cell>
        </row>
        <row r="40095">
          <cell r="A40095">
            <v>43173</v>
          </cell>
        </row>
        <row r="40096">
          <cell r="A40096">
            <v>43246</v>
          </cell>
        </row>
        <row r="40097">
          <cell r="A40097">
            <v>43242</v>
          </cell>
        </row>
        <row r="40098">
          <cell r="A40098">
            <v>43139</v>
          </cell>
        </row>
        <row r="40099">
          <cell r="A40099">
            <v>43133</v>
          </cell>
        </row>
        <row r="40100">
          <cell r="A40100">
            <v>43708</v>
          </cell>
        </row>
        <row r="40101">
          <cell r="A40101">
            <v>43529</v>
          </cell>
        </row>
        <row r="40102">
          <cell r="A40102">
            <v>43775</v>
          </cell>
        </row>
        <row r="40103">
          <cell r="A40103">
            <v>43332</v>
          </cell>
        </row>
        <row r="40104">
          <cell r="A40104">
            <v>43252</v>
          </cell>
        </row>
        <row r="40105">
          <cell r="A40105">
            <v>43915</v>
          </cell>
        </row>
        <row r="40106">
          <cell r="A40106">
            <v>43680</v>
          </cell>
        </row>
        <row r="40107">
          <cell r="A40107">
            <v>43201</v>
          </cell>
        </row>
        <row r="40108">
          <cell r="A40108">
            <v>43218</v>
          </cell>
        </row>
        <row r="40109">
          <cell r="A40109">
            <v>43475</v>
          </cell>
        </row>
        <row r="40110">
          <cell r="A40110">
            <v>43709</v>
          </cell>
        </row>
        <row r="40111">
          <cell r="A40111">
            <v>43867</v>
          </cell>
        </row>
        <row r="40112">
          <cell r="A40112">
            <v>43527</v>
          </cell>
        </row>
        <row r="40113">
          <cell r="A40113">
            <v>43408</v>
          </cell>
        </row>
        <row r="40114">
          <cell r="A40114">
            <v>43852</v>
          </cell>
        </row>
        <row r="40115">
          <cell r="A40115">
            <v>43843</v>
          </cell>
        </row>
        <row r="40116">
          <cell r="A40116">
            <v>43831</v>
          </cell>
        </row>
        <row r="40117">
          <cell r="A40117">
            <v>43209</v>
          </cell>
        </row>
        <row r="40118">
          <cell r="A40118">
            <v>43457</v>
          </cell>
        </row>
        <row r="40119">
          <cell r="A40119">
            <v>43113</v>
          </cell>
        </row>
        <row r="40120">
          <cell r="A40120">
            <v>43723</v>
          </cell>
        </row>
        <row r="40121">
          <cell r="A40121">
            <v>43626</v>
          </cell>
        </row>
        <row r="40122">
          <cell r="A40122">
            <v>43868</v>
          </cell>
        </row>
        <row r="40123">
          <cell r="A40123">
            <v>43137</v>
          </cell>
        </row>
        <row r="40124">
          <cell r="A40124">
            <v>43766</v>
          </cell>
        </row>
        <row r="40125">
          <cell r="A40125">
            <v>43190</v>
          </cell>
        </row>
        <row r="40126">
          <cell r="A40126">
            <v>43752</v>
          </cell>
        </row>
        <row r="40127">
          <cell r="A40127">
            <v>43250</v>
          </cell>
        </row>
        <row r="40128">
          <cell r="A40128">
            <v>43760</v>
          </cell>
        </row>
        <row r="40129">
          <cell r="A40129">
            <v>43146</v>
          </cell>
        </row>
        <row r="40130">
          <cell r="A40130">
            <v>43237</v>
          </cell>
        </row>
        <row r="40131">
          <cell r="A40131">
            <v>43341</v>
          </cell>
        </row>
        <row r="40132">
          <cell r="A40132">
            <v>43625</v>
          </cell>
        </row>
        <row r="40133">
          <cell r="A40133">
            <v>43570</v>
          </cell>
        </row>
        <row r="40134">
          <cell r="A40134">
            <v>43753</v>
          </cell>
        </row>
        <row r="40135">
          <cell r="A40135">
            <v>43233</v>
          </cell>
        </row>
        <row r="40136">
          <cell r="A40136">
            <v>43637</v>
          </cell>
        </row>
        <row r="40137">
          <cell r="A40137">
            <v>43826</v>
          </cell>
        </row>
        <row r="40138">
          <cell r="A40138">
            <v>43489</v>
          </cell>
        </row>
        <row r="40139">
          <cell r="A40139">
            <v>43904</v>
          </cell>
        </row>
        <row r="40140">
          <cell r="A40140">
            <v>43501</v>
          </cell>
        </row>
        <row r="40141">
          <cell r="A40141">
            <v>43464</v>
          </cell>
        </row>
        <row r="40142">
          <cell r="A40142">
            <v>43413</v>
          </cell>
        </row>
        <row r="40143">
          <cell r="A40143">
            <v>43507</v>
          </cell>
        </row>
        <row r="40144">
          <cell r="A40144">
            <v>43575</v>
          </cell>
        </row>
        <row r="40145">
          <cell r="A40145">
            <v>43681</v>
          </cell>
        </row>
        <row r="40146">
          <cell r="A40146">
            <v>43834</v>
          </cell>
        </row>
        <row r="40147">
          <cell r="A40147">
            <v>43829</v>
          </cell>
        </row>
        <row r="40148">
          <cell r="A40148">
            <v>43184</v>
          </cell>
        </row>
        <row r="40149">
          <cell r="A40149">
            <v>43904</v>
          </cell>
        </row>
        <row r="40150">
          <cell r="A40150">
            <v>43616</v>
          </cell>
        </row>
        <row r="40151">
          <cell r="A40151">
            <v>43732</v>
          </cell>
        </row>
        <row r="40152">
          <cell r="A40152">
            <v>43770</v>
          </cell>
        </row>
        <row r="40153">
          <cell r="A40153">
            <v>43464</v>
          </cell>
        </row>
        <row r="40154">
          <cell r="A40154">
            <v>43223</v>
          </cell>
        </row>
        <row r="40155">
          <cell r="A40155">
            <v>43440</v>
          </cell>
        </row>
        <row r="40156">
          <cell r="A40156">
            <v>43763</v>
          </cell>
        </row>
        <row r="40157">
          <cell r="A40157">
            <v>43230</v>
          </cell>
        </row>
        <row r="40158">
          <cell r="A40158">
            <v>43209</v>
          </cell>
        </row>
        <row r="40159">
          <cell r="A40159">
            <v>43783</v>
          </cell>
        </row>
        <row r="40160">
          <cell r="A40160">
            <v>43629</v>
          </cell>
        </row>
        <row r="40161">
          <cell r="A40161">
            <v>43430</v>
          </cell>
        </row>
        <row r="40162">
          <cell r="A40162">
            <v>43318</v>
          </cell>
        </row>
        <row r="40163">
          <cell r="A40163">
            <v>43807</v>
          </cell>
        </row>
        <row r="40164">
          <cell r="A40164">
            <v>43453</v>
          </cell>
        </row>
        <row r="40165">
          <cell r="A40165">
            <v>43178</v>
          </cell>
        </row>
        <row r="40166">
          <cell r="A40166">
            <v>43874</v>
          </cell>
        </row>
        <row r="40167">
          <cell r="A40167">
            <v>43885</v>
          </cell>
        </row>
        <row r="40168">
          <cell r="A40168">
            <v>43809</v>
          </cell>
        </row>
        <row r="40169">
          <cell r="A40169">
            <v>43162</v>
          </cell>
        </row>
        <row r="40170">
          <cell r="A40170">
            <v>43117</v>
          </cell>
        </row>
        <row r="40171">
          <cell r="A40171">
            <v>43587</v>
          </cell>
        </row>
        <row r="40172">
          <cell r="A40172">
            <v>43532</v>
          </cell>
        </row>
        <row r="40173">
          <cell r="A40173">
            <v>43633</v>
          </cell>
        </row>
        <row r="40174">
          <cell r="A40174">
            <v>43164</v>
          </cell>
        </row>
        <row r="40175">
          <cell r="A40175">
            <v>43751</v>
          </cell>
        </row>
        <row r="40176">
          <cell r="A40176">
            <v>43193</v>
          </cell>
        </row>
        <row r="40177">
          <cell r="A40177">
            <v>43541</v>
          </cell>
        </row>
        <row r="40178">
          <cell r="A40178">
            <v>43703</v>
          </cell>
        </row>
        <row r="40179">
          <cell r="A40179">
            <v>43200</v>
          </cell>
        </row>
        <row r="40180">
          <cell r="A40180">
            <v>43507</v>
          </cell>
        </row>
        <row r="40181">
          <cell r="A40181">
            <v>43605</v>
          </cell>
        </row>
        <row r="40182">
          <cell r="A40182">
            <v>43347</v>
          </cell>
        </row>
        <row r="40183">
          <cell r="A40183">
            <v>43352</v>
          </cell>
        </row>
        <row r="40184">
          <cell r="A40184">
            <v>43864</v>
          </cell>
        </row>
        <row r="40185">
          <cell r="A40185">
            <v>43160</v>
          </cell>
        </row>
        <row r="40186">
          <cell r="A40186">
            <v>43425</v>
          </cell>
        </row>
        <row r="40187">
          <cell r="A40187">
            <v>43649</v>
          </cell>
        </row>
        <row r="40188">
          <cell r="A40188">
            <v>43521</v>
          </cell>
        </row>
        <row r="40189">
          <cell r="A40189">
            <v>43895</v>
          </cell>
        </row>
        <row r="40190">
          <cell r="A40190">
            <v>43410</v>
          </cell>
        </row>
        <row r="40191">
          <cell r="A40191">
            <v>43458</v>
          </cell>
        </row>
        <row r="40192">
          <cell r="A40192">
            <v>43772</v>
          </cell>
        </row>
        <row r="40193">
          <cell r="A40193">
            <v>43188</v>
          </cell>
        </row>
        <row r="40194">
          <cell r="A40194">
            <v>43112</v>
          </cell>
        </row>
        <row r="40195">
          <cell r="A40195">
            <v>43834</v>
          </cell>
        </row>
        <row r="40196">
          <cell r="A40196">
            <v>43211</v>
          </cell>
        </row>
        <row r="40197">
          <cell r="A40197">
            <v>43608</v>
          </cell>
        </row>
        <row r="40198">
          <cell r="A40198">
            <v>43802</v>
          </cell>
        </row>
        <row r="40199">
          <cell r="A40199">
            <v>43187</v>
          </cell>
        </row>
        <row r="40200">
          <cell r="A40200">
            <v>43607</v>
          </cell>
        </row>
        <row r="40201">
          <cell r="A40201">
            <v>43204</v>
          </cell>
        </row>
        <row r="40202">
          <cell r="A40202">
            <v>43657</v>
          </cell>
        </row>
        <row r="40203">
          <cell r="A40203">
            <v>43753</v>
          </cell>
        </row>
        <row r="40204">
          <cell r="A40204">
            <v>43216</v>
          </cell>
        </row>
        <row r="40205">
          <cell r="A40205">
            <v>43760</v>
          </cell>
        </row>
        <row r="40206">
          <cell r="A40206">
            <v>43500</v>
          </cell>
        </row>
        <row r="40207">
          <cell r="A40207">
            <v>43893</v>
          </cell>
        </row>
        <row r="40208">
          <cell r="A40208">
            <v>43880</v>
          </cell>
        </row>
        <row r="40209">
          <cell r="A40209">
            <v>43303</v>
          </cell>
        </row>
        <row r="40210">
          <cell r="A40210">
            <v>43824</v>
          </cell>
        </row>
        <row r="40211">
          <cell r="A40211">
            <v>43632</v>
          </cell>
        </row>
        <row r="40212">
          <cell r="A40212">
            <v>43353</v>
          </cell>
        </row>
        <row r="40213">
          <cell r="A40213">
            <v>43896</v>
          </cell>
        </row>
        <row r="40214">
          <cell r="A40214">
            <v>43580</v>
          </cell>
        </row>
        <row r="40215">
          <cell r="A40215">
            <v>43398</v>
          </cell>
        </row>
        <row r="40216">
          <cell r="A40216">
            <v>43330</v>
          </cell>
        </row>
        <row r="40217">
          <cell r="A40217">
            <v>43375</v>
          </cell>
        </row>
        <row r="40218">
          <cell r="A40218">
            <v>43909</v>
          </cell>
        </row>
        <row r="40219">
          <cell r="A40219">
            <v>43846</v>
          </cell>
        </row>
        <row r="40220">
          <cell r="A40220">
            <v>43620</v>
          </cell>
        </row>
        <row r="40221">
          <cell r="A40221">
            <v>43556</v>
          </cell>
        </row>
        <row r="40222">
          <cell r="A40222">
            <v>43532</v>
          </cell>
        </row>
        <row r="40223">
          <cell r="A40223">
            <v>43765</v>
          </cell>
        </row>
        <row r="40224">
          <cell r="A40224">
            <v>43436</v>
          </cell>
        </row>
        <row r="40225">
          <cell r="A40225">
            <v>43159</v>
          </cell>
        </row>
        <row r="40226">
          <cell r="A40226">
            <v>43910</v>
          </cell>
        </row>
        <row r="40227">
          <cell r="A40227">
            <v>43201</v>
          </cell>
        </row>
        <row r="40228">
          <cell r="A40228">
            <v>43270</v>
          </cell>
        </row>
        <row r="40229">
          <cell r="A40229">
            <v>43186</v>
          </cell>
        </row>
        <row r="40230">
          <cell r="A40230">
            <v>43431</v>
          </cell>
        </row>
        <row r="40231">
          <cell r="A40231">
            <v>43414</v>
          </cell>
        </row>
        <row r="40232">
          <cell r="A40232">
            <v>43612</v>
          </cell>
        </row>
        <row r="40233">
          <cell r="A40233">
            <v>43469</v>
          </cell>
        </row>
        <row r="40234">
          <cell r="A40234">
            <v>43385</v>
          </cell>
        </row>
        <row r="40235">
          <cell r="A40235">
            <v>43918</v>
          </cell>
        </row>
        <row r="40236">
          <cell r="A40236">
            <v>43210</v>
          </cell>
        </row>
        <row r="40237">
          <cell r="A40237">
            <v>43648</v>
          </cell>
        </row>
        <row r="40238">
          <cell r="A40238">
            <v>43408</v>
          </cell>
        </row>
        <row r="40239">
          <cell r="A40239">
            <v>43399</v>
          </cell>
        </row>
        <row r="40240">
          <cell r="A40240">
            <v>43316</v>
          </cell>
        </row>
        <row r="40241">
          <cell r="A40241">
            <v>43509</v>
          </cell>
        </row>
        <row r="40242">
          <cell r="A40242">
            <v>43350</v>
          </cell>
        </row>
        <row r="40243">
          <cell r="A40243">
            <v>43732</v>
          </cell>
        </row>
        <row r="40244">
          <cell r="A40244">
            <v>43324</v>
          </cell>
        </row>
        <row r="40245">
          <cell r="A40245">
            <v>43258</v>
          </cell>
        </row>
        <row r="40246">
          <cell r="A40246">
            <v>43731</v>
          </cell>
        </row>
        <row r="40247">
          <cell r="A40247">
            <v>43339</v>
          </cell>
        </row>
        <row r="40248">
          <cell r="A40248">
            <v>43132</v>
          </cell>
        </row>
        <row r="40249">
          <cell r="A40249">
            <v>43272</v>
          </cell>
        </row>
        <row r="40250">
          <cell r="A40250">
            <v>43870</v>
          </cell>
        </row>
        <row r="40251">
          <cell r="A40251">
            <v>43548</v>
          </cell>
        </row>
        <row r="40252">
          <cell r="A40252">
            <v>43410</v>
          </cell>
        </row>
        <row r="40253">
          <cell r="A40253">
            <v>43760</v>
          </cell>
        </row>
        <row r="40254">
          <cell r="A40254">
            <v>43881</v>
          </cell>
        </row>
        <row r="40255">
          <cell r="A40255">
            <v>43708</v>
          </cell>
        </row>
        <row r="40256">
          <cell r="A40256">
            <v>43437</v>
          </cell>
        </row>
        <row r="40257">
          <cell r="A40257">
            <v>43634</v>
          </cell>
        </row>
        <row r="40258">
          <cell r="A40258">
            <v>43776</v>
          </cell>
        </row>
        <row r="40259">
          <cell r="A40259">
            <v>43719</v>
          </cell>
        </row>
        <row r="40260">
          <cell r="A40260">
            <v>43480</v>
          </cell>
        </row>
        <row r="40261">
          <cell r="A40261">
            <v>43373</v>
          </cell>
        </row>
        <row r="40262">
          <cell r="A40262">
            <v>43841</v>
          </cell>
        </row>
        <row r="40263">
          <cell r="A40263">
            <v>43690</v>
          </cell>
        </row>
        <row r="40264">
          <cell r="A40264">
            <v>43697</v>
          </cell>
        </row>
        <row r="40265">
          <cell r="A40265">
            <v>43676</v>
          </cell>
        </row>
        <row r="40266">
          <cell r="A40266">
            <v>43359</v>
          </cell>
        </row>
        <row r="40267">
          <cell r="A40267">
            <v>43826</v>
          </cell>
        </row>
        <row r="40268">
          <cell r="A40268">
            <v>43256</v>
          </cell>
        </row>
        <row r="40269">
          <cell r="A40269">
            <v>43512</v>
          </cell>
        </row>
        <row r="40270">
          <cell r="A40270">
            <v>43497</v>
          </cell>
        </row>
        <row r="40271">
          <cell r="A40271">
            <v>43380</v>
          </cell>
        </row>
        <row r="40272">
          <cell r="A40272">
            <v>43287</v>
          </cell>
        </row>
        <row r="40273">
          <cell r="A40273">
            <v>43183</v>
          </cell>
        </row>
        <row r="40274">
          <cell r="A40274">
            <v>43830</v>
          </cell>
        </row>
        <row r="40275">
          <cell r="A40275">
            <v>43274</v>
          </cell>
        </row>
        <row r="40276">
          <cell r="A40276">
            <v>43286</v>
          </cell>
        </row>
        <row r="40277">
          <cell r="A40277">
            <v>43543</v>
          </cell>
        </row>
        <row r="40278">
          <cell r="A40278">
            <v>43473</v>
          </cell>
        </row>
        <row r="40279">
          <cell r="A40279">
            <v>43607</v>
          </cell>
        </row>
        <row r="40280">
          <cell r="A40280">
            <v>43880</v>
          </cell>
        </row>
        <row r="40281">
          <cell r="A40281">
            <v>43729</v>
          </cell>
        </row>
        <row r="40282">
          <cell r="A40282">
            <v>43387</v>
          </cell>
        </row>
        <row r="40283">
          <cell r="A40283">
            <v>43651</v>
          </cell>
        </row>
        <row r="40284">
          <cell r="A40284">
            <v>43241</v>
          </cell>
        </row>
        <row r="40285">
          <cell r="A40285">
            <v>43125</v>
          </cell>
        </row>
        <row r="40286">
          <cell r="A40286">
            <v>43275</v>
          </cell>
        </row>
        <row r="40287">
          <cell r="A40287">
            <v>43246</v>
          </cell>
        </row>
        <row r="40288">
          <cell r="A40288">
            <v>43678</v>
          </cell>
        </row>
        <row r="40289">
          <cell r="A40289">
            <v>43900</v>
          </cell>
        </row>
        <row r="40290">
          <cell r="A40290">
            <v>43315</v>
          </cell>
        </row>
        <row r="40291">
          <cell r="A40291">
            <v>43331</v>
          </cell>
        </row>
        <row r="40292">
          <cell r="A40292">
            <v>43390</v>
          </cell>
        </row>
        <row r="40293">
          <cell r="A40293">
            <v>43593</v>
          </cell>
        </row>
        <row r="40294">
          <cell r="A40294">
            <v>43260</v>
          </cell>
        </row>
        <row r="40295">
          <cell r="A40295">
            <v>43228</v>
          </cell>
        </row>
        <row r="40296">
          <cell r="A40296">
            <v>43567</v>
          </cell>
        </row>
        <row r="40297">
          <cell r="A40297">
            <v>43300</v>
          </cell>
        </row>
        <row r="40298">
          <cell r="A40298">
            <v>43377</v>
          </cell>
        </row>
        <row r="40299">
          <cell r="A40299">
            <v>43914</v>
          </cell>
        </row>
        <row r="40300">
          <cell r="A40300">
            <v>43609</v>
          </cell>
        </row>
        <row r="40301">
          <cell r="A40301">
            <v>43160</v>
          </cell>
        </row>
        <row r="40302">
          <cell r="A40302">
            <v>43888</v>
          </cell>
        </row>
        <row r="40303">
          <cell r="A40303">
            <v>43827</v>
          </cell>
        </row>
        <row r="40304">
          <cell r="A40304">
            <v>43775</v>
          </cell>
        </row>
        <row r="40305">
          <cell r="A40305">
            <v>43460</v>
          </cell>
        </row>
        <row r="40306">
          <cell r="A40306">
            <v>43106</v>
          </cell>
        </row>
        <row r="40307">
          <cell r="A40307">
            <v>43541</v>
          </cell>
        </row>
        <row r="40308">
          <cell r="A40308">
            <v>43410</v>
          </cell>
        </row>
        <row r="40309">
          <cell r="A40309">
            <v>43318</v>
          </cell>
        </row>
        <row r="40310">
          <cell r="A40310">
            <v>43739</v>
          </cell>
        </row>
        <row r="40311">
          <cell r="A40311">
            <v>43503</v>
          </cell>
        </row>
        <row r="40312">
          <cell r="A40312">
            <v>43379</v>
          </cell>
        </row>
        <row r="40313">
          <cell r="A40313">
            <v>43802</v>
          </cell>
        </row>
        <row r="40314">
          <cell r="A40314">
            <v>43879</v>
          </cell>
        </row>
        <row r="40315">
          <cell r="A40315">
            <v>43692</v>
          </cell>
        </row>
        <row r="40316">
          <cell r="A40316">
            <v>43137</v>
          </cell>
        </row>
        <row r="40317">
          <cell r="A40317">
            <v>43495</v>
          </cell>
        </row>
        <row r="40318">
          <cell r="A40318">
            <v>43849</v>
          </cell>
        </row>
        <row r="40319">
          <cell r="A40319">
            <v>43776</v>
          </cell>
        </row>
        <row r="40320">
          <cell r="A40320">
            <v>43297</v>
          </cell>
        </row>
        <row r="40321">
          <cell r="A40321">
            <v>43882</v>
          </cell>
        </row>
        <row r="40322">
          <cell r="A40322">
            <v>43156</v>
          </cell>
        </row>
        <row r="40323">
          <cell r="A40323">
            <v>43501</v>
          </cell>
        </row>
        <row r="40324">
          <cell r="A40324">
            <v>43237</v>
          </cell>
        </row>
        <row r="40325">
          <cell r="A40325">
            <v>43583</v>
          </cell>
        </row>
        <row r="40326">
          <cell r="A40326">
            <v>43632</v>
          </cell>
        </row>
        <row r="40327">
          <cell r="A40327">
            <v>43141</v>
          </cell>
        </row>
        <row r="40328">
          <cell r="A40328">
            <v>43520</v>
          </cell>
        </row>
        <row r="40329">
          <cell r="A40329">
            <v>43469</v>
          </cell>
        </row>
        <row r="40330">
          <cell r="A40330">
            <v>43645</v>
          </cell>
        </row>
        <row r="40331">
          <cell r="A40331">
            <v>43890</v>
          </cell>
        </row>
        <row r="40332">
          <cell r="A40332">
            <v>43555</v>
          </cell>
        </row>
        <row r="40333">
          <cell r="A40333">
            <v>43775</v>
          </cell>
        </row>
        <row r="40334">
          <cell r="A40334">
            <v>43464</v>
          </cell>
        </row>
        <row r="40335">
          <cell r="A40335">
            <v>43293</v>
          </cell>
        </row>
        <row r="40336">
          <cell r="A40336">
            <v>43210</v>
          </cell>
        </row>
        <row r="40337">
          <cell r="A40337">
            <v>43292</v>
          </cell>
        </row>
        <row r="40338">
          <cell r="A40338">
            <v>43273</v>
          </cell>
        </row>
        <row r="40339">
          <cell r="A40339">
            <v>43639</v>
          </cell>
        </row>
        <row r="40340">
          <cell r="A40340">
            <v>43102</v>
          </cell>
        </row>
        <row r="40341">
          <cell r="A40341">
            <v>43287</v>
          </cell>
        </row>
        <row r="40342">
          <cell r="A40342">
            <v>43212</v>
          </cell>
        </row>
        <row r="40343">
          <cell r="A40343">
            <v>43638</v>
          </cell>
        </row>
        <row r="40344">
          <cell r="A40344">
            <v>43796</v>
          </cell>
        </row>
        <row r="40345">
          <cell r="A40345">
            <v>43740</v>
          </cell>
        </row>
        <row r="40346">
          <cell r="A40346">
            <v>43370</v>
          </cell>
        </row>
        <row r="40347">
          <cell r="A40347">
            <v>43790</v>
          </cell>
        </row>
        <row r="40348">
          <cell r="A40348">
            <v>43694</v>
          </cell>
        </row>
        <row r="40349">
          <cell r="A40349">
            <v>43349</v>
          </cell>
        </row>
        <row r="40350">
          <cell r="A40350">
            <v>43367</v>
          </cell>
        </row>
        <row r="40351">
          <cell r="A40351">
            <v>43703</v>
          </cell>
        </row>
        <row r="40352">
          <cell r="A40352">
            <v>43335</v>
          </cell>
        </row>
        <row r="40353">
          <cell r="A40353">
            <v>43291</v>
          </cell>
        </row>
        <row r="40354">
          <cell r="A40354">
            <v>43744</v>
          </cell>
        </row>
        <row r="40355">
          <cell r="A40355">
            <v>43465</v>
          </cell>
        </row>
        <row r="40356">
          <cell r="A40356">
            <v>43881</v>
          </cell>
        </row>
        <row r="40357">
          <cell r="A40357">
            <v>43358</v>
          </cell>
        </row>
        <row r="40358">
          <cell r="A40358">
            <v>43634</v>
          </cell>
        </row>
        <row r="40359">
          <cell r="A40359">
            <v>43194</v>
          </cell>
        </row>
        <row r="40360">
          <cell r="A40360">
            <v>43286</v>
          </cell>
        </row>
        <row r="40361">
          <cell r="A40361">
            <v>43430</v>
          </cell>
        </row>
        <row r="40362">
          <cell r="A40362">
            <v>43132</v>
          </cell>
        </row>
        <row r="40363">
          <cell r="A40363">
            <v>43839</v>
          </cell>
        </row>
        <row r="40364">
          <cell r="A40364">
            <v>43241</v>
          </cell>
        </row>
        <row r="40365">
          <cell r="A40365">
            <v>43256</v>
          </cell>
        </row>
        <row r="40366">
          <cell r="A40366">
            <v>43408</v>
          </cell>
        </row>
        <row r="40367">
          <cell r="A40367">
            <v>43774</v>
          </cell>
        </row>
        <row r="40368">
          <cell r="A40368">
            <v>43917</v>
          </cell>
        </row>
        <row r="40369">
          <cell r="A40369">
            <v>43609</v>
          </cell>
        </row>
        <row r="40370">
          <cell r="A40370">
            <v>43102</v>
          </cell>
        </row>
        <row r="40371">
          <cell r="A40371">
            <v>43459</v>
          </cell>
        </row>
        <row r="40372">
          <cell r="A40372">
            <v>43686</v>
          </cell>
        </row>
        <row r="40373">
          <cell r="A40373">
            <v>43729</v>
          </cell>
        </row>
        <row r="40374">
          <cell r="A40374">
            <v>43815</v>
          </cell>
        </row>
        <row r="40375">
          <cell r="A40375">
            <v>43428</v>
          </cell>
        </row>
        <row r="40376">
          <cell r="A40376">
            <v>43437</v>
          </cell>
        </row>
        <row r="40377">
          <cell r="A40377">
            <v>43470</v>
          </cell>
        </row>
        <row r="40378">
          <cell r="A40378">
            <v>43525</v>
          </cell>
        </row>
        <row r="40379">
          <cell r="A40379">
            <v>43388</v>
          </cell>
        </row>
        <row r="40380">
          <cell r="A40380">
            <v>43869</v>
          </cell>
        </row>
        <row r="40381">
          <cell r="A40381">
            <v>43588</v>
          </cell>
        </row>
        <row r="40382">
          <cell r="A40382">
            <v>43550</v>
          </cell>
        </row>
        <row r="40383">
          <cell r="A40383">
            <v>43871</v>
          </cell>
        </row>
        <row r="40384">
          <cell r="A40384">
            <v>43703</v>
          </cell>
        </row>
        <row r="40385">
          <cell r="A40385">
            <v>43440</v>
          </cell>
        </row>
        <row r="40386">
          <cell r="A40386">
            <v>43695</v>
          </cell>
        </row>
        <row r="40387">
          <cell r="A40387">
            <v>43622</v>
          </cell>
        </row>
        <row r="40388">
          <cell r="A40388">
            <v>43848</v>
          </cell>
        </row>
        <row r="40389">
          <cell r="A40389">
            <v>43729</v>
          </cell>
        </row>
        <row r="40390">
          <cell r="A40390">
            <v>43548</v>
          </cell>
        </row>
        <row r="40391">
          <cell r="A40391">
            <v>43223</v>
          </cell>
        </row>
        <row r="40392">
          <cell r="A40392">
            <v>43135</v>
          </cell>
        </row>
        <row r="40393">
          <cell r="A40393">
            <v>43303</v>
          </cell>
        </row>
        <row r="40394">
          <cell r="A40394">
            <v>43516</v>
          </cell>
        </row>
        <row r="40395">
          <cell r="A40395">
            <v>43533</v>
          </cell>
        </row>
        <row r="40396">
          <cell r="A40396">
            <v>43583</v>
          </cell>
        </row>
        <row r="40397">
          <cell r="A40397">
            <v>43586</v>
          </cell>
        </row>
        <row r="40398">
          <cell r="A40398">
            <v>43826</v>
          </cell>
        </row>
        <row r="40399">
          <cell r="A40399">
            <v>43282</v>
          </cell>
        </row>
        <row r="40400">
          <cell r="A40400">
            <v>43207</v>
          </cell>
        </row>
        <row r="40401">
          <cell r="A40401">
            <v>43661</v>
          </cell>
        </row>
        <row r="40402">
          <cell r="A40402">
            <v>43569</v>
          </cell>
        </row>
        <row r="40403">
          <cell r="A40403">
            <v>43679</v>
          </cell>
        </row>
        <row r="40404">
          <cell r="A40404">
            <v>43778</v>
          </cell>
        </row>
        <row r="40405">
          <cell r="A40405">
            <v>43251</v>
          </cell>
        </row>
        <row r="40406">
          <cell r="A40406">
            <v>43847</v>
          </cell>
        </row>
        <row r="40407">
          <cell r="A40407">
            <v>43248</v>
          </cell>
        </row>
        <row r="40408">
          <cell r="A40408">
            <v>43828</v>
          </cell>
        </row>
        <row r="40409">
          <cell r="A40409">
            <v>43300</v>
          </cell>
        </row>
        <row r="40410">
          <cell r="A40410">
            <v>43655</v>
          </cell>
        </row>
        <row r="40411">
          <cell r="A40411">
            <v>43817</v>
          </cell>
        </row>
        <row r="40412">
          <cell r="A40412">
            <v>43701</v>
          </cell>
        </row>
        <row r="40413">
          <cell r="A40413">
            <v>43209</v>
          </cell>
        </row>
        <row r="40414">
          <cell r="A40414">
            <v>43686</v>
          </cell>
        </row>
        <row r="40415">
          <cell r="A40415">
            <v>43549</v>
          </cell>
        </row>
        <row r="40416">
          <cell r="A40416">
            <v>43320</v>
          </cell>
        </row>
        <row r="40417">
          <cell r="A40417">
            <v>43463</v>
          </cell>
        </row>
        <row r="40418">
          <cell r="A40418">
            <v>43402</v>
          </cell>
        </row>
        <row r="40419">
          <cell r="A40419">
            <v>43438</v>
          </cell>
        </row>
        <row r="40420">
          <cell r="A40420">
            <v>43889</v>
          </cell>
        </row>
        <row r="40421">
          <cell r="A40421">
            <v>43917</v>
          </cell>
        </row>
        <row r="40422">
          <cell r="A40422">
            <v>43643</v>
          </cell>
        </row>
        <row r="40423">
          <cell r="A40423">
            <v>43269</v>
          </cell>
        </row>
        <row r="40424">
          <cell r="A40424">
            <v>43551</v>
          </cell>
        </row>
        <row r="40425">
          <cell r="A40425">
            <v>43492</v>
          </cell>
        </row>
        <row r="40426">
          <cell r="A40426">
            <v>43656</v>
          </cell>
        </row>
        <row r="40427">
          <cell r="A40427">
            <v>43258</v>
          </cell>
        </row>
        <row r="40428">
          <cell r="A40428">
            <v>43407</v>
          </cell>
        </row>
        <row r="40429">
          <cell r="A40429">
            <v>43521</v>
          </cell>
        </row>
        <row r="40430">
          <cell r="A40430">
            <v>43727</v>
          </cell>
        </row>
        <row r="40431">
          <cell r="A40431">
            <v>43744</v>
          </cell>
        </row>
        <row r="40432">
          <cell r="A40432">
            <v>43570</v>
          </cell>
        </row>
        <row r="40433">
          <cell r="A40433">
            <v>43579</v>
          </cell>
        </row>
        <row r="40434">
          <cell r="A40434">
            <v>43116</v>
          </cell>
        </row>
        <row r="40435">
          <cell r="A40435">
            <v>43747</v>
          </cell>
        </row>
        <row r="40436">
          <cell r="A40436">
            <v>43217</v>
          </cell>
        </row>
        <row r="40437">
          <cell r="A40437">
            <v>43771</v>
          </cell>
        </row>
        <row r="40438">
          <cell r="A40438">
            <v>43712</v>
          </cell>
        </row>
        <row r="40439">
          <cell r="A40439">
            <v>43343</v>
          </cell>
        </row>
        <row r="40440">
          <cell r="A40440">
            <v>43733</v>
          </cell>
        </row>
        <row r="40441">
          <cell r="A40441">
            <v>43631</v>
          </cell>
        </row>
        <row r="40442">
          <cell r="A40442">
            <v>43741</v>
          </cell>
        </row>
        <row r="40443">
          <cell r="A40443">
            <v>43511</v>
          </cell>
        </row>
        <row r="40444">
          <cell r="A40444">
            <v>43290</v>
          </cell>
        </row>
        <row r="40445">
          <cell r="A40445">
            <v>43436</v>
          </cell>
        </row>
        <row r="40446">
          <cell r="A40446">
            <v>43465</v>
          </cell>
        </row>
        <row r="40447">
          <cell r="A40447">
            <v>43301</v>
          </cell>
        </row>
        <row r="40448">
          <cell r="A40448">
            <v>43489</v>
          </cell>
        </row>
        <row r="40449">
          <cell r="A40449">
            <v>43431</v>
          </cell>
        </row>
        <row r="40450">
          <cell r="A40450">
            <v>43421</v>
          </cell>
        </row>
        <row r="40451">
          <cell r="A40451">
            <v>43731</v>
          </cell>
        </row>
        <row r="40452">
          <cell r="A40452">
            <v>43805</v>
          </cell>
        </row>
        <row r="40453">
          <cell r="A40453">
            <v>43570</v>
          </cell>
        </row>
        <row r="40454">
          <cell r="A40454">
            <v>43669</v>
          </cell>
        </row>
        <row r="40455">
          <cell r="A40455">
            <v>43358</v>
          </cell>
        </row>
        <row r="40456">
          <cell r="A40456">
            <v>43757</v>
          </cell>
        </row>
        <row r="40457">
          <cell r="A40457">
            <v>43283</v>
          </cell>
        </row>
        <row r="40458">
          <cell r="A40458">
            <v>43321</v>
          </cell>
        </row>
        <row r="40459">
          <cell r="A40459">
            <v>43744</v>
          </cell>
        </row>
        <row r="40460">
          <cell r="A40460">
            <v>43194</v>
          </cell>
        </row>
        <row r="40461">
          <cell r="A40461">
            <v>43200</v>
          </cell>
        </row>
        <row r="40462">
          <cell r="A40462">
            <v>43729</v>
          </cell>
        </row>
        <row r="40463">
          <cell r="A40463">
            <v>43262</v>
          </cell>
        </row>
        <row r="40464">
          <cell r="A40464">
            <v>43672</v>
          </cell>
        </row>
        <row r="40465">
          <cell r="A40465">
            <v>43276</v>
          </cell>
        </row>
        <row r="40466">
          <cell r="A40466">
            <v>43279</v>
          </cell>
        </row>
        <row r="40467">
          <cell r="A40467">
            <v>43760</v>
          </cell>
        </row>
        <row r="40468">
          <cell r="A40468">
            <v>43140</v>
          </cell>
        </row>
        <row r="40469">
          <cell r="A40469">
            <v>43531</v>
          </cell>
        </row>
        <row r="40470">
          <cell r="A40470">
            <v>43286</v>
          </cell>
        </row>
        <row r="40471">
          <cell r="A40471">
            <v>43861</v>
          </cell>
        </row>
        <row r="40472">
          <cell r="A40472">
            <v>43266</v>
          </cell>
        </row>
        <row r="40473">
          <cell r="A40473">
            <v>43598</v>
          </cell>
        </row>
        <row r="40474">
          <cell r="A40474">
            <v>43190</v>
          </cell>
        </row>
        <row r="40475">
          <cell r="A40475">
            <v>43311</v>
          </cell>
        </row>
        <row r="40476">
          <cell r="A40476">
            <v>43890</v>
          </cell>
        </row>
        <row r="40477">
          <cell r="A40477">
            <v>43291</v>
          </cell>
        </row>
        <row r="40478">
          <cell r="A40478">
            <v>43364</v>
          </cell>
        </row>
        <row r="40479">
          <cell r="A40479">
            <v>43762</v>
          </cell>
        </row>
        <row r="40480">
          <cell r="A40480">
            <v>43528</v>
          </cell>
        </row>
        <row r="40481">
          <cell r="A40481">
            <v>43316</v>
          </cell>
        </row>
        <row r="40482">
          <cell r="A40482">
            <v>43668</v>
          </cell>
        </row>
        <row r="40483">
          <cell r="A40483">
            <v>43272</v>
          </cell>
        </row>
        <row r="40484">
          <cell r="A40484">
            <v>43536</v>
          </cell>
        </row>
        <row r="40485">
          <cell r="A40485">
            <v>43157</v>
          </cell>
        </row>
        <row r="40486">
          <cell r="A40486">
            <v>43387</v>
          </cell>
        </row>
        <row r="40487">
          <cell r="A40487">
            <v>43796</v>
          </cell>
        </row>
        <row r="40488">
          <cell r="A40488">
            <v>43767</v>
          </cell>
        </row>
        <row r="40489">
          <cell r="A40489">
            <v>43372</v>
          </cell>
        </row>
        <row r="40490">
          <cell r="A40490">
            <v>43329</v>
          </cell>
        </row>
        <row r="40491">
          <cell r="A40491">
            <v>43612</v>
          </cell>
        </row>
        <row r="40492">
          <cell r="A40492">
            <v>43811</v>
          </cell>
        </row>
        <row r="40493">
          <cell r="A40493">
            <v>43610</v>
          </cell>
        </row>
        <row r="40494">
          <cell r="A40494">
            <v>43772</v>
          </cell>
        </row>
        <row r="40495">
          <cell r="A40495">
            <v>43112</v>
          </cell>
        </row>
        <row r="40496">
          <cell r="A40496">
            <v>43337</v>
          </cell>
        </row>
        <row r="40497">
          <cell r="A40497">
            <v>43810</v>
          </cell>
        </row>
        <row r="40498">
          <cell r="A40498">
            <v>43214</v>
          </cell>
        </row>
        <row r="40499">
          <cell r="A40499">
            <v>43744</v>
          </cell>
        </row>
        <row r="40500">
          <cell r="A40500">
            <v>43407</v>
          </cell>
        </row>
        <row r="40501">
          <cell r="A40501">
            <v>43232</v>
          </cell>
        </row>
        <row r="40502">
          <cell r="A40502">
            <v>43880</v>
          </cell>
        </row>
        <row r="40503">
          <cell r="A40503">
            <v>43779</v>
          </cell>
        </row>
        <row r="40504">
          <cell r="A40504">
            <v>43205</v>
          </cell>
        </row>
        <row r="40505">
          <cell r="A40505">
            <v>43913</v>
          </cell>
        </row>
        <row r="40506">
          <cell r="A40506">
            <v>43717</v>
          </cell>
        </row>
        <row r="40507">
          <cell r="A40507">
            <v>43598</v>
          </cell>
        </row>
        <row r="40508">
          <cell r="A40508">
            <v>43528</v>
          </cell>
        </row>
        <row r="40509">
          <cell r="A40509">
            <v>43764</v>
          </cell>
        </row>
        <row r="40510">
          <cell r="A40510">
            <v>43688</v>
          </cell>
        </row>
        <row r="40511">
          <cell r="A40511">
            <v>43810</v>
          </cell>
        </row>
        <row r="40512">
          <cell r="A40512">
            <v>43315</v>
          </cell>
        </row>
        <row r="40513">
          <cell r="A40513">
            <v>43898</v>
          </cell>
        </row>
        <row r="40514">
          <cell r="A40514">
            <v>43701</v>
          </cell>
        </row>
        <row r="40515">
          <cell r="A40515">
            <v>43854</v>
          </cell>
        </row>
        <row r="40516">
          <cell r="A40516">
            <v>43247</v>
          </cell>
        </row>
        <row r="40517">
          <cell r="A40517">
            <v>43869</v>
          </cell>
        </row>
        <row r="40518">
          <cell r="A40518">
            <v>43462</v>
          </cell>
        </row>
        <row r="40519">
          <cell r="A40519">
            <v>43405</v>
          </cell>
        </row>
        <row r="40520">
          <cell r="A40520">
            <v>43531</v>
          </cell>
        </row>
        <row r="40521">
          <cell r="A40521">
            <v>43803</v>
          </cell>
        </row>
        <row r="40522">
          <cell r="A40522">
            <v>43435</v>
          </cell>
        </row>
        <row r="40523">
          <cell r="A40523">
            <v>43345</v>
          </cell>
        </row>
        <row r="40524">
          <cell r="A40524">
            <v>43869</v>
          </cell>
        </row>
        <row r="40525">
          <cell r="A40525">
            <v>43367</v>
          </cell>
        </row>
        <row r="40526">
          <cell r="A40526">
            <v>43339</v>
          </cell>
        </row>
        <row r="40527">
          <cell r="A40527">
            <v>43613</v>
          </cell>
        </row>
        <row r="40528">
          <cell r="A40528">
            <v>43490</v>
          </cell>
        </row>
        <row r="40529">
          <cell r="A40529">
            <v>43384</v>
          </cell>
        </row>
        <row r="40530">
          <cell r="A40530">
            <v>43827</v>
          </cell>
        </row>
        <row r="40531">
          <cell r="A40531">
            <v>43450</v>
          </cell>
        </row>
        <row r="40532">
          <cell r="A40532">
            <v>43211</v>
          </cell>
        </row>
        <row r="40533">
          <cell r="A40533">
            <v>43694</v>
          </cell>
        </row>
        <row r="40534">
          <cell r="A40534">
            <v>43560</v>
          </cell>
        </row>
        <row r="40535">
          <cell r="A40535">
            <v>43173</v>
          </cell>
        </row>
        <row r="40536">
          <cell r="A40536">
            <v>43450</v>
          </cell>
        </row>
        <row r="40537">
          <cell r="A40537">
            <v>43520</v>
          </cell>
        </row>
        <row r="40538">
          <cell r="A40538">
            <v>43452</v>
          </cell>
        </row>
        <row r="40539">
          <cell r="A40539">
            <v>43311</v>
          </cell>
        </row>
        <row r="40540">
          <cell r="A40540">
            <v>43378</v>
          </cell>
        </row>
        <row r="40541">
          <cell r="A40541">
            <v>43178</v>
          </cell>
        </row>
        <row r="40542">
          <cell r="A40542">
            <v>43815</v>
          </cell>
        </row>
        <row r="40543">
          <cell r="A40543">
            <v>43559</v>
          </cell>
        </row>
        <row r="40544">
          <cell r="A40544">
            <v>43775</v>
          </cell>
        </row>
        <row r="40545">
          <cell r="A40545">
            <v>43510</v>
          </cell>
        </row>
        <row r="40546">
          <cell r="A40546">
            <v>43149</v>
          </cell>
        </row>
        <row r="40547">
          <cell r="A40547">
            <v>43315</v>
          </cell>
        </row>
        <row r="40548">
          <cell r="A40548">
            <v>43802</v>
          </cell>
        </row>
        <row r="40549">
          <cell r="A40549">
            <v>43801</v>
          </cell>
        </row>
        <row r="40550">
          <cell r="A40550">
            <v>43311</v>
          </cell>
        </row>
        <row r="40551">
          <cell r="A40551">
            <v>43726</v>
          </cell>
        </row>
        <row r="40552">
          <cell r="A40552">
            <v>43862</v>
          </cell>
        </row>
        <row r="40553">
          <cell r="A40553">
            <v>43807</v>
          </cell>
        </row>
        <row r="40554">
          <cell r="A40554">
            <v>43862</v>
          </cell>
        </row>
        <row r="40555">
          <cell r="A40555">
            <v>43696</v>
          </cell>
        </row>
        <row r="40556">
          <cell r="A40556">
            <v>43816</v>
          </cell>
        </row>
        <row r="40557">
          <cell r="A40557">
            <v>43484</v>
          </cell>
        </row>
        <row r="40558">
          <cell r="A40558">
            <v>43728</v>
          </cell>
        </row>
        <row r="40559">
          <cell r="A40559">
            <v>43139</v>
          </cell>
        </row>
        <row r="40560">
          <cell r="A40560">
            <v>43451</v>
          </cell>
        </row>
        <row r="40561">
          <cell r="A40561">
            <v>43138</v>
          </cell>
        </row>
        <row r="40562">
          <cell r="A40562">
            <v>43871</v>
          </cell>
        </row>
        <row r="40563">
          <cell r="A40563">
            <v>43906</v>
          </cell>
        </row>
        <row r="40564">
          <cell r="A40564">
            <v>43785</v>
          </cell>
        </row>
        <row r="40565">
          <cell r="A40565">
            <v>43344</v>
          </cell>
        </row>
        <row r="40566">
          <cell r="A40566">
            <v>43609</v>
          </cell>
        </row>
        <row r="40567">
          <cell r="A40567">
            <v>43565</v>
          </cell>
        </row>
        <row r="40568">
          <cell r="A40568">
            <v>43878</v>
          </cell>
        </row>
        <row r="40569">
          <cell r="A40569">
            <v>43809</v>
          </cell>
        </row>
        <row r="40570">
          <cell r="A40570">
            <v>43855</v>
          </cell>
        </row>
        <row r="40571">
          <cell r="A40571">
            <v>43357</v>
          </cell>
        </row>
        <row r="40572">
          <cell r="A40572">
            <v>43595</v>
          </cell>
        </row>
        <row r="40573">
          <cell r="A40573">
            <v>43561</v>
          </cell>
        </row>
        <row r="40574">
          <cell r="A40574">
            <v>43335</v>
          </cell>
        </row>
        <row r="40575">
          <cell r="A40575">
            <v>43396</v>
          </cell>
        </row>
        <row r="40576">
          <cell r="A40576">
            <v>43322</v>
          </cell>
        </row>
        <row r="40577">
          <cell r="A40577">
            <v>43782</v>
          </cell>
        </row>
        <row r="40578">
          <cell r="A40578">
            <v>43355</v>
          </cell>
        </row>
        <row r="40579">
          <cell r="A40579">
            <v>43857</v>
          </cell>
        </row>
        <row r="40580">
          <cell r="A40580">
            <v>43287</v>
          </cell>
        </row>
        <row r="40581">
          <cell r="A40581">
            <v>43728</v>
          </cell>
        </row>
        <row r="40582">
          <cell r="A40582">
            <v>43295</v>
          </cell>
        </row>
        <row r="40583">
          <cell r="A40583">
            <v>43873</v>
          </cell>
        </row>
        <row r="40584">
          <cell r="A40584">
            <v>43540</v>
          </cell>
        </row>
        <row r="40585">
          <cell r="A40585">
            <v>43843</v>
          </cell>
        </row>
        <row r="40586">
          <cell r="A40586">
            <v>43510</v>
          </cell>
        </row>
        <row r="40587">
          <cell r="A40587">
            <v>43246</v>
          </cell>
        </row>
        <row r="40588">
          <cell r="A40588">
            <v>43901</v>
          </cell>
        </row>
        <row r="40589">
          <cell r="A40589">
            <v>43287</v>
          </cell>
        </row>
        <row r="40590">
          <cell r="A40590">
            <v>43796</v>
          </cell>
        </row>
        <row r="40591">
          <cell r="A40591">
            <v>43856</v>
          </cell>
        </row>
        <row r="40592">
          <cell r="A40592">
            <v>43407</v>
          </cell>
        </row>
        <row r="40593">
          <cell r="A40593">
            <v>43897</v>
          </cell>
        </row>
        <row r="40594">
          <cell r="A40594">
            <v>43463</v>
          </cell>
        </row>
        <row r="40595">
          <cell r="A40595">
            <v>43511</v>
          </cell>
        </row>
        <row r="40596">
          <cell r="A40596">
            <v>43467</v>
          </cell>
        </row>
        <row r="40597">
          <cell r="A40597">
            <v>43632</v>
          </cell>
        </row>
        <row r="40598">
          <cell r="A40598">
            <v>43291</v>
          </cell>
        </row>
        <row r="40599">
          <cell r="A40599">
            <v>43243</v>
          </cell>
        </row>
        <row r="40600">
          <cell r="A40600">
            <v>43881</v>
          </cell>
        </row>
        <row r="40601">
          <cell r="A40601">
            <v>43714</v>
          </cell>
        </row>
        <row r="40602">
          <cell r="A40602">
            <v>43619</v>
          </cell>
        </row>
        <row r="40603">
          <cell r="A40603">
            <v>43425</v>
          </cell>
        </row>
        <row r="40604">
          <cell r="A40604">
            <v>43810</v>
          </cell>
        </row>
        <row r="40605">
          <cell r="A40605">
            <v>43176</v>
          </cell>
        </row>
        <row r="40606">
          <cell r="A40606">
            <v>43494</v>
          </cell>
        </row>
        <row r="40607">
          <cell r="A40607">
            <v>43718</v>
          </cell>
        </row>
        <row r="40608">
          <cell r="A40608">
            <v>43863</v>
          </cell>
        </row>
        <row r="40609">
          <cell r="A40609">
            <v>43402</v>
          </cell>
        </row>
        <row r="40610">
          <cell r="A40610">
            <v>43600</v>
          </cell>
        </row>
        <row r="40611">
          <cell r="A40611">
            <v>43398</v>
          </cell>
        </row>
        <row r="40612">
          <cell r="A40612">
            <v>43128</v>
          </cell>
        </row>
        <row r="40613">
          <cell r="A40613">
            <v>43390</v>
          </cell>
        </row>
        <row r="40614">
          <cell r="A40614">
            <v>43332</v>
          </cell>
        </row>
        <row r="40615">
          <cell r="A40615">
            <v>43217</v>
          </cell>
        </row>
        <row r="40616">
          <cell r="A40616">
            <v>43545</v>
          </cell>
        </row>
        <row r="40617">
          <cell r="A40617">
            <v>43205</v>
          </cell>
        </row>
        <row r="40618">
          <cell r="A40618">
            <v>43291</v>
          </cell>
        </row>
        <row r="40619">
          <cell r="A40619">
            <v>43918</v>
          </cell>
        </row>
        <row r="40620">
          <cell r="A40620">
            <v>43347</v>
          </cell>
        </row>
        <row r="40621">
          <cell r="A40621">
            <v>43837</v>
          </cell>
        </row>
        <row r="40622">
          <cell r="A40622">
            <v>43187</v>
          </cell>
        </row>
        <row r="40623">
          <cell r="A40623">
            <v>43384</v>
          </cell>
        </row>
        <row r="40624">
          <cell r="A40624">
            <v>43678</v>
          </cell>
        </row>
        <row r="40625">
          <cell r="A40625">
            <v>43415</v>
          </cell>
        </row>
        <row r="40626">
          <cell r="A40626">
            <v>43586</v>
          </cell>
        </row>
        <row r="40627">
          <cell r="A40627">
            <v>43333</v>
          </cell>
        </row>
        <row r="40628">
          <cell r="A40628">
            <v>43764</v>
          </cell>
        </row>
        <row r="40629">
          <cell r="A40629">
            <v>43369</v>
          </cell>
        </row>
        <row r="40630">
          <cell r="A40630">
            <v>43614</v>
          </cell>
        </row>
        <row r="40631">
          <cell r="A40631">
            <v>43720</v>
          </cell>
        </row>
        <row r="40632">
          <cell r="A40632">
            <v>43805</v>
          </cell>
        </row>
        <row r="40633">
          <cell r="A40633">
            <v>43493</v>
          </cell>
        </row>
        <row r="40634">
          <cell r="A40634">
            <v>43365</v>
          </cell>
        </row>
        <row r="40635">
          <cell r="A40635">
            <v>43135</v>
          </cell>
        </row>
        <row r="40636">
          <cell r="A40636">
            <v>43659</v>
          </cell>
        </row>
        <row r="40637">
          <cell r="A40637">
            <v>43521</v>
          </cell>
        </row>
        <row r="40638">
          <cell r="A40638">
            <v>43349</v>
          </cell>
        </row>
        <row r="40639">
          <cell r="A40639">
            <v>43517</v>
          </cell>
        </row>
        <row r="40640">
          <cell r="A40640">
            <v>43105</v>
          </cell>
        </row>
        <row r="40641">
          <cell r="A40641">
            <v>43368</v>
          </cell>
        </row>
        <row r="40642">
          <cell r="A40642">
            <v>43789</v>
          </cell>
        </row>
        <row r="40643">
          <cell r="A40643">
            <v>43649</v>
          </cell>
        </row>
        <row r="40644">
          <cell r="A40644">
            <v>43577</v>
          </cell>
        </row>
        <row r="40645">
          <cell r="A40645">
            <v>43518</v>
          </cell>
        </row>
        <row r="40646">
          <cell r="A40646">
            <v>43289</v>
          </cell>
        </row>
        <row r="40647">
          <cell r="A40647">
            <v>43903</v>
          </cell>
        </row>
        <row r="40648">
          <cell r="A40648">
            <v>43715</v>
          </cell>
        </row>
        <row r="40649">
          <cell r="A40649">
            <v>43277</v>
          </cell>
        </row>
        <row r="40650">
          <cell r="A40650">
            <v>43461</v>
          </cell>
        </row>
        <row r="40651">
          <cell r="A40651">
            <v>43821</v>
          </cell>
        </row>
        <row r="40652">
          <cell r="A40652">
            <v>43821</v>
          </cell>
        </row>
        <row r="40653">
          <cell r="A40653">
            <v>43853</v>
          </cell>
        </row>
        <row r="40654">
          <cell r="A40654">
            <v>43899</v>
          </cell>
        </row>
        <row r="40655">
          <cell r="A40655">
            <v>43773</v>
          </cell>
        </row>
        <row r="40656">
          <cell r="A40656">
            <v>43411</v>
          </cell>
        </row>
        <row r="40657">
          <cell r="A40657">
            <v>43666</v>
          </cell>
        </row>
        <row r="40658">
          <cell r="A40658">
            <v>43700</v>
          </cell>
        </row>
        <row r="40659">
          <cell r="A40659">
            <v>43359</v>
          </cell>
        </row>
        <row r="40660">
          <cell r="A40660">
            <v>43866</v>
          </cell>
        </row>
        <row r="40661">
          <cell r="A40661">
            <v>43516</v>
          </cell>
        </row>
        <row r="40662">
          <cell r="A40662">
            <v>43710</v>
          </cell>
        </row>
        <row r="40663">
          <cell r="A40663">
            <v>43329</v>
          </cell>
        </row>
        <row r="40664">
          <cell r="A40664">
            <v>43340</v>
          </cell>
        </row>
        <row r="40665">
          <cell r="A40665">
            <v>43625</v>
          </cell>
        </row>
        <row r="40666">
          <cell r="A40666">
            <v>43127</v>
          </cell>
        </row>
        <row r="40667">
          <cell r="A40667">
            <v>43845</v>
          </cell>
        </row>
        <row r="40668">
          <cell r="A40668">
            <v>43788</v>
          </cell>
        </row>
        <row r="40669">
          <cell r="A40669">
            <v>43425</v>
          </cell>
        </row>
        <row r="40670">
          <cell r="A40670">
            <v>43305</v>
          </cell>
        </row>
        <row r="40671">
          <cell r="A40671">
            <v>43731</v>
          </cell>
        </row>
        <row r="40672">
          <cell r="A40672">
            <v>43831</v>
          </cell>
        </row>
        <row r="40673">
          <cell r="A40673">
            <v>43725</v>
          </cell>
        </row>
        <row r="40674">
          <cell r="A40674">
            <v>43586</v>
          </cell>
        </row>
        <row r="40675">
          <cell r="A40675">
            <v>43410</v>
          </cell>
        </row>
        <row r="40676">
          <cell r="A40676">
            <v>43783</v>
          </cell>
        </row>
        <row r="40677">
          <cell r="A40677">
            <v>43146</v>
          </cell>
        </row>
        <row r="40678">
          <cell r="A40678">
            <v>43784</v>
          </cell>
        </row>
        <row r="40679">
          <cell r="A40679">
            <v>43385</v>
          </cell>
        </row>
        <row r="40680">
          <cell r="A40680">
            <v>43431</v>
          </cell>
        </row>
        <row r="40681">
          <cell r="A40681">
            <v>43747</v>
          </cell>
        </row>
        <row r="40682">
          <cell r="A40682">
            <v>43732</v>
          </cell>
        </row>
        <row r="40683">
          <cell r="A40683">
            <v>43260</v>
          </cell>
        </row>
        <row r="40684">
          <cell r="A40684">
            <v>43207</v>
          </cell>
        </row>
        <row r="40685">
          <cell r="A40685">
            <v>43750</v>
          </cell>
        </row>
        <row r="40686">
          <cell r="A40686">
            <v>43634</v>
          </cell>
        </row>
        <row r="40687">
          <cell r="A40687">
            <v>43551</v>
          </cell>
        </row>
        <row r="40688">
          <cell r="A40688">
            <v>43462</v>
          </cell>
        </row>
        <row r="40689">
          <cell r="A40689">
            <v>43450</v>
          </cell>
        </row>
        <row r="40690">
          <cell r="A40690">
            <v>43292</v>
          </cell>
        </row>
        <row r="40691">
          <cell r="A40691">
            <v>43707</v>
          </cell>
        </row>
        <row r="40692">
          <cell r="A40692">
            <v>43745</v>
          </cell>
        </row>
        <row r="40693">
          <cell r="A40693">
            <v>43872</v>
          </cell>
        </row>
        <row r="40694">
          <cell r="A40694">
            <v>43497</v>
          </cell>
        </row>
        <row r="40695">
          <cell r="A40695">
            <v>43390</v>
          </cell>
        </row>
        <row r="40696">
          <cell r="A40696">
            <v>43699</v>
          </cell>
        </row>
        <row r="40697">
          <cell r="A40697">
            <v>43912</v>
          </cell>
        </row>
        <row r="40698">
          <cell r="A40698">
            <v>43271</v>
          </cell>
        </row>
        <row r="40699">
          <cell r="A40699">
            <v>43738</v>
          </cell>
        </row>
        <row r="40700">
          <cell r="A40700">
            <v>43913</v>
          </cell>
        </row>
        <row r="40701">
          <cell r="A40701">
            <v>43648</v>
          </cell>
        </row>
        <row r="40702">
          <cell r="A40702">
            <v>43898</v>
          </cell>
        </row>
        <row r="40703">
          <cell r="A40703">
            <v>43179</v>
          </cell>
        </row>
        <row r="40704">
          <cell r="A40704">
            <v>43771</v>
          </cell>
        </row>
        <row r="40705">
          <cell r="A40705">
            <v>43205</v>
          </cell>
        </row>
        <row r="40706">
          <cell r="A40706">
            <v>43303</v>
          </cell>
        </row>
        <row r="40707">
          <cell r="A40707">
            <v>43274</v>
          </cell>
        </row>
        <row r="40708">
          <cell r="A40708">
            <v>43699</v>
          </cell>
        </row>
        <row r="40709">
          <cell r="A40709">
            <v>43779</v>
          </cell>
        </row>
        <row r="40710">
          <cell r="A40710">
            <v>43416</v>
          </cell>
        </row>
        <row r="40711">
          <cell r="A40711">
            <v>43762</v>
          </cell>
        </row>
        <row r="40712">
          <cell r="A40712">
            <v>43336</v>
          </cell>
        </row>
        <row r="40713">
          <cell r="A40713">
            <v>43332</v>
          </cell>
        </row>
        <row r="40714">
          <cell r="A40714">
            <v>43476</v>
          </cell>
        </row>
        <row r="40715">
          <cell r="A40715">
            <v>43172</v>
          </cell>
        </row>
        <row r="40716">
          <cell r="A40716">
            <v>43544</v>
          </cell>
        </row>
        <row r="40717">
          <cell r="A40717">
            <v>43754</v>
          </cell>
        </row>
        <row r="40718">
          <cell r="A40718">
            <v>43522</v>
          </cell>
        </row>
        <row r="40719">
          <cell r="A40719">
            <v>43849</v>
          </cell>
        </row>
        <row r="40720">
          <cell r="A40720">
            <v>43133</v>
          </cell>
        </row>
        <row r="40721">
          <cell r="A40721">
            <v>43596</v>
          </cell>
        </row>
        <row r="40722">
          <cell r="A40722">
            <v>43203</v>
          </cell>
        </row>
        <row r="40723">
          <cell r="A40723">
            <v>43561</v>
          </cell>
        </row>
        <row r="40724">
          <cell r="A40724">
            <v>43153</v>
          </cell>
        </row>
        <row r="40725">
          <cell r="A40725">
            <v>43591</v>
          </cell>
        </row>
        <row r="40726">
          <cell r="A40726">
            <v>43231</v>
          </cell>
        </row>
        <row r="40727">
          <cell r="A40727">
            <v>43292</v>
          </cell>
        </row>
        <row r="40728">
          <cell r="A40728">
            <v>43633</v>
          </cell>
        </row>
        <row r="40729">
          <cell r="A40729">
            <v>43822</v>
          </cell>
        </row>
        <row r="40730">
          <cell r="A40730">
            <v>43439</v>
          </cell>
        </row>
        <row r="40731">
          <cell r="A40731">
            <v>43849</v>
          </cell>
        </row>
        <row r="40732">
          <cell r="A40732">
            <v>43509</v>
          </cell>
        </row>
        <row r="40733">
          <cell r="A40733">
            <v>43234</v>
          </cell>
        </row>
        <row r="40734">
          <cell r="A40734">
            <v>43625</v>
          </cell>
        </row>
        <row r="40735">
          <cell r="A40735">
            <v>43448</v>
          </cell>
        </row>
        <row r="40736">
          <cell r="A40736">
            <v>43878</v>
          </cell>
        </row>
        <row r="40737">
          <cell r="A40737">
            <v>43323</v>
          </cell>
        </row>
        <row r="40738">
          <cell r="A40738">
            <v>43652</v>
          </cell>
        </row>
        <row r="40739">
          <cell r="A40739">
            <v>43575</v>
          </cell>
        </row>
        <row r="40740">
          <cell r="A40740">
            <v>43223</v>
          </cell>
        </row>
        <row r="40741">
          <cell r="A40741">
            <v>43414</v>
          </cell>
        </row>
        <row r="40742">
          <cell r="A40742">
            <v>43348</v>
          </cell>
        </row>
        <row r="40743">
          <cell r="A40743">
            <v>43810</v>
          </cell>
        </row>
        <row r="40744">
          <cell r="A40744">
            <v>43198</v>
          </cell>
        </row>
        <row r="40745">
          <cell r="A40745">
            <v>43383</v>
          </cell>
        </row>
        <row r="40746">
          <cell r="A40746">
            <v>43600</v>
          </cell>
        </row>
        <row r="40747">
          <cell r="A40747">
            <v>43223</v>
          </cell>
        </row>
        <row r="40748">
          <cell r="A40748">
            <v>43891</v>
          </cell>
        </row>
        <row r="40749">
          <cell r="A40749">
            <v>43433</v>
          </cell>
        </row>
        <row r="40750">
          <cell r="A40750">
            <v>43365</v>
          </cell>
        </row>
        <row r="40751">
          <cell r="A40751">
            <v>43476</v>
          </cell>
        </row>
        <row r="40752">
          <cell r="A40752">
            <v>43632</v>
          </cell>
        </row>
        <row r="40753">
          <cell r="A40753">
            <v>43161</v>
          </cell>
        </row>
        <row r="40754">
          <cell r="A40754">
            <v>43862</v>
          </cell>
        </row>
        <row r="40755">
          <cell r="A40755">
            <v>43161</v>
          </cell>
        </row>
        <row r="40756">
          <cell r="A40756">
            <v>43754</v>
          </cell>
        </row>
        <row r="40757">
          <cell r="A40757">
            <v>43675</v>
          </cell>
        </row>
        <row r="40758">
          <cell r="A40758">
            <v>43658</v>
          </cell>
        </row>
        <row r="40759">
          <cell r="A40759">
            <v>43558</v>
          </cell>
        </row>
        <row r="40760">
          <cell r="A40760">
            <v>43117</v>
          </cell>
        </row>
        <row r="40761">
          <cell r="A40761">
            <v>43131</v>
          </cell>
        </row>
        <row r="40762">
          <cell r="A40762">
            <v>43451</v>
          </cell>
        </row>
        <row r="40763">
          <cell r="A40763">
            <v>43420</v>
          </cell>
        </row>
        <row r="40764">
          <cell r="A40764">
            <v>43576</v>
          </cell>
        </row>
        <row r="40765">
          <cell r="A40765">
            <v>43799</v>
          </cell>
        </row>
        <row r="40766">
          <cell r="A40766">
            <v>43872</v>
          </cell>
        </row>
        <row r="40767">
          <cell r="A40767">
            <v>43270</v>
          </cell>
        </row>
        <row r="40768">
          <cell r="A40768">
            <v>43830</v>
          </cell>
        </row>
        <row r="40769">
          <cell r="A40769">
            <v>43542</v>
          </cell>
        </row>
        <row r="40770">
          <cell r="A40770">
            <v>43725</v>
          </cell>
        </row>
        <row r="40771">
          <cell r="A40771">
            <v>43870</v>
          </cell>
        </row>
        <row r="40772">
          <cell r="A40772">
            <v>43379</v>
          </cell>
        </row>
        <row r="40773">
          <cell r="A40773">
            <v>43366</v>
          </cell>
        </row>
        <row r="40774">
          <cell r="A40774">
            <v>43376</v>
          </cell>
        </row>
        <row r="40775">
          <cell r="A40775">
            <v>43588</v>
          </cell>
        </row>
        <row r="40776">
          <cell r="A40776">
            <v>43122</v>
          </cell>
        </row>
        <row r="40777">
          <cell r="A40777">
            <v>43538</v>
          </cell>
        </row>
        <row r="40778">
          <cell r="A40778">
            <v>43197</v>
          </cell>
        </row>
        <row r="40779">
          <cell r="A40779">
            <v>43809</v>
          </cell>
        </row>
        <row r="40780">
          <cell r="A40780">
            <v>43671</v>
          </cell>
        </row>
        <row r="40781">
          <cell r="A40781">
            <v>43654</v>
          </cell>
        </row>
        <row r="40782">
          <cell r="A40782">
            <v>43529</v>
          </cell>
        </row>
        <row r="40783">
          <cell r="A40783">
            <v>43897</v>
          </cell>
        </row>
        <row r="40784">
          <cell r="A40784">
            <v>43263</v>
          </cell>
        </row>
        <row r="40785">
          <cell r="A40785">
            <v>43114</v>
          </cell>
        </row>
        <row r="40786">
          <cell r="A40786">
            <v>43635</v>
          </cell>
        </row>
        <row r="40787">
          <cell r="A40787">
            <v>43533</v>
          </cell>
        </row>
        <row r="40788">
          <cell r="A40788">
            <v>43205</v>
          </cell>
        </row>
        <row r="40789">
          <cell r="A40789">
            <v>43683</v>
          </cell>
        </row>
        <row r="40790">
          <cell r="A40790">
            <v>43788</v>
          </cell>
        </row>
        <row r="40791">
          <cell r="A40791">
            <v>43137</v>
          </cell>
        </row>
        <row r="40792">
          <cell r="A40792">
            <v>43431</v>
          </cell>
        </row>
        <row r="40793">
          <cell r="A40793">
            <v>43378</v>
          </cell>
        </row>
        <row r="40794">
          <cell r="A40794">
            <v>43750</v>
          </cell>
        </row>
        <row r="40795">
          <cell r="A40795">
            <v>43681</v>
          </cell>
        </row>
        <row r="40796">
          <cell r="A40796">
            <v>43857</v>
          </cell>
        </row>
        <row r="40797">
          <cell r="A40797">
            <v>43523</v>
          </cell>
        </row>
        <row r="40798">
          <cell r="A40798">
            <v>43777</v>
          </cell>
        </row>
        <row r="40799">
          <cell r="A40799">
            <v>43452</v>
          </cell>
        </row>
        <row r="40800">
          <cell r="A40800">
            <v>43331</v>
          </cell>
        </row>
        <row r="40801">
          <cell r="A40801">
            <v>43167</v>
          </cell>
        </row>
        <row r="40802">
          <cell r="A40802">
            <v>43206</v>
          </cell>
        </row>
        <row r="40803">
          <cell r="A40803">
            <v>43770</v>
          </cell>
        </row>
        <row r="40804">
          <cell r="A40804">
            <v>43117</v>
          </cell>
        </row>
        <row r="40805">
          <cell r="A40805">
            <v>43835</v>
          </cell>
        </row>
        <row r="40806">
          <cell r="A40806">
            <v>43574</v>
          </cell>
        </row>
        <row r="40807">
          <cell r="A40807">
            <v>43575</v>
          </cell>
        </row>
        <row r="40808">
          <cell r="A40808">
            <v>43226</v>
          </cell>
        </row>
        <row r="40809">
          <cell r="A40809">
            <v>43628</v>
          </cell>
        </row>
        <row r="40810">
          <cell r="A40810">
            <v>43862</v>
          </cell>
        </row>
        <row r="40811">
          <cell r="A40811">
            <v>43666</v>
          </cell>
        </row>
        <row r="40812">
          <cell r="A40812">
            <v>43645</v>
          </cell>
        </row>
        <row r="40813">
          <cell r="A40813">
            <v>43257</v>
          </cell>
        </row>
        <row r="40814">
          <cell r="A40814">
            <v>43471</v>
          </cell>
        </row>
        <row r="40815">
          <cell r="A40815">
            <v>43350</v>
          </cell>
        </row>
        <row r="40816">
          <cell r="A40816">
            <v>43587</v>
          </cell>
        </row>
        <row r="40817">
          <cell r="A40817">
            <v>43793</v>
          </cell>
        </row>
        <row r="40818">
          <cell r="A40818">
            <v>43767</v>
          </cell>
        </row>
        <row r="40819">
          <cell r="A40819">
            <v>43672</v>
          </cell>
        </row>
        <row r="40820">
          <cell r="A40820">
            <v>43807</v>
          </cell>
        </row>
        <row r="40821">
          <cell r="A40821">
            <v>43450</v>
          </cell>
        </row>
        <row r="40822">
          <cell r="A40822">
            <v>43469</v>
          </cell>
        </row>
        <row r="40823">
          <cell r="A40823">
            <v>43881</v>
          </cell>
        </row>
        <row r="40824">
          <cell r="A40824">
            <v>43372</v>
          </cell>
        </row>
        <row r="40825">
          <cell r="A40825">
            <v>43796</v>
          </cell>
        </row>
        <row r="40826">
          <cell r="A40826">
            <v>43268</v>
          </cell>
        </row>
        <row r="40827">
          <cell r="A40827">
            <v>43336</v>
          </cell>
        </row>
        <row r="40828">
          <cell r="A40828">
            <v>43576</v>
          </cell>
        </row>
        <row r="40829">
          <cell r="A40829">
            <v>43654</v>
          </cell>
        </row>
        <row r="40830">
          <cell r="A40830">
            <v>43299</v>
          </cell>
        </row>
        <row r="40831">
          <cell r="A40831">
            <v>43334</v>
          </cell>
        </row>
        <row r="40832">
          <cell r="A40832">
            <v>43742</v>
          </cell>
        </row>
        <row r="40833">
          <cell r="A40833">
            <v>43483</v>
          </cell>
        </row>
        <row r="40834">
          <cell r="A40834">
            <v>43748</v>
          </cell>
        </row>
        <row r="40835">
          <cell r="A40835">
            <v>43136</v>
          </cell>
        </row>
        <row r="40836">
          <cell r="A40836">
            <v>43749</v>
          </cell>
        </row>
        <row r="40837">
          <cell r="A40837">
            <v>43867</v>
          </cell>
        </row>
        <row r="40838">
          <cell r="A40838">
            <v>43153</v>
          </cell>
        </row>
        <row r="40839">
          <cell r="A40839">
            <v>43126</v>
          </cell>
        </row>
        <row r="40840">
          <cell r="A40840">
            <v>43547</v>
          </cell>
        </row>
        <row r="40841">
          <cell r="A40841">
            <v>43331</v>
          </cell>
        </row>
        <row r="40842">
          <cell r="A40842">
            <v>43607</v>
          </cell>
        </row>
        <row r="40843">
          <cell r="A40843">
            <v>43523</v>
          </cell>
        </row>
        <row r="40844">
          <cell r="A40844">
            <v>43200</v>
          </cell>
        </row>
        <row r="40845">
          <cell r="A40845">
            <v>43223</v>
          </cell>
        </row>
        <row r="40846">
          <cell r="A40846">
            <v>43855</v>
          </cell>
        </row>
        <row r="40847">
          <cell r="A40847">
            <v>43344</v>
          </cell>
        </row>
        <row r="40848">
          <cell r="A40848">
            <v>43370</v>
          </cell>
        </row>
        <row r="40849">
          <cell r="A40849">
            <v>43193</v>
          </cell>
        </row>
        <row r="40850">
          <cell r="A40850">
            <v>43890</v>
          </cell>
        </row>
        <row r="40851">
          <cell r="A40851">
            <v>43370</v>
          </cell>
        </row>
        <row r="40852">
          <cell r="A40852">
            <v>43314</v>
          </cell>
        </row>
        <row r="40853">
          <cell r="A40853">
            <v>43110</v>
          </cell>
        </row>
        <row r="40854">
          <cell r="A40854">
            <v>43193</v>
          </cell>
        </row>
        <row r="40855">
          <cell r="A40855">
            <v>43384</v>
          </cell>
        </row>
        <row r="40856">
          <cell r="A40856">
            <v>43692</v>
          </cell>
        </row>
        <row r="40857">
          <cell r="A40857">
            <v>43533</v>
          </cell>
        </row>
        <row r="40858">
          <cell r="A40858">
            <v>43682</v>
          </cell>
        </row>
        <row r="40859">
          <cell r="A40859">
            <v>43199</v>
          </cell>
        </row>
        <row r="40860">
          <cell r="A40860">
            <v>43278</v>
          </cell>
        </row>
        <row r="40861">
          <cell r="A40861">
            <v>43877</v>
          </cell>
        </row>
        <row r="40862">
          <cell r="A40862">
            <v>43441</v>
          </cell>
        </row>
        <row r="40863">
          <cell r="A40863">
            <v>43212</v>
          </cell>
        </row>
        <row r="40864">
          <cell r="A40864">
            <v>43148</v>
          </cell>
        </row>
        <row r="40865">
          <cell r="A40865">
            <v>43111</v>
          </cell>
        </row>
        <row r="40866">
          <cell r="A40866">
            <v>43395</v>
          </cell>
        </row>
        <row r="40867">
          <cell r="A40867">
            <v>43545</v>
          </cell>
        </row>
        <row r="40868">
          <cell r="A40868">
            <v>43405</v>
          </cell>
        </row>
        <row r="40869">
          <cell r="A40869">
            <v>43918</v>
          </cell>
        </row>
        <row r="40870">
          <cell r="A40870">
            <v>43622</v>
          </cell>
        </row>
        <row r="40871">
          <cell r="A40871">
            <v>43364</v>
          </cell>
        </row>
        <row r="40872">
          <cell r="A40872">
            <v>43580</v>
          </cell>
        </row>
        <row r="40873">
          <cell r="A40873">
            <v>43917</v>
          </cell>
        </row>
        <row r="40874">
          <cell r="A40874">
            <v>43897</v>
          </cell>
        </row>
        <row r="40875">
          <cell r="A40875">
            <v>43265</v>
          </cell>
        </row>
        <row r="40876">
          <cell r="A40876">
            <v>43252</v>
          </cell>
        </row>
        <row r="40877">
          <cell r="A40877">
            <v>43603</v>
          </cell>
        </row>
        <row r="40878">
          <cell r="A40878">
            <v>43711</v>
          </cell>
        </row>
        <row r="40879">
          <cell r="A40879">
            <v>43707</v>
          </cell>
        </row>
        <row r="40880">
          <cell r="A40880">
            <v>43157</v>
          </cell>
        </row>
        <row r="40881">
          <cell r="A40881">
            <v>43267</v>
          </cell>
        </row>
        <row r="40882">
          <cell r="A40882">
            <v>43109</v>
          </cell>
        </row>
        <row r="40883">
          <cell r="A40883">
            <v>43366</v>
          </cell>
        </row>
        <row r="40884">
          <cell r="A40884">
            <v>43628</v>
          </cell>
        </row>
        <row r="40885">
          <cell r="A40885">
            <v>43542</v>
          </cell>
        </row>
        <row r="40886">
          <cell r="A40886">
            <v>43440</v>
          </cell>
        </row>
        <row r="40887">
          <cell r="A40887">
            <v>43566</v>
          </cell>
        </row>
        <row r="40888">
          <cell r="A40888">
            <v>43156</v>
          </cell>
        </row>
        <row r="40889">
          <cell r="A40889">
            <v>43654</v>
          </cell>
        </row>
        <row r="40890">
          <cell r="A40890">
            <v>43884</v>
          </cell>
        </row>
        <row r="40891">
          <cell r="A40891">
            <v>43306</v>
          </cell>
        </row>
        <row r="40892">
          <cell r="A40892">
            <v>43918</v>
          </cell>
        </row>
        <row r="40893">
          <cell r="A40893">
            <v>43750</v>
          </cell>
        </row>
        <row r="40894">
          <cell r="A40894">
            <v>43352</v>
          </cell>
        </row>
        <row r="40895">
          <cell r="A40895">
            <v>43497</v>
          </cell>
        </row>
        <row r="40896">
          <cell r="A40896">
            <v>43806</v>
          </cell>
        </row>
        <row r="40897">
          <cell r="A40897">
            <v>43493</v>
          </cell>
        </row>
        <row r="40898">
          <cell r="A40898">
            <v>43116</v>
          </cell>
        </row>
        <row r="40899">
          <cell r="A40899">
            <v>43466</v>
          </cell>
        </row>
        <row r="40900">
          <cell r="A40900">
            <v>43890</v>
          </cell>
        </row>
        <row r="40901">
          <cell r="A40901">
            <v>43456</v>
          </cell>
        </row>
        <row r="40902">
          <cell r="A40902">
            <v>43313</v>
          </cell>
        </row>
        <row r="40903">
          <cell r="A40903">
            <v>43699</v>
          </cell>
        </row>
        <row r="40904">
          <cell r="A40904">
            <v>43607</v>
          </cell>
        </row>
        <row r="40905">
          <cell r="A40905">
            <v>43582</v>
          </cell>
        </row>
        <row r="40906">
          <cell r="A40906">
            <v>43704</v>
          </cell>
        </row>
        <row r="40907">
          <cell r="A40907">
            <v>43917</v>
          </cell>
        </row>
        <row r="40908">
          <cell r="A40908">
            <v>43707</v>
          </cell>
        </row>
        <row r="40909">
          <cell r="A40909">
            <v>43501</v>
          </cell>
        </row>
        <row r="40910">
          <cell r="A40910">
            <v>43742</v>
          </cell>
        </row>
        <row r="40911">
          <cell r="A40911">
            <v>43578</v>
          </cell>
        </row>
        <row r="40912">
          <cell r="A40912">
            <v>43535</v>
          </cell>
        </row>
        <row r="40913">
          <cell r="A40913">
            <v>43889</v>
          </cell>
        </row>
        <row r="40914">
          <cell r="A40914">
            <v>43456</v>
          </cell>
        </row>
        <row r="40915">
          <cell r="A40915">
            <v>43704</v>
          </cell>
        </row>
        <row r="40916">
          <cell r="A40916">
            <v>43176</v>
          </cell>
        </row>
        <row r="40917">
          <cell r="A40917">
            <v>43315</v>
          </cell>
        </row>
        <row r="40918">
          <cell r="A40918">
            <v>43547</v>
          </cell>
        </row>
        <row r="40919">
          <cell r="A40919">
            <v>43418</v>
          </cell>
        </row>
        <row r="40920">
          <cell r="A40920">
            <v>43215</v>
          </cell>
        </row>
        <row r="40921">
          <cell r="A40921">
            <v>43899</v>
          </cell>
        </row>
        <row r="40922">
          <cell r="A40922">
            <v>43850</v>
          </cell>
        </row>
        <row r="40923">
          <cell r="A40923">
            <v>43396</v>
          </cell>
        </row>
        <row r="40924">
          <cell r="A40924">
            <v>43782</v>
          </cell>
        </row>
        <row r="40925">
          <cell r="A40925">
            <v>43362</v>
          </cell>
        </row>
        <row r="40926">
          <cell r="A40926">
            <v>43652</v>
          </cell>
        </row>
        <row r="40927">
          <cell r="A40927">
            <v>43483</v>
          </cell>
        </row>
        <row r="40928">
          <cell r="A40928">
            <v>43106</v>
          </cell>
        </row>
        <row r="40929">
          <cell r="A40929">
            <v>43475</v>
          </cell>
        </row>
        <row r="40930">
          <cell r="A40930">
            <v>43583</v>
          </cell>
        </row>
        <row r="40931">
          <cell r="A40931">
            <v>43664</v>
          </cell>
        </row>
        <row r="40932">
          <cell r="A40932">
            <v>43261</v>
          </cell>
        </row>
        <row r="40933">
          <cell r="A40933">
            <v>43369</v>
          </cell>
        </row>
        <row r="40934">
          <cell r="A40934">
            <v>43612</v>
          </cell>
        </row>
        <row r="40935">
          <cell r="A40935">
            <v>43443</v>
          </cell>
        </row>
        <row r="40936">
          <cell r="A40936">
            <v>43372</v>
          </cell>
        </row>
        <row r="40937">
          <cell r="A40937">
            <v>43717</v>
          </cell>
        </row>
        <row r="40938">
          <cell r="A40938">
            <v>43377</v>
          </cell>
        </row>
        <row r="40939">
          <cell r="A40939">
            <v>43495</v>
          </cell>
        </row>
        <row r="40940">
          <cell r="A40940">
            <v>43388</v>
          </cell>
        </row>
        <row r="40941">
          <cell r="A40941">
            <v>43349</v>
          </cell>
        </row>
        <row r="40942">
          <cell r="A40942">
            <v>43446</v>
          </cell>
        </row>
        <row r="40943">
          <cell r="A40943">
            <v>43133</v>
          </cell>
        </row>
        <row r="40944">
          <cell r="A40944">
            <v>43884</v>
          </cell>
        </row>
        <row r="40945">
          <cell r="A40945">
            <v>43509</v>
          </cell>
        </row>
        <row r="40946">
          <cell r="A40946">
            <v>43652</v>
          </cell>
        </row>
        <row r="40947">
          <cell r="A40947">
            <v>43342</v>
          </cell>
        </row>
        <row r="40948">
          <cell r="A40948">
            <v>43593</v>
          </cell>
        </row>
        <row r="40949">
          <cell r="A40949">
            <v>43116</v>
          </cell>
        </row>
        <row r="40950">
          <cell r="A40950">
            <v>43159</v>
          </cell>
        </row>
        <row r="40951">
          <cell r="A40951">
            <v>43671</v>
          </cell>
        </row>
        <row r="40952">
          <cell r="A40952">
            <v>43185</v>
          </cell>
        </row>
        <row r="40953">
          <cell r="A40953">
            <v>43657</v>
          </cell>
        </row>
        <row r="40954">
          <cell r="A40954">
            <v>43335</v>
          </cell>
        </row>
        <row r="40955">
          <cell r="A40955">
            <v>43673</v>
          </cell>
        </row>
        <row r="40956">
          <cell r="A40956">
            <v>43803</v>
          </cell>
        </row>
        <row r="40957">
          <cell r="A40957">
            <v>43865</v>
          </cell>
        </row>
        <row r="40958">
          <cell r="A40958">
            <v>43267</v>
          </cell>
        </row>
        <row r="40959">
          <cell r="A40959">
            <v>43109</v>
          </cell>
        </row>
        <row r="40960">
          <cell r="A40960">
            <v>43616</v>
          </cell>
        </row>
        <row r="40961">
          <cell r="A40961">
            <v>43336</v>
          </cell>
        </row>
        <row r="40962">
          <cell r="A40962">
            <v>43806</v>
          </cell>
        </row>
        <row r="40963">
          <cell r="A40963">
            <v>43557</v>
          </cell>
        </row>
        <row r="40964">
          <cell r="A40964">
            <v>43892</v>
          </cell>
        </row>
        <row r="40965">
          <cell r="A40965">
            <v>43104</v>
          </cell>
        </row>
        <row r="40966">
          <cell r="A40966">
            <v>43292</v>
          </cell>
        </row>
        <row r="40967">
          <cell r="A40967">
            <v>43783</v>
          </cell>
        </row>
        <row r="40968">
          <cell r="A40968">
            <v>43905</v>
          </cell>
        </row>
        <row r="40969">
          <cell r="A40969">
            <v>43306</v>
          </cell>
        </row>
        <row r="40970">
          <cell r="A40970">
            <v>43449</v>
          </cell>
        </row>
        <row r="40971">
          <cell r="A40971">
            <v>43721</v>
          </cell>
        </row>
        <row r="40972">
          <cell r="A40972">
            <v>43326</v>
          </cell>
        </row>
        <row r="40973">
          <cell r="A40973">
            <v>43123</v>
          </cell>
        </row>
        <row r="40974">
          <cell r="A40974">
            <v>43465</v>
          </cell>
        </row>
        <row r="40975">
          <cell r="A40975">
            <v>43265</v>
          </cell>
        </row>
        <row r="40976">
          <cell r="A40976">
            <v>43519</v>
          </cell>
        </row>
        <row r="40977">
          <cell r="A40977">
            <v>43904</v>
          </cell>
        </row>
        <row r="40978">
          <cell r="A40978">
            <v>43503</v>
          </cell>
        </row>
        <row r="40979">
          <cell r="A40979">
            <v>43225</v>
          </cell>
        </row>
        <row r="40980">
          <cell r="A40980">
            <v>43228</v>
          </cell>
        </row>
        <row r="40981">
          <cell r="A40981">
            <v>43182</v>
          </cell>
        </row>
        <row r="40982">
          <cell r="A40982">
            <v>43128</v>
          </cell>
        </row>
        <row r="40983">
          <cell r="A40983">
            <v>43469</v>
          </cell>
        </row>
        <row r="40984">
          <cell r="A40984">
            <v>43689</v>
          </cell>
        </row>
        <row r="40985">
          <cell r="A40985">
            <v>43432</v>
          </cell>
        </row>
        <row r="40986">
          <cell r="A40986">
            <v>43162</v>
          </cell>
        </row>
        <row r="40987">
          <cell r="A40987">
            <v>43803</v>
          </cell>
        </row>
        <row r="40988">
          <cell r="A40988">
            <v>43604</v>
          </cell>
        </row>
        <row r="40989">
          <cell r="A40989">
            <v>43472</v>
          </cell>
        </row>
        <row r="40990">
          <cell r="A40990">
            <v>43220</v>
          </cell>
        </row>
        <row r="40991">
          <cell r="A40991">
            <v>43728</v>
          </cell>
        </row>
        <row r="40992">
          <cell r="A40992">
            <v>43403</v>
          </cell>
        </row>
        <row r="40993">
          <cell r="A40993">
            <v>43732</v>
          </cell>
        </row>
        <row r="40994">
          <cell r="A40994">
            <v>43739</v>
          </cell>
        </row>
        <row r="40995">
          <cell r="A40995">
            <v>43726</v>
          </cell>
        </row>
        <row r="40996">
          <cell r="A40996">
            <v>43917</v>
          </cell>
        </row>
        <row r="40997">
          <cell r="A40997">
            <v>43444</v>
          </cell>
        </row>
        <row r="40998">
          <cell r="A40998">
            <v>43675</v>
          </cell>
        </row>
        <row r="40999">
          <cell r="A40999">
            <v>43750</v>
          </cell>
        </row>
        <row r="41000">
          <cell r="A41000">
            <v>43847</v>
          </cell>
        </row>
        <row r="41001">
          <cell r="A41001">
            <v>43482</v>
          </cell>
        </row>
        <row r="41002">
          <cell r="A41002">
            <v>43306</v>
          </cell>
        </row>
        <row r="41003">
          <cell r="A41003">
            <v>43772</v>
          </cell>
        </row>
        <row r="41004">
          <cell r="A41004">
            <v>43775</v>
          </cell>
        </row>
        <row r="41005">
          <cell r="A41005">
            <v>43920</v>
          </cell>
        </row>
        <row r="41006">
          <cell r="A41006">
            <v>43216</v>
          </cell>
        </row>
        <row r="41007">
          <cell r="A41007">
            <v>43320</v>
          </cell>
        </row>
        <row r="41008">
          <cell r="A41008">
            <v>43241</v>
          </cell>
        </row>
        <row r="41009">
          <cell r="A41009">
            <v>43662</v>
          </cell>
        </row>
        <row r="41010">
          <cell r="A41010">
            <v>43162</v>
          </cell>
        </row>
        <row r="41011">
          <cell r="A41011">
            <v>43337</v>
          </cell>
        </row>
        <row r="41012">
          <cell r="A41012">
            <v>43286</v>
          </cell>
        </row>
        <row r="41013">
          <cell r="A41013">
            <v>43171</v>
          </cell>
        </row>
        <row r="41014">
          <cell r="A41014">
            <v>43308</v>
          </cell>
        </row>
        <row r="41015">
          <cell r="A41015">
            <v>43785</v>
          </cell>
        </row>
        <row r="41016">
          <cell r="A41016">
            <v>43523</v>
          </cell>
        </row>
        <row r="41017">
          <cell r="A41017">
            <v>43578</v>
          </cell>
        </row>
        <row r="41018">
          <cell r="A41018">
            <v>43724</v>
          </cell>
        </row>
        <row r="41019">
          <cell r="A41019">
            <v>43353</v>
          </cell>
        </row>
        <row r="41020">
          <cell r="A41020">
            <v>43467</v>
          </cell>
        </row>
        <row r="41021">
          <cell r="A41021">
            <v>43409</v>
          </cell>
        </row>
        <row r="41022">
          <cell r="A41022">
            <v>43920</v>
          </cell>
        </row>
        <row r="41023">
          <cell r="A41023">
            <v>43730</v>
          </cell>
        </row>
        <row r="41024">
          <cell r="A41024">
            <v>43358</v>
          </cell>
        </row>
        <row r="41025">
          <cell r="A41025">
            <v>43646</v>
          </cell>
        </row>
        <row r="41026">
          <cell r="A41026">
            <v>43726</v>
          </cell>
        </row>
        <row r="41027">
          <cell r="A41027">
            <v>43176</v>
          </cell>
        </row>
        <row r="41028">
          <cell r="A41028">
            <v>43543</v>
          </cell>
        </row>
        <row r="41029">
          <cell r="A41029">
            <v>43852</v>
          </cell>
        </row>
        <row r="41030">
          <cell r="A41030">
            <v>43444</v>
          </cell>
        </row>
        <row r="41031">
          <cell r="A41031">
            <v>43414</v>
          </cell>
        </row>
        <row r="41032">
          <cell r="A41032">
            <v>43773</v>
          </cell>
        </row>
        <row r="41033">
          <cell r="A41033">
            <v>43302</v>
          </cell>
        </row>
        <row r="41034">
          <cell r="A41034">
            <v>43287</v>
          </cell>
        </row>
        <row r="41035">
          <cell r="A41035">
            <v>43225</v>
          </cell>
        </row>
        <row r="41036">
          <cell r="A41036">
            <v>43255</v>
          </cell>
        </row>
        <row r="41037">
          <cell r="A41037">
            <v>43315</v>
          </cell>
        </row>
        <row r="41038">
          <cell r="A41038">
            <v>43446</v>
          </cell>
        </row>
        <row r="41039">
          <cell r="A41039">
            <v>43518</v>
          </cell>
        </row>
        <row r="41040">
          <cell r="A41040">
            <v>43216</v>
          </cell>
        </row>
        <row r="41041">
          <cell r="A41041">
            <v>43657</v>
          </cell>
        </row>
        <row r="41042">
          <cell r="A41042">
            <v>43381</v>
          </cell>
        </row>
        <row r="41043">
          <cell r="A41043">
            <v>43157</v>
          </cell>
        </row>
        <row r="41044">
          <cell r="A41044">
            <v>43745</v>
          </cell>
        </row>
        <row r="41045">
          <cell r="A41045">
            <v>43506</v>
          </cell>
        </row>
        <row r="41046">
          <cell r="A41046">
            <v>43610</v>
          </cell>
        </row>
        <row r="41047">
          <cell r="A41047">
            <v>43270</v>
          </cell>
        </row>
        <row r="41048">
          <cell r="A41048">
            <v>43782</v>
          </cell>
        </row>
        <row r="41049">
          <cell r="A41049">
            <v>43429</v>
          </cell>
        </row>
        <row r="41050">
          <cell r="A41050">
            <v>43368</v>
          </cell>
        </row>
        <row r="41051">
          <cell r="A41051">
            <v>43486</v>
          </cell>
        </row>
        <row r="41052">
          <cell r="A41052">
            <v>43708</v>
          </cell>
        </row>
        <row r="41053">
          <cell r="A41053">
            <v>43685</v>
          </cell>
        </row>
        <row r="41054">
          <cell r="A41054">
            <v>43515</v>
          </cell>
        </row>
        <row r="41055">
          <cell r="A41055">
            <v>43480</v>
          </cell>
        </row>
        <row r="41056">
          <cell r="A41056">
            <v>43239</v>
          </cell>
        </row>
        <row r="41057">
          <cell r="A41057">
            <v>43742</v>
          </cell>
        </row>
        <row r="41058">
          <cell r="A41058">
            <v>43208</v>
          </cell>
        </row>
        <row r="41059">
          <cell r="A41059">
            <v>43896</v>
          </cell>
        </row>
        <row r="41060">
          <cell r="A41060">
            <v>43177</v>
          </cell>
        </row>
        <row r="41061">
          <cell r="A41061">
            <v>43441</v>
          </cell>
        </row>
        <row r="41062">
          <cell r="A41062">
            <v>43864</v>
          </cell>
        </row>
        <row r="41063">
          <cell r="A41063">
            <v>43852</v>
          </cell>
        </row>
        <row r="41064">
          <cell r="A41064">
            <v>43893</v>
          </cell>
        </row>
        <row r="41065">
          <cell r="A41065">
            <v>43123</v>
          </cell>
        </row>
        <row r="41066">
          <cell r="A41066">
            <v>43630</v>
          </cell>
        </row>
        <row r="41067">
          <cell r="A41067">
            <v>43560</v>
          </cell>
        </row>
        <row r="41068">
          <cell r="A41068">
            <v>43278</v>
          </cell>
        </row>
        <row r="41069">
          <cell r="A41069">
            <v>43851</v>
          </cell>
        </row>
        <row r="41070">
          <cell r="A41070">
            <v>43870</v>
          </cell>
        </row>
        <row r="41071">
          <cell r="A41071">
            <v>43266</v>
          </cell>
        </row>
        <row r="41072">
          <cell r="A41072">
            <v>43246</v>
          </cell>
        </row>
        <row r="41073">
          <cell r="A41073">
            <v>43496</v>
          </cell>
        </row>
        <row r="41074">
          <cell r="A41074">
            <v>43325</v>
          </cell>
        </row>
        <row r="41075">
          <cell r="A41075">
            <v>43398</v>
          </cell>
        </row>
        <row r="41076">
          <cell r="A41076">
            <v>43132</v>
          </cell>
        </row>
        <row r="41077">
          <cell r="A41077">
            <v>43172</v>
          </cell>
        </row>
        <row r="41078">
          <cell r="A41078">
            <v>43903</v>
          </cell>
        </row>
        <row r="41079">
          <cell r="A41079">
            <v>43826</v>
          </cell>
        </row>
        <row r="41080">
          <cell r="A41080">
            <v>43773</v>
          </cell>
        </row>
        <row r="41081">
          <cell r="A41081">
            <v>43379</v>
          </cell>
        </row>
        <row r="41082">
          <cell r="A41082">
            <v>43259</v>
          </cell>
        </row>
        <row r="41083">
          <cell r="A41083">
            <v>43667</v>
          </cell>
        </row>
        <row r="41084">
          <cell r="A41084">
            <v>43468</v>
          </cell>
        </row>
        <row r="41085">
          <cell r="A41085">
            <v>43523</v>
          </cell>
        </row>
        <row r="41086">
          <cell r="A41086">
            <v>43758</v>
          </cell>
        </row>
        <row r="41087">
          <cell r="A41087">
            <v>43306</v>
          </cell>
        </row>
        <row r="41088">
          <cell r="A41088">
            <v>43531</v>
          </cell>
        </row>
        <row r="41089">
          <cell r="A41089">
            <v>43328</v>
          </cell>
        </row>
        <row r="41090">
          <cell r="A41090">
            <v>43325</v>
          </cell>
        </row>
        <row r="41091">
          <cell r="A41091">
            <v>43431</v>
          </cell>
        </row>
        <row r="41092">
          <cell r="A41092">
            <v>43506</v>
          </cell>
        </row>
        <row r="41093">
          <cell r="A41093">
            <v>43778</v>
          </cell>
        </row>
        <row r="41094">
          <cell r="A41094">
            <v>43295</v>
          </cell>
        </row>
        <row r="41095">
          <cell r="A41095">
            <v>43600</v>
          </cell>
        </row>
        <row r="41096">
          <cell r="A41096">
            <v>43167</v>
          </cell>
        </row>
        <row r="41097">
          <cell r="A41097">
            <v>43463</v>
          </cell>
        </row>
        <row r="41098">
          <cell r="A41098">
            <v>43323</v>
          </cell>
        </row>
        <row r="41099">
          <cell r="A41099">
            <v>43210</v>
          </cell>
        </row>
        <row r="41100">
          <cell r="A41100">
            <v>43199</v>
          </cell>
        </row>
        <row r="41101">
          <cell r="A41101">
            <v>43757</v>
          </cell>
        </row>
        <row r="41102">
          <cell r="A41102">
            <v>43796</v>
          </cell>
        </row>
        <row r="41103">
          <cell r="A41103">
            <v>43200</v>
          </cell>
        </row>
        <row r="41104">
          <cell r="A41104">
            <v>43458</v>
          </cell>
        </row>
        <row r="41105">
          <cell r="A41105">
            <v>43300</v>
          </cell>
        </row>
        <row r="41106">
          <cell r="A41106">
            <v>43526</v>
          </cell>
        </row>
        <row r="41107">
          <cell r="A41107">
            <v>43645</v>
          </cell>
        </row>
        <row r="41108">
          <cell r="A41108">
            <v>43430</v>
          </cell>
        </row>
        <row r="41109">
          <cell r="A41109">
            <v>43237</v>
          </cell>
        </row>
        <row r="41110">
          <cell r="A41110">
            <v>43142</v>
          </cell>
        </row>
        <row r="41111">
          <cell r="A41111">
            <v>43708</v>
          </cell>
        </row>
        <row r="41112">
          <cell r="A41112">
            <v>43111</v>
          </cell>
        </row>
        <row r="41113">
          <cell r="A41113">
            <v>43348</v>
          </cell>
        </row>
        <row r="41114">
          <cell r="A41114">
            <v>43109</v>
          </cell>
        </row>
        <row r="41115">
          <cell r="A41115">
            <v>43731</v>
          </cell>
        </row>
        <row r="41116">
          <cell r="A41116">
            <v>43787</v>
          </cell>
        </row>
        <row r="41117">
          <cell r="A41117">
            <v>43452</v>
          </cell>
        </row>
        <row r="41118">
          <cell r="A41118">
            <v>43341</v>
          </cell>
        </row>
        <row r="41119">
          <cell r="A41119">
            <v>43777</v>
          </cell>
        </row>
        <row r="41120">
          <cell r="A41120">
            <v>43562</v>
          </cell>
        </row>
        <row r="41121">
          <cell r="A41121">
            <v>43195</v>
          </cell>
        </row>
        <row r="41122">
          <cell r="A41122">
            <v>43568</v>
          </cell>
        </row>
        <row r="41123">
          <cell r="A41123">
            <v>43781</v>
          </cell>
        </row>
        <row r="41124">
          <cell r="A41124">
            <v>43904</v>
          </cell>
        </row>
        <row r="41125">
          <cell r="A41125">
            <v>43497</v>
          </cell>
        </row>
        <row r="41126">
          <cell r="A41126">
            <v>43215</v>
          </cell>
        </row>
        <row r="41127">
          <cell r="A41127">
            <v>43521</v>
          </cell>
        </row>
        <row r="41128">
          <cell r="A41128">
            <v>43847</v>
          </cell>
        </row>
        <row r="41129">
          <cell r="A41129">
            <v>43834</v>
          </cell>
        </row>
        <row r="41130">
          <cell r="A41130">
            <v>43479</v>
          </cell>
        </row>
        <row r="41131">
          <cell r="A41131">
            <v>43257</v>
          </cell>
        </row>
        <row r="41132">
          <cell r="A41132">
            <v>43298</v>
          </cell>
        </row>
        <row r="41133">
          <cell r="A41133">
            <v>43155</v>
          </cell>
        </row>
        <row r="41134">
          <cell r="A41134">
            <v>43234</v>
          </cell>
        </row>
        <row r="41135">
          <cell r="A41135">
            <v>43159</v>
          </cell>
        </row>
        <row r="41136">
          <cell r="A41136">
            <v>43448</v>
          </cell>
        </row>
        <row r="41137">
          <cell r="A41137">
            <v>43628</v>
          </cell>
        </row>
        <row r="41138">
          <cell r="A41138">
            <v>43347</v>
          </cell>
        </row>
        <row r="41139">
          <cell r="A41139">
            <v>43712</v>
          </cell>
        </row>
        <row r="41140">
          <cell r="A41140">
            <v>43245</v>
          </cell>
        </row>
        <row r="41141">
          <cell r="A41141">
            <v>43160</v>
          </cell>
        </row>
        <row r="41142">
          <cell r="A41142">
            <v>43858</v>
          </cell>
        </row>
        <row r="41143">
          <cell r="A41143">
            <v>43886</v>
          </cell>
        </row>
        <row r="41144">
          <cell r="A41144">
            <v>43733</v>
          </cell>
        </row>
        <row r="41145">
          <cell r="A41145">
            <v>43107</v>
          </cell>
        </row>
        <row r="41146">
          <cell r="A41146">
            <v>43585</v>
          </cell>
        </row>
        <row r="41147">
          <cell r="A41147">
            <v>43497</v>
          </cell>
        </row>
        <row r="41148">
          <cell r="A41148">
            <v>43288</v>
          </cell>
        </row>
        <row r="41149">
          <cell r="A41149">
            <v>43533</v>
          </cell>
        </row>
        <row r="41150">
          <cell r="A41150">
            <v>43330</v>
          </cell>
        </row>
        <row r="41151">
          <cell r="A41151">
            <v>43280</v>
          </cell>
        </row>
        <row r="41152">
          <cell r="A41152">
            <v>43655</v>
          </cell>
        </row>
        <row r="41153">
          <cell r="A41153">
            <v>43622</v>
          </cell>
        </row>
        <row r="41154">
          <cell r="A41154">
            <v>43779</v>
          </cell>
        </row>
        <row r="41155">
          <cell r="A41155">
            <v>43605</v>
          </cell>
        </row>
        <row r="41156">
          <cell r="A41156">
            <v>43642</v>
          </cell>
        </row>
        <row r="41157">
          <cell r="A41157">
            <v>43574</v>
          </cell>
        </row>
        <row r="41158">
          <cell r="A41158">
            <v>43822</v>
          </cell>
        </row>
        <row r="41159">
          <cell r="A41159">
            <v>43213</v>
          </cell>
        </row>
        <row r="41160">
          <cell r="A41160">
            <v>43555</v>
          </cell>
        </row>
        <row r="41161">
          <cell r="A41161">
            <v>43253</v>
          </cell>
        </row>
        <row r="41162">
          <cell r="A41162">
            <v>43242</v>
          </cell>
        </row>
        <row r="41163">
          <cell r="A41163">
            <v>43352</v>
          </cell>
        </row>
        <row r="41164">
          <cell r="A41164">
            <v>43621</v>
          </cell>
        </row>
        <row r="41165">
          <cell r="A41165">
            <v>43675</v>
          </cell>
        </row>
        <row r="41166">
          <cell r="A41166">
            <v>43499</v>
          </cell>
        </row>
        <row r="41167">
          <cell r="A41167">
            <v>43389</v>
          </cell>
        </row>
        <row r="41168">
          <cell r="A41168">
            <v>43237</v>
          </cell>
        </row>
        <row r="41169">
          <cell r="A41169">
            <v>43839</v>
          </cell>
        </row>
        <row r="41170">
          <cell r="A41170">
            <v>43375</v>
          </cell>
        </row>
        <row r="41171">
          <cell r="A41171">
            <v>43841</v>
          </cell>
        </row>
        <row r="41172">
          <cell r="A41172">
            <v>43783</v>
          </cell>
        </row>
        <row r="41173">
          <cell r="A41173">
            <v>43484</v>
          </cell>
        </row>
        <row r="41174">
          <cell r="A41174">
            <v>43749</v>
          </cell>
        </row>
        <row r="41175">
          <cell r="A41175">
            <v>43225</v>
          </cell>
        </row>
        <row r="41176">
          <cell r="A41176">
            <v>43370</v>
          </cell>
        </row>
        <row r="41177">
          <cell r="A41177">
            <v>43292</v>
          </cell>
        </row>
        <row r="41178">
          <cell r="A41178">
            <v>43368</v>
          </cell>
        </row>
        <row r="41179">
          <cell r="A41179">
            <v>43660</v>
          </cell>
        </row>
        <row r="41180">
          <cell r="A41180">
            <v>43408</v>
          </cell>
        </row>
        <row r="41181">
          <cell r="A41181">
            <v>43282</v>
          </cell>
        </row>
        <row r="41182">
          <cell r="A41182">
            <v>43424</v>
          </cell>
        </row>
        <row r="41183">
          <cell r="A41183">
            <v>43780</v>
          </cell>
        </row>
        <row r="41184">
          <cell r="A41184">
            <v>43335</v>
          </cell>
        </row>
        <row r="41185">
          <cell r="A41185">
            <v>43744</v>
          </cell>
        </row>
        <row r="41186">
          <cell r="A41186">
            <v>43704</v>
          </cell>
        </row>
        <row r="41187">
          <cell r="A41187">
            <v>43789</v>
          </cell>
        </row>
        <row r="41188">
          <cell r="A41188">
            <v>43570</v>
          </cell>
        </row>
        <row r="41189">
          <cell r="A41189">
            <v>43586</v>
          </cell>
        </row>
        <row r="41190">
          <cell r="A41190">
            <v>43318</v>
          </cell>
        </row>
        <row r="41191">
          <cell r="A41191">
            <v>43687</v>
          </cell>
        </row>
        <row r="41192">
          <cell r="A41192">
            <v>43451</v>
          </cell>
        </row>
        <row r="41193">
          <cell r="A41193">
            <v>43654</v>
          </cell>
        </row>
        <row r="41194">
          <cell r="A41194">
            <v>43539</v>
          </cell>
        </row>
        <row r="41195">
          <cell r="A41195">
            <v>43667</v>
          </cell>
        </row>
        <row r="41196">
          <cell r="A41196">
            <v>43427</v>
          </cell>
        </row>
        <row r="41197">
          <cell r="A41197">
            <v>43376</v>
          </cell>
        </row>
        <row r="41198">
          <cell r="A41198">
            <v>43814</v>
          </cell>
        </row>
        <row r="41199">
          <cell r="A41199">
            <v>43842</v>
          </cell>
        </row>
        <row r="41200">
          <cell r="A41200">
            <v>43406</v>
          </cell>
        </row>
        <row r="41201">
          <cell r="A41201">
            <v>43669</v>
          </cell>
        </row>
        <row r="41202">
          <cell r="A41202">
            <v>43557</v>
          </cell>
        </row>
        <row r="41203">
          <cell r="A41203">
            <v>43847</v>
          </cell>
        </row>
        <row r="41204">
          <cell r="A41204">
            <v>43621</v>
          </cell>
        </row>
        <row r="41205">
          <cell r="A41205">
            <v>43644</v>
          </cell>
        </row>
        <row r="41206">
          <cell r="A41206">
            <v>43327</v>
          </cell>
        </row>
        <row r="41207">
          <cell r="A41207">
            <v>43802</v>
          </cell>
        </row>
        <row r="41208">
          <cell r="A41208">
            <v>43222</v>
          </cell>
        </row>
        <row r="41209">
          <cell r="A41209">
            <v>43808</v>
          </cell>
        </row>
        <row r="41210">
          <cell r="A41210">
            <v>43177</v>
          </cell>
        </row>
        <row r="41211">
          <cell r="A41211">
            <v>43698</v>
          </cell>
        </row>
        <row r="41212">
          <cell r="A41212">
            <v>43704</v>
          </cell>
        </row>
        <row r="41213">
          <cell r="A41213">
            <v>43461</v>
          </cell>
        </row>
        <row r="41214">
          <cell r="A41214">
            <v>43679</v>
          </cell>
        </row>
        <row r="41215">
          <cell r="A41215">
            <v>43528</v>
          </cell>
        </row>
        <row r="41216">
          <cell r="A41216">
            <v>43215</v>
          </cell>
        </row>
        <row r="41217">
          <cell r="A41217">
            <v>43429</v>
          </cell>
        </row>
        <row r="41218">
          <cell r="A41218">
            <v>43520</v>
          </cell>
        </row>
        <row r="41219">
          <cell r="A41219">
            <v>43921</v>
          </cell>
        </row>
        <row r="41220">
          <cell r="A41220">
            <v>43184</v>
          </cell>
        </row>
        <row r="41221">
          <cell r="A41221">
            <v>43195</v>
          </cell>
        </row>
        <row r="41222">
          <cell r="A41222">
            <v>43582</v>
          </cell>
        </row>
        <row r="41223">
          <cell r="A41223">
            <v>43396</v>
          </cell>
        </row>
        <row r="41224">
          <cell r="A41224">
            <v>43772</v>
          </cell>
        </row>
        <row r="41225">
          <cell r="A41225">
            <v>43486</v>
          </cell>
        </row>
        <row r="41226">
          <cell r="A41226">
            <v>43273</v>
          </cell>
        </row>
        <row r="41227">
          <cell r="A41227">
            <v>43907</v>
          </cell>
        </row>
        <row r="41228">
          <cell r="A41228">
            <v>43859</v>
          </cell>
        </row>
        <row r="41229">
          <cell r="A41229">
            <v>43609</v>
          </cell>
        </row>
        <row r="41230">
          <cell r="A41230">
            <v>43839</v>
          </cell>
        </row>
        <row r="41231">
          <cell r="A41231">
            <v>43908</v>
          </cell>
        </row>
        <row r="41232">
          <cell r="A41232">
            <v>43582</v>
          </cell>
        </row>
        <row r="41233">
          <cell r="A41233">
            <v>43432</v>
          </cell>
        </row>
        <row r="41234">
          <cell r="A41234">
            <v>43182</v>
          </cell>
        </row>
        <row r="41235">
          <cell r="A41235">
            <v>43584</v>
          </cell>
        </row>
        <row r="41236">
          <cell r="A41236">
            <v>43608</v>
          </cell>
        </row>
        <row r="41237">
          <cell r="A41237">
            <v>43911</v>
          </cell>
        </row>
        <row r="41238">
          <cell r="A41238">
            <v>43415</v>
          </cell>
        </row>
        <row r="41239">
          <cell r="A41239">
            <v>43137</v>
          </cell>
        </row>
        <row r="41240">
          <cell r="A41240">
            <v>43660</v>
          </cell>
        </row>
        <row r="41241">
          <cell r="A41241">
            <v>43833</v>
          </cell>
        </row>
        <row r="41242">
          <cell r="A41242">
            <v>43793</v>
          </cell>
        </row>
        <row r="41243">
          <cell r="A41243">
            <v>43551</v>
          </cell>
        </row>
        <row r="41244">
          <cell r="A41244">
            <v>43209</v>
          </cell>
        </row>
        <row r="41245">
          <cell r="A41245">
            <v>43631</v>
          </cell>
        </row>
        <row r="41246">
          <cell r="A41246">
            <v>43813</v>
          </cell>
        </row>
        <row r="41247">
          <cell r="A41247">
            <v>43263</v>
          </cell>
        </row>
        <row r="41248">
          <cell r="A41248">
            <v>43914</v>
          </cell>
        </row>
        <row r="41249">
          <cell r="A41249">
            <v>43341</v>
          </cell>
        </row>
        <row r="41250">
          <cell r="A41250">
            <v>43639</v>
          </cell>
        </row>
        <row r="41251">
          <cell r="A41251">
            <v>43339</v>
          </cell>
        </row>
        <row r="41252">
          <cell r="A41252">
            <v>43552</v>
          </cell>
        </row>
        <row r="41253">
          <cell r="A41253">
            <v>43719</v>
          </cell>
        </row>
        <row r="41254">
          <cell r="A41254">
            <v>43304</v>
          </cell>
        </row>
        <row r="41255">
          <cell r="A41255">
            <v>43838</v>
          </cell>
        </row>
        <row r="41256">
          <cell r="A41256">
            <v>43201</v>
          </cell>
        </row>
        <row r="41257">
          <cell r="A41257">
            <v>43208</v>
          </cell>
        </row>
        <row r="41258">
          <cell r="A41258">
            <v>43154</v>
          </cell>
        </row>
        <row r="41259">
          <cell r="A41259">
            <v>43428</v>
          </cell>
        </row>
        <row r="41260">
          <cell r="A41260">
            <v>43447</v>
          </cell>
        </row>
        <row r="41261">
          <cell r="A41261">
            <v>43432</v>
          </cell>
        </row>
        <row r="41262">
          <cell r="A41262">
            <v>43816</v>
          </cell>
        </row>
        <row r="41263">
          <cell r="A41263">
            <v>43394</v>
          </cell>
        </row>
        <row r="41264">
          <cell r="A41264">
            <v>43776</v>
          </cell>
        </row>
        <row r="41265">
          <cell r="A41265">
            <v>43299</v>
          </cell>
        </row>
        <row r="41266">
          <cell r="A41266">
            <v>43552</v>
          </cell>
        </row>
        <row r="41267">
          <cell r="A41267">
            <v>43713</v>
          </cell>
        </row>
        <row r="41268">
          <cell r="A41268">
            <v>43884</v>
          </cell>
        </row>
        <row r="41269">
          <cell r="A41269">
            <v>43426</v>
          </cell>
        </row>
        <row r="41270">
          <cell r="A41270">
            <v>43459</v>
          </cell>
        </row>
        <row r="41271">
          <cell r="A41271">
            <v>43537</v>
          </cell>
        </row>
        <row r="41272">
          <cell r="A41272">
            <v>43864</v>
          </cell>
        </row>
        <row r="41273">
          <cell r="A41273">
            <v>43699</v>
          </cell>
        </row>
        <row r="41274">
          <cell r="A41274">
            <v>43239</v>
          </cell>
        </row>
        <row r="41275">
          <cell r="A41275">
            <v>43680</v>
          </cell>
        </row>
        <row r="41276">
          <cell r="A41276">
            <v>43780</v>
          </cell>
        </row>
        <row r="41277">
          <cell r="A41277">
            <v>43278</v>
          </cell>
        </row>
        <row r="41278">
          <cell r="A41278">
            <v>43194</v>
          </cell>
        </row>
        <row r="41279">
          <cell r="A41279">
            <v>43277</v>
          </cell>
        </row>
        <row r="41280">
          <cell r="A41280">
            <v>43276</v>
          </cell>
        </row>
        <row r="41281">
          <cell r="A41281">
            <v>43660</v>
          </cell>
        </row>
        <row r="41282">
          <cell r="A41282">
            <v>43714</v>
          </cell>
        </row>
        <row r="41283">
          <cell r="A41283">
            <v>43625</v>
          </cell>
        </row>
        <row r="41284">
          <cell r="A41284">
            <v>43856</v>
          </cell>
        </row>
        <row r="41285">
          <cell r="A41285">
            <v>43467</v>
          </cell>
        </row>
        <row r="41286">
          <cell r="A41286">
            <v>43402</v>
          </cell>
        </row>
        <row r="41287">
          <cell r="A41287">
            <v>43343</v>
          </cell>
        </row>
        <row r="41288">
          <cell r="A41288">
            <v>43243</v>
          </cell>
        </row>
        <row r="41289">
          <cell r="A41289">
            <v>43672</v>
          </cell>
        </row>
        <row r="41290">
          <cell r="A41290">
            <v>43573</v>
          </cell>
        </row>
        <row r="41291">
          <cell r="A41291">
            <v>43644</v>
          </cell>
        </row>
        <row r="41292">
          <cell r="A41292">
            <v>43339</v>
          </cell>
        </row>
        <row r="41293">
          <cell r="A41293">
            <v>43780</v>
          </cell>
        </row>
        <row r="41294">
          <cell r="A41294">
            <v>43880</v>
          </cell>
        </row>
        <row r="41295">
          <cell r="A41295">
            <v>43822</v>
          </cell>
        </row>
        <row r="41296">
          <cell r="A41296">
            <v>43759</v>
          </cell>
        </row>
        <row r="41297">
          <cell r="A41297">
            <v>43530</v>
          </cell>
        </row>
        <row r="41298">
          <cell r="A41298">
            <v>43182</v>
          </cell>
        </row>
        <row r="41299">
          <cell r="A41299">
            <v>43337</v>
          </cell>
        </row>
        <row r="41300">
          <cell r="A41300">
            <v>43478</v>
          </cell>
        </row>
        <row r="41301">
          <cell r="A41301">
            <v>43635</v>
          </cell>
        </row>
        <row r="41302">
          <cell r="A41302">
            <v>43804</v>
          </cell>
        </row>
        <row r="41303">
          <cell r="A41303">
            <v>43638</v>
          </cell>
        </row>
        <row r="41304">
          <cell r="A41304">
            <v>43414</v>
          </cell>
        </row>
        <row r="41305">
          <cell r="A41305">
            <v>43773</v>
          </cell>
        </row>
        <row r="41306">
          <cell r="A41306">
            <v>43267</v>
          </cell>
        </row>
        <row r="41307">
          <cell r="A41307">
            <v>43544</v>
          </cell>
        </row>
        <row r="41308">
          <cell r="A41308">
            <v>43364</v>
          </cell>
        </row>
        <row r="41309">
          <cell r="A41309">
            <v>43683</v>
          </cell>
        </row>
        <row r="41310">
          <cell r="A41310">
            <v>43865</v>
          </cell>
        </row>
        <row r="41311">
          <cell r="A41311">
            <v>43452</v>
          </cell>
        </row>
        <row r="41312">
          <cell r="A41312">
            <v>43554</v>
          </cell>
        </row>
        <row r="41313">
          <cell r="A41313">
            <v>43414</v>
          </cell>
        </row>
        <row r="41314">
          <cell r="A41314">
            <v>43480</v>
          </cell>
        </row>
        <row r="41315">
          <cell r="A41315">
            <v>43583</v>
          </cell>
        </row>
        <row r="41316">
          <cell r="A41316">
            <v>43918</v>
          </cell>
        </row>
        <row r="41317">
          <cell r="A41317">
            <v>43303</v>
          </cell>
        </row>
        <row r="41318">
          <cell r="A41318">
            <v>43290</v>
          </cell>
        </row>
        <row r="41319">
          <cell r="A41319">
            <v>43795</v>
          </cell>
        </row>
        <row r="41320">
          <cell r="A41320">
            <v>43829</v>
          </cell>
        </row>
        <row r="41321">
          <cell r="A41321">
            <v>43495</v>
          </cell>
        </row>
        <row r="41322">
          <cell r="A41322">
            <v>43407</v>
          </cell>
        </row>
        <row r="41323">
          <cell r="A41323">
            <v>43225</v>
          </cell>
        </row>
        <row r="41324">
          <cell r="A41324">
            <v>43867</v>
          </cell>
        </row>
        <row r="41325">
          <cell r="A41325">
            <v>43308</v>
          </cell>
        </row>
        <row r="41326">
          <cell r="A41326">
            <v>43875</v>
          </cell>
        </row>
        <row r="41327">
          <cell r="A41327">
            <v>43675</v>
          </cell>
        </row>
        <row r="41328">
          <cell r="A41328">
            <v>43282</v>
          </cell>
        </row>
        <row r="41329">
          <cell r="A41329">
            <v>43481</v>
          </cell>
        </row>
        <row r="41330">
          <cell r="A41330">
            <v>43337</v>
          </cell>
        </row>
        <row r="41331">
          <cell r="A41331">
            <v>43489</v>
          </cell>
        </row>
        <row r="41332">
          <cell r="A41332">
            <v>43381</v>
          </cell>
        </row>
        <row r="41333">
          <cell r="A41333">
            <v>43109</v>
          </cell>
        </row>
        <row r="41334">
          <cell r="A41334">
            <v>43243</v>
          </cell>
        </row>
        <row r="41335">
          <cell r="A41335">
            <v>43804</v>
          </cell>
        </row>
        <row r="41336">
          <cell r="A41336">
            <v>43251</v>
          </cell>
        </row>
        <row r="41337">
          <cell r="A41337">
            <v>43892</v>
          </cell>
        </row>
        <row r="41338">
          <cell r="A41338">
            <v>43788</v>
          </cell>
        </row>
        <row r="41339">
          <cell r="A41339">
            <v>43170</v>
          </cell>
        </row>
        <row r="41340">
          <cell r="A41340">
            <v>43645</v>
          </cell>
        </row>
        <row r="41341">
          <cell r="A41341">
            <v>43281</v>
          </cell>
        </row>
        <row r="41342">
          <cell r="A41342">
            <v>43828</v>
          </cell>
        </row>
        <row r="41343">
          <cell r="A41343">
            <v>43388</v>
          </cell>
        </row>
        <row r="41344">
          <cell r="A41344">
            <v>43240</v>
          </cell>
        </row>
        <row r="41345">
          <cell r="A41345">
            <v>43565</v>
          </cell>
        </row>
        <row r="41346">
          <cell r="A41346">
            <v>43185</v>
          </cell>
        </row>
        <row r="41347">
          <cell r="A41347">
            <v>43917</v>
          </cell>
        </row>
        <row r="41348">
          <cell r="A41348">
            <v>43180</v>
          </cell>
        </row>
        <row r="41349">
          <cell r="A41349">
            <v>43648</v>
          </cell>
        </row>
        <row r="41350">
          <cell r="A41350">
            <v>43568</v>
          </cell>
        </row>
        <row r="41351">
          <cell r="A41351">
            <v>43759</v>
          </cell>
        </row>
        <row r="41352">
          <cell r="A41352">
            <v>43436</v>
          </cell>
        </row>
        <row r="41353">
          <cell r="A41353">
            <v>43873</v>
          </cell>
        </row>
        <row r="41354">
          <cell r="A41354">
            <v>43697</v>
          </cell>
        </row>
        <row r="41355">
          <cell r="A41355">
            <v>43681</v>
          </cell>
        </row>
        <row r="41356">
          <cell r="A41356">
            <v>43917</v>
          </cell>
        </row>
        <row r="41357">
          <cell r="A41357">
            <v>43134</v>
          </cell>
        </row>
        <row r="41358">
          <cell r="A41358">
            <v>43883</v>
          </cell>
        </row>
        <row r="41359">
          <cell r="A41359">
            <v>43289</v>
          </cell>
        </row>
        <row r="41360">
          <cell r="A41360">
            <v>43548</v>
          </cell>
        </row>
        <row r="41361">
          <cell r="A41361">
            <v>43832</v>
          </cell>
        </row>
        <row r="41362">
          <cell r="A41362">
            <v>43859</v>
          </cell>
        </row>
        <row r="41363">
          <cell r="A41363">
            <v>43107</v>
          </cell>
        </row>
        <row r="41364">
          <cell r="A41364">
            <v>43327</v>
          </cell>
        </row>
        <row r="41365">
          <cell r="A41365">
            <v>43648</v>
          </cell>
        </row>
        <row r="41366">
          <cell r="A41366">
            <v>43417</v>
          </cell>
        </row>
        <row r="41367">
          <cell r="A41367">
            <v>43242</v>
          </cell>
        </row>
        <row r="41368">
          <cell r="A41368">
            <v>43630</v>
          </cell>
        </row>
        <row r="41369">
          <cell r="A41369">
            <v>43628</v>
          </cell>
        </row>
        <row r="41370">
          <cell r="A41370">
            <v>43835</v>
          </cell>
        </row>
        <row r="41371">
          <cell r="A41371">
            <v>43803</v>
          </cell>
        </row>
        <row r="41372">
          <cell r="A41372">
            <v>43553</v>
          </cell>
        </row>
        <row r="41373">
          <cell r="A41373">
            <v>43585</v>
          </cell>
        </row>
        <row r="41374">
          <cell r="A41374">
            <v>43420</v>
          </cell>
        </row>
        <row r="41375">
          <cell r="A41375">
            <v>43503</v>
          </cell>
        </row>
        <row r="41376">
          <cell r="A41376">
            <v>43520</v>
          </cell>
        </row>
        <row r="41377">
          <cell r="A41377">
            <v>43236</v>
          </cell>
        </row>
        <row r="41378">
          <cell r="A41378">
            <v>43885</v>
          </cell>
        </row>
        <row r="41379">
          <cell r="A41379">
            <v>43901</v>
          </cell>
        </row>
        <row r="41380">
          <cell r="A41380">
            <v>43347</v>
          </cell>
        </row>
        <row r="41381">
          <cell r="A41381">
            <v>43895</v>
          </cell>
        </row>
        <row r="41382">
          <cell r="A41382">
            <v>43324</v>
          </cell>
        </row>
        <row r="41383">
          <cell r="A41383">
            <v>43582</v>
          </cell>
        </row>
        <row r="41384">
          <cell r="A41384">
            <v>43876</v>
          </cell>
        </row>
        <row r="41385">
          <cell r="A41385">
            <v>43131</v>
          </cell>
        </row>
        <row r="41386">
          <cell r="A41386">
            <v>43892</v>
          </cell>
        </row>
        <row r="41387">
          <cell r="A41387">
            <v>43382</v>
          </cell>
        </row>
        <row r="41388">
          <cell r="A41388">
            <v>43635</v>
          </cell>
        </row>
        <row r="41389">
          <cell r="A41389">
            <v>43374</v>
          </cell>
        </row>
        <row r="41390">
          <cell r="A41390">
            <v>43463</v>
          </cell>
        </row>
        <row r="41391">
          <cell r="A41391">
            <v>43428</v>
          </cell>
        </row>
        <row r="41392">
          <cell r="A41392">
            <v>43787</v>
          </cell>
        </row>
        <row r="41393">
          <cell r="A41393">
            <v>43144</v>
          </cell>
        </row>
        <row r="41394">
          <cell r="A41394">
            <v>43386</v>
          </cell>
        </row>
        <row r="41395">
          <cell r="A41395">
            <v>43755</v>
          </cell>
        </row>
        <row r="41396">
          <cell r="A41396">
            <v>43358</v>
          </cell>
        </row>
        <row r="41397">
          <cell r="A41397">
            <v>43542</v>
          </cell>
        </row>
        <row r="41398">
          <cell r="A41398">
            <v>43909</v>
          </cell>
        </row>
        <row r="41399">
          <cell r="A41399">
            <v>43222</v>
          </cell>
        </row>
        <row r="41400">
          <cell r="A41400">
            <v>43763</v>
          </cell>
        </row>
        <row r="41401">
          <cell r="A41401">
            <v>43567</v>
          </cell>
        </row>
        <row r="41402">
          <cell r="A41402">
            <v>43660</v>
          </cell>
        </row>
        <row r="41403">
          <cell r="A41403">
            <v>43190</v>
          </cell>
        </row>
        <row r="41404">
          <cell r="A41404">
            <v>43798</v>
          </cell>
        </row>
        <row r="41405">
          <cell r="A41405">
            <v>43174</v>
          </cell>
        </row>
        <row r="41406">
          <cell r="A41406">
            <v>43696</v>
          </cell>
        </row>
        <row r="41407">
          <cell r="A41407">
            <v>43308</v>
          </cell>
        </row>
        <row r="41408">
          <cell r="A41408">
            <v>43412</v>
          </cell>
        </row>
        <row r="41409">
          <cell r="A41409">
            <v>43504</v>
          </cell>
        </row>
        <row r="41410">
          <cell r="A41410">
            <v>43367</v>
          </cell>
        </row>
        <row r="41411">
          <cell r="A41411">
            <v>43206</v>
          </cell>
        </row>
        <row r="41412">
          <cell r="A41412">
            <v>43427</v>
          </cell>
        </row>
        <row r="41413">
          <cell r="A41413">
            <v>43534</v>
          </cell>
        </row>
        <row r="41414">
          <cell r="A41414">
            <v>43768</v>
          </cell>
        </row>
        <row r="41415">
          <cell r="A41415">
            <v>43671</v>
          </cell>
        </row>
        <row r="41416">
          <cell r="A41416">
            <v>43782</v>
          </cell>
        </row>
        <row r="41417">
          <cell r="A41417">
            <v>43421</v>
          </cell>
        </row>
        <row r="41418">
          <cell r="A41418">
            <v>43405</v>
          </cell>
        </row>
        <row r="41419">
          <cell r="A41419">
            <v>43160</v>
          </cell>
        </row>
        <row r="41420">
          <cell r="A41420">
            <v>43311</v>
          </cell>
        </row>
        <row r="41421">
          <cell r="A41421">
            <v>43397</v>
          </cell>
        </row>
        <row r="41422">
          <cell r="A41422">
            <v>43651</v>
          </cell>
        </row>
        <row r="41423">
          <cell r="A41423">
            <v>43374</v>
          </cell>
        </row>
        <row r="41424">
          <cell r="A41424">
            <v>43832</v>
          </cell>
        </row>
        <row r="41425">
          <cell r="A41425">
            <v>43220</v>
          </cell>
        </row>
        <row r="41426">
          <cell r="A41426">
            <v>43521</v>
          </cell>
        </row>
        <row r="41427">
          <cell r="A41427">
            <v>43801</v>
          </cell>
        </row>
        <row r="41428">
          <cell r="A41428">
            <v>43714</v>
          </cell>
        </row>
        <row r="41429">
          <cell r="A41429">
            <v>43526</v>
          </cell>
        </row>
        <row r="41430">
          <cell r="A41430">
            <v>43910</v>
          </cell>
        </row>
        <row r="41431">
          <cell r="A41431">
            <v>43724</v>
          </cell>
        </row>
        <row r="41432">
          <cell r="A41432">
            <v>43816</v>
          </cell>
        </row>
        <row r="41433">
          <cell r="A41433">
            <v>43867</v>
          </cell>
        </row>
        <row r="41434">
          <cell r="A41434">
            <v>43410</v>
          </cell>
        </row>
        <row r="41435">
          <cell r="A41435">
            <v>43175</v>
          </cell>
        </row>
        <row r="41436">
          <cell r="A41436">
            <v>43364</v>
          </cell>
        </row>
        <row r="41437">
          <cell r="A41437">
            <v>43545</v>
          </cell>
        </row>
        <row r="41438">
          <cell r="A41438">
            <v>43118</v>
          </cell>
        </row>
        <row r="41439">
          <cell r="A41439">
            <v>43530</v>
          </cell>
        </row>
        <row r="41440">
          <cell r="A41440">
            <v>43477</v>
          </cell>
        </row>
        <row r="41441">
          <cell r="A41441">
            <v>43877</v>
          </cell>
        </row>
        <row r="41442">
          <cell r="A41442">
            <v>43513</v>
          </cell>
        </row>
        <row r="41443">
          <cell r="A41443">
            <v>43844</v>
          </cell>
        </row>
        <row r="41444">
          <cell r="A41444">
            <v>43127</v>
          </cell>
        </row>
        <row r="41445">
          <cell r="A41445">
            <v>43357</v>
          </cell>
        </row>
        <row r="41446">
          <cell r="A41446">
            <v>43646</v>
          </cell>
        </row>
        <row r="41447">
          <cell r="A41447">
            <v>43164</v>
          </cell>
        </row>
        <row r="41448">
          <cell r="A41448">
            <v>43697</v>
          </cell>
        </row>
        <row r="41449">
          <cell r="A41449">
            <v>43294</v>
          </cell>
        </row>
        <row r="41450">
          <cell r="A41450">
            <v>43298</v>
          </cell>
        </row>
        <row r="41451">
          <cell r="A41451">
            <v>43771</v>
          </cell>
        </row>
        <row r="41452">
          <cell r="A41452">
            <v>43659</v>
          </cell>
        </row>
        <row r="41453">
          <cell r="A41453">
            <v>43238</v>
          </cell>
        </row>
        <row r="41454">
          <cell r="A41454">
            <v>43520</v>
          </cell>
        </row>
        <row r="41455">
          <cell r="A41455">
            <v>43866</v>
          </cell>
        </row>
        <row r="41456">
          <cell r="A41456">
            <v>43104</v>
          </cell>
        </row>
        <row r="41457">
          <cell r="A41457">
            <v>43505</v>
          </cell>
        </row>
        <row r="41458">
          <cell r="A41458">
            <v>43385</v>
          </cell>
        </row>
        <row r="41459">
          <cell r="A41459">
            <v>43689</v>
          </cell>
        </row>
        <row r="41460">
          <cell r="A41460">
            <v>43211</v>
          </cell>
        </row>
        <row r="41461">
          <cell r="A41461">
            <v>43370</v>
          </cell>
        </row>
        <row r="41462">
          <cell r="A41462">
            <v>43128</v>
          </cell>
        </row>
        <row r="41463">
          <cell r="A41463">
            <v>43609</v>
          </cell>
        </row>
        <row r="41464">
          <cell r="A41464">
            <v>43631</v>
          </cell>
        </row>
        <row r="41465">
          <cell r="A41465">
            <v>43548</v>
          </cell>
        </row>
        <row r="41466">
          <cell r="A41466">
            <v>43356</v>
          </cell>
        </row>
        <row r="41467">
          <cell r="A41467">
            <v>43682</v>
          </cell>
        </row>
        <row r="41468">
          <cell r="A41468">
            <v>43760</v>
          </cell>
        </row>
        <row r="41469">
          <cell r="A41469">
            <v>43379</v>
          </cell>
        </row>
        <row r="41470">
          <cell r="A41470">
            <v>43880</v>
          </cell>
        </row>
        <row r="41471">
          <cell r="A41471">
            <v>43853</v>
          </cell>
        </row>
        <row r="41472">
          <cell r="A41472">
            <v>43239</v>
          </cell>
        </row>
        <row r="41473">
          <cell r="A41473">
            <v>43188</v>
          </cell>
        </row>
        <row r="41474">
          <cell r="A41474">
            <v>43768</v>
          </cell>
        </row>
        <row r="41475">
          <cell r="A41475">
            <v>43656</v>
          </cell>
        </row>
        <row r="41476">
          <cell r="A41476">
            <v>43411</v>
          </cell>
        </row>
        <row r="41477">
          <cell r="A41477">
            <v>43454</v>
          </cell>
        </row>
        <row r="41478">
          <cell r="A41478">
            <v>43192</v>
          </cell>
        </row>
        <row r="41479">
          <cell r="A41479">
            <v>43756</v>
          </cell>
        </row>
        <row r="41480">
          <cell r="A41480">
            <v>43197</v>
          </cell>
        </row>
        <row r="41481">
          <cell r="A41481">
            <v>43430</v>
          </cell>
        </row>
        <row r="41482">
          <cell r="A41482">
            <v>43651</v>
          </cell>
        </row>
        <row r="41483">
          <cell r="A41483">
            <v>43682</v>
          </cell>
        </row>
        <row r="41484">
          <cell r="A41484">
            <v>43525</v>
          </cell>
        </row>
        <row r="41485">
          <cell r="A41485">
            <v>43787</v>
          </cell>
        </row>
        <row r="41486">
          <cell r="A41486">
            <v>43857</v>
          </cell>
        </row>
        <row r="41487">
          <cell r="A41487">
            <v>43560</v>
          </cell>
        </row>
        <row r="41488">
          <cell r="A41488">
            <v>43503</v>
          </cell>
        </row>
        <row r="41489">
          <cell r="A41489">
            <v>43316</v>
          </cell>
        </row>
        <row r="41490">
          <cell r="A41490">
            <v>43286</v>
          </cell>
        </row>
        <row r="41491">
          <cell r="A41491">
            <v>43242</v>
          </cell>
        </row>
        <row r="41492">
          <cell r="A41492">
            <v>43339</v>
          </cell>
        </row>
        <row r="41493">
          <cell r="A41493">
            <v>43321</v>
          </cell>
        </row>
        <row r="41494">
          <cell r="A41494">
            <v>43133</v>
          </cell>
        </row>
        <row r="41495">
          <cell r="A41495">
            <v>43413</v>
          </cell>
        </row>
        <row r="41496">
          <cell r="A41496">
            <v>43432</v>
          </cell>
        </row>
        <row r="41497">
          <cell r="A41497">
            <v>43719</v>
          </cell>
        </row>
        <row r="41498">
          <cell r="A41498">
            <v>43561</v>
          </cell>
        </row>
        <row r="41499">
          <cell r="A41499">
            <v>43917</v>
          </cell>
        </row>
        <row r="41500">
          <cell r="A41500">
            <v>43901</v>
          </cell>
        </row>
        <row r="41501">
          <cell r="A41501">
            <v>43389</v>
          </cell>
        </row>
        <row r="41502">
          <cell r="A41502">
            <v>43776</v>
          </cell>
        </row>
        <row r="41503">
          <cell r="A41503">
            <v>43289</v>
          </cell>
        </row>
        <row r="41504">
          <cell r="A41504">
            <v>43126</v>
          </cell>
        </row>
        <row r="41505">
          <cell r="A41505">
            <v>43595</v>
          </cell>
        </row>
        <row r="41506">
          <cell r="A41506">
            <v>43580</v>
          </cell>
        </row>
        <row r="41507">
          <cell r="A41507">
            <v>43350</v>
          </cell>
        </row>
        <row r="41508">
          <cell r="A41508">
            <v>43108</v>
          </cell>
        </row>
        <row r="41509">
          <cell r="A41509">
            <v>43394</v>
          </cell>
        </row>
        <row r="41510">
          <cell r="A41510">
            <v>43390</v>
          </cell>
        </row>
        <row r="41511">
          <cell r="A41511">
            <v>43212</v>
          </cell>
        </row>
        <row r="41512">
          <cell r="A41512">
            <v>43106</v>
          </cell>
        </row>
        <row r="41513">
          <cell r="A41513">
            <v>43271</v>
          </cell>
        </row>
        <row r="41514">
          <cell r="A41514">
            <v>43482</v>
          </cell>
        </row>
        <row r="41515">
          <cell r="A41515">
            <v>43795</v>
          </cell>
        </row>
        <row r="41516">
          <cell r="A41516">
            <v>43802</v>
          </cell>
        </row>
        <row r="41517">
          <cell r="A41517">
            <v>43859</v>
          </cell>
        </row>
        <row r="41518">
          <cell r="A41518">
            <v>43721</v>
          </cell>
        </row>
        <row r="41519">
          <cell r="A41519">
            <v>43736</v>
          </cell>
        </row>
        <row r="41520">
          <cell r="A41520">
            <v>43456</v>
          </cell>
        </row>
        <row r="41521">
          <cell r="A41521">
            <v>43230</v>
          </cell>
        </row>
        <row r="41522">
          <cell r="A41522">
            <v>43560</v>
          </cell>
        </row>
        <row r="41523">
          <cell r="A41523">
            <v>43866</v>
          </cell>
        </row>
        <row r="41524">
          <cell r="A41524">
            <v>43534</v>
          </cell>
        </row>
        <row r="41525">
          <cell r="A41525">
            <v>43522</v>
          </cell>
        </row>
        <row r="41526">
          <cell r="A41526">
            <v>43462</v>
          </cell>
        </row>
        <row r="41527">
          <cell r="A41527">
            <v>43504</v>
          </cell>
        </row>
        <row r="41528">
          <cell r="A41528">
            <v>43905</v>
          </cell>
        </row>
        <row r="41529">
          <cell r="A41529">
            <v>43682</v>
          </cell>
        </row>
        <row r="41530">
          <cell r="A41530">
            <v>43911</v>
          </cell>
        </row>
        <row r="41531">
          <cell r="A41531">
            <v>43482</v>
          </cell>
        </row>
        <row r="41532">
          <cell r="A41532">
            <v>43807</v>
          </cell>
        </row>
        <row r="41533">
          <cell r="A41533">
            <v>43882</v>
          </cell>
        </row>
        <row r="41534">
          <cell r="A41534">
            <v>43276</v>
          </cell>
        </row>
        <row r="41535">
          <cell r="A41535">
            <v>43779</v>
          </cell>
        </row>
        <row r="41536">
          <cell r="A41536">
            <v>43626</v>
          </cell>
        </row>
        <row r="41537">
          <cell r="A41537">
            <v>43619</v>
          </cell>
        </row>
        <row r="41538">
          <cell r="A41538">
            <v>43541</v>
          </cell>
        </row>
        <row r="41539">
          <cell r="A41539">
            <v>43632</v>
          </cell>
        </row>
        <row r="41540">
          <cell r="A41540">
            <v>43464</v>
          </cell>
        </row>
        <row r="41541">
          <cell r="A41541">
            <v>43119</v>
          </cell>
        </row>
        <row r="41542">
          <cell r="A41542">
            <v>43339</v>
          </cell>
        </row>
        <row r="41543">
          <cell r="A41543">
            <v>43151</v>
          </cell>
        </row>
        <row r="41544">
          <cell r="A41544">
            <v>43183</v>
          </cell>
        </row>
        <row r="41545">
          <cell r="A41545">
            <v>43303</v>
          </cell>
        </row>
        <row r="41546">
          <cell r="A41546">
            <v>43586</v>
          </cell>
        </row>
        <row r="41547">
          <cell r="A41547">
            <v>43855</v>
          </cell>
        </row>
        <row r="41548">
          <cell r="A41548">
            <v>43223</v>
          </cell>
        </row>
        <row r="41549">
          <cell r="A41549">
            <v>43743</v>
          </cell>
        </row>
        <row r="41550">
          <cell r="A41550">
            <v>43638</v>
          </cell>
        </row>
        <row r="41551">
          <cell r="A41551">
            <v>43679</v>
          </cell>
        </row>
        <row r="41552">
          <cell r="A41552">
            <v>43605</v>
          </cell>
        </row>
        <row r="41553">
          <cell r="A41553">
            <v>43777</v>
          </cell>
        </row>
        <row r="41554">
          <cell r="A41554">
            <v>43715</v>
          </cell>
        </row>
        <row r="41555">
          <cell r="A41555">
            <v>43134</v>
          </cell>
        </row>
        <row r="41556">
          <cell r="A41556">
            <v>43101</v>
          </cell>
        </row>
        <row r="41557">
          <cell r="A41557">
            <v>43436</v>
          </cell>
        </row>
        <row r="41558">
          <cell r="A41558">
            <v>43543</v>
          </cell>
        </row>
        <row r="41559">
          <cell r="A41559">
            <v>43334</v>
          </cell>
        </row>
        <row r="41560">
          <cell r="A41560">
            <v>43244</v>
          </cell>
        </row>
        <row r="41561">
          <cell r="A41561">
            <v>43594</v>
          </cell>
        </row>
        <row r="41562">
          <cell r="A41562">
            <v>43245</v>
          </cell>
        </row>
        <row r="41563">
          <cell r="A41563">
            <v>43539</v>
          </cell>
        </row>
        <row r="41564">
          <cell r="A41564">
            <v>43746</v>
          </cell>
        </row>
        <row r="41565">
          <cell r="A41565">
            <v>43920</v>
          </cell>
        </row>
        <row r="41566">
          <cell r="A41566">
            <v>43185</v>
          </cell>
        </row>
        <row r="41567">
          <cell r="A41567">
            <v>43783</v>
          </cell>
        </row>
        <row r="41568">
          <cell r="A41568">
            <v>43101</v>
          </cell>
        </row>
        <row r="41569">
          <cell r="A41569">
            <v>43328</v>
          </cell>
        </row>
        <row r="41570">
          <cell r="A41570">
            <v>43661</v>
          </cell>
        </row>
        <row r="41571">
          <cell r="A41571">
            <v>43513</v>
          </cell>
        </row>
        <row r="41572">
          <cell r="A41572">
            <v>43460</v>
          </cell>
        </row>
        <row r="41573">
          <cell r="A41573">
            <v>43780</v>
          </cell>
        </row>
        <row r="41574">
          <cell r="A41574">
            <v>43245</v>
          </cell>
        </row>
        <row r="41575">
          <cell r="A41575">
            <v>43549</v>
          </cell>
        </row>
        <row r="41576">
          <cell r="A41576">
            <v>43461</v>
          </cell>
        </row>
        <row r="41577">
          <cell r="A41577">
            <v>43732</v>
          </cell>
        </row>
        <row r="41578">
          <cell r="A41578">
            <v>43209</v>
          </cell>
        </row>
        <row r="41579">
          <cell r="A41579">
            <v>43835</v>
          </cell>
        </row>
        <row r="41580">
          <cell r="A41580">
            <v>43551</v>
          </cell>
        </row>
        <row r="41581">
          <cell r="A41581">
            <v>43134</v>
          </cell>
        </row>
        <row r="41582">
          <cell r="A41582">
            <v>43366</v>
          </cell>
        </row>
        <row r="41583">
          <cell r="A41583">
            <v>43514</v>
          </cell>
        </row>
        <row r="41584">
          <cell r="A41584">
            <v>43458</v>
          </cell>
        </row>
        <row r="41585">
          <cell r="A41585">
            <v>43888</v>
          </cell>
        </row>
        <row r="41586">
          <cell r="A41586">
            <v>43735</v>
          </cell>
        </row>
        <row r="41587">
          <cell r="A41587">
            <v>43443</v>
          </cell>
        </row>
        <row r="41588">
          <cell r="A41588">
            <v>43867</v>
          </cell>
        </row>
        <row r="41589">
          <cell r="A41589">
            <v>43902</v>
          </cell>
        </row>
        <row r="41590">
          <cell r="A41590">
            <v>43881</v>
          </cell>
        </row>
        <row r="41591">
          <cell r="A41591">
            <v>43349</v>
          </cell>
        </row>
        <row r="41592">
          <cell r="A41592">
            <v>43583</v>
          </cell>
        </row>
        <row r="41593">
          <cell r="A41593">
            <v>43586</v>
          </cell>
        </row>
        <row r="41594">
          <cell r="A41594">
            <v>43589</v>
          </cell>
        </row>
        <row r="41595">
          <cell r="A41595">
            <v>43211</v>
          </cell>
        </row>
        <row r="41596">
          <cell r="A41596">
            <v>43902</v>
          </cell>
        </row>
        <row r="41597">
          <cell r="A41597">
            <v>43160</v>
          </cell>
        </row>
        <row r="41598">
          <cell r="A41598">
            <v>43630</v>
          </cell>
        </row>
        <row r="41599">
          <cell r="A41599">
            <v>43485</v>
          </cell>
        </row>
        <row r="41600">
          <cell r="A41600">
            <v>43496</v>
          </cell>
        </row>
        <row r="41601">
          <cell r="A41601">
            <v>43560</v>
          </cell>
        </row>
        <row r="41602">
          <cell r="A41602">
            <v>43372</v>
          </cell>
        </row>
        <row r="41603">
          <cell r="A41603">
            <v>43453</v>
          </cell>
        </row>
        <row r="41604">
          <cell r="A41604">
            <v>43700</v>
          </cell>
        </row>
        <row r="41605">
          <cell r="A41605">
            <v>43292</v>
          </cell>
        </row>
        <row r="41606">
          <cell r="A41606">
            <v>43342</v>
          </cell>
        </row>
        <row r="41607">
          <cell r="A41607">
            <v>43533</v>
          </cell>
        </row>
        <row r="41608">
          <cell r="A41608">
            <v>43569</v>
          </cell>
        </row>
        <row r="41609">
          <cell r="A41609">
            <v>43633</v>
          </cell>
        </row>
        <row r="41610">
          <cell r="A41610">
            <v>43867</v>
          </cell>
        </row>
        <row r="41611">
          <cell r="A41611">
            <v>43236</v>
          </cell>
        </row>
        <row r="41612">
          <cell r="A41612">
            <v>43278</v>
          </cell>
        </row>
        <row r="41613">
          <cell r="A41613">
            <v>43434</v>
          </cell>
        </row>
        <row r="41614">
          <cell r="A41614">
            <v>43788</v>
          </cell>
        </row>
        <row r="41615">
          <cell r="A41615">
            <v>43576</v>
          </cell>
        </row>
        <row r="41616">
          <cell r="A41616">
            <v>43294</v>
          </cell>
        </row>
        <row r="41617">
          <cell r="A41617">
            <v>43844</v>
          </cell>
        </row>
        <row r="41618">
          <cell r="A41618">
            <v>43520</v>
          </cell>
        </row>
        <row r="41619">
          <cell r="A41619">
            <v>43273</v>
          </cell>
        </row>
        <row r="41620">
          <cell r="A41620">
            <v>43385</v>
          </cell>
        </row>
        <row r="41621">
          <cell r="A41621">
            <v>43793</v>
          </cell>
        </row>
        <row r="41622">
          <cell r="A41622">
            <v>43555</v>
          </cell>
        </row>
        <row r="41623">
          <cell r="A41623">
            <v>43762</v>
          </cell>
        </row>
        <row r="41624">
          <cell r="A41624">
            <v>43194</v>
          </cell>
        </row>
        <row r="41625">
          <cell r="A41625">
            <v>43535</v>
          </cell>
        </row>
        <row r="41626">
          <cell r="A41626">
            <v>43572</v>
          </cell>
        </row>
        <row r="41627">
          <cell r="A41627">
            <v>43192</v>
          </cell>
        </row>
        <row r="41628">
          <cell r="A41628">
            <v>43561</v>
          </cell>
        </row>
        <row r="41629">
          <cell r="A41629">
            <v>43362</v>
          </cell>
        </row>
        <row r="41630">
          <cell r="A41630">
            <v>43254</v>
          </cell>
        </row>
        <row r="41631">
          <cell r="A41631">
            <v>43421</v>
          </cell>
        </row>
        <row r="41632">
          <cell r="A41632">
            <v>43406</v>
          </cell>
        </row>
        <row r="41633">
          <cell r="A41633">
            <v>43373</v>
          </cell>
        </row>
        <row r="41634">
          <cell r="A41634">
            <v>43334</v>
          </cell>
        </row>
        <row r="41635">
          <cell r="A41635">
            <v>43458</v>
          </cell>
        </row>
        <row r="41636">
          <cell r="A41636">
            <v>43114</v>
          </cell>
        </row>
        <row r="41637">
          <cell r="A41637">
            <v>43642</v>
          </cell>
        </row>
        <row r="41638">
          <cell r="A41638">
            <v>43404</v>
          </cell>
        </row>
        <row r="41639">
          <cell r="A41639">
            <v>43380</v>
          </cell>
        </row>
        <row r="41640">
          <cell r="A41640">
            <v>43365</v>
          </cell>
        </row>
        <row r="41641">
          <cell r="A41641">
            <v>43404</v>
          </cell>
        </row>
        <row r="41642">
          <cell r="A41642">
            <v>43675</v>
          </cell>
        </row>
        <row r="41643">
          <cell r="A41643">
            <v>43108</v>
          </cell>
        </row>
        <row r="41644">
          <cell r="A41644">
            <v>43853</v>
          </cell>
        </row>
        <row r="41645">
          <cell r="A41645">
            <v>43299</v>
          </cell>
        </row>
        <row r="41646">
          <cell r="A41646">
            <v>43851</v>
          </cell>
        </row>
        <row r="41647">
          <cell r="A41647">
            <v>43691</v>
          </cell>
        </row>
        <row r="41648">
          <cell r="A41648">
            <v>43492</v>
          </cell>
        </row>
        <row r="41649">
          <cell r="A41649">
            <v>43616</v>
          </cell>
        </row>
        <row r="41650">
          <cell r="A41650">
            <v>43427</v>
          </cell>
        </row>
        <row r="41651">
          <cell r="A41651">
            <v>43771</v>
          </cell>
        </row>
        <row r="41652">
          <cell r="A41652">
            <v>43787</v>
          </cell>
        </row>
        <row r="41653">
          <cell r="A41653">
            <v>43829</v>
          </cell>
        </row>
        <row r="41654">
          <cell r="A41654">
            <v>43190</v>
          </cell>
        </row>
        <row r="41655">
          <cell r="A41655">
            <v>43304</v>
          </cell>
        </row>
        <row r="41656">
          <cell r="A41656">
            <v>43517</v>
          </cell>
        </row>
        <row r="41657">
          <cell r="A41657">
            <v>43556</v>
          </cell>
        </row>
        <row r="41658">
          <cell r="A41658">
            <v>43812</v>
          </cell>
        </row>
        <row r="41659">
          <cell r="A41659">
            <v>43457</v>
          </cell>
        </row>
        <row r="41660">
          <cell r="A41660">
            <v>43259</v>
          </cell>
        </row>
        <row r="41661">
          <cell r="A41661">
            <v>43474</v>
          </cell>
        </row>
        <row r="41662">
          <cell r="A41662">
            <v>43195</v>
          </cell>
        </row>
        <row r="41663">
          <cell r="A41663">
            <v>43252</v>
          </cell>
        </row>
        <row r="41664">
          <cell r="A41664">
            <v>43833</v>
          </cell>
        </row>
        <row r="41665">
          <cell r="A41665">
            <v>43585</v>
          </cell>
        </row>
        <row r="41666">
          <cell r="A41666">
            <v>43393</v>
          </cell>
        </row>
        <row r="41667">
          <cell r="A41667">
            <v>43687</v>
          </cell>
        </row>
        <row r="41668">
          <cell r="A41668">
            <v>43772</v>
          </cell>
        </row>
        <row r="41669">
          <cell r="A41669">
            <v>43471</v>
          </cell>
        </row>
        <row r="41670">
          <cell r="A41670">
            <v>43129</v>
          </cell>
        </row>
        <row r="41671">
          <cell r="A41671">
            <v>43581</v>
          </cell>
        </row>
        <row r="41672">
          <cell r="A41672">
            <v>43392</v>
          </cell>
        </row>
        <row r="41673">
          <cell r="A41673">
            <v>43381</v>
          </cell>
        </row>
        <row r="41674">
          <cell r="A41674">
            <v>43403</v>
          </cell>
        </row>
        <row r="41675">
          <cell r="A41675">
            <v>43281</v>
          </cell>
        </row>
        <row r="41676">
          <cell r="A41676">
            <v>43837</v>
          </cell>
        </row>
        <row r="41677">
          <cell r="A41677">
            <v>43299</v>
          </cell>
        </row>
        <row r="41678">
          <cell r="A41678">
            <v>43395</v>
          </cell>
        </row>
        <row r="41679">
          <cell r="A41679">
            <v>43657</v>
          </cell>
        </row>
        <row r="41680">
          <cell r="A41680">
            <v>43245</v>
          </cell>
        </row>
        <row r="41681">
          <cell r="A41681">
            <v>43648</v>
          </cell>
        </row>
        <row r="41682">
          <cell r="A41682">
            <v>43517</v>
          </cell>
        </row>
        <row r="41683">
          <cell r="A41683">
            <v>43904</v>
          </cell>
        </row>
        <row r="41684">
          <cell r="A41684">
            <v>43423</v>
          </cell>
        </row>
        <row r="41685">
          <cell r="A41685">
            <v>43138</v>
          </cell>
        </row>
        <row r="41686">
          <cell r="A41686">
            <v>43681</v>
          </cell>
        </row>
        <row r="41687">
          <cell r="A41687">
            <v>43695</v>
          </cell>
        </row>
        <row r="41688">
          <cell r="A41688">
            <v>43110</v>
          </cell>
        </row>
        <row r="41689">
          <cell r="A41689">
            <v>43207</v>
          </cell>
        </row>
        <row r="41690">
          <cell r="A41690">
            <v>43894</v>
          </cell>
        </row>
        <row r="41691">
          <cell r="A41691">
            <v>43639</v>
          </cell>
        </row>
        <row r="41692">
          <cell r="A41692">
            <v>43612</v>
          </cell>
        </row>
        <row r="41693">
          <cell r="A41693">
            <v>43167</v>
          </cell>
        </row>
        <row r="41694">
          <cell r="A41694">
            <v>43155</v>
          </cell>
        </row>
        <row r="41695">
          <cell r="A41695">
            <v>43594</v>
          </cell>
        </row>
        <row r="41696">
          <cell r="A41696">
            <v>43778</v>
          </cell>
        </row>
        <row r="41697">
          <cell r="A41697">
            <v>43471</v>
          </cell>
        </row>
        <row r="41698">
          <cell r="A41698">
            <v>43577</v>
          </cell>
        </row>
        <row r="41699">
          <cell r="A41699">
            <v>43600</v>
          </cell>
        </row>
        <row r="41700">
          <cell r="A41700">
            <v>43639</v>
          </cell>
        </row>
        <row r="41701">
          <cell r="A41701">
            <v>43766</v>
          </cell>
        </row>
        <row r="41702">
          <cell r="A41702">
            <v>43297</v>
          </cell>
        </row>
        <row r="41703">
          <cell r="A41703">
            <v>43272</v>
          </cell>
        </row>
        <row r="41704">
          <cell r="A41704">
            <v>43435</v>
          </cell>
        </row>
        <row r="41705">
          <cell r="A41705">
            <v>43906</v>
          </cell>
        </row>
        <row r="41706">
          <cell r="A41706">
            <v>43539</v>
          </cell>
        </row>
        <row r="41707">
          <cell r="A41707">
            <v>43903</v>
          </cell>
        </row>
        <row r="41708">
          <cell r="A41708">
            <v>43590</v>
          </cell>
        </row>
        <row r="41709">
          <cell r="A41709">
            <v>43515</v>
          </cell>
        </row>
        <row r="41710">
          <cell r="A41710">
            <v>43498</v>
          </cell>
        </row>
        <row r="41711">
          <cell r="A41711">
            <v>43859</v>
          </cell>
        </row>
        <row r="41712">
          <cell r="A41712">
            <v>43618</v>
          </cell>
        </row>
        <row r="41713">
          <cell r="A41713">
            <v>43637</v>
          </cell>
        </row>
        <row r="41714">
          <cell r="A41714">
            <v>43130</v>
          </cell>
        </row>
        <row r="41715">
          <cell r="A41715">
            <v>43146</v>
          </cell>
        </row>
        <row r="41716">
          <cell r="A41716">
            <v>43615</v>
          </cell>
        </row>
        <row r="41717">
          <cell r="A41717">
            <v>43245</v>
          </cell>
        </row>
        <row r="41718">
          <cell r="A41718">
            <v>43368</v>
          </cell>
        </row>
        <row r="41719">
          <cell r="A41719">
            <v>43205</v>
          </cell>
        </row>
        <row r="41720">
          <cell r="A41720">
            <v>43752</v>
          </cell>
        </row>
        <row r="41721">
          <cell r="A41721">
            <v>43857</v>
          </cell>
        </row>
        <row r="41722">
          <cell r="A41722">
            <v>43496</v>
          </cell>
        </row>
        <row r="41723">
          <cell r="A41723">
            <v>43184</v>
          </cell>
        </row>
        <row r="41724">
          <cell r="A41724">
            <v>43236</v>
          </cell>
        </row>
        <row r="41725">
          <cell r="A41725">
            <v>43913</v>
          </cell>
        </row>
        <row r="41726">
          <cell r="A41726">
            <v>43443</v>
          </cell>
        </row>
        <row r="41727">
          <cell r="A41727">
            <v>43534</v>
          </cell>
        </row>
        <row r="41728">
          <cell r="A41728">
            <v>43440</v>
          </cell>
        </row>
        <row r="41729">
          <cell r="A41729">
            <v>43806</v>
          </cell>
        </row>
        <row r="41730">
          <cell r="A41730">
            <v>43496</v>
          </cell>
        </row>
        <row r="41731">
          <cell r="A41731">
            <v>43305</v>
          </cell>
        </row>
        <row r="41732">
          <cell r="A41732">
            <v>43131</v>
          </cell>
        </row>
        <row r="41733">
          <cell r="A41733">
            <v>43151</v>
          </cell>
        </row>
        <row r="41734">
          <cell r="A41734">
            <v>43847</v>
          </cell>
        </row>
        <row r="41735">
          <cell r="A41735">
            <v>43439</v>
          </cell>
        </row>
        <row r="41736">
          <cell r="A41736">
            <v>43449</v>
          </cell>
        </row>
        <row r="41737">
          <cell r="A41737">
            <v>43800</v>
          </cell>
        </row>
        <row r="41738">
          <cell r="A41738">
            <v>43343</v>
          </cell>
        </row>
        <row r="41739">
          <cell r="A41739">
            <v>43768</v>
          </cell>
        </row>
        <row r="41740">
          <cell r="A41740">
            <v>43706</v>
          </cell>
        </row>
        <row r="41741">
          <cell r="A41741">
            <v>43494</v>
          </cell>
        </row>
        <row r="41742">
          <cell r="A41742">
            <v>43884</v>
          </cell>
        </row>
        <row r="41743">
          <cell r="A41743">
            <v>43281</v>
          </cell>
        </row>
        <row r="41744">
          <cell r="A41744">
            <v>43754</v>
          </cell>
        </row>
        <row r="41745">
          <cell r="A41745">
            <v>43785</v>
          </cell>
        </row>
        <row r="41746">
          <cell r="A41746">
            <v>43318</v>
          </cell>
        </row>
        <row r="41747">
          <cell r="A41747">
            <v>43672</v>
          </cell>
        </row>
        <row r="41748">
          <cell r="A41748">
            <v>43773</v>
          </cell>
        </row>
        <row r="41749">
          <cell r="A41749">
            <v>43866</v>
          </cell>
        </row>
        <row r="41750">
          <cell r="A41750">
            <v>43144</v>
          </cell>
        </row>
        <row r="41751">
          <cell r="A41751">
            <v>43809</v>
          </cell>
        </row>
        <row r="41752">
          <cell r="A41752">
            <v>43318</v>
          </cell>
        </row>
        <row r="41753">
          <cell r="A41753">
            <v>43515</v>
          </cell>
        </row>
        <row r="41754">
          <cell r="A41754">
            <v>43869</v>
          </cell>
        </row>
        <row r="41755">
          <cell r="A41755">
            <v>43428</v>
          </cell>
        </row>
        <row r="41756">
          <cell r="A41756">
            <v>43213</v>
          </cell>
        </row>
        <row r="41757">
          <cell r="A41757">
            <v>43560</v>
          </cell>
        </row>
        <row r="41758">
          <cell r="A41758">
            <v>43364</v>
          </cell>
        </row>
        <row r="41759">
          <cell r="A41759">
            <v>43813</v>
          </cell>
        </row>
        <row r="41760">
          <cell r="A41760">
            <v>43600</v>
          </cell>
        </row>
        <row r="41761">
          <cell r="A41761">
            <v>43256</v>
          </cell>
        </row>
        <row r="41762">
          <cell r="A41762">
            <v>43148</v>
          </cell>
        </row>
        <row r="41763">
          <cell r="A41763">
            <v>43369</v>
          </cell>
        </row>
        <row r="41764">
          <cell r="A41764">
            <v>43709</v>
          </cell>
        </row>
        <row r="41765">
          <cell r="A41765">
            <v>43190</v>
          </cell>
        </row>
        <row r="41766">
          <cell r="A41766">
            <v>43370</v>
          </cell>
        </row>
        <row r="41767">
          <cell r="A41767">
            <v>43237</v>
          </cell>
        </row>
        <row r="41768">
          <cell r="A41768">
            <v>43843</v>
          </cell>
        </row>
        <row r="41769">
          <cell r="A41769">
            <v>43844</v>
          </cell>
        </row>
        <row r="41770">
          <cell r="A41770">
            <v>43787</v>
          </cell>
        </row>
        <row r="41771">
          <cell r="A41771">
            <v>43623</v>
          </cell>
        </row>
        <row r="41772">
          <cell r="A41772">
            <v>43646</v>
          </cell>
        </row>
        <row r="41773">
          <cell r="A41773">
            <v>43352</v>
          </cell>
        </row>
        <row r="41774">
          <cell r="A41774">
            <v>43890</v>
          </cell>
        </row>
        <row r="41775">
          <cell r="A41775">
            <v>43176</v>
          </cell>
        </row>
        <row r="41776">
          <cell r="A41776">
            <v>43261</v>
          </cell>
        </row>
        <row r="41777">
          <cell r="A41777">
            <v>43588</v>
          </cell>
        </row>
        <row r="41778">
          <cell r="A41778">
            <v>43165</v>
          </cell>
        </row>
        <row r="41779">
          <cell r="A41779">
            <v>43641</v>
          </cell>
        </row>
        <row r="41780">
          <cell r="A41780">
            <v>43361</v>
          </cell>
        </row>
        <row r="41781">
          <cell r="A41781">
            <v>43794</v>
          </cell>
        </row>
        <row r="41782">
          <cell r="A41782">
            <v>43412</v>
          </cell>
        </row>
        <row r="41783">
          <cell r="A41783">
            <v>43361</v>
          </cell>
        </row>
        <row r="41784">
          <cell r="A41784">
            <v>43812</v>
          </cell>
        </row>
        <row r="41785">
          <cell r="A41785">
            <v>43209</v>
          </cell>
        </row>
        <row r="41786">
          <cell r="A41786">
            <v>43532</v>
          </cell>
        </row>
        <row r="41787">
          <cell r="A41787">
            <v>43657</v>
          </cell>
        </row>
        <row r="41788">
          <cell r="A41788">
            <v>43907</v>
          </cell>
        </row>
        <row r="41789">
          <cell r="A41789">
            <v>43850</v>
          </cell>
        </row>
        <row r="41790">
          <cell r="A41790">
            <v>43599</v>
          </cell>
        </row>
        <row r="41791">
          <cell r="A41791">
            <v>43683</v>
          </cell>
        </row>
        <row r="41792">
          <cell r="A41792">
            <v>43643</v>
          </cell>
        </row>
        <row r="41793">
          <cell r="A41793">
            <v>43301</v>
          </cell>
        </row>
        <row r="41794">
          <cell r="A41794">
            <v>43335</v>
          </cell>
        </row>
        <row r="41795">
          <cell r="A41795">
            <v>43383</v>
          </cell>
        </row>
        <row r="41796">
          <cell r="A41796">
            <v>43373</v>
          </cell>
        </row>
        <row r="41797">
          <cell r="A41797">
            <v>43400</v>
          </cell>
        </row>
        <row r="41798">
          <cell r="A41798">
            <v>43385</v>
          </cell>
        </row>
        <row r="41799">
          <cell r="A41799">
            <v>43838</v>
          </cell>
        </row>
        <row r="41800">
          <cell r="A41800">
            <v>43750</v>
          </cell>
        </row>
        <row r="41801">
          <cell r="A41801">
            <v>43424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"/>
  <sheetViews>
    <sheetView tabSelected="1" zoomScale="115" zoomScaleNormal="115" workbookViewId="0">
      <selection activeCell="D5" sqref="D5"/>
    </sheetView>
  </sheetViews>
  <sheetFormatPr defaultColWidth="22.88671875" defaultRowHeight="25.8" customHeight="1" x14ac:dyDescent="0.25"/>
  <cols>
    <col min="1" max="3" width="22.88671875" style="1" customWidth="1"/>
    <col min="4" max="4" width="18.44140625" style="1" customWidth="1"/>
    <col min="5" max="5" width="22.88671875" style="1" customWidth="1"/>
    <col min="6" max="6" width="17.77734375" style="1" customWidth="1"/>
    <col min="7" max="12" width="17.33203125" style="1" customWidth="1"/>
    <col min="13" max="14" width="19.5546875" style="1" customWidth="1"/>
    <col min="15" max="16384" width="22.88671875" style="1"/>
  </cols>
  <sheetData>
    <row r="1" spans="1:14" ht="25.8" customHeight="1" x14ac:dyDescent="0.25">
      <c r="A1" s="27" t="s">
        <v>2406</v>
      </c>
      <c r="B1" s="27"/>
      <c r="C1" s="27"/>
      <c r="E1" s="30" t="s">
        <v>2408</v>
      </c>
      <c r="F1" s="31"/>
      <c r="G1" s="31"/>
      <c r="H1" s="31"/>
      <c r="I1" s="31"/>
      <c r="J1" s="31"/>
      <c r="K1" s="31"/>
      <c r="L1" s="31"/>
    </row>
    <row r="2" spans="1:14" ht="25.8" customHeight="1" x14ac:dyDescent="0.25">
      <c r="A2" s="27"/>
      <c r="B2" s="27"/>
      <c r="C2" s="27"/>
      <c r="D2" s="1" t="s">
        <v>2426</v>
      </c>
      <c r="E2" s="32"/>
      <c r="F2" s="33"/>
      <c r="G2" s="33"/>
      <c r="H2" s="33"/>
      <c r="I2" s="33"/>
      <c r="J2" s="33"/>
      <c r="K2" s="33"/>
      <c r="L2" s="33"/>
      <c r="M2" s="38" t="s">
        <v>2418</v>
      </c>
      <c r="N2" s="39">
        <v>0.03</v>
      </c>
    </row>
    <row r="3" spans="1:14" ht="25.8" customHeight="1" x14ac:dyDescent="0.25">
      <c r="A3" s="28"/>
      <c r="B3" s="28"/>
      <c r="C3" s="28"/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</row>
    <row r="4" spans="1:14" ht="25.8" customHeight="1" x14ac:dyDescent="0.25">
      <c r="A4" s="28"/>
      <c r="B4" s="28"/>
      <c r="C4" s="28"/>
      <c r="E4" s="2" t="s">
        <v>3</v>
      </c>
      <c r="F4" s="3">
        <v>879</v>
      </c>
      <c r="G4" s="2">
        <v>223</v>
      </c>
      <c r="H4" s="2">
        <v>149</v>
      </c>
      <c r="I4" s="2">
        <v>220</v>
      </c>
      <c r="J4" s="3"/>
      <c r="K4" s="3"/>
      <c r="L4" s="3"/>
    </row>
    <row r="5" spans="1:14" ht="25.8" customHeight="1" x14ac:dyDescent="0.25">
      <c r="E5" s="2" t="s">
        <v>4</v>
      </c>
      <c r="F5" s="3">
        <v>899</v>
      </c>
      <c r="G5" s="2">
        <v>251</v>
      </c>
      <c r="H5" s="2">
        <v>132</v>
      </c>
      <c r="I5" s="2">
        <v>203</v>
      </c>
      <c r="J5" s="3"/>
      <c r="K5" s="3"/>
      <c r="L5" s="3"/>
    </row>
    <row r="6" spans="1:14" ht="25.8" customHeight="1" x14ac:dyDescent="0.25">
      <c r="A6" s="27" t="s">
        <v>2407</v>
      </c>
      <c r="B6" s="27"/>
      <c r="C6" s="27"/>
      <c r="E6" s="2" t="s">
        <v>0</v>
      </c>
      <c r="F6" s="3">
        <v>499</v>
      </c>
      <c r="G6" s="2">
        <v>154</v>
      </c>
      <c r="H6" s="2">
        <v>223</v>
      </c>
      <c r="I6" s="2">
        <v>131</v>
      </c>
      <c r="J6" s="3"/>
      <c r="K6" s="3"/>
      <c r="L6" s="3"/>
    </row>
    <row r="7" spans="1:14" ht="25.8" customHeight="1" x14ac:dyDescent="0.25">
      <c r="A7" s="27"/>
      <c r="B7" s="27"/>
      <c r="C7" s="27"/>
      <c r="E7" s="2" t="s">
        <v>1</v>
      </c>
      <c r="F7" s="3">
        <v>518</v>
      </c>
      <c r="G7" s="2">
        <v>130</v>
      </c>
      <c r="H7" s="2">
        <v>260</v>
      </c>
      <c r="I7" s="2">
        <v>179</v>
      </c>
      <c r="J7" s="3"/>
      <c r="K7" s="3"/>
      <c r="L7" s="3"/>
    </row>
    <row r="8" spans="1:14" ht="25.8" customHeight="1" x14ac:dyDescent="0.25">
      <c r="A8" s="2">
        <v>31</v>
      </c>
      <c r="B8" s="2">
        <v>18</v>
      </c>
      <c r="C8" s="2">
        <v>91</v>
      </c>
      <c r="E8" s="2" t="s">
        <v>2</v>
      </c>
      <c r="F8" s="3">
        <v>568</v>
      </c>
      <c r="G8" s="2">
        <v>241</v>
      </c>
      <c r="H8" s="2">
        <v>164</v>
      </c>
      <c r="I8" s="2">
        <v>191</v>
      </c>
      <c r="J8" s="3"/>
      <c r="K8" s="3"/>
      <c r="L8" s="3"/>
    </row>
    <row r="9" spans="1:14" ht="25.8" customHeight="1" x14ac:dyDescent="0.25">
      <c r="A9" s="2">
        <v>36</v>
      </c>
      <c r="B9" s="2">
        <v>42</v>
      </c>
      <c r="C9" s="2">
        <v>102</v>
      </c>
    </row>
    <row r="10" spans="1:14" ht="25.8" customHeight="1" x14ac:dyDescent="0.25">
      <c r="A10" s="2">
        <v>27</v>
      </c>
      <c r="B10" s="2">
        <v>33</v>
      </c>
      <c r="C10" s="2">
        <v>78</v>
      </c>
      <c r="E10" s="26" t="s">
        <v>13</v>
      </c>
      <c r="F10" s="26"/>
      <c r="G10" s="26"/>
      <c r="I10" s="26" t="s">
        <v>14</v>
      </c>
      <c r="J10" s="26"/>
      <c r="K10" s="26"/>
    </row>
    <row r="11" spans="1:14" ht="25.8" customHeight="1" x14ac:dyDescent="0.25">
      <c r="A11" s="2">
        <v>35</v>
      </c>
      <c r="B11" s="2">
        <v>99</v>
      </c>
      <c r="C11" s="2">
        <v>86</v>
      </c>
      <c r="E11" s="26"/>
      <c r="F11" s="26"/>
      <c r="G11" s="26"/>
      <c r="I11" s="26"/>
      <c r="J11" s="26"/>
      <c r="K11" s="26"/>
    </row>
    <row r="12" spans="1:14" ht="25.8" customHeight="1" x14ac:dyDescent="0.25">
      <c r="A12" s="29">
        <f>SUM(A8:A10,B9:B11,C10:C11)</f>
        <v>432</v>
      </c>
      <c r="B12" s="29"/>
      <c r="C12" s="29"/>
      <c r="E12" s="3"/>
      <c r="F12" s="3"/>
      <c r="G12" s="3"/>
      <c r="I12" s="3"/>
      <c r="J12" s="3"/>
      <c r="K12" s="3"/>
    </row>
    <row r="13" spans="1:14" ht="25.8" customHeight="1" x14ac:dyDescent="0.25">
      <c r="A13" s="29"/>
      <c r="B13" s="29"/>
      <c r="C13" s="29"/>
      <c r="E13" s="3"/>
      <c r="F13" s="3"/>
      <c r="G13" s="3"/>
      <c r="I13" s="3"/>
      <c r="J13" s="3"/>
      <c r="K13" s="3"/>
    </row>
    <row r="14" spans="1:14" ht="25.8" customHeight="1" x14ac:dyDescent="0.25">
      <c r="E14" s="3"/>
      <c r="F14" s="3"/>
      <c r="G14" s="3"/>
      <c r="I14" s="3"/>
      <c r="J14" s="3"/>
      <c r="K14" s="3"/>
    </row>
    <row r="16" spans="1:14" ht="25.8" customHeight="1" x14ac:dyDescent="0.25">
      <c r="E16" s="26" t="s">
        <v>2409</v>
      </c>
      <c r="F16" s="26"/>
      <c r="G16" s="26"/>
      <c r="I16" s="26" t="s">
        <v>2410</v>
      </c>
      <c r="J16" s="26"/>
      <c r="K16" s="26"/>
    </row>
    <row r="17" spans="5:11" ht="25.8" customHeight="1" x14ac:dyDescent="0.25">
      <c r="E17" s="26"/>
      <c r="F17" s="26"/>
      <c r="G17" s="26"/>
      <c r="I17" s="26"/>
      <c r="J17" s="26"/>
      <c r="K17" s="26"/>
    </row>
    <row r="18" spans="5:11" ht="25.8" customHeight="1" x14ac:dyDescent="0.25">
      <c r="E18" s="3">
        <f>$F4</f>
        <v>879</v>
      </c>
      <c r="F18" s="3"/>
      <c r="G18" s="3"/>
      <c r="I18" s="3">
        <f>F$4</f>
        <v>879</v>
      </c>
      <c r="J18" s="3"/>
      <c r="K18" s="3"/>
    </row>
    <row r="19" spans="5:11" ht="25.8" customHeight="1" x14ac:dyDescent="0.25">
      <c r="E19" s="3"/>
      <c r="F19" s="3"/>
      <c r="G19" s="3"/>
      <c r="I19" s="3"/>
      <c r="J19" s="3"/>
      <c r="K19" s="3"/>
    </row>
    <row r="20" spans="5:11" ht="25.8" customHeight="1" x14ac:dyDescent="0.25">
      <c r="E20" s="3"/>
      <c r="F20" s="3"/>
      <c r="G20" s="3"/>
      <c r="I20" s="3"/>
      <c r="J20" s="3"/>
      <c r="K20" s="3"/>
    </row>
  </sheetData>
  <mergeCells count="9">
    <mergeCell ref="E16:G17"/>
    <mergeCell ref="I16:K17"/>
    <mergeCell ref="A1:C2"/>
    <mergeCell ref="A3:C4"/>
    <mergeCell ref="A6:C7"/>
    <mergeCell ref="A12:C13"/>
    <mergeCell ref="E1:L2"/>
    <mergeCell ref="E10:G11"/>
    <mergeCell ref="I10:K11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1D833-34BE-4C8C-8BC0-E8654B74E422}">
  <dimension ref="A1:C31"/>
  <sheetViews>
    <sheetView workbookViewId="0">
      <selection activeCell="C12" sqref="C12"/>
    </sheetView>
  </sheetViews>
  <sheetFormatPr defaultColWidth="22.88671875" defaultRowHeight="30" customHeight="1" x14ac:dyDescent="0.25"/>
  <cols>
    <col min="1" max="1" width="22.88671875" style="42"/>
    <col min="2" max="2" width="32.5546875" style="1" customWidth="1"/>
    <col min="3" max="3" width="38.6640625" style="1" customWidth="1"/>
    <col min="4" max="16384" width="22.88671875" style="1"/>
  </cols>
  <sheetData>
    <row r="1" spans="1:3" s="22" customFormat="1" ht="35.4" customHeight="1" thickBot="1" x14ac:dyDescent="0.3">
      <c r="A1" s="23" t="s">
        <v>2415</v>
      </c>
      <c r="B1" s="24" t="s">
        <v>2416</v>
      </c>
      <c r="C1" s="24" t="s">
        <v>2417</v>
      </c>
    </row>
    <row r="2" spans="1:3" ht="30" customHeight="1" thickBot="1" x14ac:dyDescent="0.3">
      <c r="A2" s="41">
        <v>155.99</v>
      </c>
      <c r="B2" s="40"/>
      <c r="C2" s="25"/>
    </row>
    <row r="3" spans="1:3" ht="30" customHeight="1" thickBot="1" x14ac:dyDescent="0.3">
      <c r="A3" s="41">
        <v>6.48</v>
      </c>
      <c r="B3" s="40"/>
    </row>
    <row r="4" spans="1:3" ht="30" customHeight="1" thickBot="1" x14ac:dyDescent="0.3">
      <c r="A4" s="41">
        <v>5.68</v>
      </c>
      <c r="B4" s="40"/>
    </row>
    <row r="5" spans="1:3" ht="30" customHeight="1" thickBot="1" x14ac:dyDescent="0.3">
      <c r="A5" s="41">
        <v>22.84</v>
      </c>
      <c r="B5" s="40"/>
    </row>
    <row r="6" spans="1:3" ht="30" customHeight="1" thickBot="1" x14ac:dyDescent="0.3">
      <c r="A6" s="41">
        <v>179.99</v>
      </c>
      <c r="B6" s="40"/>
    </row>
    <row r="7" spans="1:3" ht="30" customHeight="1" thickBot="1" x14ac:dyDescent="0.3">
      <c r="A7" s="41">
        <v>115.99</v>
      </c>
      <c r="B7" s="40"/>
    </row>
    <row r="8" spans="1:3" ht="30" customHeight="1" thickBot="1" x14ac:dyDescent="0.3">
      <c r="A8" s="41">
        <v>5.99</v>
      </c>
      <c r="B8" s="40"/>
    </row>
    <row r="9" spans="1:3" ht="30" customHeight="1" thickBot="1" x14ac:dyDescent="0.3">
      <c r="A9" s="41">
        <v>5.81</v>
      </c>
      <c r="B9" s="40"/>
    </row>
    <row r="10" spans="1:3" ht="30" customHeight="1" thickBot="1" x14ac:dyDescent="0.3">
      <c r="A10" s="41">
        <v>2.21</v>
      </c>
      <c r="B10" s="40"/>
    </row>
    <row r="11" spans="1:3" ht="30" customHeight="1" thickBot="1" x14ac:dyDescent="0.3">
      <c r="A11" s="41">
        <v>85.99</v>
      </c>
      <c r="B11" s="40"/>
    </row>
    <row r="12" spans="1:3" ht="30" customHeight="1" thickBot="1" x14ac:dyDescent="0.3">
      <c r="A12" s="41">
        <v>48.58</v>
      </c>
      <c r="B12" s="40"/>
    </row>
    <row r="13" spans="1:3" ht="30" customHeight="1" thickBot="1" x14ac:dyDescent="0.3">
      <c r="A13" s="41">
        <v>39.479999999999997</v>
      </c>
      <c r="B13" s="40"/>
    </row>
    <row r="14" spans="1:3" ht="30" customHeight="1" thickBot="1" x14ac:dyDescent="0.3">
      <c r="A14" s="41">
        <v>124.49</v>
      </c>
      <c r="B14" s="40"/>
    </row>
    <row r="15" spans="1:3" ht="30" customHeight="1" thickBot="1" x14ac:dyDescent="0.3">
      <c r="A15" s="41">
        <v>146.05000000000001</v>
      </c>
      <c r="B15" s="40"/>
    </row>
    <row r="16" spans="1:3" ht="30" customHeight="1" thickBot="1" x14ac:dyDescent="0.3">
      <c r="A16" s="41">
        <v>3.69</v>
      </c>
      <c r="B16" s="40"/>
    </row>
    <row r="17" spans="1:2" ht="30" customHeight="1" thickBot="1" x14ac:dyDescent="0.3">
      <c r="A17" s="41">
        <v>3.85</v>
      </c>
      <c r="B17" s="40"/>
    </row>
    <row r="18" spans="1:2" ht="30" customHeight="1" thickBot="1" x14ac:dyDescent="0.3">
      <c r="A18" s="41">
        <v>11.7</v>
      </c>
      <c r="B18" s="40"/>
    </row>
    <row r="19" spans="1:2" ht="30" customHeight="1" thickBot="1" x14ac:dyDescent="0.3">
      <c r="A19" s="41">
        <v>65.989999999999995</v>
      </c>
      <c r="B19" s="40"/>
    </row>
    <row r="20" spans="1:2" ht="30" customHeight="1" thickBot="1" x14ac:dyDescent="0.3">
      <c r="A20" s="41">
        <v>500.98</v>
      </c>
      <c r="B20" s="40"/>
    </row>
    <row r="21" spans="1:2" ht="30" customHeight="1" thickBot="1" x14ac:dyDescent="0.3">
      <c r="A21" s="41">
        <v>178.47</v>
      </c>
      <c r="B21" s="40"/>
    </row>
    <row r="22" spans="1:2" ht="30" customHeight="1" thickBot="1" x14ac:dyDescent="0.3">
      <c r="A22" s="41">
        <v>4.9800000000000004</v>
      </c>
      <c r="B22" s="40"/>
    </row>
    <row r="23" spans="1:2" ht="30" customHeight="1" thickBot="1" x14ac:dyDescent="0.3">
      <c r="A23" s="41">
        <v>5.78</v>
      </c>
      <c r="B23" s="40"/>
    </row>
    <row r="24" spans="1:2" ht="30" customHeight="1" thickBot="1" x14ac:dyDescent="0.3">
      <c r="A24" s="41">
        <v>65.989999999999995</v>
      </c>
      <c r="B24" s="40"/>
    </row>
    <row r="25" spans="1:2" ht="30" customHeight="1" thickBot="1" x14ac:dyDescent="0.3">
      <c r="A25" s="41">
        <v>7.38</v>
      </c>
      <c r="B25" s="40"/>
    </row>
    <row r="26" spans="1:2" ht="30" customHeight="1" thickBot="1" x14ac:dyDescent="0.3">
      <c r="A26" s="41">
        <v>34.58</v>
      </c>
      <c r="B26" s="40"/>
    </row>
    <row r="27" spans="1:2" ht="30" customHeight="1" thickBot="1" x14ac:dyDescent="0.3">
      <c r="A27" s="41">
        <v>15.7</v>
      </c>
      <c r="B27" s="40"/>
    </row>
    <row r="28" spans="1:2" ht="30" customHeight="1" thickBot="1" x14ac:dyDescent="0.3">
      <c r="A28" s="41">
        <v>6.08</v>
      </c>
      <c r="B28" s="40"/>
    </row>
    <row r="29" spans="1:2" ht="30" customHeight="1" thickBot="1" x14ac:dyDescent="0.3">
      <c r="A29" s="41">
        <v>115.99</v>
      </c>
      <c r="B29" s="40"/>
    </row>
    <row r="30" spans="1:2" ht="30" customHeight="1" thickBot="1" x14ac:dyDescent="0.3">
      <c r="A30" s="41">
        <v>195.99</v>
      </c>
      <c r="B30" s="40"/>
    </row>
    <row r="31" spans="1:2" ht="30" customHeight="1" thickBot="1" x14ac:dyDescent="0.3">
      <c r="A31" s="41">
        <v>10.89</v>
      </c>
      <c r="B31" s="40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C9FC4-AE72-468C-98C4-1595076E1346}">
  <dimension ref="A1:H7"/>
  <sheetViews>
    <sheetView workbookViewId="0">
      <selection activeCell="E11" sqref="E11"/>
    </sheetView>
  </sheetViews>
  <sheetFormatPr defaultColWidth="22.88671875" defaultRowHeight="30" customHeight="1" x14ac:dyDescent="0.25"/>
  <cols>
    <col min="1" max="1" width="19.77734375" style="42" customWidth="1"/>
    <col min="2" max="5" width="19.77734375" style="1" customWidth="1"/>
    <col min="6" max="16384" width="22.88671875" style="1"/>
  </cols>
  <sheetData>
    <row r="1" spans="1:8" s="22" customFormat="1" ht="35.4" customHeight="1" thickBot="1" x14ac:dyDescent="0.3">
      <c r="A1" s="43" t="s">
        <v>2415</v>
      </c>
      <c r="B1" s="44"/>
      <c r="C1" s="44"/>
      <c r="D1" s="44"/>
      <c r="E1" s="44"/>
      <c r="G1" s="24" t="s">
        <v>2422</v>
      </c>
      <c r="H1" s="24" t="s">
        <v>2421</v>
      </c>
    </row>
    <row r="2" spans="1:8" ht="30" customHeight="1" x14ac:dyDescent="0.25">
      <c r="A2" s="41">
        <v>155.99</v>
      </c>
      <c r="B2" s="41">
        <v>10.89</v>
      </c>
      <c r="C2" s="41" t="s">
        <v>2423</v>
      </c>
      <c r="D2" s="41">
        <v>65.989999999999995</v>
      </c>
      <c r="E2" s="41">
        <v>5.99</v>
      </c>
      <c r="G2" s="45"/>
      <c r="H2" s="45"/>
    </row>
    <row r="3" spans="1:8" ht="30" customHeight="1" thickBot="1" x14ac:dyDescent="0.3">
      <c r="A3" s="41">
        <v>6.48</v>
      </c>
      <c r="B3" s="41">
        <v>3.85</v>
      </c>
      <c r="C3" s="41">
        <v>85.99</v>
      </c>
      <c r="D3" s="41">
        <v>7.38</v>
      </c>
      <c r="E3" s="41">
        <v>5.81</v>
      </c>
      <c r="G3" s="46"/>
      <c r="H3" s="46"/>
    </row>
    <row r="4" spans="1:8" ht="30" customHeight="1" thickBot="1" x14ac:dyDescent="0.3">
      <c r="A4" s="41">
        <v>5.68</v>
      </c>
      <c r="B4" s="41">
        <v>11.7</v>
      </c>
      <c r="C4" s="41">
        <v>48.58</v>
      </c>
      <c r="D4" s="41">
        <v>34.58</v>
      </c>
      <c r="E4" s="41">
        <v>4.9800000000000004</v>
      </c>
      <c r="G4" s="24" t="s">
        <v>2425</v>
      </c>
      <c r="H4" s="24" t="s">
        <v>2424</v>
      </c>
    </row>
    <row r="5" spans="1:8" ht="30" customHeight="1" x14ac:dyDescent="0.25">
      <c r="A5" s="41">
        <v>22.84</v>
      </c>
      <c r="B5" s="41">
        <v>65.989999999999995</v>
      </c>
      <c r="C5" s="41">
        <v>39.479999999999997</v>
      </c>
      <c r="D5" s="41">
        <v>15.7</v>
      </c>
      <c r="E5" s="41">
        <v>5.78</v>
      </c>
      <c r="G5" s="45"/>
      <c r="H5" s="45"/>
    </row>
    <row r="6" spans="1:8" ht="30" customHeight="1" thickBot="1" x14ac:dyDescent="0.3">
      <c r="A6" s="41">
        <v>179.99</v>
      </c>
      <c r="B6" s="41">
        <v>500.98</v>
      </c>
      <c r="C6" s="41">
        <v>124.49</v>
      </c>
      <c r="D6" s="41">
        <v>6.08</v>
      </c>
      <c r="E6" s="41">
        <v>3.69</v>
      </c>
      <c r="G6" s="46"/>
      <c r="H6" s="46"/>
    </row>
    <row r="7" spans="1:8" ht="30" customHeight="1" x14ac:dyDescent="0.25">
      <c r="A7" s="41">
        <v>115.99</v>
      </c>
      <c r="B7" s="41">
        <v>178.47</v>
      </c>
      <c r="C7" s="41">
        <v>146.05000000000001</v>
      </c>
      <c r="D7" s="41">
        <v>115.99</v>
      </c>
      <c r="E7" s="41">
        <v>195.99</v>
      </c>
    </row>
  </sheetData>
  <mergeCells count="5">
    <mergeCell ref="A1:E1"/>
    <mergeCell ref="G2:G3"/>
    <mergeCell ref="H2:H3"/>
    <mergeCell ref="G5:G6"/>
    <mergeCell ref="H5:H6"/>
  </mergeCells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07794-1E8B-4541-817B-35715132F296}">
  <dimension ref="A1:W8569"/>
  <sheetViews>
    <sheetView zoomScale="115" zoomScaleNormal="115" workbookViewId="0">
      <selection activeCell="T2" sqref="T2:U20"/>
    </sheetView>
  </sheetViews>
  <sheetFormatPr defaultRowHeight="21" customHeight="1" x14ac:dyDescent="0.25"/>
  <cols>
    <col min="1" max="1" width="14.33203125" style="6" bestFit="1" customWidth="1"/>
    <col min="2" max="2" width="10.44140625" style="6" customWidth="1"/>
    <col min="3" max="3" width="9.88671875" style="6" hidden="1" customWidth="1"/>
    <col min="4" max="4" width="8.88671875" style="6" hidden="1" customWidth="1"/>
    <col min="5" max="5" width="10.6640625" style="7" customWidth="1"/>
    <col min="6" max="6" width="9.5546875" style="6" customWidth="1"/>
    <col min="7" max="7" width="9.77734375" style="6" hidden="1" customWidth="1"/>
    <col min="8" max="8" width="12.44140625" style="6" bestFit="1" customWidth="1"/>
    <col min="9" max="9" width="11.77734375" style="6" bestFit="1" customWidth="1"/>
    <col min="10" max="10" width="9.44140625" style="6" customWidth="1"/>
    <col min="11" max="11" width="8.6640625" style="6" hidden="1" customWidth="1"/>
    <col min="12" max="13" width="10" style="6" customWidth="1"/>
    <col min="14" max="14" width="12.88671875" style="6" customWidth="1"/>
    <col min="15" max="15" width="18.21875" style="6" hidden="1" customWidth="1"/>
    <col min="16" max="16" width="25.77734375" style="8" customWidth="1"/>
    <col min="17" max="17" width="15.5546875" style="6" customWidth="1"/>
    <col min="18" max="18" width="6" style="6" customWidth="1"/>
    <col min="19" max="19" width="21" style="6" customWidth="1"/>
    <col min="20" max="21" width="8.88671875" style="6"/>
    <col min="22" max="22" width="6.109375" style="6" customWidth="1"/>
    <col min="23" max="23" width="22.5546875" style="6" customWidth="1"/>
    <col min="24" max="16384" width="8.88671875" style="6"/>
  </cols>
  <sheetData>
    <row r="1" spans="1:23" ht="21" customHeight="1" x14ac:dyDescent="0.25">
      <c r="A1" s="9" t="s">
        <v>15</v>
      </c>
      <c r="B1" s="9" t="s">
        <v>2420</v>
      </c>
      <c r="C1" s="9" t="s">
        <v>16</v>
      </c>
      <c r="D1" s="9" t="s">
        <v>2419</v>
      </c>
      <c r="E1" s="10" t="s">
        <v>17</v>
      </c>
      <c r="F1" s="9" t="s">
        <v>18</v>
      </c>
      <c r="G1" s="9" t="s">
        <v>19</v>
      </c>
      <c r="H1" s="11" t="s">
        <v>20</v>
      </c>
      <c r="I1" s="12" t="s">
        <v>21</v>
      </c>
      <c r="J1" s="12" t="s">
        <v>22</v>
      </c>
      <c r="K1" s="12" t="s">
        <v>23</v>
      </c>
      <c r="L1" s="12" t="s">
        <v>24</v>
      </c>
      <c r="M1" s="9" t="s">
        <v>25</v>
      </c>
      <c r="N1" s="9" t="s">
        <v>26</v>
      </c>
      <c r="O1" s="9" t="s">
        <v>27</v>
      </c>
      <c r="P1" s="13" t="s">
        <v>28</v>
      </c>
      <c r="Q1" s="9" t="s">
        <v>29</v>
      </c>
      <c r="R1" s="4"/>
      <c r="S1" s="5"/>
    </row>
    <row r="2" spans="1:23" ht="21" customHeight="1" x14ac:dyDescent="0.25">
      <c r="A2" s="14">
        <f>DATE(2012,12,31)-810</f>
        <v>40464</v>
      </c>
      <c r="B2" s="15" t="s">
        <v>30</v>
      </c>
      <c r="C2" s="15" t="s">
        <v>31</v>
      </c>
      <c r="D2" s="16">
        <v>6</v>
      </c>
      <c r="E2" s="17">
        <v>261.54000000000002</v>
      </c>
      <c r="F2" s="16">
        <v>0.04</v>
      </c>
      <c r="G2" s="15" t="s">
        <v>32</v>
      </c>
      <c r="H2" s="18">
        <v>-213.25</v>
      </c>
      <c r="I2" s="19">
        <v>38.94</v>
      </c>
      <c r="J2" s="19">
        <v>35</v>
      </c>
      <c r="K2" s="19" t="s">
        <v>33</v>
      </c>
      <c r="L2" s="19" t="s">
        <v>34</v>
      </c>
      <c r="M2" s="15" t="s">
        <v>35</v>
      </c>
      <c r="N2" s="15" t="s">
        <v>36</v>
      </c>
      <c r="O2" s="15" t="s">
        <v>37</v>
      </c>
      <c r="P2" s="20" t="s">
        <v>38</v>
      </c>
      <c r="Q2" s="15" t="s">
        <v>39</v>
      </c>
      <c r="R2" s="4"/>
      <c r="S2" s="34" t="s">
        <v>40</v>
      </c>
      <c r="T2" s="36"/>
      <c r="U2" s="36"/>
      <c r="W2" s="37" t="s">
        <v>41</v>
      </c>
    </row>
    <row r="3" spans="1:23" ht="21" customHeight="1" x14ac:dyDescent="0.25">
      <c r="A3" s="14">
        <f>DATE(2012,12,31)-315</f>
        <v>40959</v>
      </c>
      <c r="B3" s="15" t="s">
        <v>42</v>
      </c>
      <c r="C3" s="15" t="s">
        <v>43</v>
      </c>
      <c r="D3" s="16">
        <v>2</v>
      </c>
      <c r="E3" s="17">
        <v>6</v>
      </c>
      <c r="F3" s="16">
        <v>0.01</v>
      </c>
      <c r="G3" s="15" t="s">
        <v>32</v>
      </c>
      <c r="H3" s="18">
        <v>-4.6399999999999997</v>
      </c>
      <c r="I3" s="19">
        <v>2.08</v>
      </c>
      <c r="J3" s="19">
        <v>2.56</v>
      </c>
      <c r="K3" s="19" t="s">
        <v>44</v>
      </c>
      <c r="L3" s="19" t="s">
        <v>45</v>
      </c>
      <c r="M3" s="15" t="s">
        <v>46</v>
      </c>
      <c r="N3" s="15" t="s">
        <v>36</v>
      </c>
      <c r="O3" s="15" t="s">
        <v>47</v>
      </c>
      <c r="P3" s="20" t="s">
        <v>48</v>
      </c>
      <c r="Q3" s="15" t="s">
        <v>49</v>
      </c>
      <c r="R3" s="4"/>
      <c r="S3" s="35"/>
      <c r="T3" s="36"/>
      <c r="U3" s="36"/>
      <c r="W3" s="37"/>
    </row>
    <row r="4" spans="1:23" ht="21" customHeight="1" x14ac:dyDescent="0.25">
      <c r="A4" s="14">
        <f>DATE(2012,12,31)-535</f>
        <v>40739</v>
      </c>
      <c r="B4" s="15" t="s">
        <v>50</v>
      </c>
      <c r="C4" s="15" t="s">
        <v>51</v>
      </c>
      <c r="D4" s="16">
        <v>26</v>
      </c>
      <c r="E4" s="17">
        <v>2808.08</v>
      </c>
      <c r="F4" s="16">
        <v>7.0000000000000007E-2</v>
      </c>
      <c r="G4" s="15" t="s">
        <v>32</v>
      </c>
      <c r="H4" s="18">
        <v>1054.82</v>
      </c>
      <c r="I4" s="19">
        <v>107.53</v>
      </c>
      <c r="J4" s="19">
        <v>5.81</v>
      </c>
      <c r="K4" s="19" t="s">
        <v>44</v>
      </c>
      <c r="L4" s="19" t="s">
        <v>52</v>
      </c>
      <c r="M4" s="15" t="s">
        <v>53</v>
      </c>
      <c r="N4" s="15" t="s">
        <v>54</v>
      </c>
      <c r="O4" s="15" t="s">
        <v>55</v>
      </c>
      <c r="P4" s="20" t="s">
        <v>56</v>
      </c>
      <c r="Q4" s="15" t="s">
        <v>57</v>
      </c>
      <c r="R4" s="4"/>
      <c r="S4" s="35"/>
      <c r="T4" s="36"/>
      <c r="U4" s="36"/>
      <c r="W4" s="37"/>
    </row>
    <row r="5" spans="1:23" ht="21" customHeight="1" x14ac:dyDescent="0.25">
      <c r="A5" s="14">
        <f>DATE(2012,12,31)-535</f>
        <v>40739</v>
      </c>
      <c r="B5" s="15" t="s">
        <v>50</v>
      </c>
      <c r="C5" s="15" t="s">
        <v>51</v>
      </c>
      <c r="D5" s="16">
        <v>24</v>
      </c>
      <c r="E5" s="17">
        <v>1761.4</v>
      </c>
      <c r="F5" s="16">
        <v>0.09</v>
      </c>
      <c r="G5" s="15" t="s">
        <v>58</v>
      </c>
      <c r="H5" s="18">
        <v>-1748.56</v>
      </c>
      <c r="I5" s="19">
        <v>70.89</v>
      </c>
      <c r="J5" s="19">
        <v>89.3</v>
      </c>
      <c r="K5" s="19" t="s">
        <v>33</v>
      </c>
      <c r="L5" s="19" t="s">
        <v>59</v>
      </c>
      <c r="M5" s="15" t="s">
        <v>60</v>
      </c>
      <c r="N5" s="15" t="s">
        <v>54</v>
      </c>
      <c r="O5" s="15" t="s">
        <v>61</v>
      </c>
      <c r="P5" s="20" t="s">
        <v>62</v>
      </c>
      <c r="Q5" s="15" t="s">
        <v>63</v>
      </c>
      <c r="R5" s="4"/>
      <c r="S5" s="4"/>
    </row>
    <row r="6" spans="1:23" ht="21" customHeight="1" x14ac:dyDescent="0.25">
      <c r="A6" s="14">
        <f>DATE(2012,12,31)-535</f>
        <v>40739</v>
      </c>
      <c r="B6" s="15" t="s">
        <v>50</v>
      </c>
      <c r="C6" s="15" t="s">
        <v>51</v>
      </c>
      <c r="D6" s="16">
        <v>23</v>
      </c>
      <c r="E6" s="17">
        <v>160.23349999999999</v>
      </c>
      <c r="F6" s="16">
        <v>0.04</v>
      </c>
      <c r="G6" s="15" t="s">
        <v>32</v>
      </c>
      <c r="H6" s="18">
        <v>-85.129000000000005</v>
      </c>
      <c r="I6" s="19">
        <v>7.99</v>
      </c>
      <c r="J6" s="19">
        <v>5.03</v>
      </c>
      <c r="K6" s="19" t="s">
        <v>33</v>
      </c>
      <c r="L6" s="19" t="s">
        <v>59</v>
      </c>
      <c r="M6" s="15" t="s">
        <v>60</v>
      </c>
      <c r="N6" s="15" t="s">
        <v>64</v>
      </c>
      <c r="O6" s="15" t="s">
        <v>65</v>
      </c>
      <c r="P6" s="20" t="s">
        <v>66</v>
      </c>
      <c r="Q6" s="15" t="s">
        <v>57</v>
      </c>
      <c r="R6" s="4"/>
      <c r="S6" s="34" t="s">
        <v>67</v>
      </c>
      <c r="T6" s="36"/>
      <c r="U6" s="36"/>
      <c r="W6" s="37" t="s">
        <v>68</v>
      </c>
    </row>
    <row r="7" spans="1:23" ht="21" customHeight="1" x14ac:dyDescent="0.25">
      <c r="A7" s="14">
        <f>DATE(2012,12,31)-535</f>
        <v>40739</v>
      </c>
      <c r="B7" s="15" t="s">
        <v>50</v>
      </c>
      <c r="C7" s="15" t="s">
        <v>51</v>
      </c>
      <c r="D7" s="16">
        <v>15</v>
      </c>
      <c r="E7" s="17">
        <v>140.56</v>
      </c>
      <c r="F7" s="16">
        <v>0.04</v>
      </c>
      <c r="G7" s="15" t="s">
        <v>32</v>
      </c>
      <c r="H7" s="18">
        <v>-128.38</v>
      </c>
      <c r="I7" s="19">
        <v>8.4600000000000009</v>
      </c>
      <c r="J7" s="19">
        <v>8.99</v>
      </c>
      <c r="K7" s="19" t="s">
        <v>69</v>
      </c>
      <c r="L7" s="19" t="s">
        <v>70</v>
      </c>
      <c r="M7" s="15" t="s">
        <v>71</v>
      </c>
      <c r="N7" s="15" t="s">
        <v>64</v>
      </c>
      <c r="O7" s="15" t="s">
        <v>72</v>
      </c>
      <c r="P7" s="20" t="s">
        <v>73</v>
      </c>
      <c r="Q7" s="15" t="s">
        <v>49</v>
      </c>
      <c r="R7" s="4"/>
      <c r="S7" s="35"/>
      <c r="T7" s="36"/>
      <c r="U7" s="36"/>
      <c r="W7" s="37"/>
    </row>
    <row r="8" spans="1:23" ht="21" customHeight="1" x14ac:dyDescent="0.25">
      <c r="A8" s="14">
        <f>DATE(2012,12,31)-436</f>
        <v>40838</v>
      </c>
      <c r="B8" s="15" t="s">
        <v>74</v>
      </c>
      <c r="C8" s="15" t="s">
        <v>43</v>
      </c>
      <c r="D8" s="16">
        <v>30</v>
      </c>
      <c r="E8" s="17">
        <v>288.56</v>
      </c>
      <c r="F8" s="16">
        <v>0.03</v>
      </c>
      <c r="G8" s="15" t="s">
        <v>32</v>
      </c>
      <c r="H8" s="18">
        <v>60.72</v>
      </c>
      <c r="I8" s="19">
        <v>9.11</v>
      </c>
      <c r="J8" s="19">
        <v>2.25</v>
      </c>
      <c r="K8" s="19" t="s">
        <v>69</v>
      </c>
      <c r="L8" s="19" t="s">
        <v>75</v>
      </c>
      <c r="M8" s="15" t="s">
        <v>76</v>
      </c>
      <c r="N8" s="15" t="s">
        <v>36</v>
      </c>
      <c r="O8" s="15" t="s">
        <v>77</v>
      </c>
      <c r="P8" s="20" t="s">
        <v>78</v>
      </c>
      <c r="Q8" s="15" t="s">
        <v>79</v>
      </c>
      <c r="R8" s="4"/>
      <c r="S8" s="35"/>
      <c r="T8" s="36"/>
      <c r="U8" s="36"/>
      <c r="W8" s="37"/>
    </row>
    <row r="9" spans="1:23" ht="21" customHeight="1" x14ac:dyDescent="0.25">
      <c r="A9" s="14">
        <f>DATE(2012,12,31)-436</f>
        <v>40838</v>
      </c>
      <c r="B9" s="15" t="s">
        <v>74</v>
      </c>
      <c r="C9" s="15" t="s">
        <v>43</v>
      </c>
      <c r="D9" s="16">
        <v>14</v>
      </c>
      <c r="E9" s="17">
        <v>1892.848</v>
      </c>
      <c r="F9" s="16">
        <v>0.01</v>
      </c>
      <c r="G9" s="15" t="s">
        <v>32</v>
      </c>
      <c r="H9" s="18">
        <v>48.987000000000002</v>
      </c>
      <c r="I9" s="19">
        <v>155.99</v>
      </c>
      <c r="J9" s="19">
        <v>8.99</v>
      </c>
      <c r="K9" s="19" t="s">
        <v>44</v>
      </c>
      <c r="L9" s="19" t="s">
        <v>80</v>
      </c>
      <c r="M9" s="15" t="s">
        <v>81</v>
      </c>
      <c r="N9" s="15" t="s">
        <v>64</v>
      </c>
      <c r="O9" s="15" t="s">
        <v>65</v>
      </c>
      <c r="P9" s="20" t="s">
        <v>82</v>
      </c>
      <c r="Q9" s="15" t="s">
        <v>83</v>
      </c>
      <c r="R9" s="4"/>
      <c r="S9" s="4"/>
    </row>
    <row r="10" spans="1:23" ht="21" customHeight="1" x14ac:dyDescent="0.25">
      <c r="A10" s="14">
        <f>DATE(2012,12,31)-425</f>
        <v>40849</v>
      </c>
      <c r="B10" s="15" t="s">
        <v>84</v>
      </c>
      <c r="C10" s="15" t="s">
        <v>85</v>
      </c>
      <c r="D10" s="16">
        <v>46</v>
      </c>
      <c r="E10" s="17">
        <v>2484.7455</v>
      </c>
      <c r="F10" s="16">
        <v>0.1</v>
      </c>
      <c r="G10" s="15" t="s">
        <v>32</v>
      </c>
      <c r="H10" s="18">
        <v>657.47699999999998</v>
      </c>
      <c r="I10" s="19">
        <v>65.989999999999995</v>
      </c>
      <c r="J10" s="19">
        <v>4.2</v>
      </c>
      <c r="K10" s="19" t="s">
        <v>44</v>
      </c>
      <c r="L10" s="19" t="s">
        <v>45</v>
      </c>
      <c r="M10" s="15" t="s">
        <v>46</v>
      </c>
      <c r="N10" s="15" t="s">
        <v>64</v>
      </c>
      <c r="O10" s="15" t="s">
        <v>65</v>
      </c>
      <c r="P10" s="20" t="s">
        <v>86</v>
      </c>
      <c r="Q10" s="15" t="s">
        <v>83</v>
      </c>
      <c r="R10" s="4"/>
      <c r="S10" s="34" t="s">
        <v>103</v>
      </c>
      <c r="T10" s="36"/>
      <c r="U10" s="36"/>
      <c r="W10" s="37" t="s">
        <v>87</v>
      </c>
    </row>
    <row r="11" spans="1:23" ht="21" customHeight="1" x14ac:dyDescent="0.25">
      <c r="A11" s="14">
        <f>DATE(2012,12,31)-655</f>
        <v>40619</v>
      </c>
      <c r="B11" s="15" t="s">
        <v>88</v>
      </c>
      <c r="C11" s="15" t="s">
        <v>85</v>
      </c>
      <c r="D11" s="16">
        <v>32</v>
      </c>
      <c r="E11" s="17">
        <v>3812.73</v>
      </c>
      <c r="F11" s="16">
        <v>0.02</v>
      </c>
      <c r="G11" s="15" t="s">
        <v>32</v>
      </c>
      <c r="H11" s="18">
        <v>1470.3</v>
      </c>
      <c r="I11" s="19">
        <v>115.79</v>
      </c>
      <c r="J11" s="19">
        <v>1.99</v>
      </c>
      <c r="K11" s="19" t="s">
        <v>44</v>
      </c>
      <c r="L11" s="19" t="s">
        <v>89</v>
      </c>
      <c r="M11" s="15" t="s">
        <v>90</v>
      </c>
      <c r="N11" s="15" t="s">
        <v>64</v>
      </c>
      <c r="O11" s="15" t="s">
        <v>72</v>
      </c>
      <c r="P11" s="20" t="s">
        <v>91</v>
      </c>
      <c r="Q11" s="15" t="s">
        <v>49</v>
      </c>
      <c r="R11" s="4"/>
      <c r="S11" s="35"/>
      <c r="T11" s="36"/>
      <c r="U11" s="36"/>
      <c r="W11" s="37"/>
    </row>
    <row r="12" spans="1:23" ht="21" customHeight="1" x14ac:dyDescent="0.25">
      <c r="A12" s="14">
        <f>DATE(2012,12,31)-1442</f>
        <v>39832</v>
      </c>
      <c r="B12" s="15" t="s">
        <v>92</v>
      </c>
      <c r="C12" s="15" t="s">
        <v>31</v>
      </c>
      <c r="D12" s="16">
        <v>41</v>
      </c>
      <c r="E12" s="17">
        <v>108.15</v>
      </c>
      <c r="F12" s="16">
        <v>0.09</v>
      </c>
      <c r="G12" s="15" t="s">
        <v>32</v>
      </c>
      <c r="H12" s="18">
        <v>7.57</v>
      </c>
      <c r="I12" s="19">
        <v>2.88</v>
      </c>
      <c r="J12" s="19">
        <v>0.7</v>
      </c>
      <c r="K12" s="19" t="s">
        <v>33</v>
      </c>
      <c r="L12" s="19" t="s">
        <v>93</v>
      </c>
      <c r="M12" s="15" t="s">
        <v>94</v>
      </c>
      <c r="N12" s="15" t="s">
        <v>36</v>
      </c>
      <c r="O12" s="15" t="s">
        <v>77</v>
      </c>
      <c r="P12" s="20" t="s">
        <v>95</v>
      </c>
      <c r="Q12" s="15" t="s">
        <v>79</v>
      </c>
      <c r="R12" s="4"/>
      <c r="S12" s="35"/>
      <c r="T12" s="36"/>
      <c r="U12" s="36"/>
      <c r="W12" s="37"/>
    </row>
    <row r="13" spans="1:23" ht="21" customHeight="1" x14ac:dyDescent="0.25">
      <c r="A13" s="14">
        <f>DATE(2012,12,31)-1307</f>
        <v>39967</v>
      </c>
      <c r="B13" s="15" t="s">
        <v>96</v>
      </c>
      <c r="C13" s="15" t="s">
        <v>43</v>
      </c>
      <c r="D13" s="16">
        <v>42</v>
      </c>
      <c r="E13" s="17">
        <v>1186.06</v>
      </c>
      <c r="F13" s="16">
        <v>0.09</v>
      </c>
      <c r="G13" s="15" t="s">
        <v>32</v>
      </c>
      <c r="H13" s="18">
        <v>511.69</v>
      </c>
      <c r="I13" s="19">
        <v>30.93</v>
      </c>
      <c r="J13" s="19">
        <v>3.92</v>
      </c>
      <c r="K13" s="19" t="s">
        <v>97</v>
      </c>
      <c r="L13" s="19" t="s">
        <v>98</v>
      </c>
      <c r="M13" s="15" t="s">
        <v>99</v>
      </c>
      <c r="N13" s="15" t="s">
        <v>54</v>
      </c>
      <c r="O13" s="15" t="s">
        <v>55</v>
      </c>
      <c r="P13" s="20" t="s">
        <v>100</v>
      </c>
      <c r="Q13" s="15" t="s">
        <v>49</v>
      </c>
      <c r="R13" s="4"/>
      <c r="S13" s="4"/>
    </row>
    <row r="14" spans="1:23" ht="21" customHeight="1" x14ac:dyDescent="0.25">
      <c r="A14" s="14">
        <f>DATE(2012,12,31)-1307</f>
        <v>39967</v>
      </c>
      <c r="B14" s="15" t="s">
        <v>96</v>
      </c>
      <c r="C14" s="15" t="s">
        <v>43</v>
      </c>
      <c r="D14" s="16">
        <v>28</v>
      </c>
      <c r="E14" s="17">
        <v>51.53</v>
      </c>
      <c r="F14" s="16">
        <v>0.03</v>
      </c>
      <c r="G14" s="15" t="s">
        <v>101</v>
      </c>
      <c r="H14" s="18">
        <v>0.35</v>
      </c>
      <c r="I14" s="19">
        <v>1.68</v>
      </c>
      <c r="J14" s="19">
        <v>0.7</v>
      </c>
      <c r="K14" s="19" t="s">
        <v>44</v>
      </c>
      <c r="L14" s="19" t="s">
        <v>52</v>
      </c>
      <c r="M14" s="15" t="s">
        <v>53</v>
      </c>
      <c r="N14" s="15" t="s">
        <v>36</v>
      </c>
      <c r="O14" s="15" t="s">
        <v>77</v>
      </c>
      <c r="P14" s="20" t="s">
        <v>102</v>
      </c>
      <c r="Q14" s="15" t="s">
        <v>79</v>
      </c>
      <c r="R14" s="4"/>
      <c r="S14" s="34" t="s">
        <v>2412</v>
      </c>
      <c r="T14" s="47"/>
      <c r="U14" s="47"/>
      <c r="W14" s="37" t="s">
        <v>2411</v>
      </c>
    </row>
    <row r="15" spans="1:23" ht="21" customHeight="1" x14ac:dyDescent="0.25">
      <c r="A15" s="14">
        <f>DATE(2012,12,31)-745</f>
        <v>40529</v>
      </c>
      <c r="B15" s="15" t="s">
        <v>104</v>
      </c>
      <c r="C15" s="15" t="s">
        <v>31</v>
      </c>
      <c r="D15" s="16">
        <v>48</v>
      </c>
      <c r="E15" s="17">
        <v>90.05</v>
      </c>
      <c r="F15" s="16">
        <v>0.03</v>
      </c>
      <c r="G15" s="15" t="s">
        <v>32</v>
      </c>
      <c r="H15" s="18">
        <v>-107</v>
      </c>
      <c r="I15" s="19">
        <v>1.86</v>
      </c>
      <c r="J15" s="19">
        <v>2.58</v>
      </c>
      <c r="K15" s="19" t="s">
        <v>44</v>
      </c>
      <c r="L15" s="19" t="s">
        <v>52</v>
      </c>
      <c r="M15" s="15" t="s">
        <v>53</v>
      </c>
      <c r="N15" s="15" t="s">
        <v>36</v>
      </c>
      <c r="O15" s="15" t="s">
        <v>105</v>
      </c>
      <c r="P15" s="20" t="s">
        <v>106</v>
      </c>
      <c r="Q15" s="15" t="s">
        <v>79</v>
      </c>
      <c r="R15" s="4"/>
      <c r="S15" s="35"/>
      <c r="T15" s="47"/>
      <c r="U15" s="47"/>
      <c r="W15" s="37"/>
    </row>
    <row r="16" spans="1:23" ht="21" customHeight="1" x14ac:dyDescent="0.25">
      <c r="A16" s="14">
        <f>DATE(2012,12,31)-745</f>
        <v>40529</v>
      </c>
      <c r="B16" s="15" t="s">
        <v>104</v>
      </c>
      <c r="C16" s="15" t="s">
        <v>31</v>
      </c>
      <c r="D16" s="16">
        <v>46</v>
      </c>
      <c r="E16" s="17">
        <v>7804.53</v>
      </c>
      <c r="F16" s="16">
        <v>0.05</v>
      </c>
      <c r="G16" s="15" t="s">
        <v>32</v>
      </c>
      <c r="H16" s="18">
        <v>2057.1659999999997</v>
      </c>
      <c r="I16" s="19">
        <v>205.99</v>
      </c>
      <c r="J16" s="19">
        <v>5.99</v>
      </c>
      <c r="K16" s="19" t="s">
        <v>33</v>
      </c>
      <c r="L16" s="19" t="s">
        <v>93</v>
      </c>
      <c r="M16" s="15" t="s">
        <v>94</v>
      </c>
      <c r="N16" s="15" t="s">
        <v>64</v>
      </c>
      <c r="O16" s="15" t="s">
        <v>65</v>
      </c>
      <c r="P16" s="20" t="s">
        <v>107</v>
      </c>
      <c r="Q16" s="15" t="s">
        <v>83</v>
      </c>
      <c r="R16" s="4"/>
      <c r="S16" s="35"/>
      <c r="T16" s="47"/>
      <c r="U16" s="47"/>
      <c r="W16" s="37"/>
    </row>
    <row r="17" spans="1:23" ht="21" customHeight="1" x14ac:dyDescent="0.25">
      <c r="A17" s="14">
        <f>DATE(2012,12,31)-1355</f>
        <v>39919</v>
      </c>
      <c r="B17" s="15" t="s">
        <v>108</v>
      </c>
      <c r="C17" s="15" t="s">
        <v>51</v>
      </c>
      <c r="D17" s="16">
        <v>37</v>
      </c>
      <c r="E17" s="17">
        <v>4158.1234999999997</v>
      </c>
      <c r="F17" s="16">
        <v>0.01</v>
      </c>
      <c r="G17" s="15" t="s">
        <v>32</v>
      </c>
      <c r="H17" s="18">
        <v>1228.8870000000002</v>
      </c>
      <c r="I17" s="19">
        <v>125.99</v>
      </c>
      <c r="J17" s="19">
        <v>8.99</v>
      </c>
      <c r="K17" s="19" t="s">
        <v>33</v>
      </c>
      <c r="L17" s="19" t="s">
        <v>93</v>
      </c>
      <c r="M17" s="15" t="s">
        <v>94</v>
      </c>
      <c r="N17" s="15" t="s">
        <v>64</v>
      </c>
      <c r="O17" s="15" t="s">
        <v>65</v>
      </c>
      <c r="P17" s="20" t="s">
        <v>109</v>
      </c>
      <c r="Q17" s="15" t="s">
        <v>83</v>
      </c>
      <c r="R17" s="4"/>
      <c r="S17" s="4"/>
    </row>
    <row r="18" spans="1:23" ht="21" customHeight="1" x14ac:dyDescent="0.25">
      <c r="A18" s="14">
        <f>DATE(2012,12,31)-1068</f>
        <v>40206</v>
      </c>
      <c r="B18" s="15" t="s">
        <v>110</v>
      </c>
      <c r="C18" s="15" t="s">
        <v>85</v>
      </c>
      <c r="D18" s="16">
        <v>26</v>
      </c>
      <c r="E18" s="17">
        <v>75.569999999999993</v>
      </c>
      <c r="F18" s="16">
        <v>0.03</v>
      </c>
      <c r="G18" s="15" t="s">
        <v>32</v>
      </c>
      <c r="H18" s="18">
        <v>28.24</v>
      </c>
      <c r="I18" s="19">
        <v>2.89</v>
      </c>
      <c r="J18" s="19">
        <v>0.5</v>
      </c>
      <c r="K18" s="19" t="s">
        <v>111</v>
      </c>
      <c r="L18" s="19" t="s">
        <v>112</v>
      </c>
      <c r="M18" s="15" t="s">
        <v>113</v>
      </c>
      <c r="N18" s="15" t="s">
        <v>36</v>
      </c>
      <c r="O18" s="15" t="s">
        <v>114</v>
      </c>
      <c r="P18" s="20" t="s">
        <v>115</v>
      </c>
      <c r="Q18" s="15" t="s">
        <v>83</v>
      </c>
      <c r="R18" s="4"/>
      <c r="S18" s="34" t="s">
        <v>2413</v>
      </c>
      <c r="T18" s="47"/>
      <c r="U18" s="47"/>
      <c r="W18" s="37" t="s">
        <v>2414</v>
      </c>
    </row>
    <row r="19" spans="1:23" ht="21" customHeight="1" x14ac:dyDescent="0.25">
      <c r="A19" s="14">
        <f>DATE(2012,12,31)-43</f>
        <v>41231</v>
      </c>
      <c r="B19" s="15" t="s">
        <v>116</v>
      </c>
      <c r="C19" s="15" t="s">
        <v>31</v>
      </c>
      <c r="D19" s="16">
        <v>4</v>
      </c>
      <c r="E19" s="17">
        <v>32.72</v>
      </c>
      <c r="F19" s="16">
        <v>0.09</v>
      </c>
      <c r="G19" s="15" t="s">
        <v>32</v>
      </c>
      <c r="H19" s="18">
        <v>-22.59</v>
      </c>
      <c r="I19" s="19">
        <v>6.48</v>
      </c>
      <c r="J19" s="19">
        <v>8.19</v>
      </c>
      <c r="K19" s="19" t="s">
        <v>44</v>
      </c>
      <c r="L19" s="19" t="s">
        <v>89</v>
      </c>
      <c r="M19" s="15" t="s">
        <v>90</v>
      </c>
      <c r="N19" s="15" t="s">
        <v>36</v>
      </c>
      <c r="O19" s="15" t="s">
        <v>117</v>
      </c>
      <c r="P19" s="20" t="s">
        <v>118</v>
      </c>
      <c r="Q19" s="15" t="s">
        <v>83</v>
      </c>
      <c r="R19" s="4"/>
      <c r="S19" s="35"/>
      <c r="T19" s="47"/>
      <c r="U19" s="47"/>
      <c r="W19" s="37"/>
    </row>
    <row r="20" spans="1:23" ht="21" customHeight="1" x14ac:dyDescent="0.25">
      <c r="A20" s="14">
        <f>DATE(2012,12,31)-238</f>
        <v>41036</v>
      </c>
      <c r="B20" s="15" t="s">
        <v>119</v>
      </c>
      <c r="C20" s="15" t="s">
        <v>51</v>
      </c>
      <c r="D20" s="16">
        <v>3</v>
      </c>
      <c r="E20" s="17">
        <v>461.89</v>
      </c>
      <c r="F20" s="16">
        <v>0.05</v>
      </c>
      <c r="G20" s="15" t="s">
        <v>101</v>
      </c>
      <c r="H20" s="18">
        <v>-309.82440000000003</v>
      </c>
      <c r="I20" s="19">
        <v>150.97999999999999</v>
      </c>
      <c r="J20" s="19">
        <v>13.99</v>
      </c>
      <c r="K20" s="19" t="s">
        <v>44</v>
      </c>
      <c r="L20" s="19" t="s">
        <v>120</v>
      </c>
      <c r="M20" s="15" t="s">
        <v>121</v>
      </c>
      <c r="N20" s="15" t="s">
        <v>64</v>
      </c>
      <c r="O20" s="15" t="s">
        <v>122</v>
      </c>
      <c r="P20" s="20" t="s">
        <v>123</v>
      </c>
      <c r="Q20" s="15" t="s">
        <v>57</v>
      </c>
      <c r="R20" s="4"/>
      <c r="S20" s="35"/>
      <c r="T20" s="47"/>
      <c r="U20" s="47"/>
      <c r="W20" s="37"/>
    </row>
    <row r="21" spans="1:23" ht="21" customHeight="1" x14ac:dyDescent="0.25">
      <c r="A21" s="14">
        <f>DATE(2012,12,31)-238</f>
        <v>41036</v>
      </c>
      <c r="B21" s="15" t="s">
        <v>119</v>
      </c>
      <c r="C21" s="15" t="s">
        <v>51</v>
      </c>
      <c r="D21" s="16">
        <v>29</v>
      </c>
      <c r="E21" s="17">
        <v>575.11</v>
      </c>
      <c r="F21" s="16">
        <v>0.02</v>
      </c>
      <c r="G21" s="15" t="s">
        <v>32</v>
      </c>
      <c r="H21" s="18">
        <v>71.75</v>
      </c>
      <c r="I21" s="19">
        <v>18.97</v>
      </c>
      <c r="J21" s="19">
        <v>9.0299999999999994</v>
      </c>
      <c r="K21" s="19" t="s">
        <v>124</v>
      </c>
      <c r="L21" s="19" t="s">
        <v>125</v>
      </c>
      <c r="M21" s="15" t="s">
        <v>126</v>
      </c>
      <c r="N21" s="15" t="s">
        <v>36</v>
      </c>
      <c r="O21" s="15" t="s">
        <v>117</v>
      </c>
      <c r="P21" s="20" t="s">
        <v>127</v>
      </c>
      <c r="Q21" s="15" t="s">
        <v>83</v>
      </c>
      <c r="R21" s="4"/>
      <c r="S21" s="4"/>
    </row>
    <row r="22" spans="1:23" ht="21" customHeight="1" x14ac:dyDescent="0.25">
      <c r="A22" s="14">
        <f>DATE(2012,12,31)-238</f>
        <v>41036</v>
      </c>
      <c r="B22" s="15" t="s">
        <v>119</v>
      </c>
      <c r="C22" s="15" t="s">
        <v>51</v>
      </c>
      <c r="D22" s="16">
        <v>23</v>
      </c>
      <c r="E22" s="17">
        <v>236.46</v>
      </c>
      <c r="F22" s="16">
        <v>0.05</v>
      </c>
      <c r="G22" s="15" t="s">
        <v>32</v>
      </c>
      <c r="H22" s="18">
        <v>-134.31</v>
      </c>
      <c r="I22" s="19">
        <v>9.7100000000000009</v>
      </c>
      <c r="J22" s="19">
        <v>9.4499999999999993</v>
      </c>
      <c r="K22" s="19" t="s">
        <v>33</v>
      </c>
      <c r="L22" s="19" t="s">
        <v>128</v>
      </c>
      <c r="M22" s="15" t="s">
        <v>129</v>
      </c>
      <c r="N22" s="15" t="s">
        <v>36</v>
      </c>
      <c r="O22" s="15" t="s">
        <v>37</v>
      </c>
      <c r="P22" s="20" t="s">
        <v>130</v>
      </c>
      <c r="Q22" s="15" t="s">
        <v>83</v>
      </c>
      <c r="R22" s="4"/>
      <c r="S22" s="4"/>
    </row>
    <row r="23" spans="1:23" ht="21" customHeight="1" x14ac:dyDescent="0.25">
      <c r="A23" s="14">
        <f>DATE(2012,12,31)-935</f>
        <v>40339</v>
      </c>
      <c r="B23" s="15" t="s">
        <v>131</v>
      </c>
      <c r="C23" s="15" t="s">
        <v>85</v>
      </c>
      <c r="D23" s="16">
        <v>27</v>
      </c>
      <c r="E23" s="17">
        <v>192.81399999999999</v>
      </c>
      <c r="F23" s="16">
        <v>0.03</v>
      </c>
      <c r="G23" s="15" t="s">
        <v>32</v>
      </c>
      <c r="H23" s="18">
        <v>-86.195999999999998</v>
      </c>
      <c r="I23" s="19">
        <v>7.99</v>
      </c>
      <c r="J23" s="19">
        <v>5.03</v>
      </c>
      <c r="K23" s="19" t="s">
        <v>97</v>
      </c>
      <c r="L23" s="19" t="s">
        <v>132</v>
      </c>
      <c r="M23" s="15" t="s">
        <v>133</v>
      </c>
      <c r="N23" s="15" t="s">
        <v>64</v>
      </c>
      <c r="O23" s="15" t="s">
        <v>65</v>
      </c>
      <c r="P23" s="20" t="s">
        <v>66</v>
      </c>
      <c r="Q23" s="15" t="s">
        <v>57</v>
      </c>
      <c r="R23" s="4"/>
      <c r="S23" s="4"/>
    </row>
    <row r="24" spans="1:23" ht="21" customHeight="1" x14ac:dyDescent="0.25">
      <c r="A24" s="14">
        <f>DATE(2012,12,31)-935</f>
        <v>40339</v>
      </c>
      <c r="B24" s="15" t="s">
        <v>131</v>
      </c>
      <c r="C24" s="15" t="s">
        <v>85</v>
      </c>
      <c r="D24" s="16">
        <v>30</v>
      </c>
      <c r="E24" s="17">
        <v>4011.65</v>
      </c>
      <c r="F24" s="16">
        <v>0.05</v>
      </c>
      <c r="G24" s="15" t="s">
        <v>58</v>
      </c>
      <c r="H24" s="18">
        <v>-603.79999999999995</v>
      </c>
      <c r="I24" s="19">
        <v>130.97999999999999</v>
      </c>
      <c r="J24" s="19">
        <v>54.74</v>
      </c>
      <c r="K24" s="19" t="s">
        <v>97</v>
      </c>
      <c r="L24" s="19" t="s">
        <v>132</v>
      </c>
      <c r="M24" s="15" t="s">
        <v>133</v>
      </c>
      <c r="N24" s="15" t="s">
        <v>54</v>
      </c>
      <c r="O24" s="15" t="s">
        <v>134</v>
      </c>
      <c r="P24" s="20" t="s">
        <v>135</v>
      </c>
      <c r="Q24" s="15" t="s">
        <v>63</v>
      </c>
      <c r="R24" s="4"/>
      <c r="S24" s="4"/>
    </row>
    <row r="25" spans="1:23" ht="21" customHeight="1" x14ac:dyDescent="0.25">
      <c r="A25" s="14">
        <f>DATE(2012,12,31)-245</f>
        <v>41029</v>
      </c>
      <c r="B25" s="15" t="s">
        <v>136</v>
      </c>
      <c r="C25" s="15" t="s">
        <v>43</v>
      </c>
      <c r="D25" s="16">
        <v>11</v>
      </c>
      <c r="E25" s="17">
        <v>1132.5999999999999</v>
      </c>
      <c r="F25" s="16">
        <v>0.01</v>
      </c>
      <c r="G25" s="15" t="s">
        <v>32</v>
      </c>
      <c r="H25" s="18">
        <v>-310.20999999999998</v>
      </c>
      <c r="I25" s="19">
        <v>95.99</v>
      </c>
      <c r="J25" s="19">
        <v>35</v>
      </c>
      <c r="K25" s="19" t="s">
        <v>44</v>
      </c>
      <c r="L25" s="19" t="s">
        <v>45</v>
      </c>
      <c r="M25" s="15" t="s">
        <v>46</v>
      </c>
      <c r="N25" s="15" t="s">
        <v>36</v>
      </c>
      <c r="O25" s="15" t="s">
        <v>37</v>
      </c>
      <c r="P25" s="20" t="s">
        <v>137</v>
      </c>
      <c r="Q25" s="15" t="s">
        <v>39</v>
      </c>
      <c r="R25" s="4"/>
      <c r="S25" s="4"/>
    </row>
    <row r="26" spans="1:23" ht="21" customHeight="1" x14ac:dyDescent="0.25">
      <c r="A26" s="14">
        <f>DATE(2012,12,31)-438</f>
        <v>40836</v>
      </c>
      <c r="B26" s="15" t="s">
        <v>138</v>
      </c>
      <c r="C26" s="15" t="s">
        <v>43</v>
      </c>
      <c r="D26" s="16">
        <v>25</v>
      </c>
      <c r="E26" s="17">
        <v>125.85</v>
      </c>
      <c r="F26" s="16">
        <v>0.09</v>
      </c>
      <c r="G26" s="15" t="s">
        <v>32</v>
      </c>
      <c r="H26" s="18">
        <v>-89.25</v>
      </c>
      <c r="I26" s="19">
        <v>4.9800000000000004</v>
      </c>
      <c r="J26" s="19">
        <v>4.62</v>
      </c>
      <c r="K26" s="19" t="s">
        <v>44</v>
      </c>
      <c r="L26" s="19" t="s">
        <v>52</v>
      </c>
      <c r="M26" s="15" t="s">
        <v>53</v>
      </c>
      <c r="N26" s="15" t="s">
        <v>64</v>
      </c>
      <c r="O26" s="15" t="s">
        <v>72</v>
      </c>
      <c r="P26" s="20" t="s">
        <v>139</v>
      </c>
      <c r="Q26" s="15" t="s">
        <v>49</v>
      </c>
      <c r="R26" s="4"/>
      <c r="S26" s="4"/>
    </row>
    <row r="27" spans="1:23" ht="21" customHeight="1" x14ac:dyDescent="0.25">
      <c r="A27" s="14">
        <f>DATE(2012,12,31)-477</f>
        <v>40797</v>
      </c>
      <c r="B27" s="15" t="s">
        <v>140</v>
      </c>
      <c r="C27" s="15" t="s">
        <v>51</v>
      </c>
      <c r="D27" s="16">
        <v>10</v>
      </c>
      <c r="E27" s="17">
        <v>567.93599999999992</v>
      </c>
      <c r="F27" s="16">
        <v>0.02</v>
      </c>
      <c r="G27" s="15" t="s">
        <v>101</v>
      </c>
      <c r="H27" s="18">
        <v>-126.09299999999999</v>
      </c>
      <c r="I27" s="19">
        <v>65.989999999999995</v>
      </c>
      <c r="J27" s="19">
        <v>8.99</v>
      </c>
      <c r="K27" s="19" t="s">
        <v>44</v>
      </c>
      <c r="L27" s="19" t="s">
        <v>52</v>
      </c>
      <c r="M27" s="15" t="s">
        <v>53</v>
      </c>
      <c r="N27" s="15" t="s">
        <v>64</v>
      </c>
      <c r="O27" s="15" t="s">
        <v>65</v>
      </c>
      <c r="P27" s="20" t="s">
        <v>141</v>
      </c>
      <c r="Q27" s="15" t="s">
        <v>83</v>
      </c>
      <c r="R27" s="4"/>
      <c r="S27" s="4"/>
    </row>
    <row r="28" spans="1:23" ht="21" customHeight="1" x14ac:dyDescent="0.25">
      <c r="A28" s="14">
        <f>DATE(2012,12,31)-877</f>
        <v>40397</v>
      </c>
      <c r="B28" s="15" t="s">
        <v>142</v>
      </c>
      <c r="C28" s="15" t="s">
        <v>85</v>
      </c>
      <c r="D28" s="16">
        <v>14</v>
      </c>
      <c r="E28" s="17">
        <v>174.89</v>
      </c>
      <c r="F28" s="16">
        <v>0.06</v>
      </c>
      <c r="G28" s="15" t="s">
        <v>32</v>
      </c>
      <c r="H28" s="18">
        <v>-37.04</v>
      </c>
      <c r="I28" s="19">
        <v>12.44</v>
      </c>
      <c r="J28" s="19">
        <v>6.27</v>
      </c>
      <c r="K28" s="19" t="s">
        <v>44</v>
      </c>
      <c r="L28" s="19" t="s">
        <v>52</v>
      </c>
      <c r="M28" s="15" t="s">
        <v>53</v>
      </c>
      <c r="N28" s="15" t="s">
        <v>36</v>
      </c>
      <c r="O28" s="15" t="s">
        <v>37</v>
      </c>
      <c r="P28" s="20" t="s">
        <v>143</v>
      </c>
      <c r="Q28" s="15" t="s">
        <v>57</v>
      </c>
      <c r="R28" s="4"/>
      <c r="S28" s="4"/>
      <c r="W28" s="8"/>
    </row>
    <row r="29" spans="1:23" ht="21" customHeight="1" x14ac:dyDescent="0.25">
      <c r="A29" s="14">
        <f>DATE(2012,12,31)-271</f>
        <v>41003</v>
      </c>
      <c r="B29" s="15" t="s">
        <v>144</v>
      </c>
      <c r="C29" s="15" t="s">
        <v>85</v>
      </c>
      <c r="D29" s="16">
        <v>49</v>
      </c>
      <c r="E29" s="17">
        <v>329.03</v>
      </c>
      <c r="F29" s="16">
        <v>0.1</v>
      </c>
      <c r="G29" s="15" t="s">
        <v>32</v>
      </c>
      <c r="H29" s="18">
        <v>-197.25</v>
      </c>
      <c r="I29" s="19">
        <v>7.28</v>
      </c>
      <c r="J29" s="19">
        <v>7.98</v>
      </c>
      <c r="K29" s="19" t="s">
        <v>33</v>
      </c>
      <c r="L29" s="19" t="s">
        <v>145</v>
      </c>
      <c r="M29" s="15" t="s">
        <v>146</v>
      </c>
      <c r="N29" s="15" t="s">
        <v>54</v>
      </c>
      <c r="O29" s="15" t="s">
        <v>55</v>
      </c>
      <c r="P29" s="20" t="s">
        <v>147</v>
      </c>
      <c r="Q29" s="15" t="s">
        <v>79</v>
      </c>
      <c r="R29" s="4"/>
      <c r="S29" s="4"/>
    </row>
    <row r="30" spans="1:23" ht="21" customHeight="1" x14ac:dyDescent="0.25">
      <c r="A30" s="14">
        <f>DATE(2012,12,31)-271</f>
        <v>41003</v>
      </c>
      <c r="B30" s="15" t="s">
        <v>144</v>
      </c>
      <c r="C30" s="15" t="s">
        <v>85</v>
      </c>
      <c r="D30" s="16">
        <v>6</v>
      </c>
      <c r="E30" s="17">
        <v>20.190000000000001</v>
      </c>
      <c r="F30" s="16">
        <v>0.04</v>
      </c>
      <c r="G30" s="15" t="s">
        <v>32</v>
      </c>
      <c r="H30" s="18">
        <v>-13.44</v>
      </c>
      <c r="I30" s="19">
        <v>3.14</v>
      </c>
      <c r="J30" s="19">
        <v>1.92</v>
      </c>
      <c r="K30" s="19" t="s">
        <v>69</v>
      </c>
      <c r="L30" s="19" t="s">
        <v>70</v>
      </c>
      <c r="M30" s="15" t="s">
        <v>71</v>
      </c>
      <c r="N30" s="15" t="s">
        <v>36</v>
      </c>
      <c r="O30" s="15" t="s">
        <v>47</v>
      </c>
      <c r="P30" s="20" t="s">
        <v>148</v>
      </c>
      <c r="Q30" s="15" t="s">
        <v>79</v>
      </c>
      <c r="R30" s="4"/>
      <c r="S30" s="4"/>
    </row>
    <row r="31" spans="1:23" ht="21" customHeight="1" x14ac:dyDescent="0.25">
      <c r="A31" s="14">
        <f>DATE(2012,12,31)-735</f>
        <v>40539</v>
      </c>
      <c r="B31" s="15" t="s">
        <v>149</v>
      </c>
      <c r="C31" s="15" t="s">
        <v>85</v>
      </c>
      <c r="D31" s="16">
        <v>34</v>
      </c>
      <c r="E31" s="17">
        <v>1315.74</v>
      </c>
      <c r="F31" s="16">
        <v>0.03</v>
      </c>
      <c r="G31" s="15" t="s">
        <v>32</v>
      </c>
      <c r="H31" s="18">
        <v>260.87</v>
      </c>
      <c r="I31" s="19">
        <v>36.549999999999997</v>
      </c>
      <c r="J31" s="19">
        <v>13.89</v>
      </c>
      <c r="K31" s="19" t="s">
        <v>44</v>
      </c>
      <c r="L31" s="19" t="s">
        <v>89</v>
      </c>
      <c r="M31" s="15" t="s">
        <v>90</v>
      </c>
      <c r="N31" s="15" t="s">
        <v>36</v>
      </c>
      <c r="O31" s="15" t="s">
        <v>77</v>
      </c>
      <c r="P31" s="20" t="s">
        <v>150</v>
      </c>
      <c r="Q31" s="15" t="s">
        <v>79</v>
      </c>
      <c r="R31" s="4"/>
      <c r="S31" s="4"/>
    </row>
    <row r="32" spans="1:23" ht="21" customHeight="1" x14ac:dyDescent="0.25">
      <c r="A32" s="14">
        <f>DATE(2012,12,31)-635</f>
        <v>40639</v>
      </c>
      <c r="B32" s="15" t="s">
        <v>151</v>
      </c>
      <c r="C32" s="15" t="s">
        <v>51</v>
      </c>
      <c r="D32" s="16">
        <v>23</v>
      </c>
      <c r="E32" s="17">
        <v>310.52</v>
      </c>
      <c r="F32" s="16">
        <v>0.01</v>
      </c>
      <c r="G32" s="15" t="s">
        <v>32</v>
      </c>
      <c r="H32" s="18">
        <v>33.22</v>
      </c>
      <c r="I32" s="19">
        <v>12.98</v>
      </c>
      <c r="J32" s="19">
        <v>3.14</v>
      </c>
      <c r="K32" s="19" t="s">
        <v>44</v>
      </c>
      <c r="L32" s="19" t="s">
        <v>120</v>
      </c>
      <c r="M32" s="15" t="s">
        <v>121</v>
      </c>
      <c r="N32" s="15" t="s">
        <v>36</v>
      </c>
      <c r="O32" s="15" t="s">
        <v>47</v>
      </c>
      <c r="P32" s="20" t="s">
        <v>152</v>
      </c>
      <c r="Q32" s="15" t="s">
        <v>49</v>
      </c>
      <c r="R32" s="4"/>
      <c r="S32" s="4"/>
    </row>
    <row r="33" spans="1:19" ht="21" customHeight="1" x14ac:dyDescent="0.25">
      <c r="A33" s="14">
        <f>DATE(2012,12,31)-1293</f>
        <v>39981</v>
      </c>
      <c r="B33" s="15" t="s">
        <v>153</v>
      </c>
      <c r="C33" s="15" t="s">
        <v>43</v>
      </c>
      <c r="D33" s="16">
        <v>25</v>
      </c>
      <c r="E33" s="17">
        <v>184.86</v>
      </c>
      <c r="F33" s="16">
        <v>0.09</v>
      </c>
      <c r="G33" s="15" t="s">
        <v>32</v>
      </c>
      <c r="H33" s="18">
        <v>-33.950000000000003</v>
      </c>
      <c r="I33" s="19">
        <v>7.38</v>
      </c>
      <c r="J33" s="19">
        <v>5.21</v>
      </c>
      <c r="K33" s="19" t="s">
        <v>44</v>
      </c>
      <c r="L33" s="19" t="s">
        <v>120</v>
      </c>
      <c r="M33" s="15" t="s">
        <v>121</v>
      </c>
      <c r="N33" s="15" t="s">
        <v>54</v>
      </c>
      <c r="O33" s="15" t="s">
        <v>55</v>
      </c>
      <c r="P33" s="20" t="s">
        <v>154</v>
      </c>
      <c r="Q33" s="15" t="s">
        <v>83</v>
      </c>
      <c r="R33" s="4"/>
      <c r="S33" s="4"/>
    </row>
    <row r="34" spans="1:19" ht="21" customHeight="1" x14ac:dyDescent="0.25">
      <c r="A34" s="14">
        <f>DATE(2012,12,31)-1293</f>
        <v>39981</v>
      </c>
      <c r="B34" s="15" t="s">
        <v>153</v>
      </c>
      <c r="C34" s="15" t="s">
        <v>43</v>
      </c>
      <c r="D34" s="16">
        <v>44</v>
      </c>
      <c r="E34" s="17">
        <v>267.85000000000002</v>
      </c>
      <c r="F34" s="16">
        <v>0.04</v>
      </c>
      <c r="G34" s="15" t="s">
        <v>32</v>
      </c>
      <c r="H34" s="18">
        <v>-65.430000000000007</v>
      </c>
      <c r="I34" s="19">
        <v>5.98</v>
      </c>
      <c r="J34" s="19">
        <v>5.15</v>
      </c>
      <c r="K34" s="19" t="s">
        <v>33</v>
      </c>
      <c r="L34" s="19" t="s">
        <v>93</v>
      </c>
      <c r="M34" s="15" t="s">
        <v>94</v>
      </c>
      <c r="N34" s="15" t="s">
        <v>36</v>
      </c>
      <c r="O34" s="15" t="s">
        <v>117</v>
      </c>
      <c r="P34" s="20" t="s">
        <v>155</v>
      </c>
      <c r="Q34" s="15" t="s">
        <v>83</v>
      </c>
      <c r="R34" s="4"/>
      <c r="S34" s="4"/>
    </row>
    <row r="35" spans="1:19" ht="21" customHeight="1" x14ac:dyDescent="0.25">
      <c r="A35" s="14">
        <f>DATE(2012,12,31)-1293</f>
        <v>39981</v>
      </c>
      <c r="B35" s="15" t="s">
        <v>153</v>
      </c>
      <c r="C35" s="15" t="s">
        <v>43</v>
      </c>
      <c r="D35" s="16">
        <v>33</v>
      </c>
      <c r="E35" s="17">
        <v>528.5</v>
      </c>
      <c r="F35" s="16">
        <v>0.04</v>
      </c>
      <c r="G35" s="15" t="s">
        <v>32</v>
      </c>
      <c r="H35" s="18">
        <v>-149.91999999999999</v>
      </c>
      <c r="I35" s="19">
        <v>15.42</v>
      </c>
      <c r="J35" s="19">
        <v>10.68</v>
      </c>
      <c r="K35" s="19" t="s">
        <v>33</v>
      </c>
      <c r="L35" s="19" t="s">
        <v>93</v>
      </c>
      <c r="M35" s="15" t="s">
        <v>94</v>
      </c>
      <c r="N35" s="15" t="s">
        <v>36</v>
      </c>
      <c r="O35" s="15" t="s">
        <v>37</v>
      </c>
      <c r="P35" s="20" t="s">
        <v>156</v>
      </c>
      <c r="Q35" s="15" t="s">
        <v>83</v>
      </c>
      <c r="R35" s="4"/>
      <c r="S35" s="4"/>
    </row>
    <row r="36" spans="1:19" ht="21" customHeight="1" x14ac:dyDescent="0.25">
      <c r="A36" s="14">
        <f>DATE(2012,12,31)-587</f>
        <v>40687</v>
      </c>
      <c r="B36" s="15" t="s">
        <v>157</v>
      </c>
      <c r="C36" s="15" t="s">
        <v>85</v>
      </c>
      <c r="D36" s="16">
        <v>24</v>
      </c>
      <c r="E36" s="17">
        <v>126.58</v>
      </c>
      <c r="F36" s="16">
        <v>0.06</v>
      </c>
      <c r="G36" s="15" t="s">
        <v>32</v>
      </c>
      <c r="H36" s="18">
        <v>18.27</v>
      </c>
      <c r="I36" s="19">
        <v>5.58</v>
      </c>
      <c r="J36" s="19">
        <v>0.7</v>
      </c>
      <c r="K36" s="19" t="s">
        <v>124</v>
      </c>
      <c r="L36" s="19" t="s">
        <v>158</v>
      </c>
      <c r="M36" s="15" t="s">
        <v>158</v>
      </c>
      <c r="N36" s="15" t="s">
        <v>36</v>
      </c>
      <c r="O36" s="15" t="s">
        <v>77</v>
      </c>
      <c r="P36" s="20" t="s">
        <v>159</v>
      </c>
      <c r="Q36" s="15" t="s">
        <v>79</v>
      </c>
      <c r="R36" s="4"/>
      <c r="S36" s="4"/>
    </row>
    <row r="37" spans="1:19" ht="21" customHeight="1" x14ac:dyDescent="0.25">
      <c r="A37" s="14">
        <f>DATE(2012,12,31)-587</f>
        <v>40687</v>
      </c>
      <c r="B37" s="15" t="s">
        <v>157</v>
      </c>
      <c r="C37" s="15" t="s">
        <v>85</v>
      </c>
      <c r="D37" s="16">
        <v>1</v>
      </c>
      <c r="E37" s="17">
        <v>23.7</v>
      </c>
      <c r="F37" s="16">
        <v>0.05</v>
      </c>
      <c r="G37" s="15" t="s">
        <v>32</v>
      </c>
      <c r="H37" s="18">
        <v>-8.9700000000000006</v>
      </c>
      <c r="I37" s="19">
        <v>19.84</v>
      </c>
      <c r="J37" s="19">
        <v>4.0999999999999996</v>
      </c>
      <c r="K37" s="19" t="s">
        <v>124</v>
      </c>
      <c r="L37" s="19" t="s">
        <v>160</v>
      </c>
      <c r="M37" s="15" t="s">
        <v>161</v>
      </c>
      <c r="N37" s="15" t="s">
        <v>36</v>
      </c>
      <c r="O37" s="15" t="s">
        <v>77</v>
      </c>
      <c r="P37" s="20" t="s">
        <v>162</v>
      </c>
      <c r="Q37" s="15" t="s">
        <v>79</v>
      </c>
      <c r="R37" s="4"/>
      <c r="S37" s="4"/>
    </row>
    <row r="38" spans="1:19" ht="21" customHeight="1" x14ac:dyDescent="0.25">
      <c r="A38" s="14">
        <f>DATE(2012,12,31)-734</f>
        <v>40540</v>
      </c>
      <c r="B38" s="15" t="s">
        <v>163</v>
      </c>
      <c r="C38" s="15" t="s">
        <v>85</v>
      </c>
      <c r="D38" s="16">
        <v>43</v>
      </c>
      <c r="E38" s="17">
        <v>586.11</v>
      </c>
      <c r="F38" s="16">
        <v>0.11</v>
      </c>
      <c r="G38" s="15" t="s">
        <v>32</v>
      </c>
      <c r="H38" s="18">
        <v>98.44</v>
      </c>
      <c r="I38" s="19">
        <v>12.64</v>
      </c>
      <c r="J38" s="19">
        <v>4.9800000000000004</v>
      </c>
      <c r="K38" s="19" t="s">
        <v>124</v>
      </c>
      <c r="L38" s="19" t="s">
        <v>164</v>
      </c>
      <c r="M38" s="15" t="s">
        <v>165</v>
      </c>
      <c r="N38" s="15" t="s">
        <v>54</v>
      </c>
      <c r="O38" s="15" t="s">
        <v>55</v>
      </c>
      <c r="P38" s="20" t="s">
        <v>166</v>
      </c>
      <c r="Q38" s="15" t="s">
        <v>49</v>
      </c>
      <c r="R38" s="4"/>
      <c r="S38" s="4"/>
    </row>
    <row r="39" spans="1:19" ht="21" customHeight="1" x14ac:dyDescent="0.25">
      <c r="A39" s="14">
        <f>DATE(2012,12,31)-734</f>
        <v>40540</v>
      </c>
      <c r="B39" s="15" t="s">
        <v>167</v>
      </c>
      <c r="C39" s="15" t="s">
        <v>85</v>
      </c>
      <c r="D39" s="16">
        <v>24</v>
      </c>
      <c r="E39" s="17">
        <v>599.1</v>
      </c>
      <c r="F39" s="16">
        <v>0.02</v>
      </c>
      <c r="G39" s="15" t="s">
        <v>32</v>
      </c>
      <c r="H39" s="18">
        <v>3.8164999999999956</v>
      </c>
      <c r="I39" s="19">
        <v>24.92</v>
      </c>
      <c r="J39" s="19">
        <v>12.98</v>
      </c>
      <c r="K39" s="19" t="s">
        <v>124</v>
      </c>
      <c r="L39" s="19" t="s">
        <v>168</v>
      </c>
      <c r="M39" s="15" t="s">
        <v>169</v>
      </c>
      <c r="N39" s="15" t="s">
        <v>36</v>
      </c>
      <c r="O39" s="15" t="s">
        <v>170</v>
      </c>
      <c r="P39" s="20" t="s">
        <v>171</v>
      </c>
      <c r="Q39" s="15" t="s">
        <v>83</v>
      </c>
      <c r="R39" s="4"/>
      <c r="S39" s="4"/>
    </row>
    <row r="40" spans="1:19" ht="21" customHeight="1" x14ac:dyDescent="0.25">
      <c r="A40" s="14">
        <f>DATE(2012,12,31)-797</f>
        <v>40477</v>
      </c>
      <c r="B40" s="15" t="s">
        <v>172</v>
      </c>
      <c r="C40" s="15" t="s">
        <v>85</v>
      </c>
      <c r="D40" s="16">
        <v>47</v>
      </c>
      <c r="E40" s="17">
        <v>2029.75</v>
      </c>
      <c r="F40" s="16">
        <v>0.06</v>
      </c>
      <c r="G40" s="15" t="s">
        <v>32</v>
      </c>
      <c r="H40" s="18">
        <v>320.37</v>
      </c>
      <c r="I40" s="19">
        <v>43.98</v>
      </c>
      <c r="J40" s="19">
        <v>8.99</v>
      </c>
      <c r="K40" s="19" t="s">
        <v>124</v>
      </c>
      <c r="L40" s="19" t="s">
        <v>164</v>
      </c>
      <c r="M40" s="15" t="s">
        <v>165</v>
      </c>
      <c r="N40" s="15" t="s">
        <v>36</v>
      </c>
      <c r="O40" s="15" t="s">
        <v>77</v>
      </c>
      <c r="P40" s="20" t="s">
        <v>173</v>
      </c>
      <c r="Q40" s="15" t="s">
        <v>49</v>
      </c>
      <c r="R40" s="4"/>
      <c r="S40" s="4"/>
    </row>
    <row r="41" spans="1:19" ht="21" customHeight="1" x14ac:dyDescent="0.25">
      <c r="A41" s="14">
        <f>DATE(2012,12,31)-797</f>
        <v>40477</v>
      </c>
      <c r="B41" s="15" t="s">
        <v>172</v>
      </c>
      <c r="C41" s="15" t="s">
        <v>85</v>
      </c>
      <c r="D41" s="16">
        <v>11</v>
      </c>
      <c r="E41" s="17">
        <v>1118.396</v>
      </c>
      <c r="F41" s="16">
        <v>0.06</v>
      </c>
      <c r="G41" s="15" t="s">
        <v>32</v>
      </c>
      <c r="H41" s="18">
        <v>-212.333</v>
      </c>
      <c r="I41" s="19">
        <v>125.99</v>
      </c>
      <c r="J41" s="19">
        <v>8.08</v>
      </c>
      <c r="K41" s="19" t="s">
        <v>44</v>
      </c>
      <c r="L41" s="19" t="s">
        <v>52</v>
      </c>
      <c r="M41" s="15" t="s">
        <v>53</v>
      </c>
      <c r="N41" s="15" t="s">
        <v>64</v>
      </c>
      <c r="O41" s="15" t="s">
        <v>65</v>
      </c>
      <c r="P41" s="20" t="s">
        <v>174</v>
      </c>
      <c r="Q41" s="15" t="s">
        <v>83</v>
      </c>
      <c r="R41" s="4"/>
      <c r="S41" s="4"/>
    </row>
    <row r="42" spans="1:19" ht="21" customHeight="1" x14ac:dyDescent="0.25">
      <c r="A42" s="14">
        <f>DATE(2012,12,31)-1190</f>
        <v>40084</v>
      </c>
      <c r="B42" s="15" t="s">
        <v>175</v>
      </c>
      <c r="C42" s="15" t="s">
        <v>51</v>
      </c>
      <c r="D42" s="16">
        <v>2</v>
      </c>
      <c r="E42" s="17">
        <v>689.74</v>
      </c>
      <c r="F42" s="16">
        <v>0.06</v>
      </c>
      <c r="G42" s="15" t="s">
        <v>32</v>
      </c>
      <c r="H42" s="18">
        <v>-490.84</v>
      </c>
      <c r="I42" s="19">
        <v>363.25</v>
      </c>
      <c r="J42" s="19">
        <v>19.989999999999998</v>
      </c>
      <c r="K42" s="19" t="s">
        <v>44</v>
      </c>
      <c r="L42" s="19" t="s">
        <v>52</v>
      </c>
      <c r="M42" s="15" t="s">
        <v>53</v>
      </c>
      <c r="N42" s="15" t="s">
        <v>36</v>
      </c>
      <c r="O42" s="15" t="s">
        <v>176</v>
      </c>
      <c r="P42" s="20" t="s">
        <v>177</v>
      </c>
      <c r="Q42" s="15" t="s">
        <v>83</v>
      </c>
      <c r="R42" s="4"/>
      <c r="S42" s="4"/>
    </row>
    <row r="43" spans="1:19" ht="21" customHeight="1" x14ac:dyDescent="0.25">
      <c r="A43" s="14">
        <f>DATE(2012,12,31)-734</f>
        <v>40540</v>
      </c>
      <c r="B43" s="15" t="s">
        <v>178</v>
      </c>
      <c r="C43" s="15" t="s">
        <v>85</v>
      </c>
      <c r="D43" s="16">
        <v>21</v>
      </c>
      <c r="E43" s="17">
        <v>154.35</v>
      </c>
      <c r="F43" s="16">
        <v>0</v>
      </c>
      <c r="G43" s="15" t="s">
        <v>32</v>
      </c>
      <c r="H43" s="18">
        <v>-91.14</v>
      </c>
      <c r="I43" s="19">
        <v>6.48</v>
      </c>
      <c r="J43" s="19">
        <v>8.74</v>
      </c>
      <c r="K43" s="19" t="s">
        <v>44</v>
      </c>
      <c r="L43" s="19" t="s">
        <v>52</v>
      </c>
      <c r="M43" s="15" t="s">
        <v>53</v>
      </c>
      <c r="N43" s="15" t="s">
        <v>36</v>
      </c>
      <c r="O43" s="15" t="s">
        <v>117</v>
      </c>
      <c r="P43" s="20" t="s">
        <v>179</v>
      </c>
      <c r="Q43" s="15" t="s">
        <v>83</v>
      </c>
      <c r="R43" s="4"/>
      <c r="S43" s="4"/>
    </row>
    <row r="44" spans="1:19" ht="21" customHeight="1" x14ac:dyDescent="0.25">
      <c r="A44" s="14">
        <f>DATE(2012,12,31)-734</f>
        <v>40540</v>
      </c>
      <c r="B44" s="15" t="s">
        <v>178</v>
      </c>
      <c r="C44" s="15" t="s">
        <v>85</v>
      </c>
      <c r="D44" s="16">
        <v>7</v>
      </c>
      <c r="E44" s="17">
        <v>201.36</v>
      </c>
      <c r="F44" s="16">
        <v>0</v>
      </c>
      <c r="G44" s="15" t="s">
        <v>58</v>
      </c>
      <c r="H44" s="18">
        <v>-284.39999999999998</v>
      </c>
      <c r="I44" s="19">
        <v>20.98</v>
      </c>
      <c r="J44" s="19">
        <v>53.03</v>
      </c>
      <c r="K44" s="19" t="s">
        <v>33</v>
      </c>
      <c r="L44" s="19" t="s">
        <v>93</v>
      </c>
      <c r="M44" s="15" t="s">
        <v>94</v>
      </c>
      <c r="N44" s="15" t="s">
        <v>36</v>
      </c>
      <c r="O44" s="15" t="s">
        <v>37</v>
      </c>
      <c r="P44" s="20" t="s">
        <v>180</v>
      </c>
      <c r="Q44" s="15" t="s">
        <v>181</v>
      </c>
      <c r="R44" s="4"/>
      <c r="S44" s="4"/>
    </row>
    <row r="45" spans="1:19" ht="21" customHeight="1" x14ac:dyDescent="0.25">
      <c r="A45" s="14">
        <f>DATE(2012,12,31)-734</f>
        <v>40540</v>
      </c>
      <c r="B45" s="15" t="s">
        <v>178</v>
      </c>
      <c r="C45" s="15" t="s">
        <v>85</v>
      </c>
      <c r="D45" s="16">
        <v>33</v>
      </c>
      <c r="E45" s="17">
        <v>216.77</v>
      </c>
      <c r="F45" s="16">
        <v>0.02</v>
      </c>
      <c r="G45" s="15" t="s">
        <v>32</v>
      </c>
      <c r="H45" s="18">
        <v>-55.108000000000004</v>
      </c>
      <c r="I45" s="19">
        <v>6.54</v>
      </c>
      <c r="J45" s="19">
        <v>5.27</v>
      </c>
      <c r="K45" s="19" t="s">
        <v>69</v>
      </c>
      <c r="L45" s="19" t="s">
        <v>70</v>
      </c>
      <c r="M45" s="15" t="s">
        <v>71</v>
      </c>
      <c r="N45" s="15" t="s">
        <v>36</v>
      </c>
      <c r="O45" s="15" t="s">
        <v>170</v>
      </c>
      <c r="P45" s="20" t="s">
        <v>182</v>
      </c>
      <c r="Q45" s="15" t="s">
        <v>83</v>
      </c>
      <c r="R45" s="4"/>
      <c r="S45" s="4"/>
    </row>
    <row r="46" spans="1:19" ht="21" customHeight="1" x14ac:dyDescent="0.25">
      <c r="A46" s="14">
        <f>DATE(2012,12,31)-917</f>
        <v>40357</v>
      </c>
      <c r="B46" s="15" t="s">
        <v>183</v>
      </c>
      <c r="C46" s="15" t="s">
        <v>85</v>
      </c>
      <c r="D46" s="16">
        <v>47</v>
      </c>
      <c r="E46" s="17">
        <v>5677.6089999999995</v>
      </c>
      <c r="F46" s="16">
        <v>0.04</v>
      </c>
      <c r="G46" s="15" t="s">
        <v>32</v>
      </c>
      <c r="H46" s="18">
        <v>1680.7860000000001</v>
      </c>
      <c r="I46" s="19">
        <v>140.99</v>
      </c>
      <c r="J46" s="19">
        <v>4.2</v>
      </c>
      <c r="K46" s="19" t="s">
        <v>69</v>
      </c>
      <c r="L46" s="19" t="s">
        <v>70</v>
      </c>
      <c r="M46" s="15" t="s">
        <v>71</v>
      </c>
      <c r="N46" s="15" t="s">
        <v>64</v>
      </c>
      <c r="O46" s="15" t="s">
        <v>65</v>
      </c>
      <c r="P46" s="20" t="s">
        <v>184</v>
      </c>
      <c r="Q46" s="15" t="s">
        <v>83</v>
      </c>
      <c r="R46" s="4"/>
      <c r="S46" s="4"/>
    </row>
    <row r="47" spans="1:19" ht="21" customHeight="1" x14ac:dyDescent="0.25">
      <c r="A47" s="14">
        <f>DATE(2012,12,31)-1325</f>
        <v>39949</v>
      </c>
      <c r="B47" s="15" t="s">
        <v>185</v>
      </c>
      <c r="C47" s="15" t="s">
        <v>51</v>
      </c>
      <c r="D47" s="16">
        <v>25</v>
      </c>
      <c r="E47" s="17">
        <v>136.77000000000001</v>
      </c>
      <c r="F47" s="16">
        <v>0.09</v>
      </c>
      <c r="G47" s="15" t="s">
        <v>32</v>
      </c>
      <c r="H47" s="18">
        <v>-136.25200000000001</v>
      </c>
      <c r="I47" s="19">
        <v>5.4</v>
      </c>
      <c r="J47" s="19">
        <v>7.78</v>
      </c>
      <c r="K47" s="19" t="s">
        <v>69</v>
      </c>
      <c r="L47" s="19" t="s">
        <v>70</v>
      </c>
      <c r="M47" s="15" t="s">
        <v>71</v>
      </c>
      <c r="N47" s="15" t="s">
        <v>36</v>
      </c>
      <c r="O47" s="15" t="s">
        <v>170</v>
      </c>
      <c r="P47" s="20" t="s">
        <v>186</v>
      </c>
      <c r="Q47" s="15" t="s">
        <v>83</v>
      </c>
      <c r="R47" s="4"/>
      <c r="S47" s="4"/>
    </row>
    <row r="48" spans="1:19" ht="21" customHeight="1" x14ac:dyDescent="0.25">
      <c r="A48" s="14">
        <f>DATE(2012,12,31)-1456</f>
        <v>39818</v>
      </c>
      <c r="B48" s="15" t="s">
        <v>187</v>
      </c>
      <c r="C48" s="15" t="s">
        <v>43</v>
      </c>
      <c r="D48" s="16">
        <v>24</v>
      </c>
      <c r="E48" s="17">
        <v>188.73</v>
      </c>
      <c r="F48" s="16">
        <v>0.05</v>
      </c>
      <c r="G48" s="15" t="s">
        <v>32</v>
      </c>
      <c r="H48" s="18">
        <v>-32.479999999999997</v>
      </c>
      <c r="I48" s="19">
        <v>7.64</v>
      </c>
      <c r="J48" s="19">
        <v>5.83</v>
      </c>
      <c r="K48" s="19" t="s">
        <v>69</v>
      </c>
      <c r="L48" s="19" t="s">
        <v>70</v>
      </c>
      <c r="M48" s="15" t="s">
        <v>71</v>
      </c>
      <c r="N48" s="15" t="s">
        <v>36</v>
      </c>
      <c r="O48" s="15" t="s">
        <v>117</v>
      </c>
      <c r="P48" s="20" t="s">
        <v>188</v>
      </c>
      <c r="Q48" s="15" t="s">
        <v>79</v>
      </c>
      <c r="R48" s="4"/>
      <c r="S48" s="4"/>
    </row>
    <row r="49" spans="1:19" ht="21" customHeight="1" x14ac:dyDescent="0.25">
      <c r="A49" s="14">
        <f>DATE(2012,12,31)-354</f>
        <v>40920</v>
      </c>
      <c r="B49" s="15" t="s">
        <v>140</v>
      </c>
      <c r="C49" s="15" t="s">
        <v>51</v>
      </c>
      <c r="D49" s="16">
        <v>43</v>
      </c>
      <c r="E49" s="17">
        <v>412.62</v>
      </c>
      <c r="F49" s="16">
        <v>0.08</v>
      </c>
      <c r="G49" s="15" t="s">
        <v>32</v>
      </c>
      <c r="H49" s="18">
        <v>175.54</v>
      </c>
      <c r="I49" s="19">
        <v>9.9</v>
      </c>
      <c r="J49" s="19">
        <v>1.39</v>
      </c>
      <c r="K49" s="19" t="s">
        <v>69</v>
      </c>
      <c r="L49" s="19" t="s">
        <v>70</v>
      </c>
      <c r="M49" s="15" t="s">
        <v>71</v>
      </c>
      <c r="N49" s="15" t="s">
        <v>36</v>
      </c>
      <c r="O49" s="15" t="s">
        <v>189</v>
      </c>
      <c r="P49" s="20" t="s">
        <v>190</v>
      </c>
      <c r="Q49" s="15" t="s">
        <v>83</v>
      </c>
      <c r="R49" s="4"/>
      <c r="S49" s="4"/>
    </row>
    <row r="50" spans="1:19" ht="21" customHeight="1" x14ac:dyDescent="0.25">
      <c r="A50" s="14">
        <f>DATE(2012,12,31)-91</f>
        <v>41183</v>
      </c>
      <c r="B50" s="15" t="s">
        <v>191</v>
      </c>
      <c r="C50" s="15" t="s">
        <v>51</v>
      </c>
      <c r="D50" s="16">
        <v>49</v>
      </c>
      <c r="E50" s="17">
        <v>10123.02</v>
      </c>
      <c r="F50" s="16">
        <v>7.0000000000000007E-2</v>
      </c>
      <c r="G50" s="15" t="s">
        <v>58</v>
      </c>
      <c r="H50" s="18">
        <v>457.81</v>
      </c>
      <c r="I50" s="19">
        <v>208.16</v>
      </c>
      <c r="J50" s="19">
        <v>68.02</v>
      </c>
      <c r="K50" s="19" t="s">
        <v>44</v>
      </c>
      <c r="L50" s="19" t="s">
        <v>89</v>
      </c>
      <c r="M50" s="15" t="s">
        <v>90</v>
      </c>
      <c r="N50" s="15" t="s">
        <v>36</v>
      </c>
      <c r="O50" s="15" t="s">
        <v>176</v>
      </c>
      <c r="P50" s="20" t="s">
        <v>192</v>
      </c>
      <c r="Q50" s="15" t="s">
        <v>181</v>
      </c>
      <c r="R50" s="4"/>
      <c r="S50" s="4"/>
    </row>
    <row r="51" spans="1:19" ht="21" customHeight="1" x14ac:dyDescent="0.25">
      <c r="A51" s="14">
        <f>DATE(2012,12,31)-91</f>
        <v>41183</v>
      </c>
      <c r="B51" s="15" t="s">
        <v>191</v>
      </c>
      <c r="C51" s="15" t="s">
        <v>51</v>
      </c>
      <c r="D51" s="16">
        <v>27</v>
      </c>
      <c r="E51" s="17">
        <v>244.57</v>
      </c>
      <c r="F51" s="16">
        <v>0.01</v>
      </c>
      <c r="G51" s="15" t="s">
        <v>32</v>
      </c>
      <c r="H51" s="18">
        <v>46.707500000000003</v>
      </c>
      <c r="I51" s="19">
        <v>8.69</v>
      </c>
      <c r="J51" s="19">
        <v>2.99</v>
      </c>
      <c r="K51" s="19" t="s">
        <v>44</v>
      </c>
      <c r="L51" s="19" t="s">
        <v>45</v>
      </c>
      <c r="M51" s="15" t="s">
        <v>46</v>
      </c>
      <c r="N51" s="15" t="s">
        <v>36</v>
      </c>
      <c r="O51" s="15" t="s">
        <v>170</v>
      </c>
      <c r="P51" s="20" t="s">
        <v>193</v>
      </c>
      <c r="Q51" s="15" t="s">
        <v>83</v>
      </c>
      <c r="R51" s="4"/>
      <c r="S51" s="4"/>
    </row>
    <row r="52" spans="1:19" ht="21" customHeight="1" x14ac:dyDescent="0.25">
      <c r="A52" s="14">
        <f>DATE(2012,12,31)-900</f>
        <v>40374</v>
      </c>
      <c r="B52" s="15" t="s">
        <v>194</v>
      </c>
      <c r="C52" s="15" t="s">
        <v>85</v>
      </c>
      <c r="D52" s="16">
        <v>35</v>
      </c>
      <c r="E52" s="17">
        <v>6375.28</v>
      </c>
      <c r="F52" s="16">
        <v>0.06</v>
      </c>
      <c r="G52" s="15" t="s">
        <v>32</v>
      </c>
      <c r="H52" s="18">
        <v>489.02</v>
      </c>
      <c r="I52" s="19">
        <v>193.17</v>
      </c>
      <c r="J52" s="19">
        <v>19.989999999999998</v>
      </c>
      <c r="K52" s="19" t="s">
        <v>97</v>
      </c>
      <c r="L52" s="19" t="s">
        <v>195</v>
      </c>
      <c r="M52" s="15" t="s">
        <v>196</v>
      </c>
      <c r="N52" s="15" t="s">
        <v>36</v>
      </c>
      <c r="O52" s="15" t="s">
        <v>37</v>
      </c>
      <c r="P52" s="20" t="s">
        <v>197</v>
      </c>
      <c r="Q52" s="15" t="s">
        <v>83</v>
      </c>
      <c r="R52" s="4"/>
      <c r="S52" s="4"/>
    </row>
    <row r="53" spans="1:19" ht="21" customHeight="1" x14ac:dyDescent="0.25">
      <c r="A53" s="14">
        <f>DATE(2012,12,31)-288</f>
        <v>40986</v>
      </c>
      <c r="B53" s="15" t="s">
        <v>198</v>
      </c>
      <c r="C53" s="15" t="s">
        <v>85</v>
      </c>
      <c r="D53" s="16">
        <v>20</v>
      </c>
      <c r="E53" s="17">
        <v>2634.8554999999997</v>
      </c>
      <c r="F53" s="16">
        <v>0.08</v>
      </c>
      <c r="G53" s="15" t="s">
        <v>32</v>
      </c>
      <c r="H53" s="18">
        <v>257.76</v>
      </c>
      <c r="I53" s="19">
        <v>155.99</v>
      </c>
      <c r="J53" s="19">
        <v>8.08</v>
      </c>
      <c r="K53" s="19" t="s">
        <v>44</v>
      </c>
      <c r="L53" s="19" t="s">
        <v>80</v>
      </c>
      <c r="M53" s="15" t="s">
        <v>81</v>
      </c>
      <c r="N53" s="15" t="s">
        <v>64</v>
      </c>
      <c r="O53" s="15" t="s">
        <v>65</v>
      </c>
      <c r="P53" s="20" t="s">
        <v>199</v>
      </c>
      <c r="Q53" s="15" t="s">
        <v>83</v>
      </c>
      <c r="R53" s="4"/>
      <c r="S53" s="4"/>
    </row>
    <row r="54" spans="1:19" ht="21" customHeight="1" x14ac:dyDescent="0.25">
      <c r="A54" s="14">
        <f>DATE(2012,12,31)-288</f>
        <v>40986</v>
      </c>
      <c r="B54" s="15" t="s">
        <v>198</v>
      </c>
      <c r="C54" s="15" t="s">
        <v>85</v>
      </c>
      <c r="D54" s="16">
        <v>46</v>
      </c>
      <c r="E54" s="17">
        <v>281</v>
      </c>
      <c r="F54" s="16">
        <v>0.1</v>
      </c>
      <c r="G54" s="15" t="s">
        <v>32</v>
      </c>
      <c r="H54" s="18">
        <v>-291.58999999999997</v>
      </c>
      <c r="I54" s="19">
        <v>6.48</v>
      </c>
      <c r="J54" s="19">
        <v>10.050000000000001</v>
      </c>
      <c r="K54" s="19" t="s">
        <v>44</v>
      </c>
      <c r="L54" s="19" t="s">
        <v>52</v>
      </c>
      <c r="M54" s="15" t="s">
        <v>53</v>
      </c>
      <c r="N54" s="15" t="s">
        <v>36</v>
      </c>
      <c r="O54" s="15" t="s">
        <v>117</v>
      </c>
      <c r="P54" s="20" t="s">
        <v>200</v>
      </c>
      <c r="Q54" s="15" t="s">
        <v>83</v>
      </c>
      <c r="R54" s="4"/>
      <c r="S54" s="4"/>
    </row>
    <row r="55" spans="1:19" ht="21" customHeight="1" x14ac:dyDescent="0.25">
      <c r="A55" s="14">
        <f>DATE(2012,12,31)-1377</f>
        <v>39897</v>
      </c>
      <c r="B55" s="15" t="s">
        <v>201</v>
      </c>
      <c r="C55" s="15" t="s">
        <v>85</v>
      </c>
      <c r="D55" s="16">
        <v>20</v>
      </c>
      <c r="E55" s="17">
        <v>108.09</v>
      </c>
      <c r="F55" s="16">
        <v>7.0000000000000007E-2</v>
      </c>
      <c r="G55" s="15" t="s">
        <v>32</v>
      </c>
      <c r="H55" s="18">
        <v>25.76</v>
      </c>
      <c r="I55" s="19">
        <v>5.68</v>
      </c>
      <c r="J55" s="19">
        <v>1.39</v>
      </c>
      <c r="K55" s="19" t="s">
        <v>44</v>
      </c>
      <c r="L55" s="19" t="s">
        <v>52</v>
      </c>
      <c r="M55" s="15" t="s">
        <v>53</v>
      </c>
      <c r="N55" s="15" t="s">
        <v>36</v>
      </c>
      <c r="O55" s="15" t="s">
        <v>189</v>
      </c>
      <c r="P55" s="20" t="s">
        <v>202</v>
      </c>
      <c r="Q55" s="15" t="s">
        <v>83</v>
      </c>
      <c r="R55" s="4"/>
      <c r="S55" s="4"/>
    </row>
    <row r="56" spans="1:19" ht="21" customHeight="1" x14ac:dyDescent="0.25">
      <c r="A56" s="14">
        <f>DATE(2012,12,31)-1377</f>
        <v>39897</v>
      </c>
      <c r="B56" s="15" t="s">
        <v>201</v>
      </c>
      <c r="C56" s="15" t="s">
        <v>85</v>
      </c>
      <c r="D56" s="16">
        <v>2</v>
      </c>
      <c r="E56" s="17">
        <v>55.34</v>
      </c>
      <c r="F56" s="16">
        <v>0.06</v>
      </c>
      <c r="G56" s="15" t="s">
        <v>32</v>
      </c>
      <c r="H56" s="18">
        <v>-31.24</v>
      </c>
      <c r="I56" s="19">
        <v>22.84</v>
      </c>
      <c r="J56" s="19">
        <v>11.54</v>
      </c>
      <c r="K56" s="19" t="s">
        <v>33</v>
      </c>
      <c r="L56" s="19" t="s">
        <v>59</v>
      </c>
      <c r="M56" s="15" t="s">
        <v>60</v>
      </c>
      <c r="N56" s="15" t="s">
        <v>36</v>
      </c>
      <c r="O56" s="15" t="s">
        <v>117</v>
      </c>
      <c r="P56" s="20" t="s">
        <v>203</v>
      </c>
      <c r="Q56" s="15" t="s">
        <v>83</v>
      </c>
      <c r="R56" s="4"/>
      <c r="S56" s="4"/>
    </row>
    <row r="57" spans="1:19" ht="21" customHeight="1" x14ac:dyDescent="0.25">
      <c r="A57" s="14">
        <f>DATE(2012,12,31)-287</f>
        <v>40987</v>
      </c>
      <c r="B57" s="15" t="s">
        <v>204</v>
      </c>
      <c r="C57" s="15" t="s">
        <v>85</v>
      </c>
      <c r="D57" s="16">
        <v>25</v>
      </c>
      <c r="E57" s="17">
        <v>3872.634</v>
      </c>
      <c r="F57" s="16">
        <v>0.02</v>
      </c>
      <c r="G57" s="15" t="s">
        <v>32</v>
      </c>
      <c r="H57" s="18">
        <v>667.33199999999999</v>
      </c>
      <c r="I57" s="19">
        <v>179.99</v>
      </c>
      <c r="J57" s="19">
        <v>13.99</v>
      </c>
      <c r="K57" s="19" t="s">
        <v>124</v>
      </c>
      <c r="L57" s="19" t="s">
        <v>164</v>
      </c>
      <c r="M57" s="15" t="s">
        <v>165</v>
      </c>
      <c r="N57" s="15" t="s">
        <v>64</v>
      </c>
      <c r="O57" s="15" t="s">
        <v>65</v>
      </c>
      <c r="P57" s="20" t="s">
        <v>205</v>
      </c>
      <c r="Q57" s="15" t="s">
        <v>57</v>
      </c>
      <c r="R57" s="4"/>
      <c r="S57" s="4"/>
    </row>
    <row r="58" spans="1:19" ht="21" customHeight="1" x14ac:dyDescent="0.25">
      <c r="A58" s="14">
        <f>DATE(2012,12,31)-807</f>
        <v>40467</v>
      </c>
      <c r="B58" s="15" t="s">
        <v>110</v>
      </c>
      <c r="C58" s="15" t="s">
        <v>31</v>
      </c>
      <c r="D58" s="16">
        <v>9</v>
      </c>
      <c r="E58" s="17">
        <v>884.12750000000005</v>
      </c>
      <c r="F58" s="16">
        <v>0.06</v>
      </c>
      <c r="G58" s="15" t="s">
        <v>32</v>
      </c>
      <c r="H58" s="18">
        <v>-178.70600000000002</v>
      </c>
      <c r="I58" s="19">
        <v>115.99</v>
      </c>
      <c r="J58" s="19">
        <v>4.2300000000000004</v>
      </c>
      <c r="K58" s="19" t="s">
        <v>97</v>
      </c>
      <c r="L58" s="19" t="s">
        <v>98</v>
      </c>
      <c r="M58" s="15" t="s">
        <v>99</v>
      </c>
      <c r="N58" s="15" t="s">
        <v>64</v>
      </c>
      <c r="O58" s="15" t="s">
        <v>65</v>
      </c>
      <c r="P58" s="20" t="s">
        <v>206</v>
      </c>
      <c r="Q58" s="15" t="s">
        <v>83</v>
      </c>
      <c r="R58" s="4"/>
      <c r="S58" s="4"/>
    </row>
    <row r="59" spans="1:19" ht="21" customHeight="1" x14ac:dyDescent="0.25">
      <c r="A59" s="14">
        <f>DATE(2012,12,31)-577</f>
        <v>40697</v>
      </c>
      <c r="B59" s="15" t="s">
        <v>207</v>
      </c>
      <c r="C59" s="15" t="s">
        <v>51</v>
      </c>
      <c r="D59" s="16">
        <v>34</v>
      </c>
      <c r="E59" s="17">
        <v>218.27</v>
      </c>
      <c r="F59" s="16">
        <v>0.03</v>
      </c>
      <c r="G59" s="15" t="s">
        <v>32</v>
      </c>
      <c r="H59" s="18">
        <v>-44.137</v>
      </c>
      <c r="I59" s="19">
        <v>5.99</v>
      </c>
      <c r="J59" s="19">
        <v>4.92</v>
      </c>
      <c r="K59" s="19" t="s">
        <v>33</v>
      </c>
      <c r="L59" s="19" t="s">
        <v>59</v>
      </c>
      <c r="M59" s="15" t="s">
        <v>60</v>
      </c>
      <c r="N59" s="15" t="s">
        <v>36</v>
      </c>
      <c r="O59" s="15" t="s">
        <v>170</v>
      </c>
      <c r="P59" s="20" t="s">
        <v>208</v>
      </c>
      <c r="Q59" s="15" t="s">
        <v>83</v>
      </c>
      <c r="R59" s="4"/>
      <c r="S59" s="4"/>
    </row>
    <row r="60" spans="1:19" ht="21" customHeight="1" x14ac:dyDescent="0.25">
      <c r="A60" s="14">
        <f>DATE(2012,12,31)-577</f>
        <v>40697</v>
      </c>
      <c r="B60" s="15" t="s">
        <v>207</v>
      </c>
      <c r="C60" s="15" t="s">
        <v>51</v>
      </c>
      <c r="D60" s="16">
        <v>17</v>
      </c>
      <c r="E60" s="17">
        <v>100.95</v>
      </c>
      <c r="F60" s="16">
        <v>0.05</v>
      </c>
      <c r="G60" s="15" t="s">
        <v>32</v>
      </c>
      <c r="H60" s="18">
        <v>-21.3</v>
      </c>
      <c r="I60" s="19">
        <v>5.81</v>
      </c>
      <c r="J60" s="19">
        <v>3.37</v>
      </c>
      <c r="K60" s="19" t="s">
        <v>33</v>
      </c>
      <c r="L60" s="19" t="s">
        <v>59</v>
      </c>
      <c r="M60" s="15" t="s">
        <v>60</v>
      </c>
      <c r="N60" s="15" t="s">
        <v>36</v>
      </c>
      <c r="O60" s="15" t="s">
        <v>105</v>
      </c>
      <c r="P60" s="20" t="s">
        <v>209</v>
      </c>
      <c r="Q60" s="15" t="s">
        <v>79</v>
      </c>
      <c r="R60" s="4"/>
      <c r="S60" s="4"/>
    </row>
    <row r="61" spans="1:19" ht="21" customHeight="1" x14ac:dyDescent="0.25">
      <c r="A61" s="14">
        <f>DATE(2012,12,31)-732</f>
        <v>40542</v>
      </c>
      <c r="B61" s="15" t="s">
        <v>210</v>
      </c>
      <c r="C61" s="15" t="s">
        <v>31</v>
      </c>
      <c r="D61" s="16">
        <v>21</v>
      </c>
      <c r="E61" s="17">
        <v>46.94</v>
      </c>
      <c r="F61" s="16">
        <v>0.02</v>
      </c>
      <c r="G61" s="15" t="s">
        <v>32</v>
      </c>
      <c r="H61" s="18">
        <v>3.88</v>
      </c>
      <c r="I61" s="19">
        <v>2.21</v>
      </c>
      <c r="J61" s="19">
        <v>1</v>
      </c>
      <c r="K61" s="19" t="s">
        <v>33</v>
      </c>
      <c r="L61" s="19" t="s">
        <v>145</v>
      </c>
      <c r="M61" s="15" t="s">
        <v>146</v>
      </c>
      <c r="N61" s="15" t="s">
        <v>36</v>
      </c>
      <c r="O61" s="15" t="s">
        <v>77</v>
      </c>
      <c r="P61" s="20" t="s">
        <v>211</v>
      </c>
      <c r="Q61" s="15" t="s">
        <v>79</v>
      </c>
      <c r="R61" s="4"/>
      <c r="S61" s="4"/>
    </row>
    <row r="62" spans="1:19" ht="21" customHeight="1" x14ac:dyDescent="0.25">
      <c r="A62" s="14">
        <f>DATE(2012,12,31)-1297</f>
        <v>39977</v>
      </c>
      <c r="B62" s="15" t="s">
        <v>212</v>
      </c>
      <c r="C62" s="15" t="s">
        <v>31</v>
      </c>
      <c r="D62" s="16">
        <v>16</v>
      </c>
      <c r="E62" s="17">
        <v>1239.6315</v>
      </c>
      <c r="F62" s="16">
        <v>0</v>
      </c>
      <c r="G62" s="15" t="s">
        <v>32</v>
      </c>
      <c r="H62" s="18">
        <v>-172.54600000000002</v>
      </c>
      <c r="I62" s="19">
        <v>85.99</v>
      </c>
      <c r="J62" s="19">
        <v>0.99</v>
      </c>
      <c r="K62" s="19" t="s">
        <v>69</v>
      </c>
      <c r="L62" s="19" t="s">
        <v>75</v>
      </c>
      <c r="M62" s="15" t="s">
        <v>76</v>
      </c>
      <c r="N62" s="15" t="s">
        <v>64</v>
      </c>
      <c r="O62" s="15" t="s">
        <v>65</v>
      </c>
      <c r="P62" s="20" t="s">
        <v>213</v>
      </c>
      <c r="Q62" s="15" t="s">
        <v>79</v>
      </c>
      <c r="R62" s="4"/>
      <c r="S62" s="4"/>
    </row>
    <row r="63" spans="1:19" ht="21" customHeight="1" x14ac:dyDescent="0.25">
      <c r="A63" s="14">
        <f>DATE(2012,12,31)-834</f>
        <v>40440</v>
      </c>
      <c r="B63" s="15" t="s">
        <v>214</v>
      </c>
      <c r="C63" s="15" t="s">
        <v>51</v>
      </c>
      <c r="D63" s="16">
        <v>33</v>
      </c>
      <c r="E63" s="17">
        <v>1640.9</v>
      </c>
      <c r="F63" s="16">
        <v>0.02</v>
      </c>
      <c r="G63" s="15" t="s">
        <v>58</v>
      </c>
      <c r="H63" s="18">
        <v>-1348.06</v>
      </c>
      <c r="I63" s="19">
        <v>48.58</v>
      </c>
      <c r="J63" s="19">
        <v>54.11</v>
      </c>
      <c r="K63" s="19" t="s">
        <v>69</v>
      </c>
      <c r="L63" s="19" t="s">
        <v>215</v>
      </c>
      <c r="M63" s="15" t="s">
        <v>216</v>
      </c>
      <c r="N63" s="15" t="s">
        <v>54</v>
      </c>
      <c r="O63" s="15" t="s">
        <v>134</v>
      </c>
      <c r="P63" s="20" t="s">
        <v>217</v>
      </c>
      <c r="Q63" s="15" t="s">
        <v>63</v>
      </c>
      <c r="R63" s="4"/>
      <c r="S63" s="4"/>
    </row>
    <row r="64" spans="1:19" ht="21" customHeight="1" x14ac:dyDescent="0.25">
      <c r="A64" s="14">
        <f>DATE(2012,12,31)-834</f>
        <v>40440</v>
      </c>
      <c r="B64" s="15" t="s">
        <v>214</v>
      </c>
      <c r="C64" s="15" t="s">
        <v>51</v>
      </c>
      <c r="D64" s="16">
        <v>33</v>
      </c>
      <c r="E64" s="17">
        <v>1235.8699999999999</v>
      </c>
      <c r="F64" s="16">
        <v>7.0000000000000007E-2</v>
      </c>
      <c r="G64" s="15" t="s">
        <v>32</v>
      </c>
      <c r="H64" s="18">
        <v>269.27</v>
      </c>
      <c r="I64" s="19">
        <v>39.479999999999997</v>
      </c>
      <c r="J64" s="19">
        <v>1.99</v>
      </c>
      <c r="K64" s="19" t="s">
        <v>44</v>
      </c>
      <c r="L64" s="19" t="s">
        <v>45</v>
      </c>
      <c r="M64" s="15" t="s">
        <v>46</v>
      </c>
      <c r="N64" s="15" t="s">
        <v>64</v>
      </c>
      <c r="O64" s="15" t="s">
        <v>72</v>
      </c>
      <c r="P64" s="20" t="s">
        <v>218</v>
      </c>
      <c r="Q64" s="15" t="s">
        <v>49</v>
      </c>
      <c r="R64" s="4"/>
      <c r="S64" s="4"/>
    </row>
    <row r="65" spans="1:19" ht="21" customHeight="1" x14ac:dyDescent="0.25">
      <c r="A65" s="14">
        <f>DATE(2012,12,31)-1109</f>
        <v>40165</v>
      </c>
      <c r="B65" s="15" t="s">
        <v>219</v>
      </c>
      <c r="C65" s="15" t="s">
        <v>85</v>
      </c>
      <c r="D65" s="16">
        <v>30</v>
      </c>
      <c r="E65" s="17">
        <v>3659.66</v>
      </c>
      <c r="F65" s="16">
        <v>0.08</v>
      </c>
      <c r="G65" s="15" t="s">
        <v>58</v>
      </c>
      <c r="H65" s="18">
        <v>-500.38</v>
      </c>
      <c r="I65" s="19">
        <v>124.49</v>
      </c>
      <c r="J65" s="19">
        <v>51.94</v>
      </c>
      <c r="K65" s="19" t="s">
        <v>44</v>
      </c>
      <c r="L65" s="19" t="s">
        <v>89</v>
      </c>
      <c r="M65" s="15" t="s">
        <v>90</v>
      </c>
      <c r="N65" s="15" t="s">
        <v>54</v>
      </c>
      <c r="O65" s="15" t="s">
        <v>61</v>
      </c>
      <c r="P65" s="20" t="s">
        <v>220</v>
      </c>
      <c r="Q65" s="15" t="s">
        <v>63</v>
      </c>
      <c r="R65" s="4"/>
      <c r="S65" s="4"/>
    </row>
    <row r="66" spans="1:19" ht="21" customHeight="1" x14ac:dyDescent="0.25">
      <c r="A66" s="14">
        <f>DATE(2012,12,31)-304</f>
        <v>40970</v>
      </c>
      <c r="B66" s="15" t="s">
        <v>221</v>
      </c>
      <c r="C66" s="15" t="s">
        <v>31</v>
      </c>
      <c r="D66" s="16">
        <v>50</v>
      </c>
      <c r="E66" s="17">
        <v>7666.04</v>
      </c>
      <c r="F66" s="16">
        <v>0.02</v>
      </c>
      <c r="G66" s="15" t="s">
        <v>58</v>
      </c>
      <c r="H66" s="18">
        <v>-1820.84</v>
      </c>
      <c r="I66" s="19">
        <v>146.05000000000001</v>
      </c>
      <c r="J66" s="19">
        <v>80.2</v>
      </c>
      <c r="K66" s="19" t="s">
        <v>44</v>
      </c>
      <c r="L66" s="19" t="s">
        <v>45</v>
      </c>
      <c r="M66" s="15" t="s">
        <v>46</v>
      </c>
      <c r="N66" s="15" t="s">
        <v>54</v>
      </c>
      <c r="O66" s="15" t="s">
        <v>61</v>
      </c>
      <c r="P66" s="20" t="s">
        <v>222</v>
      </c>
      <c r="Q66" s="15" t="s">
        <v>63</v>
      </c>
      <c r="R66" s="4"/>
      <c r="S66" s="4"/>
    </row>
    <row r="67" spans="1:19" ht="21" customHeight="1" x14ac:dyDescent="0.25">
      <c r="A67" s="14">
        <f>DATE(2012,12,31)-707</f>
        <v>40567</v>
      </c>
      <c r="B67" s="15" t="s">
        <v>223</v>
      </c>
      <c r="C67" s="15" t="s">
        <v>51</v>
      </c>
      <c r="D67" s="16">
        <v>4</v>
      </c>
      <c r="E67" s="17">
        <v>14.96</v>
      </c>
      <c r="F67" s="16">
        <v>0.02</v>
      </c>
      <c r="G67" s="15" t="s">
        <v>32</v>
      </c>
      <c r="H67" s="18">
        <v>-3.0000000000000249E-2</v>
      </c>
      <c r="I67" s="19">
        <v>3.69</v>
      </c>
      <c r="J67" s="19">
        <v>0.5</v>
      </c>
      <c r="K67" s="19" t="s">
        <v>44</v>
      </c>
      <c r="L67" s="19" t="s">
        <v>89</v>
      </c>
      <c r="M67" s="15" t="s">
        <v>90</v>
      </c>
      <c r="N67" s="15" t="s">
        <v>36</v>
      </c>
      <c r="O67" s="15" t="s">
        <v>114</v>
      </c>
      <c r="P67" s="20" t="s">
        <v>224</v>
      </c>
      <c r="Q67" s="15" t="s">
        <v>83</v>
      </c>
      <c r="R67" s="4"/>
      <c r="S67" s="4"/>
    </row>
    <row r="68" spans="1:19" ht="21" customHeight="1" x14ac:dyDescent="0.25">
      <c r="A68" s="14">
        <f>DATE(2012,12,31)-707</f>
        <v>40567</v>
      </c>
      <c r="B68" s="15" t="s">
        <v>223</v>
      </c>
      <c r="C68" s="15" t="s">
        <v>51</v>
      </c>
      <c r="D68" s="16">
        <v>4</v>
      </c>
      <c r="E68" s="17">
        <v>15.69</v>
      </c>
      <c r="F68" s="16">
        <v>0.09</v>
      </c>
      <c r="G68" s="15" t="s">
        <v>32</v>
      </c>
      <c r="H68" s="18">
        <v>-1.59</v>
      </c>
      <c r="I68" s="19">
        <v>3.85</v>
      </c>
      <c r="J68" s="19">
        <v>0.7</v>
      </c>
      <c r="K68" s="19" t="s">
        <v>44</v>
      </c>
      <c r="L68" s="19" t="s">
        <v>89</v>
      </c>
      <c r="M68" s="15" t="s">
        <v>90</v>
      </c>
      <c r="N68" s="15" t="s">
        <v>36</v>
      </c>
      <c r="O68" s="15" t="s">
        <v>77</v>
      </c>
      <c r="P68" s="20" t="s">
        <v>225</v>
      </c>
      <c r="Q68" s="15" t="s">
        <v>79</v>
      </c>
      <c r="R68" s="4"/>
      <c r="S68" s="4"/>
    </row>
    <row r="69" spans="1:19" ht="21" customHeight="1" x14ac:dyDescent="0.25">
      <c r="A69" s="14">
        <f>DATE(2012,12,31)-16</f>
        <v>41258</v>
      </c>
      <c r="B69" s="15" t="s">
        <v>226</v>
      </c>
      <c r="C69" s="15" t="s">
        <v>43</v>
      </c>
      <c r="D69" s="16">
        <v>46</v>
      </c>
      <c r="E69" s="17">
        <v>517.92999999999995</v>
      </c>
      <c r="F69" s="16">
        <v>0.06</v>
      </c>
      <c r="G69" s="15" t="s">
        <v>32</v>
      </c>
      <c r="H69" s="18">
        <v>-94.73</v>
      </c>
      <c r="I69" s="19">
        <v>11.7</v>
      </c>
      <c r="J69" s="19">
        <v>6.96</v>
      </c>
      <c r="K69" s="19" t="s">
        <v>97</v>
      </c>
      <c r="L69" s="19" t="s">
        <v>98</v>
      </c>
      <c r="M69" s="15" t="s">
        <v>99</v>
      </c>
      <c r="N69" s="15" t="s">
        <v>36</v>
      </c>
      <c r="O69" s="15" t="s">
        <v>176</v>
      </c>
      <c r="P69" s="20" t="s">
        <v>227</v>
      </c>
      <c r="Q69" s="15" t="s">
        <v>57</v>
      </c>
      <c r="R69" s="4"/>
      <c r="S69" s="4"/>
    </row>
    <row r="70" spans="1:19" ht="21" customHeight="1" x14ac:dyDescent="0.25">
      <c r="A70" s="14">
        <f>DATE(2012,12,31)-827</f>
        <v>40447</v>
      </c>
      <c r="B70" s="15" t="s">
        <v>228</v>
      </c>
      <c r="C70" s="15" t="s">
        <v>31</v>
      </c>
      <c r="D70" s="16">
        <v>20</v>
      </c>
      <c r="E70" s="17">
        <v>1156.6714999999999</v>
      </c>
      <c r="F70" s="16">
        <v>0.01</v>
      </c>
      <c r="G70" s="15" t="s">
        <v>101</v>
      </c>
      <c r="H70" s="18">
        <v>88.524000000000001</v>
      </c>
      <c r="I70" s="19">
        <v>65.989999999999995</v>
      </c>
      <c r="J70" s="19">
        <v>7.69</v>
      </c>
      <c r="K70" s="19" t="s">
        <v>97</v>
      </c>
      <c r="L70" s="19" t="s">
        <v>195</v>
      </c>
      <c r="M70" s="15" t="s">
        <v>196</v>
      </c>
      <c r="N70" s="15" t="s">
        <v>64</v>
      </c>
      <c r="O70" s="15" t="s">
        <v>65</v>
      </c>
      <c r="P70" s="20" t="s">
        <v>229</v>
      </c>
      <c r="Q70" s="15" t="s">
        <v>83</v>
      </c>
      <c r="R70" s="4"/>
      <c r="S70" s="4"/>
    </row>
    <row r="71" spans="1:19" ht="21" customHeight="1" x14ac:dyDescent="0.25">
      <c r="A71" s="14">
        <f>DATE(2012,12,31)-1425</f>
        <v>39849</v>
      </c>
      <c r="B71" s="15" t="s">
        <v>230</v>
      </c>
      <c r="C71" s="15" t="s">
        <v>85</v>
      </c>
      <c r="D71" s="16">
        <v>39</v>
      </c>
      <c r="E71" s="17">
        <v>15260.78</v>
      </c>
      <c r="F71" s="16">
        <v>7.0000000000000007E-2</v>
      </c>
      <c r="G71" s="15" t="s">
        <v>58</v>
      </c>
      <c r="H71" s="18">
        <v>8734.8799999999992</v>
      </c>
      <c r="I71" s="19">
        <v>500.98</v>
      </c>
      <c r="J71" s="19">
        <v>28.14</v>
      </c>
      <c r="K71" s="19" t="s">
        <v>124</v>
      </c>
      <c r="L71" s="19" t="s">
        <v>160</v>
      </c>
      <c r="M71" s="15" t="s">
        <v>161</v>
      </c>
      <c r="N71" s="15" t="s">
        <v>64</v>
      </c>
      <c r="O71" s="15" t="s">
        <v>122</v>
      </c>
      <c r="P71" s="20" t="s">
        <v>231</v>
      </c>
      <c r="Q71" s="15" t="s">
        <v>181</v>
      </c>
      <c r="R71" s="4"/>
      <c r="S71" s="4"/>
    </row>
    <row r="72" spans="1:19" ht="21" customHeight="1" x14ac:dyDescent="0.25">
      <c r="A72" s="14">
        <f>DATE(2012,12,31)-1425</f>
        <v>39849</v>
      </c>
      <c r="B72" s="15" t="s">
        <v>230</v>
      </c>
      <c r="C72" s="15" t="s">
        <v>85</v>
      </c>
      <c r="D72" s="16">
        <v>3</v>
      </c>
      <c r="E72" s="17">
        <v>540.41</v>
      </c>
      <c r="F72" s="16">
        <v>0.1</v>
      </c>
      <c r="G72" s="15" t="s">
        <v>32</v>
      </c>
      <c r="H72" s="18">
        <v>-170.98</v>
      </c>
      <c r="I72" s="19">
        <v>178.47</v>
      </c>
      <c r="J72" s="19">
        <v>19.989999999999998</v>
      </c>
      <c r="K72" s="19" t="s">
        <v>124</v>
      </c>
      <c r="L72" s="19" t="s">
        <v>160</v>
      </c>
      <c r="M72" s="15" t="s">
        <v>161</v>
      </c>
      <c r="N72" s="15" t="s">
        <v>36</v>
      </c>
      <c r="O72" s="15" t="s">
        <v>37</v>
      </c>
      <c r="P72" s="20" t="s">
        <v>232</v>
      </c>
      <c r="Q72" s="15" t="s">
        <v>83</v>
      </c>
      <c r="R72" s="4"/>
      <c r="S72" s="4"/>
    </row>
    <row r="73" spans="1:19" ht="21" customHeight="1" x14ac:dyDescent="0.25">
      <c r="A73" s="14">
        <f>DATE(2012,12,31)-428</f>
        <v>40846</v>
      </c>
      <c r="B73" s="15" t="s">
        <v>233</v>
      </c>
      <c r="C73" s="15" t="s">
        <v>43</v>
      </c>
      <c r="D73" s="16">
        <v>8</v>
      </c>
      <c r="E73" s="17">
        <v>43.29</v>
      </c>
      <c r="F73" s="16">
        <v>0.09</v>
      </c>
      <c r="G73" s="15" t="s">
        <v>32</v>
      </c>
      <c r="H73" s="18">
        <v>-20.69</v>
      </c>
      <c r="I73" s="19">
        <v>4.9800000000000004</v>
      </c>
      <c r="J73" s="19">
        <v>4.8600000000000003</v>
      </c>
      <c r="K73" s="19" t="s">
        <v>124</v>
      </c>
      <c r="L73" s="19" t="s">
        <v>158</v>
      </c>
      <c r="M73" s="15" t="s">
        <v>158</v>
      </c>
      <c r="N73" s="15" t="s">
        <v>36</v>
      </c>
      <c r="O73" s="15" t="s">
        <v>117</v>
      </c>
      <c r="P73" s="20" t="s">
        <v>234</v>
      </c>
      <c r="Q73" s="15" t="s">
        <v>83</v>
      </c>
      <c r="R73" s="4"/>
      <c r="S73" s="4"/>
    </row>
    <row r="74" spans="1:19" ht="21" customHeight="1" x14ac:dyDescent="0.25">
      <c r="A74" s="14">
        <f>DATE(2012,12,31)-428</f>
        <v>40846</v>
      </c>
      <c r="B74" s="15" t="s">
        <v>233</v>
      </c>
      <c r="C74" s="15" t="s">
        <v>43</v>
      </c>
      <c r="D74" s="16">
        <v>6</v>
      </c>
      <c r="E74" s="17">
        <v>41.7</v>
      </c>
      <c r="F74" s="16">
        <v>0.03</v>
      </c>
      <c r="G74" s="15" t="s">
        <v>32</v>
      </c>
      <c r="H74" s="18">
        <v>-14.56</v>
      </c>
      <c r="I74" s="19">
        <v>5.78</v>
      </c>
      <c r="J74" s="19">
        <v>5.37</v>
      </c>
      <c r="K74" s="19" t="s">
        <v>124</v>
      </c>
      <c r="L74" s="19" t="s">
        <v>164</v>
      </c>
      <c r="M74" s="15" t="s">
        <v>165</v>
      </c>
      <c r="N74" s="15" t="s">
        <v>36</v>
      </c>
      <c r="O74" s="15" t="s">
        <v>117</v>
      </c>
      <c r="P74" s="20" t="s">
        <v>235</v>
      </c>
      <c r="Q74" s="15" t="s">
        <v>83</v>
      </c>
      <c r="R74" s="4"/>
      <c r="S74" s="4"/>
    </row>
    <row r="75" spans="1:19" ht="21" customHeight="1" x14ac:dyDescent="0.25">
      <c r="A75" s="14">
        <f>DATE(2012,12,31)-499</f>
        <v>40775</v>
      </c>
      <c r="B75" s="15" t="s">
        <v>149</v>
      </c>
      <c r="C75" s="15" t="s">
        <v>85</v>
      </c>
      <c r="D75" s="16">
        <v>22</v>
      </c>
      <c r="E75" s="17">
        <v>1162.4005</v>
      </c>
      <c r="F75" s="16">
        <v>0.09</v>
      </c>
      <c r="G75" s="15" t="s">
        <v>32</v>
      </c>
      <c r="H75" s="18">
        <v>-284.625</v>
      </c>
      <c r="I75" s="19">
        <v>65.989999999999995</v>
      </c>
      <c r="J75" s="19">
        <v>19.989999999999998</v>
      </c>
      <c r="K75" s="19" t="s">
        <v>44</v>
      </c>
      <c r="L75" s="19" t="s">
        <v>236</v>
      </c>
      <c r="M75" s="15" t="s">
        <v>237</v>
      </c>
      <c r="N75" s="15" t="s">
        <v>64</v>
      </c>
      <c r="O75" s="15" t="s">
        <v>65</v>
      </c>
      <c r="P75" s="20" t="s">
        <v>238</v>
      </c>
      <c r="Q75" s="15" t="s">
        <v>83</v>
      </c>
      <c r="R75" s="4"/>
      <c r="S75" s="4"/>
    </row>
    <row r="76" spans="1:19" ht="21" customHeight="1" x14ac:dyDescent="0.25">
      <c r="A76" s="14">
        <f>DATE(2012,12,31)-531</f>
        <v>40743</v>
      </c>
      <c r="B76" s="15" t="s">
        <v>239</v>
      </c>
      <c r="C76" s="15" t="s">
        <v>51</v>
      </c>
      <c r="D76" s="16">
        <v>45</v>
      </c>
      <c r="E76" s="17">
        <v>356.7</v>
      </c>
      <c r="F76" s="16">
        <v>0.02</v>
      </c>
      <c r="G76" s="15" t="s">
        <v>32</v>
      </c>
      <c r="H76" s="18">
        <v>-48.97</v>
      </c>
      <c r="I76" s="19">
        <v>7.38</v>
      </c>
      <c r="J76" s="19">
        <v>5.21</v>
      </c>
      <c r="K76" s="19" t="s">
        <v>44</v>
      </c>
      <c r="L76" s="19" t="s">
        <v>52</v>
      </c>
      <c r="M76" s="15" t="s">
        <v>53</v>
      </c>
      <c r="N76" s="15" t="s">
        <v>54</v>
      </c>
      <c r="O76" s="15" t="s">
        <v>55</v>
      </c>
      <c r="P76" s="20" t="s">
        <v>154</v>
      </c>
      <c r="Q76" s="15" t="s">
        <v>83</v>
      </c>
      <c r="R76" s="4"/>
      <c r="S76" s="4"/>
    </row>
    <row r="77" spans="1:19" ht="21" customHeight="1" x14ac:dyDescent="0.25">
      <c r="A77" s="14">
        <f>DATE(2012,12,31)-668</f>
        <v>40606</v>
      </c>
      <c r="B77" s="15" t="s">
        <v>240</v>
      </c>
      <c r="C77" s="15" t="s">
        <v>43</v>
      </c>
      <c r="D77" s="16">
        <v>29</v>
      </c>
      <c r="E77" s="17">
        <v>1000.78</v>
      </c>
      <c r="F77" s="16">
        <v>0.05</v>
      </c>
      <c r="G77" s="15" t="s">
        <v>101</v>
      </c>
      <c r="H77" s="18">
        <v>109.33</v>
      </c>
      <c r="I77" s="19">
        <v>34.58</v>
      </c>
      <c r="J77" s="19">
        <v>8.99</v>
      </c>
      <c r="K77" s="19" t="s">
        <v>44</v>
      </c>
      <c r="L77" s="19" t="s">
        <v>80</v>
      </c>
      <c r="M77" s="15" t="s">
        <v>81</v>
      </c>
      <c r="N77" s="15" t="s">
        <v>36</v>
      </c>
      <c r="O77" s="15" t="s">
        <v>77</v>
      </c>
      <c r="P77" s="20" t="s">
        <v>241</v>
      </c>
      <c r="Q77" s="15" t="s">
        <v>49</v>
      </c>
      <c r="R77" s="4"/>
      <c r="S77" s="4"/>
    </row>
    <row r="78" spans="1:19" ht="21" customHeight="1" x14ac:dyDescent="0.25">
      <c r="A78" s="14">
        <f>DATE(2012,12,31)-668</f>
        <v>40606</v>
      </c>
      <c r="B78" s="15" t="s">
        <v>240</v>
      </c>
      <c r="C78" s="15" t="s">
        <v>43</v>
      </c>
      <c r="D78" s="16">
        <v>35</v>
      </c>
      <c r="E78" s="17">
        <v>543.72</v>
      </c>
      <c r="F78" s="16">
        <v>0.05</v>
      </c>
      <c r="G78" s="15" t="s">
        <v>32</v>
      </c>
      <c r="H78" s="18">
        <v>-211.13</v>
      </c>
      <c r="I78" s="19">
        <v>15.7</v>
      </c>
      <c r="J78" s="19">
        <v>11.25</v>
      </c>
      <c r="K78" s="19" t="s">
        <v>44</v>
      </c>
      <c r="L78" s="19" t="s">
        <v>89</v>
      </c>
      <c r="M78" s="15" t="s">
        <v>90</v>
      </c>
      <c r="N78" s="15" t="s">
        <v>36</v>
      </c>
      <c r="O78" s="15" t="s">
        <v>37</v>
      </c>
      <c r="P78" s="20" t="s">
        <v>242</v>
      </c>
      <c r="Q78" s="15" t="s">
        <v>83</v>
      </c>
      <c r="R78" s="4"/>
      <c r="S78" s="4"/>
    </row>
    <row r="79" spans="1:19" ht="21" customHeight="1" x14ac:dyDescent="0.25">
      <c r="A79" s="14">
        <f>DATE(2012,12,31)-371</f>
        <v>40903</v>
      </c>
      <c r="B79" s="15" t="s">
        <v>243</v>
      </c>
      <c r="C79" s="15" t="s">
        <v>31</v>
      </c>
      <c r="D79" s="16">
        <v>42</v>
      </c>
      <c r="E79" s="17">
        <v>234.2</v>
      </c>
      <c r="F79" s="16">
        <v>0.09</v>
      </c>
      <c r="G79" s="15" t="s">
        <v>32</v>
      </c>
      <c r="H79" s="18">
        <v>56.22</v>
      </c>
      <c r="I79" s="19">
        <v>6.08</v>
      </c>
      <c r="J79" s="19">
        <v>1.82</v>
      </c>
      <c r="K79" s="19" t="s">
        <v>44</v>
      </c>
      <c r="L79" s="19" t="s">
        <v>89</v>
      </c>
      <c r="M79" s="15" t="s">
        <v>90</v>
      </c>
      <c r="N79" s="15" t="s">
        <v>36</v>
      </c>
      <c r="O79" s="15" t="s">
        <v>105</v>
      </c>
      <c r="P79" s="20" t="s">
        <v>244</v>
      </c>
      <c r="Q79" s="15" t="s">
        <v>79</v>
      </c>
      <c r="R79" s="4"/>
      <c r="S79" s="4"/>
    </row>
    <row r="80" spans="1:19" ht="21" customHeight="1" x14ac:dyDescent="0.25">
      <c r="A80" s="14">
        <f>DATE(2012,12,31)-85</f>
        <v>41189</v>
      </c>
      <c r="B80" s="15" t="s">
        <v>245</v>
      </c>
      <c r="C80" s="15" t="s">
        <v>51</v>
      </c>
      <c r="D80" s="16">
        <v>44</v>
      </c>
      <c r="E80" s="17">
        <v>4509.3774999999996</v>
      </c>
      <c r="F80" s="16">
        <v>0.01</v>
      </c>
      <c r="G80" s="15" t="s">
        <v>32</v>
      </c>
      <c r="H80" s="18">
        <v>1426.2570000000001</v>
      </c>
      <c r="I80" s="19">
        <v>115.99</v>
      </c>
      <c r="J80" s="19">
        <v>5.26</v>
      </c>
      <c r="K80" s="19" t="s">
        <v>44</v>
      </c>
      <c r="L80" s="19" t="s">
        <v>120</v>
      </c>
      <c r="M80" s="15" t="s">
        <v>121</v>
      </c>
      <c r="N80" s="15" t="s">
        <v>64</v>
      </c>
      <c r="O80" s="15" t="s">
        <v>65</v>
      </c>
      <c r="P80" s="20" t="s">
        <v>246</v>
      </c>
      <c r="Q80" s="15" t="s">
        <v>83</v>
      </c>
      <c r="R80" s="4"/>
      <c r="S80" s="4"/>
    </row>
    <row r="81" spans="1:19" ht="21" customHeight="1" x14ac:dyDescent="0.25">
      <c r="A81" s="14">
        <f>DATE(2012,12,31)-540</f>
        <v>40734</v>
      </c>
      <c r="B81" s="15" t="s">
        <v>247</v>
      </c>
      <c r="C81" s="15" t="s">
        <v>51</v>
      </c>
      <c r="D81" s="16">
        <v>30</v>
      </c>
      <c r="E81" s="17">
        <v>4965.7594999999992</v>
      </c>
      <c r="F81" s="16">
        <v>0.08</v>
      </c>
      <c r="G81" s="15" t="s">
        <v>32</v>
      </c>
      <c r="H81" s="18">
        <v>1198.971</v>
      </c>
      <c r="I81" s="19">
        <v>195.99</v>
      </c>
      <c r="J81" s="19">
        <v>3.99</v>
      </c>
      <c r="K81" s="19" t="s">
        <v>33</v>
      </c>
      <c r="L81" s="19" t="s">
        <v>59</v>
      </c>
      <c r="M81" s="15" t="s">
        <v>60</v>
      </c>
      <c r="N81" s="15" t="s">
        <v>64</v>
      </c>
      <c r="O81" s="15" t="s">
        <v>65</v>
      </c>
      <c r="P81" s="20" t="s">
        <v>248</v>
      </c>
      <c r="Q81" s="15" t="s">
        <v>83</v>
      </c>
      <c r="R81" s="4"/>
      <c r="S81" s="4"/>
    </row>
    <row r="82" spans="1:19" ht="21" customHeight="1" x14ac:dyDescent="0.25">
      <c r="A82" s="14">
        <f>DATE(2012,12,31)-136</f>
        <v>41138</v>
      </c>
      <c r="B82" s="15" t="s">
        <v>249</v>
      </c>
      <c r="C82" s="15" t="s">
        <v>85</v>
      </c>
      <c r="D82" s="16">
        <v>19</v>
      </c>
      <c r="E82" s="17">
        <v>210.4</v>
      </c>
      <c r="F82" s="16">
        <v>7.0000000000000007E-2</v>
      </c>
      <c r="G82" s="15" t="s">
        <v>32</v>
      </c>
      <c r="H82" s="18">
        <v>-18.96</v>
      </c>
      <c r="I82" s="19">
        <v>10.89</v>
      </c>
      <c r="J82" s="19">
        <v>4.5</v>
      </c>
      <c r="K82" s="19" t="s">
        <v>124</v>
      </c>
      <c r="L82" s="19" t="s">
        <v>160</v>
      </c>
      <c r="M82" s="15" t="s">
        <v>161</v>
      </c>
      <c r="N82" s="15" t="s">
        <v>36</v>
      </c>
      <c r="O82" s="15" t="s">
        <v>176</v>
      </c>
      <c r="P82" s="20" t="s">
        <v>250</v>
      </c>
      <c r="Q82" s="15" t="s">
        <v>83</v>
      </c>
      <c r="R82" s="4"/>
      <c r="S82" s="4"/>
    </row>
    <row r="83" spans="1:19" ht="21" customHeight="1" x14ac:dyDescent="0.25">
      <c r="A83" s="14">
        <f>DATE(2012,12,31)-592</f>
        <v>40682</v>
      </c>
      <c r="B83" s="15" t="s">
        <v>251</v>
      </c>
      <c r="C83" s="15" t="s">
        <v>31</v>
      </c>
      <c r="D83" s="16">
        <v>6</v>
      </c>
      <c r="E83" s="17">
        <v>1309.53</v>
      </c>
      <c r="F83" s="16">
        <v>0.06</v>
      </c>
      <c r="G83" s="15" t="s">
        <v>32</v>
      </c>
      <c r="H83" s="18">
        <v>19.17999999999995</v>
      </c>
      <c r="I83" s="19">
        <v>218.08</v>
      </c>
      <c r="J83" s="19">
        <v>18.059999999999999</v>
      </c>
      <c r="K83" s="19" t="s">
        <v>33</v>
      </c>
      <c r="L83" s="19" t="s">
        <v>145</v>
      </c>
      <c r="M83" s="15" t="s">
        <v>146</v>
      </c>
      <c r="N83" s="15" t="s">
        <v>54</v>
      </c>
      <c r="O83" s="15" t="s">
        <v>252</v>
      </c>
      <c r="P83" s="20" t="s">
        <v>253</v>
      </c>
      <c r="Q83" s="15" t="s">
        <v>39</v>
      </c>
      <c r="R83" s="4"/>
      <c r="S83" s="4"/>
    </row>
    <row r="84" spans="1:19" ht="21" customHeight="1" x14ac:dyDescent="0.25">
      <c r="A84" s="14">
        <f>DATE(2012,12,31)-592</f>
        <v>40682</v>
      </c>
      <c r="B84" s="15" t="s">
        <v>251</v>
      </c>
      <c r="C84" s="15" t="s">
        <v>31</v>
      </c>
      <c r="D84" s="16">
        <v>48</v>
      </c>
      <c r="E84" s="17">
        <v>806.37</v>
      </c>
      <c r="F84" s="16">
        <v>0.01</v>
      </c>
      <c r="G84" s="15" t="s">
        <v>101</v>
      </c>
      <c r="H84" s="18">
        <v>-166.4</v>
      </c>
      <c r="I84" s="19">
        <v>15.42</v>
      </c>
      <c r="J84" s="19">
        <v>10.68</v>
      </c>
      <c r="K84" s="19" t="s">
        <v>33</v>
      </c>
      <c r="L84" s="19" t="s">
        <v>145</v>
      </c>
      <c r="M84" s="15" t="s">
        <v>146</v>
      </c>
      <c r="N84" s="15" t="s">
        <v>36</v>
      </c>
      <c r="O84" s="15" t="s">
        <v>37</v>
      </c>
      <c r="P84" s="20" t="s">
        <v>156</v>
      </c>
      <c r="Q84" s="15" t="s">
        <v>83</v>
      </c>
      <c r="R84" s="4"/>
      <c r="S84" s="4"/>
    </row>
    <row r="85" spans="1:19" ht="21" customHeight="1" x14ac:dyDescent="0.25">
      <c r="A85" s="14">
        <f>DATE(2012,12,31)-611</f>
        <v>40663</v>
      </c>
      <c r="B85" s="15" t="s">
        <v>254</v>
      </c>
      <c r="C85" s="15" t="s">
        <v>51</v>
      </c>
      <c r="D85" s="16">
        <v>33</v>
      </c>
      <c r="E85" s="17">
        <v>5437.92</v>
      </c>
      <c r="F85" s="16">
        <v>0</v>
      </c>
      <c r="G85" s="15" t="s">
        <v>58</v>
      </c>
      <c r="H85" s="18">
        <v>-684.57</v>
      </c>
      <c r="I85" s="19">
        <v>150.88999999999999</v>
      </c>
      <c r="J85" s="19">
        <v>60.2</v>
      </c>
      <c r="K85" s="19" t="s">
        <v>33</v>
      </c>
      <c r="L85" s="19" t="s">
        <v>59</v>
      </c>
      <c r="M85" s="15" t="s">
        <v>60</v>
      </c>
      <c r="N85" s="15" t="s">
        <v>54</v>
      </c>
      <c r="O85" s="15" t="s">
        <v>252</v>
      </c>
      <c r="P85" s="20" t="s">
        <v>255</v>
      </c>
      <c r="Q85" s="15" t="s">
        <v>181</v>
      </c>
      <c r="R85" s="4"/>
      <c r="S85" s="4"/>
    </row>
    <row r="86" spans="1:19" ht="21" customHeight="1" x14ac:dyDescent="0.25">
      <c r="A86" s="14">
        <f>DATE(2012,12,31)-856</f>
        <v>40418</v>
      </c>
      <c r="B86" s="15" t="s">
        <v>256</v>
      </c>
      <c r="C86" s="15" t="s">
        <v>43</v>
      </c>
      <c r="D86" s="16">
        <v>19</v>
      </c>
      <c r="E86" s="17">
        <v>394.27</v>
      </c>
      <c r="F86" s="16">
        <v>0.08</v>
      </c>
      <c r="G86" s="15" t="s">
        <v>32</v>
      </c>
      <c r="H86" s="18">
        <v>30.94</v>
      </c>
      <c r="I86" s="19">
        <v>21.78</v>
      </c>
      <c r="J86" s="19">
        <v>5.94</v>
      </c>
      <c r="K86" s="19" t="s">
        <v>33</v>
      </c>
      <c r="L86" s="19" t="s">
        <v>145</v>
      </c>
      <c r="M86" s="15" t="s">
        <v>146</v>
      </c>
      <c r="N86" s="15" t="s">
        <v>36</v>
      </c>
      <c r="O86" s="15" t="s">
        <v>176</v>
      </c>
      <c r="P86" s="20" t="s">
        <v>257</v>
      </c>
      <c r="Q86" s="15" t="s">
        <v>57</v>
      </c>
      <c r="R86" s="4"/>
      <c r="S86" s="4"/>
    </row>
    <row r="87" spans="1:19" ht="21" customHeight="1" x14ac:dyDescent="0.25">
      <c r="A87" s="14">
        <f>DATE(2012,12,31)-856</f>
        <v>40418</v>
      </c>
      <c r="B87" s="15" t="s">
        <v>256</v>
      </c>
      <c r="C87" s="15" t="s">
        <v>43</v>
      </c>
      <c r="D87" s="16">
        <v>21</v>
      </c>
      <c r="E87" s="17">
        <v>146.69</v>
      </c>
      <c r="F87" s="16">
        <v>0.05</v>
      </c>
      <c r="G87" s="15" t="s">
        <v>32</v>
      </c>
      <c r="H87" s="18">
        <v>4.43</v>
      </c>
      <c r="I87" s="19">
        <v>6.64</v>
      </c>
      <c r="J87" s="19">
        <v>4.95</v>
      </c>
      <c r="K87" s="19" t="s">
        <v>111</v>
      </c>
      <c r="L87" s="19" t="s">
        <v>258</v>
      </c>
      <c r="M87" s="15" t="s">
        <v>259</v>
      </c>
      <c r="N87" s="15" t="s">
        <v>54</v>
      </c>
      <c r="O87" s="15" t="s">
        <v>55</v>
      </c>
      <c r="P87" s="20" t="s">
        <v>260</v>
      </c>
      <c r="Q87" s="15" t="s">
        <v>49</v>
      </c>
      <c r="R87" s="4"/>
      <c r="S87" s="4"/>
    </row>
    <row r="88" spans="1:19" ht="21" customHeight="1" x14ac:dyDescent="0.25">
      <c r="A88" s="14">
        <f>DATE(2012,12,31)-1198</f>
        <v>40076</v>
      </c>
      <c r="B88" s="15" t="s">
        <v>261</v>
      </c>
      <c r="C88" s="15" t="s">
        <v>85</v>
      </c>
      <c r="D88" s="16">
        <v>41</v>
      </c>
      <c r="E88" s="17">
        <v>129.49</v>
      </c>
      <c r="F88" s="16">
        <v>0.04</v>
      </c>
      <c r="G88" s="15" t="s">
        <v>32</v>
      </c>
      <c r="H88" s="18">
        <v>36.020000000000003</v>
      </c>
      <c r="I88" s="19">
        <v>3.08</v>
      </c>
      <c r="J88" s="19">
        <v>0.99</v>
      </c>
      <c r="K88" s="19" t="s">
        <v>44</v>
      </c>
      <c r="L88" s="19" t="s">
        <v>89</v>
      </c>
      <c r="M88" s="15" t="s">
        <v>90</v>
      </c>
      <c r="N88" s="15" t="s">
        <v>36</v>
      </c>
      <c r="O88" s="15" t="s">
        <v>114</v>
      </c>
      <c r="P88" s="20" t="s">
        <v>262</v>
      </c>
      <c r="Q88" s="15" t="s">
        <v>83</v>
      </c>
      <c r="R88" s="4"/>
      <c r="S88" s="4"/>
    </row>
    <row r="89" spans="1:19" ht="21" customHeight="1" x14ac:dyDescent="0.25">
      <c r="A89" s="14">
        <f>DATE(2012,12,31)-1198</f>
        <v>40076</v>
      </c>
      <c r="B89" s="15" t="s">
        <v>261</v>
      </c>
      <c r="C89" s="15" t="s">
        <v>85</v>
      </c>
      <c r="D89" s="16">
        <v>29</v>
      </c>
      <c r="E89" s="17">
        <v>202.95</v>
      </c>
      <c r="F89" s="16">
        <v>0.02</v>
      </c>
      <c r="G89" s="15" t="s">
        <v>32</v>
      </c>
      <c r="H89" s="18">
        <v>-50.64</v>
      </c>
      <c r="I89" s="19">
        <v>6.48</v>
      </c>
      <c r="J89" s="19">
        <v>5.9</v>
      </c>
      <c r="K89" s="19" t="s">
        <v>33</v>
      </c>
      <c r="L89" s="19" t="s">
        <v>93</v>
      </c>
      <c r="M89" s="15" t="s">
        <v>94</v>
      </c>
      <c r="N89" s="15" t="s">
        <v>36</v>
      </c>
      <c r="O89" s="15" t="s">
        <v>117</v>
      </c>
      <c r="P89" s="20" t="s">
        <v>263</v>
      </c>
      <c r="Q89" s="15" t="s">
        <v>83</v>
      </c>
      <c r="R89" s="4"/>
      <c r="S89" s="4"/>
    </row>
    <row r="90" spans="1:19" ht="21" customHeight="1" x14ac:dyDescent="0.25">
      <c r="A90" s="14">
        <f>DATE(2012,12,31)-1198</f>
        <v>40076</v>
      </c>
      <c r="B90" s="15" t="s">
        <v>261</v>
      </c>
      <c r="C90" s="15" t="s">
        <v>85</v>
      </c>
      <c r="D90" s="16">
        <v>26</v>
      </c>
      <c r="E90" s="17">
        <v>2753.1925000000001</v>
      </c>
      <c r="F90" s="16">
        <v>0.04</v>
      </c>
      <c r="G90" s="15" t="s">
        <v>32</v>
      </c>
      <c r="H90" s="18">
        <v>510.48900000000003</v>
      </c>
      <c r="I90" s="19">
        <v>125.99</v>
      </c>
      <c r="J90" s="19">
        <v>4.2</v>
      </c>
      <c r="K90" s="19" t="s">
        <v>124</v>
      </c>
      <c r="L90" s="19" t="s">
        <v>158</v>
      </c>
      <c r="M90" s="15" t="s">
        <v>158</v>
      </c>
      <c r="N90" s="15" t="s">
        <v>64</v>
      </c>
      <c r="O90" s="15" t="s">
        <v>65</v>
      </c>
      <c r="P90" s="20" t="s">
        <v>264</v>
      </c>
      <c r="Q90" s="15" t="s">
        <v>83</v>
      </c>
      <c r="R90" s="4"/>
      <c r="S90" s="4"/>
    </row>
    <row r="91" spans="1:19" ht="21" customHeight="1" x14ac:dyDescent="0.25">
      <c r="A91" s="14">
        <f>DATE(2012,12,31)-172</f>
        <v>41102</v>
      </c>
      <c r="B91" s="15" t="s">
        <v>265</v>
      </c>
      <c r="C91" s="15" t="s">
        <v>85</v>
      </c>
      <c r="D91" s="16">
        <v>13</v>
      </c>
      <c r="E91" s="17">
        <v>70.239999999999995</v>
      </c>
      <c r="F91" s="16">
        <v>0.03</v>
      </c>
      <c r="G91" s="15" t="s">
        <v>32</v>
      </c>
      <c r="H91" s="18">
        <v>-59.75</v>
      </c>
      <c r="I91" s="19">
        <v>4.9800000000000004</v>
      </c>
      <c r="J91" s="19">
        <v>7.44</v>
      </c>
      <c r="K91" s="19" t="s">
        <v>44</v>
      </c>
      <c r="L91" s="19" t="s">
        <v>45</v>
      </c>
      <c r="M91" s="15" t="s">
        <v>46</v>
      </c>
      <c r="N91" s="15" t="s">
        <v>36</v>
      </c>
      <c r="O91" s="15" t="s">
        <v>117</v>
      </c>
      <c r="P91" s="20" t="s">
        <v>266</v>
      </c>
      <c r="Q91" s="15" t="s">
        <v>83</v>
      </c>
      <c r="R91" s="4"/>
      <c r="S91" s="4"/>
    </row>
    <row r="92" spans="1:19" ht="21" customHeight="1" x14ac:dyDescent="0.25">
      <c r="A92" s="14">
        <f>DATE(2012,12,31)-172</f>
        <v>41102</v>
      </c>
      <c r="B92" s="15" t="s">
        <v>265</v>
      </c>
      <c r="C92" s="15" t="s">
        <v>85</v>
      </c>
      <c r="D92" s="16">
        <v>5</v>
      </c>
      <c r="E92" s="17">
        <v>40.75</v>
      </c>
      <c r="F92" s="16">
        <v>0.05</v>
      </c>
      <c r="G92" s="15" t="s">
        <v>32</v>
      </c>
      <c r="H92" s="18">
        <v>-27.57</v>
      </c>
      <c r="I92" s="19">
        <v>6.48</v>
      </c>
      <c r="J92" s="19">
        <v>8.74</v>
      </c>
      <c r="K92" s="19" t="s">
        <v>33</v>
      </c>
      <c r="L92" s="19" t="s">
        <v>128</v>
      </c>
      <c r="M92" s="15" t="s">
        <v>129</v>
      </c>
      <c r="N92" s="15" t="s">
        <v>36</v>
      </c>
      <c r="O92" s="15" t="s">
        <v>117</v>
      </c>
      <c r="P92" s="20" t="s">
        <v>179</v>
      </c>
      <c r="Q92" s="15" t="s">
        <v>83</v>
      </c>
      <c r="R92" s="4"/>
      <c r="S92" s="4"/>
    </row>
    <row r="93" spans="1:19" ht="21" customHeight="1" x14ac:dyDescent="0.25">
      <c r="A93" s="14">
        <f>DATE(2012,12,31)-172</f>
        <v>41102</v>
      </c>
      <c r="B93" s="15" t="s">
        <v>265</v>
      </c>
      <c r="C93" s="15" t="s">
        <v>85</v>
      </c>
      <c r="D93" s="16">
        <v>30</v>
      </c>
      <c r="E93" s="17">
        <v>1150.8800000000001</v>
      </c>
      <c r="F93" s="16">
        <v>0.05</v>
      </c>
      <c r="G93" s="15" t="s">
        <v>101</v>
      </c>
      <c r="H93" s="18">
        <v>-911.56</v>
      </c>
      <c r="I93" s="19">
        <v>38.94</v>
      </c>
      <c r="J93" s="19">
        <v>35</v>
      </c>
      <c r="K93" s="19" t="s">
        <v>33</v>
      </c>
      <c r="L93" s="19" t="s">
        <v>145</v>
      </c>
      <c r="M93" s="15" t="s">
        <v>146</v>
      </c>
      <c r="N93" s="15" t="s">
        <v>36</v>
      </c>
      <c r="O93" s="15" t="s">
        <v>37</v>
      </c>
      <c r="P93" s="20" t="s">
        <v>38</v>
      </c>
      <c r="Q93" s="15" t="s">
        <v>39</v>
      </c>
      <c r="R93" s="4"/>
      <c r="S93" s="4"/>
    </row>
    <row r="94" spans="1:19" ht="21" customHeight="1" x14ac:dyDescent="0.25">
      <c r="A94" s="14">
        <f>DATE(2012,12,31)-518</f>
        <v>40756</v>
      </c>
      <c r="B94" s="15" t="s">
        <v>267</v>
      </c>
      <c r="C94" s="15" t="s">
        <v>85</v>
      </c>
      <c r="D94" s="16">
        <v>38</v>
      </c>
      <c r="E94" s="17">
        <v>283.64999999999998</v>
      </c>
      <c r="F94" s="16">
        <v>0.02</v>
      </c>
      <c r="G94" s="15" t="s">
        <v>101</v>
      </c>
      <c r="H94" s="18">
        <v>-29.21</v>
      </c>
      <c r="I94" s="19">
        <v>6.68</v>
      </c>
      <c r="J94" s="19">
        <v>5.41</v>
      </c>
      <c r="K94" s="19" t="s">
        <v>44</v>
      </c>
      <c r="L94" s="19" t="s">
        <v>52</v>
      </c>
      <c r="M94" s="15" t="s">
        <v>53</v>
      </c>
      <c r="N94" s="15" t="s">
        <v>36</v>
      </c>
      <c r="O94" s="15" t="s">
        <v>117</v>
      </c>
      <c r="P94" s="20" t="s">
        <v>268</v>
      </c>
      <c r="Q94" s="15" t="s">
        <v>83</v>
      </c>
      <c r="R94" s="4"/>
      <c r="S94" s="4"/>
    </row>
    <row r="95" spans="1:19" ht="21" customHeight="1" x14ac:dyDescent="0.25">
      <c r="A95" s="14">
        <f>DATE(2012,12,31)-1070</f>
        <v>40204</v>
      </c>
      <c r="B95" s="15" t="s">
        <v>254</v>
      </c>
      <c r="C95" s="15" t="s">
        <v>85</v>
      </c>
      <c r="D95" s="16">
        <v>47</v>
      </c>
      <c r="E95" s="17">
        <v>840.04</v>
      </c>
      <c r="F95" s="16">
        <v>0.04</v>
      </c>
      <c r="G95" s="15" t="s">
        <v>32</v>
      </c>
      <c r="H95" s="18">
        <v>-131.27000000000001</v>
      </c>
      <c r="I95" s="19">
        <v>17.7</v>
      </c>
      <c r="J95" s="19">
        <v>9.4700000000000006</v>
      </c>
      <c r="K95" s="19" t="s">
        <v>33</v>
      </c>
      <c r="L95" s="19" t="s">
        <v>145</v>
      </c>
      <c r="M95" s="15" t="s">
        <v>146</v>
      </c>
      <c r="N95" s="15" t="s">
        <v>36</v>
      </c>
      <c r="O95" s="15" t="s">
        <v>37</v>
      </c>
      <c r="P95" s="20" t="s">
        <v>269</v>
      </c>
      <c r="Q95" s="15" t="s">
        <v>83</v>
      </c>
      <c r="R95" s="4"/>
      <c r="S95" s="4"/>
    </row>
    <row r="96" spans="1:19" ht="21" customHeight="1" x14ac:dyDescent="0.25">
      <c r="A96" s="14">
        <f>DATE(2012,12,31)-72</f>
        <v>41202</v>
      </c>
      <c r="B96" s="15" t="s">
        <v>270</v>
      </c>
      <c r="C96" s="15" t="s">
        <v>85</v>
      </c>
      <c r="D96" s="16">
        <v>50</v>
      </c>
      <c r="E96" s="17">
        <v>262.87</v>
      </c>
      <c r="F96" s="16">
        <v>0.1</v>
      </c>
      <c r="G96" s="15" t="s">
        <v>32</v>
      </c>
      <c r="H96" s="18">
        <v>-166.29</v>
      </c>
      <c r="I96" s="19">
        <v>5.28</v>
      </c>
      <c r="J96" s="19">
        <v>6.26</v>
      </c>
      <c r="K96" s="19" t="s">
        <v>69</v>
      </c>
      <c r="L96" s="19" t="s">
        <v>75</v>
      </c>
      <c r="M96" s="15" t="s">
        <v>76</v>
      </c>
      <c r="N96" s="15" t="s">
        <v>36</v>
      </c>
      <c r="O96" s="15" t="s">
        <v>117</v>
      </c>
      <c r="P96" s="20" t="s">
        <v>271</v>
      </c>
      <c r="Q96" s="15" t="s">
        <v>83</v>
      </c>
      <c r="R96" s="4"/>
      <c r="S96" s="4"/>
    </row>
    <row r="97" spans="1:19" ht="21" customHeight="1" x14ac:dyDescent="0.25">
      <c r="A97" s="14">
        <f>DATE(2012,12,31)-72</f>
        <v>41202</v>
      </c>
      <c r="B97" s="15" t="s">
        <v>270</v>
      </c>
      <c r="C97" s="15" t="s">
        <v>85</v>
      </c>
      <c r="D97" s="16">
        <v>43</v>
      </c>
      <c r="E97" s="17">
        <v>2531.0875000000001</v>
      </c>
      <c r="F97" s="16">
        <v>0.01</v>
      </c>
      <c r="G97" s="15" t="s">
        <v>32</v>
      </c>
      <c r="H97" s="18">
        <v>881.67599999999993</v>
      </c>
      <c r="I97" s="19">
        <v>65.989999999999995</v>
      </c>
      <c r="J97" s="19">
        <v>2.5</v>
      </c>
      <c r="K97" s="19" t="s">
        <v>33</v>
      </c>
      <c r="L97" s="19" t="s">
        <v>34</v>
      </c>
      <c r="M97" s="15" t="s">
        <v>35</v>
      </c>
      <c r="N97" s="15" t="s">
        <v>64</v>
      </c>
      <c r="O97" s="15" t="s">
        <v>65</v>
      </c>
      <c r="P97" s="20" t="s">
        <v>272</v>
      </c>
      <c r="Q97" s="15" t="s">
        <v>83</v>
      </c>
      <c r="R97" s="4"/>
      <c r="S97" s="4"/>
    </row>
    <row r="98" spans="1:19" ht="21" customHeight="1" x14ac:dyDescent="0.25">
      <c r="A98" s="14">
        <f>DATE(2012,12,31)-563</f>
        <v>40711</v>
      </c>
      <c r="B98" s="15" t="s">
        <v>273</v>
      </c>
      <c r="C98" s="15" t="s">
        <v>51</v>
      </c>
      <c r="D98" s="16">
        <v>12</v>
      </c>
      <c r="E98" s="17">
        <v>93.54</v>
      </c>
      <c r="F98" s="16">
        <v>0.03</v>
      </c>
      <c r="G98" s="15" t="s">
        <v>32</v>
      </c>
      <c r="H98" s="18">
        <v>-54.038499999999999</v>
      </c>
      <c r="I98" s="19">
        <v>7.3</v>
      </c>
      <c r="J98" s="19">
        <v>7.72</v>
      </c>
      <c r="K98" s="19" t="s">
        <v>69</v>
      </c>
      <c r="L98" s="19" t="s">
        <v>215</v>
      </c>
      <c r="M98" s="15" t="s">
        <v>216</v>
      </c>
      <c r="N98" s="15" t="s">
        <v>36</v>
      </c>
      <c r="O98" s="15" t="s">
        <v>170</v>
      </c>
      <c r="P98" s="20" t="s">
        <v>274</v>
      </c>
      <c r="Q98" s="15" t="s">
        <v>83</v>
      </c>
      <c r="R98" s="4"/>
      <c r="S98" s="4"/>
    </row>
    <row r="99" spans="1:19" ht="21" customHeight="1" x14ac:dyDescent="0.25">
      <c r="A99" s="14">
        <f>DATE(2012,12,31)-563</f>
        <v>40711</v>
      </c>
      <c r="B99" s="15" t="s">
        <v>273</v>
      </c>
      <c r="C99" s="15" t="s">
        <v>51</v>
      </c>
      <c r="D99" s="16">
        <v>22</v>
      </c>
      <c r="E99" s="17">
        <v>905.08</v>
      </c>
      <c r="F99" s="16">
        <v>0.09</v>
      </c>
      <c r="G99" s="15" t="s">
        <v>32</v>
      </c>
      <c r="H99" s="18">
        <v>127.7</v>
      </c>
      <c r="I99" s="19">
        <v>42.76</v>
      </c>
      <c r="J99" s="19">
        <v>6.22</v>
      </c>
      <c r="K99" s="19" t="s">
        <v>69</v>
      </c>
      <c r="L99" s="19" t="s">
        <v>215</v>
      </c>
      <c r="M99" s="15" t="s">
        <v>216</v>
      </c>
      <c r="N99" s="15" t="s">
        <v>36</v>
      </c>
      <c r="O99" s="15" t="s">
        <v>37</v>
      </c>
      <c r="P99" s="20" t="s">
        <v>275</v>
      </c>
      <c r="Q99" s="15" t="s">
        <v>83</v>
      </c>
      <c r="R99" s="4"/>
      <c r="S99" s="4"/>
    </row>
    <row r="100" spans="1:19" ht="21" customHeight="1" x14ac:dyDescent="0.25">
      <c r="A100" s="14">
        <f>DATE(2012,12,31)-31</f>
        <v>41243</v>
      </c>
      <c r="B100" s="15" t="s">
        <v>276</v>
      </c>
      <c r="C100" s="15" t="s">
        <v>51</v>
      </c>
      <c r="D100" s="16">
        <v>41</v>
      </c>
      <c r="E100" s="17">
        <v>628.22</v>
      </c>
      <c r="F100" s="16">
        <v>0</v>
      </c>
      <c r="G100" s="15" t="s">
        <v>32</v>
      </c>
      <c r="H100" s="18">
        <v>163.81</v>
      </c>
      <c r="I100" s="19">
        <v>14.34</v>
      </c>
      <c r="J100" s="19">
        <v>5</v>
      </c>
      <c r="K100" s="19" t="s">
        <v>69</v>
      </c>
      <c r="L100" s="19" t="s">
        <v>75</v>
      </c>
      <c r="M100" s="15" t="s">
        <v>76</v>
      </c>
      <c r="N100" s="15" t="s">
        <v>54</v>
      </c>
      <c r="O100" s="15" t="s">
        <v>55</v>
      </c>
      <c r="P100" s="20" t="s">
        <v>277</v>
      </c>
      <c r="Q100" s="15" t="s">
        <v>49</v>
      </c>
      <c r="R100" s="4"/>
      <c r="S100" s="4"/>
    </row>
    <row r="101" spans="1:19" ht="21" customHeight="1" x14ac:dyDescent="0.25">
      <c r="A101" s="14">
        <f>DATE(2012,12,31)-31</f>
        <v>41243</v>
      </c>
      <c r="B101" s="15" t="s">
        <v>276</v>
      </c>
      <c r="C101" s="15" t="s">
        <v>51</v>
      </c>
      <c r="D101" s="16">
        <v>24</v>
      </c>
      <c r="E101" s="17">
        <v>3366.1</v>
      </c>
      <c r="F101" s="16">
        <v>7.0000000000000007E-2</v>
      </c>
      <c r="G101" s="15" t="s">
        <v>58</v>
      </c>
      <c r="H101" s="18">
        <v>-335.31712500000003</v>
      </c>
      <c r="I101" s="19">
        <v>138.75</v>
      </c>
      <c r="J101" s="19">
        <v>52.42</v>
      </c>
      <c r="K101" s="19" t="s">
        <v>69</v>
      </c>
      <c r="L101" s="19" t="s">
        <v>215</v>
      </c>
      <c r="M101" s="15" t="s">
        <v>216</v>
      </c>
      <c r="N101" s="15" t="s">
        <v>54</v>
      </c>
      <c r="O101" s="15" t="s">
        <v>61</v>
      </c>
      <c r="P101" s="20" t="s">
        <v>278</v>
      </c>
      <c r="Q101" s="15" t="s">
        <v>63</v>
      </c>
      <c r="R101" s="4"/>
      <c r="S101" s="4"/>
    </row>
    <row r="102" spans="1:19" ht="21" customHeight="1" x14ac:dyDescent="0.25">
      <c r="A102" s="14">
        <f>DATE(2012,12,31)-1074</f>
        <v>40200</v>
      </c>
      <c r="B102" s="15" t="s">
        <v>279</v>
      </c>
      <c r="C102" s="15" t="s">
        <v>51</v>
      </c>
      <c r="D102" s="16">
        <v>39</v>
      </c>
      <c r="E102" s="17">
        <v>4913.6899999999996</v>
      </c>
      <c r="F102" s="16">
        <v>0.02</v>
      </c>
      <c r="G102" s="15" t="s">
        <v>58</v>
      </c>
      <c r="H102" s="18">
        <v>-1153.9000000000001</v>
      </c>
      <c r="I102" s="19">
        <v>120.98</v>
      </c>
      <c r="J102" s="19">
        <v>58.64</v>
      </c>
      <c r="K102" s="19" t="s">
        <v>33</v>
      </c>
      <c r="L102" s="19" t="s">
        <v>128</v>
      </c>
      <c r="M102" s="15" t="s">
        <v>129</v>
      </c>
      <c r="N102" s="15" t="s">
        <v>54</v>
      </c>
      <c r="O102" s="15" t="s">
        <v>134</v>
      </c>
      <c r="P102" s="20" t="s">
        <v>280</v>
      </c>
      <c r="Q102" s="15" t="s">
        <v>63</v>
      </c>
      <c r="R102" s="4"/>
      <c r="S102" s="4"/>
    </row>
    <row r="103" spans="1:19" ht="21" customHeight="1" x14ac:dyDescent="0.25">
      <c r="A103" s="14">
        <f>DATE(2012,12,31)-1074</f>
        <v>40200</v>
      </c>
      <c r="B103" s="15" t="s">
        <v>279</v>
      </c>
      <c r="C103" s="15" t="s">
        <v>51</v>
      </c>
      <c r="D103" s="16">
        <v>24</v>
      </c>
      <c r="E103" s="17">
        <v>464.77</v>
      </c>
      <c r="F103" s="16">
        <v>0.01</v>
      </c>
      <c r="G103" s="15" t="s">
        <v>32</v>
      </c>
      <c r="H103" s="18">
        <v>29.42</v>
      </c>
      <c r="I103" s="19">
        <v>18.97</v>
      </c>
      <c r="J103" s="19">
        <v>9.5399999999999991</v>
      </c>
      <c r="K103" s="19" t="s">
        <v>33</v>
      </c>
      <c r="L103" s="19" t="s">
        <v>128</v>
      </c>
      <c r="M103" s="15" t="s">
        <v>129</v>
      </c>
      <c r="N103" s="15" t="s">
        <v>36</v>
      </c>
      <c r="O103" s="15" t="s">
        <v>117</v>
      </c>
      <c r="P103" s="20" t="s">
        <v>281</v>
      </c>
      <c r="Q103" s="15" t="s">
        <v>83</v>
      </c>
      <c r="R103" s="4"/>
      <c r="S103" s="4"/>
    </row>
    <row r="104" spans="1:19" ht="21" customHeight="1" x14ac:dyDescent="0.25">
      <c r="A104" s="14">
        <f>DATE(2012,12,31)-648</f>
        <v>40626</v>
      </c>
      <c r="B104" s="15" t="s">
        <v>282</v>
      </c>
      <c r="C104" s="15" t="s">
        <v>51</v>
      </c>
      <c r="D104" s="16">
        <v>21</v>
      </c>
      <c r="E104" s="17">
        <v>2781.82</v>
      </c>
      <c r="F104" s="16">
        <v>7.0000000000000007E-2</v>
      </c>
      <c r="G104" s="15" t="s">
        <v>101</v>
      </c>
      <c r="H104" s="18">
        <v>-695.26</v>
      </c>
      <c r="I104" s="19">
        <v>138.13999999999999</v>
      </c>
      <c r="J104" s="19">
        <v>35</v>
      </c>
      <c r="K104" s="19" t="s">
        <v>97</v>
      </c>
      <c r="L104" s="19" t="s">
        <v>283</v>
      </c>
      <c r="M104" s="15" t="s">
        <v>284</v>
      </c>
      <c r="N104" s="15" t="s">
        <v>36</v>
      </c>
      <c r="O104" s="15" t="s">
        <v>37</v>
      </c>
      <c r="P104" s="20" t="s">
        <v>285</v>
      </c>
      <c r="Q104" s="15" t="s">
        <v>39</v>
      </c>
      <c r="R104" s="4"/>
      <c r="S104" s="4"/>
    </row>
    <row r="105" spans="1:19" ht="21" customHeight="1" x14ac:dyDescent="0.25">
      <c r="A105" s="14">
        <f>DATE(2012,12,31)-245</f>
        <v>41029</v>
      </c>
      <c r="B105" s="15" t="s">
        <v>286</v>
      </c>
      <c r="C105" s="15" t="s">
        <v>85</v>
      </c>
      <c r="D105" s="16">
        <v>5</v>
      </c>
      <c r="E105" s="17">
        <v>1679.58</v>
      </c>
      <c r="F105" s="16">
        <v>0.01</v>
      </c>
      <c r="G105" s="15" t="s">
        <v>58</v>
      </c>
      <c r="H105" s="18">
        <v>-171.92</v>
      </c>
      <c r="I105" s="19">
        <v>320.98</v>
      </c>
      <c r="J105" s="19">
        <v>58.95</v>
      </c>
      <c r="K105" s="19" t="s">
        <v>97</v>
      </c>
      <c r="L105" s="19" t="s">
        <v>98</v>
      </c>
      <c r="M105" s="15" t="s">
        <v>99</v>
      </c>
      <c r="N105" s="15" t="s">
        <v>54</v>
      </c>
      <c r="O105" s="15" t="s">
        <v>252</v>
      </c>
      <c r="P105" s="20" t="s">
        <v>287</v>
      </c>
      <c r="Q105" s="15" t="s">
        <v>181</v>
      </c>
      <c r="R105" s="4"/>
      <c r="S105" s="4"/>
    </row>
    <row r="106" spans="1:19" ht="21" customHeight="1" x14ac:dyDescent="0.25">
      <c r="A106" s="14">
        <f>DATE(2012,12,31)-1125</f>
        <v>40149</v>
      </c>
      <c r="B106" s="15" t="s">
        <v>288</v>
      </c>
      <c r="C106" s="15" t="s">
        <v>51</v>
      </c>
      <c r="D106" s="16">
        <v>42</v>
      </c>
      <c r="E106" s="17">
        <v>557.85</v>
      </c>
      <c r="F106" s="16">
        <v>0.05</v>
      </c>
      <c r="G106" s="15" t="s">
        <v>32</v>
      </c>
      <c r="H106" s="18">
        <v>89.44550000000001</v>
      </c>
      <c r="I106" s="19">
        <v>12.95</v>
      </c>
      <c r="J106" s="19">
        <v>4.9800000000000004</v>
      </c>
      <c r="K106" s="19" t="s">
        <v>124</v>
      </c>
      <c r="L106" s="19" t="s">
        <v>160</v>
      </c>
      <c r="M106" s="15" t="s">
        <v>161</v>
      </c>
      <c r="N106" s="15" t="s">
        <v>36</v>
      </c>
      <c r="O106" s="15" t="s">
        <v>170</v>
      </c>
      <c r="P106" s="20" t="s">
        <v>289</v>
      </c>
      <c r="Q106" s="15" t="s">
        <v>83</v>
      </c>
      <c r="R106" s="4"/>
      <c r="S106" s="4"/>
    </row>
    <row r="107" spans="1:19" ht="21" customHeight="1" x14ac:dyDescent="0.25">
      <c r="A107" s="14">
        <f>DATE(2012,12,31)-1136</f>
        <v>40138</v>
      </c>
      <c r="B107" s="15" t="s">
        <v>290</v>
      </c>
      <c r="C107" s="15" t="s">
        <v>51</v>
      </c>
      <c r="D107" s="16">
        <v>18</v>
      </c>
      <c r="E107" s="17">
        <v>173.2</v>
      </c>
      <c r="F107" s="16">
        <v>0.01</v>
      </c>
      <c r="G107" s="15" t="s">
        <v>32</v>
      </c>
      <c r="H107" s="18">
        <v>-10.9</v>
      </c>
      <c r="I107" s="19">
        <v>9.31</v>
      </c>
      <c r="J107" s="19">
        <v>3.98</v>
      </c>
      <c r="K107" s="19" t="s">
        <v>124</v>
      </c>
      <c r="L107" s="19" t="s">
        <v>160</v>
      </c>
      <c r="M107" s="15" t="s">
        <v>161</v>
      </c>
      <c r="N107" s="15" t="s">
        <v>36</v>
      </c>
      <c r="O107" s="15" t="s">
        <v>47</v>
      </c>
      <c r="P107" s="20" t="s">
        <v>291</v>
      </c>
      <c r="Q107" s="15" t="s">
        <v>49</v>
      </c>
      <c r="R107" s="4"/>
      <c r="S107" s="4"/>
    </row>
    <row r="108" spans="1:19" ht="21" customHeight="1" x14ac:dyDescent="0.25">
      <c r="A108" s="14">
        <f>DATE(2012,12,31)-1039</f>
        <v>40235</v>
      </c>
      <c r="B108" s="15" t="s">
        <v>292</v>
      </c>
      <c r="C108" s="15" t="s">
        <v>31</v>
      </c>
      <c r="D108" s="16">
        <v>44</v>
      </c>
      <c r="E108" s="17">
        <v>228.41</v>
      </c>
      <c r="F108" s="16">
        <v>7.0000000000000007E-2</v>
      </c>
      <c r="G108" s="15" t="s">
        <v>32</v>
      </c>
      <c r="H108" s="18">
        <v>-226.36</v>
      </c>
      <c r="I108" s="19">
        <v>4.9800000000000004</v>
      </c>
      <c r="J108" s="19">
        <v>8.33</v>
      </c>
      <c r="K108" s="19" t="s">
        <v>124</v>
      </c>
      <c r="L108" s="19" t="s">
        <v>164</v>
      </c>
      <c r="M108" s="15" t="s">
        <v>165</v>
      </c>
      <c r="N108" s="15" t="s">
        <v>36</v>
      </c>
      <c r="O108" s="15" t="s">
        <v>117</v>
      </c>
      <c r="P108" s="20" t="s">
        <v>293</v>
      </c>
      <c r="Q108" s="15" t="s">
        <v>83</v>
      </c>
      <c r="R108" s="4"/>
      <c r="S108" s="4"/>
    </row>
    <row r="109" spans="1:19" ht="21" customHeight="1" x14ac:dyDescent="0.25">
      <c r="A109" s="14">
        <f>DATE(2012,12,31)-480</f>
        <v>40794</v>
      </c>
      <c r="B109" s="15" t="s">
        <v>294</v>
      </c>
      <c r="C109" s="15" t="s">
        <v>85</v>
      </c>
      <c r="D109" s="16">
        <v>42</v>
      </c>
      <c r="E109" s="17">
        <v>75.14</v>
      </c>
      <c r="F109" s="16">
        <v>0.05</v>
      </c>
      <c r="G109" s="15" t="s">
        <v>32</v>
      </c>
      <c r="H109" s="18">
        <v>0.82</v>
      </c>
      <c r="I109" s="19">
        <v>1.76</v>
      </c>
      <c r="J109" s="19">
        <v>0.7</v>
      </c>
      <c r="K109" s="19" t="s">
        <v>44</v>
      </c>
      <c r="L109" s="19" t="s">
        <v>52</v>
      </c>
      <c r="M109" s="15" t="s">
        <v>53</v>
      </c>
      <c r="N109" s="15" t="s">
        <v>36</v>
      </c>
      <c r="O109" s="15" t="s">
        <v>77</v>
      </c>
      <c r="P109" s="20" t="s">
        <v>295</v>
      </c>
      <c r="Q109" s="15" t="s">
        <v>79</v>
      </c>
      <c r="R109" s="4"/>
      <c r="S109" s="4"/>
    </row>
    <row r="110" spans="1:19" ht="21" customHeight="1" x14ac:dyDescent="0.25">
      <c r="A110" s="14">
        <f>DATE(2012,12,31)-1095</f>
        <v>40179</v>
      </c>
      <c r="B110" s="15" t="s">
        <v>296</v>
      </c>
      <c r="C110" s="15" t="s">
        <v>31</v>
      </c>
      <c r="D110" s="16">
        <v>42</v>
      </c>
      <c r="E110" s="17">
        <v>161.77000000000001</v>
      </c>
      <c r="F110" s="16">
        <v>0.01</v>
      </c>
      <c r="G110" s="15" t="s">
        <v>32</v>
      </c>
      <c r="H110" s="18">
        <v>-150.374</v>
      </c>
      <c r="I110" s="19">
        <v>3.58</v>
      </c>
      <c r="J110" s="19">
        <v>5.47</v>
      </c>
      <c r="K110" s="19" t="s">
        <v>44</v>
      </c>
      <c r="L110" s="19" t="s">
        <v>45</v>
      </c>
      <c r="M110" s="15" t="s">
        <v>46</v>
      </c>
      <c r="N110" s="15" t="s">
        <v>36</v>
      </c>
      <c r="O110" s="15" t="s">
        <v>170</v>
      </c>
      <c r="P110" s="20" t="s">
        <v>297</v>
      </c>
      <c r="Q110" s="15" t="s">
        <v>83</v>
      </c>
      <c r="R110" s="4"/>
      <c r="S110" s="4"/>
    </row>
    <row r="111" spans="1:19" ht="21" customHeight="1" x14ac:dyDescent="0.25">
      <c r="A111" s="14">
        <f>DATE(2012,12,31)-1095</f>
        <v>40179</v>
      </c>
      <c r="B111" s="15" t="s">
        <v>296</v>
      </c>
      <c r="C111" s="15" t="s">
        <v>31</v>
      </c>
      <c r="D111" s="16">
        <v>11</v>
      </c>
      <c r="E111" s="17">
        <v>447.09</v>
      </c>
      <c r="F111" s="16">
        <v>0.09</v>
      </c>
      <c r="G111" s="15" t="s">
        <v>32</v>
      </c>
      <c r="H111" s="18">
        <v>89.03</v>
      </c>
      <c r="I111" s="19">
        <v>41.32</v>
      </c>
      <c r="J111" s="19">
        <v>8.66</v>
      </c>
      <c r="K111" s="19" t="s">
        <v>44</v>
      </c>
      <c r="L111" s="19" t="s">
        <v>45</v>
      </c>
      <c r="M111" s="15" t="s">
        <v>46</v>
      </c>
      <c r="N111" s="15" t="s">
        <v>54</v>
      </c>
      <c r="O111" s="15" t="s">
        <v>55</v>
      </c>
      <c r="P111" s="20" t="s">
        <v>298</v>
      </c>
      <c r="Q111" s="15" t="s">
        <v>57</v>
      </c>
      <c r="R111" s="4"/>
      <c r="S111" s="4"/>
    </row>
    <row r="112" spans="1:19" ht="21" customHeight="1" x14ac:dyDescent="0.25">
      <c r="A112" s="14">
        <f>DATE(2012,12,31)-1095</f>
        <v>40179</v>
      </c>
      <c r="B112" s="15" t="s">
        <v>296</v>
      </c>
      <c r="C112" s="15" t="s">
        <v>31</v>
      </c>
      <c r="D112" s="16">
        <v>29</v>
      </c>
      <c r="E112" s="17">
        <v>4192.88</v>
      </c>
      <c r="F112" s="16">
        <v>0.02</v>
      </c>
      <c r="G112" s="15" t="s">
        <v>58</v>
      </c>
      <c r="H112" s="18">
        <v>731.32</v>
      </c>
      <c r="I112" s="19">
        <v>145.44999999999999</v>
      </c>
      <c r="J112" s="19">
        <v>17.850000000000001</v>
      </c>
      <c r="K112" s="19" t="s">
        <v>97</v>
      </c>
      <c r="L112" s="19" t="s">
        <v>283</v>
      </c>
      <c r="M112" s="15" t="s">
        <v>284</v>
      </c>
      <c r="N112" s="15" t="s">
        <v>64</v>
      </c>
      <c r="O112" s="15" t="s">
        <v>122</v>
      </c>
      <c r="P112" s="20" t="s">
        <v>299</v>
      </c>
      <c r="Q112" s="15" t="s">
        <v>181</v>
      </c>
      <c r="R112" s="4"/>
      <c r="S112" s="4"/>
    </row>
    <row r="113" spans="1:19" ht="21" customHeight="1" x14ac:dyDescent="0.25">
      <c r="A113" s="14">
        <f>DATE(2012,12,31)-1036</f>
        <v>40238</v>
      </c>
      <c r="B113" s="15" t="s">
        <v>300</v>
      </c>
      <c r="C113" s="15" t="s">
        <v>43</v>
      </c>
      <c r="D113" s="16">
        <v>7</v>
      </c>
      <c r="E113" s="17">
        <v>560.51</v>
      </c>
      <c r="F113" s="16">
        <v>0.04</v>
      </c>
      <c r="G113" s="15" t="s">
        <v>32</v>
      </c>
      <c r="H113" s="18">
        <v>32.6</v>
      </c>
      <c r="I113" s="19">
        <v>80.98</v>
      </c>
      <c r="J113" s="19">
        <v>4.5</v>
      </c>
      <c r="K113" s="19" t="s">
        <v>111</v>
      </c>
      <c r="L113" s="19" t="s">
        <v>112</v>
      </c>
      <c r="M113" s="15" t="s">
        <v>113</v>
      </c>
      <c r="N113" s="15" t="s">
        <v>36</v>
      </c>
      <c r="O113" s="15" t="s">
        <v>176</v>
      </c>
      <c r="P113" s="20" t="s">
        <v>301</v>
      </c>
      <c r="Q113" s="15" t="s">
        <v>83</v>
      </c>
      <c r="R113" s="4"/>
      <c r="S113" s="4"/>
    </row>
    <row r="114" spans="1:19" ht="21" customHeight="1" x14ac:dyDescent="0.25">
      <c r="A114" s="14">
        <f>DATE(2012,12,31)-1036</f>
        <v>40238</v>
      </c>
      <c r="B114" s="15" t="s">
        <v>300</v>
      </c>
      <c r="C114" s="15" t="s">
        <v>43</v>
      </c>
      <c r="D114" s="16">
        <v>31</v>
      </c>
      <c r="E114" s="17">
        <v>189.95</v>
      </c>
      <c r="F114" s="16">
        <v>0.08</v>
      </c>
      <c r="G114" s="15" t="s">
        <v>32</v>
      </c>
      <c r="H114" s="18">
        <v>-56.68</v>
      </c>
      <c r="I114" s="19">
        <v>6.48</v>
      </c>
      <c r="J114" s="19">
        <v>5.14</v>
      </c>
      <c r="K114" s="19" t="s">
        <v>44</v>
      </c>
      <c r="L114" s="19" t="s">
        <v>89</v>
      </c>
      <c r="M114" s="15" t="s">
        <v>90</v>
      </c>
      <c r="N114" s="15" t="s">
        <v>36</v>
      </c>
      <c r="O114" s="15" t="s">
        <v>117</v>
      </c>
      <c r="P114" s="20" t="s">
        <v>302</v>
      </c>
      <c r="Q114" s="15" t="s">
        <v>83</v>
      </c>
      <c r="R114" s="4"/>
      <c r="S114" s="4"/>
    </row>
    <row r="115" spans="1:19" ht="21" customHeight="1" x14ac:dyDescent="0.25">
      <c r="A115" s="14">
        <f>DATE(2012,12,31)-535</f>
        <v>40739</v>
      </c>
      <c r="B115" s="15" t="s">
        <v>303</v>
      </c>
      <c r="C115" s="15" t="s">
        <v>85</v>
      </c>
      <c r="D115" s="16">
        <v>6</v>
      </c>
      <c r="E115" s="17">
        <v>28.01</v>
      </c>
      <c r="F115" s="16">
        <v>0.09</v>
      </c>
      <c r="G115" s="15" t="s">
        <v>32</v>
      </c>
      <c r="H115" s="18">
        <v>3.46</v>
      </c>
      <c r="I115" s="19">
        <v>4.9800000000000004</v>
      </c>
      <c r="J115" s="19">
        <v>0.49</v>
      </c>
      <c r="K115" s="19" t="s">
        <v>97</v>
      </c>
      <c r="L115" s="19" t="s">
        <v>283</v>
      </c>
      <c r="M115" s="15" t="s">
        <v>284</v>
      </c>
      <c r="N115" s="15" t="s">
        <v>36</v>
      </c>
      <c r="O115" s="15" t="s">
        <v>114</v>
      </c>
      <c r="P115" s="20" t="s">
        <v>304</v>
      </c>
      <c r="Q115" s="15" t="s">
        <v>83</v>
      </c>
      <c r="R115" s="4"/>
      <c r="S115" s="4"/>
    </row>
    <row r="116" spans="1:19" ht="21" customHeight="1" x14ac:dyDescent="0.25">
      <c r="A116" s="14">
        <f>DATE(2012,12,31)-944</f>
        <v>40330</v>
      </c>
      <c r="B116" s="15" t="s">
        <v>305</v>
      </c>
      <c r="C116" s="15" t="s">
        <v>85</v>
      </c>
      <c r="D116" s="16">
        <v>37</v>
      </c>
      <c r="E116" s="17">
        <v>4261.9399999999996</v>
      </c>
      <c r="F116" s="16">
        <v>0.02</v>
      </c>
      <c r="G116" s="15" t="s">
        <v>58</v>
      </c>
      <c r="H116" s="18">
        <v>4.1500000000000057</v>
      </c>
      <c r="I116" s="19">
        <v>115.99</v>
      </c>
      <c r="J116" s="19">
        <v>56.14</v>
      </c>
      <c r="K116" s="19" t="s">
        <v>33</v>
      </c>
      <c r="L116" s="19" t="s">
        <v>59</v>
      </c>
      <c r="M116" s="15" t="s">
        <v>60</v>
      </c>
      <c r="N116" s="15" t="s">
        <v>64</v>
      </c>
      <c r="O116" s="15" t="s">
        <v>122</v>
      </c>
      <c r="P116" s="20" t="s">
        <v>306</v>
      </c>
      <c r="Q116" s="15" t="s">
        <v>181</v>
      </c>
      <c r="R116" s="4"/>
      <c r="S116" s="4"/>
    </row>
    <row r="117" spans="1:19" ht="21" customHeight="1" x14ac:dyDescent="0.25">
      <c r="A117" s="14">
        <f>DATE(2012,12,31)-564</f>
        <v>40710</v>
      </c>
      <c r="B117" s="15" t="s">
        <v>307</v>
      </c>
      <c r="C117" s="15" t="s">
        <v>85</v>
      </c>
      <c r="D117" s="16">
        <v>18</v>
      </c>
      <c r="E117" s="17">
        <v>88.84</v>
      </c>
      <c r="F117" s="16">
        <v>0.08</v>
      </c>
      <c r="G117" s="15" t="s">
        <v>32</v>
      </c>
      <c r="H117" s="18">
        <v>-38.35</v>
      </c>
      <c r="I117" s="19">
        <v>4.9800000000000004</v>
      </c>
      <c r="J117" s="19">
        <v>4.72</v>
      </c>
      <c r="K117" s="19" t="s">
        <v>33</v>
      </c>
      <c r="L117" s="19" t="s">
        <v>34</v>
      </c>
      <c r="M117" s="15" t="s">
        <v>35</v>
      </c>
      <c r="N117" s="15" t="s">
        <v>36</v>
      </c>
      <c r="O117" s="15" t="s">
        <v>117</v>
      </c>
      <c r="P117" s="20" t="s">
        <v>308</v>
      </c>
      <c r="Q117" s="15" t="s">
        <v>83</v>
      </c>
      <c r="R117" s="4"/>
      <c r="S117" s="4"/>
    </row>
    <row r="118" spans="1:19" ht="21" customHeight="1" x14ac:dyDescent="0.25">
      <c r="A118" s="14">
        <f>DATE(2012,12,31)-990</f>
        <v>40284</v>
      </c>
      <c r="B118" s="15" t="s">
        <v>309</v>
      </c>
      <c r="C118" s="15" t="s">
        <v>51</v>
      </c>
      <c r="D118" s="16">
        <v>35</v>
      </c>
      <c r="E118" s="17">
        <v>589.24</v>
      </c>
      <c r="F118" s="16">
        <v>0.08</v>
      </c>
      <c r="G118" s="15" t="s">
        <v>32</v>
      </c>
      <c r="H118" s="18">
        <v>-38.35</v>
      </c>
      <c r="I118" s="19">
        <v>17.52</v>
      </c>
      <c r="J118" s="19">
        <v>8.17</v>
      </c>
      <c r="K118" s="19" t="s">
        <v>69</v>
      </c>
      <c r="L118" s="19" t="s">
        <v>70</v>
      </c>
      <c r="M118" s="15" t="s">
        <v>71</v>
      </c>
      <c r="N118" s="15" t="s">
        <v>36</v>
      </c>
      <c r="O118" s="15" t="s">
        <v>176</v>
      </c>
      <c r="P118" s="20" t="s">
        <v>310</v>
      </c>
      <c r="Q118" s="15" t="s">
        <v>57</v>
      </c>
      <c r="R118" s="4"/>
      <c r="S118" s="4"/>
    </row>
    <row r="119" spans="1:19" ht="21" customHeight="1" x14ac:dyDescent="0.25">
      <c r="A119" s="14">
        <f>DATE(2012,12,31)-990</f>
        <v>40284</v>
      </c>
      <c r="B119" s="15" t="s">
        <v>309</v>
      </c>
      <c r="C119" s="15" t="s">
        <v>51</v>
      </c>
      <c r="D119" s="16">
        <v>25</v>
      </c>
      <c r="E119" s="17">
        <v>233.05</v>
      </c>
      <c r="F119" s="16">
        <v>0.1</v>
      </c>
      <c r="G119" s="15" t="s">
        <v>32</v>
      </c>
      <c r="H119" s="18">
        <v>86.93</v>
      </c>
      <c r="I119" s="19">
        <v>9.9</v>
      </c>
      <c r="J119" s="19">
        <v>1.39</v>
      </c>
      <c r="K119" s="19" t="s">
        <v>111</v>
      </c>
      <c r="L119" s="19" t="s">
        <v>112</v>
      </c>
      <c r="M119" s="15" t="s">
        <v>113</v>
      </c>
      <c r="N119" s="15" t="s">
        <v>36</v>
      </c>
      <c r="O119" s="15" t="s">
        <v>189</v>
      </c>
      <c r="P119" s="20" t="s">
        <v>190</v>
      </c>
      <c r="Q119" s="15" t="s">
        <v>83</v>
      </c>
      <c r="R119" s="4"/>
      <c r="S119" s="4"/>
    </row>
    <row r="120" spans="1:19" ht="21" customHeight="1" x14ac:dyDescent="0.25">
      <c r="A120" s="14">
        <f>DATE(2012,12,31)-828</f>
        <v>40446</v>
      </c>
      <c r="B120" s="15" t="s">
        <v>311</v>
      </c>
      <c r="C120" s="15" t="s">
        <v>85</v>
      </c>
      <c r="D120" s="16">
        <v>38</v>
      </c>
      <c r="E120" s="17">
        <v>2071.3395</v>
      </c>
      <c r="F120" s="16">
        <v>0.06</v>
      </c>
      <c r="G120" s="15" t="s">
        <v>32</v>
      </c>
      <c r="H120" s="18">
        <v>324.92699999999996</v>
      </c>
      <c r="I120" s="19">
        <v>65.989999999999995</v>
      </c>
      <c r="J120" s="19">
        <v>8.99</v>
      </c>
      <c r="K120" s="19" t="s">
        <v>44</v>
      </c>
      <c r="L120" s="19" t="s">
        <v>120</v>
      </c>
      <c r="M120" s="15" t="s">
        <v>121</v>
      </c>
      <c r="N120" s="15" t="s">
        <v>64</v>
      </c>
      <c r="O120" s="15" t="s">
        <v>65</v>
      </c>
      <c r="P120" s="20" t="s">
        <v>312</v>
      </c>
      <c r="Q120" s="15" t="s">
        <v>83</v>
      </c>
      <c r="R120" s="4"/>
      <c r="S120" s="4"/>
    </row>
    <row r="121" spans="1:19" ht="21" customHeight="1" x14ac:dyDescent="0.25">
      <c r="A121" s="14">
        <f>DATE(2012,12,31)-394</f>
        <v>40880</v>
      </c>
      <c r="B121" s="15" t="s">
        <v>313</v>
      </c>
      <c r="C121" s="15" t="s">
        <v>85</v>
      </c>
      <c r="D121" s="16">
        <v>17</v>
      </c>
      <c r="E121" s="17">
        <v>126.57</v>
      </c>
      <c r="F121" s="16">
        <v>0.03</v>
      </c>
      <c r="G121" s="15" t="s">
        <v>32</v>
      </c>
      <c r="H121" s="18">
        <v>-752.13</v>
      </c>
      <c r="I121" s="19">
        <v>4.4800000000000004</v>
      </c>
      <c r="J121" s="19">
        <v>49</v>
      </c>
      <c r="K121" s="19" t="s">
        <v>33</v>
      </c>
      <c r="L121" s="19" t="s">
        <v>128</v>
      </c>
      <c r="M121" s="15" t="s">
        <v>129</v>
      </c>
      <c r="N121" s="15" t="s">
        <v>36</v>
      </c>
      <c r="O121" s="15" t="s">
        <v>176</v>
      </c>
      <c r="P121" s="20" t="s">
        <v>314</v>
      </c>
      <c r="Q121" s="15" t="s">
        <v>39</v>
      </c>
      <c r="R121" s="4"/>
      <c r="S121" s="4"/>
    </row>
    <row r="122" spans="1:19" ht="21" customHeight="1" x14ac:dyDescent="0.25">
      <c r="A122" s="14">
        <f>DATE(2012,12,31)-655</f>
        <v>40619</v>
      </c>
      <c r="B122" s="15" t="s">
        <v>315</v>
      </c>
      <c r="C122" s="15" t="s">
        <v>85</v>
      </c>
      <c r="D122" s="16">
        <v>35</v>
      </c>
      <c r="E122" s="17">
        <v>43.57</v>
      </c>
      <c r="F122" s="16">
        <v>0.1</v>
      </c>
      <c r="G122" s="15" t="s">
        <v>32</v>
      </c>
      <c r="H122" s="18">
        <v>-19.170000000000002</v>
      </c>
      <c r="I122" s="19">
        <v>1.26</v>
      </c>
      <c r="J122" s="19">
        <v>0.7</v>
      </c>
      <c r="K122" s="19" t="s">
        <v>97</v>
      </c>
      <c r="L122" s="19" t="s">
        <v>132</v>
      </c>
      <c r="M122" s="15" t="s">
        <v>133</v>
      </c>
      <c r="N122" s="15" t="s">
        <v>36</v>
      </c>
      <c r="O122" s="15" t="s">
        <v>105</v>
      </c>
      <c r="P122" s="20" t="s">
        <v>316</v>
      </c>
      <c r="Q122" s="15" t="s">
        <v>79</v>
      </c>
      <c r="R122" s="4"/>
      <c r="S122" s="4"/>
    </row>
    <row r="123" spans="1:19" ht="21" customHeight="1" x14ac:dyDescent="0.25">
      <c r="A123" s="14">
        <f>DATE(2012,12,31)-655</f>
        <v>40619</v>
      </c>
      <c r="B123" s="15" t="s">
        <v>315</v>
      </c>
      <c r="C123" s="15" t="s">
        <v>85</v>
      </c>
      <c r="D123" s="16">
        <v>8</v>
      </c>
      <c r="E123" s="17">
        <v>31.87</v>
      </c>
      <c r="F123" s="16">
        <v>0.1</v>
      </c>
      <c r="G123" s="15" t="s">
        <v>32</v>
      </c>
      <c r="H123" s="18">
        <v>-1.25</v>
      </c>
      <c r="I123" s="19">
        <v>4.26</v>
      </c>
      <c r="J123" s="19">
        <v>1.2</v>
      </c>
      <c r="K123" s="19" t="s">
        <v>124</v>
      </c>
      <c r="L123" s="19" t="s">
        <v>125</v>
      </c>
      <c r="M123" s="15" t="s">
        <v>126</v>
      </c>
      <c r="N123" s="15" t="s">
        <v>36</v>
      </c>
      <c r="O123" s="15" t="s">
        <v>77</v>
      </c>
      <c r="P123" s="20" t="s">
        <v>317</v>
      </c>
      <c r="Q123" s="15" t="s">
        <v>79</v>
      </c>
      <c r="R123" s="4"/>
      <c r="S123" s="4"/>
    </row>
    <row r="124" spans="1:19" ht="21" customHeight="1" x14ac:dyDescent="0.25">
      <c r="A124" s="14">
        <f>DATE(2012,12,31)-318</f>
        <v>40956</v>
      </c>
      <c r="B124" s="15" t="s">
        <v>318</v>
      </c>
      <c r="C124" s="15" t="s">
        <v>85</v>
      </c>
      <c r="D124" s="16">
        <v>20</v>
      </c>
      <c r="E124" s="17">
        <v>59.85</v>
      </c>
      <c r="F124" s="16">
        <v>0.03</v>
      </c>
      <c r="G124" s="15" t="s">
        <v>32</v>
      </c>
      <c r="H124" s="18">
        <v>-47.41</v>
      </c>
      <c r="I124" s="19">
        <v>2.74</v>
      </c>
      <c r="J124" s="19">
        <v>3.5</v>
      </c>
      <c r="K124" s="19" t="s">
        <v>124</v>
      </c>
      <c r="L124" s="19" t="s">
        <v>319</v>
      </c>
      <c r="M124" s="15" t="s">
        <v>320</v>
      </c>
      <c r="N124" s="15" t="s">
        <v>36</v>
      </c>
      <c r="O124" s="15" t="s">
        <v>77</v>
      </c>
      <c r="P124" s="20" t="s">
        <v>321</v>
      </c>
      <c r="Q124" s="15" t="s">
        <v>49</v>
      </c>
      <c r="R124" s="4"/>
      <c r="S124" s="4"/>
    </row>
    <row r="125" spans="1:19" ht="21" customHeight="1" x14ac:dyDescent="0.25">
      <c r="A125" s="14">
        <f>DATE(2012,12,31)-727</f>
        <v>40547</v>
      </c>
      <c r="B125" s="15" t="s">
        <v>322</v>
      </c>
      <c r="C125" s="15" t="s">
        <v>85</v>
      </c>
      <c r="D125" s="16">
        <v>33</v>
      </c>
      <c r="E125" s="17">
        <v>378.6</v>
      </c>
      <c r="F125" s="16">
        <v>0.08</v>
      </c>
      <c r="G125" s="15" t="s">
        <v>32</v>
      </c>
      <c r="H125" s="18">
        <v>12.724500000000001</v>
      </c>
      <c r="I125" s="19">
        <v>11.7</v>
      </c>
      <c r="J125" s="19">
        <v>5.63</v>
      </c>
      <c r="K125" s="19" t="s">
        <v>44</v>
      </c>
      <c r="L125" s="19" t="s">
        <v>45</v>
      </c>
      <c r="M125" s="15" t="s">
        <v>46</v>
      </c>
      <c r="N125" s="15" t="s">
        <v>36</v>
      </c>
      <c r="O125" s="15" t="s">
        <v>170</v>
      </c>
      <c r="P125" s="20" t="s">
        <v>323</v>
      </c>
      <c r="Q125" s="15" t="s">
        <v>83</v>
      </c>
      <c r="R125" s="4"/>
      <c r="S125" s="4"/>
    </row>
    <row r="126" spans="1:19" ht="21" customHeight="1" x14ac:dyDescent="0.25">
      <c r="A126" s="14">
        <f>DATE(2012,12,31)-727</f>
        <v>40547</v>
      </c>
      <c r="B126" s="15" t="s">
        <v>322</v>
      </c>
      <c r="C126" s="15" t="s">
        <v>85</v>
      </c>
      <c r="D126" s="16">
        <v>2</v>
      </c>
      <c r="E126" s="17">
        <v>38.5</v>
      </c>
      <c r="F126" s="16">
        <v>0.09</v>
      </c>
      <c r="G126" s="15" t="s">
        <v>32</v>
      </c>
      <c r="H126" s="18">
        <v>-52.139099999999999</v>
      </c>
      <c r="I126" s="19">
        <v>15.99</v>
      </c>
      <c r="J126" s="19">
        <v>9.4</v>
      </c>
      <c r="K126" s="19" t="s">
        <v>44</v>
      </c>
      <c r="L126" s="19" t="s">
        <v>120</v>
      </c>
      <c r="M126" s="15" t="s">
        <v>121</v>
      </c>
      <c r="N126" s="15" t="s">
        <v>64</v>
      </c>
      <c r="O126" s="15" t="s">
        <v>122</v>
      </c>
      <c r="P126" s="20" t="s">
        <v>324</v>
      </c>
      <c r="Q126" s="15" t="s">
        <v>83</v>
      </c>
      <c r="R126" s="4"/>
      <c r="S126" s="4"/>
    </row>
    <row r="127" spans="1:19" ht="21" customHeight="1" x14ac:dyDescent="0.25">
      <c r="A127" s="14">
        <f>DATE(2012,12,31)-546</f>
        <v>40728</v>
      </c>
      <c r="B127" s="15" t="s">
        <v>325</v>
      </c>
      <c r="C127" s="15" t="s">
        <v>43</v>
      </c>
      <c r="D127" s="16">
        <v>39</v>
      </c>
      <c r="E127" s="17">
        <v>197.56</v>
      </c>
      <c r="F127" s="16">
        <v>0.02</v>
      </c>
      <c r="G127" s="15" t="s">
        <v>32</v>
      </c>
      <c r="H127" s="18">
        <v>-119.86</v>
      </c>
      <c r="I127" s="19">
        <v>4.97</v>
      </c>
      <c r="J127" s="19">
        <v>5.71</v>
      </c>
      <c r="K127" s="19" t="s">
        <v>33</v>
      </c>
      <c r="L127" s="19" t="s">
        <v>145</v>
      </c>
      <c r="M127" s="15" t="s">
        <v>146</v>
      </c>
      <c r="N127" s="15" t="s">
        <v>54</v>
      </c>
      <c r="O127" s="15" t="s">
        <v>55</v>
      </c>
      <c r="P127" s="20" t="s">
        <v>326</v>
      </c>
      <c r="Q127" s="15" t="s">
        <v>57</v>
      </c>
      <c r="R127" s="4"/>
      <c r="S127" s="4"/>
    </row>
    <row r="128" spans="1:19" ht="21" customHeight="1" x14ac:dyDescent="0.25">
      <c r="A128" s="14">
        <f>DATE(2012,12,31)-769</f>
        <v>40505</v>
      </c>
      <c r="B128" s="15" t="s">
        <v>327</v>
      </c>
      <c r="C128" s="15" t="s">
        <v>85</v>
      </c>
      <c r="D128" s="16">
        <v>45</v>
      </c>
      <c r="E128" s="17">
        <v>196.85</v>
      </c>
      <c r="F128" s="16">
        <v>0.01</v>
      </c>
      <c r="G128" s="15" t="s">
        <v>32</v>
      </c>
      <c r="H128" s="18">
        <v>-166.85</v>
      </c>
      <c r="I128" s="19">
        <v>4.28</v>
      </c>
      <c r="J128" s="19">
        <v>6.18</v>
      </c>
      <c r="K128" s="19" t="s">
        <v>97</v>
      </c>
      <c r="L128" s="19" t="s">
        <v>195</v>
      </c>
      <c r="M128" s="15" t="s">
        <v>196</v>
      </c>
      <c r="N128" s="15" t="s">
        <v>36</v>
      </c>
      <c r="O128" s="15" t="s">
        <v>117</v>
      </c>
      <c r="P128" s="20" t="s">
        <v>328</v>
      </c>
      <c r="Q128" s="15" t="s">
        <v>83</v>
      </c>
      <c r="R128" s="4"/>
      <c r="S128" s="4"/>
    </row>
    <row r="129" spans="1:19" ht="21" customHeight="1" x14ac:dyDescent="0.25">
      <c r="A129" s="14">
        <f>DATE(2012,12,31)-769</f>
        <v>40505</v>
      </c>
      <c r="B129" s="15" t="s">
        <v>327</v>
      </c>
      <c r="C129" s="15" t="s">
        <v>85</v>
      </c>
      <c r="D129" s="16">
        <v>32</v>
      </c>
      <c r="E129" s="17">
        <v>124.56</v>
      </c>
      <c r="F129" s="16">
        <v>0.04</v>
      </c>
      <c r="G129" s="15" t="s">
        <v>32</v>
      </c>
      <c r="H129" s="18">
        <v>-14.33</v>
      </c>
      <c r="I129" s="19">
        <v>3.95</v>
      </c>
      <c r="J129" s="19">
        <v>2</v>
      </c>
      <c r="K129" s="19" t="s">
        <v>44</v>
      </c>
      <c r="L129" s="19" t="s">
        <v>52</v>
      </c>
      <c r="M129" s="15" t="s">
        <v>53</v>
      </c>
      <c r="N129" s="15" t="s">
        <v>36</v>
      </c>
      <c r="O129" s="15" t="s">
        <v>105</v>
      </c>
      <c r="P129" s="20" t="s">
        <v>329</v>
      </c>
      <c r="Q129" s="15" t="s">
        <v>79</v>
      </c>
      <c r="R129" s="4"/>
      <c r="S129" s="4"/>
    </row>
    <row r="130" spans="1:19" ht="21" customHeight="1" x14ac:dyDescent="0.25">
      <c r="A130" s="14">
        <f>DATE(2012,12,31)-257</f>
        <v>41017</v>
      </c>
      <c r="B130" s="15" t="s">
        <v>330</v>
      </c>
      <c r="C130" s="15" t="s">
        <v>31</v>
      </c>
      <c r="D130" s="16">
        <v>7</v>
      </c>
      <c r="E130" s="17">
        <v>53.46</v>
      </c>
      <c r="F130" s="16">
        <v>0.02</v>
      </c>
      <c r="G130" s="15" t="s">
        <v>32</v>
      </c>
      <c r="H130" s="18">
        <v>-17.579999999999998</v>
      </c>
      <c r="I130" s="19">
        <v>6.48</v>
      </c>
      <c r="J130" s="19">
        <v>5.9</v>
      </c>
      <c r="K130" s="19" t="s">
        <v>44</v>
      </c>
      <c r="L130" s="19" t="s">
        <v>52</v>
      </c>
      <c r="M130" s="15" t="s">
        <v>53</v>
      </c>
      <c r="N130" s="15" t="s">
        <v>36</v>
      </c>
      <c r="O130" s="15" t="s">
        <v>117</v>
      </c>
      <c r="P130" s="20" t="s">
        <v>263</v>
      </c>
      <c r="Q130" s="15" t="s">
        <v>83</v>
      </c>
      <c r="R130" s="4"/>
      <c r="S130" s="4"/>
    </row>
    <row r="131" spans="1:19" ht="21" customHeight="1" x14ac:dyDescent="0.25">
      <c r="A131" s="14">
        <f>DATE(2012,12,31)-1418</f>
        <v>39856</v>
      </c>
      <c r="B131" s="15" t="s">
        <v>331</v>
      </c>
      <c r="C131" s="15" t="s">
        <v>85</v>
      </c>
      <c r="D131" s="16">
        <v>1</v>
      </c>
      <c r="E131" s="17">
        <v>19.32</v>
      </c>
      <c r="F131" s="16">
        <v>0.03</v>
      </c>
      <c r="G131" s="15" t="s">
        <v>32</v>
      </c>
      <c r="H131" s="18">
        <v>-20.320500000000003</v>
      </c>
      <c r="I131" s="19">
        <v>12.53</v>
      </c>
      <c r="J131" s="19">
        <v>7.17</v>
      </c>
      <c r="K131" s="19" t="s">
        <v>33</v>
      </c>
      <c r="L131" s="19" t="s">
        <v>93</v>
      </c>
      <c r="M131" s="15" t="s">
        <v>94</v>
      </c>
      <c r="N131" s="15" t="s">
        <v>36</v>
      </c>
      <c r="O131" s="15" t="s">
        <v>170</v>
      </c>
      <c r="P131" s="20" t="s">
        <v>332</v>
      </c>
      <c r="Q131" s="15" t="s">
        <v>83</v>
      </c>
      <c r="R131" s="4"/>
      <c r="S131" s="4"/>
    </row>
    <row r="132" spans="1:19" ht="21" customHeight="1" x14ac:dyDescent="0.25">
      <c r="A132" s="14">
        <f>DATE(2012,12,31)-1319</f>
        <v>39955</v>
      </c>
      <c r="B132" s="15" t="s">
        <v>333</v>
      </c>
      <c r="C132" s="15" t="s">
        <v>85</v>
      </c>
      <c r="D132" s="16">
        <v>15</v>
      </c>
      <c r="E132" s="17">
        <v>1813.04</v>
      </c>
      <c r="F132" s="16">
        <v>0.01</v>
      </c>
      <c r="G132" s="15" t="s">
        <v>58</v>
      </c>
      <c r="H132" s="18">
        <v>-164.39520000000002</v>
      </c>
      <c r="I132" s="19">
        <v>115.99</v>
      </c>
      <c r="J132" s="19">
        <v>56.14</v>
      </c>
      <c r="K132" s="19" t="s">
        <v>33</v>
      </c>
      <c r="L132" s="19" t="s">
        <v>145</v>
      </c>
      <c r="M132" s="15" t="s">
        <v>146</v>
      </c>
      <c r="N132" s="15" t="s">
        <v>64</v>
      </c>
      <c r="O132" s="15" t="s">
        <v>122</v>
      </c>
      <c r="P132" s="20" t="s">
        <v>306</v>
      </c>
      <c r="Q132" s="15" t="s">
        <v>181</v>
      </c>
      <c r="R132" s="4"/>
      <c r="S132" s="4"/>
    </row>
    <row r="133" spans="1:19" ht="21" customHeight="1" x14ac:dyDescent="0.25">
      <c r="A133" s="14">
        <f>DATE(2012,12,31)-451</f>
        <v>40823</v>
      </c>
      <c r="B133" s="15" t="s">
        <v>290</v>
      </c>
      <c r="C133" s="15" t="s">
        <v>43</v>
      </c>
      <c r="D133" s="16">
        <v>18</v>
      </c>
      <c r="E133" s="17">
        <v>125.16</v>
      </c>
      <c r="F133" s="16">
        <v>0.02</v>
      </c>
      <c r="G133" s="15" t="s">
        <v>32</v>
      </c>
      <c r="H133" s="18">
        <v>-23.48</v>
      </c>
      <c r="I133" s="19">
        <v>6.48</v>
      </c>
      <c r="J133" s="19">
        <v>5.14</v>
      </c>
      <c r="K133" s="19" t="s">
        <v>33</v>
      </c>
      <c r="L133" s="19" t="s">
        <v>59</v>
      </c>
      <c r="M133" s="15" t="s">
        <v>60</v>
      </c>
      <c r="N133" s="15" t="s">
        <v>36</v>
      </c>
      <c r="O133" s="15" t="s">
        <v>117</v>
      </c>
      <c r="P133" s="20" t="s">
        <v>302</v>
      </c>
      <c r="Q133" s="15" t="s">
        <v>83</v>
      </c>
      <c r="R133" s="4"/>
      <c r="S133" s="4"/>
    </row>
    <row r="134" spans="1:19" ht="21" customHeight="1" x14ac:dyDescent="0.25">
      <c r="A134" s="14">
        <f>DATE(2012,12,31)-1296</f>
        <v>39978</v>
      </c>
      <c r="B134" s="15" t="s">
        <v>334</v>
      </c>
      <c r="C134" s="15" t="s">
        <v>43</v>
      </c>
      <c r="D134" s="16">
        <v>11</v>
      </c>
      <c r="E134" s="17">
        <v>65.7</v>
      </c>
      <c r="F134" s="16">
        <v>0.01</v>
      </c>
      <c r="G134" s="15" t="s">
        <v>32</v>
      </c>
      <c r="H134" s="18">
        <v>13.41</v>
      </c>
      <c r="I134" s="19">
        <v>5.84</v>
      </c>
      <c r="J134" s="19">
        <v>0.83</v>
      </c>
      <c r="K134" s="19" t="s">
        <v>69</v>
      </c>
      <c r="L134" s="19" t="s">
        <v>215</v>
      </c>
      <c r="M134" s="15" t="s">
        <v>216</v>
      </c>
      <c r="N134" s="15" t="s">
        <v>36</v>
      </c>
      <c r="O134" s="15" t="s">
        <v>77</v>
      </c>
      <c r="P134" s="20" t="s">
        <v>335</v>
      </c>
      <c r="Q134" s="15" t="s">
        <v>79</v>
      </c>
      <c r="R134" s="4"/>
      <c r="S134" s="4"/>
    </row>
    <row r="135" spans="1:19" ht="21" customHeight="1" x14ac:dyDescent="0.25">
      <c r="A135" s="14">
        <f>DATE(2012,12,31)-206</f>
        <v>41068</v>
      </c>
      <c r="B135" s="15" t="s">
        <v>336</v>
      </c>
      <c r="C135" s="15" t="s">
        <v>43</v>
      </c>
      <c r="D135" s="16">
        <v>32</v>
      </c>
      <c r="E135" s="17">
        <v>716.84</v>
      </c>
      <c r="F135" s="16">
        <v>0</v>
      </c>
      <c r="G135" s="15" t="s">
        <v>32</v>
      </c>
      <c r="H135" s="18">
        <v>134.72</v>
      </c>
      <c r="I135" s="19">
        <v>21.78</v>
      </c>
      <c r="J135" s="19">
        <v>5.94</v>
      </c>
      <c r="K135" s="19" t="s">
        <v>111</v>
      </c>
      <c r="L135" s="19" t="s">
        <v>112</v>
      </c>
      <c r="M135" s="15" t="s">
        <v>337</v>
      </c>
      <c r="N135" s="15" t="s">
        <v>36</v>
      </c>
      <c r="O135" s="15" t="s">
        <v>176</v>
      </c>
      <c r="P135" s="20" t="s">
        <v>257</v>
      </c>
      <c r="Q135" s="15" t="s">
        <v>57</v>
      </c>
      <c r="R135" s="4"/>
      <c r="S135" s="4"/>
    </row>
    <row r="136" spans="1:19" ht="21" customHeight="1" x14ac:dyDescent="0.25">
      <c r="A136" s="14">
        <f>DATE(2012,12,31)-206</f>
        <v>41068</v>
      </c>
      <c r="B136" s="15" t="s">
        <v>336</v>
      </c>
      <c r="C136" s="15" t="s">
        <v>43</v>
      </c>
      <c r="D136" s="16">
        <v>31</v>
      </c>
      <c r="E136" s="17">
        <v>1474.33</v>
      </c>
      <c r="F136" s="16">
        <v>0.04</v>
      </c>
      <c r="G136" s="15" t="s">
        <v>32</v>
      </c>
      <c r="H136" s="18">
        <v>114.46</v>
      </c>
      <c r="I136" s="19">
        <v>47.98</v>
      </c>
      <c r="J136" s="19">
        <v>3.61</v>
      </c>
      <c r="K136" s="19" t="s">
        <v>44</v>
      </c>
      <c r="L136" s="19" t="s">
        <v>45</v>
      </c>
      <c r="M136" s="15" t="s">
        <v>46</v>
      </c>
      <c r="N136" s="15" t="s">
        <v>64</v>
      </c>
      <c r="O136" s="15" t="s">
        <v>72</v>
      </c>
      <c r="P136" s="20" t="s">
        <v>338</v>
      </c>
      <c r="Q136" s="15" t="s">
        <v>49</v>
      </c>
      <c r="R136" s="4"/>
      <c r="S136" s="4"/>
    </row>
    <row r="137" spans="1:19" ht="21" customHeight="1" x14ac:dyDescent="0.25">
      <c r="A137" s="14">
        <f>DATE(2012,12,31)-926</f>
        <v>40348</v>
      </c>
      <c r="B137" s="15" t="s">
        <v>249</v>
      </c>
      <c r="C137" s="15" t="s">
        <v>43</v>
      </c>
      <c r="D137" s="16">
        <v>23</v>
      </c>
      <c r="E137" s="17">
        <v>1661.04</v>
      </c>
      <c r="F137" s="16">
        <v>0.04</v>
      </c>
      <c r="G137" s="15" t="s">
        <v>32</v>
      </c>
      <c r="H137" s="18">
        <v>475.54</v>
      </c>
      <c r="I137" s="19">
        <v>70.97</v>
      </c>
      <c r="J137" s="19">
        <v>3.5</v>
      </c>
      <c r="K137" s="19" t="s">
        <v>44</v>
      </c>
      <c r="L137" s="19" t="s">
        <v>45</v>
      </c>
      <c r="M137" s="15" t="s">
        <v>46</v>
      </c>
      <c r="N137" s="15" t="s">
        <v>36</v>
      </c>
      <c r="O137" s="15" t="s">
        <v>176</v>
      </c>
      <c r="P137" s="20" t="s">
        <v>339</v>
      </c>
      <c r="Q137" s="15" t="s">
        <v>83</v>
      </c>
      <c r="R137" s="4"/>
      <c r="S137" s="4"/>
    </row>
    <row r="138" spans="1:19" ht="21" customHeight="1" x14ac:dyDescent="0.25">
      <c r="A138" s="14">
        <f>DATE(2012,12,31)-413</f>
        <v>40861</v>
      </c>
      <c r="B138" s="15" t="s">
        <v>340</v>
      </c>
      <c r="C138" s="15" t="s">
        <v>31</v>
      </c>
      <c r="D138" s="16">
        <v>17</v>
      </c>
      <c r="E138" s="17">
        <v>104.94</v>
      </c>
      <c r="F138" s="16">
        <v>0.06</v>
      </c>
      <c r="G138" s="15" t="s">
        <v>32</v>
      </c>
      <c r="H138" s="18">
        <v>-34.97</v>
      </c>
      <c r="I138" s="19">
        <v>6.24</v>
      </c>
      <c r="J138" s="19">
        <v>5.22</v>
      </c>
      <c r="K138" s="19" t="s">
        <v>44</v>
      </c>
      <c r="L138" s="19" t="s">
        <v>89</v>
      </c>
      <c r="M138" s="15" t="s">
        <v>90</v>
      </c>
      <c r="N138" s="15" t="s">
        <v>54</v>
      </c>
      <c r="O138" s="15" t="s">
        <v>55</v>
      </c>
      <c r="P138" s="20" t="s">
        <v>341</v>
      </c>
      <c r="Q138" s="15" t="s">
        <v>83</v>
      </c>
      <c r="R138" s="4"/>
      <c r="S138" s="4"/>
    </row>
    <row r="139" spans="1:19" ht="21" customHeight="1" x14ac:dyDescent="0.25">
      <c r="A139" s="14">
        <f>DATE(2012,12,31)-1029</f>
        <v>40245</v>
      </c>
      <c r="B139" s="15" t="s">
        <v>342</v>
      </c>
      <c r="C139" s="15" t="s">
        <v>85</v>
      </c>
      <c r="D139" s="16">
        <v>50</v>
      </c>
      <c r="E139" s="17">
        <v>1246.52</v>
      </c>
      <c r="F139" s="16">
        <v>0.01</v>
      </c>
      <c r="G139" s="15" t="s">
        <v>32</v>
      </c>
      <c r="H139" s="18">
        <v>52.478999999999999</v>
      </c>
      <c r="I139" s="19">
        <v>24.92</v>
      </c>
      <c r="J139" s="19">
        <v>12.98</v>
      </c>
      <c r="K139" s="19" t="s">
        <v>44</v>
      </c>
      <c r="L139" s="19" t="s">
        <v>89</v>
      </c>
      <c r="M139" s="15" t="s">
        <v>90</v>
      </c>
      <c r="N139" s="15" t="s">
        <v>36</v>
      </c>
      <c r="O139" s="15" t="s">
        <v>170</v>
      </c>
      <c r="P139" s="20" t="s">
        <v>171</v>
      </c>
      <c r="Q139" s="15" t="s">
        <v>83</v>
      </c>
      <c r="R139" s="4"/>
      <c r="S139" s="4"/>
    </row>
    <row r="140" spans="1:19" ht="21" customHeight="1" x14ac:dyDescent="0.25">
      <c r="A140" s="14">
        <f>DATE(2012,12,31)-943</f>
        <v>40331</v>
      </c>
      <c r="B140" s="15" t="s">
        <v>343</v>
      </c>
      <c r="C140" s="15" t="s">
        <v>51</v>
      </c>
      <c r="D140" s="16">
        <v>40</v>
      </c>
      <c r="E140" s="17">
        <v>676.13</v>
      </c>
      <c r="F140" s="16">
        <v>0.03</v>
      </c>
      <c r="G140" s="15" t="s">
        <v>32</v>
      </c>
      <c r="H140" s="18">
        <v>45.39</v>
      </c>
      <c r="I140" s="19">
        <v>15.98</v>
      </c>
      <c r="J140" s="19">
        <v>6.5</v>
      </c>
      <c r="K140" s="19" t="s">
        <v>44</v>
      </c>
      <c r="L140" s="19" t="s">
        <v>89</v>
      </c>
      <c r="M140" s="15" t="s">
        <v>90</v>
      </c>
      <c r="N140" s="15" t="s">
        <v>64</v>
      </c>
      <c r="O140" s="15" t="s">
        <v>72</v>
      </c>
      <c r="P140" s="20" t="s">
        <v>344</v>
      </c>
      <c r="Q140" s="15" t="s">
        <v>83</v>
      </c>
      <c r="R140" s="4"/>
      <c r="S140" s="4"/>
    </row>
    <row r="141" spans="1:19" ht="21" customHeight="1" x14ac:dyDescent="0.25">
      <c r="A141" s="14">
        <f>DATE(2012,12,31)-943</f>
        <v>40331</v>
      </c>
      <c r="B141" s="15" t="s">
        <v>343</v>
      </c>
      <c r="C141" s="15" t="s">
        <v>51</v>
      </c>
      <c r="D141" s="16">
        <v>26</v>
      </c>
      <c r="E141" s="17">
        <v>7668.55</v>
      </c>
      <c r="F141" s="16">
        <v>0.04</v>
      </c>
      <c r="G141" s="15" t="s">
        <v>58</v>
      </c>
      <c r="H141" s="18">
        <v>-715.7782060000003</v>
      </c>
      <c r="I141" s="19">
        <v>296.18</v>
      </c>
      <c r="J141" s="19">
        <v>54.12</v>
      </c>
      <c r="K141" s="19" t="s">
        <v>33</v>
      </c>
      <c r="L141" s="19" t="s">
        <v>59</v>
      </c>
      <c r="M141" s="15" t="s">
        <v>60</v>
      </c>
      <c r="N141" s="15" t="s">
        <v>54</v>
      </c>
      <c r="O141" s="15" t="s">
        <v>61</v>
      </c>
      <c r="P141" s="20" t="s">
        <v>345</v>
      </c>
      <c r="Q141" s="15" t="s">
        <v>63</v>
      </c>
      <c r="R141" s="4"/>
      <c r="S141" s="4"/>
    </row>
    <row r="142" spans="1:19" ht="21" customHeight="1" x14ac:dyDescent="0.25">
      <c r="A142" s="14">
        <f>DATE(2012,12,31)-1188</f>
        <v>40086</v>
      </c>
      <c r="B142" s="15" t="s">
        <v>346</v>
      </c>
      <c r="C142" s="15" t="s">
        <v>43</v>
      </c>
      <c r="D142" s="16">
        <v>29</v>
      </c>
      <c r="E142" s="17">
        <v>1193.6500000000001</v>
      </c>
      <c r="F142" s="16">
        <v>7.0000000000000007E-2</v>
      </c>
      <c r="G142" s="15" t="s">
        <v>32</v>
      </c>
      <c r="H142" s="18">
        <v>507.57749999999999</v>
      </c>
      <c r="I142" s="19">
        <v>40.98</v>
      </c>
      <c r="J142" s="19">
        <v>2.99</v>
      </c>
      <c r="K142" s="19" t="s">
        <v>97</v>
      </c>
      <c r="L142" s="19" t="s">
        <v>98</v>
      </c>
      <c r="M142" s="15" t="s">
        <v>99</v>
      </c>
      <c r="N142" s="15" t="s">
        <v>36</v>
      </c>
      <c r="O142" s="15" t="s">
        <v>170</v>
      </c>
      <c r="P142" s="20" t="s">
        <v>347</v>
      </c>
      <c r="Q142" s="15" t="s">
        <v>83</v>
      </c>
      <c r="R142" s="4"/>
      <c r="S142" s="4"/>
    </row>
    <row r="143" spans="1:19" ht="21" customHeight="1" x14ac:dyDescent="0.25">
      <c r="A143" s="14">
        <f>DATE(2012,12,31)-1254</f>
        <v>40020</v>
      </c>
      <c r="B143" s="15" t="s">
        <v>348</v>
      </c>
      <c r="C143" s="15" t="s">
        <v>43</v>
      </c>
      <c r="D143" s="16">
        <v>10</v>
      </c>
      <c r="E143" s="17">
        <v>1925.83</v>
      </c>
      <c r="F143" s="16">
        <v>0.09</v>
      </c>
      <c r="G143" s="15" t="s">
        <v>32</v>
      </c>
      <c r="H143" s="18">
        <v>359.83</v>
      </c>
      <c r="I143" s="19">
        <v>207.48</v>
      </c>
      <c r="J143" s="19">
        <v>0.99</v>
      </c>
      <c r="K143" s="19" t="s">
        <v>124</v>
      </c>
      <c r="L143" s="19" t="s">
        <v>160</v>
      </c>
      <c r="M143" s="15" t="s">
        <v>161</v>
      </c>
      <c r="N143" s="15" t="s">
        <v>36</v>
      </c>
      <c r="O143" s="15" t="s">
        <v>176</v>
      </c>
      <c r="P143" s="20" t="s">
        <v>349</v>
      </c>
      <c r="Q143" s="15" t="s">
        <v>83</v>
      </c>
      <c r="R143" s="4"/>
      <c r="S143" s="4"/>
    </row>
    <row r="144" spans="1:19" ht="21" customHeight="1" x14ac:dyDescent="0.25">
      <c r="A144" s="14">
        <f>DATE(2012,12,31)-671</f>
        <v>40603</v>
      </c>
      <c r="B144" s="15" t="s">
        <v>350</v>
      </c>
      <c r="C144" s="15" t="s">
        <v>31</v>
      </c>
      <c r="D144" s="16">
        <v>21</v>
      </c>
      <c r="E144" s="17">
        <v>1222.68</v>
      </c>
      <c r="F144" s="16">
        <v>0.06</v>
      </c>
      <c r="G144" s="15" t="s">
        <v>101</v>
      </c>
      <c r="H144" s="18">
        <v>300.97000000000003</v>
      </c>
      <c r="I144" s="19">
        <v>59.98</v>
      </c>
      <c r="J144" s="19">
        <v>3.99</v>
      </c>
      <c r="K144" s="19" t="s">
        <v>124</v>
      </c>
      <c r="L144" s="19" t="s">
        <v>160</v>
      </c>
      <c r="M144" s="15" t="s">
        <v>161</v>
      </c>
      <c r="N144" s="15" t="s">
        <v>36</v>
      </c>
      <c r="O144" s="15" t="s">
        <v>176</v>
      </c>
      <c r="P144" s="20" t="s">
        <v>351</v>
      </c>
      <c r="Q144" s="15" t="s">
        <v>83</v>
      </c>
      <c r="R144" s="4"/>
      <c r="S144" s="4"/>
    </row>
    <row r="145" spans="1:19" ht="21" customHeight="1" x14ac:dyDescent="0.25">
      <c r="A145" s="14">
        <f>DATE(2012,12,31)-671</f>
        <v>40603</v>
      </c>
      <c r="B145" s="15" t="s">
        <v>350</v>
      </c>
      <c r="C145" s="15" t="s">
        <v>31</v>
      </c>
      <c r="D145" s="16">
        <v>26</v>
      </c>
      <c r="E145" s="17">
        <v>390.2</v>
      </c>
      <c r="F145" s="16">
        <v>0.02</v>
      </c>
      <c r="G145" s="15" t="s">
        <v>101</v>
      </c>
      <c r="H145" s="18">
        <v>45</v>
      </c>
      <c r="I145" s="19">
        <v>14.58</v>
      </c>
      <c r="J145" s="19">
        <v>7.4</v>
      </c>
      <c r="K145" s="19" t="s">
        <v>124</v>
      </c>
      <c r="L145" s="19" t="s">
        <v>164</v>
      </c>
      <c r="M145" s="15" t="s">
        <v>165</v>
      </c>
      <c r="N145" s="15" t="s">
        <v>54</v>
      </c>
      <c r="O145" s="15" t="s">
        <v>55</v>
      </c>
      <c r="P145" s="20" t="s">
        <v>352</v>
      </c>
      <c r="Q145" s="15" t="s">
        <v>83</v>
      </c>
      <c r="R145" s="4"/>
      <c r="S145" s="4"/>
    </row>
    <row r="146" spans="1:19" ht="21" customHeight="1" x14ac:dyDescent="0.25">
      <c r="A146" s="14">
        <f>DATE(2012,12,31)-91</f>
        <v>41183</v>
      </c>
      <c r="B146" s="15" t="s">
        <v>353</v>
      </c>
      <c r="C146" s="15" t="s">
        <v>51</v>
      </c>
      <c r="D146" s="16">
        <v>21</v>
      </c>
      <c r="E146" s="17">
        <v>227.66</v>
      </c>
      <c r="F146" s="16">
        <v>0.04</v>
      </c>
      <c r="G146" s="15" t="s">
        <v>32</v>
      </c>
      <c r="H146" s="18">
        <v>-100.16</v>
      </c>
      <c r="I146" s="19">
        <v>10.97</v>
      </c>
      <c r="J146" s="19">
        <v>6.5</v>
      </c>
      <c r="K146" s="19" t="s">
        <v>44</v>
      </c>
      <c r="L146" s="19" t="s">
        <v>52</v>
      </c>
      <c r="M146" s="15" t="s">
        <v>53</v>
      </c>
      <c r="N146" s="15" t="s">
        <v>64</v>
      </c>
      <c r="O146" s="15" t="s">
        <v>72</v>
      </c>
      <c r="P146" s="20" t="s">
        <v>354</v>
      </c>
      <c r="Q146" s="15" t="s">
        <v>83</v>
      </c>
      <c r="R146" s="4"/>
      <c r="S146" s="4"/>
    </row>
    <row r="147" spans="1:19" ht="21" customHeight="1" x14ac:dyDescent="0.25">
      <c r="A147" s="14">
        <f>DATE(2012,12,31)-91</f>
        <v>41183</v>
      </c>
      <c r="B147" s="15" t="s">
        <v>353</v>
      </c>
      <c r="C147" s="15" t="s">
        <v>51</v>
      </c>
      <c r="D147" s="16">
        <v>39</v>
      </c>
      <c r="E147" s="17">
        <v>84.33</v>
      </c>
      <c r="F147" s="16">
        <v>0.04</v>
      </c>
      <c r="G147" s="15" t="s">
        <v>32</v>
      </c>
      <c r="H147" s="18">
        <v>-64.290000000000006</v>
      </c>
      <c r="I147" s="19">
        <v>2.08</v>
      </c>
      <c r="J147" s="19">
        <v>2.56</v>
      </c>
      <c r="K147" s="19" t="s">
        <v>44</v>
      </c>
      <c r="L147" s="19" t="s">
        <v>52</v>
      </c>
      <c r="M147" s="15" t="s">
        <v>53</v>
      </c>
      <c r="N147" s="15" t="s">
        <v>36</v>
      </c>
      <c r="O147" s="15" t="s">
        <v>47</v>
      </c>
      <c r="P147" s="20" t="s">
        <v>48</v>
      </c>
      <c r="Q147" s="15" t="s">
        <v>49</v>
      </c>
      <c r="R147" s="4"/>
      <c r="S147" s="4"/>
    </row>
    <row r="148" spans="1:19" ht="21" customHeight="1" x14ac:dyDescent="0.25">
      <c r="A148" s="14">
        <f>DATE(2012,12,31)-1111</f>
        <v>40163</v>
      </c>
      <c r="B148" s="15" t="s">
        <v>355</v>
      </c>
      <c r="C148" s="15" t="s">
        <v>85</v>
      </c>
      <c r="D148" s="16">
        <v>22</v>
      </c>
      <c r="E148" s="17">
        <v>922.39</v>
      </c>
      <c r="F148" s="16">
        <v>0.03</v>
      </c>
      <c r="G148" s="15" t="s">
        <v>101</v>
      </c>
      <c r="H148" s="18">
        <v>-41.64</v>
      </c>
      <c r="I148" s="19">
        <v>41.32</v>
      </c>
      <c r="J148" s="19">
        <v>58.66</v>
      </c>
      <c r="K148" s="19" t="s">
        <v>44</v>
      </c>
      <c r="L148" s="19" t="s">
        <v>52</v>
      </c>
      <c r="M148" s="15" t="s">
        <v>53</v>
      </c>
      <c r="N148" s="15" t="s">
        <v>54</v>
      </c>
      <c r="O148" s="15" t="s">
        <v>55</v>
      </c>
      <c r="P148" s="20" t="s">
        <v>298</v>
      </c>
      <c r="Q148" s="15" t="s">
        <v>57</v>
      </c>
      <c r="R148" s="4"/>
      <c r="S148" s="4"/>
    </row>
    <row r="149" spans="1:19" ht="21" customHeight="1" x14ac:dyDescent="0.25">
      <c r="A149" s="14">
        <f>DATE(2012,12,31)-1111</f>
        <v>40163</v>
      </c>
      <c r="B149" s="15" t="s">
        <v>355</v>
      </c>
      <c r="C149" s="15" t="s">
        <v>85</v>
      </c>
      <c r="D149" s="16">
        <v>11</v>
      </c>
      <c r="E149" s="17">
        <v>79.19</v>
      </c>
      <c r="F149" s="16">
        <v>0</v>
      </c>
      <c r="G149" s="15" t="s">
        <v>32</v>
      </c>
      <c r="H149" s="18">
        <v>13.91</v>
      </c>
      <c r="I149" s="19">
        <v>6.88</v>
      </c>
      <c r="J149" s="19">
        <v>2</v>
      </c>
      <c r="K149" s="19" t="s">
        <v>44</v>
      </c>
      <c r="L149" s="19" t="s">
        <v>52</v>
      </c>
      <c r="M149" s="15" t="s">
        <v>53</v>
      </c>
      <c r="N149" s="15" t="s">
        <v>36</v>
      </c>
      <c r="O149" s="15" t="s">
        <v>117</v>
      </c>
      <c r="P149" s="20" t="s">
        <v>356</v>
      </c>
      <c r="Q149" s="15" t="s">
        <v>79</v>
      </c>
      <c r="R149" s="4"/>
      <c r="S149" s="4"/>
    </row>
    <row r="150" spans="1:19" ht="21" customHeight="1" x14ac:dyDescent="0.25">
      <c r="A150" s="14">
        <f>DATE(2012,12,31)-149</f>
        <v>41125</v>
      </c>
      <c r="B150" s="15" t="s">
        <v>357</v>
      </c>
      <c r="C150" s="15" t="s">
        <v>43</v>
      </c>
      <c r="D150" s="16">
        <v>15</v>
      </c>
      <c r="E150" s="17">
        <v>80.61</v>
      </c>
      <c r="F150" s="16">
        <v>0.02</v>
      </c>
      <c r="G150" s="15" t="s">
        <v>32</v>
      </c>
      <c r="H150" s="18">
        <v>-4.7149999999999999</v>
      </c>
      <c r="I150" s="19">
        <v>5.28</v>
      </c>
      <c r="J150" s="19">
        <v>2.99</v>
      </c>
      <c r="K150" s="19" t="s">
        <v>44</v>
      </c>
      <c r="L150" s="19" t="s">
        <v>89</v>
      </c>
      <c r="M150" s="15" t="s">
        <v>90</v>
      </c>
      <c r="N150" s="15" t="s">
        <v>36</v>
      </c>
      <c r="O150" s="15" t="s">
        <v>170</v>
      </c>
      <c r="P150" s="20" t="s">
        <v>358</v>
      </c>
      <c r="Q150" s="15" t="s">
        <v>83</v>
      </c>
      <c r="R150" s="4"/>
      <c r="S150" s="4"/>
    </row>
    <row r="151" spans="1:19" ht="21" customHeight="1" x14ac:dyDescent="0.25">
      <c r="A151" s="14">
        <f>DATE(2012,12,31)-1198</f>
        <v>40076</v>
      </c>
      <c r="B151" s="15" t="s">
        <v>359</v>
      </c>
      <c r="C151" s="15" t="s">
        <v>85</v>
      </c>
      <c r="D151" s="16">
        <v>46</v>
      </c>
      <c r="E151" s="17">
        <v>605.97</v>
      </c>
      <c r="F151" s="16">
        <v>7.0000000000000007E-2</v>
      </c>
      <c r="G151" s="15" t="s">
        <v>32</v>
      </c>
      <c r="H151" s="18">
        <v>-22.72</v>
      </c>
      <c r="I151" s="19">
        <v>13.73</v>
      </c>
      <c r="J151" s="19">
        <v>6.85</v>
      </c>
      <c r="K151" s="19" t="s">
        <v>44</v>
      </c>
      <c r="L151" s="19" t="s">
        <v>89</v>
      </c>
      <c r="M151" s="15" t="s">
        <v>90</v>
      </c>
      <c r="N151" s="15" t="s">
        <v>54</v>
      </c>
      <c r="O151" s="15" t="s">
        <v>55</v>
      </c>
      <c r="P151" s="20" t="s">
        <v>360</v>
      </c>
      <c r="Q151" s="15" t="s">
        <v>79</v>
      </c>
      <c r="R151" s="4"/>
      <c r="S151" s="4"/>
    </row>
    <row r="152" spans="1:19" ht="21" customHeight="1" x14ac:dyDescent="0.25">
      <c r="A152" s="14">
        <f>DATE(2012,12,31)-1336</f>
        <v>39938</v>
      </c>
      <c r="B152" s="15" t="s">
        <v>361</v>
      </c>
      <c r="C152" s="15" t="s">
        <v>31</v>
      </c>
      <c r="D152" s="16">
        <v>33</v>
      </c>
      <c r="E152" s="17">
        <v>4064.05</v>
      </c>
      <c r="F152" s="16">
        <v>0.06</v>
      </c>
      <c r="G152" s="15" t="s">
        <v>32</v>
      </c>
      <c r="H152" s="18">
        <v>1408.1865</v>
      </c>
      <c r="I152" s="19">
        <v>122.99</v>
      </c>
      <c r="J152" s="19">
        <v>19.989999999999998</v>
      </c>
      <c r="K152" s="19" t="s">
        <v>33</v>
      </c>
      <c r="L152" s="19" t="s">
        <v>34</v>
      </c>
      <c r="M152" s="15" t="s">
        <v>35</v>
      </c>
      <c r="N152" s="15" t="s">
        <v>36</v>
      </c>
      <c r="O152" s="15" t="s">
        <v>170</v>
      </c>
      <c r="P152" s="20" t="s">
        <v>362</v>
      </c>
      <c r="Q152" s="15" t="s">
        <v>83</v>
      </c>
      <c r="R152" s="4"/>
      <c r="S152" s="4"/>
    </row>
    <row r="153" spans="1:19" ht="21" customHeight="1" x14ac:dyDescent="0.25">
      <c r="A153" s="14">
        <f>DATE(2012,12,31)-1336</f>
        <v>39938</v>
      </c>
      <c r="B153" s="15" t="s">
        <v>361</v>
      </c>
      <c r="C153" s="15" t="s">
        <v>31</v>
      </c>
      <c r="D153" s="16">
        <v>47</v>
      </c>
      <c r="E153" s="17">
        <v>3213.87</v>
      </c>
      <c r="F153" s="16">
        <v>0.08</v>
      </c>
      <c r="G153" s="15" t="s">
        <v>58</v>
      </c>
      <c r="H153" s="18">
        <v>-1069.72</v>
      </c>
      <c r="I153" s="19">
        <v>68.81</v>
      </c>
      <c r="J153" s="19">
        <v>60</v>
      </c>
      <c r="K153" s="19" t="s">
        <v>33</v>
      </c>
      <c r="L153" s="19" t="s">
        <v>59</v>
      </c>
      <c r="M153" s="15" t="s">
        <v>60</v>
      </c>
      <c r="N153" s="15" t="s">
        <v>36</v>
      </c>
      <c r="O153" s="15" t="s">
        <v>176</v>
      </c>
      <c r="P153" s="20" t="s">
        <v>363</v>
      </c>
      <c r="Q153" s="15" t="s">
        <v>181</v>
      </c>
      <c r="R153" s="4"/>
      <c r="S153" s="4"/>
    </row>
    <row r="154" spans="1:19" ht="21" customHeight="1" x14ac:dyDescent="0.25">
      <c r="A154" s="14">
        <f>DATE(2012,12,31)-592</f>
        <v>40682</v>
      </c>
      <c r="B154" s="15" t="s">
        <v>364</v>
      </c>
      <c r="C154" s="15" t="s">
        <v>85</v>
      </c>
      <c r="D154" s="16">
        <v>50</v>
      </c>
      <c r="E154" s="17">
        <v>315.02</v>
      </c>
      <c r="F154" s="16">
        <v>0.02</v>
      </c>
      <c r="G154" s="15" t="s">
        <v>32</v>
      </c>
      <c r="H154" s="18">
        <v>95.157499999999999</v>
      </c>
      <c r="I154" s="19">
        <v>5.98</v>
      </c>
      <c r="J154" s="19">
        <v>1.49</v>
      </c>
      <c r="K154" s="19" t="s">
        <v>33</v>
      </c>
      <c r="L154" s="19" t="s">
        <v>59</v>
      </c>
      <c r="M154" s="15" t="s">
        <v>60</v>
      </c>
      <c r="N154" s="15" t="s">
        <v>36</v>
      </c>
      <c r="O154" s="15" t="s">
        <v>170</v>
      </c>
      <c r="P154" s="20" t="s">
        <v>365</v>
      </c>
      <c r="Q154" s="15" t="s">
        <v>83</v>
      </c>
      <c r="R154" s="4"/>
      <c r="S154" s="4"/>
    </row>
    <row r="155" spans="1:19" ht="21" customHeight="1" x14ac:dyDescent="0.25">
      <c r="A155" s="14">
        <f>DATE(2012,12,31)-592</f>
        <v>40682</v>
      </c>
      <c r="B155" s="15" t="s">
        <v>364</v>
      </c>
      <c r="C155" s="15" t="s">
        <v>85</v>
      </c>
      <c r="D155" s="16">
        <v>4</v>
      </c>
      <c r="E155" s="17">
        <v>40.020000000000003</v>
      </c>
      <c r="F155" s="16">
        <v>0.02</v>
      </c>
      <c r="G155" s="15" t="s">
        <v>32</v>
      </c>
      <c r="H155" s="18">
        <v>-1.28</v>
      </c>
      <c r="I155" s="19">
        <v>9.93</v>
      </c>
      <c r="J155" s="19">
        <v>1.0900000000000001</v>
      </c>
      <c r="K155" s="19" t="s">
        <v>69</v>
      </c>
      <c r="L155" s="19" t="s">
        <v>70</v>
      </c>
      <c r="M155" s="15" t="s">
        <v>71</v>
      </c>
      <c r="N155" s="15" t="s">
        <v>36</v>
      </c>
      <c r="O155" s="15" t="s">
        <v>77</v>
      </c>
      <c r="P155" s="20" t="s">
        <v>366</v>
      </c>
      <c r="Q155" s="15" t="s">
        <v>79</v>
      </c>
      <c r="R155" s="4"/>
      <c r="S155" s="4"/>
    </row>
    <row r="156" spans="1:19" ht="21" customHeight="1" x14ac:dyDescent="0.25">
      <c r="A156" s="14">
        <f>DATE(2012,12,31)-597</f>
        <v>40677</v>
      </c>
      <c r="B156" s="15" t="s">
        <v>367</v>
      </c>
      <c r="C156" s="15" t="s">
        <v>31</v>
      </c>
      <c r="D156" s="16">
        <v>42</v>
      </c>
      <c r="E156" s="17">
        <v>11230.25</v>
      </c>
      <c r="F156" s="16">
        <v>7.0000000000000007E-2</v>
      </c>
      <c r="G156" s="15" t="s">
        <v>58</v>
      </c>
      <c r="H156" s="18">
        <v>-679.0443660000002</v>
      </c>
      <c r="I156" s="19">
        <v>280.98</v>
      </c>
      <c r="J156" s="19">
        <v>35.67</v>
      </c>
      <c r="K156" s="19" t="s">
        <v>69</v>
      </c>
      <c r="L156" s="19" t="s">
        <v>70</v>
      </c>
      <c r="M156" s="15" t="s">
        <v>71</v>
      </c>
      <c r="N156" s="15" t="s">
        <v>54</v>
      </c>
      <c r="O156" s="15" t="s">
        <v>61</v>
      </c>
      <c r="P156" s="20" t="s">
        <v>368</v>
      </c>
      <c r="Q156" s="15" t="s">
        <v>63</v>
      </c>
      <c r="R156" s="4"/>
      <c r="S156" s="4"/>
    </row>
    <row r="157" spans="1:19" ht="21" customHeight="1" x14ac:dyDescent="0.25">
      <c r="A157" s="14">
        <f>DATE(2012,12,31)-194</f>
        <v>41080</v>
      </c>
      <c r="B157" s="15" t="s">
        <v>369</v>
      </c>
      <c r="C157" s="15" t="s">
        <v>85</v>
      </c>
      <c r="D157" s="16">
        <v>6</v>
      </c>
      <c r="E157" s="17">
        <v>90.56</v>
      </c>
      <c r="F157" s="16">
        <v>0.03</v>
      </c>
      <c r="G157" s="15" t="s">
        <v>32</v>
      </c>
      <c r="H157" s="18">
        <v>-37.584000000000003</v>
      </c>
      <c r="I157" s="19">
        <v>13.99</v>
      </c>
      <c r="J157" s="19">
        <v>7.51</v>
      </c>
      <c r="K157" s="19" t="s">
        <v>44</v>
      </c>
      <c r="L157" s="19" t="s">
        <v>89</v>
      </c>
      <c r="M157" s="15" t="s">
        <v>90</v>
      </c>
      <c r="N157" s="15" t="s">
        <v>64</v>
      </c>
      <c r="O157" s="15" t="s">
        <v>122</v>
      </c>
      <c r="P157" s="20" t="s">
        <v>370</v>
      </c>
      <c r="Q157" s="15" t="s">
        <v>57</v>
      </c>
      <c r="R157" s="4"/>
      <c r="S157" s="4"/>
    </row>
    <row r="158" spans="1:19" ht="21" customHeight="1" x14ac:dyDescent="0.25">
      <c r="A158" s="14">
        <f>DATE(2012,12,31)-194</f>
        <v>41080</v>
      </c>
      <c r="B158" s="15" t="s">
        <v>369</v>
      </c>
      <c r="C158" s="15" t="s">
        <v>85</v>
      </c>
      <c r="D158" s="16">
        <v>42</v>
      </c>
      <c r="E158" s="17">
        <v>1634.9</v>
      </c>
      <c r="F158" s="16">
        <v>0.01</v>
      </c>
      <c r="G158" s="15" t="s">
        <v>32</v>
      </c>
      <c r="H158" s="18">
        <v>502.42</v>
      </c>
      <c r="I158" s="19">
        <v>37.74</v>
      </c>
      <c r="J158" s="19">
        <v>2.9</v>
      </c>
      <c r="K158" s="19" t="s">
        <v>44</v>
      </c>
      <c r="L158" s="19" t="s">
        <v>89</v>
      </c>
      <c r="M158" s="15" t="s">
        <v>90</v>
      </c>
      <c r="N158" s="15" t="s">
        <v>36</v>
      </c>
      <c r="O158" s="15" t="s">
        <v>77</v>
      </c>
      <c r="P158" s="20" t="s">
        <v>371</v>
      </c>
      <c r="Q158" s="15" t="s">
        <v>49</v>
      </c>
      <c r="R158" s="4"/>
      <c r="S158" s="4"/>
    </row>
    <row r="159" spans="1:19" ht="21" customHeight="1" x14ac:dyDescent="0.25">
      <c r="A159" s="14">
        <f>DATE(2012,12,31)-194</f>
        <v>41080</v>
      </c>
      <c r="B159" s="15" t="s">
        <v>369</v>
      </c>
      <c r="C159" s="15" t="s">
        <v>85</v>
      </c>
      <c r="D159" s="16">
        <v>48</v>
      </c>
      <c r="E159" s="17">
        <v>11278.18</v>
      </c>
      <c r="F159" s="16">
        <v>0.01</v>
      </c>
      <c r="G159" s="15" t="s">
        <v>58</v>
      </c>
      <c r="H159" s="18">
        <v>1836.81</v>
      </c>
      <c r="I159" s="19">
        <v>227.55</v>
      </c>
      <c r="J159" s="19">
        <v>32.479999999999997</v>
      </c>
      <c r="K159" s="19" t="s">
        <v>44</v>
      </c>
      <c r="L159" s="19" t="s">
        <v>80</v>
      </c>
      <c r="M159" s="15" t="s">
        <v>81</v>
      </c>
      <c r="N159" s="15" t="s">
        <v>54</v>
      </c>
      <c r="O159" s="15" t="s">
        <v>61</v>
      </c>
      <c r="P159" s="20" t="s">
        <v>372</v>
      </c>
      <c r="Q159" s="15" t="s">
        <v>63</v>
      </c>
      <c r="R159" s="4"/>
      <c r="S159" s="4"/>
    </row>
    <row r="160" spans="1:19" ht="21" customHeight="1" x14ac:dyDescent="0.25">
      <c r="A160" s="14">
        <f>DATE(2012,12,31)-1352</f>
        <v>39922</v>
      </c>
      <c r="B160" s="15" t="s">
        <v>373</v>
      </c>
      <c r="C160" s="15" t="s">
        <v>31</v>
      </c>
      <c r="D160" s="16">
        <v>38</v>
      </c>
      <c r="E160" s="17">
        <v>132.07</v>
      </c>
      <c r="F160" s="16">
        <v>0.06</v>
      </c>
      <c r="G160" s="15" t="s">
        <v>32</v>
      </c>
      <c r="H160" s="18">
        <v>14</v>
      </c>
      <c r="I160" s="19">
        <v>3.58</v>
      </c>
      <c r="J160" s="19">
        <v>1.63</v>
      </c>
      <c r="K160" s="19" t="s">
        <v>44</v>
      </c>
      <c r="L160" s="19" t="s">
        <v>120</v>
      </c>
      <c r="M160" s="15" t="s">
        <v>121</v>
      </c>
      <c r="N160" s="15" t="s">
        <v>36</v>
      </c>
      <c r="O160" s="15" t="s">
        <v>105</v>
      </c>
      <c r="P160" s="20" t="s">
        <v>374</v>
      </c>
      <c r="Q160" s="15" t="s">
        <v>79</v>
      </c>
      <c r="R160" s="4"/>
      <c r="S160" s="4"/>
    </row>
    <row r="161" spans="1:19" ht="21" customHeight="1" x14ac:dyDescent="0.25">
      <c r="A161" s="14">
        <f>DATE(2012,12,31)-581</f>
        <v>40693</v>
      </c>
      <c r="B161" s="15" t="s">
        <v>327</v>
      </c>
      <c r="C161" s="15" t="s">
        <v>85</v>
      </c>
      <c r="D161" s="16">
        <v>46</v>
      </c>
      <c r="E161" s="17">
        <v>1815.49</v>
      </c>
      <c r="F161" s="16">
        <v>0.03</v>
      </c>
      <c r="G161" s="15" t="s">
        <v>32</v>
      </c>
      <c r="H161" s="18">
        <v>782.91</v>
      </c>
      <c r="I161" s="19">
        <v>39.89</v>
      </c>
      <c r="J161" s="19">
        <v>3.04</v>
      </c>
      <c r="K161" s="19" t="s">
        <v>44</v>
      </c>
      <c r="L161" s="19" t="s">
        <v>120</v>
      </c>
      <c r="M161" s="15" t="s">
        <v>121</v>
      </c>
      <c r="N161" s="15" t="s">
        <v>54</v>
      </c>
      <c r="O161" s="15" t="s">
        <v>55</v>
      </c>
      <c r="P161" s="20" t="s">
        <v>375</v>
      </c>
      <c r="Q161" s="15" t="s">
        <v>79</v>
      </c>
      <c r="R161" s="4"/>
      <c r="S161" s="4"/>
    </row>
    <row r="162" spans="1:19" ht="21" customHeight="1" x14ac:dyDescent="0.25">
      <c r="A162" s="14">
        <f>DATE(2012,12,31)-1132</f>
        <v>40142</v>
      </c>
      <c r="B162" s="15" t="s">
        <v>376</v>
      </c>
      <c r="C162" s="15" t="s">
        <v>43</v>
      </c>
      <c r="D162" s="16">
        <v>16</v>
      </c>
      <c r="E162" s="17">
        <v>248.26</v>
      </c>
      <c r="F162" s="16">
        <v>7.0000000000000007E-2</v>
      </c>
      <c r="G162" s="15" t="s">
        <v>32</v>
      </c>
      <c r="H162" s="18">
        <v>93.8</v>
      </c>
      <c r="I162" s="19">
        <v>15.74</v>
      </c>
      <c r="J162" s="19">
        <v>1.39</v>
      </c>
      <c r="K162" s="19" t="s">
        <v>44</v>
      </c>
      <c r="L162" s="19" t="s">
        <v>89</v>
      </c>
      <c r="M162" s="15" t="s">
        <v>90</v>
      </c>
      <c r="N162" s="15" t="s">
        <v>36</v>
      </c>
      <c r="O162" s="15" t="s">
        <v>189</v>
      </c>
      <c r="P162" s="20" t="s">
        <v>377</v>
      </c>
      <c r="Q162" s="15" t="s">
        <v>83</v>
      </c>
      <c r="R162" s="4"/>
      <c r="S162" s="4"/>
    </row>
    <row r="163" spans="1:19" ht="21" customHeight="1" x14ac:dyDescent="0.25">
      <c r="A163" s="14">
        <f>DATE(2012,12,31)-849</f>
        <v>40425</v>
      </c>
      <c r="B163" s="15" t="s">
        <v>378</v>
      </c>
      <c r="C163" s="15" t="s">
        <v>31</v>
      </c>
      <c r="D163" s="16">
        <v>6</v>
      </c>
      <c r="E163" s="17">
        <v>583.64</v>
      </c>
      <c r="F163" s="16">
        <v>0.08</v>
      </c>
      <c r="G163" s="15" t="s">
        <v>32</v>
      </c>
      <c r="H163" s="18">
        <v>-179.5</v>
      </c>
      <c r="I163" s="19">
        <v>95.43</v>
      </c>
      <c r="J163" s="19">
        <v>19.989999999999998</v>
      </c>
      <c r="K163" s="19" t="s">
        <v>97</v>
      </c>
      <c r="L163" s="19" t="s">
        <v>195</v>
      </c>
      <c r="M163" s="15" t="s">
        <v>196</v>
      </c>
      <c r="N163" s="15" t="s">
        <v>36</v>
      </c>
      <c r="O163" s="15" t="s">
        <v>37</v>
      </c>
      <c r="P163" s="20" t="s">
        <v>379</v>
      </c>
      <c r="Q163" s="15" t="s">
        <v>83</v>
      </c>
      <c r="R163" s="4"/>
      <c r="S163" s="4"/>
    </row>
    <row r="164" spans="1:19" ht="21" customHeight="1" x14ac:dyDescent="0.25">
      <c r="A164" s="14">
        <f>DATE(2012,12,31)-212</f>
        <v>41062</v>
      </c>
      <c r="B164" s="15" t="s">
        <v>380</v>
      </c>
      <c r="C164" s="15" t="s">
        <v>85</v>
      </c>
      <c r="D164" s="16">
        <v>19</v>
      </c>
      <c r="E164" s="17">
        <v>1406.15</v>
      </c>
      <c r="F164" s="16">
        <v>0.04</v>
      </c>
      <c r="G164" s="15" t="s">
        <v>58</v>
      </c>
      <c r="H164" s="18">
        <v>-379.1</v>
      </c>
      <c r="I164" s="19">
        <v>70.98</v>
      </c>
      <c r="J164" s="19">
        <v>46.74</v>
      </c>
      <c r="K164" s="19" t="s">
        <v>124</v>
      </c>
      <c r="L164" s="19" t="s">
        <v>160</v>
      </c>
      <c r="M164" s="15" t="s">
        <v>161</v>
      </c>
      <c r="N164" s="15" t="s">
        <v>54</v>
      </c>
      <c r="O164" s="15" t="s">
        <v>134</v>
      </c>
      <c r="P164" s="20" t="s">
        <v>381</v>
      </c>
      <c r="Q164" s="15" t="s">
        <v>63</v>
      </c>
      <c r="R164" s="4"/>
      <c r="S164" s="4"/>
    </row>
    <row r="165" spans="1:19" ht="21" customHeight="1" x14ac:dyDescent="0.25">
      <c r="A165" s="14">
        <f>DATE(2012,12,31)-1456</f>
        <v>39818</v>
      </c>
      <c r="B165" s="15" t="s">
        <v>240</v>
      </c>
      <c r="C165" s="15" t="s">
        <v>51</v>
      </c>
      <c r="D165" s="16">
        <v>6</v>
      </c>
      <c r="E165" s="17">
        <v>165.75</v>
      </c>
      <c r="F165" s="16">
        <v>0.03</v>
      </c>
      <c r="G165" s="15" t="s">
        <v>32</v>
      </c>
      <c r="H165" s="18">
        <v>-28.46</v>
      </c>
      <c r="I165" s="19">
        <v>28.48</v>
      </c>
      <c r="J165" s="19">
        <v>1.99</v>
      </c>
      <c r="K165" s="19" t="s">
        <v>124</v>
      </c>
      <c r="L165" s="19" t="s">
        <v>164</v>
      </c>
      <c r="M165" s="15" t="s">
        <v>165</v>
      </c>
      <c r="N165" s="15" t="s">
        <v>64</v>
      </c>
      <c r="O165" s="15" t="s">
        <v>72</v>
      </c>
      <c r="P165" s="20" t="s">
        <v>382</v>
      </c>
      <c r="Q165" s="15" t="s">
        <v>49</v>
      </c>
      <c r="R165" s="4"/>
      <c r="S165" s="4"/>
    </row>
    <row r="166" spans="1:19" ht="21" customHeight="1" x14ac:dyDescent="0.25">
      <c r="A166" s="14">
        <f>DATE(2012,12,31)-1456</f>
        <v>39818</v>
      </c>
      <c r="B166" s="15" t="s">
        <v>240</v>
      </c>
      <c r="C166" s="15" t="s">
        <v>51</v>
      </c>
      <c r="D166" s="16">
        <v>11</v>
      </c>
      <c r="E166" s="17">
        <v>2021.1470000000002</v>
      </c>
      <c r="F166" s="16">
        <v>0.01</v>
      </c>
      <c r="G166" s="15" t="s">
        <v>32</v>
      </c>
      <c r="H166" s="18">
        <v>-60.39</v>
      </c>
      <c r="I166" s="19">
        <v>205.99</v>
      </c>
      <c r="J166" s="19">
        <v>5.99</v>
      </c>
      <c r="K166" s="19" t="s">
        <v>124</v>
      </c>
      <c r="L166" s="19" t="s">
        <v>158</v>
      </c>
      <c r="M166" s="15" t="s">
        <v>158</v>
      </c>
      <c r="N166" s="15" t="s">
        <v>64</v>
      </c>
      <c r="O166" s="15" t="s">
        <v>65</v>
      </c>
      <c r="P166" s="20" t="s">
        <v>107</v>
      </c>
      <c r="Q166" s="15" t="s">
        <v>83</v>
      </c>
      <c r="R166" s="4"/>
      <c r="S166" s="4"/>
    </row>
    <row r="167" spans="1:19" ht="21" customHeight="1" x14ac:dyDescent="0.25">
      <c r="A167" s="14">
        <f>DATE(2012,12,31)-1218</f>
        <v>40056</v>
      </c>
      <c r="B167" s="15" t="s">
        <v>343</v>
      </c>
      <c r="C167" s="15" t="s">
        <v>85</v>
      </c>
      <c r="D167" s="16">
        <v>34</v>
      </c>
      <c r="E167" s="17">
        <v>226.1</v>
      </c>
      <c r="F167" s="16">
        <v>0</v>
      </c>
      <c r="G167" s="15" t="s">
        <v>32</v>
      </c>
      <c r="H167" s="18">
        <v>-52.21</v>
      </c>
      <c r="I167" s="19">
        <v>6.37</v>
      </c>
      <c r="J167" s="19">
        <v>5.19</v>
      </c>
      <c r="K167" s="19" t="s">
        <v>124</v>
      </c>
      <c r="L167" s="19" t="s">
        <v>319</v>
      </c>
      <c r="M167" s="15" t="s">
        <v>320</v>
      </c>
      <c r="N167" s="15" t="s">
        <v>36</v>
      </c>
      <c r="O167" s="15" t="s">
        <v>170</v>
      </c>
      <c r="P167" s="20" t="s">
        <v>383</v>
      </c>
      <c r="Q167" s="15" t="s">
        <v>83</v>
      </c>
      <c r="R167" s="4"/>
      <c r="S167" s="4"/>
    </row>
    <row r="168" spans="1:19" ht="21" customHeight="1" x14ac:dyDescent="0.25">
      <c r="A168" s="14">
        <f>DATE(2012,12,31)-316</f>
        <v>40958</v>
      </c>
      <c r="B168" s="15" t="s">
        <v>384</v>
      </c>
      <c r="C168" s="15" t="s">
        <v>85</v>
      </c>
      <c r="D168" s="16">
        <v>41</v>
      </c>
      <c r="E168" s="17">
        <v>341.36</v>
      </c>
      <c r="F168" s="16">
        <v>0.09</v>
      </c>
      <c r="G168" s="15" t="s">
        <v>32</v>
      </c>
      <c r="H168" s="18">
        <v>-52.48</v>
      </c>
      <c r="I168" s="19">
        <v>8.4600000000000009</v>
      </c>
      <c r="J168" s="19">
        <v>3.62</v>
      </c>
      <c r="K168" s="19" t="s">
        <v>44</v>
      </c>
      <c r="L168" s="19" t="s">
        <v>52</v>
      </c>
      <c r="M168" s="15" t="s">
        <v>53</v>
      </c>
      <c r="N168" s="15" t="s">
        <v>64</v>
      </c>
      <c r="O168" s="15" t="s">
        <v>72</v>
      </c>
      <c r="P168" s="20" t="s">
        <v>385</v>
      </c>
      <c r="Q168" s="15" t="s">
        <v>49</v>
      </c>
      <c r="R168" s="4"/>
      <c r="S168" s="4"/>
    </row>
    <row r="169" spans="1:19" ht="21" customHeight="1" x14ac:dyDescent="0.25">
      <c r="A169" s="14">
        <f>DATE(2012,12,31)-981</f>
        <v>40293</v>
      </c>
      <c r="B169" s="15" t="s">
        <v>386</v>
      </c>
      <c r="C169" s="15" t="s">
        <v>85</v>
      </c>
      <c r="D169" s="16">
        <v>3</v>
      </c>
      <c r="E169" s="17">
        <v>469.43799999999999</v>
      </c>
      <c r="F169" s="16">
        <v>7.0000000000000007E-2</v>
      </c>
      <c r="G169" s="15" t="s">
        <v>32</v>
      </c>
      <c r="H169" s="18">
        <v>-888.16199999999992</v>
      </c>
      <c r="I169" s="19">
        <v>195.99</v>
      </c>
      <c r="J169" s="19">
        <v>8.99</v>
      </c>
      <c r="K169" s="19" t="s">
        <v>44</v>
      </c>
      <c r="L169" s="19" t="s">
        <v>236</v>
      </c>
      <c r="M169" s="15" t="s">
        <v>237</v>
      </c>
      <c r="N169" s="15" t="s">
        <v>64</v>
      </c>
      <c r="O169" s="15" t="s">
        <v>65</v>
      </c>
      <c r="P169" s="20" t="s">
        <v>387</v>
      </c>
      <c r="Q169" s="15" t="s">
        <v>83</v>
      </c>
      <c r="R169" s="4"/>
      <c r="S169" s="4"/>
    </row>
    <row r="170" spans="1:19" ht="21" customHeight="1" x14ac:dyDescent="0.25">
      <c r="A170" s="14">
        <f>DATE(2012,12,31)-1404</f>
        <v>39870</v>
      </c>
      <c r="B170" s="15" t="s">
        <v>334</v>
      </c>
      <c r="C170" s="15" t="s">
        <v>85</v>
      </c>
      <c r="D170" s="16">
        <v>22</v>
      </c>
      <c r="E170" s="17">
        <v>127.33</v>
      </c>
      <c r="F170" s="16">
        <v>0.02</v>
      </c>
      <c r="G170" s="15" t="s">
        <v>32</v>
      </c>
      <c r="H170" s="18">
        <v>5.2955000000000005</v>
      </c>
      <c r="I170" s="19">
        <v>5.34</v>
      </c>
      <c r="J170" s="19">
        <v>2.99</v>
      </c>
      <c r="K170" s="19" t="s">
        <v>44</v>
      </c>
      <c r="L170" s="19" t="s">
        <v>52</v>
      </c>
      <c r="M170" s="15" t="s">
        <v>53</v>
      </c>
      <c r="N170" s="15" t="s">
        <v>36</v>
      </c>
      <c r="O170" s="15" t="s">
        <v>170</v>
      </c>
      <c r="P170" s="20" t="s">
        <v>388</v>
      </c>
      <c r="Q170" s="15" t="s">
        <v>83</v>
      </c>
      <c r="R170" s="4"/>
      <c r="S170" s="4"/>
    </row>
    <row r="171" spans="1:19" ht="21" customHeight="1" x14ac:dyDescent="0.25">
      <c r="A171" s="14">
        <f>DATE(2012,12,31)-1404</f>
        <v>39870</v>
      </c>
      <c r="B171" s="15" t="s">
        <v>334</v>
      </c>
      <c r="C171" s="15" t="s">
        <v>85</v>
      </c>
      <c r="D171" s="16">
        <v>24</v>
      </c>
      <c r="E171" s="17">
        <v>990.1</v>
      </c>
      <c r="F171" s="16">
        <v>0.03</v>
      </c>
      <c r="G171" s="15" t="s">
        <v>32</v>
      </c>
      <c r="H171" s="18">
        <v>310.21600000000001</v>
      </c>
      <c r="I171" s="19">
        <v>40.98</v>
      </c>
      <c r="J171" s="19">
        <v>7.47</v>
      </c>
      <c r="K171" s="19" t="s">
        <v>44</v>
      </c>
      <c r="L171" s="19" t="s">
        <v>80</v>
      </c>
      <c r="M171" s="15" t="s">
        <v>81</v>
      </c>
      <c r="N171" s="15" t="s">
        <v>36</v>
      </c>
      <c r="O171" s="15" t="s">
        <v>170</v>
      </c>
      <c r="P171" s="20" t="s">
        <v>389</v>
      </c>
      <c r="Q171" s="15" t="s">
        <v>83</v>
      </c>
      <c r="R171" s="4"/>
      <c r="S171" s="4"/>
    </row>
    <row r="172" spans="1:19" ht="21" customHeight="1" x14ac:dyDescent="0.25">
      <c r="A172" s="14">
        <f>DATE(2012,12,31)-1045</f>
        <v>40229</v>
      </c>
      <c r="B172" s="15" t="s">
        <v>390</v>
      </c>
      <c r="C172" s="15" t="s">
        <v>85</v>
      </c>
      <c r="D172" s="16">
        <v>30</v>
      </c>
      <c r="E172" s="17">
        <v>1187.55</v>
      </c>
      <c r="F172" s="16">
        <v>0</v>
      </c>
      <c r="G172" s="15" t="s">
        <v>32</v>
      </c>
      <c r="H172" s="18">
        <v>532.61</v>
      </c>
      <c r="I172" s="19">
        <v>37.700000000000003</v>
      </c>
      <c r="J172" s="19">
        <v>2.99</v>
      </c>
      <c r="K172" s="19" t="s">
        <v>69</v>
      </c>
      <c r="L172" s="19" t="s">
        <v>70</v>
      </c>
      <c r="M172" s="15" t="s">
        <v>71</v>
      </c>
      <c r="N172" s="15" t="s">
        <v>36</v>
      </c>
      <c r="O172" s="15" t="s">
        <v>170</v>
      </c>
      <c r="P172" s="20" t="s">
        <v>391</v>
      </c>
      <c r="Q172" s="15" t="s">
        <v>83</v>
      </c>
      <c r="R172" s="4"/>
      <c r="S172" s="4"/>
    </row>
    <row r="173" spans="1:19" ht="21" customHeight="1" x14ac:dyDescent="0.25">
      <c r="A173" s="14">
        <f>DATE(2012,12,31)-225</f>
        <v>41049</v>
      </c>
      <c r="B173" s="15" t="s">
        <v>392</v>
      </c>
      <c r="C173" s="15" t="s">
        <v>31</v>
      </c>
      <c r="D173" s="16">
        <v>13</v>
      </c>
      <c r="E173" s="17">
        <v>269.02</v>
      </c>
      <c r="F173" s="16">
        <v>0.1</v>
      </c>
      <c r="G173" s="15" t="s">
        <v>32</v>
      </c>
      <c r="H173" s="18">
        <v>-112</v>
      </c>
      <c r="I173" s="19">
        <v>20.97</v>
      </c>
      <c r="J173" s="19">
        <v>6.5</v>
      </c>
      <c r="K173" s="19" t="s">
        <v>33</v>
      </c>
      <c r="L173" s="19" t="s">
        <v>128</v>
      </c>
      <c r="M173" s="15" t="s">
        <v>129</v>
      </c>
      <c r="N173" s="15" t="s">
        <v>64</v>
      </c>
      <c r="O173" s="15" t="s">
        <v>72</v>
      </c>
      <c r="P173" s="20" t="s">
        <v>393</v>
      </c>
      <c r="Q173" s="15" t="s">
        <v>83</v>
      </c>
      <c r="R173" s="4"/>
      <c r="S173" s="4"/>
    </row>
    <row r="174" spans="1:19" ht="21" customHeight="1" x14ac:dyDescent="0.25">
      <c r="A174" s="14">
        <f>DATE(2012,12,31)-498</f>
        <v>40776</v>
      </c>
      <c r="B174" s="15" t="s">
        <v>394</v>
      </c>
      <c r="C174" s="15" t="s">
        <v>85</v>
      </c>
      <c r="D174" s="16">
        <v>28</v>
      </c>
      <c r="E174" s="17">
        <v>142.18</v>
      </c>
      <c r="F174" s="16">
        <v>7.0000000000000007E-2</v>
      </c>
      <c r="G174" s="15" t="s">
        <v>32</v>
      </c>
      <c r="H174" s="18">
        <v>-50.14</v>
      </c>
      <c r="I174" s="19">
        <v>4.9800000000000004</v>
      </c>
      <c r="J174" s="19">
        <v>4.72</v>
      </c>
      <c r="K174" s="19" t="s">
        <v>44</v>
      </c>
      <c r="L174" s="19" t="s">
        <v>45</v>
      </c>
      <c r="M174" s="15" t="s">
        <v>46</v>
      </c>
      <c r="N174" s="15" t="s">
        <v>36</v>
      </c>
      <c r="O174" s="15" t="s">
        <v>117</v>
      </c>
      <c r="P174" s="20" t="s">
        <v>308</v>
      </c>
      <c r="Q174" s="15" t="s">
        <v>83</v>
      </c>
      <c r="R174" s="4"/>
      <c r="S174" s="4"/>
    </row>
    <row r="175" spans="1:19" ht="21" customHeight="1" x14ac:dyDescent="0.25">
      <c r="A175" s="14">
        <f>DATE(2012,12,31)-470</f>
        <v>40804</v>
      </c>
      <c r="B175" s="15" t="s">
        <v>228</v>
      </c>
      <c r="C175" s="15" t="s">
        <v>43</v>
      </c>
      <c r="D175" s="16">
        <v>48</v>
      </c>
      <c r="E175" s="17">
        <v>5340.5</v>
      </c>
      <c r="F175" s="16">
        <v>0.01</v>
      </c>
      <c r="G175" s="15" t="s">
        <v>32</v>
      </c>
      <c r="H175" s="18">
        <v>1215.28</v>
      </c>
      <c r="I175" s="19">
        <v>110.98</v>
      </c>
      <c r="J175" s="19">
        <v>13.99</v>
      </c>
      <c r="K175" s="19" t="s">
        <v>33</v>
      </c>
      <c r="L175" s="19" t="s">
        <v>59</v>
      </c>
      <c r="M175" s="15" t="s">
        <v>60</v>
      </c>
      <c r="N175" s="15" t="s">
        <v>54</v>
      </c>
      <c r="O175" s="15" t="s">
        <v>55</v>
      </c>
      <c r="P175" s="20" t="s">
        <v>395</v>
      </c>
      <c r="Q175" s="15" t="s">
        <v>57</v>
      </c>
      <c r="R175" s="4"/>
      <c r="S175" s="4"/>
    </row>
    <row r="176" spans="1:19" ht="21" customHeight="1" x14ac:dyDescent="0.25">
      <c r="A176" s="14">
        <f>DATE(2012,12,31)-321</f>
        <v>40953</v>
      </c>
      <c r="B176" s="15" t="s">
        <v>396</v>
      </c>
      <c r="C176" s="15" t="s">
        <v>85</v>
      </c>
      <c r="D176" s="16">
        <v>44</v>
      </c>
      <c r="E176" s="17">
        <v>4462.2299999999996</v>
      </c>
      <c r="F176" s="16">
        <v>0.04</v>
      </c>
      <c r="G176" s="15" t="s">
        <v>58</v>
      </c>
      <c r="H176" s="18">
        <v>440.72</v>
      </c>
      <c r="I176" s="19">
        <v>100.98</v>
      </c>
      <c r="J176" s="19">
        <v>26.22</v>
      </c>
      <c r="K176" s="19" t="s">
        <v>44</v>
      </c>
      <c r="L176" s="19" t="s">
        <v>45</v>
      </c>
      <c r="M176" s="15" t="s">
        <v>46</v>
      </c>
      <c r="N176" s="15" t="s">
        <v>54</v>
      </c>
      <c r="O176" s="15" t="s">
        <v>134</v>
      </c>
      <c r="P176" s="20" t="s">
        <v>397</v>
      </c>
      <c r="Q176" s="15" t="s">
        <v>63</v>
      </c>
      <c r="R176" s="4"/>
      <c r="S176" s="4"/>
    </row>
    <row r="177" spans="1:19" ht="21" customHeight="1" x14ac:dyDescent="0.25">
      <c r="A177" s="14">
        <f>DATE(2012,12,31)-321</f>
        <v>40953</v>
      </c>
      <c r="B177" s="15" t="s">
        <v>398</v>
      </c>
      <c r="C177" s="15" t="s">
        <v>85</v>
      </c>
      <c r="D177" s="16">
        <v>11</v>
      </c>
      <c r="E177" s="17">
        <v>663.78400000000011</v>
      </c>
      <c r="F177" s="16">
        <v>0.25</v>
      </c>
      <c r="G177" s="15" t="s">
        <v>32</v>
      </c>
      <c r="H177" s="18">
        <v>-481.041</v>
      </c>
      <c r="I177" s="19">
        <v>71.37</v>
      </c>
      <c r="J177" s="19">
        <v>69</v>
      </c>
      <c r="K177" s="19" t="s">
        <v>44</v>
      </c>
      <c r="L177" s="19" t="s">
        <v>89</v>
      </c>
      <c r="M177" s="15" t="s">
        <v>90</v>
      </c>
      <c r="N177" s="15" t="s">
        <v>54</v>
      </c>
      <c r="O177" s="15" t="s">
        <v>61</v>
      </c>
      <c r="P177" s="20" t="s">
        <v>399</v>
      </c>
      <c r="Q177" s="15" t="s">
        <v>39</v>
      </c>
      <c r="R177" s="4"/>
      <c r="S177" s="4"/>
    </row>
    <row r="178" spans="1:19" ht="21" customHeight="1" x14ac:dyDescent="0.25">
      <c r="A178" s="14">
        <f>DATE(2012,12,31)-321</f>
        <v>40953</v>
      </c>
      <c r="B178" s="15" t="s">
        <v>398</v>
      </c>
      <c r="C178" s="15" t="s">
        <v>85</v>
      </c>
      <c r="D178" s="16">
        <v>23</v>
      </c>
      <c r="E178" s="17">
        <v>115.1</v>
      </c>
      <c r="F178" s="16">
        <v>0.02</v>
      </c>
      <c r="G178" s="15" t="s">
        <v>32</v>
      </c>
      <c r="H178" s="18">
        <v>53.13</v>
      </c>
      <c r="I178" s="19">
        <v>4.91</v>
      </c>
      <c r="J178" s="19">
        <v>0.5</v>
      </c>
      <c r="K178" s="19" t="s">
        <v>33</v>
      </c>
      <c r="L178" s="19" t="s">
        <v>128</v>
      </c>
      <c r="M178" s="15" t="s">
        <v>129</v>
      </c>
      <c r="N178" s="15" t="s">
        <v>36</v>
      </c>
      <c r="O178" s="15" t="s">
        <v>114</v>
      </c>
      <c r="P178" s="20" t="s">
        <v>400</v>
      </c>
      <c r="Q178" s="15" t="s">
        <v>83</v>
      </c>
      <c r="R178" s="4"/>
      <c r="S178" s="4"/>
    </row>
    <row r="179" spans="1:19" ht="21" customHeight="1" x14ac:dyDescent="0.25">
      <c r="A179" s="14">
        <f>DATE(2012,12,31)-321</f>
        <v>40953</v>
      </c>
      <c r="B179" s="15" t="s">
        <v>396</v>
      </c>
      <c r="C179" s="15" t="s">
        <v>85</v>
      </c>
      <c r="D179" s="16">
        <v>7</v>
      </c>
      <c r="E179" s="17">
        <v>516.65</v>
      </c>
      <c r="F179" s="16">
        <v>0.01</v>
      </c>
      <c r="G179" s="15" t="s">
        <v>101</v>
      </c>
      <c r="H179" s="18">
        <v>57.1</v>
      </c>
      <c r="I179" s="19">
        <v>70.97</v>
      </c>
      <c r="J179" s="19">
        <v>3.5</v>
      </c>
      <c r="K179" s="19" t="s">
        <v>124</v>
      </c>
      <c r="L179" s="19" t="s">
        <v>319</v>
      </c>
      <c r="M179" s="15" t="s">
        <v>320</v>
      </c>
      <c r="N179" s="15" t="s">
        <v>36</v>
      </c>
      <c r="O179" s="15" t="s">
        <v>176</v>
      </c>
      <c r="P179" s="20" t="s">
        <v>339</v>
      </c>
      <c r="Q179" s="15" t="s">
        <v>83</v>
      </c>
      <c r="R179" s="4"/>
      <c r="S179" s="4"/>
    </row>
    <row r="180" spans="1:19" ht="21" customHeight="1" x14ac:dyDescent="0.25">
      <c r="A180" s="14">
        <f>DATE(2012,12,31)-130</f>
        <v>41144</v>
      </c>
      <c r="B180" s="15" t="s">
        <v>401</v>
      </c>
      <c r="C180" s="15" t="s">
        <v>31</v>
      </c>
      <c r="D180" s="16">
        <v>7</v>
      </c>
      <c r="E180" s="17">
        <v>374.78</v>
      </c>
      <c r="F180" s="16">
        <v>0.09</v>
      </c>
      <c r="G180" s="15" t="s">
        <v>32</v>
      </c>
      <c r="H180" s="18">
        <v>20.03</v>
      </c>
      <c r="I180" s="19">
        <v>55.48</v>
      </c>
      <c r="J180" s="19">
        <v>14.3</v>
      </c>
      <c r="K180" s="19" t="s">
        <v>33</v>
      </c>
      <c r="L180" s="19" t="s">
        <v>145</v>
      </c>
      <c r="M180" s="15" t="s">
        <v>146</v>
      </c>
      <c r="N180" s="15" t="s">
        <v>36</v>
      </c>
      <c r="O180" s="15" t="s">
        <v>117</v>
      </c>
      <c r="P180" s="20" t="s">
        <v>402</v>
      </c>
      <c r="Q180" s="15" t="s">
        <v>83</v>
      </c>
      <c r="R180" s="4"/>
      <c r="S180" s="4"/>
    </row>
    <row r="181" spans="1:19" ht="21" customHeight="1" x14ac:dyDescent="0.25">
      <c r="A181" s="14">
        <f>DATE(2012,12,31)-42</f>
        <v>41232</v>
      </c>
      <c r="B181" s="15" t="s">
        <v>403</v>
      </c>
      <c r="C181" s="15" t="s">
        <v>85</v>
      </c>
      <c r="D181" s="16">
        <v>14</v>
      </c>
      <c r="E181" s="17">
        <v>222.91</v>
      </c>
      <c r="F181" s="16">
        <v>0.05</v>
      </c>
      <c r="G181" s="15" t="s">
        <v>32</v>
      </c>
      <c r="H181" s="18">
        <v>20.21</v>
      </c>
      <c r="I181" s="19">
        <v>15.98</v>
      </c>
      <c r="J181" s="19">
        <v>4</v>
      </c>
      <c r="K181" s="19" t="s">
        <v>33</v>
      </c>
      <c r="L181" s="19" t="s">
        <v>145</v>
      </c>
      <c r="M181" s="15" t="s">
        <v>146</v>
      </c>
      <c r="N181" s="15" t="s">
        <v>64</v>
      </c>
      <c r="O181" s="15" t="s">
        <v>72</v>
      </c>
      <c r="P181" s="20" t="s">
        <v>344</v>
      </c>
      <c r="Q181" s="15" t="s">
        <v>83</v>
      </c>
      <c r="R181" s="4"/>
      <c r="S181" s="4"/>
    </row>
    <row r="182" spans="1:19" ht="21" customHeight="1" x14ac:dyDescent="0.25">
      <c r="A182" s="14">
        <f>DATE(2012,12,31)-1363</f>
        <v>39911</v>
      </c>
      <c r="B182" s="15" t="s">
        <v>404</v>
      </c>
      <c r="C182" s="15" t="s">
        <v>85</v>
      </c>
      <c r="D182" s="16">
        <v>27</v>
      </c>
      <c r="E182" s="17">
        <v>129.1</v>
      </c>
      <c r="F182" s="16">
        <v>0</v>
      </c>
      <c r="G182" s="15" t="s">
        <v>32</v>
      </c>
      <c r="H182" s="18">
        <v>-59.82</v>
      </c>
      <c r="I182" s="19">
        <v>4.42</v>
      </c>
      <c r="J182" s="19">
        <v>4.99</v>
      </c>
      <c r="K182" s="19" t="s">
        <v>69</v>
      </c>
      <c r="L182" s="19" t="s">
        <v>70</v>
      </c>
      <c r="M182" s="15" t="s">
        <v>71</v>
      </c>
      <c r="N182" s="15" t="s">
        <v>36</v>
      </c>
      <c r="O182" s="15" t="s">
        <v>189</v>
      </c>
      <c r="P182" s="20" t="s">
        <v>405</v>
      </c>
      <c r="Q182" s="15" t="s">
        <v>83</v>
      </c>
      <c r="R182" s="4"/>
      <c r="S182" s="4"/>
    </row>
    <row r="183" spans="1:19" ht="21" customHeight="1" x14ac:dyDescent="0.25">
      <c r="A183" s="14">
        <f>DATE(2012,12,31)-421</f>
        <v>40853</v>
      </c>
      <c r="B183" s="15" t="s">
        <v>406</v>
      </c>
      <c r="C183" s="15" t="s">
        <v>85</v>
      </c>
      <c r="D183" s="16">
        <v>35</v>
      </c>
      <c r="E183" s="17">
        <v>3532.96</v>
      </c>
      <c r="F183" s="16">
        <v>0.08</v>
      </c>
      <c r="G183" s="15" t="s">
        <v>58</v>
      </c>
      <c r="H183" s="18">
        <v>-243.60336000000004</v>
      </c>
      <c r="I183" s="19">
        <v>100.8</v>
      </c>
      <c r="J183" s="19">
        <v>60</v>
      </c>
      <c r="K183" s="19" t="s">
        <v>111</v>
      </c>
      <c r="L183" s="19" t="s">
        <v>407</v>
      </c>
      <c r="M183" s="15" t="s">
        <v>407</v>
      </c>
      <c r="N183" s="15" t="s">
        <v>54</v>
      </c>
      <c r="O183" s="15" t="s">
        <v>61</v>
      </c>
      <c r="P183" s="20" t="s">
        <v>408</v>
      </c>
      <c r="Q183" s="15" t="s">
        <v>181</v>
      </c>
      <c r="R183" s="4"/>
      <c r="S183" s="4"/>
    </row>
    <row r="184" spans="1:19" ht="21" customHeight="1" x14ac:dyDescent="0.25">
      <c r="A184" s="14">
        <f>DATE(2012,12,31)-250</f>
        <v>41024</v>
      </c>
      <c r="B184" s="15" t="s">
        <v>409</v>
      </c>
      <c r="C184" s="15" t="s">
        <v>43</v>
      </c>
      <c r="D184" s="16">
        <v>25</v>
      </c>
      <c r="E184" s="17">
        <v>662.16</v>
      </c>
      <c r="F184" s="16">
        <v>7.0000000000000007E-2</v>
      </c>
      <c r="G184" s="15" t="s">
        <v>32</v>
      </c>
      <c r="H184" s="18">
        <v>185.21</v>
      </c>
      <c r="I184" s="19">
        <v>28.48</v>
      </c>
      <c r="J184" s="19">
        <v>1.99</v>
      </c>
      <c r="K184" s="19" t="s">
        <v>44</v>
      </c>
      <c r="L184" s="19" t="s">
        <v>120</v>
      </c>
      <c r="M184" s="15" t="s">
        <v>121</v>
      </c>
      <c r="N184" s="15" t="s">
        <v>64</v>
      </c>
      <c r="O184" s="15" t="s">
        <v>72</v>
      </c>
      <c r="P184" s="20" t="s">
        <v>382</v>
      </c>
      <c r="Q184" s="15" t="s">
        <v>49</v>
      </c>
      <c r="R184" s="4"/>
      <c r="S184" s="4"/>
    </row>
    <row r="185" spans="1:19" ht="21" customHeight="1" x14ac:dyDescent="0.25">
      <c r="A185" s="14">
        <f>DATE(2012,12,31)-1291</f>
        <v>39983</v>
      </c>
      <c r="B185" s="15" t="s">
        <v>410</v>
      </c>
      <c r="C185" s="15" t="s">
        <v>43</v>
      </c>
      <c r="D185" s="16">
        <v>3</v>
      </c>
      <c r="E185" s="17">
        <v>46.46</v>
      </c>
      <c r="F185" s="16">
        <v>0.1</v>
      </c>
      <c r="G185" s="15" t="s">
        <v>32</v>
      </c>
      <c r="H185" s="18">
        <v>-25.13</v>
      </c>
      <c r="I185" s="19">
        <v>14.42</v>
      </c>
      <c r="J185" s="19">
        <v>6.75</v>
      </c>
      <c r="K185" s="19" t="s">
        <v>44</v>
      </c>
      <c r="L185" s="19" t="s">
        <v>120</v>
      </c>
      <c r="M185" s="15" t="s">
        <v>121</v>
      </c>
      <c r="N185" s="15" t="s">
        <v>36</v>
      </c>
      <c r="O185" s="15" t="s">
        <v>176</v>
      </c>
      <c r="P185" s="20" t="s">
        <v>411</v>
      </c>
      <c r="Q185" s="15" t="s">
        <v>57</v>
      </c>
      <c r="R185" s="4"/>
      <c r="S185" s="4"/>
    </row>
    <row r="186" spans="1:19" ht="21" customHeight="1" x14ac:dyDescent="0.25">
      <c r="A186" s="14">
        <f>DATE(2012,12,31)-257</f>
        <v>41017</v>
      </c>
      <c r="B186" s="15" t="s">
        <v>412</v>
      </c>
      <c r="C186" s="15" t="s">
        <v>43</v>
      </c>
      <c r="D186" s="16">
        <v>1</v>
      </c>
      <c r="E186" s="17">
        <v>14.68</v>
      </c>
      <c r="F186" s="16">
        <v>0.06</v>
      </c>
      <c r="G186" s="15" t="s">
        <v>32</v>
      </c>
      <c r="H186" s="18">
        <v>-13.777000000000001</v>
      </c>
      <c r="I186" s="19">
        <v>8.6</v>
      </c>
      <c r="J186" s="19">
        <v>6.19</v>
      </c>
      <c r="K186" s="19" t="s">
        <v>44</v>
      </c>
      <c r="L186" s="19" t="s">
        <v>80</v>
      </c>
      <c r="M186" s="15" t="s">
        <v>81</v>
      </c>
      <c r="N186" s="15" t="s">
        <v>36</v>
      </c>
      <c r="O186" s="15" t="s">
        <v>170</v>
      </c>
      <c r="P186" s="20" t="s">
        <v>413</v>
      </c>
      <c r="Q186" s="15" t="s">
        <v>83</v>
      </c>
      <c r="R186" s="4"/>
      <c r="S186" s="4"/>
    </row>
    <row r="187" spans="1:19" ht="21" customHeight="1" x14ac:dyDescent="0.25">
      <c r="A187" s="14">
        <f>DATE(2012,12,31)-257</f>
        <v>41017</v>
      </c>
      <c r="B187" s="15" t="s">
        <v>412</v>
      </c>
      <c r="C187" s="15" t="s">
        <v>43</v>
      </c>
      <c r="D187" s="16">
        <v>11</v>
      </c>
      <c r="E187" s="17">
        <v>10145.14</v>
      </c>
      <c r="F187" s="16">
        <v>0.03</v>
      </c>
      <c r="G187" s="15" t="s">
        <v>32</v>
      </c>
      <c r="H187" s="18">
        <v>3724.5725000000002</v>
      </c>
      <c r="I187" s="19">
        <v>896.99</v>
      </c>
      <c r="J187" s="19">
        <v>19.989999999999998</v>
      </c>
      <c r="K187" s="19" t="s">
        <v>44</v>
      </c>
      <c r="L187" s="19" t="s">
        <v>89</v>
      </c>
      <c r="M187" s="15" t="s">
        <v>90</v>
      </c>
      <c r="N187" s="15" t="s">
        <v>36</v>
      </c>
      <c r="O187" s="15" t="s">
        <v>170</v>
      </c>
      <c r="P187" s="20" t="s">
        <v>414</v>
      </c>
      <c r="Q187" s="15" t="s">
        <v>83</v>
      </c>
      <c r="R187" s="4"/>
      <c r="S187" s="4"/>
    </row>
    <row r="188" spans="1:19" ht="21" customHeight="1" x14ac:dyDescent="0.25">
      <c r="A188" s="14">
        <f>DATE(2012,12,31)-257</f>
        <v>41017</v>
      </c>
      <c r="B188" s="15" t="s">
        <v>412</v>
      </c>
      <c r="C188" s="15" t="s">
        <v>43</v>
      </c>
      <c r="D188" s="16">
        <v>16</v>
      </c>
      <c r="E188" s="17">
        <v>68.45</v>
      </c>
      <c r="F188" s="16">
        <v>0.08</v>
      </c>
      <c r="G188" s="15" t="s">
        <v>32</v>
      </c>
      <c r="H188" s="18">
        <v>-57.8795</v>
      </c>
      <c r="I188" s="19">
        <v>4.24</v>
      </c>
      <c r="J188" s="19">
        <v>5.41</v>
      </c>
      <c r="K188" s="19" t="s">
        <v>44</v>
      </c>
      <c r="L188" s="19" t="s">
        <v>80</v>
      </c>
      <c r="M188" s="15" t="s">
        <v>81</v>
      </c>
      <c r="N188" s="15" t="s">
        <v>36</v>
      </c>
      <c r="O188" s="15" t="s">
        <v>170</v>
      </c>
      <c r="P188" s="20" t="s">
        <v>415</v>
      </c>
      <c r="Q188" s="15" t="s">
        <v>83</v>
      </c>
      <c r="R188" s="4"/>
      <c r="S188" s="4"/>
    </row>
    <row r="189" spans="1:19" ht="21" customHeight="1" x14ac:dyDescent="0.25">
      <c r="A189" s="14">
        <f>DATE(2012,12,31)-1061</f>
        <v>40213</v>
      </c>
      <c r="B189" s="15" t="s">
        <v>416</v>
      </c>
      <c r="C189" s="15" t="s">
        <v>85</v>
      </c>
      <c r="D189" s="16">
        <v>48</v>
      </c>
      <c r="E189" s="17">
        <v>257.39</v>
      </c>
      <c r="F189" s="16">
        <v>0.08</v>
      </c>
      <c r="G189" s="15" t="s">
        <v>32</v>
      </c>
      <c r="H189" s="18">
        <v>-121.91</v>
      </c>
      <c r="I189" s="19">
        <v>5.28</v>
      </c>
      <c r="J189" s="19">
        <v>5.57</v>
      </c>
      <c r="K189" s="19" t="s">
        <v>44</v>
      </c>
      <c r="L189" s="19" t="s">
        <v>89</v>
      </c>
      <c r="M189" s="15" t="s">
        <v>90</v>
      </c>
      <c r="N189" s="15" t="s">
        <v>36</v>
      </c>
      <c r="O189" s="15" t="s">
        <v>117</v>
      </c>
      <c r="P189" s="20" t="s">
        <v>417</v>
      </c>
      <c r="Q189" s="15" t="s">
        <v>83</v>
      </c>
      <c r="R189" s="4"/>
      <c r="S189" s="4"/>
    </row>
    <row r="190" spans="1:19" ht="21" customHeight="1" x14ac:dyDescent="0.25">
      <c r="A190" s="14">
        <f>DATE(2012,12,31)-1071</f>
        <v>40203</v>
      </c>
      <c r="B190" s="15" t="s">
        <v>418</v>
      </c>
      <c r="C190" s="15" t="s">
        <v>85</v>
      </c>
      <c r="D190" s="16">
        <v>15</v>
      </c>
      <c r="E190" s="17">
        <v>494.34</v>
      </c>
      <c r="F190" s="16">
        <v>0.05</v>
      </c>
      <c r="G190" s="15" t="s">
        <v>32</v>
      </c>
      <c r="H190" s="18">
        <v>-30.19</v>
      </c>
      <c r="I190" s="19">
        <v>31.98</v>
      </c>
      <c r="J190" s="19">
        <v>6.72</v>
      </c>
      <c r="K190" s="19" t="s">
        <v>97</v>
      </c>
      <c r="L190" s="19" t="s">
        <v>98</v>
      </c>
      <c r="M190" s="15" t="s">
        <v>99</v>
      </c>
      <c r="N190" s="15" t="s">
        <v>36</v>
      </c>
      <c r="O190" s="15" t="s">
        <v>37</v>
      </c>
      <c r="P190" s="20" t="s">
        <v>419</v>
      </c>
      <c r="Q190" s="15" t="s">
        <v>83</v>
      </c>
      <c r="R190" s="4"/>
      <c r="S190" s="4"/>
    </row>
    <row r="191" spans="1:19" ht="21" customHeight="1" x14ac:dyDescent="0.25">
      <c r="A191" s="14">
        <f>DATE(2012,12,31)-1086</f>
        <v>40188</v>
      </c>
      <c r="B191" s="15" t="s">
        <v>390</v>
      </c>
      <c r="C191" s="15" t="s">
        <v>31</v>
      </c>
      <c r="D191" s="16">
        <v>40</v>
      </c>
      <c r="E191" s="17">
        <v>827.27</v>
      </c>
      <c r="F191" s="16">
        <v>0.05</v>
      </c>
      <c r="G191" s="15" t="s">
        <v>32</v>
      </c>
      <c r="H191" s="18">
        <v>-170.87</v>
      </c>
      <c r="I191" s="19">
        <v>20.97</v>
      </c>
      <c r="J191" s="19">
        <v>6.5</v>
      </c>
      <c r="K191" s="19" t="s">
        <v>44</v>
      </c>
      <c r="L191" s="19" t="s">
        <v>89</v>
      </c>
      <c r="M191" s="15" t="s">
        <v>90</v>
      </c>
      <c r="N191" s="15" t="s">
        <v>64</v>
      </c>
      <c r="O191" s="15" t="s">
        <v>72</v>
      </c>
      <c r="P191" s="20" t="s">
        <v>393</v>
      </c>
      <c r="Q191" s="15" t="s">
        <v>83</v>
      </c>
      <c r="R191" s="4"/>
      <c r="S191" s="4"/>
    </row>
    <row r="192" spans="1:19" ht="21" customHeight="1" x14ac:dyDescent="0.25">
      <c r="A192" s="14">
        <f>DATE(2012,12,31)-308</f>
        <v>40966</v>
      </c>
      <c r="B192" s="15" t="s">
        <v>420</v>
      </c>
      <c r="C192" s="15" t="s">
        <v>43</v>
      </c>
      <c r="D192" s="16">
        <v>26</v>
      </c>
      <c r="E192" s="17">
        <v>892.38</v>
      </c>
      <c r="F192" s="16">
        <v>0</v>
      </c>
      <c r="G192" s="15" t="s">
        <v>32</v>
      </c>
      <c r="H192" s="18">
        <v>366.48</v>
      </c>
      <c r="I192" s="19">
        <v>31.78</v>
      </c>
      <c r="J192" s="19">
        <v>1.99</v>
      </c>
      <c r="K192" s="19" t="s">
        <v>124</v>
      </c>
      <c r="L192" s="19" t="s">
        <v>160</v>
      </c>
      <c r="M192" s="15" t="s">
        <v>161</v>
      </c>
      <c r="N192" s="15" t="s">
        <v>64</v>
      </c>
      <c r="O192" s="15" t="s">
        <v>72</v>
      </c>
      <c r="P192" s="20" t="s">
        <v>421</v>
      </c>
      <c r="Q192" s="15" t="s">
        <v>49</v>
      </c>
      <c r="R192" s="4"/>
      <c r="S192" s="4"/>
    </row>
    <row r="193" spans="1:19" ht="21" customHeight="1" x14ac:dyDescent="0.25">
      <c r="A193" s="14">
        <f>DATE(2012,12,31)-308</f>
        <v>40966</v>
      </c>
      <c r="B193" s="15" t="s">
        <v>420</v>
      </c>
      <c r="C193" s="15" t="s">
        <v>43</v>
      </c>
      <c r="D193" s="16">
        <v>10</v>
      </c>
      <c r="E193" s="17">
        <v>29.41</v>
      </c>
      <c r="F193" s="16">
        <v>0.01</v>
      </c>
      <c r="G193" s="15" t="s">
        <v>32</v>
      </c>
      <c r="H193" s="18">
        <v>-2.06</v>
      </c>
      <c r="I193" s="19">
        <v>2.78</v>
      </c>
      <c r="J193" s="19">
        <v>1.34</v>
      </c>
      <c r="K193" s="19" t="s">
        <v>124</v>
      </c>
      <c r="L193" s="19" t="s">
        <v>160</v>
      </c>
      <c r="M193" s="15" t="s">
        <v>161</v>
      </c>
      <c r="N193" s="15" t="s">
        <v>36</v>
      </c>
      <c r="O193" s="15" t="s">
        <v>77</v>
      </c>
      <c r="P193" s="20" t="s">
        <v>422</v>
      </c>
      <c r="Q193" s="15" t="s">
        <v>79</v>
      </c>
      <c r="R193" s="4"/>
      <c r="S193" s="4"/>
    </row>
    <row r="194" spans="1:19" ht="21" customHeight="1" x14ac:dyDescent="0.25">
      <c r="A194" s="14">
        <f>DATE(2012,12,31)-214</f>
        <v>41060</v>
      </c>
      <c r="B194" s="15" t="s">
        <v>423</v>
      </c>
      <c r="C194" s="15" t="s">
        <v>85</v>
      </c>
      <c r="D194" s="16">
        <v>27</v>
      </c>
      <c r="E194" s="17">
        <v>3874.12</v>
      </c>
      <c r="F194" s="16">
        <v>0</v>
      </c>
      <c r="G194" s="15" t="s">
        <v>58</v>
      </c>
      <c r="H194" s="18">
        <v>-305.98</v>
      </c>
      <c r="I194" s="19">
        <v>130.97999999999999</v>
      </c>
      <c r="J194" s="19">
        <v>54.74</v>
      </c>
      <c r="K194" s="19" t="s">
        <v>44</v>
      </c>
      <c r="L194" s="19" t="s">
        <v>52</v>
      </c>
      <c r="M194" s="15" t="s">
        <v>53</v>
      </c>
      <c r="N194" s="15" t="s">
        <v>54</v>
      </c>
      <c r="O194" s="15" t="s">
        <v>134</v>
      </c>
      <c r="P194" s="20" t="s">
        <v>135</v>
      </c>
      <c r="Q194" s="15" t="s">
        <v>63</v>
      </c>
      <c r="R194" s="4"/>
      <c r="S194" s="4"/>
    </row>
    <row r="195" spans="1:19" ht="21" customHeight="1" x14ac:dyDescent="0.25">
      <c r="A195" s="14">
        <f>DATE(2012,12,31)-214</f>
        <v>41060</v>
      </c>
      <c r="B195" s="15" t="s">
        <v>423</v>
      </c>
      <c r="C195" s="15" t="s">
        <v>85</v>
      </c>
      <c r="D195" s="16">
        <v>8</v>
      </c>
      <c r="E195" s="17">
        <v>1452.2160000000001</v>
      </c>
      <c r="F195" s="16">
        <v>0.05</v>
      </c>
      <c r="G195" s="15" t="s">
        <v>58</v>
      </c>
      <c r="H195" s="18">
        <v>-277.29000000000002</v>
      </c>
      <c r="I195" s="19">
        <v>218.75</v>
      </c>
      <c r="J195" s="19">
        <v>69.64</v>
      </c>
      <c r="K195" s="19" t="s">
        <v>44</v>
      </c>
      <c r="L195" s="19" t="s">
        <v>52</v>
      </c>
      <c r="M195" s="15" t="s">
        <v>424</v>
      </c>
      <c r="N195" s="15" t="s">
        <v>54</v>
      </c>
      <c r="O195" s="15" t="s">
        <v>61</v>
      </c>
      <c r="P195" s="20" t="s">
        <v>425</v>
      </c>
      <c r="Q195" s="15" t="s">
        <v>63</v>
      </c>
      <c r="R195" s="4"/>
      <c r="S195" s="4"/>
    </row>
    <row r="196" spans="1:19" ht="21" customHeight="1" x14ac:dyDescent="0.25">
      <c r="A196" s="14">
        <f>DATE(2012,12,31)-963</f>
        <v>40311</v>
      </c>
      <c r="B196" s="15" t="s">
        <v>426</v>
      </c>
      <c r="C196" s="15" t="s">
        <v>43</v>
      </c>
      <c r="D196" s="16">
        <v>46</v>
      </c>
      <c r="E196" s="17">
        <v>234.37</v>
      </c>
      <c r="F196" s="16">
        <v>0.05</v>
      </c>
      <c r="G196" s="15" t="s">
        <v>32</v>
      </c>
      <c r="H196" s="18">
        <v>-144.6815</v>
      </c>
      <c r="I196" s="19">
        <v>5.18</v>
      </c>
      <c r="J196" s="19">
        <v>5.74</v>
      </c>
      <c r="K196" s="19" t="s">
        <v>44</v>
      </c>
      <c r="L196" s="19" t="s">
        <v>52</v>
      </c>
      <c r="M196" s="15" t="s">
        <v>424</v>
      </c>
      <c r="N196" s="15" t="s">
        <v>36</v>
      </c>
      <c r="O196" s="15" t="s">
        <v>170</v>
      </c>
      <c r="P196" s="20" t="s">
        <v>427</v>
      </c>
      <c r="Q196" s="15" t="s">
        <v>83</v>
      </c>
      <c r="R196" s="4"/>
      <c r="S196" s="4"/>
    </row>
    <row r="197" spans="1:19" ht="21" customHeight="1" x14ac:dyDescent="0.25">
      <c r="A197" s="14">
        <f>DATE(2012,12,31)-963</f>
        <v>40311</v>
      </c>
      <c r="B197" s="15" t="s">
        <v>426</v>
      </c>
      <c r="C197" s="15" t="s">
        <v>43</v>
      </c>
      <c r="D197" s="16">
        <v>14</v>
      </c>
      <c r="E197" s="17">
        <v>1000.3565000000001</v>
      </c>
      <c r="F197" s="16">
        <v>0.06</v>
      </c>
      <c r="G197" s="15" t="s">
        <v>32</v>
      </c>
      <c r="H197" s="18">
        <v>229.779</v>
      </c>
      <c r="I197" s="19">
        <v>85.99</v>
      </c>
      <c r="J197" s="19">
        <v>3.3</v>
      </c>
      <c r="K197" s="19" t="s">
        <v>44</v>
      </c>
      <c r="L197" s="19" t="s">
        <v>236</v>
      </c>
      <c r="M197" s="15" t="s">
        <v>237</v>
      </c>
      <c r="N197" s="15" t="s">
        <v>64</v>
      </c>
      <c r="O197" s="15" t="s">
        <v>65</v>
      </c>
      <c r="P197" s="20" t="s">
        <v>428</v>
      </c>
      <c r="Q197" s="15" t="s">
        <v>49</v>
      </c>
      <c r="R197" s="4"/>
      <c r="S197" s="4"/>
    </row>
    <row r="198" spans="1:19" ht="21" customHeight="1" x14ac:dyDescent="0.25">
      <c r="A198" s="14">
        <f>DATE(2012,12,31)-1276</f>
        <v>39998</v>
      </c>
      <c r="B198" s="15" t="s">
        <v>429</v>
      </c>
      <c r="C198" s="15" t="s">
        <v>51</v>
      </c>
      <c r="D198" s="16">
        <v>39</v>
      </c>
      <c r="E198" s="17">
        <v>3908.65</v>
      </c>
      <c r="F198" s="16">
        <v>0.06</v>
      </c>
      <c r="G198" s="15" t="s">
        <v>32</v>
      </c>
      <c r="H198" s="18">
        <v>480.57</v>
      </c>
      <c r="I198" s="19">
        <v>105.29</v>
      </c>
      <c r="J198" s="19">
        <v>10.119999999999999</v>
      </c>
      <c r="K198" s="19" t="s">
        <v>44</v>
      </c>
      <c r="L198" s="19" t="s">
        <v>80</v>
      </c>
      <c r="M198" s="15" t="s">
        <v>81</v>
      </c>
      <c r="N198" s="15" t="s">
        <v>54</v>
      </c>
      <c r="O198" s="15" t="s">
        <v>55</v>
      </c>
      <c r="P198" s="20" t="s">
        <v>430</v>
      </c>
      <c r="Q198" s="15" t="s">
        <v>39</v>
      </c>
      <c r="R198" s="4"/>
      <c r="S198" s="4"/>
    </row>
    <row r="199" spans="1:19" ht="21" customHeight="1" x14ac:dyDescent="0.25">
      <c r="A199" s="14">
        <f>DATE(2012,12,31)-1206</f>
        <v>40068</v>
      </c>
      <c r="B199" s="15" t="s">
        <v>431</v>
      </c>
      <c r="C199" s="15" t="s">
        <v>85</v>
      </c>
      <c r="D199" s="16">
        <v>34</v>
      </c>
      <c r="E199" s="17">
        <v>840.07</v>
      </c>
      <c r="F199" s="16">
        <v>0</v>
      </c>
      <c r="G199" s="15" t="s">
        <v>32</v>
      </c>
      <c r="H199" s="18">
        <v>-83.75</v>
      </c>
      <c r="I199" s="19">
        <v>22.84</v>
      </c>
      <c r="J199" s="19">
        <v>16.920000000000002</v>
      </c>
      <c r="K199" s="19" t="s">
        <v>33</v>
      </c>
      <c r="L199" s="19" t="s">
        <v>34</v>
      </c>
      <c r="M199" s="15" t="s">
        <v>35</v>
      </c>
      <c r="N199" s="15" t="s">
        <v>36</v>
      </c>
      <c r="O199" s="15" t="s">
        <v>117</v>
      </c>
      <c r="P199" s="20" t="s">
        <v>432</v>
      </c>
      <c r="Q199" s="15" t="s">
        <v>83</v>
      </c>
      <c r="R199" s="4"/>
      <c r="S199" s="4"/>
    </row>
    <row r="200" spans="1:19" ht="21" customHeight="1" x14ac:dyDescent="0.25">
      <c r="A200" s="14">
        <f>DATE(2012,12,31)-1329</f>
        <v>39945</v>
      </c>
      <c r="B200" s="15" t="s">
        <v>433</v>
      </c>
      <c r="C200" s="15" t="s">
        <v>85</v>
      </c>
      <c r="D200" s="16">
        <v>4</v>
      </c>
      <c r="E200" s="17">
        <v>42.58</v>
      </c>
      <c r="F200" s="16">
        <v>0</v>
      </c>
      <c r="G200" s="15" t="s">
        <v>32</v>
      </c>
      <c r="H200" s="18">
        <v>-7.61</v>
      </c>
      <c r="I200" s="19">
        <v>9.27</v>
      </c>
      <c r="J200" s="19">
        <v>4.3899999999999997</v>
      </c>
      <c r="K200" s="19" t="s">
        <v>124</v>
      </c>
      <c r="L200" s="19" t="s">
        <v>160</v>
      </c>
      <c r="M200" s="15" t="s">
        <v>161</v>
      </c>
      <c r="N200" s="15" t="s">
        <v>36</v>
      </c>
      <c r="O200" s="15" t="s">
        <v>117</v>
      </c>
      <c r="P200" s="20" t="s">
        <v>434</v>
      </c>
      <c r="Q200" s="15" t="s">
        <v>79</v>
      </c>
      <c r="R200" s="4"/>
      <c r="S200" s="4"/>
    </row>
    <row r="201" spans="1:19" ht="21" customHeight="1" x14ac:dyDescent="0.25">
      <c r="A201" s="14">
        <f>DATE(2012,12,31)-593</f>
        <v>40681</v>
      </c>
      <c r="B201" s="15" t="s">
        <v>435</v>
      </c>
      <c r="C201" s="15" t="s">
        <v>51</v>
      </c>
      <c r="D201" s="16">
        <v>44</v>
      </c>
      <c r="E201" s="17">
        <v>523.41999999999996</v>
      </c>
      <c r="F201" s="16">
        <v>0.06</v>
      </c>
      <c r="G201" s="15" t="s">
        <v>32</v>
      </c>
      <c r="H201" s="18">
        <v>39.423000000000002</v>
      </c>
      <c r="I201" s="19">
        <v>11.7</v>
      </c>
      <c r="J201" s="19">
        <v>5.63</v>
      </c>
      <c r="K201" s="19" t="s">
        <v>124</v>
      </c>
      <c r="L201" s="19" t="s">
        <v>164</v>
      </c>
      <c r="M201" s="15" t="s">
        <v>165</v>
      </c>
      <c r="N201" s="15" t="s">
        <v>36</v>
      </c>
      <c r="O201" s="15" t="s">
        <v>170</v>
      </c>
      <c r="P201" s="20" t="s">
        <v>323</v>
      </c>
      <c r="Q201" s="15" t="s">
        <v>83</v>
      </c>
      <c r="R201" s="4"/>
      <c r="S201" s="4"/>
    </row>
    <row r="202" spans="1:19" ht="21" customHeight="1" x14ac:dyDescent="0.25">
      <c r="A202" s="14">
        <f>DATE(2012,12,31)-593</f>
        <v>40681</v>
      </c>
      <c r="B202" s="15" t="s">
        <v>435</v>
      </c>
      <c r="C202" s="15" t="s">
        <v>51</v>
      </c>
      <c r="D202" s="16">
        <v>40</v>
      </c>
      <c r="E202" s="17">
        <v>192.54</v>
      </c>
      <c r="F202" s="16">
        <v>0.08</v>
      </c>
      <c r="G202" s="15" t="s">
        <v>32</v>
      </c>
      <c r="H202" s="18">
        <v>-186.73</v>
      </c>
      <c r="I202" s="19">
        <v>4.9800000000000004</v>
      </c>
      <c r="J202" s="19">
        <v>7.44</v>
      </c>
      <c r="K202" s="19" t="s">
        <v>124</v>
      </c>
      <c r="L202" s="19" t="s">
        <v>125</v>
      </c>
      <c r="M202" s="15" t="s">
        <v>126</v>
      </c>
      <c r="N202" s="15" t="s">
        <v>36</v>
      </c>
      <c r="O202" s="15" t="s">
        <v>117</v>
      </c>
      <c r="P202" s="20" t="s">
        <v>266</v>
      </c>
      <c r="Q202" s="15" t="s">
        <v>83</v>
      </c>
      <c r="R202" s="4"/>
      <c r="S202" s="4"/>
    </row>
    <row r="203" spans="1:19" ht="21" customHeight="1" x14ac:dyDescent="0.25">
      <c r="A203" s="14">
        <f>DATE(2012,12,31)-593</f>
        <v>40681</v>
      </c>
      <c r="B203" s="15" t="s">
        <v>435</v>
      </c>
      <c r="C203" s="15" t="s">
        <v>51</v>
      </c>
      <c r="D203" s="16">
        <v>29</v>
      </c>
      <c r="E203" s="17">
        <v>156.69999999999999</v>
      </c>
      <c r="F203" s="16">
        <v>0.06</v>
      </c>
      <c r="G203" s="15" t="s">
        <v>32</v>
      </c>
      <c r="H203" s="18">
        <v>-76.64</v>
      </c>
      <c r="I203" s="19">
        <v>5.28</v>
      </c>
      <c r="J203" s="19">
        <v>5.57</v>
      </c>
      <c r="K203" s="19" t="s">
        <v>124</v>
      </c>
      <c r="L203" s="19" t="s">
        <v>125</v>
      </c>
      <c r="M203" s="15" t="s">
        <v>126</v>
      </c>
      <c r="N203" s="15" t="s">
        <v>36</v>
      </c>
      <c r="O203" s="15" t="s">
        <v>117</v>
      </c>
      <c r="P203" s="20" t="s">
        <v>417</v>
      </c>
      <c r="Q203" s="15" t="s">
        <v>83</v>
      </c>
      <c r="R203" s="4"/>
      <c r="S203" s="4"/>
    </row>
    <row r="204" spans="1:19" ht="21" customHeight="1" x14ac:dyDescent="0.25">
      <c r="A204" s="14">
        <f>DATE(2012,12,31)-260</f>
        <v>41014</v>
      </c>
      <c r="B204" s="15" t="s">
        <v>436</v>
      </c>
      <c r="C204" s="15" t="s">
        <v>31</v>
      </c>
      <c r="D204" s="16">
        <v>15</v>
      </c>
      <c r="E204" s="17">
        <v>834.904</v>
      </c>
      <c r="F204" s="16">
        <v>0.06</v>
      </c>
      <c r="G204" s="15" t="s">
        <v>32</v>
      </c>
      <c r="H204" s="18">
        <v>-11.681999999999999</v>
      </c>
      <c r="I204" s="19">
        <v>65.989999999999995</v>
      </c>
      <c r="J204" s="19">
        <v>5.26</v>
      </c>
      <c r="K204" s="19" t="s">
        <v>33</v>
      </c>
      <c r="L204" s="19" t="s">
        <v>145</v>
      </c>
      <c r="M204" s="15" t="s">
        <v>146</v>
      </c>
      <c r="N204" s="15" t="s">
        <v>64</v>
      </c>
      <c r="O204" s="15" t="s">
        <v>65</v>
      </c>
      <c r="P204" s="20" t="s">
        <v>437</v>
      </c>
      <c r="Q204" s="15" t="s">
        <v>83</v>
      </c>
      <c r="R204" s="4"/>
      <c r="S204" s="4"/>
    </row>
    <row r="205" spans="1:19" ht="21" customHeight="1" x14ac:dyDescent="0.25">
      <c r="A205" s="14">
        <f>DATE(2012,12,31)-260</f>
        <v>41014</v>
      </c>
      <c r="B205" s="15" t="s">
        <v>436</v>
      </c>
      <c r="C205" s="15" t="s">
        <v>31</v>
      </c>
      <c r="D205" s="16">
        <v>18</v>
      </c>
      <c r="E205" s="17">
        <v>2480.9205000000002</v>
      </c>
      <c r="F205" s="16">
        <v>0.01</v>
      </c>
      <c r="G205" s="15" t="s">
        <v>32</v>
      </c>
      <c r="H205" s="18">
        <v>313.57800000000003</v>
      </c>
      <c r="I205" s="19">
        <v>155.99</v>
      </c>
      <c r="J205" s="19">
        <v>8.99</v>
      </c>
      <c r="K205" s="19" t="s">
        <v>69</v>
      </c>
      <c r="L205" s="19" t="s">
        <v>70</v>
      </c>
      <c r="M205" s="15" t="s">
        <v>71</v>
      </c>
      <c r="N205" s="15" t="s">
        <v>64</v>
      </c>
      <c r="O205" s="15" t="s">
        <v>65</v>
      </c>
      <c r="P205" s="20" t="s">
        <v>438</v>
      </c>
      <c r="Q205" s="15" t="s">
        <v>83</v>
      </c>
      <c r="R205" s="4"/>
      <c r="S205" s="4"/>
    </row>
    <row r="206" spans="1:19" ht="21" customHeight="1" x14ac:dyDescent="0.25">
      <c r="A206" s="14">
        <f>DATE(2012,12,31)-65</f>
        <v>41209</v>
      </c>
      <c r="B206" s="15" t="s">
        <v>439</v>
      </c>
      <c r="C206" s="15" t="s">
        <v>31</v>
      </c>
      <c r="D206" s="16">
        <v>24</v>
      </c>
      <c r="E206" s="17">
        <v>2443.85</v>
      </c>
      <c r="F206" s="16">
        <v>0.08</v>
      </c>
      <c r="G206" s="15" t="s">
        <v>58</v>
      </c>
      <c r="H206" s="18">
        <v>-120.85</v>
      </c>
      <c r="I206" s="19">
        <v>100.98</v>
      </c>
      <c r="J206" s="19">
        <v>35.840000000000003</v>
      </c>
      <c r="K206" s="19" t="s">
        <v>69</v>
      </c>
      <c r="L206" s="19" t="s">
        <v>70</v>
      </c>
      <c r="M206" s="15" t="s">
        <v>71</v>
      </c>
      <c r="N206" s="15" t="s">
        <v>54</v>
      </c>
      <c r="O206" s="15" t="s">
        <v>134</v>
      </c>
      <c r="P206" s="20" t="s">
        <v>440</v>
      </c>
      <c r="Q206" s="15" t="s">
        <v>63</v>
      </c>
      <c r="R206" s="4"/>
      <c r="S206" s="4"/>
    </row>
    <row r="207" spans="1:19" ht="21" customHeight="1" x14ac:dyDescent="0.25">
      <c r="A207" s="14">
        <f>DATE(2012,12,31)-197</f>
        <v>41077</v>
      </c>
      <c r="B207" s="15" t="s">
        <v>441</v>
      </c>
      <c r="C207" s="15" t="s">
        <v>51</v>
      </c>
      <c r="D207" s="16">
        <v>48</v>
      </c>
      <c r="E207" s="17">
        <v>4789.8900000000003</v>
      </c>
      <c r="F207" s="16">
        <v>0.09</v>
      </c>
      <c r="G207" s="15" t="s">
        <v>58</v>
      </c>
      <c r="H207" s="18">
        <v>421.15</v>
      </c>
      <c r="I207" s="19">
        <v>100.98</v>
      </c>
      <c r="J207" s="19">
        <v>26.22</v>
      </c>
      <c r="K207" s="19" t="s">
        <v>111</v>
      </c>
      <c r="L207" s="19" t="s">
        <v>442</v>
      </c>
      <c r="M207" s="15" t="s">
        <v>443</v>
      </c>
      <c r="N207" s="15" t="s">
        <v>54</v>
      </c>
      <c r="O207" s="15" t="s">
        <v>134</v>
      </c>
      <c r="P207" s="20" t="s">
        <v>397</v>
      </c>
      <c r="Q207" s="15" t="s">
        <v>63</v>
      </c>
      <c r="R207" s="4"/>
      <c r="S207" s="4"/>
    </row>
    <row r="208" spans="1:19" ht="21" customHeight="1" x14ac:dyDescent="0.25">
      <c r="A208" s="14">
        <f>DATE(2012,12,31)-868</f>
        <v>40406</v>
      </c>
      <c r="B208" s="15" t="s">
        <v>444</v>
      </c>
      <c r="C208" s="15" t="s">
        <v>31</v>
      </c>
      <c r="D208" s="16">
        <v>5</v>
      </c>
      <c r="E208" s="17">
        <v>89.334999999999994</v>
      </c>
      <c r="F208" s="16">
        <v>0.06</v>
      </c>
      <c r="G208" s="15" t="s">
        <v>32</v>
      </c>
      <c r="H208" s="18">
        <v>-107.096</v>
      </c>
      <c r="I208" s="19">
        <v>20.99</v>
      </c>
      <c r="J208" s="19">
        <v>2.5</v>
      </c>
      <c r="K208" s="19" t="s">
        <v>44</v>
      </c>
      <c r="L208" s="19" t="s">
        <v>120</v>
      </c>
      <c r="M208" s="15" t="s">
        <v>121</v>
      </c>
      <c r="N208" s="15" t="s">
        <v>64</v>
      </c>
      <c r="O208" s="15" t="s">
        <v>65</v>
      </c>
      <c r="P208" s="20" t="s">
        <v>445</v>
      </c>
      <c r="Q208" s="15" t="s">
        <v>79</v>
      </c>
      <c r="R208" s="4"/>
      <c r="S208" s="4"/>
    </row>
    <row r="209" spans="1:19" ht="21" customHeight="1" x14ac:dyDescent="0.25">
      <c r="A209" s="14">
        <f>DATE(2012,12,31)-868</f>
        <v>40406</v>
      </c>
      <c r="B209" s="15" t="s">
        <v>444</v>
      </c>
      <c r="C209" s="15" t="s">
        <v>31</v>
      </c>
      <c r="D209" s="16">
        <v>39</v>
      </c>
      <c r="E209" s="17">
        <v>158.46</v>
      </c>
      <c r="F209" s="16">
        <v>0.06</v>
      </c>
      <c r="G209" s="15" t="s">
        <v>32</v>
      </c>
      <c r="H209" s="18">
        <v>-130.66300000000001</v>
      </c>
      <c r="I209" s="19">
        <v>3.98</v>
      </c>
      <c r="J209" s="19">
        <v>5.26</v>
      </c>
      <c r="K209" s="19" t="s">
        <v>33</v>
      </c>
      <c r="L209" s="19" t="s">
        <v>128</v>
      </c>
      <c r="M209" s="15" t="s">
        <v>129</v>
      </c>
      <c r="N209" s="15" t="s">
        <v>36</v>
      </c>
      <c r="O209" s="15" t="s">
        <v>170</v>
      </c>
      <c r="P209" s="20" t="s">
        <v>446</v>
      </c>
      <c r="Q209" s="15" t="s">
        <v>83</v>
      </c>
      <c r="R209" s="4"/>
      <c r="S209" s="4"/>
    </row>
    <row r="210" spans="1:19" ht="21" customHeight="1" x14ac:dyDescent="0.25">
      <c r="A210" s="14">
        <f>DATE(2012,12,31)-868</f>
        <v>40406</v>
      </c>
      <c r="B210" s="15" t="s">
        <v>444</v>
      </c>
      <c r="C210" s="15" t="s">
        <v>31</v>
      </c>
      <c r="D210" s="16">
        <v>31</v>
      </c>
      <c r="E210" s="17">
        <v>7180.83</v>
      </c>
      <c r="F210" s="16">
        <v>0.02</v>
      </c>
      <c r="G210" s="15" t="s">
        <v>58</v>
      </c>
      <c r="H210" s="18">
        <v>487.17</v>
      </c>
      <c r="I210" s="19">
        <v>220.98</v>
      </c>
      <c r="J210" s="19">
        <v>64.66</v>
      </c>
      <c r="K210" s="19" t="s">
        <v>97</v>
      </c>
      <c r="L210" s="19" t="s">
        <v>195</v>
      </c>
      <c r="M210" s="15" t="s">
        <v>196</v>
      </c>
      <c r="N210" s="15" t="s">
        <v>54</v>
      </c>
      <c r="O210" s="15" t="s">
        <v>134</v>
      </c>
      <c r="P210" s="20" t="s">
        <v>447</v>
      </c>
      <c r="Q210" s="15" t="s">
        <v>63</v>
      </c>
      <c r="R210" s="4"/>
      <c r="S210" s="4"/>
    </row>
    <row r="211" spans="1:19" ht="21" customHeight="1" x14ac:dyDescent="0.25">
      <c r="A211" s="14">
        <f>DATE(2012,12,31)-980</f>
        <v>40294</v>
      </c>
      <c r="B211" s="15" t="s">
        <v>448</v>
      </c>
      <c r="C211" s="15" t="s">
        <v>51</v>
      </c>
      <c r="D211" s="16">
        <v>43</v>
      </c>
      <c r="E211" s="17">
        <v>17129.97</v>
      </c>
      <c r="F211" s="16">
        <v>7.0000000000000007E-2</v>
      </c>
      <c r="G211" s="15" t="s">
        <v>32</v>
      </c>
      <c r="H211" s="18">
        <v>5616.08</v>
      </c>
      <c r="I211" s="19">
        <v>415.88</v>
      </c>
      <c r="J211" s="19">
        <v>11.37</v>
      </c>
      <c r="K211" s="19" t="s">
        <v>124</v>
      </c>
      <c r="L211" s="19" t="s">
        <v>160</v>
      </c>
      <c r="M211" s="15" t="s">
        <v>161</v>
      </c>
      <c r="N211" s="15" t="s">
        <v>36</v>
      </c>
      <c r="O211" s="15" t="s">
        <v>37</v>
      </c>
      <c r="P211" s="20" t="s">
        <v>449</v>
      </c>
      <c r="Q211" s="15" t="s">
        <v>83</v>
      </c>
      <c r="R211" s="4"/>
      <c r="S211" s="4"/>
    </row>
    <row r="212" spans="1:19" ht="21" customHeight="1" x14ac:dyDescent="0.25">
      <c r="A212" s="14">
        <f>DATE(2012,12,31)-1107</f>
        <v>40167</v>
      </c>
      <c r="B212" s="15" t="s">
        <v>450</v>
      </c>
      <c r="C212" s="15" t="s">
        <v>51</v>
      </c>
      <c r="D212" s="16">
        <v>39</v>
      </c>
      <c r="E212" s="17">
        <v>5748.2</v>
      </c>
      <c r="F212" s="16">
        <v>0.09</v>
      </c>
      <c r="G212" s="15" t="s">
        <v>58</v>
      </c>
      <c r="H212" s="18">
        <v>-459.86</v>
      </c>
      <c r="I212" s="19">
        <v>160.97999999999999</v>
      </c>
      <c r="J212" s="19">
        <v>35.020000000000003</v>
      </c>
      <c r="K212" s="19" t="s">
        <v>44</v>
      </c>
      <c r="L212" s="19" t="s">
        <v>52</v>
      </c>
      <c r="M212" s="15" t="s">
        <v>424</v>
      </c>
      <c r="N212" s="15" t="s">
        <v>54</v>
      </c>
      <c r="O212" s="15" t="s">
        <v>134</v>
      </c>
      <c r="P212" s="20" t="s">
        <v>451</v>
      </c>
      <c r="Q212" s="15" t="s">
        <v>63</v>
      </c>
      <c r="R212" s="4"/>
      <c r="S212" s="4"/>
    </row>
    <row r="213" spans="1:19" ht="21" customHeight="1" x14ac:dyDescent="0.25">
      <c r="A213" s="14">
        <f>DATE(2012,12,31)-1107</f>
        <v>40167</v>
      </c>
      <c r="B213" s="15" t="s">
        <v>450</v>
      </c>
      <c r="C213" s="15" t="s">
        <v>51</v>
      </c>
      <c r="D213" s="16">
        <v>47</v>
      </c>
      <c r="E213" s="17">
        <v>6717.9324999999999</v>
      </c>
      <c r="F213" s="16">
        <v>0.09</v>
      </c>
      <c r="G213" s="15" t="s">
        <v>32</v>
      </c>
      <c r="H213" s="18">
        <v>1717.893</v>
      </c>
      <c r="I213" s="19">
        <v>175.99</v>
      </c>
      <c r="J213" s="19">
        <v>4.99</v>
      </c>
      <c r="K213" s="19" t="s">
        <v>44</v>
      </c>
      <c r="L213" s="19" t="s">
        <v>52</v>
      </c>
      <c r="M213" s="15" t="s">
        <v>424</v>
      </c>
      <c r="N213" s="15" t="s">
        <v>64</v>
      </c>
      <c r="O213" s="15" t="s">
        <v>65</v>
      </c>
      <c r="P213" s="20" t="s">
        <v>452</v>
      </c>
      <c r="Q213" s="15" t="s">
        <v>83</v>
      </c>
      <c r="R213" s="4"/>
      <c r="S213" s="4"/>
    </row>
    <row r="214" spans="1:19" ht="21" customHeight="1" x14ac:dyDescent="0.25">
      <c r="A214" s="14">
        <f>DATE(2012,12,31)-1025</f>
        <v>40249</v>
      </c>
      <c r="B214" s="15" t="s">
        <v>256</v>
      </c>
      <c r="C214" s="15" t="s">
        <v>43</v>
      </c>
      <c r="D214" s="16">
        <v>13</v>
      </c>
      <c r="E214" s="17">
        <v>59.03</v>
      </c>
      <c r="F214" s="16">
        <v>0.1</v>
      </c>
      <c r="G214" s="15" t="s">
        <v>101</v>
      </c>
      <c r="H214" s="18">
        <v>26.92</v>
      </c>
      <c r="I214" s="19">
        <v>3.69</v>
      </c>
      <c r="J214" s="19">
        <v>0.5</v>
      </c>
      <c r="K214" s="19" t="s">
        <v>33</v>
      </c>
      <c r="L214" s="19" t="s">
        <v>93</v>
      </c>
      <c r="M214" s="15" t="s">
        <v>94</v>
      </c>
      <c r="N214" s="15" t="s">
        <v>36</v>
      </c>
      <c r="O214" s="15" t="s">
        <v>114</v>
      </c>
      <c r="P214" s="20" t="s">
        <v>453</v>
      </c>
      <c r="Q214" s="15" t="s">
        <v>83</v>
      </c>
      <c r="R214" s="4"/>
      <c r="S214" s="4"/>
    </row>
    <row r="215" spans="1:19" ht="21" customHeight="1" x14ac:dyDescent="0.25">
      <c r="A215" s="14">
        <f>DATE(2012,12,31)-1025</f>
        <v>40249</v>
      </c>
      <c r="B215" s="15" t="s">
        <v>256</v>
      </c>
      <c r="C215" s="15" t="s">
        <v>43</v>
      </c>
      <c r="D215" s="16">
        <v>21</v>
      </c>
      <c r="E215" s="17">
        <v>97.48</v>
      </c>
      <c r="F215" s="16">
        <v>0.05</v>
      </c>
      <c r="G215" s="15" t="s">
        <v>32</v>
      </c>
      <c r="H215" s="18">
        <v>-5.77</v>
      </c>
      <c r="I215" s="19">
        <v>4.71</v>
      </c>
      <c r="J215" s="19">
        <v>0.7</v>
      </c>
      <c r="K215" s="19" t="s">
        <v>44</v>
      </c>
      <c r="L215" s="19" t="s">
        <v>120</v>
      </c>
      <c r="M215" s="15" t="s">
        <v>121</v>
      </c>
      <c r="N215" s="15" t="s">
        <v>36</v>
      </c>
      <c r="O215" s="15" t="s">
        <v>105</v>
      </c>
      <c r="P215" s="20" t="s">
        <v>454</v>
      </c>
      <c r="Q215" s="15" t="s">
        <v>79</v>
      </c>
      <c r="R215" s="4"/>
      <c r="S215" s="4"/>
    </row>
    <row r="216" spans="1:19" ht="21" customHeight="1" x14ac:dyDescent="0.25">
      <c r="A216" s="14">
        <f>DATE(2012,12,31)-504</f>
        <v>40770</v>
      </c>
      <c r="B216" s="15" t="s">
        <v>455</v>
      </c>
      <c r="C216" s="15" t="s">
        <v>85</v>
      </c>
      <c r="D216" s="16">
        <v>44</v>
      </c>
      <c r="E216" s="17">
        <v>4530.96</v>
      </c>
      <c r="F216" s="16">
        <v>7.0000000000000007E-2</v>
      </c>
      <c r="G216" s="15" t="s">
        <v>58</v>
      </c>
      <c r="H216" s="18">
        <v>-993.35</v>
      </c>
      <c r="I216" s="19">
        <v>105.49</v>
      </c>
      <c r="J216" s="19">
        <v>41.64</v>
      </c>
      <c r="K216" s="19" t="s">
        <v>44</v>
      </c>
      <c r="L216" s="19" t="s">
        <v>89</v>
      </c>
      <c r="M216" s="15" t="s">
        <v>90</v>
      </c>
      <c r="N216" s="15" t="s">
        <v>54</v>
      </c>
      <c r="O216" s="15" t="s">
        <v>61</v>
      </c>
      <c r="P216" s="20" t="s">
        <v>456</v>
      </c>
      <c r="Q216" s="15" t="s">
        <v>63</v>
      </c>
      <c r="R216" s="4"/>
      <c r="S216" s="4"/>
    </row>
    <row r="217" spans="1:19" ht="21" customHeight="1" x14ac:dyDescent="0.25">
      <c r="A217" s="14">
        <f>DATE(2012,12,31)-510</f>
        <v>40764</v>
      </c>
      <c r="B217" s="15" t="s">
        <v>457</v>
      </c>
      <c r="C217" s="15" t="s">
        <v>31</v>
      </c>
      <c r="D217" s="16">
        <v>41</v>
      </c>
      <c r="E217" s="17">
        <v>726.22</v>
      </c>
      <c r="F217" s="16">
        <v>0.01</v>
      </c>
      <c r="G217" s="15" t="s">
        <v>32</v>
      </c>
      <c r="H217" s="18">
        <v>52.47</v>
      </c>
      <c r="I217" s="19">
        <v>17.670000000000002</v>
      </c>
      <c r="J217" s="19">
        <v>8.99</v>
      </c>
      <c r="K217" s="19" t="s">
        <v>69</v>
      </c>
      <c r="L217" s="19" t="s">
        <v>75</v>
      </c>
      <c r="M217" s="15" t="s">
        <v>76</v>
      </c>
      <c r="N217" s="15" t="s">
        <v>54</v>
      </c>
      <c r="O217" s="15" t="s">
        <v>55</v>
      </c>
      <c r="P217" s="20" t="s">
        <v>458</v>
      </c>
      <c r="Q217" s="15" t="s">
        <v>49</v>
      </c>
      <c r="R217" s="4"/>
      <c r="S217" s="4"/>
    </row>
    <row r="218" spans="1:19" ht="21" customHeight="1" x14ac:dyDescent="0.25">
      <c r="A218" s="14">
        <f>DATE(2012,12,31)-1122</f>
        <v>40152</v>
      </c>
      <c r="B218" s="15" t="s">
        <v>459</v>
      </c>
      <c r="C218" s="15" t="s">
        <v>85</v>
      </c>
      <c r="D218" s="16">
        <v>32</v>
      </c>
      <c r="E218" s="17">
        <v>21717.360000000001</v>
      </c>
      <c r="F218" s="16">
        <v>0.06</v>
      </c>
      <c r="G218" s="15" t="s">
        <v>101</v>
      </c>
      <c r="H218" s="18">
        <v>8249.86</v>
      </c>
      <c r="I218" s="19">
        <v>699.99</v>
      </c>
      <c r="J218" s="19">
        <v>24.49</v>
      </c>
      <c r="K218" s="19" t="s">
        <v>44</v>
      </c>
      <c r="L218" s="19" t="s">
        <v>52</v>
      </c>
      <c r="M218" s="15" t="s">
        <v>424</v>
      </c>
      <c r="N218" s="15" t="s">
        <v>64</v>
      </c>
      <c r="O218" s="15" t="s">
        <v>460</v>
      </c>
      <c r="P218" s="20" t="s">
        <v>461</v>
      </c>
      <c r="Q218" s="15" t="s">
        <v>39</v>
      </c>
      <c r="R218" s="4"/>
      <c r="S218" s="4"/>
    </row>
    <row r="219" spans="1:19" ht="21" customHeight="1" x14ac:dyDescent="0.25">
      <c r="A219" s="14">
        <f>DATE(2012,12,31)-1122</f>
        <v>40152</v>
      </c>
      <c r="B219" s="15" t="s">
        <v>459</v>
      </c>
      <c r="C219" s="15" t="s">
        <v>85</v>
      </c>
      <c r="D219" s="16">
        <v>13</v>
      </c>
      <c r="E219" s="17">
        <v>15823.27</v>
      </c>
      <c r="F219" s="16">
        <v>0.04</v>
      </c>
      <c r="G219" s="15" t="s">
        <v>58</v>
      </c>
      <c r="H219" s="18">
        <v>1759.34</v>
      </c>
      <c r="I219" s="19">
        <v>1360.14</v>
      </c>
      <c r="J219" s="19">
        <v>14.7</v>
      </c>
      <c r="K219" s="19" t="s">
        <v>33</v>
      </c>
      <c r="L219" s="19" t="s">
        <v>93</v>
      </c>
      <c r="M219" s="15" t="s">
        <v>94</v>
      </c>
      <c r="N219" s="15" t="s">
        <v>64</v>
      </c>
      <c r="O219" s="15" t="s">
        <v>122</v>
      </c>
      <c r="P219" s="20" t="s">
        <v>462</v>
      </c>
      <c r="Q219" s="15" t="s">
        <v>181</v>
      </c>
      <c r="R219" s="4"/>
      <c r="S219" s="4"/>
    </row>
    <row r="220" spans="1:19" ht="21" customHeight="1" x14ac:dyDescent="0.25">
      <c r="A220" s="14">
        <f>DATE(2012,12,31)-1122</f>
        <v>40152</v>
      </c>
      <c r="B220" s="15" t="s">
        <v>459</v>
      </c>
      <c r="C220" s="15" t="s">
        <v>85</v>
      </c>
      <c r="D220" s="16">
        <v>2</v>
      </c>
      <c r="E220" s="17">
        <v>21.44</v>
      </c>
      <c r="F220" s="16">
        <v>0.02</v>
      </c>
      <c r="G220" s="15" t="s">
        <v>32</v>
      </c>
      <c r="H220" s="18">
        <v>-13.67</v>
      </c>
      <c r="I220" s="19">
        <v>6.48</v>
      </c>
      <c r="J220" s="19">
        <v>8.74</v>
      </c>
      <c r="K220" s="19" t="s">
        <v>33</v>
      </c>
      <c r="L220" s="19" t="s">
        <v>145</v>
      </c>
      <c r="M220" s="15" t="s">
        <v>146</v>
      </c>
      <c r="N220" s="15" t="s">
        <v>36</v>
      </c>
      <c r="O220" s="15" t="s">
        <v>117</v>
      </c>
      <c r="P220" s="20" t="s">
        <v>179</v>
      </c>
      <c r="Q220" s="15" t="s">
        <v>83</v>
      </c>
      <c r="R220" s="4"/>
      <c r="S220" s="4"/>
    </row>
    <row r="221" spans="1:19" ht="21" customHeight="1" x14ac:dyDescent="0.25">
      <c r="A221" s="14">
        <f>DATE(2012,12,31)-1122</f>
        <v>40152</v>
      </c>
      <c r="B221" s="15" t="s">
        <v>459</v>
      </c>
      <c r="C221" s="15" t="s">
        <v>85</v>
      </c>
      <c r="D221" s="16">
        <v>24</v>
      </c>
      <c r="E221" s="17">
        <v>416.4</v>
      </c>
      <c r="F221" s="16">
        <v>0.02</v>
      </c>
      <c r="G221" s="15" t="s">
        <v>32</v>
      </c>
      <c r="H221" s="18">
        <v>24.33</v>
      </c>
      <c r="I221" s="19">
        <v>17.149999999999999</v>
      </c>
      <c r="J221" s="19">
        <v>4.96</v>
      </c>
      <c r="K221" s="19" t="s">
        <v>33</v>
      </c>
      <c r="L221" s="19" t="s">
        <v>59</v>
      </c>
      <c r="M221" s="15" t="s">
        <v>60</v>
      </c>
      <c r="N221" s="15" t="s">
        <v>36</v>
      </c>
      <c r="O221" s="15" t="s">
        <v>37</v>
      </c>
      <c r="P221" s="20" t="s">
        <v>463</v>
      </c>
      <c r="Q221" s="15" t="s">
        <v>83</v>
      </c>
      <c r="R221" s="4"/>
      <c r="S221" s="4"/>
    </row>
    <row r="222" spans="1:19" ht="21" customHeight="1" x14ac:dyDescent="0.25">
      <c r="A222" s="14">
        <f>DATE(2012,12,31)-1122</f>
        <v>40152</v>
      </c>
      <c r="B222" s="15" t="s">
        <v>459</v>
      </c>
      <c r="C222" s="15" t="s">
        <v>85</v>
      </c>
      <c r="D222" s="16">
        <v>25</v>
      </c>
      <c r="E222" s="17">
        <v>772.24</v>
      </c>
      <c r="F222" s="16">
        <v>7.0000000000000007E-2</v>
      </c>
      <c r="G222" s="15" t="s">
        <v>32</v>
      </c>
      <c r="H222" s="18">
        <v>181.98</v>
      </c>
      <c r="I222" s="19">
        <v>30.98</v>
      </c>
      <c r="J222" s="19">
        <v>8.74</v>
      </c>
      <c r="K222" s="19" t="s">
        <v>33</v>
      </c>
      <c r="L222" s="19" t="s">
        <v>145</v>
      </c>
      <c r="M222" s="15" t="s">
        <v>146</v>
      </c>
      <c r="N222" s="15" t="s">
        <v>36</v>
      </c>
      <c r="O222" s="15" t="s">
        <v>117</v>
      </c>
      <c r="P222" s="20" t="s">
        <v>464</v>
      </c>
      <c r="Q222" s="15" t="s">
        <v>83</v>
      </c>
      <c r="R222" s="4"/>
      <c r="S222" s="4"/>
    </row>
    <row r="223" spans="1:19" ht="21" customHeight="1" x14ac:dyDescent="0.25">
      <c r="A223" s="14">
        <f>DATE(2012,12,31)-722</f>
        <v>40552</v>
      </c>
      <c r="B223" s="15" t="s">
        <v>465</v>
      </c>
      <c r="C223" s="15" t="s">
        <v>85</v>
      </c>
      <c r="D223" s="16">
        <v>3</v>
      </c>
      <c r="E223" s="17">
        <v>1326.09</v>
      </c>
      <c r="F223" s="16">
        <v>0</v>
      </c>
      <c r="G223" s="15" t="s">
        <v>32</v>
      </c>
      <c r="H223" s="18">
        <v>-20.5505</v>
      </c>
      <c r="I223" s="19">
        <v>420.98</v>
      </c>
      <c r="J223" s="19">
        <v>19.989999999999998</v>
      </c>
      <c r="K223" s="19" t="s">
        <v>33</v>
      </c>
      <c r="L223" s="19" t="s">
        <v>145</v>
      </c>
      <c r="M223" s="15" t="s">
        <v>146</v>
      </c>
      <c r="N223" s="15" t="s">
        <v>36</v>
      </c>
      <c r="O223" s="15" t="s">
        <v>170</v>
      </c>
      <c r="P223" s="20" t="s">
        <v>466</v>
      </c>
      <c r="Q223" s="15" t="s">
        <v>83</v>
      </c>
      <c r="R223" s="4"/>
      <c r="S223" s="4"/>
    </row>
    <row r="224" spans="1:19" ht="21" customHeight="1" x14ac:dyDescent="0.25">
      <c r="A224" s="14">
        <f>DATE(2012,12,31)-722</f>
        <v>40552</v>
      </c>
      <c r="B224" s="15" t="s">
        <v>465</v>
      </c>
      <c r="C224" s="15" t="s">
        <v>85</v>
      </c>
      <c r="D224" s="16">
        <v>30</v>
      </c>
      <c r="E224" s="17">
        <v>339.49</v>
      </c>
      <c r="F224" s="16">
        <v>0.08</v>
      </c>
      <c r="G224" s="15" t="s">
        <v>32</v>
      </c>
      <c r="H224" s="18">
        <v>-74.209999999999994</v>
      </c>
      <c r="I224" s="19">
        <v>11.97</v>
      </c>
      <c r="J224" s="19">
        <v>5.81</v>
      </c>
      <c r="K224" s="19" t="s">
        <v>33</v>
      </c>
      <c r="L224" s="19" t="s">
        <v>59</v>
      </c>
      <c r="M224" s="15" t="s">
        <v>60</v>
      </c>
      <c r="N224" s="15" t="s">
        <v>36</v>
      </c>
      <c r="O224" s="15" t="s">
        <v>77</v>
      </c>
      <c r="P224" s="20" t="s">
        <v>467</v>
      </c>
      <c r="Q224" s="15" t="s">
        <v>49</v>
      </c>
      <c r="R224" s="4"/>
      <c r="S224" s="4"/>
    </row>
    <row r="225" spans="1:19" ht="21" customHeight="1" x14ac:dyDescent="0.25">
      <c r="A225" s="14">
        <f>DATE(2012,12,31)-78</f>
        <v>41196</v>
      </c>
      <c r="B225" s="15" t="s">
        <v>468</v>
      </c>
      <c r="C225" s="15" t="s">
        <v>51</v>
      </c>
      <c r="D225" s="16">
        <v>40</v>
      </c>
      <c r="E225" s="17">
        <v>2135.9734999999996</v>
      </c>
      <c r="F225" s="16">
        <v>7.0000000000000007E-2</v>
      </c>
      <c r="G225" s="15" t="s">
        <v>32</v>
      </c>
      <c r="H225" s="18">
        <v>239.4</v>
      </c>
      <c r="I225" s="19">
        <v>65.989999999999995</v>
      </c>
      <c r="J225" s="19">
        <v>8.99</v>
      </c>
      <c r="K225" s="19" t="s">
        <v>69</v>
      </c>
      <c r="L225" s="19" t="s">
        <v>75</v>
      </c>
      <c r="M225" s="15" t="s">
        <v>76</v>
      </c>
      <c r="N225" s="15" t="s">
        <v>64</v>
      </c>
      <c r="O225" s="15" t="s">
        <v>65</v>
      </c>
      <c r="P225" s="20" t="s">
        <v>469</v>
      </c>
      <c r="Q225" s="15" t="s">
        <v>83</v>
      </c>
      <c r="R225" s="4"/>
      <c r="S225" s="4"/>
    </row>
    <row r="226" spans="1:19" ht="21" customHeight="1" x14ac:dyDescent="0.25">
      <c r="A226" s="14">
        <f>DATE(2012,12,31)-126</f>
        <v>41148</v>
      </c>
      <c r="B226" s="15" t="s">
        <v>470</v>
      </c>
      <c r="C226" s="15" t="s">
        <v>85</v>
      </c>
      <c r="D226" s="16">
        <v>31</v>
      </c>
      <c r="E226" s="17">
        <v>293.18</v>
      </c>
      <c r="F226" s="16">
        <v>0.08</v>
      </c>
      <c r="G226" s="15" t="s">
        <v>32</v>
      </c>
      <c r="H226" s="18">
        <v>64.22</v>
      </c>
      <c r="I226" s="19">
        <v>10.01</v>
      </c>
      <c r="J226" s="19">
        <v>1.99</v>
      </c>
      <c r="K226" s="19" t="s">
        <v>69</v>
      </c>
      <c r="L226" s="19" t="s">
        <v>70</v>
      </c>
      <c r="M226" s="15" t="s">
        <v>71</v>
      </c>
      <c r="N226" s="15" t="s">
        <v>64</v>
      </c>
      <c r="O226" s="15" t="s">
        <v>72</v>
      </c>
      <c r="P226" s="20" t="s">
        <v>471</v>
      </c>
      <c r="Q226" s="15" t="s">
        <v>49</v>
      </c>
      <c r="R226" s="4"/>
      <c r="S226" s="4"/>
    </row>
    <row r="227" spans="1:19" ht="21" customHeight="1" x14ac:dyDescent="0.25">
      <c r="A227" s="14">
        <f>DATE(2012,12,31)-810</f>
        <v>40464</v>
      </c>
      <c r="B227" s="15" t="s">
        <v>472</v>
      </c>
      <c r="C227" s="15" t="s">
        <v>85</v>
      </c>
      <c r="D227" s="16">
        <v>29</v>
      </c>
      <c r="E227" s="17">
        <v>4345.8599999999997</v>
      </c>
      <c r="F227" s="16">
        <v>0.09</v>
      </c>
      <c r="G227" s="15" t="s">
        <v>32</v>
      </c>
      <c r="H227" s="18">
        <v>126.62</v>
      </c>
      <c r="I227" s="19">
        <v>152.47999999999999</v>
      </c>
      <c r="J227" s="19">
        <v>4</v>
      </c>
      <c r="K227" s="19" t="s">
        <v>69</v>
      </c>
      <c r="L227" s="19" t="s">
        <v>75</v>
      </c>
      <c r="M227" s="15" t="s">
        <v>76</v>
      </c>
      <c r="N227" s="15" t="s">
        <v>64</v>
      </c>
      <c r="O227" s="15" t="s">
        <v>72</v>
      </c>
      <c r="P227" s="20" t="s">
        <v>473</v>
      </c>
      <c r="Q227" s="15" t="s">
        <v>83</v>
      </c>
      <c r="R227" s="4"/>
      <c r="S227" s="4"/>
    </row>
    <row r="228" spans="1:19" ht="21" customHeight="1" x14ac:dyDescent="0.25">
      <c r="A228" s="14">
        <f>DATE(2012,12,31)-321</f>
        <v>40953</v>
      </c>
      <c r="B228" s="15" t="s">
        <v>474</v>
      </c>
      <c r="C228" s="15" t="s">
        <v>43</v>
      </c>
      <c r="D228" s="16">
        <v>5</v>
      </c>
      <c r="E228" s="17">
        <v>16.600000000000001</v>
      </c>
      <c r="F228" s="16">
        <v>7.0000000000000007E-2</v>
      </c>
      <c r="G228" s="15" t="s">
        <v>32</v>
      </c>
      <c r="H228" s="18">
        <v>-20.297499999999999</v>
      </c>
      <c r="I228" s="19">
        <v>2.16</v>
      </c>
      <c r="J228" s="19">
        <v>6.05</v>
      </c>
      <c r="K228" s="19" t="s">
        <v>44</v>
      </c>
      <c r="L228" s="19" t="s">
        <v>120</v>
      </c>
      <c r="M228" s="15" t="s">
        <v>121</v>
      </c>
      <c r="N228" s="15" t="s">
        <v>36</v>
      </c>
      <c r="O228" s="15" t="s">
        <v>170</v>
      </c>
      <c r="P228" s="20" t="s">
        <v>475</v>
      </c>
      <c r="Q228" s="15" t="s">
        <v>83</v>
      </c>
      <c r="R228" s="4"/>
      <c r="S228" s="4"/>
    </row>
    <row r="229" spans="1:19" ht="21" customHeight="1" x14ac:dyDescent="0.25">
      <c r="A229" s="14">
        <f>DATE(2012,12,31)-563</f>
        <v>40711</v>
      </c>
      <c r="B229" s="15" t="s">
        <v>476</v>
      </c>
      <c r="C229" s="15" t="s">
        <v>43</v>
      </c>
      <c r="D229" s="16">
        <v>15</v>
      </c>
      <c r="E229" s="17">
        <v>1297.3040000000001</v>
      </c>
      <c r="F229" s="16">
        <v>0</v>
      </c>
      <c r="G229" s="15" t="s">
        <v>32</v>
      </c>
      <c r="H229" s="18">
        <v>149.82300000000001</v>
      </c>
      <c r="I229" s="19">
        <v>95.99</v>
      </c>
      <c r="J229" s="19">
        <v>4.9000000000000004</v>
      </c>
      <c r="K229" s="19" t="s">
        <v>44</v>
      </c>
      <c r="L229" s="19" t="s">
        <v>45</v>
      </c>
      <c r="M229" s="15" t="s">
        <v>46</v>
      </c>
      <c r="N229" s="15" t="s">
        <v>64</v>
      </c>
      <c r="O229" s="15" t="s">
        <v>65</v>
      </c>
      <c r="P229" s="20" t="s">
        <v>477</v>
      </c>
      <c r="Q229" s="15" t="s">
        <v>83</v>
      </c>
      <c r="R229" s="4"/>
      <c r="S229" s="4"/>
    </row>
    <row r="230" spans="1:19" ht="21" customHeight="1" x14ac:dyDescent="0.25">
      <c r="A230" s="14">
        <f>DATE(2012,12,31)-663</f>
        <v>40611</v>
      </c>
      <c r="B230" s="15" t="s">
        <v>478</v>
      </c>
      <c r="C230" s="15" t="s">
        <v>31</v>
      </c>
      <c r="D230" s="16">
        <v>33</v>
      </c>
      <c r="E230" s="17">
        <v>511.83</v>
      </c>
      <c r="F230" s="16">
        <v>0.1</v>
      </c>
      <c r="G230" s="15" t="s">
        <v>32</v>
      </c>
      <c r="H230" s="18">
        <v>-172.87950000000001</v>
      </c>
      <c r="I230" s="19">
        <v>15.99</v>
      </c>
      <c r="J230" s="19">
        <v>13.18</v>
      </c>
      <c r="K230" s="19" t="s">
        <v>44</v>
      </c>
      <c r="L230" s="19" t="s">
        <v>45</v>
      </c>
      <c r="M230" s="15" t="s">
        <v>46</v>
      </c>
      <c r="N230" s="15" t="s">
        <v>36</v>
      </c>
      <c r="O230" s="15" t="s">
        <v>170</v>
      </c>
      <c r="P230" s="20" t="s">
        <v>479</v>
      </c>
      <c r="Q230" s="15" t="s">
        <v>83</v>
      </c>
      <c r="R230" s="4"/>
      <c r="S230" s="4"/>
    </row>
    <row r="231" spans="1:19" ht="21" customHeight="1" x14ac:dyDescent="0.25">
      <c r="A231" s="14">
        <f>DATE(2012,12,31)-663</f>
        <v>40611</v>
      </c>
      <c r="B231" s="15" t="s">
        <v>478</v>
      </c>
      <c r="C231" s="15" t="s">
        <v>31</v>
      </c>
      <c r="D231" s="16">
        <v>38</v>
      </c>
      <c r="E231" s="17">
        <v>184.99</v>
      </c>
      <c r="F231" s="16">
        <v>0.05</v>
      </c>
      <c r="G231" s="15" t="s">
        <v>32</v>
      </c>
      <c r="H231" s="18">
        <v>-144.55000000000001</v>
      </c>
      <c r="I231" s="19">
        <v>4.8899999999999997</v>
      </c>
      <c r="J231" s="19">
        <v>4.93</v>
      </c>
      <c r="K231" s="19" t="s">
        <v>44</v>
      </c>
      <c r="L231" s="19" t="s">
        <v>89</v>
      </c>
      <c r="M231" s="15" t="s">
        <v>90</v>
      </c>
      <c r="N231" s="15" t="s">
        <v>64</v>
      </c>
      <c r="O231" s="15" t="s">
        <v>72</v>
      </c>
      <c r="P231" s="20" t="s">
        <v>480</v>
      </c>
      <c r="Q231" s="15" t="s">
        <v>49</v>
      </c>
      <c r="R231" s="4"/>
      <c r="S231" s="4"/>
    </row>
    <row r="232" spans="1:19" ht="21" customHeight="1" x14ac:dyDescent="0.25">
      <c r="A232" s="14">
        <f>DATE(2012,12,31)-149</f>
        <v>41125</v>
      </c>
      <c r="B232" s="15" t="s">
        <v>481</v>
      </c>
      <c r="C232" s="15" t="s">
        <v>51</v>
      </c>
      <c r="D232" s="16">
        <v>30</v>
      </c>
      <c r="E232" s="17">
        <v>80.900000000000006</v>
      </c>
      <c r="F232" s="16">
        <v>0.09</v>
      </c>
      <c r="G232" s="15" t="s">
        <v>32</v>
      </c>
      <c r="H232" s="18">
        <v>5.76</v>
      </c>
      <c r="I232" s="19">
        <v>2.88</v>
      </c>
      <c r="J232" s="19">
        <v>0.7</v>
      </c>
      <c r="K232" s="19" t="s">
        <v>44</v>
      </c>
      <c r="L232" s="19" t="s">
        <v>89</v>
      </c>
      <c r="M232" s="15" t="s">
        <v>90</v>
      </c>
      <c r="N232" s="15" t="s">
        <v>36</v>
      </c>
      <c r="O232" s="15" t="s">
        <v>77</v>
      </c>
      <c r="P232" s="20" t="s">
        <v>482</v>
      </c>
      <c r="Q232" s="15" t="s">
        <v>79</v>
      </c>
      <c r="R232" s="4"/>
      <c r="S232" s="4"/>
    </row>
    <row r="233" spans="1:19" ht="21" customHeight="1" x14ac:dyDescent="0.25">
      <c r="A233" s="14">
        <f>DATE(2012,12,31)-839</f>
        <v>40435</v>
      </c>
      <c r="B233" s="15" t="s">
        <v>292</v>
      </c>
      <c r="C233" s="15" t="s">
        <v>85</v>
      </c>
      <c r="D233" s="16">
        <v>47</v>
      </c>
      <c r="E233" s="17">
        <v>2150.25</v>
      </c>
      <c r="F233" s="16">
        <v>0.06</v>
      </c>
      <c r="G233" s="15" t="s">
        <v>32</v>
      </c>
      <c r="H233" s="18">
        <v>586.92999999999995</v>
      </c>
      <c r="I233" s="19">
        <v>48.58</v>
      </c>
      <c r="J233" s="19">
        <v>3.99</v>
      </c>
      <c r="K233" s="19" t="s">
        <v>44</v>
      </c>
      <c r="L233" s="19" t="s">
        <v>45</v>
      </c>
      <c r="M233" s="15" t="s">
        <v>46</v>
      </c>
      <c r="N233" s="15" t="s">
        <v>36</v>
      </c>
      <c r="O233" s="15" t="s">
        <v>176</v>
      </c>
      <c r="P233" s="20" t="s">
        <v>483</v>
      </c>
      <c r="Q233" s="15" t="s">
        <v>83</v>
      </c>
      <c r="R233" s="4"/>
      <c r="S233" s="4"/>
    </row>
    <row r="234" spans="1:19" ht="21" customHeight="1" x14ac:dyDescent="0.25">
      <c r="A234" s="14">
        <f>DATE(2012,12,31)-839</f>
        <v>40435</v>
      </c>
      <c r="B234" s="15" t="s">
        <v>292</v>
      </c>
      <c r="C234" s="15" t="s">
        <v>85</v>
      </c>
      <c r="D234" s="16">
        <v>13</v>
      </c>
      <c r="E234" s="17">
        <v>448</v>
      </c>
      <c r="F234" s="16">
        <v>0.08</v>
      </c>
      <c r="G234" s="15" t="s">
        <v>32</v>
      </c>
      <c r="H234" s="18">
        <v>27.2</v>
      </c>
      <c r="I234" s="19">
        <v>35.51</v>
      </c>
      <c r="J234" s="19">
        <v>6.31</v>
      </c>
      <c r="K234" s="19" t="s">
        <v>44</v>
      </c>
      <c r="L234" s="19" t="s">
        <v>120</v>
      </c>
      <c r="M234" s="15" t="s">
        <v>121</v>
      </c>
      <c r="N234" s="15" t="s">
        <v>36</v>
      </c>
      <c r="O234" s="15" t="s">
        <v>37</v>
      </c>
      <c r="P234" s="20" t="s">
        <v>484</v>
      </c>
      <c r="Q234" s="15" t="s">
        <v>83</v>
      </c>
      <c r="R234" s="4"/>
      <c r="S234" s="4"/>
    </row>
    <row r="235" spans="1:19" ht="21" customHeight="1" x14ac:dyDescent="0.25">
      <c r="A235" s="14">
        <f>DATE(2012,12,31)-4</f>
        <v>41270</v>
      </c>
      <c r="B235" s="15" t="s">
        <v>485</v>
      </c>
      <c r="C235" s="15" t="s">
        <v>51</v>
      </c>
      <c r="D235" s="16">
        <v>13</v>
      </c>
      <c r="E235" s="17">
        <v>759.94</v>
      </c>
      <c r="F235" s="16">
        <v>0.09</v>
      </c>
      <c r="G235" s="15" t="s">
        <v>58</v>
      </c>
      <c r="H235" s="18">
        <v>-226.45</v>
      </c>
      <c r="I235" s="19">
        <v>60.89</v>
      </c>
      <c r="J235" s="19">
        <v>32.409999999999997</v>
      </c>
      <c r="K235" s="19" t="s">
        <v>44</v>
      </c>
      <c r="L235" s="19" t="s">
        <v>89</v>
      </c>
      <c r="M235" s="15" t="s">
        <v>90</v>
      </c>
      <c r="N235" s="15" t="s">
        <v>54</v>
      </c>
      <c r="O235" s="15" t="s">
        <v>252</v>
      </c>
      <c r="P235" s="20" t="s">
        <v>486</v>
      </c>
      <c r="Q235" s="15" t="s">
        <v>181</v>
      </c>
      <c r="R235" s="4"/>
      <c r="S235" s="4"/>
    </row>
    <row r="236" spans="1:19" ht="21" customHeight="1" x14ac:dyDescent="0.25">
      <c r="A236" s="14">
        <f>DATE(2012,12,31)-476</f>
        <v>40798</v>
      </c>
      <c r="B236" s="15" t="s">
        <v>340</v>
      </c>
      <c r="C236" s="15" t="s">
        <v>85</v>
      </c>
      <c r="D236" s="16">
        <v>26</v>
      </c>
      <c r="E236" s="17">
        <v>133.65</v>
      </c>
      <c r="F236" s="16">
        <v>0.05</v>
      </c>
      <c r="G236" s="15" t="s">
        <v>32</v>
      </c>
      <c r="H236" s="18">
        <v>56.28</v>
      </c>
      <c r="I236" s="19">
        <v>4.9800000000000004</v>
      </c>
      <c r="J236" s="19">
        <v>0.8</v>
      </c>
      <c r="K236" s="19" t="s">
        <v>44</v>
      </c>
      <c r="L236" s="19" t="s">
        <v>89</v>
      </c>
      <c r="M236" s="15" t="s">
        <v>90</v>
      </c>
      <c r="N236" s="15" t="s">
        <v>36</v>
      </c>
      <c r="O236" s="15" t="s">
        <v>117</v>
      </c>
      <c r="P236" s="20" t="s">
        <v>487</v>
      </c>
      <c r="Q236" s="15" t="s">
        <v>79</v>
      </c>
      <c r="R236" s="4"/>
      <c r="S236" s="4"/>
    </row>
    <row r="237" spans="1:19" ht="21" customHeight="1" x14ac:dyDescent="0.25">
      <c r="A237" s="14">
        <f>DATE(2012,12,31)-476</f>
        <v>40798</v>
      </c>
      <c r="B237" s="15" t="s">
        <v>340</v>
      </c>
      <c r="C237" s="15" t="s">
        <v>85</v>
      </c>
      <c r="D237" s="16">
        <v>10</v>
      </c>
      <c r="E237" s="17">
        <v>525.67399999999998</v>
      </c>
      <c r="F237" s="16">
        <v>0.08</v>
      </c>
      <c r="G237" s="15" t="s">
        <v>32</v>
      </c>
      <c r="H237" s="18">
        <v>-147.01499999999999</v>
      </c>
      <c r="I237" s="19">
        <v>65.989999999999995</v>
      </c>
      <c r="J237" s="19">
        <v>5.26</v>
      </c>
      <c r="K237" s="19" t="s">
        <v>44</v>
      </c>
      <c r="L237" s="19" t="s">
        <v>120</v>
      </c>
      <c r="M237" s="15" t="s">
        <v>121</v>
      </c>
      <c r="N237" s="15" t="s">
        <v>64</v>
      </c>
      <c r="O237" s="15" t="s">
        <v>65</v>
      </c>
      <c r="P237" s="20" t="s">
        <v>488</v>
      </c>
      <c r="Q237" s="15" t="s">
        <v>83</v>
      </c>
      <c r="R237" s="4"/>
      <c r="S237" s="4"/>
    </row>
    <row r="238" spans="1:19" ht="21" customHeight="1" x14ac:dyDescent="0.25">
      <c r="A238" s="14">
        <f>DATE(2012,12,31)-1035</f>
        <v>40239</v>
      </c>
      <c r="B238" s="15" t="s">
        <v>489</v>
      </c>
      <c r="C238" s="15" t="s">
        <v>85</v>
      </c>
      <c r="D238" s="16">
        <v>32</v>
      </c>
      <c r="E238" s="17">
        <v>303.58999999999997</v>
      </c>
      <c r="F238" s="16">
        <v>0.1</v>
      </c>
      <c r="G238" s="15" t="s">
        <v>32</v>
      </c>
      <c r="H238" s="18">
        <v>-45.99</v>
      </c>
      <c r="I238" s="19">
        <v>9.65</v>
      </c>
      <c r="J238" s="19">
        <v>6.22</v>
      </c>
      <c r="K238" s="19" t="s">
        <v>33</v>
      </c>
      <c r="L238" s="19" t="s">
        <v>93</v>
      </c>
      <c r="M238" s="15" t="s">
        <v>94</v>
      </c>
      <c r="N238" s="15" t="s">
        <v>54</v>
      </c>
      <c r="O238" s="15" t="s">
        <v>55</v>
      </c>
      <c r="P238" s="20" t="s">
        <v>490</v>
      </c>
      <c r="Q238" s="15" t="s">
        <v>83</v>
      </c>
      <c r="R238" s="4"/>
      <c r="S238" s="4"/>
    </row>
    <row r="239" spans="1:19" ht="21" customHeight="1" x14ac:dyDescent="0.25">
      <c r="A239" s="14">
        <f>DATE(2012,12,31)-1035</f>
        <v>40239</v>
      </c>
      <c r="B239" s="15" t="s">
        <v>489</v>
      </c>
      <c r="C239" s="15" t="s">
        <v>85</v>
      </c>
      <c r="D239" s="16">
        <v>36</v>
      </c>
      <c r="E239" s="17">
        <v>191.6</v>
      </c>
      <c r="F239" s="16">
        <v>0.04</v>
      </c>
      <c r="G239" s="15" t="s">
        <v>32</v>
      </c>
      <c r="H239" s="18">
        <v>-150.74</v>
      </c>
      <c r="I239" s="19">
        <v>4.9800000000000004</v>
      </c>
      <c r="J239" s="19">
        <v>7.44</v>
      </c>
      <c r="K239" s="19" t="s">
        <v>97</v>
      </c>
      <c r="L239" s="19" t="s">
        <v>283</v>
      </c>
      <c r="M239" s="15" t="s">
        <v>284</v>
      </c>
      <c r="N239" s="15" t="s">
        <v>36</v>
      </c>
      <c r="O239" s="15" t="s">
        <v>117</v>
      </c>
      <c r="P239" s="20" t="s">
        <v>266</v>
      </c>
      <c r="Q239" s="15" t="s">
        <v>83</v>
      </c>
      <c r="R239" s="4"/>
      <c r="S239" s="4"/>
    </row>
    <row r="240" spans="1:19" ht="21" customHeight="1" x14ac:dyDescent="0.25">
      <c r="A240" s="14">
        <f>DATE(2012,12,31)-899</f>
        <v>40375</v>
      </c>
      <c r="B240" s="15" t="s">
        <v>491</v>
      </c>
      <c r="C240" s="15" t="s">
        <v>31</v>
      </c>
      <c r="D240" s="16">
        <v>47</v>
      </c>
      <c r="E240" s="17">
        <v>622.82000000000005</v>
      </c>
      <c r="F240" s="16">
        <v>0</v>
      </c>
      <c r="G240" s="15" t="s">
        <v>32</v>
      </c>
      <c r="H240" s="18">
        <v>128.88</v>
      </c>
      <c r="I240" s="19">
        <v>12.64</v>
      </c>
      <c r="J240" s="19">
        <v>4.9800000000000004</v>
      </c>
      <c r="K240" s="19" t="s">
        <v>124</v>
      </c>
      <c r="L240" s="19" t="s">
        <v>160</v>
      </c>
      <c r="M240" s="15" t="s">
        <v>161</v>
      </c>
      <c r="N240" s="15" t="s">
        <v>54</v>
      </c>
      <c r="O240" s="15" t="s">
        <v>55</v>
      </c>
      <c r="P240" s="20" t="s">
        <v>166</v>
      </c>
      <c r="Q240" s="15" t="s">
        <v>49</v>
      </c>
      <c r="R240" s="4"/>
      <c r="S240" s="4"/>
    </row>
    <row r="241" spans="1:19" ht="21" customHeight="1" x14ac:dyDescent="0.25">
      <c r="A241" s="14">
        <f>DATE(2012,12,31)-693</f>
        <v>40581</v>
      </c>
      <c r="B241" s="15" t="s">
        <v>492</v>
      </c>
      <c r="C241" s="15" t="s">
        <v>43</v>
      </c>
      <c r="D241" s="16">
        <v>36</v>
      </c>
      <c r="E241" s="17">
        <v>1225.52</v>
      </c>
      <c r="F241" s="16">
        <v>0.1</v>
      </c>
      <c r="G241" s="15" t="s">
        <v>101</v>
      </c>
      <c r="H241" s="18">
        <v>-1191.1300000000001</v>
      </c>
      <c r="I241" s="19">
        <v>35.479999999999997</v>
      </c>
      <c r="J241" s="19">
        <v>35</v>
      </c>
      <c r="K241" s="19" t="s">
        <v>124</v>
      </c>
      <c r="L241" s="19" t="s">
        <v>493</v>
      </c>
      <c r="M241" s="15" t="s">
        <v>494</v>
      </c>
      <c r="N241" s="15" t="s">
        <v>36</v>
      </c>
      <c r="O241" s="15" t="s">
        <v>37</v>
      </c>
      <c r="P241" s="20" t="s">
        <v>495</v>
      </c>
      <c r="Q241" s="15" t="s">
        <v>39</v>
      </c>
      <c r="R241" s="4"/>
      <c r="S241" s="4"/>
    </row>
    <row r="242" spans="1:19" ht="21" customHeight="1" x14ac:dyDescent="0.25">
      <c r="A242" s="14">
        <f>DATE(2012,12,31)-693</f>
        <v>40581</v>
      </c>
      <c r="B242" s="15" t="s">
        <v>492</v>
      </c>
      <c r="C242" s="15" t="s">
        <v>43</v>
      </c>
      <c r="D242" s="16">
        <v>10</v>
      </c>
      <c r="E242" s="17">
        <v>1024.29</v>
      </c>
      <c r="F242" s="16">
        <v>7.0000000000000007E-2</v>
      </c>
      <c r="G242" s="15" t="s">
        <v>32</v>
      </c>
      <c r="H242" s="18">
        <v>-95.52</v>
      </c>
      <c r="I242" s="19">
        <v>99.99</v>
      </c>
      <c r="J242" s="19">
        <v>19.989999999999998</v>
      </c>
      <c r="K242" s="19" t="s">
        <v>44</v>
      </c>
      <c r="L242" s="19" t="s">
        <v>52</v>
      </c>
      <c r="M242" s="15" t="s">
        <v>424</v>
      </c>
      <c r="N242" s="15" t="s">
        <v>64</v>
      </c>
      <c r="O242" s="15" t="s">
        <v>72</v>
      </c>
      <c r="P242" s="20" t="s">
        <v>496</v>
      </c>
      <c r="Q242" s="15" t="s">
        <v>83</v>
      </c>
      <c r="R242" s="4"/>
      <c r="S242" s="4"/>
    </row>
    <row r="243" spans="1:19" ht="21" customHeight="1" x14ac:dyDescent="0.25">
      <c r="A243" s="14">
        <f>DATE(2012,12,31)-693</f>
        <v>40581</v>
      </c>
      <c r="B243" s="15" t="s">
        <v>492</v>
      </c>
      <c r="C243" s="15" t="s">
        <v>43</v>
      </c>
      <c r="D243" s="16">
        <v>47</v>
      </c>
      <c r="E243" s="17">
        <v>1348.57</v>
      </c>
      <c r="F243" s="16">
        <v>0.08</v>
      </c>
      <c r="G243" s="15" t="s">
        <v>32</v>
      </c>
      <c r="H243" s="18">
        <v>19.57</v>
      </c>
      <c r="I243" s="19">
        <v>30.98</v>
      </c>
      <c r="J243" s="19">
        <v>8.99</v>
      </c>
      <c r="K243" s="19" t="s">
        <v>44</v>
      </c>
      <c r="L243" s="19" t="s">
        <v>52</v>
      </c>
      <c r="M243" s="15" t="s">
        <v>424</v>
      </c>
      <c r="N243" s="15" t="s">
        <v>36</v>
      </c>
      <c r="O243" s="15" t="s">
        <v>77</v>
      </c>
      <c r="P243" s="20" t="s">
        <v>497</v>
      </c>
      <c r="Q243" s="15" t="s">
        <v>49</v>
      </c>
      <c r="R243" s="4"/>
      <c r="S243" s="4"/>
    </row>
    <row r="244" spans="1:19" ht="21" customHeight="1" x14ac:dyDescent="0.25">
      <c r="A244" s="14">
        <f>DATE(2012,12,31)-500</f>
        <v>40774</v>
      </c>
      <c r="B244" s="15" t="s">
        <v>498</v>
      </c>
      <c r="C244" s="15" t="s">
        <v>43</v>
      </c>
      <c r="D244" s="16">
        <v>24</v>
      </c>
      <c r="E244" s="17">
        <v>163.13999999999999</v>
      </c>
      <c r="F244" s="16">
        <v>0.09</v>
      </c>
      <c r="G244" s="15" t="s">
        <v>32</v>
      </c>
      <c r="H244" s="18">
        <v>-62.2</v>
      </c>
      <c r="I244" s="19">
        <v>6.78</v>
      </c>
      <c r="J244" s="19">
        <v>6.18</v>
      </c>
      <c r="K244" s="19" t="s">
        <v>44</v>
      </c>
      <c r="L244" s="19" t="s">
        <v>52</v>
      </c>
      <c r="M244" s="15" t="s">
        <v>424</v>
      </c>
      <c r="N244" s="15" t="s">
        <v>36</v>
      </c>
      <c r="O244" s="15" t="s">
        <v>117</v>
      </c>
      <c r="P244" s="20" t="s">
        <v>499</v>
      </c>
      <c r="Q244" s="15" t="s">
        <v>83</v>
      </c>
      <c r="R244" s="4"/>
      <c r="S244" s="4"/>
    </row>
    <row r="245" spans="1:19" ht="21" customHeight="1" x14ac:dyDescent="0.25">
      <c r="A245" s="14">
        <f>DATE(2012,12,31)-1334</f>
        <v>39940</v>
      </c>
      <c r="B245" s="15" t="s">
        <v>500</v>
      </c>
      <c r="C245" s="15" t="s">
        <v>51</v>
      </c>
      <c r="D245" s="16">
        <v>26</v>
      </c>
      <c r="E245" s="17">
        <v>755.60749999999996</v>
      </c>
      <c r="F245" s="16">
        <v>0.05</v>
      </c>
      <c r="G245" s="15" t="s">
        <v>32</v>
      </c>
      <c r="H245" s="18">
        <v>149.166</v>
      </c>
      <c r="I245" s="19">
        <v>35.99</v>
      </c>
      <c r="J245" s="19">
        <v>1.1000000000000001</v>
      </c>
      <c r="K245" s="19" t="s">
        <v>44</v>
      </c>
      <c r="L245" s="19" t="s">
        <v>52</v>
      </c>
      <c r="M245" s="15" t="s">
        <v>424</v>
      </c>
      <c r="N245" s="15" t="s">
        <v>64</v>
      </c>
      <c r="O245" s="15" t="s">
        <v>65</v>
      </c>
      <c r="P245" s="20" t="s">
        <v>501</v>
      </c>
      <c r="Q245" s="15" t="s">
        <v>83</v>
      </c>
      <c r="R245" s="4"/>
      <c r="S245" s="4"/>
    </row>
    <row r="246" spans="1:19" ht="21" customHeight="1" x14ac:dyDescent="0.25">
      <c r="A246" s="14">
        <f>DATE(2012,12,31)-441</f>
        <v>40833</v>
      </c>
      <c r="B246" s="15" t="s">
        <v>502</v>
      </c>
      <c r="C246" s="15" t="s">
        <v>85</v>
      </c>
      <c r="D246" s="16">
        <v>19</v>
      </c>
      <c r="E246" s="17">
        <v>5642.18</v>
      </c>
      <c r="F246" s="16">
        <v>0.09</v>
      </c>
      <c r="G246" s="15" t="s">
        <v>101</v>
      </c>
      <c r="H246" s="18">
        <v>1996.6755000000003</v>
      </c>
      <c r="I246" s="19">
        <v>315.98</v>
      </c>
      <c r="J246" s="19">
        <v>19.989999999999998</v>
      </c>
      <c r="K246" s="19" t="s">
        <v>33</v>
      </c>
      <c r="L246" s="19" t="s">
        <v>145</v>
      </c>
      <c r="M246" s="15" t="s">
        <v>146</v>
      </c>
      <c r="N246" s="15" t="s">
        <v>36</v>
      </c>
      <c r="O246" s="15" t="s">
        <v>170</v>
      </c>
      <c r="P246" s="20" t="s">
        <v>503</v>
      </c>
      <c r="Q246" s="15" t="s">
        <v>83</v>
      </c>
      <c r="R246" s="4"/>
      <c r="S246" s="4"/>
    </row>
    <row r="247" spans="1:19" ht="21" customHeight="1" x14ac:dyDescent="0.25">
      <c r="A247" s="14">
        <f>DATE(2012,12,31)-733</f>
        <v>40541</v>
      </c>
      <c r="B247" s="15" t="s">
        <v>504</v>
      </c>
      <c r="C247" s="15" t="s">
        <v>85</v>
      </c>
      <c r="D247" s="16">
        <v>40</v>
      </c>
      <c r="E247" s="17">
        <v>430.88</v>
      </c>
      <c r="F247" s="16">
        <v>0.05</v>
      </c>
      <c r="G247" s="15" t="s">
        <v>32</v>
      </c>
      <c r="H247" s="18">
        <v>39</v>
      </c>
      <c r="I247" s="19">
        <v>11.09</v>
      </c>
      <c r="J247" s="19">
        <v>5.25</v>
      </c>
      <c r="K247" s="19" t="s">
        <v>124</v>
      </c>
      <c r="L247" s="19" t="s">
        <v>125</v>
      </c>
      <c r="M247" s="15" t="s">
        <v>126</v>
      </c>
      <c r="N247" s="15" t="s">
        <v>36</v>
      </c>
      <c r="O247" s="15" t="s">
        <v>189</v>
      </c>
      <c r="P247" s="20" t="s">
        <v>505</v>
      </c>
      <c r="Q247" s="15" t="s">
        <v>83</v>
      </c>
      <c r="R247" s="4"/>
      <c r="S247" s="4"/>
    </row>
    <row r="248" spans="1:19" ht="21" customHeight="1" x14ac:dyDescent="0.25">
      <c r="A248" s="14">
        <f>DATE(2012,12,31)-227</f>
        <v>41047</v>
      </c>
      <c r="B248" s="15" t="s">
        <v>506</v>
      </c>
      <c r="C248" s="15" t="s">
        <v>51</v>
      </c>
      <c r="D248" s="16">
        <v>49</v>
      </c>
      <c r="E248" s="17">
        <v>2047.58</v>
      </c>
      <c r="F248" s="16">
        <v>0.01</v>
      </c>
      <c r="G248" s="15" t="s">
        <v>32</v>
      </c>
      <c r="H248" s="18">
        <v>902.62</v>
      </c>
      <c r="I248" s="19">
        <v>40.98</v>
      </c>
      <c r="J248" s="19">
        <v>1.99</v>
      </c>
      <c r="K248" s="19" t="s">
        <v>44</v>
      </c>
      <c r="L248" s="19" t="s">
        <v>89</v>
      </c>
      <c r="M248" s="15" t="s">
        <v>90</v>
      </c>
      <c r="N248" s="15" t="s">
        <v>64</v>
      </c>
      <c r="O248" s="15" t="s">
        <v>72</v>
      </c>
      <c r="P248" s="20" t="s">
        <v>507</v>
      </c>
      <c r="Q248" s="15" t="s">
        <v>49</v>
      </c>
      <c r="R248" s="4"/>
      <c r="S248" s="4"/>
    </row>
    <row r="249" spans="1:19" ht="21" customHeight="1" x14ac:dyDescent="0.25">
      <c r="A249" s="14">
        <f>DATE(2012,12,31)-227</f>
        <v>41047</v>
      </c>
      <c r="B249" s="15" t="s">
        <v>506</v>
      </c>
      <c r="C249" s="15" t="s">
        <v>51</v>
      </c>
      <c r="D249" s="16">
        <v>1</v>
      </c>
      <c r="E249" s="17">
        <v>56.61</v>
      </c>
      <c r="F249" s="16">
        <v>0.02</v>
      </c>
      <c r="G249" s="15" t="s">
        <v>32</v>
      </c>
      <c r="H249" s="18">
        <v>-22.16</v>
      </c>
      <c r="I249" s="19">
        <v>40.97</v>
      </c>
      <c r="J249" s="19">
        <v>14.45</v>
      </c>
      <c r="K249" s="19" t="s">
        <v>33</v>
      </c>
      <c r="L249" s="19" t="s">
        <v>59</v>
      </c>
      <c r="M249" s="15" t="s">
        <v>60</v>
      </c>
      <c r="N249" s="15" t="s">
        <v>54</v>
      </c>
      <c r="O249" s="15" t="s">
        <v>55</v>
      </c>
      <c r="P249" s="20" t="s">
        <v>508</v>
      </c>
      <c r="Q249" s="15" t="s">
        <v>39</v>
      </c>
      <c r="R249" s="4"/>
      <c r="S249" s="4"/>
    </row>
    <row r="250" spans="1:19" ht="21" customHeight="1" x14ac:dyDescent="0.25">
      <c r="A250" s="14">
        <f>DATE(2012,12,31)-605</f>
        <v>40669</v>
      </c>
      <c r="B250" s="15" t="s">
        <v>509</v>
      </c>
      <c r="C250" s="15" t="s">
        <v>51</v>
      </c>
      <c r="D250" s="16">
        <v>23</v>
      </c>
      <c r="E250" s="17">
        <v>67.239999999999995</v>
      </c>
      <c r="F250" s="16">
        <v>0.06</v>
      </c>
      <c r="G250" s="15" t="s">
        <v>32</v>
      </c>
      <c r="H250" s="18">
        <v>4.9000000000000004</v>
      </c>
      <c r="I250" s="19">
        <v>2.84</v>
      </c>
      <c r="J250" s="19">
        <v>0.93</v>
      </c>
      <c r="K250" s="19" t="s">
        <v>33</v>
      </c>
      <c r="L250" s="19" t="s">
        <v>59</v>
      </c>
      <c r="M250" s="15" t="s">
        <v>60</v>
      </c>
      <c r="N250" s="15" t="s">
        <v>36</v>
      </c>
      <c r="O250" s="15" t="s">
        <v>77</v>
      </c>
      <c r="P250" s="20" t="s">
        <v>510</v>
      </c>
      <c r="Q250" s="15" t="s">
        <v>79</v>
      </c>
      <c r="R250" s="4"/>
      <c r="S250" s="4"/>
    </row>
    <row r="251" spans="1:19" ht="21" customHeight="1" x14ac:dyDescent="0.25">
      <c r="A251" s="14">
        <f>DATE(2012,12,31)-739</f>
        <v>40535</v>
      </c>
      <c r="B251" s="15" t="s">
        <v>478</v>
      </c>
      <c r="C251" s="15" t="s">
        <v>51</v>
      </c>
      <c r="D251" s="16">
        <v>25</v>
      </c>
      <c r="E251" s="17">
        <v>12028.23</v>
      </c>
      <c r="F251" s="16">
        <v>0.01</v>
      </c>
      <c r="G251" s="15" t="s">
        <v>58</v>
      </c>
      <c r="H251" s="18">
        <v>-547.61</v>
      </c>
      <c r="I251" s="19">
        <v>449.99</v>
      </c>
      <c r="J251" s="19">
        <v>49</v>
      </c>
      <c r="K251" s="19" t="s">
        <v>69</v>
      </c>
      <c r="L251" s="19" t="s">
        <v>215</v>
      </c>
      <c r="M251" s="15" t="s">
        <v>216</v>
      </c>
      <c r="N251" s="15" t="s">
        <v>64</v>
      </c>
      <c r="O251" s="15" t="s">
        <v>460</v>
      </c>
      <c r="P251" s="20" t="s">
        <v>511</v>
      </c>
      <c r="Q251" s="15" t="s">
        <v>181</v>
      </c>
      <c r="R251" s="4"/>
      <c r="S251" s="4"/>
    </row>
    <row r="252" spans="1:19" ht="21" customHeight="1" x14ac:dyDescent="0.25">
      <c r="A252" s="14">
        <f>DATE(2012,12,31)-1230</f>
        <v>40044</v>
      </c>
      <c r="B252" s="15" t="s">
        <v>512</v>
      </c>
      <c r="C252" s="15" t="s">
        <v>43</v>
      </c>
      <c r="D252" s="16">
        <v>29</v>
      </c>
      <c r="E252" s="17">
        <v>857.11</v>
      </c>
      <c r="F252" s="16">
        <v>7.0000000000000007E-2</v>
      </c>
      <c r="G252" s="15" t="s">
        <v>32</v>
      </c>
      <c r="H252" s="18">
        <v>285.2</v>
      </c>
      <c r="I252" s="19">
        <v>31.78</v>
      </c>
      <c r="J252" s="19">
        <v>1.99</v>
      </c>
      <c r="K252" s="19" t="s">
        <v>111</v>
      </c>
      <c r="L252" s="19" t="s">
        <v>442</v>
      </c>
      <c r="M252" s="15" t="s">
        <v>443</v>
      </c>
      <c r="N252" s="15" t="s">
        <v>64</v>
      </c>
      <c r="O252" s="15" t="s">
        <v>72</v>
      </c>
      <c r="P252" s="20" t="s">
        <v>421</v>
      </c>
      <c r="Q252" s="15" t="s">
        <v>49</v>
      </c>
      <c r="R252" s="4"/>
      <c r="S252" s="4"/>
    </row>
    <row r="253" spans="1:19" ht="21" customHeight="1" x14ac:dyDescent="0.25">
      <c r="A253" s="14">
        <f>DATE(2012,12,31)-1230</f>
        <v>40044</v>
      </c>
      <c r="B253" s="15" t="s">
        <v>512</v>
      </c>
      <c r="C253" s="15" t="s">
        <v>43</v>
      </c>
      <c r="D253" s="16">
        <v>11</v>
      </c>
      <c r="E253" s="17">
        <v>69.599999999999994</v>
      </c>
      <c r="F253" s="16">
        <v>0</v>
      </c>
      <c r="G253" s="15" t="s">
        <v>32</v>
      </c>
      <c r="H253" s="18">
        <v>6.46</v>
      </c>
      <c r="I253" s="19">
        <v>5.98</v>
      </c>
      <c r="J253" s="19">
        <v>2.5</v>
      </c>
      <c r="K253" s="19" t="s">
        <v>33</v>
      </c>
      <c r="L253" s="19" t="s">
        <v>93</v>
      </c>
      <c r="M253" s="15" t="s">
        <v>94</v>
      </c>
      <c r="N253" s="15" t="s">
        <v>36</v>
      </c>
      <c r="O253" s="15" t="s">
        <v>189</v>
      </c>
      <c r="P253" s="20" t="s">
        <v>513</v>
      </c>
      <c r="Q253" s="15" t="s">
        <v>83</v>
      </c>
      <c r="R253" s="4"/>
      <c r="S253" s="4"/>
    </row>
    <row r="254" spans="1:19" ht="21" customHeight="1" x14ac:dyDescent="0.25">
      <c r="A254" s="14">
        <f>DATE(2012,12,31)-1230</f>
        <v>40044</v>
      </c>
      <c r="B254" s="15" t="s">
        <v>512</v>
      </c>
      <c r="C254" s="15" t="s">
        <v>43</v>
      </c>
      <c r="D254" s="16">
        <v>43</v>
      </c>
      <c r="E254" s="17">
        <v>1279.5050000000001</v>
      </c>
      <c r="F254" s="16">
        <v>0.1</v>
      </c>
      <c r="G254" s="15" t="s">
        <v>101</v>
      </c>
      <c r="H254" s="18">
        <v>384.20099999999996</v>
      </c>
      <c r="I254" s="19">
        <v>35.99</v>
      </c>
      <c r="J254" s="19">
        <v>1.1000000000000001</v>
      </c>
      <c r="K254" s="19" t="s">
        <v>97</v>
      </c>
      <c r="L254" s="19" t="s">
        <v>283</v>
      </c>
      <c r="M254" s="15" t="s">
        <v>284</v>
      </c>
      <c r="N254" s="15" t="s">
        <v>64</v>
      </c>
      <c r="O254" s="15" t="s">
        <v>65</v>
      </c>
      <c r="P254" s="20" t="s">
        <v>501</v>
      </c>
      <c r="Q254" s="15" t="s">
        <v>83</v>
      </c>
      <c r="R254" s="4"/>
      <c r="S254" s="4"/>
    </row>
    <row r="255" spans="1:19" ht="21" customHeight="1" x14ac:dyDescent="0.25">
      <c r="A255" s="14">
        <f>DATE(2012,12,31)-282</f>
        <v>40992</v>
      </c>
      <c r="B255" s="15" t="s">
        <v>380</v>
      </c>
      <c r="C255" s="15" t="s">
        <v>85</v>
      </c>
      <c r="D255" s="16">
        <v>7</v>
      </c>
      <c r="E255" s="17">
        <v>59.99</v>
      </c>
      <c r="F255" s="16">
        <v>0.1</v>
      </c>
      <c r="G255" s="15" t="s">
        <v>32</v>
      </c>
      <c r="H255" s="18">
        <v>-13.78</v>
      </c>
      <c r="I255" s="19">
        <v>8.34</v>
      </c>
      <c r="J255" s="19">
        <v>4.82</v>
      </c>
      <c r="K255" s="19" t="s">
        <v>97</v>
      </c>
      <c r="L255" s="19" t="s">
        <v>195</v>
      </c>
      <c r="M255" s="15" t="s">
        <v>196</v>
      </c>
      <c r="N255" s="15" t="s">
        <v>36</v>
      </c>
      <c r="O255" s="15" t="s">
        <v>117</v>
      </c>
      <c r="P255" s="20" t="s">
        <v>514</v>
      </c>
      <c r="Q255" s="15" t="s">
        <v>83</v>
      </c>
      <c r="R255" s="4"/>
      <c r="S255" s="4"/>
    </row>
    <row r="256" spans="1:19" ht="21" customHeight="1" x14ac:dyDescent="0.25">
      <c r="A256" s="14">
        <f>DATE(2012,12,31)-659</f>
        <v>40615</v>
      </c>
      <c r="B256" s="15" t="s">
        <v>311</v>
      </c>
      <c r="C256" s="15" t="s">
        <v>51</v>
      </c>
      <c r="D256" s="16">
        <v>10</v>
      </c>
      <c r="E256" s="17">
        <v>46.34</v>
      </c>
      <c r="F256" s="16">
        <v>0.05</v>
      </c>
      <c r="G256" s="15" t="s">
        <v>32</v>
      </c>
      <c r="H256" s="18">
        <v>-7.76</v>
      </c>
      <c r="I256" s="19">
        <v>4.71</v>
      </c>
      <c r="J256" s="19">
        <v>0.7</v>
      </c>
      <c r="K256" s="19" t="s">
        <v>97</v>
      </c>
      <c r="L256" s="19" t="s">
        <v>98</v>
      </c>
      <c r="M256" s="15" t="s">
        <v>99</v>
      </c>
      <c r="N256" s="15" t="s">
        <v>36</v>
      </c>
      <c r="O256" s="15" t="s">
        <v>105</v>
      </c>
      <c r="P256" s="20" t="s">
        <v>454</v>
      </c>
      <c r="Q256" s="15" t="s">
        <v>79</v>
      </c>
      <c r="R256" s="4"/>
      <c r="S256" s="4"/>
    </row>
    <row r="257" spans="1:19" ht="21" customHeight="1" x14ac:dyDescent="0.25">
      <c r="A257" s="14">
        <f>DATE(2012,12,31)-784</f>
        <v>40490</v>
      </c>
      <c r="B257" s="15" t="s">
        <v>256</v>
      </c>
      <c r="C257" s="15" t="s">
        <v>31</v>
      </c>
      <c r="D257" s="16">
        <v>28</v>
      </c>
      <c r="E257" s="17">
        <v>370.48</v>
      </c>
      <c r="F257" s="16">
        <v>0.04</v>
      </c>
      <c r="G257" s="15" t="s">
        <v>32</v>
      </c>
      <c r="H257" s="18">
        <v>-5.45</v>
      </c>
      <c r="I257" s="19">
        <v>13.48</v>
      </c>
      <c r="J257" s="19">
        <v>4.51</v>
      </c>
      <c r="K257" s="19" t="s">
        <v>124</v>
      </c>
      <c r="L257" s="19" t="s">
        <v>160</v>
      </c>
      <c r="M257" s="15" t="s">
        <v>161</v>
      </c>
      <c r="N257" s="15" t="s">
        <v>36</v>
      </c>
      <c r="O257" s="15" t="s">
        <v>37</v>
      </c>
      <c r="P257" s="20" t="s">
        <v>515</v>
      </c>
      <c r="Q257" s="15" t="s">
        <v>83</v>
      </c>
      <c r="R257" s="4"/>
      <c r="S257" s="4"/>
    </row>
    <row r="258" spans="1:19" ht="21" customHeight="1" x14ac:dyDescent="0.25">
      <c r="A258" s="14">
        <f>DATE(2012,12,31)-173</f>
        <v>41101</v>
      </c>
      <c r="B258" s="15" t="s">
        <v>516</v>
      </c>
      <c r="C258" s="15" t="s">
        <v>43</v>
      </c>
      <c r="D258" s="16">
        <v>36</v>
      </c>
      <c r="E258" s="17">
        <v>233.43</v>
      </c>
      <c r="F258" s="16">
        <v>0.03</v>
      </c>
      <c r="G258" s="15" t="s">
        <v>32</v>
      </c>
      <c r="H258" s="18">
        <v>-71.897999999999996</v>
      </c>
      <c r="I258" s="19">
        <v>6.28</v>
      </c>
      <c r="J258" s="19">
        <v>5.36</v>
      </c>
      <c r="K258" s="19" t="s">
        <v>124</v>
      </c>
      <c r="L258" s="19" t="s">
        <v>160</v>
      </c>
      <c r="M258" s="15" t="s">
        <v>161</v>
      </c>
      <c r="N258" s="15" t="s">
        <v>36</v>
      </c>
      <c r="O258" s="15" t="s">
        <v>170</v>
      </c>
      <c r="P258" s="20" t="s">
        <v>517</v>
      </c>
      <c r="Q258" s="15" t="s">
        <v>83</v>
      </c>
      <c r="R258" s="4"/>
      <c r="S258" s="4"/>
    </row>
    <row r="259" spans="1:19" ht="21" customHeight="1" x14ac:dyDescent="0.25">
      <c r="A259" s="14">
        <f>DATE(2012,12,31)-41</f>
        <v>41233</v>
      </c>
      <c r="B259" s="15" t="s">
        <v>518</v>
      </c>
      <c r="C259" s="15" t="s">
        <v>51</v>
      </c>
      <c r="D259" s="16">
        <v>43</v>
      </c>
      <c r="E259" s="17">
        <v>183.41</v>
      </c>
      <c r="F259" s="16">
        <v>7.0000000000000007E-2</v>
      </c>
      <c r="G259" s="15" t="s">
        <v>32</v>
      </c>
      <c r="H259" s="18">
        <v>-125.4075</v>
      </c>
      <c r="I259" s="19">
        <v>4.13</v>
      </c>
      <c r="J259" s="19">
        <v>5.04</v>
      </c>
      <c r="K259" s="19" t="s">
        <v>44</v>
      </c>
      <c r="L259" s="19" t="s">
        <v>52</v>
      </c>
      <c r="M259" s="15" t="s">
        <v>424</v>
      </c>
      <c r="N259" s="15" t="s">
        <v>36</v>
      </c>
      <c r="O259" s="15" t="s">
        <v>170</v>
      </c>
      <c r="P259" s="20" t="s">
        <v>519</v>
      </c>
      <c r="Q259" s="15" t="s">
        <v>83</v>
      </c>
      <c r="R259" s="4"/>
      <c r="S259" s="4"/>
    </row>
    <row r="260" spans="1:19" ht="21" customHeight="1" x14ac:dyDescent="0.25">
      <c r="A260" s="14">
        <f>DATE(2012,12,31)-1396</f>
        <v>39878</v>
      </c>
      <c r="B260" s="15" t="s">
        <v>520</v>
      </c>
      <c r="C260" s="15" t="s">
        <v>43</v>
      </c>
      <c r="D260" s="16">
        <v>10</v>
      </c>
      <c r="E260" s="17">
        <v>1187.1199999999999</v>
      </c>
      <c r="F260" s="16">
        <v>0.06</v>
      </c>
      <c r="G260" s="15" t="s">
        <v>58</v>
      </c>
      <c r="H260" s="18">
        <v>-127.3</v>
      </c>
      <c r="I260" s="19">
        <v>113.98</v>
      </c>
      <c r="J260" s="19">
        <v>30</v>
      </c>
      <c r="K260" s="19" t="s">
        <v>44</v>
      </c>
      <c r="L260" s="19" t="s">
        <v>52</v>
      </c>
      <c r="M260" s="15" t="s">
        <v>424</v>
      </c>
      <c r="N260" s="15" t="s">
        <v>54</v>
      </c>
      <c r="O260" s="15" t="s">
        <v>252</v>
      </c>
      <c r="P260" s="20" t="s">
        <v>521</v>
      </c>
      <c r="Q260" s="15" t="s">
        <v>181</v>
      </c>
      <c r="R260" s="4"/>
      <c r="S260" s="4"/>
    </row>
    <row r="261" spans="1:19" ht="21" customHeight="1" x14ac:dyDescent="0.25">
      <c r="A261" s="14">
        <f>DATE(2012,12,31)-1396</f>
        <v>39878</v>
      </c>
      <c r="B261" s="15" t="s">
        <v>520</v>
      </c>
      <c r="C261" s="15" t="s">
        <v>43</v>
      </c>
      <c r="D261" s="16">
        <v>16</v>
      </c>
      <c r="E261" s="17">
        <v>108.31</v>
      </c>
      <c r="F261" s="16">
        <v>0.05</v>
      </c>
      <c r="G261" s="15" t="s">
        <v>32</v>
      </c>
      <c r="H261" s="18">
        <v>-52.77</v>
      </c>
      <c r="I261" s="19">
        <v>6.48</v>
      </c>
      <c r="J261" s="19">
        <v>6.86</v>
      </c>
      <c r="K261" s="19" t="s">
        <v>44</v>
      </c>
      <c r="L261" s="19" t="s">
        <v>52</v>
      </c>
      <c r="M261" s="15" t="s">
        <v>424</v>
      </c>
      <c r="N261" s="15" t="s">
        <v>36</v>
      </c>
      <c r="O261" s="15" t="s">
        <v>117</v>
      </c>
      <c r="P261" s="20" t="s">
        <v>522</v>
      </c>
      <c r="Q261" s="15" t="s">
        <v>83</v>
      </c>
      <c r="R261" s="4"/>
      <c r="S261" s="4"/>
    </row>
    <row r="262" spans="1:19" ht="21" customHeight="1" x14ac:dyDescent="0.25">
      <c r="A262" s="14">
        <f>DATE(2012,12,31)-1337</f>
        <v>39937</v>
      </c>
      <c r="B262" s="15" t="s">
        <v>523</v>
      </c>
      <c r="C262" s="15" t="s">
        <v>85</v>
      </c>
      <c r="D262" s="16">
        <v>39</v>
      </c>
      <c r="E262" s="17">
        <v>10656.26</v>
      </c>
      <c r="F262" s="16">
        <v>0.06</v>
      </c>
      <c r="G262" s="15" t="s">
        <v>32</v>
      </c>
      <c r="H262" s="18">
        <v>3116.54</v>
      </c>
      <c r="I262" s="19">
        <v>276.2</v>
      </c>
      <c r="J262" s="19">
        <v>24.49</v>
      </c>
      <c r="K262" s="19" t="s">
        <v>44</v>
      </c>
      <c r="L262" s="19" t="s">
        <v>52</v>
      </c>
      <c r="M262" s="15" t="s">
        <v>424</v>
      </c>
      <c r="N262" s="15" t="s">
        <v>54</v>
      </c>
      <c r="O262" s="15" t="s">
        <v>252</v>
      </c>
      <c r="P262" s="20" t="s">
        <v>524</v>
      </c>
      <c r="Q262" s="15" t="s">
        <v>39</v>
      </c>
      <c r="R262" s="4"/>
      <c r="S262" s="4"/>
    </row>
    <row r="263" spans="1:19" ht="21" customHeight="1" x14ac:dyDescent="0.25">
      <c r="A263" s="14">
        <f>DATE(2012,12,31)-1337</f>
        <v>39937</v>
      </c>
      <c r="B263" s="15" t="s">
        <v>523</v>
      </c>
      <c r="C263" s="15" t="s">
        <v>85</v>
      </c>
      <c r="D263" s="16">
        <v>2</v>
      </c>
      <c r="E263" s="17">
        <v>17.059999999999999</v>
      </c>
      <c r="F263" s="16">
        <v>0.09</v>
      </c>
      <c r="G263" s="15" t="s">
        <v>32</v>
      </c>
      <c r="H263" s="18">
        <v>-5.2</v>
      </c>
      <c r="I263" s="19">
        <v>6.28</v>
      </c>
      <c r="J263" s="19">
        <v>5.29</v>
      </c>
      <c r="K263" s="19" t="s">
        <v>97</v>
      </c>
      <c r="L263" s="19" t="s">
        <v>195</v>
      </c>
      <c r="M263" s="15" t="s">
        <v>196</v>
      </c>
      <c r="N263" s="15" t="s">
        <v>54</v>
      </c>
      <c r="O263" s="15" t="s">
        <v>55</v>
      </c>
      <c r="P263" s="20" t="s">
        <v>525</v>
      </c>
      <c r="Q263" s="15" t="s">
        <v>83</v>
      </c>
      <c r="R263" s="4"/>
      <c r="S263" s="4"/>
    </row>
    <row r="264" spans="1:19" ht="21" customHeight="1" x14ac:dyDescent="0.25">
      <c r="A264" s="14">
        <f>DATE(2012,12,31)-758</f>
        <v>40516</v>
      </c>
      <c r="B264" s="15" t="s">
        <v>404</v>
      </c>
      <c r="C264" s="15" t="s">
        <v>85</v>
      </c>
      <c r="D264" s="16">
        <v>22</v>
      </c>
      <c r="E264" s="17">
        <v>38.26</v>
      </c>
      <c r="F264" s="16">
        <v>0.03</v>
      </c>
      <c r="G264" s="15" t="s">
        <v>32</v>
      </c>
      <c r="H264" s="18">
        <v>-2.34</v>
      </c>
      <c r="I264" s="19">
        <v>1.76</v>
      </c>
      <c r="J264" s="19">
        <v>0.7</v>
      </c>
      <c r="K264" s="19" t="s">
        <v>124</v>
      </c>
      <c r="L264" s="19" t="s">
        <v>319</v>
      </c>
      <c r="M264" s="15" t="s">
        <v>320</v>
      </c>
      <c r="N264" s="15" t="s">
        <v>36</v>
      </c>
      <c r="O264" s="15" t="s">
        <v>77</v>
      </c>
      <c r="P264" s="20" t="s">
        <v>526</v>
      </c>
      <c r="Q264" s="15" t="s">
        <v>79</v>
      </c>
      <c r="R264" s="4"/>
      <c r="S264" s="4"/>
    </row>
    <row r="265" spans="1:19" ht="21" customHeight="1" x14ac:dyDescent="0.25">
      <c r="A265" s="14">
        <f>DATE(2012,12,31)-260</f>
        <v>41014</v>
      </c>
      <c r="B265" s="15" t="s">
        <v>527</v>
      </c>
      <c r="C265" s="15" t="s">
        <v>43</v>
      </c>
      <c r="D265" s="16">
        <v>5</v>
      </c>
      <c r="E265" s="17">
        <v>28.32</v>
      </c>
      <c r="F265" s="16">
        <v>0.09</v>
      </c>
      <c r="G265" s="15" t="s">
        <v>32</v>
      </c>
      <c r="H265" s="18">
        <v>-14.35</v>
      </c>
      <c r="I265" s="19">
        <v>4.9800000000000004</v>
      </c>
      <c r="J265" s="19">
        <v>4.75</v>
      </c>
      <c r="K265" s="19" t="s">
        <v>33</v>
      </c>
      <c r="L265" s="19" t="s">
        <v>34</v>
      </c>
      <c r="M265" s="15" t="s">
        <v>35</v>
      </c>
      <c r="N265" s="15" t="s">
        <v>36</v>
      </c>
      <c r="O265" s="15" t="s">
        <v>117</v>
      </c>
      <c r="P265" s="20" t="s">
        <v>528</v>
      </c>
      <c r="Q265" s="15" t="s">
        <v>83</v>
      </c>
      <c r="R265" s="4"/>
      <c r="S265" s="4"/>
    </row>
    <row r="266" spans="1:19" ht="21" customHeight="1" x14ac:dyDescent="0.25">
      <c r="A266" s="14">
        <f>DATE(2012,12,31)-1334</f>
        <v>39940</v>
      </c>
      <c r="B266" s="15" t="s">
        <v>529</v>
      </c>
      <c r="C266" s="15" t="s">
        <v>51</v>
      </c>
      <c r="D266" s="16">
        <v>48</v>
      </c>
      <c r="E266" s="17">
        <v>133.04</v>
      </c>
      <c r="F266" s="16">
        <v>7.0000000000000007E-2</v>
      </c>
      <c r="G266" s="15" t="s">
        <v>32</v>
      </c>
      <c r="H266" s="18">
        <v>6.7320000000000002</v>
      </c>
      <c r="I266" s="19">
        <v>2.78</v>
      </c>
      <c r="J266" s="19">
        <v>1.49</v>
      </c>
      <c r="K266" s="19" t="s">
        <v>69</v>
      </c>
      <c r="L266" s="19" t="s">
        <v>70</v>
      </c>
      <c r="M266" s="15" t="s">
        <v>71</v>
      </c>
      <c r="N266" s="15" t="s">
        <v>36</v>
      </c>
      <c r="O266" s="15" t="s">
        <v>170</v>
      </c>
      <c r="P266" s="20" t="s">
        <v>530</v>
      </c>
      <c r="Q266" s="15" t="s">
        <v>83</v>
      </c>
      <c r="R266" s="4"/>
      <c r="S266" s="4"/>
    </row>
    <row r="267" spans="1:19" ht="21" customHeight="1" x14ac:dyDescent="0.25">
      <c r="A267" s="14">
        <f>DATE(2012,12,31)-761</f>
        <v>40513</v>
      </c>
      <c r="B267" s="15" t="s">
        <v>265</v>
      </c>
      <c r="C267" s="15" t="s">
        <v>531</v>
      </c>
      <c r="D267" s="16">
        <v>33</v>
      </c>
      <c r="E267" s="17">
        <v>12586.19</v>
      </c>
      <c r="F267" s="16">
        <v>0</v>
      </c>
      <c r="G267" s="15" t="s">
        <v>58</v>
      </c>
      <c r="H267" s="18">
        <v>619.71</v>
      </c>
      <c r="I267" s="19">
        <v>370.98</v>
      </c>
      <c r="J267" s="19">
        <v>99</v>
      </c>
      <c r="K267" s="19" t="s">
        <v>44</v>
      </c>
      <c r="L267" s="19" t="s">
        <v>236</v>
      </c>
      <c r="M267" s="15" t="s">
        <v>237</v>
      </c>
      <c r="N267" s="15" t="s">
        <v>36</v>
      </c>
      <c r="O267" s="15" t="s">
        <v>37</v>
      </c>
      <c r="P267" s="20" t="s">
        <v>532</v>
      </c>
      <c r="Q267" s="15" t="s">
        <v>181</v>
      </c>
      <c r="R267" s="4"/>
      <c r="S267" s="4"/>
    </row>
    <row r="268" spans="1:19" ht="21" customHeight="1" x14ac:dyDescent="0.25">
      <c r="A268" s="14">
        <f>DATE(2012,12,31)-287</f>
        <v>40987</v>
      </c>
      <c r="B268" s="15" t="s">
        <v>533</v>
      </c>
      <c r="C268" s="15" t="s">
        <v>43</v>
      </c>
      <c r="D268" s="16">
        <v>24</v>
      </c>
      <c r="E268" s="17">
        <v>1449.3</v>
      </c>
      <c r="F268" s="16">
        <v>0.08</v>
      </c>
      <c r="G268" s="15" t="s">
        <v>32</v>
      </c>
      <c r="H268" s="18">
        <v>-712.14</v>
      </c>
      <c r="I268" s="19">
        <v>60.98</v>
      </c>
      <c r="J268" s="19">
        <v>49</v>
      </c>
      <c r="K268" s="19" t="s">
        <v>33</v>
      </c>
      <c r="L268" s="19" t="s">
        <v>93</v>
      </c>
      <c r="M268" s="15" t="s">
        <v>94</v>
      </c>
      <c r="N268" s="15" t="s">
        <v>36</v>
      </c>
      <c r="O268" s="15" t="s">
        <v>176</v>
      </c>
      <c r="P268" s="20" t="s">
        <v>534</v>
      </c>
      <c r="Q268" s="15" t="s">
        <v>39</v>
      </c>
      <c r="R268" s="4"/>
      <c r="S268" s="4"/>
    </row>
    <row r="269" spans="1:19" ht="21" customHeight="1" x14ac:dyDescent="0.25">
      <c r="A269" s="14">
        <f>DATE(2012,12,31)-287</f>
        <v>40987</v>
      </c>
      <c r="B269" s="15" t="s">
        <v>533</v>
      </c>
      <c r="C269" s="15" t="s">
        <v>43</v>
      </c>
      <c r="D269" s="16">
        <v>43</v>
      </c>
      <c r="E269" s="17">
        <v>4374.6864999999998</v>
      </c>
      <c r="F269" s="16">
        <v>0.05</v>
      </c>
      <c r="G269" s="15" t="s">
        <v>32</v>
      </c>
      <c r="H269" s="18">
        <v>973.16099999999994</v>
      </c>
      <c r="I269" s="19">
        <v>125.99</v>
      </c>
      <c r="J269" s="19">
        <v>8.08</v>
      </c>
      <c r="K269" s="19" t="s">
        <v>69</v>
      </c>
      <c r="L269" s="19" t="s">
        <v>70</v>
      </c>
      <c r="M269" s="15" t="s">
        <v>71</v>
      </c>
      <c r="N269" s="15" t="s">
        <v>64</v>
      </c>
      <c r="O269" s="15" t="s">
        <v>65</v>
      </c>
      <c r="P269" s="20" t="s">
        <v>535</v>
      </c>
      <c r="Q269" s="15" t="s">
        <v>83</v>
      </c>
      <c r="R269" s="4"/>
      <c r="S269" s="4"/>
    </row>
    <row r="270" spans="1:19" ht="21" customHeight="1" x14ac:dyDescent="0.25">
      <c r="A270" s="14">
        <f>DATE(2012,12,31)-287</f>
        <v>40987</v>
      </c>
      <c r="B270" s="15" t="s">
        <v>533</v>
      </c>
      <c r="C270" s="15" t="s">
        <v>43</v>
      </c>
      <c r="D270" s="16">
        <v>44</v>
      </c>
      <c r="E270" s="17">
        <v>4283.2350000000006</v>
      </c>
      <c r="F270" s="16">
        <v>0.1</v>
      </c>
      <c r="G270" s="15" t="s">
        <v>32</v>
      </c>
      <c r="H270" s="18">
        <v>676.125</v>
      </c>
      <c r="I270" s="19">
        <v>125.99</v>
      </c>
      <c r="J270" s="19">
        <v>8.8000000000000007</v>
      </c>
      <c r="K270" s="19" t="s">
        <v>33</v>
      </c>
      <c r="L270" s="19" t="s">
        <v>93</v>
      </c>
      <c r="M270" s="15" t="s">
        <v>94</v>
      </c>
      <c r="N270" s="15" t="s">
        <v>64</v>
      </c>
      <c r="O270" s="15" t="s">
        <v>65</v>
      </c>
      <c r="P270" s="20" t="s">
        <v>536</v>
      </c>
      <c r="Q270" s="15" t="s">
        <v>83</v>
      </c>
      <c r="R270" s="4"/>
      <c r="S270" s="4"/>
    </row>
    <row r="271" spans="1:19" ht="21" customHeight="1" x14ac:dyDescent="0.25">
      <c r="A271" s="14">
        <f>DATE(2012,12,31)-1084</f>
        <v>40190</v>
      </c>
      <c r="B271" s="15" t="s">
        <v>537</v>
      </c>
      <c r="C271" s="15" t="s">
        <v>51</v>
      </c>
      <c r="D271" s="16">
        <v>37</v>
      </c>
      <c r="E271" s="17">
        <v>199.76</v>
      </c>
      <c r="F271" s="16">
        <v>7.0000000000000007E-2</v>
      </c>
      <c r="G271" s="15" t="s">
        <v>32</v>
      </c>
      <c r="H271" s="18">
        <v>20</v>
      </c>
      <c r="I271" s="19">
        <v>5.58</v>
      </c>
      <c r="J271" s="19">
        <v>1.99</v>
      </c>
      <c r="K271" s="19" t="s">
        <v>33</v>
      </c>
      <c r="L271" s="19" t="s">
        <v>59</v>
      </c>
      <c r="M271" s="15" t="s">
        <v>60</v>
      </c>
      <c r="N271" s="15" t="s">
        <v>36</v>
      </c>
      <c r="O271" s="15" t="s">
        <v>77</v>
      </c>
      <c r="P271" s="20" t="s">
        <v>538</v>
      </c>
      <c r="Q271" s="15" t="s">
        <v>79</v>
      </c>
      <c r="R271" s="4"/>
      <c r="S271" s="4"/>
    </row>
    <row r="272" spans="1:19" ht="21" customHeight="1" x14ac:dyDescent="0.25">
      <c r="A272" s="14">
        <f>DATE(2012,12,31)-831</f>
        <v>40443</v>
      </c>
      <c r="B272" s="15" t="s">
        <v>539</v>
      </c>
      <c r="C272" s="15" t="s">
        <v>43</v>
      </c>
      <c r="D272" s="16">
        <v>26</v>
      </c>
      <c r="E272" s="17">
        <v>2415.38</v>
      </c>
      <c r="F272" s="16">
        <v>0.08</v>
      </c>
      <c r="G272" s="15" t="s">
        <v>58</v>
      </c>
      <c r="H272" s="18">
        <v>-1131.5999999999999</v>
      </c>
      <c r="I272" s="19">
        <v>95.95</v>
      </c>
      <c r="J272" s="19">
        <v>74.349999999999994</v>
      </c>
      <c r="K272" s="19" t="s">
        <v>124</v>
      </c>
      <c r="L272" s="19" t="s">
        <v>493</v>
      </c>
      <c r="M272" s="15" t="s">
        <v>494</v>
      </c>
      <c r="N272" s="15" t="s">
        <v>54</v>
      </c>
      <c r="O272" s="15" t="s">
        <v>252</v>
      </c>
      <c r="P272" s="20" t="s">
        <v>540</v>
      </c>
      <c r="Q272" s="15" t="s">
        <v>181</v>
      </c>
      <c r="R272" s="4"/>
      <c r="S272" s="4"/>
    </row>
    <row r="273" spans="1:19" ht="21" customHeight="1" x14ac:dyDescent="0.25">
      <c r="A273" s="14">
        <f>DATE(2012,12,31)-793</f>
        <v>40481</v>
      </c>
      <c r="B273" s="15" t="s">
        <v>541</v>
      </c>
      <c r="C273" s="15" t="s">
        <v>43</v>
      </c>
      <c r="D273" s="16">
        <v>38</v>
      </c>
      <c r="E273" s="17">
        <v>1264.46</v>
      </c>
      <c r="F273" s="16">
        <v>0</v>
      </c>
      <c r="G273" s="15" t="s">
        <v>58</v>
      </c>
      <c r="H273" s="18">
        <v>-1249.3900000000001</v>
      </c>
      <c r="I273" s="19">
        <v>31.76</v>
      </c>
      <c r="J273" s="19">
        <v>45.51</v>
      </c>
      <c r="K273" s="19" t="s">
        <v>124</v>
      </c>
      <c r="L273" s="19" t="s">
        <v>160</v>
      </c>
      <c r="M273" s="15" t="s">
        <v>161</v>
      </c>
      <c r="N273" s="15" t="s">
        <v>54</v>
      </c>
      <c r="O273" s="15" t="s">
        <v>61</v>
      </c>
      <c r="P273" s="20" t="s">
        <v>542</v>
      </c>
      <c r="Q273" s="15" t="s">
        <v>63</v>
      </c>
      <c r="R273" s="4"/>
      <c r="S273" s="4"/>
    </row>
    <row r="274" spans="1:19" ht="21" customHeight="1" x14ac:dyDescent="0.25">
      <c r="A274" s="14">
        <f>DATE(2012,12,31)-793</f>
        <v>40481</v>
      </c>
      <c r="B274" s="15" t="s">
        <v>541</v>
      </c>
      <c r="C274" s="15" t="s">
        <v>43</v>
      </c>
      <c r="D274" s="16">
        <v>35</v>
      </c>
      <c r="E274" s="17">
        <v>158.25</v>
      </c>
      <c r="F274" s="16">
        <v>0.09</v>
      </c>
      <c r="G274" s="15" t="s">
        <v>32</v>
      </c>
      <c r="H274" s="18">
        <v>-114.7355</v>
      </c>
      <c r="I274" s="19">
        <v>4.57</v>
      </c>
      <c r="J274" s="19">
        <v>5.42</v>
      </c>
      <c r="K274" s="19" t="s">
        <v>33</v>
      </c>
      <c r="L274" s="19" t="s">
        <v>59</v>
      </c>
      <c r="M274" s="15" t="s">
        <v>60</v>
      </c>
      <c r="N274" s="15" t="s">
        <v>36</v>
      </c>
      <c r="O274" s="15" t="s">
        <v>170</v>
      </c>
      <c r="P274" s="20" t="s">
        <v>543</v>
      </c>
      <c r="Q274" s="15" t="s">
        <v>83</v>
      </c>
      <c r="R274" s="4"/>
      <c r="S274" s="4"/>
    </row>
    <row r="275" spans="1:19" ht="21" customHeight="1" x14ac:dyDescent="0.25">
      <c r="A275" s="14">
        <f>DATE(2012,12,31)-1113</f>
        <v>40161</v>
      </c>
      <c r="B275" s="15" t="s">
        <v>544</v>
      </c>
      <c r="C275" s="15" t="s">
        <v>31</v>
      </c>
      <c r="D275" s="16">
        <v>3</v>
      </c>
      <c r="E275" s="17">
        <v>302.36</v>
      </c>
      <c r="F275" s="16">
        <v>0.09</v>
      </c>
      <c r="G275" s="15" t="s">
        <v>32</v>
      </c>
      <c r="H275" s="18">
        <v>290.31</v>
      </c>
      <c r="I275" s="19">
        <v>107.53</v>
      </c>
      <c r="J275" s="19">
        <v>5.81</v>
      </c>
      <c r="K275" s="19" t="s">
        <v>33</v>
      </c>
      <c r="L275" s="19" t="s">
        <v>34</v>
      </c>
      <c r="M275" s="15" t="s">
        <v>35</v>
      </c>
      <c r="N275" s="15" t="s">
        <v>54</v>
      </c>
      <c r="O275" s="15" t="s">
        <v>55</v>
      </c>
      <c r="P275" s="20" t="s">
        <v>56</v>
      </c>
      <c r="Q275" s="15" t="s">
        <v>57</v>
      </c>
      <c r="R275" s="4"/>
      <c r="S275" s="4"/>
    </row>
    <row r="276" spans="1:19" ht="21" customHeight="1" x14ac:dyDescent="0.25">
      <c r="A276" s="14">
        <f>DATE(2012,12,31)-1377</f>
        <v>39897</v>
      </c>
      <c r="B276" s="15" t="s">
        <v>545</v>
      </c>
      <c r="C276" s="15" t="s">
        <v>31</v>
      </c>
      <c r="D276" s="16">
        <v>47</v>
      </c>
      <c r="E276" s="17">
        <v>193.63</v>
      </c>
      <c r="F276" s="16">
        <v>0.05</v>
      </c>
      <c r="G276" s="15" t="s">
        <v>32</v>
      </c>
      <c r="H276" s="18">
        <v>-152.52449999999999</v>
      </c>
      <c r="I276" s="19">
        <v>3.98</v>
      </c>
      <c r="J276" s="19">
        <v>5.26</v>
      </c>
      <c r="K276" s="19" t="s">
        <v>33</v>
      </c>
      <c r="L276" s="19" t="s">
        <v>145</v>
      </c>
      <c r="M276" s="15" t="s">
        <v>146</v>
      </c>
      <c r="N276" s="15" t="s">
        <v>36</v>
      </c>
      <c r="O276" s="15" t="s">
        <v>170</v>
      </c>
      <c r="P276" s="20" t="s">
        <v>446</v>
      </c>
      <c r="Q276" s="15" t="s">
        <v>83</v>
      </c>
      <c r="R276" s="4"/>
      <c r="S276" s="4"/>
    </row>
    <row r="277" spans="1:19" ht="21" customHeight="1" x14ac:dyDescent="0.25">
      <c r="A277" s="14">
        <f>DATE(2012,12,31)-1377</f>
        <v>39897</v>
      </c>
      <c r="B277" s="15" t="s">
        <v>545</v>
      </c>
      <c r="C277" s="15" t="s">
        <v>31</v>
      </c>
      <c r="D277" s="16">
        <v>9</v>
      </c>
      <c r="E277" s="17">
        <v>64.290000000000006</v>
      </c>
      <c r="F277" s="16">
        <v>0.01</v>
      </c>
      <c r="G277" s="15" t="s">
        <v>32</v>
      </c>
      <c r="H277" s="18">
        <v>-18.850000000000001</v>
      </c>
      <c r="I277" s="19">
        <v>6.48</v>
      </c>
      <c r="J277" s="19">
        <v>5.4</v>
      </c>
      <c r="K277" s="19" t="s">
        <v>33</v>
      </c>
      <c r="L277" s="19" t="s">
        <v>145</v>
      </c>
      <c r="M277" s="15" t="s">
        <v>146</v>
      </c>
      <c r="N277" s="15" t="s">
        <v>36</v>
      </c>
      <c r="O277" s="15" t="s">
        <v>117</v>
      </c>
      <c r="P277" s="20" t="s">
        <v>546</v>
      </c>
      <c r="Q277" s="15" t="s">
        <v>83</v>
      </c>
      <c r="R277" s="4"/>
      <c r="S277" s="4"/>
    </row>
    <row r="278" spans="1:19" ht="21" customHeight="1" x14ac:dyDescent="0.25">
      <c r="A278" s="14">
        <f>DATE(2012,12,31)-1312</f>
        <v>39962</v>
      </c>
      <c r="B278" s="15" t="s">
        <v>429</v>
      </c>
      <c r="C278" s="15" t="s">
        <v>85</v>
      </c>
      <c r="D278" s="16">
        <v>5</v>
      </c>
      <c r="E278" s="17">
        <v>41.25</v>
      </c>
      <c r="F278" s="16">
        <v>0.02</v>
      </c>
      <c r="G278" s="15" t="s">
        <v>32</v>
      </c>
      <c r="H278" s="18">
        <v>-23.25</v>
      </c>
      <c r="I278" s="19">
        <v>6.48</v>
      </c>
      <c r="J278" s="19">
        <v>7.91</v>
      </c>
      <c r="K278" s="19" t="s">
        <v>33</v>
      </c>
      <c r="L278" s="19" t="s">
        <v>59</v>
      </c>
      <c r="M278" s="15" t="s">
        <v>60</v>
      </c>
      <c r="N278" s="15" t="s">
        <v>36</v>
      </c>
      <c r="O278" s="15" t="s">
        <v>117</v>
      </c>
      <c r="P278" s="20" t="s">
        <v>547</v>
      </c>
      <c r="Q278" s="15" t="s">
        <v>83</v>
      </c>
      <c r="R278" s="4"/>
      <c r="S278" s="4"/>
    </row>
    <row r="279" spans="1:19" ht="21" customHeight="1" x14ac:dyDescent="0.25">
      <c r="A279" s="14">
        <f>DATE(2012,12,31)-1444</f>
        <v>39830</v>
      </c>
      <c r="B279" s="15" t="s">
        <v>548</v>
      </c>
      <c r="C279" s="15" t="s">
        <v>85</v>
      </c>
      <c r="D279" s="16">
        <v>24</v>
      </c>
      <c r="E279" s="17">
        <v>7871.91</v>
      </c>
      <c r="F279" s="16">
        <v>0.05</v>
      </c>
      <c r="G279" s="15" t="s">
        <v>58</v>
      </c>
      <c r="H279" s="18">
        <v>541.47</v>
      </c>
      <c r="I279" s="19">
        <v>328.14</v>
      </c>
      <c r="J279" s="19">
        <v>91.05</v>
      </c>
      <c r="K279" s="19" t="s">
        <v>69</v>
      </c>
      <c r="L279" s="19" t="s">
        <v>75</v>
      </c>
      <c r="M279" s="15" t="s">
        <v>76</v>
      </c>
      <c r="N279" s="15" t="s">
        <v>36</v>
      </c>
      <c r="O279" s="15" t="s">
        <v>176</v>
      </c>
      <c r="P279" s="20" t="s">
        <v>549</v>
      </c>
      <c r="Q279" s="15" t="s">
        <v>181</v>
      </c>
      <c r="R279" s="4"/>
      <c r="S279" s="4"/>
    </row>
    <row r="280" spans="1:19" ht="21" customHeight="1" x14ac:dyDescent="0.25">
      <c r="A280" s="14">
        <f>DATE(2012,12,31)-302</f>
        <v>40972</v>
      </c>
      <c r="B280" s="15" t="s">
        <v>550</v>
      </c>
      <c r="C280" s="15" t="s">
        <v>85</v>
      </c>
      <c r="D280" s="16">
        <v>40</v>
      </c>
      <c r="E280" s="17">
        <v>909.82</v>
      </c>
      <c r="F280" s="16">
        <v>0.02</v>
      </c>
      <c r="G280" s="15" t="s">
        <v>32</v>
      </c>
      <c r="H280" s="18">
        <v>292.49</v>
      </c>
      <c r="I280" s="19">
        <v>22.98</v>
      </c>
      <c r="J280" s="19">
        <v>1.99</v>
      </c>
      <c r="K280" s="19" t="s">
        <v>69</v>
      </c>
      <c r="L280" s="19" t="s">
        <v>70</v>
      </c>
      <c r="M280" s="15" t="s">
        <v>71</v>
      </c>
      <c r="N280" s="15" t="s">
        <v>64</v>
      </c>
      <c r="O280" s="15" t="s">
        <v>72</v>
      </c>
      <c r="P280" s="20" t="s">
        <v>551</v>
      </c>
      <c r="Q280" s="15" t="s">
        <v>49</v>
      </c>
      <c r="R280" s="4"/>
      <c r="S280" s="4"/>
    </row>
    <row r="281" spans="1:19" ht="21" customHeight="1" x14ac:dyDescent="0.25">
      <c r="A281" s="14">
        <f>DATE(2012,12,31)-302</f>
        <v>40972</v>
      </c>
      <c r="B281" s="15" t="s">
        <v>550</v>
      </c>
      <c r="C281" s="15" t="s">
        <v>85</v>
      </c>
      <c r="D281" s="16">
        <v>7</v>
      </c>
      <c r="E281" s="17">
        <v>1874.37</v>
      </c>
      <c r="F281" s="16">
        <v>0.08</v>
      </c>
      <c r="G281" s="15" t="s">
        <v>32</v>
      </c>
      <c r="H281" s="18">
        <v>67.84</v>
      </c>
      <c r="I281" s="19">
        <v>276.2</v>
      </c>
      <c r="J281" s="19">
        <v>24.49</v>
      </c>
      <c r="K281" s="19" t="s">
        <v>69</v>
      </c>
      <c r="L281" s="19" t="s">
        <v>75</v>
      </c>
      <c r="M281" s="15" t="s">
        <v>76</v>
      </c>
      <c r="N281" s="15" t="s">
        <v>54</v>
      </c>
      <c r="O281" s="15" t="s">
        <v>252</v>
      </c>
      <c r="P281" s="20" t="s">
        <v>524</v>
      </c>
      <c r="Q281" s="15" t="s">
        <v>39</v>
      </c>
      <c r="R281" s="4"/>
      <c r="S281" s="4"/>
    </row>
    <row r="282" spans="1:19" ht="21" customHeight="1" x14ac:dyDescent="0.25">
      <c r="A282" s="14">
        <f>DATE(2012,12,31)-1387</f>
        <v>39887</v>
      </c>
      <c r="B282" s="15" t="s">
        <v>552</v>
      </c>
      <c r="C282" s="15" t="s">
        <v>51</v>
      </c>
      <c r="D282" s="16">
        <v>24</v>
      </c>
      <c r="E282" s="17">
        <v>7287.55</v>
      </c>
      <c r="F282" s="16">
        <v>0.04</v>
      </c>
      <c r="G282" s="15" t="s">
        <v>58</v>
      </c>
      <c r="H282" s="18">
        <v>-715.7782060000003</v>
      </c>
      <c r="I282" s="19">
        <v>296.18</v>
      </c>
      <c r="J282" s="19">
        <v>54.12</v>
      </c>
      <c r="K282" s="19" t="s">
        <v>69</v>
      </c>
      <c r="L282" s="19" t="s">
        <v>215</v>
      </c>
      <c r="M282" s="15" t="s">
        <v>216</v>
      </c>
      <c r="N282" s="15" t="s">
        <v>54</v>
      </c>
      <c r="O282" s="15" t="s">
        <v>61</v>
      </c>
      <c r="P282" s="20" t="s">
        <v>345</v>
      </c>
      <c r="Q282" s="15" t="s">
        <v>63</v>
      </c>
      <c r="R282" s="4"/>
      <c r="S282" s="4"/>
    </row>
    <row r="283" spans="1:19" ht="21" customHeight="1" x14ac:dyDescent="0.25">
      <c r="A283" s="14">
        <f>DATE(2012,12,31)-763</f>
        <v>40511</v>
      </c>
      <c r="B283" s="15" t="s">
        <v>553</v>
      </c>
      <c r="C283" s="15" t="s">
        <v>85</v>
      </c>
      <c r="D283" s="16">
        <v>13</v>
      </c>
      <c r="E283" s="17">
        <v>137.63999999999999</v>
      </c>
      <c r="F283" s="16">
        <v>0.06</v>
      </c>
      <c r="G283" s="15" t="s">
        <v>32</v>
      </c>
      <c r="H283" s="18">
        <v>19.592500000000001</v>
      </c>
      <c r="I283" s="19">
        <v>10.91</v>
      </c>
      <c r="J283" s="19">
        <v>2.99</v>
      </c>
      <c r="K283" s="19" t="s">
        <v>44</v>
      </c>
      <c r="L283" s="19" t="s">
        <v>89</v>
      </c>
      <c r="M283" s="15" t="s">
        <v>90</v>
      </c>
      <c r="N283" s="15" t="s">
        <v>36</v>
      </c>
      <c r="O283" s="15" t="s">
        <v>170</v>
      </c>
      <c r="P283" s="20" t="s">
        <v>554</v>
      </c>
      <c r="Q283" s="15" t="s">
        <v>83</v>
      </c>
      <c r="R283" s="4"/>
      <c r="S283" s="4"/>
    </row>
    <row r="284" spans="1:19" ht="21" customHeight="1" x14ac:dyDescent="0.25">
      <c r="A284" s="14">
        <f>DATE(2012,12,31)-1217</f>
        <v>40057</v>
      </c>
      <c r="B284" s="15" t="s">
        <v>555</v>
      </c>
      <c r="C284" s="15" t="s">
        <v>43</v>
      </c>
      <c r="D284" s="16">
        <v>33</v>
      </c>
      <c r="E284" s="17">
        <v>15464.01</v>
      </c>
      <c r="F284" s="16">
        <v>0.05</v>
      </c>
      <c r="G284" s="15" t="s">
        <v>58</v>
      </c>
      <c r="H284" s="18">
        <v>4407.4399999999996</v>
      </c>
      <c r="I284" s="19">
        <v>535.64</v>
      </c>
      <c r="J284" s="19">
        <v>14.7</v>
      </c>
      <c r="K284" s="19" t="s">
        <v>44</v>
      </c>
      <c r="L284" s="19" t="s">
        <v>89</v>
      </c>
      <c r="M284" s="15" t="s">
        <v>90</v>
      </c>
      <c r="N284" s="15" t="s">
        <v>64</v>
      </c>
      <c r="O284" s="15" t="s">
        <v>122</v>
      </c>
      <c r="P284" s="20" t="s">
        <v>556</v>
      </c>
      <c r="Q284" s="15" t="s">
        <v>181</v>
      </c>
      <c r="R284" s="4"/>
      <c r="S284" s="4"/>
    </row>
    <row r="285" spans="1:19" ht="21" customHeight="1" x14ac:dyDescent="0.25">
      <c r="A285" s="14">
        <f>DATE(2012,12,31)-1217</f>
        <v>40057</v>
      </c>
      <c r="B285" s="15" t="s">
        <v>555</v>
      </c>
      <c r="C285" s="15" t="s">
        <v>43</v>
      </c>
      <c r="D285" s="16">
        <v>1</v>
      </c>
      <c r="E285" s="17">
        <v>11.35</v>
      </c>
      <c r="F285" s="16">
        <v>0.09</v>
      </c>
      <c r="G285" s="15" t="s">
        <v>32</v>
      </c>
      <c r="H285" s="18">
        <v>-7.96</v>
      </c>
      <c r="I285" s="19">
        <v>5.78</v>
      </c>
      <c r="J285" s="19">
        <v>5.67</v>
      </c>
      <c r="K285" s="19" t="s">
        <v>44</v>
      </c>
      <c r="L285" s="19" t="s">
        <v>120</v>
      </c>
      <c r="M285" s="15" t="s">
        <v>121</v>
      </c>
      <c r="N285" s="15" t="s">
        <v>36</v>
      </c>
      <c r="O285" s="15" t="s">
        <v>117</v>
      </c>
      <c r="P285" s="20" t="s">
        <v>557</v>
      </c>
      <c r="Q285" s="15" t="s">
        <v>83</v>
      </c>
      <c r="R285" s="4"/>
      <c r="S285" s="4"/>
    </row>
    <row r="286" spans="1:19" ht="21" customHeight="1" x14ac:dyDescent="0.25">
      <c r="A286" s="14">
        <f>DATE(2012,12,31)-453</f>
        <v>40821</v>
      </c>
      <c r="B286" s="15" t="s">
        <v>558</v>
      </c>
      <c r="C286" s="15" t="s">
        <v>43</v>
      </c>
      <c r="D286" s="16">
        <v>9</v>
      </c>
      <c r="E286" s="17">
        <v>122.14</v>
      </c>
      <c r="F286" s="16">
        <v>0.04</v>
      </c>
      <c r="G286" s="15" t="s">
        <v>32</v>
      </c>
      <c r="H286" s="18">
        <v>-16.989999999999998</v>
      </c>
      <c r="I286" s="19">
        <v>13.48</v>
      </c>
      <c r="J286" s="19">
        <v>4.51</v>
      </c>
      <c r="K286" s="19" t="s">
        <v>33</v>
      </c>
      <c r="L286" s="19" t="s">
        <v>93</v>
      </c>
      <c r="M286" s="15" t="s">
        <v>94</v>
      </c>
      <c r="N286" s="15" t="s">
        <v>36</v>
      </c>
      <c r="O286" s="15" t="s">
        <v>37</v>
      </c>
      <c r="P286" s="20" t="s">
        <v>515</v>
      </c>
      <c r="Q286" s="15" t="s">
        <v>83</v>
      </c>
      <c r="R286" s="4"/>
      <c r="S286" s="4"/>
    </row>
    <row r="287" spans="1:19" ht="21" customHeight="1" x14ac:dyDescent="0.25">
      <c r="A287" s="14">
        <f>DATE(2012,12,31)-116</f>
        <v>41158</v>
      </c>
      <c r="B287" s="15" t="s">
        <v>559</v>
      </c>
      <c r="C287" s="15" t="s">
        <v>43</v>
      </c>
      <c r="D287" s="16">
        <v>27</v>
      </c>
      <c r="E287" s="17">
        <v>3491.06</v>
      </c>
      <c r="F287" s="16">
        <v>0.09</v>
      </c>
      <c r="G287" s="15" t="s">
        <v>32</v>
      </c>
      <c r="H287" s="18">
        <v>921.7</v>
      </c>
      <c r="I287" s="19">
        <v>136.97999999999999</v>
      </c>
      <c r="J287" s="19">
        <v>24.49</v>
      </c>
      <c r="K287" s="19" t="s">
        <v>33</v>
      </c>
      <c r="L287" s="19" t="s">
        <v>93</v>
      </c>
      <c r="M287" s="15" t="s">
        <v>94</v>
      </c>
      <c r="N287" s="15" t="s">
        <v>54</v>
      </c>
      <c r="O287" s="15" t="s">
        <v>55</v>
      </c>
      <c r="P287" s="20" t="s">
        <v>560</v>
      </c>
      <c r="Q287" s="15" t="s">
        <v>39</v>
      </c>
      <c r="R287" s="4"/>
      <c r="S287" s="4"/>
    </row>
    <row r="288" spans="1:19" ht="21" customHeight="1" x14ac:dyDescent="0.25">
      <c r="A288" s="14">
        <f>DATE(2012,12,31)-116</f>
        <v>41158</v>
      </c>
      <c r="B288" s="15" t="s">
        <v>559</v>
      </c>
      <c r="C288" s="15" t="s">
        <v>43</v>
      </c>
      <c r="D288" s="16">
        <v>37</v>
      </c>
      <c r="E288" s="17">
        <v>14383.83</v>
      </c>
      <c r="F288" s="16">
        <v>0.01</v>
      </c>
      <c r="G288" s="15" t="s">
        <v>58</v>
      </c>
      <c r="H288" s="18">
        <v>5050.1000000000004</v>
      </c>
      <c r="I288" s="19">
        <v>399.98</v>
      </c>
      <c r="J288" s="19">
        <v>12.06</v>
      </c>
      <c r="K288" s="19" t="s">
        <v>33</v>
      </c>
      <c r="L288" s="19" t="s">
        <v>128</v>
      </c>
      <c r="M288" s="15" t="s">
        <v>129</v>
      </c>
      <c r="N288" s="15" t="s">
        <v>64</v>
      </c>
      <c r="O288" s="15" t="s">
        <v>122</v>
      </c>
      <c r="P288" s="20" t="s">
        <v>561</v>
      </c>
      <c r="Q288" s="15" t="s">
        <v>63</v>
      </c>
      <c r="R288" s="4"/>
      <c r="S288" s="4"/>
    </row>
    <row r="289" spans="1:19" ht="21" customHeight="1" x14ac:dyDescent="0.25">
      <c r="A289" s="14">
        <f>DATE(2012,12,31)-925</f>
        <v>40349</v>
      </c>
      <c r="B289" s="15" t="s">
        <v>562</v>
      </c>
      <c r="C289" s="15" t="s">
        <v>85</v>
      </c>
      <c r="D289" s="16">
        <v>42</v>
      </c>
      <c r="E289" s="17">
        <v>213.75</v>
      </c>
      <c r="F289" s="16">
        <v>0.03</v>
      </c>
      <c r="G289" s="15" t="s">
        <v>32</v>
      </c>
      <c r="H289" s="18">
        <v>-188.77</v>
      </c>
      <c r="I289" s="19">
        <v>5.0199999999999996</v>
      </c>
      <c r="J289" s="19">
        <v>5.14</v>
      </c>
      <c r="K289" s="19" t="s">
        <v>33</v>
      </c>
      <c r="L289" s="19" t="s">
        <v>93</v>
      </c>
      <c r="M289" s="15" t="s">
        <v>94</v>
      </c>
      <c r="N289" s="15" t="s">
        <v>64</v>
      </c>
      <c r="O289" s="15" t="s">
        <v>72</v>
      </c>
      <c r="P289" s="20" t="s">
        <v>563</v>
      </c>
      <c r="Q289" s="15" t="s">
        <v>49</v>
      </c>
      <c r="R289" s="4"/>
      <c r="S289" s="4"/>
    </row>
    <row r="290" spans="1:19" ht="21" customHeight="1" x14ac:dyDescent="0.25">
      <c r="A290" s="14">
        <f>DATE(2012,12,31)-292</f>
        <v>40982</v>
      </c>
      <c r="B290" s="15" t="s">
        <v>564</v>
      </c>
      <c r="C290" s="15" t="s">
        <v>85</v>
      </c>
      <c r="D290" s="16">
        <v>45</v>
      </c>
      <c r="E290" s="17">
        <v>186.44</v>
      </c>
      <c r="F290" s="16">
        <v>0</v>
      </c>
      <c r="G290" s="15" t="s">
        <v>32</v>
      </c>
      <c r="H290" s="18">
        <v>-157.18</v>
      </c>
      <c r="I290" s="19">
        <v>3.95</v>
      </c>
      <c r="J290" s="19">
        <v>5.13</v>
      </c>
      <c r="K290" s="19" t="s">
        <v>97</v>
      </c>
      <c r="L290" s="19" t="s">
        <v>283</v>
      </c>
      <c r="M290" s="15" t="s">
        <v>284</v>
      </c>
      <c r="N290" s="15" t="s">
        <v>36</v>
      </c>
      <c r="O290" s="15" t="s">
        <v>176</v>
      </c>
      <c r="P290" s="20" t="s">
        <v>565</v>
      </c>
      <c r="Q290" s="15" t="s">
        <v>83</v>
      </c>
      <c r="R290" s="4"/>
      <c r="S290" s="4"/>
    </row>
    <row r="291" spans="1:19" ht="21" customHeight="1" x14ac:dyDescent="0.25">
      <c r="A291" s="14">
        <f>DATE(2012,12,31)-240</f>
        <v>41034</v>
      </c>
      <c r="B291" s="15" t="s">
        <v>251</v>
      </c>
      <c r="C291" s="15" t="s">
        <v>31</v>
      </c>
      <c r="D291" s="16">
        <v>4</v>
      </c>
      <c r="E291" s="17">
        <v>294.89</v>
      </c>
      <c r="F291" s="16">
        <v>0.09</v>
      </c>
      <c r="G291" s="15" t="s">
        <v>32</v>
      </c>
      <c r="H291" s="18">
        <v>-321.83999999999997</v>
      </c>
      <c r="I291" s="19">
        <v>73.98</v>
      </c>
      <c r="J291" s="19">
        <v>12.14</v>
      </c>
      <c r="K291" s="19" t="s">
        <v>97</v>
      </c>
      <c r="L291" s="19" t="s">
        <v>132</v>
      </c>
      <c r="M291" s="15" t="s">
        <v>133</v>
      </c>
      <c r="N291" s="15" t="s">
        <v>64</v>
      </c>
      <c r="O291" s="15" t="s">
        <v>72</v>
      </c>
      <c r="P291" s="20" t="s">
        <v>566</v>
      </c>
      <c r="Q291" s="15" t="s">
        <v>83</v>
      </c>
      <c r="R291" s="4"/>
      <c r="S291" s="4"/>
    </row>
    <row r="292" spans="1:19" ht="21" customHeight="1" x14ac:dyDescent="0.25">
      <c r="A292" s="14">
        <f>DATE(2012,12,31)-240</f>
        <v>41034</v>
      </c>
      <c r="B292" s="15" t="s">
        <v>251</v>
      </c>
      <c r="C292" s="15" t="s">
        <v>31</v>
      </c>
      <c r="D292" s="16">
        <v>50</v>
      </c>
      <c r="E292" s="17">
        <v>246.57</v>
      </c>
      <c r="F292" s="16">
        <v>0.06</v>
      </c>
      <c r="G292" s="15" t="s">
        <v>32</v>
      </c>
      <c r="H292" s="18">
        <v>-132.51</v>
      </c>
      <c r="I292" s="19">
        <v>4.9800000000000004</v>
      </c>
      <c r="J292" s="19">
        <v>5.49</v>
      </c>
      <c r="K292" s="19" t="s">
        <v>97</v>
      </c>
      <c r="L292" s="19" t="s">
        <v>567</v>
      </c>
      <c r="M292" s="15" t="s">
        <v>568</v>
      </c>
      <c r="N292" s="15" t="s">
        <v>36</v>
      </c>
      <c r="O292" s="15" t="s">
        <v>117</v>
      </c>
      <c r="P292" s="20" t="s">
        <v>569</v>
      </c>
      <c r="Q292" s="15" t="s">
        <v>83</v>
      </c>
      <c r="R292" s="4"/>
      <c r="S292" s="4"/>
    </row>
    <row r="293" spans="1:19" ht="21" customHeight="1" x14ac:dyDescent="0.25">
      <c r="A293" s="14">
        <f>DATE(2012,12,31)-778</f>
        <v>40496</v>
      </c>
      <c r="B293" s="15" t="s">
        <v>518</v>
      </c>
      <c r="C293" s="15" t="s">
        <v>85</v>
      </c>
      <c r="D293" s="16">
        <v>12</v>
      </c>
      <c r="E293" s="17">
        <v>3752.61</v>
      </c>
      <c r="F293" s="16">
        <v>0.01</v>
      </c>
      <c r="G293" s="15" t="s">
        <v>58</v>
      </c>
      <c r="H293" s="18">
        <v>637.92999999999995</v>
      </c>
      <c r="I293" s="19">
        <v>294.62</v>
      </c>
      <c r="J293" s="19">
        <v>42.52</v>
      </c>
      <c r="K293" s="19" t="s">
        <v>124</v>
      </c>
      <c r="L293" s="19" t="s">
        <v>164</v>
      </c>
      <c r="M293" s="15" t="s">
        <v>165</v>
      </c>
      <c r="N293" s="15" t="s">
        <v>36</v>
      </c>
      <c r="O293" s="15" t="s">
        <v>176</v>
      </c>
      <c r="P293" s="20" t="s">
        <v>570</v>
      </c>
      <c r="Q293" s="15" t="s">
        <v>181</v>
      </c>
      <c r="R293" s="4"/>
      <c r="S293" s="4"/>
    </row>
    <row r="294" spans="1:19" ht="21" customHeight="1" x14ac:dyDescent="0.25">
      <c r="A294" s="14">
        <f>DATE(2012,12,31)-778</f>
        <v>40496</v>
      </c>
      <c r="B294" s="15" t="s">
        <v>518</v>
      </c>
      <c r="C294" s="15" t="s">
        <v>85</v>
      </c>
      <c r="D294" s="16">
        <v>9</v>
      </c>
      <c r="E294" s="17">
        <v>548.36</v>
      </c>
      <c r="F294" s="16">
        <v>0.1</v>
      </c>
      <c r="G294" s="15" t="s">
        <v>101</v>
      </c>
      <c r="H294" s="18">
        <v>78.63</v>
      </c>
      <c r="I294" s="19">
        <v>60.97</v>
      </c>
      <c r="J294" s="19">
        <v>4.5</v>
      </c>
      <c r="K294" s="19" t="s">
        <v>124</v>
      </c>
      <c r="L294" s="19" t="s">
        <v>160</v>
      </c>
      <c r="M294" s="15" t="s">
        <v>161</v>
      </c>
      <c r="N294" s="15" t="s">
        <v>36</v>
      </c>
      <c r="O294" s="15" t="s">
        <v>176</v>
      </c>
      <c r="P294" s="20" t="s">
        <v>571</v>
      </c>
      <c r="Q294" s="15" t="s">
        <v>83</v>
      </c>
      <c r="R294" s="4"/>
      <c r="S294" s="4"/>
    </row>
    <row r="295" spans="1:19" ht="21" customHeight="1" x14ac:dyDescent="0.25">
      <c r="A295" s="14">
        <f>DATE(2012,12,31)-1309</f>
        <v>39965</v>
      </c>
      <c r="B295" s="15" t="s">
        <v>572</v>
      </c>
      <c r="C295" s="15" t="s">
        <v>43</v>
      </c>
      <c r="D295" s="16">
        <v>16</v>
      </c>
      <c r="E295" s="17">
        <v>44.46</v>
      </c>
      <c r="F295" s="16">
        <v>0.06</v>
      </c>
      <c r="G295" s="15" t="s">
        <v>32</v>
      </c>
      <c r="H295" s="18">
        <v>5.27</v>
      </c>
      <c r="I295" s="19">
        <v>2.89</v>
      </c>
      <c r="J295" s="19">
        <v>0.99</v>
      </c>
      <c r="K295" s="19" t="s">
        <v>124</v>
      </c>
      <c r="L295" s="19" t="s">
        <v>160</v>
      </c>
      <c r="M295" s="15" t="s">
        <v>161</v>
      </c>
      <c r="N295" s="15" t="s">
        <v>36</v>
      </c>
      <c r="O295" s="15" t="s">
        <v>114</v>
      </c>
      <c r="P295" s="20" t="s">
        <v>573</v>
      </c>
      <c r="Q295" s="15" t="s">
        <v>83</v>
      </c>
      <c r="R295" s="4"/>
      <c r="S295" s="4"/>
    </row>
    <row r="296" spans="1:19" ht="21" customHeight="1" x14ac:dyDescent="0.25">
      <c r="A296" s="14">
        <f>DATE(2012,12,31)-1309</f>
        <v>39965</v>
      </c>
      <c r="B296" s="15" t="s">
        <v>572</v>
      </c>
      <c r="C296" s="15" t="s">
        <v>43</v>
      </c>
      <c r="D296" s="16">
        <v>25</v>
      </c>
      <c r="E296" s="17">
        <v>542.11</v>
      </c>
      <c r="F296" s="16">
        <v>0.08</v>
      </c>
      <c r="G296" s="15" t="s">
        <v>32</v>
      </c>
      <c r="H296" s="18">
        <v>-14.76</v>
      </c>
      <c r="I296" s="19">
        <v>22.84</v>
      </c>
      <c r="J296" s="19">
        <v>11.54</v>
      </c>
      <c r="K296" s="19" t="s">
        <v>124</v>
      </c>
      <c r="L296" s="19" t="s">
        <v>493</v>
      </c>
      <c r="M296" s="15" t="s">
        <v>494</v>
      </c>
      <c r="N296" s="15" t="s">
        <v>36</v>
      </c>
      <c r="O296" s="15" t="s">
        <v>117</v>
      </c>
      <c r="P296" s="20" t="s">
        <v>203</v>
      </c>
      <c r="Q296" s="15" t="s">
        <v>83</v>
      </c>
      <c r="R296" s="4"/>
      <c r="S296" s="4"/>
    </row>
    <row r="297" spans="1:19" ht="21" customHeight="1" x14ac:dyDescent="0.25">
      <c r="A297" s="14">
        <f>DATE(2012,12,31)-263</f>
        <v>41011</v>
      </c>
      <c r="B297" s="15" t="s">
        <v>574</v>
      </c>
      <c r="C297" s="15" t="s">
        <v>51</v>
      </c>
      <c r="D297" s="16">
        <v>23</v>
      </c>
      <c r="E297" s="17">
        <v>107.93</v>
      </c>
      <c r="F297" s="16">
        <v>0</v>
      </c>
      <c r="G297" s="15" t="s">
        <v>32</v>
      </c>
      <c r="H297" s="18">
        <v>-68.137500000000003</v>
      </c>
      <c r="I297" s="19">
        <v>4.13</v>
      </c>
      <c r="J297" s="19">
        <v>5.34</v>
      </c>
      <c r="K297" s="19" t="s">
        <v>124</v>
      </c>
      <c r="L297" s="19" t="s">
        <v>160</v>
      </c>
      <c r="M297" s="15" t="s">
        <v>161</v>
      </c>
      <c r="N297" s="15" t="s">
        <v>36</v>
      </c>
      <c r="O297" s="15" t="s">
        <v>170</v>
      </c>
      <c r="P297" s="20" t="s">
        <v>575</v>
      </c>
      <c r="Q297" s="15" t="s">
        <v>83</v>
      </c>
      <c r="R297" s="4"/>
      <c r="S297" s="4"/>
    </row>
    <row r="298" spans="1:19" ht="21" customHeight="1" x14ac:dyDescent="0.25">
      <c r="A298" s="14">
        <f>DATE(2012,12,31)-694</f>
        <v>40580</v>
      </c>
      <c r="B298" s="15" t="s">
        <v>576</v>
      </c>
      <c r="C298" s="15" t="s">
        <v>85</v>
      </c>
      <c r="D298" s="16">
        <v>39</v>
      </c>
      <c r="E298" s="17">
        <v>19342.84</v>
      </c>
      <c r="F298" s="16">
        <v>0.01</v>
      </c>
      <c r="G298" s="15" t="s">
        <v>58</v>
      </c>
      <c r="H298" s="18">
        <v>5603.95</v>
      </c>
      <c r="I298" s="19">
        <v>500.98</v>
      </c>
      <c r="J298" s="19">
        <v>126</v>
      </c>
      <c r="K298" s="19" t="s">
        <v>124</v>
      </c>
      <c r="L298" s="19" t="s">
        <v>493</v>
      </c>
      <c r="M298" s="15" t="s">
        <v>494</v>
      </c>
      <c r="N298" s="15" t="s">
        <v>54</v>
      </c>
      <c r="O298" s="15" t="s">
        <v>252</v>
      </c>
      <c r="P298" s="20" t="s">
        <v>577</v>
      </c>
      <c r="Q298" s="15" t="s">
        <v>181</v>
      </c>
      <c r="R298" s="4"/>
      <c r="S298" s="4"/>
    </row>
    <row r="299" spans="1:19" ht="21" customHeight="1" x14ac:dyDescent="0.25">
      <c r="A299" s="14">
        <f>DATE(2012,12,31)-694</f>
        <v>40580</v>
      </c>
      <c r="B299" s="15" t="s">
        <v>576</v>
      </c>
      <c r="C299" s="15" t="s">
        <v>85</v>
      </c>
      <c r="D299" s="16">
        <v>7</v>
      </c>
      <c r="E299" s="17">
        <v>771.78300000000002</v>
      </c>
      <c r="F299" s="16">
        <v>0.08</v>
      </c>
      <c r="G299" s="15" t="s">
        <v>32</v>
      </c>
      <c r="H299" s="18">
        <v>-449.52600000000001</v>
      </c>
      <c r="I299" s="19">
        <v>140.99</v>
      </c>
      <c r="J299" s="19">
        <v>4.2</v>
      </c>
      <c r="K299" s="19" t="s">
        <v>124</v>
      </c>
      <c r="L299" s="19" t="s">
        <v>160</v>
      </c>
      <c r="M299" s="15" t="s">
        <v>161</v>
      </c>
      <c r="N299" s="15" t="s">
        <v>64</v>
      </c>
      <c r="O299" s="15" t="s">
        <v>65</v>
      </c>
      <c r="P299" s="20" t="s">
        <v>184</v>
      </c>
      <c r="Q299" s="15" t="s">
        <v>83</v>
      </c>
      <c r="R299" s="4"/>
      <c r="S299" s="4"/>
    </row>
    <row r="300" spans="1:19" ht="21" customHeight="1" x14ac:dyDescent="0.25">
      <c r="A300" s="14">
        <f>DATE(2012,12,31)-207</f>
        <v>41067</v>
      </c>
      <c r="B300" s="15" t="s">
        <v>578</v>
      </c>
      <c r="C300" s="15" t="s">
        <v>43</v>
      </c>
      <c r="D300" s="16">
        <v>1</v>
      </c>
      <c r="E300" s="17">
        <v>343.78</v>
      </c>
      <c r="F300" s="16">
        <v>0.09</v>
      </c>
      <c r="G300" s="15" t="s">
        <v>32</v>
      </c>
      <c r="H300" s="18">
        <v>-246.51</v>
      </c>
      <c r="I300" s="19">
        <v>363.25</v>
      </c>
      <c r="J300" s="19">
        <v>19.989999999999998</v>
      </c>
      <c r="K300" s="19" t="s">
        <v>124</v>
      </c>
      <c r="L300" s="19" t="s">
        <v>125</v>
      </c>
      <c r="M300" s="15" t="s">
        <v>126</v>
      </c>
      <c r="N300" s="15" t="s">
        <v>36</v>
      </c>
      <c r="O300" s="15" t="s">
        <v>176</v>
      </c>
      <c r="P300" s="20" t="s">
        <v>177</v>
      </c>
      <c r="Q300" s="15" t="s">
        <v>83</v>
      </c>
      <c r="R300" s="4"/>
      <c r="S300" s="4"/>
    </row>
    <row r="301" spans="1:19" ht="21" customHeight="1" x14ac:dyDescent="0.25">
      <c r="A301" s="14">
        <f>DATE(2012,12,31)-207</f>
        <v>41067</v>
      </c>
      <c r="B301" s="15" t="s">
        <v>578</v>
      </c>
      <c r="C301" s="15" t="s">
        <v>43</v>
      </c>
      <c r="D301" s="16">
        <v>34</v>
      </c>
      <c r="E301" s="17">
        <v>826.09</v>
      </c>
      <c r="F301" s="16">
        <v>0.03</v>
      </c>
      <c r="G301" s="15" t="s">
        <v>32</v>
      </c>
      <c r="H301" s="18">
        <v>215.86</v>
      </c>
      <c r="I301" s="19">
        <v>22.98</v>
      </c>
      <c r="J301" s="19">
        <v>7.58</v>
      </c>
      <c r="K301" s="19" t="s">
        <v>124</v>
      </c>
      <c r="L301" s="19" t="s">
        <v>164</v>
      </c>
      <c r="M301" s="15" t="s">
        <v>165</v>
      </c>
      <c r="N301" s="15" t="s">
        <v>54</v>
      </c>
      <c r="O301" s="15" t="s">
        <v>55</v>
      </c>
      <c r="P301" s="20" t="s">
        <v>579</v>
      </c>
      <c r="Q301" s="15" t="s">
        <v>83</v>
      </c>
      <c r="R301" s="4"/>
      <c r="S301" s="4"/>
    </row>
    <row r="302" spans="1:19" ht="21" customHeight="1" x14ac:dyDescent="0.25">
      <c r="A302" s="14">
        <f>DATE(2012,12,31)-850</f>
        <v>40424</v>
      </c>
      <c r="B302" s="15" t="s">
        <v>580</v>
      </c>
      <c r="C302" s="15" t="s">
        <v>85</v>
      </c>
      <c r="D302" s="16">
        <v>7</v>
      </c>
      <c r="E302" s="17">
        <v>66.41</v>
      </c>
      <c r="F302" s="16">
        <v>0.05</v>
      </c>
      <c r="G302" s="15" t="s">
        <v>32</v>
      </c>
      <c r="H302" s="18">
        <v>-32.35</v>
      </c>
      <c r="I302" s="19">
        <v>8.74</v>
      </c>
      <c r="J302" s="19">
        <v>8.2899999999999991</v>
      </c>
      <c r="K302" s="19" t="s">
        <v>44</v>
      </c>
      <c r="L302" s="19" t="s">
        <v>52</v>
      </c>
      <c r="M302" s="15" t="s">
        <v>424</v>
      </c>
      <c r="N302" s="15" t="s">
        <v>36</v>
      </c>
      <c r="O302" s="15" t="s">
        <v>189</v>
      </c>
      <c r="P302" s="20" t="s">
        <v>581</v>
      </c>
      <c r="Q302" s="15" t="s">
        <v>83</v>
      </c>
      <c r="R302" s="4"/>
      <c r="S302" s="4"/>
    </row>
    <row r="303" spans="1:19" ht="21" customHeight="1" x14ac:dyDescent="0.25">
      <c r="A303" s="14">
        <f>DATE(2012,12,31)-1021</f>
        <v>40253</v>
      </c>
      <c r="B303" s="15" t="s">
        <v>582</v>
      </c>
      <c r="C303" s="15" t="s">
        <v>51</v>
      </c>
      <c r="D303" s="16">
        <v>16</v>
      </c>
      <c r="E303" s="17">
        <v>692.73</v>
      </c>
      <c r="F303" s="16">
        <v>0.01</v>
      </c>
      <c r="G303" s="15" t="s">
        <v>32</v>
      </c>
      <c r="H303" s="18">
        <v>94.97</v>
      </c>
      <c r="I303" s="19">
        <v>40.99</v>
      </c>
      <c r="J303" s="19">
        <v>17.48</v>
      </c>
      <c r="K303" s="19" t="s">
        <v>44</v>
      </c>
      <c r="L303" s="19" t="s">
        <v>52</v>
      </c>
      <c r="M303" s="15" t="s">
        <v>424</v>
      </c>
      <c r="N303" s="15" t="s">
        <v>36</v>
      </c>
      <c r="O303" s="15" t="s">
        <v>117</v>
      </c>
      <c r="P303" s="20" t="s">
        <v>583</v>
      </c>
      <c r="Q303" s="15" t="s">
        <v>83</v>
      </c>
      <c r="R303" s="4"/>
      <c r="S303" s="4"/>
    </row>
    <row r="304" spans="1:19" ht="21" customHeight="1" x14ac:dyDescent="0.25">
      <c r="A304" s="14">
        <f>DATE(2012,12,31)-1170</f>
        <v>40104</v>
      </c>
      <c r="B304" s="15" t="s">
        <v>550</v>
      </c>
      <c r="C304" s="15" t="s">
        <v>85</v>
      </c>
      <c r="D304" s="16">
        <v>24</v>
      </c>
      <c r="E304" s="17">
        <v>1411.58</v>
      </c>
      <c r="F304" s="16">
        <v>0.01</v>
      </c>
      <c r="G304" s="15" t="s">
        <v>101</v>
      </c>
      <c r="H304" s="18">
        <v>699.31</v>
      </c>
      <c r="I304" s="19">
        <v>55.98</v>
      </c>
      <c r="J304" s="19">
        <v>4.8600000000000003</v>
      </c>
      <c r="K304" s="19" t="s">
        <v>44</v>
      </c>
      <c r="L304" s="19" t="s">
        <v>236</v>
      </c>
      <c r="M304" s="15" t="s">
        <v>237</v>
      </c>
      <c r="N304" s="15" t="s">
        <v>36</v>
      </c>
      <c r="O304" s="15" t="s">
        <v>117</v>
      </c>
      <c r="P304" s="20" t="s">
        <v>584</v>
      </c>
      <c r="Q304" s="15" t="s">
        <v>83</v>
      </c>
      <c r="R304" s="4"/>
      <c r="S304" s="4"/>
    </row>
    <row r="305" spans="1:19" ht="21" customHeight="1" x14ac:dyDescent="0.25">
      <c r="A305" s="14">
        <f>DATE(2012,12,31)-1170</f>
        <v>40104</v>
      </c>
      <c r="B305" s="15" t="s">
        <v>550</v>
      </c>
      <c r="C305" s="15" t="s">
        <v>85</v>
      </c>
      <c r="D305" s="16">
        <v>38</v>
      </c>
      <c r="E305" s="17">
        <v>2115.2419999999997</v>
      </c>
      <c r="F305" s="16">
        <v>0.04</v>
      </c>
      <c r="G305" s="15" t="s">
        <v>32</v>
      </c>
      <c r="H305" s="18">
        <v>371.41200000000003</v>
      </c>
      <c r="I305" s="19">
        <v>65.989999999999995</v>
      </c>
      <c r="J305" s="19">
        <v>8.99</v>
      </c>
      <c r="K305" s="19" t="s">
        <v>44</v>
      </c>
      <c r="L305" s="19" t="s">
        <v>52</v>
      </c>
      <c r="M305" s="15" t="s">
        <v>424</v>
      </c>
      <c r="N305" s="15" t="s">
        <v>64</v>
      </c>
      <c r="O305" s="15" t="s">
        <v>65</v>
      </c>
      <c r="P305" s="20" t="s">
        <v>312</v>
      </c>
      <c r="Q305" s="15" t="s">
        <v>83</v>
      </c>
      <c r="R305" s="4"/>
      <c r="S305" s="4"/>
    </row>
    <row r="306" spans="1:19" ht="21" customHeight="1" x14ac:dyDescent="0.25">
      <c r="A306" s="14">
        <f>DATE(2012,12,31)-1170</f>
        <v>40104</v>
      </c>
      <c r="B306" s="15" t="s">
        <v>550</v>
      </c>
      <c r="C306" s="15" t="s">
        <v>85</v>
      </c>
      <c r="D306" s="16">
        <v>9</v>
      </c>
      <c r="E306" s="17">
        <v>1246.68</v>
      </c>
      <c r="F306" s="16">
        <v>0.01</v>
      </c>
      <c r="G306" s="15" t="s">
        <v>32</v>
      </c>
      <c r="H306" s="18">
        <v>218.48</v>
      </c>
      <c r="I306" s="19">
        <v>128.24</v>
      </c>
      <c r="J306" s="19">
        <v>12.65</v>
      </c>
      <c r="K306" s="19" t="s">
        <v>44</v>
      </c>
      <c r="L306" s="19" t="s">
        <v>80</v>
      </c>
      <c r="M306" s="15" t="s">
        <v>81</v>
      </c>
      <c r="N306" s="15" t="s">
        <v>54</v>
      </c>
      <c r="O306" s="15" t="s">
        <v>252</v>
      </c>
      <c r="P306" s="20" t="s">
        <v>585</v>
      </c>
      <c r="Q306" s="15" t="s">
        <v>57</v>
      </c>
      <c r="R306" s="4"/>
      <c r="S306" s="4"/>
    </row>
    <row r="307" spans="1:19" ht="21" customHeight="1" x14ac:dyDescent="0.25">
      <c r="A307" s="14">
        <f>DATE(2012,12,31)-1374</f>
        <v>39900</v>
      </c>
      <c r="B307" s="15" t="s">
        <v>96</v>
      </c>
      <c r="C307" s="15" t="s">
        <v>85</v>
      </c>
      <c r="D307" s="16">
        <v>40</v>
      </c>
      <c r="E307" s="17">
        <v>5945.3675000000003</v>
      </c>
      <c r="F307" s="16">
        <v>0.08</v>
      </c>
      <c r="G307" s="15" t="s">
        <v>32</v>
      </c>
      <c r="H307" s="18">
        <v>1585.4760000000001</v>
      </c>
      <c r="I307" s="19">
        <v>175.99</v>
      </c>
      <c r="J307" s="19">
        <v>4.99</v>
      </c>
      <c r="K307" s="19" t="s">
        <v>44</v>
      </c>
      <c r="L307" s="19" t="s">
        <v>52</v>
      </c>
      <c r="M307" s="15" t="s">
        <v>424</v>
      </c>
      <c r="N307" s="15" t="s">
        <v>64</v>
      </c>
      <c r="O307" s="15" t="s">
        <v>65</v>
      </c>
      <c r="P307" s="20" t="s">
        <v>452</v>
      </c>
      <c r="Q307" s="15" t="s">
        <v>83</v>
      </c>
      <c r="R307" s="4"/>
      <c r="S307" s="4"/>
    </row>
    <row r="308" spans="1:19" ht="21" customHeight="1" x14ac:dyDescent="0.25">
      <c r="A308" s="14">
        <f>DATE(2012,12,31)-109</f>
        <v>41165</v>
      </c>
      <c r="B308" s="15" t="s">
        <v>586</v>
      </c>
      <c r="C308" s="15" t="s">
        <v>43</v>
      </c>
      <c r="D308" s="16">
        <v>41</v>
      </c>
      <c r="E308" s="17">
        <v>6111.1684999999998</v>
      </c>
      <c r="F308" s="16">
        <v>0.06</v>
      </c>
      <c r="G308" s="15" t="s">
        <v>32</v>
      </c>
      <c r="H308" s="18">
        <v>1663.0829999999999</v>
      </c>
      <c r="I308" s="19">
        <v>175.99</v>
      </c>
      <c r="J308" s="19">
        <v>4.99</v>
      </c>
      <c r="K308" s="19" t="s">
        <v>44</v>
      </c>
      <c r="L308" s="19" t="s">
        <v>52</v>
      </c>
      <c r="M308" s="15" t="s">
        <v>424</v>
      </c>
      <c r="N308" s="15" t="s">
        <v>64</v>
      </c>
      <c r="O308" s="15" t="s">
        <v>65</v>
      </c>
      <c r="P308" s="20" t="s">
        <v>452</v>
      </c>
      <c r="Q308" s="15" t="s">
        <v>83</v>
      </c>
      <c r="R308" s="4"/>
      <c r="S308" s="4"/>
    </row>
    <row r="309" spans="1:19" ht="21" customHeight="1" x14ac:dyDescent="0.25">
      <c r="A309" s="14">
        <f>DATE(2012,12,31)-109</f>
        <v>41165</v>
      </c>
      <c r="B309" s="15" t="s">
        <v>586</v>
      </c>
      <c r="C309" s="15" t="s">
        <v>43</v>
      </c>
      <c r="D309" s="16">
        <v>44</v>
      </c>
      <c r="E309" s="17">
        <v>113.71</v>
      </c>
      <c r="F309" s="16">
        <v>7.0000000000000007E-2</v>
      </c>
      <c r="G309" s="15" t="s">
        <v>32</v>
      </c>
      <c r="H309" s="18">
        <v>41.7</v>
      </c>
      <c r="I309" s="19">
        <v>2.61</v>
      </c>
      <c r="J309" s="19">
        <v>0.5</v>
      </c>
      <c r="K309" s="19" t="s">
        <v>33</v>
      </c>
      <c r="L309" s="19" t="s">
        <v>93</v>
      </c>
      <c r="M309" s="15" t="s">
        <v>94</v>
      </c>
      <c r="N309" s="15" t="s">
        <v>36</v>
      </c>
      <c r="O309" s="15" t="s">
        <v>114</v>
      </c>
      <c r="P309" s="20" t="s">
        <v>587</v>
      </c>
      <c r="Q309" s="15" t="s">
        <v>83</v>
      </c>
      <c r="R309" s="4"/>
      <c r="S309" s="4"/>
    </row>
    <row r="310" spans="1:19" ht="21" customHeight="1" x14ac:dyDescent="0.25">
      <c r="A310" s="14">
        <f>DATE(2012,12,31)-117</f>
        <v>41157</v>
      </c>
      <c r="B310" s="15" t="s">
        <v>380</v>
      </c>
      <c r="C310" s="15" t="s">
        <v>43</v>
      </c>
      <c r="D310" s="16">
        <v>15</v>
      </c>
      <c r="E310" s="17">
        <v>605.1</v>
      </c>
      <c r="F310" s="16">
        <v>0.04</v>
      </c>
      <c r="G310" s="15" t="s">
        <v>101</v>
      </c>
      <c r="H310" s="18">
        <v>92.81</v>
      </c>
      <c r="I310" s="19">
        <v>40.98</v>
      </c>
      <c r="J310" s="19">
        <v>5.33</v>
      </c>
      <c r="K310" s="19" t="s">
        <v>33</v>
      </c>
      <c r="L310" s="19" t="s">
        <v>145</v>
      </c>
      <c r="M310" s="15" t="s">
        <v>146</v>
      </c>
      <c r="N310" s="15" t="s">
        <v>36</v>
      </c>
      <c r="O310" s="15" t="s">
        <v>176</v>
      </c>
      <c r="P310" s="20" t="s">
        <v>588</v>
      </c>
      <c r="Q310" s="15" t="s">
        <v>83</v>
      </c>
      <c r="R310" s="4"/>
      <c r="S310" s="4"/>
    </row>
    <row r="311" spans="1:19" ht="21" customHeight="1" x14ac:dyDescent="0.25">
      <c r="A311" s="14">
        <f>DATE(2012,12,31)-1025</f>
        <v>40249</v>
      </c>
      <c r="B311" s="15" t="s">
        <v>589</v>
      </c>
      <c r="C311" s="15" t="s">
        <v>31</v>
      </c>
      <c r="D311" s="16">
        <v>4</v>
      </c>
      <c r="E311" s="17">
        <v>43.56</v>
      </c>
      <c r="F311" s="16">
        <v>0.01</v>
      </c>
      <c r="G311" s="15" t="s">
        <v>32</v>
      </c>
      <c r="H311" s="18">
        <v>21.21</v>
      </c>
      <c r="I311" s="19">
        <v>9.3800000000000008</v>
      </c>
      <c r="J311" s="19">
        <v>4.93</v>
      </c>
      <c r="K311" s="19" t="s">
        <v>111</v>
      </c>
      <c r="L311" s="19" t="s">
        <v>112</v>
      </c>
      <c r="M311" s="15" t="s">
        <v>337</v>
      </c>
      <c r="N311" s="15" t="s">
        <v>54</v>
      </c>
      <c r="O311" s="15" t="s">
        <v>55</v>
      </c>
      <c r="P311" s="20" t="s">
        <v>590</v>
      </c>
      <c r="Q311" s="15" t="s">
        <v>83</v>
      </c>
      <c r="R311" s="4"/>
      <c r="S311" s="4"/>
    </row>
    <row r="312" spans="1:19" ht="21" customHeight="1" x14ac:dyDescent="0.25">
      <c r="A312" s="14">
        <f>DATE(2012,12,31)-1308</f>
        <v>39966</v>
      </c>
      <c r="B312" s="15" t="s">
        <v>591</v>
      </c>
      <c r="C312" s="15" t="s">
        <v>85</v>
      </c>
      <c r="D312" s="16">
        <v>21</v>
      </c>
      <c r="E312" s="17">
        <v>3905.75</v>
      </c>
      <c r="F312" s="16">
        <v>0.01</v>
      </c>
      <c r="G312" s="15" t="s">
        <v>58</v>
      </c>
      <c r="H312" s="18">
        <v>55.301850000000002</v>
      </c>
      <c r="I312" s="19">
        <v>179.29</v>
      </c>
      <c r="J312" s="19">
        <v>29.21</v>
      </c>
      <c r="K312" s="19" t="s">
        <v>97</v>
      </c>
      <c r="L312" s="19" t="s">
        <v>98</v>
      </c>
      <c r="M312" s="15" t="s">
        <v>99</v>
      </c>
      <c r="N312" s="15" t="s">
        <v>54</v>
      </c>
      <c r="O312" s="15" t="s">
        <v>61</v>
      </c>
      <c r="P312" s="20" t="s">
        <v>592</v>
      </c>
      <c r="Q312" s="15" t="s">
        <v>63</v>
      </c>
      <c r="R312" s="4"/>
      <c r="S312" s="4"/>
    </row>
    <row r="313" spans="1:19" ht="21" customHeight="1" x14ac:dyDescent="0.25">
      <c r="A313" s="14">
        <f>DATE(2012,12,31)-476</f>
        <v>40798</v>
      </c>
      <c r="B313" s="15" t="s">
        <v>373</v>
      </c>
      <c r="C313" s="15" t="s">
        <v>85</v>
      </c>
      <c r="D313" s="16">
        <v>40</v>
      </c>
      <c r="E313" s="17">
        <v>102.56</v>
      </c>
      <c r="F313" s="16">
        <v>0.06</v>
      </c>
      <c r="G313" s="15" t="s">
        <v>32</v>
      </c>
      <c r="H313" s="18">
        <v>36.619999999999997</v>
      </c>
      <c r="I313" s="19">
        <v>2.61</v>
      </c>
      <c r="J313" s="19">
        <v>0.5</v>
      </c>
      <c r="K313" s="19" t="s">
        <v>33</v>
      </c>
      <c r="L313" s="19" t="s">
        <v>93</v>
      </c>
      <c r="M313" s="15" t="s">
        <v>94</v>
      </c>
      <c r="N313" s="15" t="s">
        <v>36</v>
      </c>
      <c r="O313" s="15" t="s">
        <v>114</v>
      </c>
      <c r="P313" s="20" t="s">
        <v>593</v>
      </c>
      <c r="Q313" s="15" t="s">
        <v>83</v>
      </c>
      <c r="R313" s="4"/>
      <c r="S313" s="4"/>
    </row>
    <row r="314" spans="1:19" ht="21" customHeight="1" x14ac:dyDescent="0.25">
      <c r="A314" s="14">
        <f>DATE(2012,12,31)-476</f>
        <v>40798</v>
      </c>
      <c r="B314" s="15" t="s">
        <v>373</v>
      </c>
      <c r="C314" s="15" t="s">
        <v>85</v>
      </c>
      <c r="D314" s="16">
        <v>3</v>
      </c>
      <c r="E314" s="17">
        <v>15.87</v>
      </c>
      <c r="F314" s="16">
        <v>0.01</v>
      </c>
      <c r="G314" s="15" t="s">
        <v>101</v>
      </c>
      <c r="H314" s="18">
        <v>2.5299999999999998</v>
      </c>
      <c r="I314" s="19">
        <v>3.49</v>
      </c>
      <c r="J314" s="19">
        <v>0.76</v>
      </c>
      <c r="K314" s="19" t="s">
        <v>33</v>
      </c>
      <c r="L314" s="19" t="s">
        <v>145</v>
      </c>
      <c r="M314" s="15" t="s">
        <v>146</v>
      </c>
      <c r="N314" s="15" t="s">
        <v>36</v>
      </c>
      <c r="O314" s="15" t="s">
        <v>105</v>
      </c>
      <c r="P314" s="20" t="s">
        <v>594</v>
      </c>
      <c r="Q314" s="15" t="s">
        <v>79</v>
      </c>
      <c r="R314" s="4"/>
      <c r="S314" s="4"/>
    </row>
    <row r="315" spans="1:19" ht="21" customHeight="1" x14ac:dyDescent="0.25">
      <c r="A315" s="14">
        <f>DATE(2012,12,31)-611</f>
        <v>40663</v>
      </c>
      <c r="B315" s="15" t="s">
        <v>595</v>
      </c>
      <c r="C315" s="15" t="s">
        <v>43</v>
      </c>
      <c r="D315" s="16">
        <v>7</v>
      </c>
      <c r="E315" s="17">
        <v>82.06</v>
      </c>
      <c r="F315" s="16">
        <v>7.0000000000000007E-2</v>
      </c>
      <c r="G315" s="15" t="s">
        <v>32</v>
      </c>
      <c r="H315" s="18">
        <v>-26.990499999999997</v>
      </c>
      <c r="I315" s="19">
        <v>11.5</v>
      </c>
      <c r="J315" s="19">
        <v>7.19</v>
      </c>
      <c r="K315" s="19" t="s">
        <v>33</v>
      </c>
      <c r="L315" s="19" t="s">
        <v>34</v>
      </c>
      <c r="M315" s="15" t="s">
        <v>35</v>
      </c>
      <c r="N315" s="15" t="s">
        <v>36</v>
      </c>
      <c r="O315" s="15" t="s">
        <v>170</v>
      </c>
      <c r="P315" s="20" t="s">
        <v>596</v>
      </c>
      <c r="Q315" s="15" t="s">
        <v>83</v>
      </c>
      <c r="R315" s="4"/>
      <c r="S315" s="4"/>
    </row>
    <row r="316" spans="1:19" ht="21" customHeight="1" x14ac:dyDescent="0.25">
      <c r="A316" s="14">
        <f>DATE(2012,12,31)-611</f>
        <v>40663</v>
      </c>
      <c r="B316" s="15" t="s">
        <v>595</v>
      </c>
      <c r="C316" s="15" t="s">
        <v>43</v>
      </c>
      <c r="D316" s="16">
        <v>41</v>
      </c>
      <c r="E316" s="17">
        <v>23281.05</v>
      </c>
      <c r="F316" s="16">
        <v>0.09</v>
      </c>
      <c r="G316" s="15" t="s">
        <v>32</v>
      </c>
      <c r="H316" s="18">
        <v>9097.6450000000004</v>
      </c>
      <c r="I316" s="19">
        <v>599.99</v>
      </c>
      <c r="J316" s="19">
        <v>24.49</v>
      </c>
      <c r="K316" s="19" t="s">
        <v>33</v>
      </c>
      <c r="L316" s="19" t="s">
        <v>145</v>
      </c>
      <c r="M316" s="15" t="s">
        <v>146</v>
      </c>
      <c r="N316" s="15" t="s">
        <v>64</v>
      </c>
      <c r="O316" s="15" t="s">
        <v>460</v>
      </c>
      <c r="P316" s="20" t="s">
        <v>597</v>
      </c>
      <c r="Q316" s="15" t="s">
        <v>39</v>
      </c>
      <c r="R316" s="4"/>
      <c r="S316" s="4"/>
    </row>
    <row r="317" spans="1:19" ht="21" customHeight="1" x14ac:dyDescent="0.25">
      <c r="A317" s="14">
        <f>DATE(2012,12,31)-175</f>
        <v>41099</v>
      </c>
      <c r="B317" s="15" t="s">
        <v>598</v>
      </c>
      <c r="C317" s="15" t="s">
        <v>51</v>
      </c>
      <c r="D317" s="16">
        <v>27</v>
      </c>
      <c r="E317" s="17">
        <v>9418.73</v>
      </c>
      <c r="F317" s="16">
        <v>0</v>
      </c>
      <c r="G317" s="15" t="s">
        <v>58</v>
      </c>
      <c r="H317" s="18">
        <v>2245.2399999999998</v>
      </c>
      <c r="I317" s="19">
        <v>320.98</v>
      </c>
      <c r="J317" s="19">
        <v>58.95</v>
      </c>
      <c r="K317" s="19" t="s">
        <v>33</v>
      </c>
      <c r="L317" s="19" t="s">
        <v>34</v>
      </c>
      <c r="M317" s="15" t="s">
        <v>35</v>
      </c>
      <c r="N317" s="15" t="s">
        <v>54</v>
      </c>
      <c r="O317" s="15" t="s">
        <v>252</v>
      </c>
      <c r="P317" s="20" t="s">
        <v>287</v>
      </c>
      <c r="Q317" s="15" t="s">
        <v>181</v>
      </c>
      <c r="R317" s="4"/>
      <c r="S317" s="4"/>
    </row>
    <row r="318" spans="1:19" ht="21" customHeight="1" x14ac:dyDescent="0.25">
      <c r="A318" s="14">
        <f>DATE(2012,12,31)-175</f>
        <v>41099</v>
      </c>
      <c r="B318" s="15" t="s">
        <v>598</v>
      </c>
      <c r="C318" s="15" t="s">
        <v>51</v>
      </c>
      <c r="D318" s="16">
        <v>1</v>
      </c>
      <c r="E318" s="17">
        <v>5.68</v>
      </c>
      <c r="F318" s="16">
        <v>0.02</v>
      </c>
      <c r="G318" s="15" t="s">
        <v>32</v>
      </c>
      <c r="H318" s="18">
        <v>-1.82</v>
      </c>
      <c r="I318" s="19">
        <v>4.76</v>
      </c>
      <c r="J318" s="19">
        <v>0.88</v>
      </c>
      <c r="K318" s="19" t="s">
        <v>33</v>
      </c>
      <c r="L318" s="19" t="s">
        <v>145</v>
      </c>
      <c r="M318" s="15" t="s">
        <v>146</v>
      </c>
      <c r="N318" s="15" t="s">
        <v>36</v>
      </c>
      <c r="O318" s="15" t="s">
        <v>117</v>
      </c>
      <c r="P318" s="20" t="s">
        <v>599</v>
      </c>
      <c r="Q318" s="15" t="s">
        <v>79</v>
      </c>
      <c r="R318" s="4"/>
      <c r="S318" s="4"/>
    </row>
    <row r="319" spans="1:19" ht="21" customHeight="1" x14ac:dyDescent="0.25">
      <c r="A319" s="14">
        <f>DATE(2012,12,31)-175</f>
        <v>41099</v>
      </c>
      <c r="B319" s="15" t="s">
        <v>598</v>
      </c>
      <c r="C319" s="15" t="s">
        <v>51</v>
      </c>
      <c r="D319" s="16">
        <v>42</v>
      </c>
      <c r="E319" s="17">
        <v>174.59</v>
      </c>
      <c r="F319" s="16">
        <v>0.08</v>
      </c>
      <c r="G319" s="15" t="s">
        <v>32</v>
      </c>
      <c r="H319" s="18">
        <v>25.88</v>
      </c>
      <c r="I319" s="19">
        <v>4.28</v>
      </c>
      <c r="J319" s="19">
        <v>0.94</v>
      </c>
      <c r="K319" s="19" t="s">
        <v>33</v>
      </c>
      <c r="L319" s="19" t="s">
        <v>34</v>
      </c>
      <c r="M319" s="15" t="s">
        <v>35</v>
      </c>
      <c r="N319" s="15" t="s">
        <v>36</v>
      </c>
      <c r="O319" s="15" t="s">
        <v>77</v>
      </c>
      <c r="P319" s="20" t="s">
        <v>600</v>
      </c>
      <c r="Q319" s="15" t="s">
        <v>79</v>
      </c>
      <c r="R319" s="4"/>
      <c r="S319" s="4"/>
    </row>
    <row r="320" spans="1:19" ht="21" customHeight="1" x14ac:dyDescent="0.25">
      <c r="A320" s="14">
        <f>DATE(2012,12,31)-175</f>
        <v>41099</v>
      </c>
      <c r="B320" s="15" t="s">
        <v>598</v>
      </c>
      <c r="C320" s="15" t="s">
        <v>51</v>
      </c>
      <c r="D320" s="16">
        <v>13</v>
      </c>
      <c r="E320" s="17">
        <v>1265.4969999999998</v>
      </c>
      <c r="F320" s="16">
        <v>0.1</v>
      </c>
      <c r="G320" s="15" t="s">
        <v>32</v>
      </c>
      <c r="H320" s="18">
        <v>-161.11699999999999</v>
      </c>
      <c r="I320" s="19">
        <v>125.99</v>
      </c>
      <c r="J320" s="19">
        <v>3</v>
      </c>
      <c r="K320" s="19" t="s">
        <v>69</v>
      </c>
      <c r="L320" s="19" t="s">
        <v>70</v>
      </c>
      <c r="M320" s="15" t="s">
        <v>71</v>
      </c>
      <c r="N320" s="15" t="s">
        <v>64</v>
      </c>
      <c r="O320" s="15" t="s">
        <v>65</v>
      </c>
      <c r="P320" s="20" t="s">
        <v>601</v>
      </c>
      <c r="Q320" s="15" t="s">
        <v>83</v>
      </c>
      <c r="R320" s="4"/>
      <c r="S320" s="4"/>
    </row>
    <row r="321" spans="1:19" ht="21" customHeight="1" x14ac:dyDescent="0.25">
      <c r="A321" s="14">
        <f>DATE(2012,12,31)-1281</f>
        <v>39993</v>
      </c>
      <c r="B321" s="15" t="s">
        <v>602</v>
      </c>
      <c r="C321" s="15" t="s">
        <v>51</v>
      </c>
      <c r="D321" s="16">
        <v>22</v>
      </c>
      <c r="E321" s="17">
        <v>1651.09</v>
      </c>
      <c r="F321" s="16">
        <v>0.05</v>
      </c>
      <c r="G321" s="15" t="s">
        <v>32</v>
      </c>
      <c r="H321" s="18">
        <v>-2.3800000000000239</v>
      </c>
      <c r="I321" s="19">
        <v>73.98</v>
      </c>
      <c r="J321" s="19">
        <v>12.14</v>
      </c>
      <c r="K321" s="19" t="s">
        <v>69</v>
      </c>
      <c r="L321" s="19" t="s">
        <v>70</v>
      </c>
      <c r="M321" s="15" t="s">
        <v>71</v>
      </c>
      <c r="N321" s="15" t="s">
        <v>64</v>
      </c>
      <c r="O321" s="15" t="s">
        <v>72</v>
      </c>
      <c r="P321" s="20" t="s">
        <v>566</v>
      </c>
      <c r="Q321" s="15" t="s">
        <v>83</v>
      </c>
      <c r="R321" s="4"/>
      <c r="S321" s="4"/>
    </row>
    <row r="322" spans="1:19" ht="21" customHeight="1" x14ac:dyDescent="0.25">
      <c r="A322" s="14">
        <f>DATE(2012,12,31)-1281</f>
        <v>39993</v>
      </c>
      <c r="B322" s="15" t="s">
        <v>602</v>
      </c>
      <c r="C322" s="15" t="s">
        <v>51</v>
      </c>
      <c r="D322" s="16">
        <v>14</v>
      </c>
      <c r="E322" s="17">
        <v>95.89</v>
      </c>
      <c r="F322" s="16">
        <v>0</v>
      </c>
      <c r="G322" s="15" t="s">
        <v>32</v>
      </c>
      <c r="H322" s="18">
        <v>-46.31</v>
      </c>
      <c r="I322" s="19">
        <v>5.98</v>
      </c>
      <c r="J322" s="19">
        <v>7.15</v>
      </c>
      <c r="K322" s="19" t="s">
        <v>69</v>
      </c>
      <c r="L322" s="19" t="s">
        <v>215</v>
      </c>
      <c r="M322" s="15" t="s">
        <v>216</v>
      </c>
      <c r="N322" s="15" t="s">
        <v>36</v>
      </c>
      <c r="O322" s="15" t="s">
        <v>117</v>
      </c>
      <c r="P322" s="20" t="s">
        <v>603</v>
      </c>
      <c r="Q322" s="15" t="s">
        <v>83</v>
      </c>
      <c r="R322" s="4"/>
      <c r="S322" s="4"/>
    </row>
    <row r="323" spans="1:19" ht="21" customHeight="1" x14ac:dyDescent="0.25">
      <c r="A323" s="14">
        <f>DATE(2012,12,31)-1281</f>
        <v>39993</v>
      </c>
      <c r="B323" s="15" t="s">
        <v>602</v>
      </c>
      <c r="C323" s="15" t="s">
        <v>51</v>
      </c>
      <c r="D323" s="16">
        <v>23</v>
      </c>
      <c r="E323" s="17">
        <v>80.38</v>
      </c>
      <c r="F323" s="16">
        <v>0.09</v>
      </c>
      <c r="G323" s="15" t="s">
        <v>32</v>
      </c>
      <c r="H323" s="18">
        <v>-71.11</v>
      </c>
      <c r="I323" s="19">
        <v>3.57</v>
      </c>
      <c r="J323" s="19">
        <v>4.17</v>
      </c>
      <c r="K323" s="19" t="s">
        <v>69</v>
      </c>
      <c r="L323" s="19" t="s">
        <v>215</v>
      </c>
      <c r="M323" s="15" t="s">
        <v>216</v>
      </c>
      <c r="N323" s="15" t="s">
        <v>36</v>
      </c>
      <c r="O323" s="15" t="s">
        <v>77</v>
      </c>
      <c r="P323" s="20" t="s">
        <v>604</v>
      </c>
      <c r="Q323" s="15" t="s">
        <v>49</v>
      </c>
      <c r="R323" s="4"/>
      <c r="S323" s="4"/>
    </row>
    <row r="324" spans="1:19" ht="21" customHeight="1" x14ac:dyDescent="0.25">
      <c r="A324" s="14">
        <f>DATE(2012,12,31)-1082</f>
        <v>40192</v>
      </c>
      <c r="B324" s="15" t="s">
        <v>553</v>
      </c>
      <c r="C324" s="15" t="s">
        <v>43</v>
      </c>
      <c r="D324" s="16">
        <v>6</v>
      </c>
      <c r="E324" s="17">
        <v>40.31</v>
      </c>
      <c r="F324" s="16">
        <v>0.08</v>
      </c>
      <c r="G324" s="15" t="s">
        <v>32</v>
      </c>
      <c r="H324" s="18">
        <v>-32.270000000000003</v>
      </c>
      <c r="I324" s="19">
        <v>5.78</v>
      </c>
      <c r="J324" s="19">
        <v>8.09</v>
      </c>
      <c r="K324" s="19" t="s">
        <v>69</v>
      </c>
      <c r="L324" s="19" t="s">
        <v>215</v>
      </c>
      <c r="M324" s="15" t="s">
        <v>216</v>
      </c>
      <c r="N324" s="15" t="s">
        <v>36</v>
      </c>
      <c r="O324" s="15" t="s">
        <v>117</v>
      </c>
      <c r="P324" s="20" t="s">
        <v>605</v>
      </c>
      <c r="Q324" s="15" t="s">
        <v>83</v>
      </c>
      <c r="R324" s="4"/>
      <c r="S324" s="4"/>
    </row>
    <row r="325" spans="1:19" ht="21" customHeight="1" x14ac:dyDescent="0.25">
      <c r="A325" s="14">
        <f>DATE(2012,12,31)-301</f>
        <v>40973</v>
      </c>
      <c r="B325" s="15" t="s">
        <v>606</v>
      </c>
      <c r="C325" s="15" t="s">
        <v>43</v>
      </c>
      <c r="D325" s="16">
        <v>17</v>
      </c>
      <c r="E325" s="17">
        <v>186.02</v>
      </c>
      <c r="F325" s="16">
        <v>0.01</v>
      </c>
      <c r="G325" s="15" t="s">
        <v>32</v>
      </c>
      <c r="H325" s="18">
        <v>16.48</v>
      </c>
      <c r="I325" s="19">
        <v>10.64</v>
      </c>
      <c r="J325" s="19">
        <v>5.16</v>
      </c>
      <c r="K325" s="19" t="s">
        <v>111</v>
      </c>
      <c r="L325" s="19" t="s">
        <v>258</v>
      </c>
      <c r="M325" s="15" t="s">
        <v>259</v>
      </c>
      <c r="N325" s="15" t="s">
        <v>54</v>
      </c>
      <c r="O325" s="15" t="s">
        <v>55</v>
      </c>
      <c r="P325" s="20" t="s">
        <v>607</v>
      </c>
      <c r="Q325" s="15" t="s">
        <v>83</v>
      </c>
      <c r="R325" s="4"/>
      <c r="S325" s="4"/>
    </row>
    <row r="326" spans="1:19" ht="21" customHeight="1" x14ac:dyDescent="0.25">
      <c r="A326" s="14">
        <f>DATE(2012,12,31)-301</f>
        <v>40973</v>
      </c>
      <c r="B326" s="15" t="s">
        <v>606</v>
      </c>
      <c r="C326" s="15" t="s">
        <v>43</v>
      </c>
      <c r="D326" s="16">
        <v>5</v>
      </c>
      <c r="E326" s="17">
        <v>142.44</v>
      </c>
      <c r="F326" s="16">
        <v>0.06</v>
      </c>
      <c r="G326" s="15" t="s">
        <v>32</v>
      </c>
      <c r="H326" s="18">
        <v>-22.12</v>
      </c>
      <c r="I326" s="19">
        <v>28.15</v>
      </c>
      <c r="J326" s="19">
        <v>6.17</v>
      </c>
      <c r="K326" s="19" t="s">
        <v>111</v>
      </c>
      <c r="L326" s="19" t="s">
        <v>112</v>
      </c>
      <c r="M326" s="15" t="s">
        <v>337</v>
      </c>
      <c r="N326" s="15" t="s">
        <v>36</v>
      </c>
      <c r="O326" s="15" t="s">
        <v>77</v>
      </c>
      <c r="P326" s="20" t="s">
        <v>608</v>
      </c>
      <c r="Q326" s="15" t="s">
        <v>49</v>
      </c>
      <c r="R326" s="4"/>
      <c r="S326" s="4"/>
    </row>
    <row r="327" spans="1:19" ht="21" customHeight="1" x14ac:dyDescent="0.25">
      <c r="A327" s="14">
        <f>DATE(2012,12,31)-966</f>
        <v>40308</v>
      </c>
      <c r="B327" s="15" t="s">
        <v>606</v>
      </c>
      <c r="C327" s="15" t="s">
        <v>85</v>
      </c>
      <c r="D327" s="16">
        <v>38</v>
      </c>
      <c r="E327" s="17">
        <v>967.78</v>
      </c>
      <c r="F327" s="16">
        <v>0.04</v>
      </c>
      <c r="G327" s="15" t="s">
        <v>32</v>
      </c>
      <c r="H327" s="18">
        <v>369.32499999999999</v>
      </c>
      <c r="I327" s="19">
        <v>24.95</v>
      </c>
      <c r="J327" s="19">
        <v>2.99</v>
      </c>
      <c r="K327" s="19" t="s">
        <v>44</v>
      </c>
      <c r="L327" s="19" t="s">
        <v>120</v>
      </c>
      <c r="M327" s="15" t="s">
        <v>121</v>
      </c>
      <c r="N327" s="15" t="s">
        <v>36</v>
      </c>
      <c r="O327" s="15" t="s">
        <v>170</v>
      </c>
      <c r="P327" s="20" t="s">
        <v>609</v>
      </c>
      <c r="Q327" s="15" t="s">
        <v>83</v>
      </c>
      <c r="R327" s="4"/>
      <c r="S327" s="4"/>
    </row>
    <row r="328" spans="1:19" ht="21" customHeight="1" x14ac:dyDescent="0.25">
      <c r="A328" s="14">
        <f>DATE(2012,12,31)-1088</f>
        <v>40186</v>
      </c>
      <c r="B328" s="15" t="s">
        <v>610</v>
      </c>
      <c r="C328" s="15" t="s">
        <v>85</v>
      </c>
      <c r="D328" s="16">
        <v>19</v>
      </c>
      <c r="E328" s="17">
        <v>88.61</v>
      </c>
      <c r="F328" s="16">
        <v>0.01</v>
      </c>
      <c r="G328" s="15" t="s">
        <v>101</v>
      </c>
      <c r="H328" s="18">
        <v>21.471</v>
      </c>
      <c r="I328" s="19">
        <v>3.8</v>
      </c>
      <c r="J328" s="19">
        <v>1.49</v>
      </c>
      <c r="K328" s="19" t="s">
        <v>44</v>
      </c>
      <c r="L328" s="19" t="s">
        <v>45</v>
      </c>
      <c r="M328" s="15" t="s">
        <v>46</v>
      </c>
      <c r="N328" s="15" t="s">
        <v>36</v>
      </c>
      <c r="O328" s="15" t="s">
        <v>170</v>
      </c>
      <c r="P328" s="20" t="s">
        <v>611</v>
      </c>
      <c r="Q328" s="15" t="s">
        <v>83</v>
      </c>
      <c r="R328" s="4"/>
      <c r="S328" s="4"/>
    </row>
    <row r="329" spans="1:19" ht="21" customHeight="1" x14ac:dyDescent="0.25">
      <c r="A329" s="14">
        <f>DATE(2012,12,31)-152</f>
        <v>41122</v>
      </c>
      <c r="B329" s="15" t="s">
        <v>612</v>
      </c>
      <c r="C329" s="15" t="s">
        <v>43</v>
      </c>
      <c r="D329" s="16">
        <v>6</v>
      </c>
      <c r="E329" s="17">
        <v>21134.71</v>
      </c>
      <c r="F329" s="16">
        <v>0.06</v>
      </c>
      <c r="G329" s="15" t="s">
        <v>58</v>
      </c>
      <c r="H329" s="18">
        <v>-4266.0884999999998</v>
      </c>
      <c r="I329" s="19">
        <v>3502.14</v>
      </c>
      <c r="J329" s="19">
        <v>8.73</v>
      </c>
      <c r="K329" s="19" t="s">
        <v>44</v>
      </c>
      <c r="L329" s="19" t="s">
        <v>89</v>
      </c>
      <c r="M329" s="15" t="s">
        <v>90</v>
      </c>
      <c r="N329" s="15" t="s">
        <v>64</v>
      </c>
      <c r="O329" s="15" t="s">
        <v>122</v>
      </c>
      <c r="P329" s="20" t="s">
        <v>613</v>
      </c>
      <c r="Q329" s="15" t="s">
        <v>63</v>
      </c>
      <c r="R329" s="4"/>
      <c r="S329" s="4"/>
    </row>
    <row r="330" spans="1:19" ht="21" customHeight="1" x14ac:dyDescent="0.25">
      <c r="A330" s="14">
        <f>DATE(2012,12,31)-994</f>
        <v>40280</v>
      </c>
      <c r="B330" s="15" t="s">
        <v>614</v>
      </c>
      <c r="C330" s="15" t="s">
        <v>51</v>
      </c>
      <c r="D330" s="16">
        <v>39</v>
      </c>
      <c r="E330" s="17">
        <v>7680.29</v>
      </c>
      <c r="F330" s="16">
        <v>0.08</v>
      </c>
      <c r="G330" s="15" t="s">
        <v>58</v>
      </c>
      <c r="H330" s="18">
        <v>-513.79042000000004</v>
      </c>
      <c r="I330" s="19">
        <v>212.6</v>
      </c>
      <c r="J330" s="19">
        <v>52.2</v>
      </c>
      <c r="K330" s="19" t="s">
        <v>33</v>
      </c>
      <c r="L330" s="19" t="s">
        <v>128</v>
      </c>
      <c r="M330" s="15" t="s">
        <v>129</v>
      </c>
      <c r="N330" s="15" t="s">
        <v>54</v>
      </c>
      <c r="O330" s="15" t="s">
        <v>61</v>
      </c>
      <c r="P330" s="20" t="s">
        <v>615</v>
      </c>
      <c r="Q330" s="15" t="s">
        <v>63</v>
      </c>
      <c r="R330" s="4"/>
      <c r="S330" s="4"/>
    </row>
    <row r="331" spans="1:19" ht="21" customHeight="1" x14ac:dyDescent="0.25">
      <c r="A331" s="14">
        <f>DATE(2012,12,31)-71</f>
        <v>41203</v>
      </c>
      <c r="B331" s="15" t="s">
        <v>616</v>
      </c>
      <c r="C331" s="15" t="s">
        <v>43</v>
      </c>
      <c r="D331" s="16">
        <v>49</v>
      </c>
      <c r="E331" s="17">
        <v>278</v>
      </c>
      <c r="F331" s="16">
        <v>0.08</v>
      </c>
      <c r="G331" s="15" t="s">
        <v>32</v>
      </c>
      <c r="H331" s="18">
        <v>41.67</v>
      </c>
      <c r="I331" s="19">
        <v>6.08</v>
      </c>
      <c r="J331" s="19">
        <v>1.17</v>
      </c>
      <c r="K331" s="19" t="s">
        <v>33</v>
      </c>
      <c r="L331" s="19" t="s">
        <v>93</v>
      </c>
      <c r="M331" s="15" t="s">
        <v>94</v>
      </c>
      <c r="N331" s="15" t="s">
        <v>36</v>
      </c>
      <c r="O331" s="15" t="s">
        <v>77</v>
      </c>
      <c r="P331" s="20" t="s">
        <v>617</v>
      </c>
      <c r="Q331" s="15" t="s">
        <v>79</v>
      </c>
      <c r="R331" s="4"/>
      <c r="S331" s="4"/>
    </row>
    <row r="332" spans="1:19" ht="21" customHeight="1" x14ac:dyDescent="0.25">
      <c r="A332" s="14">
        <f>DATE(2012,12,31)-730</f>
        <v>40544</v>
      </c>
      <c r="B332" s="15" t="s">
        <v>481</v>
      </c>
      <c r="C332" s="15" t="s">
        <v>43</v>
      </c>
      <c r="D332" s="16">
        <v>10</v>
      </c>
      <c r="E332" s="17">
        <v>66.540000000000006</v>
      </c>
      <c r="F332" s="16">
        <v>0.01</v>
      </c>
      <c r="G332" s="15" t="s">
        <v>32</v>
      </c>
      <c r="H332" s="18">
        <v>-46.03</v>
      </c>
      <c r="I332" s="19">
        <v>5.98</v>
      </c>
      <c r="J332" s="19">
        <v>4.38</v>
      </c>
      <c r="K332" s="19" t="s">
        <v>33</v>
      </c>
      <c r="L332" s="19" t="s">
        <v>128</v>
      </c>
      <c r="M332" s="15" t="s">
        <v>129</v>
      </c>
      <c r="N332" s="15" t="s">
        <v>64</v>
      </c>
      <c r="O332" s="15" t="s">
        <v>72</v>
      </c>
      <c r="P332" s="20" t="s">
        <v>618</v>
      </c>
      <c r="Q332" s="15" t="s">
        <v>49</v>
      </c>
      <c r="R332" s="4"/>
      <c r="S332" s="4"/>
    </row>
    <row r="333" spans="1:19" ht="21" customHeight="1" x14ac:dyDescent="0.25">
      <c r="A333" s="14">
        <f>DATE(2012,12,31)-730</f>
        <v>40544</v>
      </c>
      <c r="B333" s="15" t="s">
        <v>481</v>
      </c>
      <c r="C333" s="15" t="s">
        <v>43</v>
      </c>
      <c r="D333" s="16">
        <v>21</v>
      </c>
      <c r="E333" s="17">
        <v>845.32</v>
      </c>
      <c r="F333" s="16">
        <v>0.06</v>
      </c>
      <c r="G333" s="15" t="s">
        <v>32</v>
      </c>
      <c r="H333" s="18">
        <v>33.67</v>
      </c>
      <c r="I333" s="19">
        <v>40.99</v>
      </c>
      <c r="J333" s="19">
        <v>19.989999999999998</v>
      </c>
      <c r="K333" s="19" t="s">
        <v>97</v>
      </c>
      <c r="L333" s="19" t="s">
        <v>283</v>
      </c>
      <c r="M333" s="15" t="s">
        <v>284</v>
      </c>
      <c r="N333" s="15" t="s">
        <v>36</v>
      </c>
      <c r="O333" s="15" t="s">
        <v>117</v>
      </c>
      <c r="P333" s="20" t="s">
        <v>619</v>
      </c>
      <c r="Q333" s="15" t="s">
        <v>83</v>
      </c>
      <c r="R333" s="4"/>
      <c r="S333" s="4"/>
    </row>
    <row r="334" spans="1:19" ht="21" customHeight="1" x14ac:dyDescent="0.25">
      <c r="A334" s="14">
        <f>DATE(2012,12,31)-1043</f>
        <v>40231</v>
      </c>
      <c r="B334" s="15" t="s">
        <v>620</v>
      </c>
      <c r="C334" s="15" t="s">
        <v>85</v>
      </c>
      <c r="D334" s="16">
        <v>49</v>
      </c>
      <c r="E334" s="17">
        <v>4577.18</v>
      </c>
      <c r="F334" s="16">
        <v>0</v>
      </c>
      <c r="G334" s="15" t="s">
        <v>58</v>
      </c>
      <c r="H334" s="18">
        <v>205.83</v>
      </c>
      <c r="I334" s="19">
        <v>90.98</v>
      </c>
      <c r="J334" s="19">
        <v>30</v>
      </c>
      <c r="K334" s="19" t="s">
        <v>124</v>
      </c>
      <c r="L334" s="19" t="s">
        <v>160</v>
      </c>
      <c r="M334" s="15" t="s">
        <v>161</v>
      </c>
      <c r="N334" s="15" t="s">
        <v>54</v>
      </c>
      <c r="O334" s="15" t="s">
        <v>252</v>
      </c>
      <c r="P334" s="20" t="s">
        <v>621</v>
      </c>
      <c r="Q334" s="15" t="s">
        <v>181</v>
      </c>
      <c r="R334" s="4"/>
      <c r="S334" s="4"/>
    </row>
    <row r="335" spans="1:19" ht="21" customHeight="1" x14ac:dyDescent="0.25">
      <c r="A335" s="14">
        <f>DATE(2012,12,31)-1043</f>
        <v>40231</v>
      </c>
      <c r="B335" s="15" t="s">
        <v>620</v>
      </c>
      <c r="C335" s="15" t="s">
        <v>85</v>
      </c>
      <c r="D335" s="16">
        <v>39</v>
      </c>
      <c r="E335" s="17">
        <v>845.9</v>
      </c>
      <c r="F335" s="16">
        <v>0.04</v>
      </c>
      <c r="G335" s="15" t="s">
        <v>32</v>
      </c>
      <c r="H335" s="18">
        <v>52.53</v>
      </c>
      <c r="I335" s="19">
        <v>20.98</v>
      </c>
      <c r="J335" s="19">
        <v>5.42</v>
      </c>
      <c r="K335" s="19" t="s">
        <v>124</v>
      </c>
      <c r="L335" s="19" t="s">
        <v>160</v>
      </c>
      <c r="M335" s="15" t="s">
        <v>161</v>
      </c>
      <c r="N335" s="15" t="s">
        <v>36</v>
      </c>
      <c r="O335" s="15" t="s">
        <v>37</v>
      </c>
      <c r="P335" s="20" t="s">
        <v>622</v>
      </c>
      <c r="Q335" s="15" t="s">
        <v>83</v>
      </c>
      <c r="R335" s="4"/>
      <c r="S335" s="4"/>
    </row>
    <row r="336" spans="1:19" ht="21" customHeight="1" x14ac:dyDescent="0.25">
      <c r="A336" s="14">
        <f>DATE(2012,12,31)-1071</f>
        <v>40203</v>
      </c>
      <c r="B336" s="15" t="s">
        <v>623</v>
      </c>
      <c r="C336" s="15" t="s">
        <v>51</v>
      </c>
      <c r="D336" s="16">
        <v>33</v>
      </c>
      <c r="E336" s="17">
        <v>3116.47</v>
      </c>
      <c r="F336" s="16">
        <v>0.1</v>
      </c>
      <c r="G336" s="15" t="s">
        <v>58</v>
      </c>
      <c r="H336" s="18">
        <v>-1578.26</v>
      </c>
      <c r="I336" s="19">
        <v>100.98</v>
      </c>
      <c r="J336" s="19">
        <v>57.38</v>
      </c>
      <c r="K336" s="19" t="s">
        <v>124</v>
      </c>
      <c r="L336" s="19" t="s">
        <v>160</v>
      </c>
      <c r="M336" s="15" t="s">
        <v>161</v>
      </c>
      <c r="N336" s="15" t="s">
        <v>54</v>
      </c>
      <c r="O336" s="15" t="s">
        <v>134</v>
      </c>
      <c r="P336" s="20" t="s">
        <v>624</v>
      </c>
      <c r="Q336" s="15" t="s">
        <v>63</v>
      </c>
      <c r="R336" s="4"/>
      <c r="S336" s="4"/>
    </row>
    <row r="337" spans="1:19" ht="21" customHeight="1" x14ac:dyDescent="0.25">
      <c r="A337" s="14">
        <f>DATE(2012,12,31)-1071</f>
        <v>40203</v>
      </c>
      <c r="B337" s="15" t="s">
        <v>623</v>
      </c>
      <c r="C337" s="15" t="s">
        <v>51</v>
      </c>
      <c r="D337" s="16">
        <v>1</v>
      </c>
      <c r="E337" s="17">
        <v>12.41</v>
      </c>
      <c r="F337" s="16">
        <v>0.01</v>
      </c>
      <c r="G337" s="15" t="s">
        <v>32</v>
      </c>
      <c r="H337" s="18">
        <v>-9.08</v>
      </c>
      <c r="I337" s="19">
        <v>6.68</v>
      </c>
      <c r="J337" s="19">
        <v>5.66</v>
      </c>
      <c r="K337" s="19" t="s">
        <v>124</v>
      </c>
      <c r="L337" s="19" t="s">
        <v>160</v>
      </c>
      <c r="M337" s="15" t="s">
        <v>161</v>
      </c>
      <c r="N337" s="15" t="s">
        <v>36</v>
      </c>
      <c r="O337" s="15" t="s">
        <v>117</v>
      </c>
      <c r="P337" s="20" t="s">
        <v>625</v>
      </c>
      <c r="Q337" s="15" t="s">
        <v>83</v>
      </c>
      <c r="R337" s="4"/>
      <c r="S337" s="4"/>
    </row>
    <row r="338" spans="1:19" ht="21" customHeight="1" x14ac:dyDescent="0.25">
      <c r="A338" s="14">
        <f>DATE(2012,12,31)-1071</f>
        <v>40203</v>
      </c>
      <c r="B338" s="15" t="s">
        <v>623</v>
      </c>
      <c r="C338" s="15" t="s">
        <v>51</v>
      </c>
      <c r="D338" s="16">
        <v>11</v>
      </c>
      <c r="E338" s="17">
        <v>1382.8</v>
      </c>
      <c r="F338" s="16">
        <v>0.01</v>
      </c>
      <c r="G338" s="15" t="s">
        <v>32</v>
      </c>
      <c r="H338" s="18">
        <v>141.31</v>
      </c>
      <c r="I338" s="19">
        <v>120.33</v>
      </c>
      <c r="J338" s="19">
        <v>19.989999999999998</v>
      </c>
      <c r="K338" s="19" t="s">
        <v>124</v>
      </c>
      <c r="L338" s="19" t="s">
        <v>160</v>
      </c>
      <c r="M338" s="15" t="s">
        <v>161</v>
      </c>
      <c r="N338" s="15" t="s">
        <v>36</v>
      </c>
      <c r="O338" s="15" t="s">
        <v>37</v>
      </c>
      <c r="P338" s="20" t="s">
        <v>626</v>
      </c>
      <c r="Q338" s="15" t="s">
        <v>83</v>
      </c>
      <c r="R338" s="4"/>
      <c r="S338" s="4"/>
    </row>
    <row r="339" spans="1:19" ht="21" customHeight="1" x14ac:dyDescent="0.25">
      <c r="A339" s="14">
        <f>DATE(2012,12,31)-525</f>
        <v>40749</v>
      </c>
      <c r="B339" s="15" t="s">
        <v>627</v>
      </c>
      <c r="C339" s="15" t="s">
        <v>51</v>
      </c>
      <c r="D339" s="16">
        <v>15</v>
      </c>
      <c r="E339" s="17">
        <v>113.5</v>
      </c>
      <c r="F339" s="16">
        <v>0.05</v>
      </c>
      <c r="G339" s="15" t="s">
        <v>32</v>
      </c>
      <c r="H339" s="18">
        <v>-46.344999999999999</v>
      </c>
      <c r="I339" s="19">
        <v>7.45</v>
      </c>
      <c r="J339" s="19">
        <v>6.28</v>
      </c>
      <c r="K339" s="19" t="s">
        <v>124</v>
      </c>
      <c r="L339" s="19" t="s">
        <v>168</v>
      </c>
      <c r="M339" s="15" t="s">
        <v>169</v>
      </c>
      <c r="N339" s="15" t="s">
        <v>36</v>
      </c>
      <c r="O339" s="15" t="s">
        <v>170</v>
      </c>
      <c r="P339" s="20" t="s">
        <v>628</v>
      </c>
      <c r="Q339" s="15" t="s">
        <v>83</v>
      </c>
      <c r="R339" s="4"/>
      <c r="S339" s="4"/>
    </row>
    <row r="340" spans="1:19" ht="21" customHeight="1" x14ac:dyDescent="0.25">
      <c r="A340" s="14">
        <f>DATE(2012,12,31)-917</f>
        <v>40357</v>
      </c>
      <c r="B340" s="15" t="s">
        <v>629</v>
      </c>
      <c r="C340" s="15" t="s">
        <v>31</v>
      </c>
      <c r="D340" s="16">
        <v>32</v>
      </c>
      <c r="E340" s="17">
        <v>182.33</v>
      </c>
      <c r="F340" s="16">
        <v>0.1</v>
      </c>
      <c r="G340" s="15" t="s">
        <v>32</v>
      </c>
      <c r="H340" s="18">
        <v>40.850999999999999</v>
      </c>
      <c r="I340" s="19">
        <v>5.98</v>
      </c>
      <c r="J340" s="19">
        <v>1.49</v>
      </c>
      <c r="K340" s="19" t="s">
        <v>124</v>
      </c>
      <c r="L340" s="19" t="s">
        <v>158</v>
      </c>
      <c r="M340" s="15" t="s">
        <v>158</v>
      </c>
      <c r="N340" s="15" t="s">
        <v>36</v>
      </c>
      <c r="O340" s="15" t="s">
        <v>170</v>
      </c>
      <c r="P340" s="20" t="s">
        <v>365</v>
      </c>
      <c r="Q340" s="15" t="s">
        <v>83</v>
      </c>
      <c r="R340" s="4"/>
      <c r="S340" s="4"/>
    </row>
    <row r="341" spans="1:19" ht="21" customHeight="1" x14ac:dyDescent="0.25">
      <c r="A341" s="14">
        <f>DATE(2012,12,31)-485</f>
        <v>40789</v>
      </c>
      <c r="B341" s="15" t="s">
        <v>630</v>
      </c>
      <c r="C341" s="15" t="s">
        <v>31</v>
      </c>
      <c r="D341" s="16">
        <v>7</v>
      </c>
      <c r="E341" s="17">
        <v>27.01</v>
      </c>
      <c r="F341" s="16">
        <v>0.05</v>
      </c>
      <c r="G341" s="15" t="s">
        <v>32</v>
      </c>
      <c r="H341" s="18">
        <v>-1.2994999999999999</v>
      </c>
      <c r="I341" s="19">
        <v>3.8</v>
      </c>
      <c r="J341" s="19">
        <v>1.49</v>
      </c>
      <c r="K341" s="19" t="s">
        <v>124</v>
      </c>
      <c r="L341" s="19" t="s">
        <v>164</v>
      </c>
      <c r="M341" s="15" t="s">
        <v>165</v>
      </c>
      <c r="N341" s="15" t="s">
        <v>36</v>
      </c>
      <c r="O341" s="15" t="s">
        <v>170</v>
      </c>
      <c r="P341" s="20" t="s">
        <v>611</v>
      </c>
      <c r="Q341" s="15" t="s">
        <v>83</v>
      </c>
      <c r="R341" s="4"/>
      <c r="S341" s="4"/>
    </row>
    <row r="342" spans="1:19" ht="21" customHeight="1" x14ac:dyDescent="0.25">
      <c r="A342" s="14">
        <f>DATE(2012,12,31)-610</f>
        <v>40664</v>
      </c>
      <c r="B342" s="15" t="s">
        <v>631</v>
      </c>
      <c r="C342" s="15" t="s">
        <v>51</v>
      </c>
      <c r="D342" s="16">
        <v>31</v>
      </c>
      <c r="E342" s="17">
        <v>1324.09</v>
      </c>
      <c r="F342" s="16">
        <v>0.01</v>
      </c>
      <c r="G342" s="15" t="s">
        <v>32</v>
      </c>
      <c r="H342" s="18">
        <v>94.96</v>
      </c>
      <c r="I342" s="19">
        <v>40.89</v>
      </c>
      <c r="J342" s="19">
        <v>18.98</v>
      </c>
      <c r="K342" s="19" t="s">
        <v>124</v>
      </c>
      <c r="L342" s="19" t="s">
        <v>168</v>
      </c>
      <c r="M342" s="15" t="s">
        <v>169</v>
      </c>
      <c r="N342" s="15" t="s">
        <v>54</v>
      </c>
      <c r="O342" s="15" t="s">
        <v>55</v>
      </c>
      <c r="P342" s="20" t="s">
        <v>632</v>
      </c>
      <c r="Q342" s="15" t="s">
        <v>83</v>
      </c>
      <c r="R342" s="4"/>
      <c r="S342" s="4"/>
    </row>
    <row r="343" spans="1:19" ht="21" customHeight="1" x14ac:dyDescent="0.25">
      <c r="A343" s="14">
        <f>DATE(2012,12,31)-748</f>
        <v>40526</v>
      </c>
      <c r="B343" s="15" t="s">
        <v>633</v>
      </c>
      <c r="C343" s="15" t="s">
        <v>31</v>
      </c>
      <c r="D343" s="16">
        <v>12</v>
      </c>
      <c r="E343" s="17">
        <v>1634.98</v>
      </c>
      <c r="F343" s="16">
        <v>0.09</v>
      </c>
      <c r="G343" s="15" t="s">
        <v>32</v>
      </c>
      <c r="H343" s="18">
        <v>-120.45</v>
      </c>
      <c r="I343" s="19">
        <v>140.85</v>
      </c>
      <c r="J343" s="19">
        <v>19.989999999999998</v>
      </c>
      <c r="K343" s="19" t="s">
        <v>44</v>
      </c>
      <c r="L343" s="19" t="s">
        <v>52</v>
      </c>
      <c r="M343" s="15" t="s">
        <v>424</v>
      </c>
      <c r="N343" s="15" t="s">
        <v>36</v>
      </c>
      <c r="O343" s="15" t="s">
        <v>37</v>
      </c>
      <c r="P343" s="20" t="s">
        <v>634</v>
      </c>
      <c r="Q343" s="15" t="s">
        <v>83</v>
      </c>
      <c r="R343" s="4"/>
      <c r="S343" s="4"/>
    </row>
    <row r="344" spans="1:19" ht="21" customHeight="1" x14ac:dyDescent="0.25">
      <c r="A344" s="14">
        <f>DATE(2012,12,31)-947</f>
        <v>40327</v>
      </c>
      <c r="B344" s="15" t="s">
        <v>635</v>
      </c>
      <c r="C344" s="15" t="s">
        <v>31</v>
      </c>
      <c r="D344" s="16">
        <v>29</v>
      </c>
      <c r="E344" s="17">
        <v>157.49</v>
      </c>
      <c r="F344" s="16">
        <v>0.09</v>
      </c>
      <c r="G344" s="15" t="s">
        <v>32</v>
      </c>
      <c r="H344" s="18">
        <v>-58.25</v>
      </c>
      <c r="I344" s="19">
        <v>5.78</v>
      </c>
      <c r="J344" s="19">
        <v>4.96</v>
      </c>
      <c r="K344" s="19" t="s">
        <v>44</v>
      </c>
      <c r="L344" s="19" t="s">
        <v>52</v>
      </c>
      <c r="M344" s="15" t="s">
        <v>424</v>
      </c>
      <c r="N344" s="15" t="s">
        <v>36</v>
      </c>
      <c r="O344" s="15" t="s">
        <v>117</v>
      </c>
      <c r="P344" s="20" t="s">
        <v>636</v>
      </c>
      <c r="Q344" s="15" t="s">
        <v>83</v>
      </c>
      <c r="R344" s="4"/>
      <c r="S344" s="4"/>
    </row>
    <row r="345" spans="1:19" ht="21" customHeight="1" x14ac:dyDescent="0.25">
      <c r="A345" s="14">
        <f>DATE(2012,12,31)-865</f>
        <v>40409</v>
      </c>
      <c r="B345" s="15" t="s">
        <v>637</v>
      </c>
      <c r="C345" s="15" t="s">
        <v>85</v>
      </c>
      <c r="D345" s="16">
        <v>36</v>
      </c>
      <c r="E345" s="17">
        <v>508.73</v>
      </c>
      <c r="F345" s="16">
        <v>0.08</v>
      </c>
      <c r="G345" s="15" t="s">
        <v>32</v>
      </c>
      <c r="H345" s="18">
        <v>-229.67</v>
      </c>
      <c r="I345" s="19">
        <v>14.81</v>
      </c>
      <c r="J345" s="19">
        <v>13.32</v>
      </c>
      <c r="K345" s="19" t="s">
        <v>44</v>
      </c>
      <c r="L345" s="19" t="s">
        <v>52</v>
      </c>
      <c r="M345" s="15" t="s">
        <v>424</v>
      </c>
      <c r="N345" s="15" t="s">
        <v>36</v>
      </c>
      <c r="O345" s="15" t="s">
        <v>176</v>
      </c>
      <c r="P345" s="20" t="s">
        <v>638</v>
      </c>
      <c r="Q345" s="15" t="s">
        <v>83</v>
      </c>
      <c r="R345" s="4"/>
      <c r="S345" s="4"/>
    </row>
    <row r="346" spans="1:19" ht="21" customHeight="1" x14ac:dyDescent="0.25">
      <c r="A346" s="14">
        <f>DATE(2012,12,31)-1445</f>
        <v>39829</v>
      </c>
      <c r="B346" s="15" t="s">
        <v>343</v>
      </c>
      <c r="C346" s="15" t="s">
        <v>85</v>
      </c>
      <c r="D346" s="16">
        <v>6</v>
      </c>
      <c r="E346" s="17">
        <v>679.6</v>
      </c>
      <c r="F346" s="16">
        <v>0.02</v>
      </c>
      <c r="G346" s="15" t="s">
        <v>32</v>
      </c>
      <c r="H346" s="18">
        <v>-85.76</v>
      </c>
      <c r="I346" s="19">
        <v>110.98</v>
      </c>
      <c r="J346" s="19">
        <v>13.99</v>
      </c>
      <c r="K346" s="19" t="s">
        <v>44</v>
      </c>
      <c r="L346" s="19" t="s">
        <v>236</v>
      </c>
      <c r="M346" s="15" t="s">
        <v>237</v>
      </c>
      <c r="N346" s="15" t="s">
        <v>54</v>
      </c>
      <c r="O346" s="15" t="s">
        <v>55</v>
      </c>
      <c r="P346" s="20" t="s">
        <v>395</v>
      </c>
      <c r="Q346" s="15" t="s">
        <v>57</v>
      </c>
      <c r="R346" s="4"/>
      <c r="S346" s="4"/>
    </row>
    <row r="347" spans="1:19" ht="21" customHeight="1" x14ac:dyDescent="0.25">
      <c r="A347" s="14">
        <f>DATE(2012,12,31)-1445</f>
        <v>39829</v>
      </c>
      <c r="B347" s="15" t="s">
        <v>343</v>
      </c>
      <c r="C347" s="15" t="s">
        <v>85</v>
      </c>
      <c r="D347" s="16">
        <v>30</v>
      </c>
      <c r="E347" s="17">
        <v>257.42</v>
      </c>
      <c r="F347" s="16">
        <v>0.01</v>
      </c>
      <c r="G347" s="15" t="s">
        <v>32</v>
      </c>
      <c r="H347" s="18">
        <v>59.18</v>
      </c>
      <c r="I347" s="19">
        <v>8.01</v>
      </c>
      <c r="J347" s="19">
        <v>2.87</v>
      </c>
      <c r="K347" s="19" t="s">
        <v>44</v>
      </c>
      <c r="L347" s="19" t="s">
        <v>45</v>
      </c>
      <c r="M347" s="15" t="s">
        <v>46</v>
      </c>
      <c r="N347" s="15" t="s">
        <v>36</v>
      </c>
      <c r="O347" s="15" t="s">
        <v>117</v>
      </c>
      <c r="P347" s="20" t="s">
        <v>639</v>
      </c>
      <c r="Q347" s="15" t="s">
        <v>79</v>
      </c>
      <c r="R347" s="4"/>
      <c r="S347" s="4"/>
    </row>
    <row r="348" spans="1:19" ht="21" customHeight="1" x14ac:dyDescent="0.25">
      <c r="A348" s="14">
        <f>DATE(2012,12,31)-1391</f>
        <v>39883</v>
      </c>
      <c r="B348" s="15" t="s">
        <v>410</v>
      </c>
      <c r="C348" s="15" t="s">
        <v>43</v>
      </c>
      <c r="D348" s="16">
        <v>36</v>
      </c>
      <c r="E348" s="17">
        <v>317.58999999999997</v>
      </c>
      <c r="F348" s="16">
        <v>0.06</v>
      </c>
      <c r="G348" s="15" t="s">
        <v>32</v>
      </c>
      <c r="H348" s="18">
        <v>-46.115000000000002</v>
      </c>
      <c r="I348" s="19">
        <v>8.6</v>
      </c>
      <c r="J348" s="19">
        <v>6.19</v>
      </c>
      <c r="K348" s="19" t="s">
        <v>44</v>
      </c>
      <c r="L348" s="19" t="s">
        <v>52</v>
      </c>
      <c r="M348" s="15" t="s">
        <v>424</v>
      </c>
      <c r="N348" s="15" t="s">
        <v>36</v>
      </c>
      <c r="O348" s="15" t="s">
        <v>170</v>
      </c>
      <c r="P348" s="20" t="s">
        <v>413</v>
      </c>
      <c r="Q348" s="15" t="s">
        <v>83</v>
      </c>
      <c r="R348" s="4"/>
      <c r="S348" s="4"/>
    </row>
    <row r="349" spans="1:19" ht="21" customHeight="1" x14ac:dyDescent="0.25">
      <c r="A349" s="14">
        <f>DATE(2012,12,31)-795</f>
        <v>40479</v>
      </c>
      <c r="B349" s="15" t="s">
        <v>640</v>
      </c>
      <c r="C349" s="15" t="s">
        <v>43</v>
      </c>
      <c r="D349" s="16">
        <v>21</v>
      </c>
      <c r="E349" s="17">
        <v>78.17</v>
      </c>
      <c r="F349" s="16">
        <v>0.01</v>
      </c>
      <c r="G349" s="15" t="s">
        <v>101</v>
      </c>
      <c r="H349" s="18">
        <v>-72.703000000000003</v>
      </c>
      <c r="I349" s="19">
        <v>2.84</v>
      </c>
      <c r="J349" s="19">
        <v>5.44</v>
      </c>
      <c r="K349" s="19" t="s">
        <v>44</v>
      </c>
      <c r="L349" s="19" t="s">
        <v>52</v>
      </c>
      <c r="M349" s="15" t="s">
        <v>424</v>
      </c>
      <c r="N349" s="15" t="s">
        <v>36</v>
      </c>
      <c r="O349" s="15" t="s">
        <v>170</v>
      </c>
      <c r="P349" s="20" t="s">
        <v>641</v>
      </c>
      <c r="Q349" s="15" t="s">
        <v>83</v>
      </c>
      <c r="R349" s="4"/>
      <c r="S349" s="4"/>
    </row>
    <row r="350" spans="1:19" ht="21" customHeight="1" x14ac:dyDescent="0.25">
      <c r="A350" s="14">
        <f>DATE(2012,12,31)-1228</f>
        <v>40046</v>
      </c>
      <c r="B350" s="15" t="s">
        <v>219</v>
      </c>
      <c r="C350" s="15" t="s">
        <v>43</v>
      </c>
      <c r="D350" s="16">
        <v>14</v>
      </c>
      <c r="E350" s="17">
        <v>24105.87</v>
      </c>
      <c r="F350" s="16">
        <v>7.0000000000000007E-2</v>
      </c>
      <c r="G350" s="15" t="s">
        <v>58</v>
      </c>
      <c r="H350" s="18">
        <v>4073.25</v>
      </c>
      <c r="I350" s="19">
        <v>2036.48</v>
      </c>
      <c r="J350" s="19">
        <v>14.7</v>
      </c>
      <c r="K350" s="19" t="s">
        <v>44</v>
      </c>
      <c r="L350" s="19" t="s">
        <v>52</v>
      </c>
      <c r="M350" s="15" t="s">
        <v>424</v>
      </c>
      <c r="N350" s="15" t="s">
        <v>64</v>
      </c>
      <c r="O350" s="15" t="s">
        <v>122</v>
      </c>
      <c r="P350" s="20" t="s">
        <v>642</v>
      </c>
      <c r="Q350" s="15" t="s">
        <v>181</v>
      </c>
      <c r="R350" s="4"/>
      <c r="S350" s="4"/>
    </row>
    <row r="351" spans="1:19" ht="21" customHeight="1" x14ac:dyDescent="0.25">
      <c r="A351" s="14">
        <f>DATE(2012,12,31)-478</f>
        <v>40796</v>
      </c>
      <c r="B351" s="15" t="s">
        <v>643</v>
      </c>
      <c r="C351" s="15" t="s">
        <v>43</v>
      </c>
      <c r="D351" s="16">
        <v>14</v>
      </c>
      <c r="E351" s="17">
        <v>330.21</v>
      </c>
      <c r="F351" s="16">
        <v>7.0000000000000007E-2</v>
      </c>
      <c r="G351" s="15" t="s">
        <v>101</v>
      </c>
      <c r="H351" s="18">
        <v>83.24</v>
      </c>
      <c r="I351" s="19">
        <v>22.84</v>
      </c>
      <c r="J351" s="19">
        <v>5.47</v>
      </c>
      <c r="K351" s="19" t="s">
        <v>44</v>
      </c>
      <c r="L351" s="19" t="s">
        <v>89</v>
      </c>
      <c r="M351" s="15" t="s">
        <v>90</v>
      </c>
      <c r="N351" s="15" t="s">
        <v>36</v>
      </c>
      <c r="O351" s="15" t="s">
        <v>117</v>
      </c>
      <c r="P351" s="20" t="s">
        <v>644</v>
      </c>
      <c r="Q351" s="15" t="s">
        <v>83</v>
      </c>
      <c r="R351" s="4"/>
      <c r="S351" s="4"/>
    </row>
    <row r="352" spans="1:19" ht="21" customHeight="1" x14ac:dyDescent="0.25">
      <c r="A352" s="14">
        <f>DATE(2012,12,31)-901</f>
        <v>40373</v>
      </c>
      <c r="B352" s="15" t="s">
        <v>645</v>
      </c>
      <c r="C352" s="15" t="s">
        <v>51</v>
      </c>
      <c r="D352" s="16">
        <v>20</v>
      </c>
      <c r="E352" s="17">
        <v>278.68</v>
      </c>
      <c r="F352" s="16">
        <v>0.06</v>
      </c>
      <c r="G352" s="15" t="s">
        <v>32</v>
      </c>
      <c r="H352" s="18">
        <v>8.8994999999999997</v>
      </c>
      <c r="I352" s="19">
        <v>14.48</v>
      </c>
      <c r="J352" s="19">
        <v>6.46</v>
      </c>
      <c r="K352" s="19" t="s">
        <v>44</v>
      </c>
      <c r="L352" s="19" t="s">
        <v>80</v>
      </c>
      <c r="M352" s="15" t="s">
        <v>81</v>
      </c>
      <c r="N352" s="15" t="s">
        <v>36</v>
      </c>
      <c r="O352" s="15" t="s">
        <v>170</v>
      </c>
      <c r="P352" s="20" t="s">
        <v>646</v>
      </c>
      <c r="Q352" s="15" t="s">
        <v>83</v>
      </c>
      <c r="R352" s="4"/>
      <c r="S352" s="4"/>
    </row>
    <row r="353" spans="1:19" ht="21" customHeight="1" x14ac:dyDescent="0.25">
      <c r="A353" s="14">
        <f>DATE(2012,12,31)-901</f>
        <v>40373</v>
      </c>
      <c r="B353" s="15" t="s">
        <v>645</v>
      </c>
      <c r="C353" s="15" t="s">
        <v>51</v>
      </c>
      <c r="D353" s="16">
        <v>23</v>
      </c>
      <c r="E353" s="17">
        <v>717.46799999999996</v>
      </c>
      <c r="F353" s="16">
        <v>0.01</v>
      </c>
      <c r="G353" s="15" t="s">
        <v>32</v>
      </c>
      <c r="H353" s="18">
        <v>316.476</v>
      </c>
      <c r="I353" s="19">
        <v>35.99</v>
      </c>
      <c r="J353" s="19">
        <v>0.99</v>
      </c>
      <c r="K353" s="19" t="s">
        <v>44</v>
      </c>
      <c r="L353" s="19" t="s">
        <v>52</v>
      </c>
      <c r="M353" s="15" t="s">
        <v>424</v>
      </c>
      <c r="N353" s="15" t="s">
        <v>64</v>
      </c>
      <c r="O353" s="15" t="s">
        <v>65</v>
      </c>
      <c r="P353" s="20" t="s">
        <v>647</v>
      </c>
      <c r="Q353" s="15" t="s">
        <v>49</v>
      </c>
      <c r="R353" s="4"/>
      <c r="S353" s="4"/>
    </row>
    <row r="354" spans="1:19" ht="21" customHeight="1" x14ac:dyDescent="0.25">
      <c r="A354" s="14">
        <f>DATE(2012,12,31)-557</f>
        <v>40717</v>
      </c>
      <c r="B354" s="15" t="s">
        <v>620</v>
      </c>
      <c r="C354" s="15" t="s">
        <v>85</v>
      </c>
      <c r="D354" s="16">
        <v>28</v>
      </c>
      <c r="E354" s="17">
        <v>1082.45</v>
      </c>
      <c r="F354" s="16">
        <v>0.04</v>
      </c>
      <c r="G354" s="15" t="s">
        <v>32</v>
      </c>
      <c r="H354" s="18">
        <v>271.87</v>
      </c>
      <c r="I354" s="19">
        <v>39.479999999999997</v>
      </c>
      <c r="J354" s="19">
        <v>1.99</v>
      </c>
      <c r="K354" s="19" t="s">
        <v>33</v>
      </c>
      <c r="L354" s="19" t="s">
        <v>128</v>
      </c>
      <c r="M354" s="15" t="s">
        <v>129</v>
      </c>
      <c r="N354" s="15" t="s">
        <v>64</v>
      </c>
      <c r="O354" s="15" t="s">
        <v>72</v>
      </c>
      <c r="P354" s="20" t="s">
        <v>218</v>
      </c>
      <c r="Q354" s="15" t="s">
        <v>49</v>
      </c>
      <c r="R354" s="4"/>
      <c r="S354" s="4"/>
    </row>
    <row r="355" spans="1:19" ht="21" customHeight="1" x14ac:dyDescent="0.25">
      <c r="A355" s="14">
        <f>DATE(2012,12,31)-1397</f>
        <v>39877</v>
      </c>
      <c r="B355" s="15" t="s">
        <v>648</v>
      </c>
      <c r="C355" s="15" t="s">
        <v>85</v>
      </c>
      <c r="D355" s="16">
        <v>25</v>
      </c>
      <c r="E355" s="17">
        <v>2553.84</v>
      </c>
      <c r="F355" s="16">
        <v>0.05</v>
      </c>
      <c r="G355" s="15" t="s">
        <v>32</v>
      </c>
      <c r="H355" s="18">
        <v>553.70000000000005</v>
      </c>
      <c r="I355" s="19">
        <v>107.53</v>
      </c>
      <c r="J355" s="19">
        <v>5.81</v>
      </c>
      <c r="K355" s="19" t="s">
        <v>33</v>
      </c>
      <c r="L355" s="19" t="s">
        <v>59</v>
      </c>
      <c r="M355" s="15" t="s">
        <v>60</v>
      </c>
      <c r="N355" s="15" t="s">
        <v>54</v>
      </c>
      <c r="O355" s="15" t="s">
        <v>55</v>
      </c>
      <c r="P355" s="20" t="s">
        <v>56</v>
      </c>
      <c r="Q355" s="15" t="s">
        <v>57</v>
      </c>
      <c r="R355" s="4"/>
      <c r="S355" s="4"/>
    </row>
    <row r="356" spans="1:19" ht="21" customHeight="1" x14ac:dyDescent="0.25">
      <c r="A356" s="14">
        <f>DATE(2012,12,31)-535</f>
        <v>40739</v>
      </c>
      <c r="B356" s="15" t="s">
        <v>300</v>
      </c>
      <c r="C356" s="15" t="s">
        <v>43</v>
      </c>
      <c r="D356" s="16">
        <v>30</v>
      </c>
      <c r="E356" s="17">
        <v>4147.47</v>
      </c>
      <c r="F356" s="16">
        <v>0.09</v>
      </c>
      <c r="G356" s="15" t="s">
        <v>58</v>
      </c>
      <c r="H356" s="18">
        <v>586.61</v>
      </c>
      <c r="I356" s="19">
        <v>145.44999999999999</v>
      </c>
      <c r="J356" s="19">
        <v>17.850000000000001</v>
      </c>
      <c r="K356" s="19" t="s">
        <v>33</v>
      </c>
      <c r="L356" s="19" t="s">
        <v>59</v>
      </c>
      <c r="M356" s="15" t="s">
        <v>60</v>
      </c>
      <c r="N356" s="15" t="s">
        <v>64</v>
      </c>
      <c r="O356" s="15" t="s">
        <v>122</v>
      </c>
      <c r="P356" s="20" t="s">
        <v>299</v>
      </c>
      <c r="Q356" s="15" t="s">
        <v>181</v>
      </c>
      <c r="R356" s="4"/>
      <c r="S356" s="4"/>
    </row>
    <row r="357" spans="1:19" ht="21" customHeight="1" x14ac:dyDescent="0.25">
      <c r="A357" s="14">
        <f>DATE(2012,12,31)-127</f>
        <v>41147</v>
      </c>
      <c r="B357" s="15" t="s">
        <v>649</v>
      </c>
      <c r="C357" s="15" t="s">
        <v>85</v>
      </c>
      <c r="D357" s="16">
        <v>21</v>
      </c>
      <c r="E357" s="17">
        <v>3629.1174999999998</v>
      </c>
      <c r="F357" s="16">
        <v>0.06</v>
      </c>
      <c r="G357" s="15" t="s">
        <v>32</v>
      </c>
      <c r="H357" s="18">
        <v>636.03</v>
      </c>
      <c r="I357" s="19">
        <v>205.99</v>
      </c>
      <c r="J357" s="19">
        <v>5.26</v>
      </c>
      <c r="K357" s="19" t="s">
        <v>33</v>
      </c>
      <c r="L357" s="19" t="s">
        <v>145</v>
      </c>
      <c r="M357" s="15" t="s">
        <v>146</v>
      </c>
      <c r="N357" s="15" t="s">
        <v>64</v>
      </c>
      <c r="O357" s="15" t="s">
        <v>65</v>
      </c>
      <c r="P357" s="20" t="s">
        <v>650</v>
      </c>
      <c r="Q357" s="15" t="s">
        <v>83</v>
      </c>
      <c r="R357" s="4"/>
      <c r="S357" s="4"/>
    </row>
    <row r="358" spans="1:19" ht="21" customHeight="1" x14ac:dyDescent="0.25">
      <c r="A358" s="14">
        <f>DATE(2012,12,31)-139</f>
        <v>41135</v>
      </c>
      <c r="B358" s="15" t="s">
        <v>651</v>
      </c>
      <c r="C358" s="15" t="s">
        <v>51</v>
      </c>
      <c r="D358" s="16">
        <v>5</v>
      </c>
      <c r="E358" s="17">
        <v>22.56</v>
      </c>
      <c r="F358" s="16">
        <v>0.04</v>
      </c>
      <c r="G358" s="15" t="s">
        <v>32</v>
      </c>
      <c r="H358" s="18">
        <v>-25.564499999999999</v>
      </c>
      <c r="I358" s="19">
        <v>3.36</v>
      </c>
      <c r="J358" s="19">
        <v>6.27</v>
      </c>
      <c r="K358" s="19" t="s">
        <v>33</v>
      </c>
      <c r="L358" s="19" t="s">
        <v>59</v>
      </c>
      <c r="M358" s="15" t="s">
        <v>60</v>
      </c>
      <c r="N358" s="15" t="s">
        <v>36</v>
      </c>
      <c r="O358" s="15" t="s">
        <v>170</v>
      </c>
      <c r="P358" s="20" t="s">
        <v>652</v>
      </c>
      <c r="Q358" s="15" t="s">
        <v>83</v>
      </c>
      <c r="R358" s="4"/>
      <c r="S358" s="4"/>
    </row>
    <row r="359" spans="1:19" ht="21" customHeight="1" x14ac:dyDescent="0.25">
      <c r="A359" s="14">
        <f>DATE(2012,12,31)-926</f>
        <v>40348</v>
      </c>
      <c r="B359" s="15" t="s">
        <v>144</v>
      </c>
      <c r="C359" s="15" t="s">
        <v>85</v>
      </c>
      <c r="D359" s="16">
        <v>21</v>
      </c>
      <c r="E359" s="17">
        <v>91.15</v>
      </c>
      <c r="F359" s="16">
        <v>0.03</v>
      </c>
      <c r="G359" s="15" t="s">
        <v>32</v>
      </c>
      <c r="H359" s="18">
        <v>-71.541499999999999</v>
      </c>
      <c r="I359" s="19">
        <v>4.13</v>
      </c>
      <c r="J359" s="19">
        <v>5.34</v>
      </c>
      <c r="K359" s="19" t="s">
        <v>69</v>
      </c>
      <c r="L359" s="19" t="s">
        <v>70</v>
      </c>
      <c r="M359" s="15" t="s">
        <v>71</v>
      </c>
      <c r="N359" s="15" t="s">
        <v>36</v>
      </c>
      <c r="O359" s="15" t="s">
        <v>170</v>
      </c>
      <c r="P359" s="20" t="s">
        <v>575</v>
      </c>
      <c r="Q359" s="15" t="s">
        <v>83</v>
      </c>
      <c r="R359" s="4"/>
      <c r="S359" s="4"/>
    </row>
    <row r="360" spans="1:19" ht="21" customHeight="1" x14ac:dyDescent="0.25">
      <c r="A360" s="14">
        <f>DATE(2012,12,31)-926</f>
        <v>40348</v>
      </c>
      <c r="B360" s="15" t="s">
        <v>144</v>
      </c>
      <c r="C360" s="15" t="s">
        <v>85</v>
      </c>
      <c r="D360" s="16">
        <v>46</v>
      </c>
      <c r="E360" s="17">
        <v>171.48</v>
      </c>
      <c r="F360" s="16">
        <v>0.1</v>
      </c>
      <c r="G360" s="15" t="s">
        <v>32</v>
      </c>
      <c r="H360" s="18">
        <v>66.13</v>
      </c>
      <c r="I360" s="19">
        <v>4.13</v>
      </c>
      <c r="J360" s="19">
        <v>0.5</v>
      </c>
      <c r="K360" s="19" t="s">
        <v>69</v>
      </c>
      <c r="L360" s="19" t="s">
        <v>70</v>
      </c>
      <c r="M360" s="15" t="s">
        <v>71</v>
      </c>
      <c r="N360" s="15" t="s">
        <v>36</v>
      </c>
      <c r="O360" s="15" t="s">
        <v>114</v>
      </c>
      <c r="P360" s="20" t="s">
        <v>653</v>
      </c>
      <c r="Q360" s="15" t="s">
        <v>83</v>
      </c>
      <c r="R360" s="4"/>
      <c r="S360" s="4"/>
    </row>
    <row r="361" spans="1:19" ht="21" customHeight="1" x14ac:dyDescent="0.25">
      <c r="A361" s="14">
        <f>DATE(2012,12,31)-926</f>
        <v>40348</v>
      </c>
      <c r="B361" s="15" t="s">
        <v>144</v>
      </c>
      <c r="C361" s="15" t="s">
        <v>85</v>
      </c>
      <c r="D361" s="16">
        <v>9</v>
      </c>
      <c r="E361" s="17">
        <v>162.15450000000001</v>
      </c>
      <c r="F361" s="16">
        <v>0.08</v>
      </c>
      <c r="G361" s="15" t="s">
        <v>32</v>
      </c>
      <c r="H361" s="18">
        <v>-73.744</v>
      </c>
      <c r="I361" s="19">
        <v>20.99</v>
      </c>
      <c r="J361" s="19">
        <v>4.8099999999999996</v>
      </c>
      <c r="K361" s="19" t="s">
        <v>69</v>
      </c>
      <c r="L361" s="19" t="s">
        <v>70</v>
      </c>
      <c r="M361" s="15" t="s">
        <v>71</v>
      </c>
      <c r="N361" s="15" t="s">
        <v>64</v>
      </c>
      <c r="O361" s="15" t="s">
        <v>65</v>
      </c>
      <c r="P361" s="20" t="s">
        <v>654</v>
      </c>
      <c r="Q361" s="15" t="s">
        <v>57</v>
      </c>
      <c r="R361" s="4"/>
      <c r="S361" s="4"/>
    </row>
    <row r="362" spans="1:19" ht="21" customHeight="1" x14ac:dyDescent="0.25">
      <c r="A362" s="14">
        <f>DATE(2012,12,31)-1382</f>
        <v>39892</v>
      </c>
      <c r="B362" s="15" t="s">
        <v>620</v>
      </c>
      <c r="C362" s="15" t="s">
        <v>85</v>
      </c>
      <c r="D362" s="16">
        <v>9</v>
      </c>
      <c r="E362" s="17">
        <v>23.46</v>
      </c>
      <c r="F362" s="16">
        <v>0.06</v>
      </c>
      <c r="G362" s="15" t="s">
        <v>32</v>
      </c>
      <c r="H362" s="18">
        <v>4.58</v>
      </c>
      <c r="I362" s="19">
        <v>2.61</v>
      </c>
      <c r="J362" s="19">
        <v>0.5</v>
      </c>
      <c r="K362" s="19" t="s">
        <v>69</v>
      </c>
      <c r="L362" s="19" t="s">
        <v>70</v>
      </c>
      <c r="M362" s="15" t="s">
        <v>71</v>
      </c>
      <c r="N362" s="15" t="s">
        <v>36</v>
      </c>
      <c r="O362" s="15" t="s">
        <v>114</v>
      </c>
      <c r="P362" s="20" t="s">
        <v>587</v>
      </c>
      <c r="Q362" s="15" t="s">
        <v>83</v>
      </c>
      <c r="R362" s="4"/>
      <c r="S362" s="4"/>
    </row>
    <row r="363" spans="1:19" ht="21" customHeight="1" x14ac:dyDescent="0.25">
      <c r="A363" s="14">
        <f>DATE(2012,12,31)-448</f>
        <v>40826</v>
      </c>
      <c r="B363" s="15" t="s">
        <v>655</v>
      </c>
      <c r="C363" s="15" t="s">
        <v>51</v>
      </c>
      <c r="D363" s="16">
        <v>39</v>
      </c>
      <c r="E363" s="17">
        <v>282.07</v>
      </c>
      <c r="F363" s="16">
        <v>0.03</v>
      </c>
      <c r="G363" s="15" t="s">
        <v>32</v>
      </c>
      <c r="H363" s="18">
        <v>140.01</v>
      </c>
      <c r="I363" s="19">
        <v>7.31</v>
      </c>
      <c r="J363" s="19">
        <v>0.49</v>
      </c>
      <c r="K363" s="19" t="s">
        <v>111</v>
      </c>
      <c r="L363" s="19" t="s">
        <v>112</v>
      </c>
      <c r="M363" s="15" t="s">
        <v>113</v>
      </c>
      <c r="N363" s="15" t="s">
        <v>36</v>
      </c>
      <c r="O363" s="15" t="s">
        <v>114</v>
      </c>
      <c r="P363" s="20" t="s">
        <v>656</v>
      </c>
      <c r="Q363" s="15" t="s">
        <v>83</v>
      </c>
      <c r="R363" s="4"/>
      <c r="S363" s="4"/>
    </row>
    <row r="364" spans="1:19" ht="21" customHeight="1" x14ac:dyDescent="0.25">
      <c r="A364" s="14">
        <f>DATE(2012,12,31)-448</f>
        <v>40826</v>
      </c>
      <c r="B364" s="15" t="s">
        <v>655</v>
      </c>
      <c r="C364" s="15" t="s">
        <v>51</v>
      </c>
      <c r="D364" s="16">
        <v>24</v>
      </c>
      <c r="E364" s="17">
        <v>426.03700000000003</v>
      </c>
      <c r="F364" s="16">
        <v>0.01</v>
      </c>
      <c r="G364" s="15" t="s">
        <v>32</v>
      </c>
      <c r="H364" s="18">
        <v>-78.957999999999998</v>
      </c>
      <c r="I364" s="19">
        <v>20.99</v>
      </c>
      <c r="J364" s="19">
        <v>2.5</v>
      </c>
      <c r="K364" s="19" t="s">
        <v>44</v>
      </c>
      <c r="L364" s="19" t="s">
        <v>120</v>
      </c>
      <c r="M364" s="15" t="s">
        <v>121</v>
      </c>
      <c r="N364" s="15" t="s">
        <v>64</v>
      </c>
      <c r="O364" s="15" t="s">
        <v>65</v>
      </c>
      <c r="P364" s="20" t="s">
        <v>445</v>
      </c>
      <c r="Q364" s="15" t="s">
        <v>79</v>
      </c>
      <c r="R364" s="4"/>
      <c r="S364" s="4"/>
    </row>
    <row r="365" spans="1:19" ht="21" customHeight="1" x14ac:dyDescent="0.25">
      <c r="A365" s="14">
        <f>DATE(2012,12,31)-952</f>
        <v>40322</v>
      </c>
      <c r="B365" s="15" t="s">
        <v>657</v>
      </c>
      <c r="C365" s="15" t="s">
        <v>31</v>
      </c>
      <c r="D365" s="16">
        <v>6</v>
      </c>
      <c r="E365" s="17">
        <v>82.72</v>
      </c>
      <c r="F365" s="16">
        <v>0.08</v>
      </c>
      <c r="G365" s="15" t="s">
        <v>32</v>
      </c>
      <c r="H365" s="18">
        <v>-29.71</v>
      </c>
      <c r="I365" s="19">
        <v>14.48</v>
      </c>
      <c r="J365" s="19">
        <v>1.99</v>
      </c>
      <c r="K365" s="19" t="s">
        <v>44</v>
      </c>
      <c r="L365" s="19" t="s">
        <v>45</v>
      </c>
      <c r="M365" s="15" t="s">
        <v>46</v>
      </c>
      <c r="N365" s="15" t="s">
        <v>64</v>
      </c>
      <c r="O365" s="15" t="s">
        <v>72</v>
      </c>
      <c r="P365" s="20" t="s">
        <v>658</v>
      </c>
      <c r="Q365" s="15" t="s">
        <v>49</v>
      </c>
      <c r="R365" s="4"/>
      <c r="S365" s="4"/>
    </row>
    <row r="366" spans="1:19" ht="21" customHeight="1" x14ac:dyDescent="0.25">
      <c r="A366" s="14">
        <f>DATE(2012,12,31)-118</f>
        <v>41156</v>
      </c>
      <c r="B366" s="15" t="s">
        <v>472</v>
      </c>
      <c r="C366" s="15" t="s">
        <v>85</v>
      </c>
      <c r="D366" s="16">
        <v>32</v>
      </c>
      <c r="E366" s="17">
        <v>731.22</v>
      </c>
      <c r="F366" s="16">
        <v>0</v>
      </c>
      <c r="G366" s="15" t="s">
        <v>32</v>
      </c>
      <c r="H366" s="18">
        <v>-84.07</v>
      </c>
      <c r="I366" s="19">
        <v>20.97</v>
      </c>
      <c r="J366" s="19">
        <v>6.5</v>
      </c>
      <c r="K366" s="19" t="s">
        <v>44</v>
      </c>
      <c r="L366" s="19" t="s">
        <v>89</v>
      </c>
      <c r="M366" s="15" t="s">
        <v>90</v>
      </c>
      <c r="N366" s="15" t="s">
        <v>64</v>
      </c>
      <c r="O366" s="15" t="s">
        <v>72</v>
      </c>
      <c r="P366" s="20" t="s">
        <v>393</v>
      </c>
      <c r="Q366" s="15" t="s">
        <v>83</v>
      </c>
      <c r="R366" s="4"/>
      <c r="S366" s="4"/>
    </row>
    <row r="367" spans="1:19" ht="21" customHeight="1" x14ac:dyDescent="0.25">
      <c r="A367" s="14">
        <f>DATE(2012,12,31)-118</f>
        <v>41156</v>
      </c>
      <c r="B367" s="15" t="s">
        <v>472</v>
      </c>
      <c r="C367" s="15" t="s">
        <v>85</v>
      </c>
      <c r="D367" s="16">
        <v>23</v>
      </c>
      <c r="E367" s="17">
        <v>114.14</v>
      </c>
      <c r="F367" s="16">
        <v>7.0000000000000007E-2</v>
      </c>
      <c r="G367" s="15" t="s">
        <v>32</v>
      </c>
      <c r="H367" s="18">
        <v>-65.62</v>
      </c>
      <c r="I367" s="19">
        <v>4.9800000000000004</v>
      </c>
      <c r="J367" s="19">
        <v>5.49</v>
      </c>
      <c r="K367" s="19" t="s">
        <v>44</v>
      </c>
      <c r="L367" s="19" t="s">
        <v>89</v>
      </c>
      <c r="M367" s="15" t="s">
        <v>90</v>
      </c>
      <c r="N367" s="15" t="s">
        <v>36</v>
      </c>
      <c r="O367" s="15" t="s">
        <v>117</v>
      </c>
      <c r="P367" s="20" t="s">
        <v>569</v>
      </c>
      <c r="Q367" s="15" t="s">
        <v>83</v>
      </c>
      <c r="R367" s="4"/>
      <c r="S367" s="4"/>
    </row>
    <row r="368" spans="1:19" ht="21" customHeight="1" x14ac:dyDescent="0.25">
      <c r="A368" s="14">
        <f>DATE(2012,12,31)-153</f>
        <v>41121</v>
      </c>
      <c r="B368" s="15" t="s">
        <v>659</v>
      </c>
      <c r="C368" s="15" t="s">
        <v>85</v>
      </c>
      <c r="D368" s="16">
        <v>28</v>
      </c>
      <c r="E368" s="17">
        <v>64.819999999999993</v>
      </c>
      <c r="F368" s="16">
        <v>0.02</v>
      </c>
      <c r="G368" s="15" t="s">
        <v>32</v>
      </c>
      <c r="H368" s="18">
        <v>-32.03</v>
      </c>
      <c r="I368" s="19">
        <v>2.12</v>
      </c>
      <c r="J368" s="19">
        <v>1.99</v>
      </c>
      <c r="K368" s="19" t="s">
        <v>44</v>
      </c>
      <c r="L368" s="19" t="s">
        <v>80</v>
      </c>
      <c r="M368" s="15" t="s">
        <v>81</v>
      </c>
      <c r="N368" s="15" t="s">
        <v>64</v>
      </c>
      <c r="O368" s="15" t="s">
        <v>72</v>
      </c>
      <c r="P368" s="20" t="s">
        <v>660</v>
      </c>
      <c r="Q368" s="15" t="s">
        <v>49</v>
      </c>
      <c r="R368" s="4"/>
      <c r="S368" s="4"/>
    </row>
    <row r="369" spans="1:19" ht="21" customHeight="1" x14ac:dyDescent="0.25">
      <c r="A369" s="14">
        <f>DATE(2012,12,31)-153</f>
        <v>41121</v>
      </c>
      <c r="B369" s="15" t="s">
        <v>659</v>
      </c>
      <c r="C369" s="15" t="s">
        <v>85</v>
      </c>
      <c r="D369" s="16">
        <v>6</v>
      </c>
      <c r="E369" s="17">
        <v>77.599999999999994</v>
      </c>
      <c r="F369" s="16">
        <v>0.08</v>
      </c>
      <c r="G369" s="15" t="s">
        <v>32</v>
      </c>
      <c r="H369" s="18">
        <v>-37.07</v>
      </c>
      <c r="I369" s="19">
        <v>11.34</v>
      </c>
      <c r="J369" s="19">
        <v>11.25</v>
      </c>
      <c r="K369" s="19" t="s">
        <v>44</v>
      </c>
      <c r="L369" s="19" t="s">
        <v>45</v>
      </c>
      <c r="M369" s="15" t="s">
        <v>46</v>
      </c>
      <c r="N369" s="15" t="s">
        <v>36</v>
      </c>
      <c r="O369" s="15" t="s">
        <v>117</v>
      </c>
      <c r="P369" s="20" t="s">
        <v>661</v>
      </c>
      <c r="Q369" s="15" t="s">
        <v>83</v>
      </c>
      <c r="R369" s="4"/>
      <c r="S369" s="4"/>
    </row>
    <row r="370" spans="1:19" ht="21" customHeight="1" x14ac:dyDescent="0.25">
      <c r="A370" s="14">
        <f>DATE(2012,12,31)-153</f>
        <v>41121</v>
      </c>
      <c r="B370" s="15" t="s">
        <v>659</v>
      </c>
      <c r="C370" s="15" t="s">
        <v>85</v>
      </c>
      <c r="D370" s="16">
        <v>17</v>
      </c>
      <c r="E370" s="17">
        <v>821.18</v>
      </c>
      <c r="F370" s="16">
        <v>0.04</v>
      </c>
      <c r="G370" s="15" t="s">
        <v>101</v>
      </c>
      <c r="H370" s="18">
        <v>308.63</v>
      </c>
      <c r="I370" s="19">
        <v>48.91</v>
      </c>
      <c r="J370" s="19">
        <v>5.81</v>
      </c>
      <c r="K370" s="19" t="s">
        <v>44</v>
      </c>
      <c r="L370" s="19" t="s">
        <v>89</v>
      </c>
      <c r="M370" s="15" t="s">
        <v>90</v>
      </c>
      <c r="N370" s="15" t="s">
        <v>36</v>
      </c>
      <c r="O370" s="15" t="s">
        <v>117</v>
      </c>
      <c r="P370" s="20" t="s">
        <v>662</v>
      </c>
      <c r="Q370" s="15" t="s">
        <v>83</v>
      </c>
      <c r="R370" s="4"/>
      <c r="S370" s="4"/>
    </row>
    <row r="371" spans="1:19" ht="21" customHeight="1" x14ac:dyDescent="0.25">
      <c r="A371" s="14">
        <f>DATE(2012,12,31)-774</f>
        <v>40500</v>
      </c>
      <c r="B371" s="15" t="s">
        <v>663</v>
      </c>
      <c r="C371" s="15" t="s">
        <v>43</v>
      </c>
      <c r="D371" s="16">
        <v>12</v>
      </c>
      <c r="E371" s="17">
        <v>31.77</v>
      </c>
      <c r="F371" s="16">
        <v>0.04</v>
      </c>
      <c r="G371" s="15" t="s">
        <v>32</v>
      </c>
      <c r="H371" s="18">
        <v>8.34</v>
      </c>
      <c r="I371" s="19">
        <v>2.61</v>
      </c>
      <c r="J371" s="19">
        <v>0.5</v>
      </c>
      <c r="K371" s="19" t="s">
        <v>33</v>
      </c>
      <c r="L371" s="19" t="s">
        <v>128</v>
      </c>
      <c r="M371" s="15" t="s">
        <v>129</v>
      </c>
      <c r="N371" s="15" t="s">
        <v>36</v>
      </c>
      <c r="O371" s="15" t="s">
        <v>114</v>
      </c>
      <c r="P371" s="20" t="s">
        <v>593</v>
      </c>
      <c r="Q371" s="15" t="s">
        <v>83</v>
      </c>
      <c r="R371" s="4"/>
      <c r="S371" s="4"/>
    </row>
    <row r="372" spans="1:19" ht="21" customHeight="1" x14ac:dyDescent="0.25">
      <c r="A372" s="14">
        <f>DATE(2012,12,31)-774</f>
        <v>40500</v>
      </c>
      <c r="B372" s="15" t="s">
        <v>663</v>
      </c>
      <c r="C372" s="15" t="s">
        <v>43</v>
      </c>
      <c r="D372" s="16">
        <v>33</v>
      </c>
      <c r="E372" s="17">
        <v>208.05</v>
      </c>
      <c r="F372" s="16">
        <v>0.01</v>
      </c>
      <c r="G372" s="15" t="s">
        <v>32</v>
      </c>
      <c r="H372" s="18">
        <v>46.01</v>
      </c>
      <c r="I372" s="19">
        <v>5.98</v>
      </c>
      <c r="J372" s="19">
        <v>0.96</v>
      </c>
      <c r="K372" s="19" t="s">
        <v>97</v>
      </c>
      <c r="L372" s="19" t="s">
        <v>195</v>
      </c>
      <c r="M372" s="15" t="s">
        <v>196</v>
      </c>
      <c r="N372" s="15" t="s">
        <v>36</v>
      </c>
      <c r="O372" s="15" t="s">
        <v>77</v>
      </c>
      <c r="P372" s="20" t="s">
        <v>664</v>
      </c>
      <c r="Q372" s="15" t="s">
        <v>79</v>
      </c>
      <c r="R372" s="4"/>
      <c r="S372" s="4"/>
    </row>
    <row r="373" spans="1:19" ht="21" customHeight="1" x14ac:dyDescent="0.25">
      <c r="A373" s="14">
        <f>DATE(2012,12,31)-850</f>
        <v>40424</v>
      </c>
      <c r="B373" s="15" t="s">
        <v>665</v>
      </c>
      <c r="C373" s="15" t="s">
        <v>51</v>
      </c>
      <c r="D373" s="16">
        <v>5</v>
      </c>
      <c r="E373" s="17">
        <v>2004.12</v>
      </c>
      <c r="F373" s="16">
        <v>0.1</v>
      </c>
      <c r="G373" s="15" t="s">
        <v>101</v>
      </c>
      <c r="H373" s="18">
        <v>276.67500000000001</v>
      </c>
      <c r="I373" s="19">
        <v>420.98</v>
      </c>
      <c r="J373" s="19">
        <v>19.989999999999998</v>
      </c>
      <c r="K373" s="19" t="s">
        <v>124</v>
      </c>
      <c r="L373" s="19" t="s">
        <v>160</v>
      </c>
      <c r="M373" s="15" t="s">
        <v>161</v>
      </c>
      <c r="N373" s="15" t="s">
        <v>36</v>
      </c>
      <c r="O373" s="15" t="s">
        <v>170</v>
      </c>
      <c r="P373" s="20" t="s">
        <v>466</v>
      </c>
      <c r="Q373" s="15" t="s">
        <v>83</v>
      </c>
      <c r="R373" s="4"/>
      <c r="S373" s="4"/>
    </row>
    <row r="374" spans="1:19" ht="21" customHeight="1" x14ac:dyDescent="0.25">
      <c r="A374" s="14">
        <f>DATE(2012,12,31)-850</f>
        <v>40424</v>
      </c>
      <c r="B374" s="15" t="s">
        <v>665</v>
      </c>
      <c r="C374" s="15" t="s">
        <v>51</v>
      </c>
      <c r="D374" s="16">
        <v>15</v>
      </c>
      <c r="E374" s="17">
        <v>3841.72</v>
      </c>
      <c r="F374" s="16">
        <v>0.03</v>
      </c>
      <c r="G374" s="15" t="s">
        <v>58</v>
      </c>
      <c r="H374" s="18">
        <v>691.13</v>
      </c>
      <c r="I374" s="19">
        <v>243.98</v>
      </c>
      <c r="J374" s="19">
        <v>43.32</v>
      </c>
      <c r="K374" s="19" t="s">
        <v>124</v>
      </c>
      <c r="L374" s="19" t="s">
        <v>160</v>
      </c>
      <c r="M374" s="15" t="s">
        <v>161</v>
      </c>
      <c r="N374" s="15" t="s">
        <v>54</v>
      </c>
      <c r="O374" s="15" t="s">
        <v>252</v>
      </c>
      <c r="P374" s="20" t="s">
        <v>666</v>
      </c>
      <c r="Q374" s="15" t="s">
        <v>181</v>
      </c>
      <c r="R374" s="4"/>
      <c r="S374" s="4"/>
    </row>
    <row r="375" spans="1:19" ht="21" customHeight="1" x14ac:dyDescent="0.25">
      <c r="A375" s="14">
        <f>DATE(2012,12,31)-384</f>
        <v>40890</v>
      </c>
      <c r="B375" s="15" t="s">
        <v>667</v>
      </c>
      <c r="C375" s="15" t="s">
        <v>43</v>
      </c>
      <c r="D375" s="16">
        <v>13</v>
      </c>
      <c r="E375" s="17">
        <v>11764.25</v>
      </c>
      <c r="F375" s="16">
        <v>0.04</v>
      </c>
      <c r="G375" s="15" t="s">
        <v>58</v>
      </c>
      <c r="H375" s="18">
        <v>2322.44</v>
      </c>
      <c r="I375" s="19">
        <v>880.98</v>
      </c>
      <c r="J375" s="19">
        <v>44.55</v>
      </c>
      <c r="K375" s="19" t="s">
        <v>124</v>
      </c>
      <c r="L375" s="19" t="s">
        <v>160</v>
      </c>
      <c r="M375" s="15" t="s">
        <v>161</v>
      </c>
      <c r="N375" s="15" t="s">
        <v>54</v>
      </c>
      <c r="O375" s="15" t="s">
        <v>134</v>
      </c>
      <c r="P375" s="20" t="s">
        <v>668</v>
      </c>
      <c r="Q375" s="15" t="s">
        <v>63</v>
      </c>
      <c r="R375" s="4"/>
      <c r="S375" s="4"/>
    </row>
    <row r="376" spans="1:19" ht="21" customHeight="1" x14ac:dyDescent="0.25">
      <c r="A376" s="14">
        <f>DATE(2012,12,31)-384</f>
        <v>40890</v>
      </c>
      <c r="B376" s="15" t="s">
        <v>667</v>
      </c>
      <c r="C376" s="15" t="s">
        <v>43</v>
      </c>
      <c r="D376" s="16">
        <v>4</v>
      </c>
      <c r="E376" s="17">
        <v>25.17</v>
      </c>
      <c r="F376" s="16">
        <v>0.09</v>
      </c>
      <c r="G376" s="15" t="s">
        <v>32</v>
      </c>
      <c r="H376" s="18">
        <v>5.88</v>
      </c>
      <c r="I376" s="19">
        <v>5.47</v>
      </c>
      <c r="J376" s="19">
        <v>5.26</v>
      </c>
      <c r="K376" s="19" t="s">
        <v>124</v>
      </c>
      <c r="L376" s="19" t="s">
        <v>319</v>
      </c>
      <c r="M376" s="15" t="s">
        <v>320</v>
      </c>
      <c r="N376" s="15" t="s">
        <v>54</v>
      </c>
      <c r="O376" s="15" t="s">
        <v>55</v>
      </c>
      <c r="P376" s="20" t="s">
        <v>669</v>
      </c>
      <c r="Q376" s="15" t="s">
        <v>49</v>
      </c>
      <c r="R376" s="4"/>
      <c r="S376" s="4"/>
    </row>
    <row r="377" spans="1:19" ht="21" customHeight="1" x14ac:dyDescent="0.25">
      <c r="A377" s="14">
        <f>DATE(2012,12,31)-384</f>
        <v>40890</v>
      </c>
      <c r="B377" s="15" t="s">
        <v>667</v>
      </c>
      <c r="C377" s="15" t="s">
        <v>43</v>
      </c>
      <c r="D377" s="16">
        <v>29</v>
      </c>
      <c r="E377" s="17">
        <v>208.47</v>
      </c>
      <c r="F377" s="16">
        <v>0.01</v>
      </c>
      <c r="G377" s="15" t="s">
        <v>101</v>
      </c>
      <c r="H377" s="18">
        <v>-125.6</v>
      </c>
      <c r="I377" s="19">
        <v>6.48</v>
      </c>
      <c r="J377" s="19">
        <v>8.74</v>
      </c>
      <c r="K377" s="19" t="s">
        <v>124</v>
      </c>
      <c r="L377" s="19" t="s">
        <v>168</v>
      </c>
      <c r="M377" s="15" t="s">
        <v>169</v>
      </c>
      <c r="N377" s="15" t="s">
        <v>36</v>
      </c>
      <c r="O377" s="15" t="s">
        <v>117</v>
      </c>
      <c r="P377" s="20" t="s">
        <v>179</v>
      </c>
      <c r="Q377" s="15" t="s">
        <v>83</v>
      </c>
      <c r="R377" s="4"/>
      <c r="S377" s="4"/>
    </row>
    <row r="378" spans="1:19" ht="21" customHeight="1" x14ac:dyDescent="0.25">
      <c r="A378" s="14">
        <f>DATE(2012,12,31)-481</f>
        <v>40793</v>
      </c>
      <c r="B378" s="15" t="s">
        <v>670</v>
      </c>
      <c r="C378" s="15" t="s">
        <v>43</v>
      </c>
      <c r="D378" s="16">
        <v>16</v>
      </c>
      <c r="E378" s="17">
        <v>48.37</v>
      </c>
      <c r="F378" s="16">
        <v>0.02</v>
      </c>
      <c r="G378" s="15" t="s">
        <v>32</v>
      </c>
      <c r="H378" s="18">
        <v>18.02</v>
      </c>
      <c r="I378" s="19">
        <v>2.88</v>
      </c>
      <c r="J378" s="19">
        <v>0.5</v>
      </c>
      <c r="K378" s="19" t="s">
        <v>44</v>
      </c>
      <c r="L378" s="19" t="s">
        <v>52</v>
      </c>
      <c r="M378" s="15" t="s">
        <v>424</v>
      </c>
      <c r="N378" s="15" t="s">
        <v>36</v>
      </c>
      <c r="O378" s="15" t="s">
        <v>114</v>
      </c>
      <c r="P378" s="20" t="s">
        <v>671</v>
      </c>
      <c r="Q378" s="15" t="s">
        <v>83</v>
      </c>
      <c r="R378" s="4"/>
      <c r="S378" s="4"/>
    </row>
    <row r="379" spans="1:19" ht="21" customHeight="1" x14ac:dyDescent="0.25">
      <c r="A379" s="14">
        <f>DATE(2012,12,31)-802</f>
        <v>40472</v>
      </c>
      <c r="B379" s="15" t="s">
        <v>672</v>
      </c>
      <c r="C379" s="15" t="s">
        <v>31</v>
      </c>
      <c r="D379" s="16">
        <v>14</v>
      </c>
      <c r="E379" s="17">
        <v>34.590000000000003</v>
      </c>
      <c r="F379" s="16">
        <v>0.04</v>
      </c>
      <c r="G379" s="15" t="s">
        <v>32</v>
      </c>
      <c r="H379" s="18">
        <v>-60.13</v>
      </c>
      <c r="I379" s="19">
        <v>2.1800000000000002</v>
      </c>
      <c r="J379" s="19">
        <v>5</v>
      </c>
      <c r="K379" s="19" t="s">
        <v>44</v>
      </c>
      <c r="L379" s="19" t="s">
        <v>52</v>
      </c>
      <c r="M379" s="15" t="s">
        <v>424</v>
      </c>
      <c r="N379" s="15" t="s">
        <v>36</v>
      </c>
      <c r="O379" s="15" t="s">
        <v>47</v>
      </c>
      <c r="P379" s="20" t="s">
        <v>673</v>
      </c>
      <c r="Q379" s="15" t="s">
        <v>79</v>
      </c>
      <c r="R379" s="4"/>
      <c r="S379" s="4"/>
    </row>
    <row r="380" spans="1:19" ht="21" customHeight="1" x14ac:dyDescent="0.25">
      <c r="A380" s="14">
        <f>DATE(2012,12,31)-802</f>
        <v>40472</v>
      </c>
      <c r="B380" s="15" t="s">
        <v>672</v>
      </c>
      <c r="C380" s="15" t="s">
        <v>31</v>
      </c>
      <c r="D380" s="16">
        <v>29</v>
      </c>
      <c r="E380" s="17">
        <v>5029.2160000000003</v>
      </c>
      <c r="F380" s="16">
        <v>0.02</v>
      </c>
      <c r="G380" s="15" t="s">
        <v>58</v>
      </c>
      <c r="H380" s="18">
        <v>-752.83199999999999</v>
      </c>
      <c r="I380" s="19">
        <v>218.75</v>
      </c>
      <c r="J380" s="19">
        <v>69.64</v>
      </c>
      <c r="K380" s="19" t="s">
        <v>44</v>
      </c>
      <c r="L380" s="19" t="s">
        <v>52</v>
      </c>
      <c r="M380" s="15" t="s">
        <v>424</v>
      </c>
      <c r="N380" s="15" t="s">
        <v>54</v>
      </c>
      <c r="O380" s="15" t="s">
        <v>61</v>
      </c>
      <c r="P380" s="20" t="s">
        <v>425</v>
      </c>
      <c r="Q380" s="15" t="s">
        <v>63</v>
      </c>
      <c r="R380" s="4"/>
      <c r="S380" s="4"/>
    </row>
    <row r="381" spans="1:19" ht="21" customHeight="1" x14ac:dyDescent="0.25">
      <c r="A381" s="14">
        <f>DATE(2012,12,31)-69</f>
        <v>41205</v>
      </c>
      <c r="B381" s="15" t="s">
        <v>674</v>
      </c>
      <c r="C381" s="15" t="s">
        <v>31</v>
      </c>
      <c r="D381" s="16">
        <v>31</v>
      </c>
      <c r="E381" s="17">
        <v>146.51</v>
      </c>
      <c r="F381" s="16">
        <v>0.04</v>
      </c>
      <c r="G381" s="15" t="s">
        <v>32</v>
      </c>
      <c r="H381" s="18">
        <v>37.14</v>
      </c>
      <c r="I381" s="19">
        <v>4.7300000000000004</v>
      </c>
      <c r="J381" s="19">
        <v>1.52</v>
      </c>
      <c r="K381" s="19" t="s">
        <v>44</v>
      </c>
      <c r="L381" s="19" t="s">
        <v>52</v>
      </c>
      <c r="M381" s="15" t="s">
        <v>424</v>
      </c>
      <c r="N381" s="15" t="s">
        <v>36</v>
      </c>
      <c r="O381" s="15" t="s">
        <v>117</v>
      </c>
      <c r="P381" s="20" t="s">
        <v>675</v>
      </c>
      <c r="Q381" s="15" t="s">
        <v>79</v>
      </c>
      <c r="R381" s="4"/>
      <c r="S381" s="4"/>
    </row>
    <row r="382" spans="1:19" ht="21" customHeight="1" x14ac:dyDescent="0.25">
      <c r="A382" s="14">
        <f>DATE(2012,12,31)-830</f>
        <v>40444</v>
      </c>
      <c r="B382" s="15" t="s">
        <v>676</v>
      </c>
      <c r="C382" s="15" t="s">
        <v>31</v>
      </c>
      <c r="D382" s="16">
        <v>27</v>
      </c>
      <c r="E382" s="17">
        <v>1078.49</v>
      </c>
      <c r="F382" s="16">
        <v>0.08</v>
      </c>
      <c r="G382" s="15" t="s">
        <v>32</v>
      </c>
      <c r="H382" s="18">
        <v>252.66</v>
      </c>
      <c r="I382" s="19">
        <v>40.96</v>
      </c>
      <c r="J382" s="19">
        <v>1.99</v>
      </c>
      <c r="K382" s="19" t="s">
        <v>44</v>
      </c>
      <c r="L382" s="19" t="s">
        <v>52</v>
      </c>
      <c r="M382" s="15" t="s">
        <v>424</v>
      </c>
      <c r="N382" s="15" t="s">
        <v>64</v>
      </c>
      <c r="O382" s="15" t="s">
        <v>72</v>
      </c>
      <c r="P382" s="20" t="s">
        <v>677</v>
      </c>
      <c r="Q382" s="15" t="s">
        <v>49</v>
      </c>
      <c r="R382" s="4"/>
      <c r="S382" s="4"/>
    </row>
    <row r="383" spans="1:19" ht="21" customHeight="1" x14ac:dyDescent="0.25">
      <c r="A383" s="14">
        <f>DATE(2012,12,31)-973</f>
        <v>40301</v>
      </c>
      <c r="B383" s="15" t="s">
        <v>678</v>
      </c>
      <c r="C383" s="15" t="s">
        <v>85</v>
      </c>
      <c r="D383" s="16">
        <v>3</v>
      </c>
      <c r="E383" s="17">
        <v>523.11</v>
      </c>
      <c r="F383" s="16">
        <v>0.05</v>
      </c>
      <c r="G383" s="15" t="s">
        <v>58</v>
      </c>
      <c r="H383" s="18">
        <v>-214.53300000000002</v>
      </c>
      <c r="I383" s="19">
        <v>159.31</v>
      </c>
      <c r="J383" s="19">
        <v>60</v>
      </c>
      <c r="K383" s="19" t="s">
        <v>44</v>
      </c>
      <c r="L383" s="19" t="s">
        <v>45</v>
      </c>
      <c r="M383" s="15" t="s">
        <v>46</v>
      </c>
      <c r="N383" s="15" t="s">
        <v>54</v>
      </c>
      <c r="O383" s="15" t="s">
        <v>61</v>
      </c>
      <c r="P383" s="20" t="s">
        <v>679</v>
      </c>
      <c r="Q383" s="15" t="s">
        <v>181</v>
      </c>
      <c r="R383" s="4"/>
      <c r="S383" s="4"/>
    </row>
    <row r="384" spans="1:19" ht="21" customHeight="1" x14ac:dyDescent="0.25">
      <c r="A384" s="14">
        <f>DATE(2012,12,31)-973</f>
        <v>40301</v>
      </c>
      <c r="B384" s="15" t="s">
        <v>678</v>
      </c>
      <c r="C384" s="15" t="s">
        <v>85</v>
      </c>
      <c r="D384" s="16">
        <v>29</v>
      </c>
      <c r="E384" s="17">
        <v>913.41</v>
      </c>
      <c r="F384" s="16">
        <v>0.01</v>
      </c>
      <c r="G384" s="15" t="s">
        <v>32</v>
      </c>
      <c r="H384" s="18">
        <v>237.14100000000002</v>
      </c>
      <c r="I384" s="19">
        <v>35.99</v>
      </c>
      <c r="J384" s="19">
        <v>1.25</v>
      </c>
      <c r="K384" s="19" t="s">
        <v>44</v>
      </c>
      <c r="L384" s="19" t="s">
        <v>89</v>
      </c>
      <c r="M384" s="15" t="s">
        <v>90</v>
      </c>
      <c r="N384" s="15" t="s">
        <v>64</v>
      </c>
      <c r="O384" s="15" t="s">
        <v>65</v>
      </c>
      <c r="P384" s="20" t="s">
        <v>680</v>
      </c>
      <c r="Q384" s="15" t="s">
        <v>49</v>
      </c>
      <c r="R384" s="4"/>
      <c r="S384" s="4"/>
    </row>
    <row r="385" spans="1:19" ht="21" customHeight="1" x14ac:dyDescent="0.25">
      <c r="A385" s="14">
        <f>DATE(2012,12,31)-442</f>
        <v>40832</v>
      </c>
      <c r="B385" s="15" t="s">
        <v>681</v>
      </c>
      <c r="C385" s="15" t="s">
        <v>51</v>
      </c>
      <c r="D385" s="16">
        <v>30</v>
      </c>
      <c r="E385" s="17">
        <v>8316.76</v>
      </c>
      <c r="F385" s="16">
        <v>0.05</v>
      </c>
      <c r="G385" s="15" t="s">
        <v>58</v>
      </c>
      <c r="H385" s="18">
        <v>2108.8000000000002</v>
      </c>
      <c r="I385" s="19">
        <v>279.81</v>
      </c>
      <c r="J385" s="19">
        <v>23.19</v>
      </c>
      <c r="K385" s="19" t="s">
        <v>44</v>
      </c>
      <c r="L385" s="19" t="s">
        <v>80</v>
      </c>
      <c r="M385" s="15" t="s">
        <v>81</v>
      </c>
      <c r="N385" s="15" t="s">
        <v>36</v>
      </c>
      <c r="O385" s="15" t="s">
        <v>176</v>
      </c>
      <c r="P385" s="20" t="s">
        <v>682</v>
      </c>
      <c r="Q385" s="15" t="s">
        <v>181</v>
      </c>
      <c r="R385" s="4"/>
      <c r="S385" s="4"/>
    </row>
    <row r="386" spans="1:19" ht="21" customHeight="1" x14ac:dyDescent="0.25">
      <c r="A386" s="14">
        <f>DATE(2012,12,31)-442</f>
        <v>40832</v>
      </c>
      <c r="B386" s="15" t="s">
        <v>681</v>
      </c>
      <c r="C386" s="15" t="s">
        <v>51</v>
      </c>
      <c r="D386" s="16">
        <v>37</v>
      </c>
      <c r="E386" s="17">
        <v>2143.2154999999998</v>
      </c>
      <c r="F386" s="16">
        <v>0.02</v>
      </c>
      <c r="G386" s="15" t="s">
        <v>32</v>
      </c>
      <c r="H386" s="18">
        <v>464.35500000000002</v>
      </c>
      <c r="I386" s="19">
        <v>65.989999999999995</v>
      </c>
      <c r="J386" s="19">
        <v>8.99</v>
      </c>
      <c r="K386" s="19" t="s">
        <v>33</v>
      </c>
      <c r="L386" s="19" t="s">
        <v>145</v>
      </c>
      <c r="M386" s="15" t="s">
        <v>146</v>
      </c>
      <c r="N386" s="15" t="s">
        <v>64</v>
      </c>
      <c r="O386" s="15" t="s">
        <v>65</v>
      </c>
      <c r="P386" s="20" t="s">
        <v>141</v>
      </c>
      <c r="Q386" s="15" t="s">
        <v>83</v>
      </c>
      <c r="R386" s="4"/>
      <c r="S386" s="4"/>
    </row>
    <row r="387" spans="1:19" ht="21" customHeight="1" x14ac:dyDescent="0.25">
      <c r="A387" s="14">
        <f>DATE(2012,12,31)-466</f>
        <v>40808</v>
      </c>
      <c r="B387" s="15" t="s">
        <v>683</v>
      </c>
      <c r="C387" s="15" t="s">
        <v>85</v>
      </c>
      <c r="D387" s="16">
        <v>34</v>
      </c>
      <c r="E387" s="17">
        <v>229.51</v>
      </c>
      <c r="F387" s="16">
        <v>0.04</v>
      </c>
      <c r="G387" s="15" t="s">
        <v>32</v>
      </c>
      <c r="H387" s="18">
        <v>-189.33</v>
      </c>
      <c r="I387" s="19">
        <v>6.48</v>
      </c>
      <c r="J387" s="19">
        <v>9.5399999999999991</v>
      </c>
      <c r="K387" s="19" t="s">
        <v>33</v>
      </c>
      <c r="L387" s="19" t="s">
        <v>59</v>
      </c>
      <c r="M387" s="15" t="s">
        <v>60</v>
      </c>
      <c r="N387" s="15" t="s">
        <v>36</v>
      </c>
      <c r="O387" s="15" t="s">
        <v>117</v>
      </c>
      <c r="P387" s="20" t="s">
        <v>684</v>
      </c>
      <c r="Q387" s="15" t="s">
        <v>83</v>
      </c>
      <c r="R387" s="4"/>
      <c r="S387" s="4"/>
    </row>
    <row r="388" spans="1:19" ht="21" customHeight="1" x14ac:dyDescent="0.25">
      <c r="A388" s="14">
        <f>DATE(2012,12,31)-466</f>
        <v>40808</v>
      </c>
      <c r="B388" s="15" t="s">
        <v>683</v>
      </c>
      <c r="C388" s="15" t="s">
        <v>85</v>
      </c>
      <c r="D388" s="16">
        <v>32</v>
      </c>
      <c r="E388" s="17">
        <v>473</v>
      </c>
      <c r="F388" s="16">
        <v>0.09</v>
      </c>
      <c r="G388" s="15" t="s">
        <v>101</v>
      </c>
      <c r="H388" s="18">
        <v>-185.8</v>
      </c>
      <c r="I388" s="19">
        <v>15.42</v>
      </c>
      <c r="J388" s="19">
        <v>10.68</v>
      </c>
      <c r="K388" s="19" t="s">
        <v>33</v>
      </c>
      <c r="L388" s="19" t="s">
        <v>145</v>
      </c>
      <c r="M388" s="15" t="s">
        <v>146</v>
      </c>
      <c r="N388" s="15" t="s">
        <v>36</v>
      </c>
      <c r="O388" s="15" t="s">
        <v>37</v>
      </c>
      <c r="P388" s="20" t="s">
        <v>156</v>
      </c>
      <c r="Q388" s="15" t="s">
        <v>83</v>
      </c>
      <c r="R388" s="4"/>
      <c r="S388" s="4"/>
    </row>
    <row r="389" spans="1:19" ht="21" customHeight="1" x14ac:dyDescent="0.25">
      <c r="A389" s="14">
        <f>DATE(2012,12,31)-745</f>
        <v>40529</v>
      </c>
      <c r="B389" s="15" t="s">
        <v>330</v>
      </c>
      <c r="C389" s="15" t="s">
        <v>43</v>
      </c>
      <c r="D389" s="16">
        <v>50</v>
      </c>
      <c r="E389" s="17">
        <v>881.65</v>
      </c>
      <c r="F389" s="16">
        <v>0.08</v>
      </c>
      <c r="G389" s="15" t="s">
        <v>32</v>
      </c>
      <c r="H389" s="18">
        <v>41.27</v>
      </c>
      <c r="I389" s="19">
        <v>18.97</v>
      </c>
      <c r="J389" s="19">
        <v>9.0299999999999994</v>
      </c>
      <c r="K389" s="19" t="s">
        <v>69</v>
      </c>
      <c r="L389" s="19" t="s">
        <v>70</v>
      </c>
      <c r="M389" s="15" t="s">
        <v>71</v>
      </c>
      <c r="N389" s="15" t="s">
        <v>36</v>
      </c>
      <c r="O389" s="15" t="s">
        <v>117</v>
      </c>
      <c r="P389" s="20" t="s">
        <v>127</v>
      </c>
      <c r="Q389" s="15" t="s">
        <v>83</v>
      </c>
      <c r="R389" s="4"/>
      <c r="S389" s="4"/>
    </row>
    <row r="390" spans="1:19" ht="21" customHeight="1" x14ac:dyDescent="0.25">
      <c r="A390" s="14">
        <f>DATE(2012,12,31)-343</f>
        <v>40931</v>
      </c>
      <c r="B390" s="15" t="s">
        <v>318</v>
      </c>
      <c r="C390" s="15" t="s">
        <v>51</v>
      </c>
      <c r="D390" s="16">
        <v>31</v>
      </c>
      <c r="E390" s="17">
        <v>2080.0349999999999</v>
      </c>
      <c r="F390" s="16">
        <v>0.1</v>
      </c>
      <c r="G390" s="15" t="s">
        <v>32</v>
      </c>
      <c r="H390" s="18">
        <v>844.90199999999993</v>
      </c>
      <c r="I390" s="19">
        <v>85.99</v>
      </c>
      <c r="J390" s="19">
        <v>1.25</v>
      </c>
      <c r="K390" s="19" t="s">
        <v>69</v>
      </c>
      <c r="L390" s="19" t="s">
        <v>70</v>
      </c>
      <c r="M390" s="15" t="s">
        <v>71</v>
      </c>
      <c r="N390" s="15" t="s">
        <v>64</v>
      </c>
      <c r="O390" s="15" t="s">
        <v>65</v>
      </c>
      <c r="P390" s="20" t="s">
        <v>685</v>
      </c>
      <c r="Q390" s="15" t="s">
        <v>49</v>
      </c>
      <c r="R390" s="4"/>
      <c r="S390" s="4"/>
    </row>
    <row r="391" spans="1:19" ht="21" customHeight="1" x14ac:dyDescent="0.25">
      <c r="A391" s="14">
        <f>DATE(2012,12,31)-343</f>
        <v>40931</v>
      </c>
      <c r="B391" s="15" t="s">
        <v>318</v>
      </c>
      <c r="C391" s="15" t="s">
        <v>51</v>
      </c>
      <c r="D391" s="16">
        <v>7</v>
      </c>
      <c r="E391" s="17">
        <v>145.41999999999999</v>
      </c>
      <c r="F391" s="16">
        <v>0.09</v>
      </c>
      <c r="G391" s="15" t="s">
        <v>32</v>
      </c>
      <c r="H391" s="18">
        <v>-98.46</v>
      </c>
      <c r="I391" s="19">
        <v>20.97</v>
      </c>
      <c r="J391" s="19">
        <v>6.5</v>
      </c>
      <c r="K391" s="19" t="s">
        <v>69</v>
      </c>
      <c r="L391" s="19" t="s">
        <v>75</v>
      </c>
      <c r="M391" s="15" t="s">
        <v>76</v>
      </c>
      <c r="N391" s="15" t="s">
        <v>64</v>
      </c>
      <c r="O391" s="15" t="s">
        <v>72</v>
      </c>
      <c r="P391" s="20" t="s">
        <v>393</v>
      </c>
      <c r="Q391" s="15" t="s">
        <v>83</v>
      </c>
      <c r="R391" s="4"/>
      <c r="S391" s="4"/>
    </row>
    <row r="392" spans="1:19" ht="21" customHeight="1" x14ac:dyDescent="0.25">
      <c r="A392" s="14">
        <f>DATE(2012,12,31)-343</f>
        <v>40931</v>
      </c>
      <c r="B392" s="15" t="s">
        <v>318</v>
      </c>
      <c r="C392" s="15" t="s">
        <v>51</v>
      </c>
      <c r="D392" s="16">
        <v>11</v>
      </c>
      <c r="E392" s="17">
        <v>1559.4355</v>
      </c>
      <c r="F392" s="16">
        <v>0.01</v>
      </c>
      <c r="G392" s="15" t="s">
        <v>32</v>
      </c>
      <c r="H392" s="18">
        <v>61.236000000000004</v>
      </c>
      <c r="I392" s="19">
        <v>155.99</v>
      </c>
      <c r="J392" s="19">
        <v>3.9</v>
      </c>
      <c r="K392" s="19" t="s">
        <v>69</v>
      </c>
      <c r="L392" s="19" t="s">
        <v>215</v>
      </c>
      <c r="M392" s="15" t="s">
        <v>216</v>
      </c>
      <c r="N392" s="15" t="s">
        <v>64</v>
      </c>
      <c r="O392" s="15" t="s">
        <v>65</v>
      </c>
      <c r="P392" s="20" t="s">
        <v>686</v>
      </c>
      <c r="Q392" s="15" t="s">
        <v>83</v>
      </c>
      <c r="R392" s="4"/>
      <c r="S392" s="4"/>
    </row>
    <row r="393" spans="1:19" ht="21" customHeight="1" x14ac:dyDescent="0.25">
      <c r="A393" s="14">
        <f>DATE(2012,12,31)-246</f>
        <v>41028</v>
      </c>
      <c r="B393" s="15" t="s">
        <v>476</v>
      </c>
      <c r="C393" s="15" t="s">
        <v>31</v>
      </c>
      <c r="D393" s="16">
        <v>14</v>
      </c>
      <c r="E393" s="17">
        <v>3363.14</v>
      </c>
      <c r="F393" s="16">
        <v>0.1</v>
      </c>
      <c r="G393" s="15" t="s">
        <v>58</v>
      </c>
      <c r="H393" s="18">
        <v>98.75</v>
      </c>
      <c r="I393" s="19">
        <v>260.98</v>
      </c>
      <c r="J393" s="19">
        <v>41.91</v>
      </c>
      <c r="K393" s="19" t="s">
        <v>44</v>
      </c>
      <c r="L393" s="19" t="s">
        <v>89</v>
      </c>
      <c r="M393" s="15" t="s">
        <v>90</v>
      </c>
      <c r="N393" s="15" t="s">
        <v>54</v>
      </c>
      <c r="O393" s="15" t="s">
        <v>134</v>
      </c>
      <c r="P393" s="20" t="s">
        <v>687</v>
      </c>
      <c r="Q393" s="15" t="s">
        <v>63</v>
      </c>
      <c r="R393" s="4"/>
      <c r="S393" s="4"/>
    </row>
    <row r="394" spans="1:19" ht="21" customHeight="1" x14ac:dyDescent="0.25">
      <c r="A394" s="14">
        <f>DATE(2012,12,31)-938</f>
        <v>40336</v>
      </c>
      <c r="B394" s="15" t="s">
        <v>688</v>
      </c>
      <c r="C394" s="15" t="s">
        <v>85</v>
      </c>
      <c r="D394" s="16">
        <v>36</v>
      </c>
      <c r="E394" s="17">
        <v>2051.0160000000001</v>
      </c>
      <c r="F394" s="16">
        <v>0.02</v>
      </c>
      <c r="G394" s="15" t="s">
        <v>101</v>
      </c>
      <c r="H394" s="18">
        <v>483.96600000000001</v>
      </c>
      <c r="I394" s="19">
        <v>65.989999999999995</v>
      </c>
      <c r="J394" s="19">
        <v>3.99</v>
      </c>
      <c r="K394" s="19" t="s">
        <v>44</v>
      </c>
      <c r="L394" s="19" t="s">
        <v>45</v>
      </c>
      <c r="M394" s="15" t="s">
        <v>46</v>
      </c>
      <c r="N394" s="15" t="s">
        <v>64</v>
      </c>
      <c r="O394" s="15" t="s">
        <v>65</v>
      </c>
      <c r="P394" s="20" t="s">
        <v>689</v>
      </c>
      <c r="Q394" s="15" t="s">
        <v>83</v>
      </c>
      <c r="R394" s="4"/>
      <c r="S394" s="4"/>
    </row>
    <row r="395" spans="1:19" ht="21" customHeight="1" x14ac:dyDescent="0.25">
      <c r="A395" s="14">
        <f>DATE(2012,12,31)-1363</f>
        <v>39911</v>
      </c>
      <c r="B395" s="15" t="s">
        <v>690</v>
      </c>
      <c r="C395" s="15" t="s">
        <v>31</v>
      </c>
      <c r="D395" s="16">
        <v>46</v>
      </c>
      <c r="E395" s="17">
        <v>1895.55</v>
      </c>
      <c r="F395" s="16">
        <v>0.06</v>
      </c>
      <c r="G395" s="15" t="s">
        <v>32</v>
      </c>
      <c r="H395" s="18">
        <v>807.62</v>
      </c>
      <c r="I395" s="19">
        <v>40.97</v>
      </c>
      <c r="J395" s="19">
        <v>1.99</v>
      </c>
      <c r="K395" s="19" t="s">
        <v>44</v>
      </c>
      <c r="L395" s="19" t="s">
        <v>45</v>
      </c>
      <c r="M395" s="15" t="s">
        <v>46</v>
      </c>
      <c r="N395" s="15" t="s">
        <v>64</v>
      </c>
      <c r="O395" s="15" t="s">
        <v>72</v>
      </c>
      <c r="P395" s="20" t="s">
        <v>691</v>
      </c>
      <c r="Q395" s="15" t="s">
        <v>49</v>
      </c>
      <c r="R395" s="4"/>
      <c r="S395" s="4"/>
    </row>
    <row r="396" spans="1:19" ht="21" customHeight="1" x14ac:dyDescent="0.25">
      <c r="A396" s="14">
        <f>DATE(2012,12,31)-1321</f>
        <v>39953</v>
      </c>
      <c r="B396" s="15" t="s">
        <v>340</v>
      </c>
      <c r="C396" s="15" t="s">
        <v>43</v>
      </c>
      <c r="D396" s="16">
        <v>39</v>
      </c>
      <c r="E396" s="17">
        <v>2178.431</v>
      </c>
      <c r="F396" s="16">
        <v>0.01</v>
      </c>
      <c r="G396" s="15" t="s">
        <v>101</v>
      </c>
      <c r="H396" s="18">
        <v>396.97199999999998</v>
      </c>
      <c r="I396" s="19">
        <v>65.989999999999995</v>
      </c>
      <c r="J396" s="19">
        <v>8.99</v>
      </c>
      <c r="K396" s="19" t="s">
        <v>44</v>
      </c>
      <c r="L396" s="19" t="s">
        <v>120</v>
      </c>
      <c r="M396" s="15" t="s">
        <v>121</v>
      </c>
      <c r="N396" s="15" t="s">
        <v>64</v>
      </c>
      <c r="O396" s="15" t="s">
        <v>65</v>
      </c>
      <c r="P396" s="20" t="s">
        <v>692</v>
      </c>
      <c r="Q396" s="15" t="s">
        <v>83</v>
      </c>
      <c r="R396" s="4"/>
      <c r="S396" s="4"/>
    </row>
    <row r="397" spans="1:19" ht="21" customHeight="1" x14ac:dyDescent="0.25">
      <c r="A397" s="14">
        <f>DATE(2012,12,31)-774</f>
        <v>40500</v>
      </c>
      <c r="B397" s="15" t="s">
        <v>586</v>
      </c>
      <c r="C397" s="15" t="s">
        <v>51</v>
      </c>
      <c r="D397" s="16">
        <v>30</v>
      </c>
      <c r="E397" s="17">
        <v>695.47</v>
      </c>
      <c r="F397" s="16">
        <v>0.03</v>
      </c>
      <c r="G397" s="15" t="s">
        <v>32</v>
      </c>
      <c r="H397" s="18">
        <v>226.73</v>
      </c>
      <c r="I397" s="19">
        <v>22.98</v>
      </c>
      <c r="J397" s="19">
        <v>1.99</v>
      </c>
      <c r="K397" s="19" t="s">
        <v>44</v>
      </c>
      <c r="L397" s="19" t="s">
        <v>89</v>
      </c>
      <c r="M397" s="15" t="s">
        <v>90</v>
      </c>
      <c r="N397" s="15" t="s">
        <v>64</v>
      </c>
      <c r="O397" s="15" t="s">
        <v>72</v>
      </c>
      <c r="P397" s="20" t="s">
        <v>551</v>
      </c>
      <c r="Q397" s="15" t="s">
        <v>49</v>
      </c>
      <c r="R397" s="4"/>
      <c r="S397" s="4"/>
    </row>
    <row r="398" spans="1:19" ht="21" customHeight="1" x14ac:dyDescent="0.25">
      <c r="A398" s="14">
        <f>DATE(2012,12,31)-774</f>
        <v>40500</v>
      </c>
      <c r="B398" s="15" t="s">
        <v>586</v>
      </c>
      <c r="C398" s="15" t="s">
        <v>51</v>
      </c>
      <c r="D398" s="16">
        <v>41</v>
      </c>
      <c r="E398" s="17">
        <v>152.59</v>
      </c>
      <c r="F398" s="16">
        <v>0.02</v>
      </c>
      <c r="G398" s="15" t="s">
        <v>32</v>
      </c>
      <c r="H398" s="18">
        <v>55.48</v>
      </c>
      <c r="I398" s="19">
        <v>3.78</v>
      </c>
      <c r="J398" s="19">
        <v>0.71</v>
      </c>
      <c r="K398" s="19" t="s">
        <v>44</v>
      </c>
      <c r="L398" s="19" t="s">
        <v>120</v>
      </c>
      <c r="M398" s="15" t="s">
        <v>121</v>
      </c>
      <c r="N398" s="15" t="s">
        <v>36</v>
      </c>
      <c r="O398" s="15" t="s">
        <v>105</v>
      </c>
      <c r="P398" s="20" t="s">
        <v>693</v>
      </c>
      <c r="Q398" s="15" t="s">
        <v>79</v>
      </c>
      <c r="R398" s="4"/>
      <c r="S398" s="4"/>
    </row>
    <row r="399" spans="1:19" ht="21" customHeight="1" x14ac:dyDescent="0.25">
      <c r="A399" s="14">
        <f>DATE(2012,12,31)-774</f>
        <v>40500</v>
      </c>
      <c r="B399" s="15" t="s">
        <v>586</v>
      </c>
      <c r="C399" s="15" t="s">
        <v>51</v>
      </c>
      <c r="D399" s="16">
        <v>10</v>
      </c>
      <c r="E399" s="17">
        <v>365.62</v>
      </c>
      <c r="F399" s="16">
        <v>0.03</v>
      </c>
      <c r="G399" s="15" t="s">
        <v>32</v>
      </c>
      <c r="H399" s="18">
        <v>15.77</v>
      </c>
      <c r="I399" s="19">
        <v>34.76</v>
      </c>
      <c r="J399" s="19">
        <v>8.2200000000000006</v>
      </c>
      <c r="K399" s="19" t="s">
        <v>124</v>
      </c>
      <c r="L399" s="19" t="s">
        <v>125</v>
      </c>
      <c r="M399" s="15" t="s">
        <v>126</v>
      </c>
      <c r="N399" s="15" t="s">
        <v>36</v>
      </c>
      <c r="O399" s="15" t="s">
        <v>37</v>
      </c>
      <c r="P399" s="20" t="s">
        <v>694</v>
      </c>
      <c r="Q399" s="15" t="s">
        <v>83</v>
      </c>
      <c r="R399" s="4"/>
      <c r="S399" s="4"/>
    </row>
    <row r="400" spans="1:19" ht="21" customHeight="1" x14ac:dyDescent="0.25">
      <c r="A400" s="14">
        <f>DATE(2012,12,31)-774</f>
        <v>40500</v>
      </c>
      <c r="B400" s="15" t="s">
        <v>586</v>
      </c>
      <c r="C400" s="15" t="s">
        <v>51</v>
      </c>
      <c r="D400" s="16">
        <v>10</v>
      </c>
      <c r="E400" s="17">
        <v>575.56899999999996</v>
      </c>
      <c r="F400" s="16">
        <v>0.04</v>
      </c>
      <c r="G400" s="15" t="s">
        <v>32</v>
      </c>
      <c r="H400" s="18">
        <v>-86.515000000000001</v>
      </c>
      <c r="I400" s="19">
        <v>65.989999999999995</v>
      </c>
      <c r="J400" s="19">
        <v>5.63</v>
      </c>
      <c r="K400" s="19" t="s">
        <v>33</v>
      </c>
      <c r="L400" s="19" t="s">
        <v>128</v>
      </c>
      <c r="M400" s="15" t="s">
        <v>129</v>
      </c>
      <c r="N400" s="15" t="s">
        <v>64</v>
      </c>
      <c r="O400" s="15" t="s">
        <v>65</v>
      </c>
      <c r="P400" s="20" t="s">
        <v>695</v>
      </c>
      <c r="Q400" s="15" t="s">
        <v>83</v>
      </c>
      <c r="R400" s="4"/>
      <c r="S400" s="4"/>
    </row>
    <row r="401" spans="1:19" ht="21" customHeight="1" x14ac:dyDescent="0.25">
      <c r="A401" s="14">
        <f>DATE(2012,12,31)-1369</f>
        <v>39905</v>
      </c>
      <c r="B401" s="15" t="s">
        <v>696</v>
      </c>
      <c r="C401" s="15" t="s">
        <v>51</v>
      </c>
      <c r="D401" s="16">
        <v>16</v>
      </c>
      <c r="E401" s="17">
        <v>1427.67</v>
      </c>
      <c r="F401" s="16">
        <v>0.04</v>
      </c>
      <c r="G401" s="15" t="s">
        <v>32</v>
      </c>
      <c r="H401" s="18">
        <v>422.8</v>
      </c>
      <c r="I401" s="19">
        <v>90.24</v>
      </c>
      <c r="J401" s="19">
        <v>0.99</v>
      </c>
      <c r="K401" s="19" t="s">
        <v>33</v>
      </c>
      <c r="L401" s="19" t="s">
        <v>128</v>
      </c>
      <c r="M401" s="15" t="s">
        <v>129</v>
      </c>
      <c r="N401" s="15" t="s">
        <v>36</v>
      </c>
      <c r="O401" s="15" t="s">
        <v>176</v>
      </c>
      <c r="P401" s="20" t="s">
        <v>697</v>
      </c>
      <c r="Q401" s="15" t="s">
        <v>83</v>
      </c>
      <c r="R401" s="4"/>
      <c r="S401" s="4"/>
    </row>
    <row r="402" spans="1:19" ht="21" customHeight="1" x14ac:dyDescent="0.25">
      <c r="A402" s="14">
        <f>DATE(2012,12,31)-1369</f>
        <v>39905</v>
      </c>
      <c r="B402" s="15" t="s">
        <v>696</v>
      </c>
      <c r="C402" s="15" t="s">
        <v>51</v>
      </c>
      <c r="D402" s="16">
        <v>11</v>
      </c>
      <c r="E402" s="17">
        <v>499.26</v>
      </c>
      <c r="F402" s="16">
        <v>0.09</v>
      </c>
      <c r="G402" s="15" t="s">
        <v>101</v>
      </c>
      <c r="H402" s="18">
        <v>144.05000000000001</v>
      </c>
      <c r="I402" s="19">
        <v>47.9</v>
      </c>
      <c r="J402" s="19">
        <v>5.86</v>
      </c>
      <c r="K402" s="19" t="s">
        <v>33</v>
      </c>
      <c r="L402" s="19" t="s">
        <v>93</v>
      </c>
      <c r="M402" s="15" t="s">
        <v>94</v>
      </c>
      <c r="N402" s="15" t="s">
        <v>36</v>
      </c>
      <c r="O402" s="15" t="s">
        <v>117</v>
      </c>
      <c r="P402" s="20" t="s">
        <v>698</v>
      </c>
      <c r="Q402" s="15" t="s">
        <v>83</v>
      </c>
      <c r="R402" s="4"/>
      <c r="S402" s="4"/>
    </row>
    <row r="403" spans="1:19" ht="21" customHeight="1" x14ac:dyDescent="0.25">
      <c r="A403" s="14">
        <f>DATE(2012,12,31)-329</f>
        <v>40945</v>
      </c>
      <c r="B403" s="15" t="s">
        <v>699</v>
      </c>
      <c r="C403" s="15" t="s">
        <v>43</v>
      </c>
      <c r="D403" s="16">
        <v>30</v>
      </c>
      <c r="E403" s="17">
        <v>736.3</v>
      </c>
      <c r="F403" s="16">
        <v>0.03</v>
      </c>
      <c r="G403" s="15" t="s">
        <v>32</v>
      </c>
      <c r="H403" s="18">
        <v>259.07150000000001</v>
      </c>
      <c r="I403" s="19">
        <v>24.95</v>
      </c>
      <c r="J403" s="19">
        <v>2.99</v>
      </c>
      <c r="K403" s="19" t="s">
        <v>33</v>
      </c>
      <c r="L403" s="19" t="s">
        <v>128</v>
      </c>
      <c r="M403" s="15" t="s">
        <v>129</v>
      </c>
      <c r="N403" s="15" t="s">
        <v>36</v>
      </c>
      <c r="O403" s="15" t="s">
        <v>170</v>
      </c>
      <c r="P403" s="20" t="s">
        <v>609</v>
      </c>
      <c r="Q403" s="15" t="s">
        <v>83</v>
      </c>
      <c r="R403" s="4"/>
      <c r="S403" s="4"/>
    </row>
    <row r="404" spans="1:19" ht="21" customHeight="1" x14ac:dyDescent="0.25">
      <c r="A404" s="14">
        <f>DATE(2012,12,31)-329</f>
        <v>40945</v>
      </c>
      <c r="B404" s="15" t="s">
        <v>699</v>
      </c>
      <c r="C404" s="15" t="s">
        <v>43</v>
      </c>
      <c r="D404" s="16">
        <v>50</v>
      </c>
      <c r="E404" s="17">
        <v>346.06</v>
      </c>
      <c r="F404" s="16">
        <v>0</v>
      </c>
      <c r="G404" s="15" t="s">
        <v>32</v>
      </c>
      <c r="H404" s="18">
        <v>-76.540000000000006</v>
      </c>
      <c r="I404" s="19">
        <v>6.48</v>
      </c>
      <c r="J404" s="19">
        <v>5.86</v>
      </c>
      <c r="K404" s="19" t="s">
        <v>124</v>
      </c>
      <c r="L404" s="19" t="s">
        <v>160</v>
      </c>
      <c r="M404" s="15" t="s">
        <v>161</v>
      </c>
      <c r="N404" s="15" t="s">
        <v>36</v>
      </c>
      <c r="O404" s="15" t="s">
        <v>117</v>
      </c>
      <c r="P404" s="20" t="s">
        <v>700</v>
      </c>
      <c r="Q404" s="15" t="s">
        <v>83</v>
      </c>
      <c r="R404" s="4"/>
      <c r="S404" s="4"/>
    </row>
    <row r="405" spans="1:19" ht="21" customHeight="1" x14ac:dyDescent="0.25">
      <c r="A405" s="14">
        <f>DATE(2012,12,31)-1354</f>
        <v>39920</v>
      </c>
      <c r="B405" s="15" t="s">
        <v>701</v>
      </c>
      <c r="C405" s="15" t="s">
        <v>85</v>
      </c>
      <c r="D405" s="16">
        <v>25</v>
      </c>
      <c r="E405" s="17">
        <v>1344.88</v>
      </c>
      <c r="F405" s="16">
        <v>0.06</v>
      </c>
      <c r="G405" s="15" t="s">
        <v>32</v>
      </c>
      <c r="H405" s="18">
        <v>-13.77</v>
      </c>
      <c r="I405" s="19">
        <v>55.94</v>
      </c>
      <c r="J405" s="19">
        <v>4</v>
      </c>
      <c r="K405" s="19" t="s">
        <v>124</v>
      </c>
      <c r="L405" s="19" t="s">
        <v>160</v>
      </c>
      <c r="M405" s="15" t="s">
        <v>161</v>
      </c>
      <c r="N405" s="15" t="s">
        <v>64</v>
      </c>
      <c r="O405" s="15" t="s">
        <v>72</v>
      </c>
      <c r="P405" s="20" t="s">
        <v>702</v>
      </c>
      <c r="Q405" s="15" t="s">
        <v>83</v>
      </c>
      <c r="R405" s="4"/>
      <c r="S405" s="4"/>
    </row>
    <row r="406" spans="1:19" ht="21" customHeight="1" x14ac:dyDescent="0.25">
      <c r="A406" s="14">
        <f>DATE(2012,12,31)-1354</f>
        <v>39920</v>
      </c>
      <c r="B406" s="15" t="s">
        <v>701</v>
      </c>
      <c r="C406" s="15" t="s">
        <v>85</v>
      </c>
      <c r="D406" s="16">
        <v>42</v>
      </c>
      <c r="E406" s="17">
        <v>248.54</v>
      </c>
      <c r="F406" s="16">
        <v>7.0000000000000007E-2</v>
      </c>
      <c r="G406" s="15" t="s">
        <v>32</v>
      </c>
      <c r="H406" s="18">
        <v>111.75</v>
      </c>
      <c r="I406" s="19">
        <v>6.3</v>
      </c>
      <c r="J406" s="19">
        <v>0.5</v>
      </c>
      <c r="K406" s="19" t="s">
        <v>124</v>
      </c>
      <c r="L406" s="19" t="s">
        <v>160</v>
      </c>
      <c r="M406" s="15" t="s">
        <v>161</v>
      </c>
      <c r="N406" s="15" t="s">
        <v>36</v>
      </c>
      <c r="O406" s="15" t="s">
        <v>114</v>
      </c>
      <c r="P406" s="20" t="s">
        <v>703</v>
      </c>
      <c r="Q406" s="15" t="s">
        <v>83</v>
      </c>
      <c r="R406" s="4"/>
      <c r="S406" s="4"/>
    </row>
    <row r="407" spans="1:19" ht="21" customHeight="1" x14ac:dyDescent="0.25">
      <c r="A407" s="14">
        <f>DATE(2012,12,31)-531</f>
        <v>40743</v>
      </c>
      <c r="B407" s="15" t="s">
        <v>704</v>
      </c>
      <c r="C407" s="15" t="s">
        <v>85</v>
      </c>
      <c r="D407" s="16">
        <v>39</v>
      </c>
      <c r="E407" s="17">
        <v>3554.46</v>
      </c>
      <c r="F407" s="16">
        <v>7.0000000000000007E-2</v>
      </c>
      <c r="G407" s="15" t="s">
        <v>58</v>
      </c>
      <c r="H407" s="18">
        <v>-1766.01</v>
      </c>
      <c r="I407" s="19">
        <v>95.95</v>
      </c>
      <c r="J407" s="19">
        <v>74.349999999999994</v>
      </c>
      <c r="K407" s="19" t="s">
        <v>124</v>
      </c>
      <c r="L407" s="19" t="s">
        <v>125</v>
      </c>
      <c r="M407" s="15" t="s">
        <v>126</v>
      </c>
      <c r="N407" s="15" t="s">
        <v>54</v>
      </c>
      <c r="O407" s="15" t="s">
        <v>252</v>
      </c>
      <c r="P407" s="20" t="s">
        <v>540</v>
      </c>
      <c r="Q407" s="15" t="s">
        <v>181</v>
      </c>
      <c r="R407" s="4"/>
      <c r="S407" s="4"/>
    </row>
    <row r="408" spans="1:19" ht="21" customHeight="1" x14ac:dyDescent="0.25">
      <c r="A408" s="14">
        <f>DATE(2012,12,31)-531</f>
        <v>40743</v>
      </c>
      <c r="B408" s="15" t="s">
        <v>705</v>
      </c>
      <c r="C408" s="15" t="s">
        <v>51</v>
      </c>
      <c r="D408" s="16">
        <v>42</v>
      </c>
      <c r="E408" s="17">
        <v>569.32000000000005</v>
      </c>
      <c r="F408" s="16">
        <v>0.05</v>
      </c>
      <c r="G408" s="15" t="s">
        <v>101</v>
      </c>
      <c r="H408" s="18">
        <v>84.38</v>
      </c>
      <c r="I408" s="19">
        <v>12.98</v>
      </c>
      <c r="J408" s="19">
        <v>3.14</v>
      </c>
      <c r="K408" s="19" t="s">
        <v>124</v>
      </c>
      <c r="L408" s="19" t="s">
        <v>125</v>
      </c>
      <c r="M408" s="15" t="s">
        <v>126</v>
      </c>
      <c r="N408" s="15" t="s">
        <v>36</v>
      </c>
      <c r="O408" s="15" t="s">
        <v>47</v>
      </c>
      <c r="P408" s="20" t="s">
        <v>152</v>
      </c>
      <c r="Q408" s="15" t="s">
        <v>49</v>
      </c>
      <c r="R408" s="4"/>
      <c r="S408" s="4"/>
    </row>
    <row r="409" spans="1:19" ht="21" customHeight="1" x14ac:dyDescent="0.25">
      <c r="A409" s="14">
        <f>DATE(2012,12,31)-768</f>
        <v>40506</v>
      </c>
      <c r="B409" s="15" t="s">
        <v>663</v>
      </c>
      <c r="C409" s="15" t="s">
        <v>43</v>
      </c>
      <c r="D409" s="16">
        <v>25</v>
      </c>
      <c r="E409" s="17">
        <v>827.47</v>
      </c>
      <c r="F409" s="16">
        <v>0</v>
      </c>
      <c r="G409" s="15" t="s">
        <v>32</v>
      </c>
      <c r="H409" s="18">
        <v>45.37</v>
      </c>
      <c r="I409" s="19">
        <v>30.98</v>
      </c>
      <c r="J409" s="19">
        <v>6.5</v>
      </c>
      <c r="K409" s="19" t="s">
        <v>44</v>
      </c>
      <c r="L409" s="19" t="s">
        <v>52</v>
      </c>
      <c r="M409" s="15" t="s">
        <v>424</v>
      </c>
      <c r="N409" s="15" t="s">
        <v>64</v>
      </c>
      <c r="O409" s="15" t="s">
        <v>72</v>
      </c>
      <c r="P409" s="20" t="s">
        <v>706</v>
      </c>
      <c r="Q409" s="15" t="s">
        <v>83</v>
      </c>
      <c r="R409" s="4"/>
      <c r="S409" s="4"/>
    </row>
    <row r="410" spans="1:19" ht="21" customHeight="1" x14ac:dyDescent="0.25">
      <c r="A410" s="14">
        <f>DATE(2012,12,31)-1231</f>
        <v>40043</v>
      </c>
      <c r="B410" s="15" t="s">
        <v>623</v>
      </c>
      <c r="C410" s="15" t="s">
        <v>51</v>
      </c>
      <c r="D410" s="16">
        <v>7</v>
      </c>
      <c r="E410" s="17">
        <v>45.91</v>
      </c>
      <c r="F410" s="16">
        <v>0.01</v>
      </c>
      <c r="G410" s="15" t="s">
        <v>32</v>
      </c>
      <c r="H410" s="18">
        <v>-35.534999999999997</v>
      </c>
      <c r="I410" s="19">
        <v>5.44</v>
      </c>
      <c r="J410" s="19">
        <v>7.46</v>
      </c>
      <c r="K410" s="19" t="s">
        <v>44</v>
      </c>
      <c r="L410" s="19" t="s">
        <v>52</v>
      </c>
      <c r="M410" s="15" t="s">
        <v>424</v>
      </c>
      <c r="N410" s="15" t="s">
        <v>36</v>
      </c>
      <c r="O410" s="15" t="s">
        <v>170</v>
      </c>
      <c r="P410" s="20" t="s">
        <v>707</v>
      </c>
      <c r="Q410" s="15" t="s">
        <v>83</v>
      </c>
      <c r="R410" s="4"/>
      <c r="S410" s="4"/>
    </row>
    <row r="411" spans="1:19" ht="21" customHeight="1" x14ac:dyDescent="0.25">
      <c r="A411" s="14">
        <f>DATE(2012,12,31)-1231</f>
        <v>40043</v>
      </c>
      <c r="B411" s="15" t="s">
        <v>623</v>
      </c>
      <c r="C411" s="15" t="s">
        <v>51</v>
      </c>
      <c r="D411" s="16">
        <v>41</v>
      </c>
      <c r="E411" s="17">
        <v>22319.58</v>
      </c>
      <c r="F411" s="16">
        <v>0.02</v>
      </c>
      <c r="G411" s="15" t="s">
        <v>58</v>
      </c>
      <c r="H411" s="18">
        <v>-734.31</v>
      </c>
      <c r="I411" s="19">
        <v>549.99</v>
      </c>
      <c r="J411" s="19">
        <v>49</v>
      </c>
      <c r="K411" s="19" t="s">
        <v>44</v>
      </c>
      <c r="L411" s="19" t="s">
        <v>52</v>
      </c>
      <c r="M411" s="15" t="s">
        <v>424</v>
      </c>
      <c r="N411" s="15" t="s">
        <v>64</v>
      </c>
      <c r="O411" s="15" t="s">
        <v>460</v>
      </c>
      <c r="P411" s="20" t="s">
        <v>708</v>
      </c>
      <c r="Q411" s="15" t="s">
        <v>181</v>
      </c>
      <c r="R411" s="4"/>
      <c r="S411" s="4"/>
    </row>
    <row r="412" spans="1:19" ht="21" customHeight="1" x14ac:dyDescent="0.25">
      <c r="A412" s="14">
        <f>DATE(2012,12,31)-1231</f>
        <v>40043</v>
      </c>
      <c r="B412" s="15" t="s">
        <v>623</v>
      </c>
      <c r="C412" s="15" t="s">
        <v>51</v>
      </c>
      <c r="D412" s="16">
        <v>15</v>
      </c>
      <c r="E412" s="17">
        <v>330.24</v>
      </c>
      <c r="F412" s="16">
        <v>0.03</v>
      </c>
      <c r="G412" s="15" t="s">
        <v>101</v>
      </c>
      <c r="H412" s="18">
        <v>8.48</v>
      </c>
      <c r="I412" s="19">
        <v>22.01</v>
      </c>
      <c r="J412" s="19">
        <v>5.53</v>
      </c>
      <c r="K412" s="19" t="s">
        <v>69</v>
      </c>
      <c r="L412" s="19" t="s">
        <v>70</v>
      </c>
      <c r="M412" s="15" t="s">
        <v>71</v>
      </c>
      <c r="N412" s="15" t="s">
        <v>36</v>
      </c>
      <c r="O412" s="15" t="s">
        <v>77</v>
      </c>
      <c r="P412" s="20" t="s">
        <v>709</v>
      </c>
      <c r="Q412" s="15" t="s">
        <v>49</v>
      </c>
      <c r="R412" s="4"/>
      <c r="S412" s="4"/>
    </row>
    <row r="413" spans="1:19" ht="21" customHeight="1" x14ac:dyDescent="0.25">
      <c r="A413" s="14">
        <f>DATE(2012,12,31)-1231</f>
        <v>40043</v>
      </c>
      <c r="B413" s="15" t="s">
        <v>623</v>
      </c>
      <c r="C413" s="15" t="s">
        <v>51</v>
      </c>
      <c r="D413" s="16">
        <v>15</v>
      </c>
      <c r="E413" s="17">
        <v>520.65</v>
      </c>
      <c r="F413" s="16">
        <v>0.09</v>
      </c>
      <c r="G413" s="15" t="s">
        <v>32</v>
      </c>
      <c r="H413" s="18">
        <v>30.63</v>
      </c>
      <c r="I413" s="19">
        <v>34.76</v>
      </c>
      <c r="J413" s="19">
        <v>8.2200000000000006</v>
      </c>
      <c r="K413" s="19" t="s">
        <v>33</v>
      </c>
      <c r="L413" s="19" t="s">
        <v>128</v>
      </c>
      <c r="M413" s="15" t="s">
        <v>129</v>
      </c>
      <c r="N413" s="15" t="s">
        <v>36</v>
      </c>
      <c r="O413" s="15" t="s">
        <v>37</v>
      </c>
      <c r="P413" s="20" t="s">
        <v>694</v>
      </c>
      <c r="Q413" s="15" t="s">
        <v>83</v>
      </c>
      <c r="R413" s="4"/>
      <c r="S413" s="4"/>
    </row>
    <row r="414" spans="1:19" ht="21" customHeight="1" x14ac:dyDescent="0.25">
      <c r="A414" s="14">
        <f>DATE(2012,12,31)-1179</f>
        <v>40095</v>
      </c>
      <c r="B414" s="15" t="s">
        <v>710</v>
      </c>
      <c r="C414" s="15" t="s">
        <v>51</v>
      </c>
      <c r="D414" s="16">
        <v>47</v>
      </c>
      <c r="E414" s="17">
        <v>191.67</v>
      </c>
      <c r="F414" s="16">
        <v>0</v>
      </c>
      <c r="G414" s="15" t="s">
        <v>32</v>
      </c>
      <c r="H414" s="18">
        <v>-236.26750000000001</v>
      </c>
      <c r="I414" s="19">
        <v>3.89</v>
      </c>
      <c r="J414" s="19">
        <v>7.01</v>
      </c>
      <c r="K414" s="19" t="s">
        <v>44</v>
      </c>
      <c r="L414" s="19" t="s">
        <v>89</v>
      </c>
      <c r="M414" s="15" t="s">
        <v>90</v>
      </c>
      <c r="N414" s="15" t="s">
        <v>36</v>
      </c>
      <c r="O414" s="15" t="s">
        <v>170</v>
      </c>
      <c r="P414" s="20" t="s">
        <v>711</v>
      </c>
      <c r="Q414" s="15" t="s">
        <v>83</v>
      </c>
      <c r="R414" s="4"/>
      <c r="S414" s="4"/>
    </row>
    <row r="415" spans="1:19" ht="21" customHeight="1" x14ac:dyDescent="0.25">
      <c r="A415" s="14">
        <f>DATE(2012,12,31)-1179</f>
        <v>40095</v>
      </c>
      <c r="B415" s="15" t="s">
        <v>710</v>
      </c>
      <c r="C415" s="15" t="s">
        <v>51</v>
      </c>
      <c r="D415" s="16">
        <v>49</v>
      </c>
      <c r="E415" s="17">
        <v>5586.33</v>
      </c>
      <c r="F415" s="16">
        <v>0.09</v>
      </c>
      <c r="G415" s="15" t="s">
        <v>58</v>
      </c>
      <c r="H415" s="18">
        <v>80.44</v>
      </c>
      <c r="I415" s="19">
        <v>120.98</v>
      </c>
      <c r="J415" s="19">
        <v>30</v>
      </c>
      <c r="K415" s="19" t="s">
        <v>44</v>
      </c>
      <c r="L415" s="19" t="s">
        <v>45</v>
      </c>
      <c r="M415" s="15" t="s">
        <v>46</v>
      </c>
      <c r="N415" s="15" t="s">
        <v>54</v>
      </c>
      <c r="O415" s="15" t="s">
        <v>252</v>
      </c>
      <c r="P415" s="20" t="s">
        <v>712</v>
      </c>
      <c r="Q415" s="15" t="s">
        <v>181</v>
      </c>
      <c r="R415" s="4"/>
      <c r="S415" s="4"/>
    </row>
    <row r="416" spans="1:19" ht="21" customHeight="1" x14ac:dyDescent="0.25">
      <c r="A416" s="14">
        <f>DATE(2012,12,31)-1179</f>
        <v>40095</v>
      </c>
      <c r="B416" s="15" t="s">
        <v>710</v>
      </c>
      <c r="C416" s="15" t="s">
        <v>51</v>
      </c>
      <c r="D416" s="16">
        <v>18</v>
      </c>
      <c r="E416" s="17">
        <v>507.64</v>
      </c>
      <c r="F416" s="16">
        <v>0.1</v>
      </c>
      <c r="G416" s="15" t="s">
        <v>32</v>
      </c>
      <c r="H416" s="18">
        <v>118.94</v>
      </c>
      <c r="I416" s="19">
        <v>30.98</v>
      </c>
      <c r="J416" s="19">
        <v>5.76</v>
      </c>
      <c r="K416" s="19" t="s">
        <v>69</v>
      </c>
      <c r="L416" s="19" t="s">
        <v>75</v>
      </c>
      <c r="M416" s="15" t="s">
        <v>76</v>
      </c>
      <c r="N416" s="15" t="s">
        <v>36</v>
      </c>
      <c r="O416" s="15" t="s">
        <v>117</v>
      </c>
      <c r="P416" s="20" t="s">
        <v>713</v>
      </c>
      <c r="Q416" s="15" t="s">
        <v>83</v>
      </c>
      <c r="R416" s="4"/>
      <c r="S416" s="4"/>
    </row>
    <row r="417" spans="1:19" ht="21" customHeight="1" x14ac:dyDescent="0.25">
      <c r="A417" s="14">
        <f>DATE(2012,12,31)-1199</f>
        <v>40075</v>
      </c>
      <c r="B417" s="15" t="s">
        <v>714</v>
      </c>
      <c r="C417" s="15" t="s">
        <v>51</v>
      </c>
      <c r="D417" s="16">
        <v>35</v>
      </c>
      <c r="E417" s="17">
        <v>787.56</v>
      </c>
      <c r="F417" s="16">
        <v>0</v>
      </c>
      <c r="G417" s="15" t="s">
        <v>32</v>
      </c>
      <c r="H417" s="18">
        <v>220.04</v>
      </c>
      <c r="I417" s="19">
        <v>21.98</v>
      </c>
      <c r="J417" s="19">
        <v>2.87</v>
      </c>
      <c r="K417" s="19" t="s">
        <v>111</v>
      </c>
      <c r="L417" s="19" t="s">
        <v>407</v>
      </c>
      <c r="M417" s="15" t="s">
        <v>407</v>
      </c>
      <c r="N417" s="15" t="s">
        <v>36</v>
      </c>
      <c r="O417" s="15" t="s">
        <v>77</v>
      </c>
      <c r="P417" s="20" t="s">
        <v>715</v>
      </c>
      <c r="Q417" s="15" t="s">
        <v>49</v>
      </c>
      <c r="R417" s="4"/>
      <c r="S417" s="4"/>
    </row>
    <row r="418" spans="1:19" ht="21" customHeight="1" x14ac:dyDescent="0.25">
      <c r="A418" s="14">
        <f>DATE(2012,12,31)-1353</f>
        <v>39921</v>
      </c>
      <c r="B418" s="15" t="s">
        <v>716</v>
      </c>
      <c r="C418" s="15" t="s">
        <v>85</v>
      </c>
      <c r="D418" s="16">
        <v>14</v>
      </c>
      <c r="E418" s="17">
        <v>3830.14</v>
      </c>
      <c r="F418" s="16">
        <v>0.1</v>
      </c>
      <c r="G418" s="15" t="s">
        <v>32</v>
      </c>
      <c r="H418" s="18">
        <v>202.25</v>
      </c>
      <c r="I418" s="19">
        <v>300.97000000000003</v>
      </c>
      <c r="J418" s="19">
        <v>7.18</v>
      </c>
      <c r="K418" s="19" t="s">
        <v>44</v>
      </c>
      <c r="L418" s="19" t="s">
        <v>45</v>
      </c>
      <c r="M418" s="15" t="s">
        <v>46</v>
      </c>
      <c r="N418" s="15" t="s">
        <v>64</v>
      </c>
      <c r="O418" s="15" t="s">
        <v>72</v>
      </c>
      <c r="P418" s="20" t="s">
        <v>717</v>
      </c>
      <c r="Q418" s="15" t="s">
        <v>83</v>
      </c>
      <c r="R418" s="4"/>
      <c r="S418" s="4"/>
    </row>
    <row r="419" spans="1:19" ht="21" customHeight="1" x14ac:dyDescent="0.25">
      <c r="A419" s="14">
        <f>DATE(2012,12,31)-1353</f>
        <v>39921</v>
      </c>
      <c r="B419" s="15" t="s">
        <v>716</v>
      </c>
      <c r="C419" s="15" t="s">
        <v>85</v>
      </c>
      <c r="D419" s="16">
        <v>40</v>
      </c>
      <c r="E419" s="17">
        <v>1559.86</v>
      </c>
      <c r="F419" s="16">
        <v>0.06</v>
      </c>
      <c r="G419" s="15" t="s">
        <v>32</v>
      </c>
      <c r="H419" s="18">
        <v>672.37</v>
      </c>
      <c r="I419" s="19">
        <v>39.89</v>
      </c>
      <c r="J419" s="19">
        <v>3.04</v>
      </c>
      <c r="K419" s="19" t="s">
        <v>44</v>
      </c>
      <c r="L419" s="19" t="s">
        <v>45</v>
      </c>
      <c r="M419" s="15" t="s">
        <v>46</v>
      </c>
      <c r="N419" s="15" t="s">
        <v>54</v>
      </c>
      <c r="O419" s="15" t="s">
        <v>55</v>
      </c>
      <c r="P419" s="20" t="s">
        <v>375</v>
      </c>
      <c r="Q419" s="15" t="s">
        <v>79</v>
      </c>
      <c r="R419" s="4"/>
      <c r="S419" s="4"/>
    </row>
    <row r="420" spans="1:19" ht="21" customHeight="1" x14ac:dyDescent="0.25">
      <c r="A420" s="14">
        <f>DATE(2012,12,31)-1116</f>
        <v>40158</v>
      </c>
      <c r="B420" s="15" t="s">
        <v>714</v>
      </c>
      <c r="C420" s="15" t="s">
        <v>85</v>
      </c>
      <c r="D420" s="16">
        <v>37</v>
      </c>
      <c r="E420" s="17">
        <v>565.91</v>
      </c>
      <c r="F420" s="16">
        <v>0.05</v>
      </c>
      <c r="G420" s="15" t="s">
        <v>32</v>
      </c>
      <c r="H420" s="18">
        <v>192.39</v>
      </c>
      <c r="I420" s="19">
        <v>15.68</v>
      </c>
      <c r="J420" s="19">
        <v>3.73</v>
      </c>
      <c r="K420" s="19" t="s">
        <v>33</v>
      </c>
      <c r="L420" s="19" t="s">
        <v>93</v>
      </c>
      <c r="M420" s="15" t="s">
        <v>94</v>
      </c>
      <c r="N420" s="15" t="s">
        <v>54</v>
      </c>
      <c r="O420" s="15" t="s">
        <v>55</v>
      </c>
      <c r="P420" s="20" t="s">
        <v>718</v>
      </c>
      <c r="Q420" s="15" t="s">
        <v>49</v>
      </c>
      <c r="R420" s="4"/>
      <c r="S420" s="4"/>
    </row>
    <row r="421" spans="1:19" ht="21" customHeight="1" x14ac:dyDescent="0.25">
      <c r="A421" s="14">
        <f>DATE(2012,12,31)-1116</f>
        <v>40158</v>
      </c>
      <c r="B421" s="15" t="s">
        <v>714</v>
      </c>
      <c r="C421" s="15" t="s">
        <v>85</v>
      </c>
      <c r="D421" s="16">
        <v>39</v>
      </c>
      <c r="E421" s="17">
        <v>593.21</v>
      </c>
      <c r="F421" s="16">
        <v>0</v>
      </c>
      <c r="G421" s="15" t="s">
        <v>32</v>
      </c>
      <c r="H421" s="18">
        <v>44.71</v>
      </c>
      <c r="I421" s="19">
        <v>14.98</v>
      </c>
      <c r="J421" s="19">
        <v>8.99</v>
      </c>
      <c r="K421" s="19" t="s">
        <v>124</v>
      </c>
      <c r="L421" s="19" t="s">
        <v>493</v>
      </c>
      <c r="M421" s="15" t="s">
        <v>494</v>
      </c>
      <c r="N421" s="15" t="s">
        <v>54</v>
      </c>
      <c r="O421" s="15" t="s">
        <v>55</v>
      </c>
      <c r="P421" s="20" t="s">
        <v>719</v>
      </c>
      <c r="Q421" s="15" t="s">
        <v>49</v>
      </c>
      <c r="R421" s="4"/>
      <c r="S421" s="4"/>
    </row>
    <row r="422" spans="1:19" ht="21" customHeight="1" x14ac:dyDescent="0.25">
      <c r="A422" s="14">
        <f>DATE(2012,12,31)-1116</f>
        <v>40158</v>
      </c>
      <c r="B422" s="15" t="s">
        <v>714</v>
      </c>
      <c r="C422" s="15" t="s">
        <v>85</v>
      </c>
      <c r="D422" s="16">
        <v>2</v>
      </c>
      <c r="E422" s="17">
        <v>89.23</v>
      </c>
      <c r="F422" s="16">
        <v>0.02</v>
      </c>
      <c r="G422" s="15" t="s">
        <v>32</v>
      </c>
      <c r="H422" s="18">
        <v>-42.72</v>
      </c>
      <c r="I422" s="19">
        <v>38.76</v>
      </c>
      <c r="J422" s="19">
        <v>13.26</v>
      </c>
      <c r="K422" s="19" t="s">
        <v>124</v>
      </c>
      <c r="L422" s="19" t="s">
        <v>164</v>
      </c>
      <c r="M422" s="15" t="s">
        <v>165</v>
      </c>
      <c r="N422" s="15" t="s">
        <v>36</v>
      </c>
      <c r="O422" s="15" t="s">
        <v>117</v>
      </c>
      <c r="P422" s="20" t="s">
        <v>720</v>
      </c>
      <c r="Q422" s="15" t="s">
        <v>83</v>
      </c>
      <c r="R422" s="4"/>
      <c r="S422" s="4"/>
    </row>
    <row r="423" spans="1:19" ht="21" customHeight="1" x14ac:dyDescent="0.25">
      <c r="A423" s="14">
        <f>DATE(2012,12,31)-480</f>
        <v>40794</v>
      </c>
      <c r="B423" s="15" t="s">
        <v>721</v>
      </c>
      <c r="C423" s="15" t="s">
        <v>51</v>
      </c>
      <c r="D423" s="16">
        <v>17</v>
      </c>
      <c r="E423" s="17">
        <v>357.43</v>
      </c>
      <c r="F423" s="16">
        <v>0.08</v>
      </c>
      <c r="G423" s="15" t="s">
        <v>32</v>
      </c>
      <c r="H423" s="18">
        <v>-135.97999999999999</v>
      </c>
      <c r="I423" s="19">
        <v>20.97</v>
      </c>
      <c r="J423" s="19">
        <v>6.5</v>
      </c>
      <c r="K423" s="19" t="s">
        <v>44</v>
      </c>
      <c r="L423" s="19" t="s">
        <v>52</v>
      </c>
      <c r="M423" s="15" t="s">
        <v>424</v>
      </c>
      <c r="N423" s="15" t="s">
        <v>64</v>
      </c>
      <c r="O423" s="15" t="s">
        <v>72</v>
      </c>
      <c r="P423" s="20" t="s">
        <v>393</v>
      </c>
      <c r="Q423" s="15" t="s">
        <v>83</v>
      </c>
      <c r="R423" s="4"/>
      <c r="S423" s="4"/>
    </row>
    <row r="424" spans="1:19" ht="21" customHeight="1" x14ac:dyDescent="0.25">
      <c r="A424" s="14">
        <f>DATE(2012,12,31)-480</f>
        <v>40794</v>
      </c>
      <c r="B424" s="15" t="s">
        <v>721</v>
      </c>
      <c r="C424" s="15" t="s">
        <v>51</v>
      </c>
      <c r="D424" s="16">
        <v>21</v>
      </c>
      <c r="E424" s="17">
        <v>4754.08</v>
      </c>
      <c r="F424" s="16">
        <v>0</v>
      </c>
      <c r="G424" s="15" t="s">
        <v>58</v>
      </c>
      <c r="H424" s="18">
        <v>299.88</v>
      </c>
      <c r="I424" s="19">
        <v>225.02</v>
      </c>
      <c r="J424" s="19">
        <v>28.66</v>
      </c>
      <c r="K424" s="19" t="s">
        <v>44</v>
      </c>
      <c r="L424" s="19" t="s">
        <v>52</v>
      </c>
      <c r="M424" s="15" t="s">
        <v>424</v>
      </c>
      <c r="N424" s="15" t="s">
        <v>36</v>
      </c>
      <c r="O424" s="15" t="s">
        <v>37</v>
      </c>
      <c r="P424" s="20" t="s">
        <v>722</v>
      </c>
      <c r="Q424" s="15" t="s">
        <v>181</v>
      </c>
      <c r="R424" s="4"/>
      <c r="S424" s="4"/>
    </row>
    <row r="425" spans="1:19" ht="21" customHeight="1" x14ac:dyDescent="0.25">
      <c r="A425" s="14">
        <f>DATE(2012,12,31)-297</f>
        <v>40977</v>
      </c>
      <c r="B425" s="15" t="s">
        <v>420</v>
      </c>
      <c r="C425" s="15" t="s">
        <v>85</v>
      </c>
      <c r="D425" s="16">
        <v>35</v>
      </c>
      <c r="E425" s="17">
        <v>1476.39</v>
      </c>
      <c r="F425" s="16">
        <v>0.06</v>
      </c>
      <c r="G425" s="15" t="s">
        <v>101</v>
      </c>
      <c r="H425" s="18">
        <v>-303.62</v>
      </c>
      <c r="I425" s="19">
        <v>43.31</v>
      </c>
      <c r="J425" s="19">
        <v>15.9</v>
      </c>
      <c r="K425" s="19" t="s">
        <v>44</v>
      </c>
      <c r="L425" s="19" t="s">
        <v>52</v>
      </c>
      <c r="M425" s="15" t="s">
        <v>424</v>
      </c>
      <c r="N425" s="15" t="s">
        <v>54</v>
      </c>
      <c r="O425" s="15" t="s">
        <v>55</v>
      </c>
      <c r="P425" s="20" t="s">
        <v>723</v>
      </c>
      <c r="Q425" s="15" t="s">
        <v>57</v>
      </c>
      <c r="R425" s="4"/>
      <c r="S425" s="4"/>
    </row>
    <row r="426" spans="1:19" ht="21" customHeight="1" x14ac:dyDescent="0.25">
      <c r="A426" s="14">
        <f>DATE(2012,12,31)-297</f>
        <v>40977</v>
      </c>
      <c r="B426" s="15" t="s">
        <v>420</v>
      </c>
      <c r="C426" s="15" t="s">
        <v>85</v>
      </c>
      <c r="D426" s="16">
        <v>8</v>
      </c>
      <c r="E426" s="17">
        <v>863.58299999999997</v>
      </c>
      <c r="F426" s="16">
        <v>0.04</v>
      </c>
      <c r="G426" s="15" t="s">
        <v>32</v>
      </c>
      <c r="H426" s="18">
        <v>-264.27499999999998</v>
      </c>
      <c r="I426" s="19">
        <v>125.99</v>
      </c>
      <c r="J426" s="19">
        <v>8.99</v>
      </c>
      <c r="K426" s="19" t="s">
        <v>44</v>
      </c>
      <c r="L426" s="19" t="s">
        <v>52</v>
      </c>
      <c r="M426" s="15" t="s">
        <v>424</v>
      </c>
      <c r="N426" s="15" t="s">
        <v>64</v>
      </c>
      <c r="O426" s="15" t="s">
        <v>65</v>
      </c>
      <c r="P426" s="20" t="s">
        <v>109</v>
      </c>
      <c r="Q426" s="15" t="s">
        <v>83</v>
      </c>
      <c r="R426" s="4"/>
      <c r="S426" s="4"/>
    </row>
    <row r="427" spans="1:19" ht="21" customHeight="1" x14ac:dyDescent="0.25">
      <c r="A427" s="14">
        <f>DATE(2012,12,31)-1081</f>
        <v>40193</v>
      </c>
      <c r="B427" s="15" t="s">
        <v>716</v>
      </c>
      <c r="C427" s="15" t="s">
        <v>85</v>
      </c>
      <c r="D427" s="16">
        <v>10</v>
      </c>
      <c r="E427" s="17">
        <v>74.87</v>
      </c>
      <c r="F427" s="16">
        <v>0.02</v>
      </c>
      <c r="G427" s="15" t="s">
        <v>32</v>
      </c>
      <c r="H427" s="18">
        <v>-43.97</v>
      </c>
      <c r="I427" s="19">
        <v>6.48</v>
      </c>
      <c r="J427" s="19">
        <v>8.19</v>
      </c>
      <c r="K427" s="19" t="s">
        <v>33</v>
      </c>
      <c r="L427" s="19" t="s">
        <v>59</v>
      </c>
      <c r="M427" s="15" t="s">
        <v>60</v>
      </c>
      <c r="N427" s="15" t="s">
        <v>36</v>
      </c>
      <c r="O427" s="15" t="s">
        <v>117</v>
      </c>
      <c r="P427" s="20" t="s">
        <v>118</v>
      </c>
      <c r="Q427" s="15" t="s">
        <v>83</v>
      </c>
      <c r="R427" s="4"/>
      <c r="S427" s="4"/>
    </row>
    <row r="428" spans="1:19" ht="21" customHeight="1" x14ac:dyDescent="0.25">
      <c r="A428" s="14">
        <f>DATE(2012,12,31)-1081</f>
        <v>40193</v>
      </c>
      <c r="B428" s="15" t="s">
        <v>716</v>
      </c>
      <c r="C428" s="15" t="s">
        <v>85</v>
      </c>
      <c r="D428" s="16">
        <v>42</v>
      </c>
      <c r="E428" s="17">
        <v>3931.3179999999998</v>
      </c>
      <c r="F428" s="16">
        <v>0.06</v>
      </c>
      <c r="G428" s="15" t="s">
        <v>32</v>
      </c>
      <c r="H428" s="18">
        <v>1025.451</v>
      </c>
      <c r="I428" s="19">
        <v>115.99</v>
      </c>
      <c r="J428" s="19">
        <v>4.2300000000000004</v>
      </c>
      <c r="K428" s="19" t="s">
        <v>69</v>
      </c>
      <c r="L428" s="19" t="s">
        <v>75</v>
      </c>
      <c r="M428" s="15" t="s">
        <v>76</v>
      </c>
      <c r="N428" s="15" t="s">
        <v>64</v>
      </c>
      <c r="O428" s="15" t="s">
        <v>65</v>
      </c>
      <c r="P428" s="20" t="s">
        <v>206</v>
      </c>
      <c r="Q428" s="15" t="s">
        <v>83</v>
      </c>
      <c r="R428" s="4"/>
      <c r="S428" s="4"/>
    </row>
    <row r="429" spans="1:19" ht="21" customHeight="1" x14ac:dyDescent="0.25">
      <c r="A429" s="14">
        <f>DATE(2012,12,31)-1337</f>
        <v>39937</v>
      </c>
      <c r="B429" s="15" t="s">
        <v>724</v>
      </c>
      <c r="C429" s="15" t="s">
        <v>51</v>
      </c>
      <c r="D429" s="16">
        <v>25</v>
      </c>
      <c r="E429" s="17">
        <v>4253.6499999999996</v>
      </c>
      <c r="F429" s="16">
        <v>0.05</v>
      </c>
      <c r="G429" s="15" t="s">
        <v>101</v>
      </c>
      <c r="H429" s="18">
        <v>943</v>
      </c>
      <c r="I429" s="19">
        <v>178.47</v>
      </c>
      <c r="J429" s="19">
        <v>19.989999999999998</v>
      </c>
      <c r="K429" s="19" t="s">
        <v>69</v>
      </c>
      <c r="L429" s="19" t="s">
        <v>70</v>
      </c>
      <c r="M429" s="15" t="s">
        <v>71</v>
      </c>
      <c r="N429" s="15" t="s">
        <v>36</v>
      </c>
      <c r="O429" s="15" t="s">
        <v>37</v>
      </c>
      <c r="P429" s="20" t="s">
        <v>232</v>
      </c>
      <c r="Q429" s="15" t="s">
        <v>83</v>
      </c>
      <c r="R429" s="4"/>
      <c r="S429" s="4"/>
    </row>
    <row r="430" spans="1:19" ht="21" customHeight="1" x14ac:dyDescent="0.25">
      <c r="A430" s="14">
        <f>DATE(2012,12,31)-498</f>
        <v>40776</v>
      </c>
      <c r="B430" s="15" t="s">
        <v>725</v>
      </c>
      <c r="C430" s="15" t="s">
        <v>51</v>
      </c>
      <c r="D430" s="16">
        <v>23</v>
      </c>
      <c r="E430" s="17">
        <v>3872.87</v>
      </c>
      <c r="F430" s="16">
        <v>0.03</v>
      </c>
      <c r="G430" s="15" t="s">
        <v>58</v>
      </c>
      <c r="H430" s="18">
        <v>565.34</v>
      </c>
      <c r="I430" s="19">
        <v>160.97999999999999</v>
      </c>
      <c r="J430" s="19">
        <v>30</v>
      </c>
      <c r="K430" s="19" t="s">
        <v>69</v>
      </c>
      <c r="L430" s="19" t="s">
        <v>70</v>
      </c>
      <c r="M430" s="15" t="s">
        <v>71</v>
      </c>
      <c r="N430" s="15" t="s">
        <v>54</v>
      </c>
      <c r="O430" s="15" t="s">
        <v>252</v>
      </c>
      <c r="P430" s="20" t="s">
        <v>726</v>
      </c>
      <c r="Q430" s="15" t="s">
        <v>181</v>
      </c>
      <c r="R430" s="4"/>
      <c r="S430" s="4"/>
    </row>
    <row r="431" spans="1:19" ht="21" customHeight="1" x14ac:dyDescent="0.25">
      <c r="A431" s="14">
        <f>DATE(2012,12,31)-498</f>
        <v>40776</v>
      </c>
      <c r="B431" s="15" t="s">
        <v>725</v>
      </c>
      <c r="C431" s="15" t="s">
        <v>51</v>
      </c>
      <c r="D431" s="16">
        <v>9</v>
      </c>
      <c r="E431" s="17">
        <v>356.72</v>
      </c>
      <c r="F431" s="16">
        <v>7.0000000000000007E-2</v>
      </c>
      <c r="G431" s="15" t="s">
        <v>32</v>
      </c>
      <c r="H431" s="18">
        <v>12.61</v>
      </c>
      <c r="I431" s="19">
        <v>40.98</v>
      </c>
      <c r="J431" s="19">
        <v>1.99</v>
      </c>
      <c r="K431" s="19" t="s">
        <v>69</v>
      </c>
      <c r="L431" s="19" t="s">
        <v>75</v>
      </c>
      <c r="M431" s="15" t="s">
        <v>76</v>
      </c>
      <c r="N431" s="15" t="s">
        <v>64</v>
      </c>
      <c r="O431" s="15" t="s">
        <v>72</v>
      </c>
      <c r="P431" s="20" t="s">
        <v>507</v>
      </c>
      <c r="Q431" s="15" t="s">
        <v>49</v>
      </c>
      <c r="R431" s="4"/>
      <c r="S431" s="4"/>
    </row>
    <row r="432" spans="1:19" ht="21" customHeight="1" x14ac:dyDescent="0.25">
      <c r="A432" s="14">
        <f>DATE(2012,12,31)-709</f>
        <v>40565</v>
      </c>
      <c r="B432" s="15" t="s">
        <v>620</v>
      </c>
      <c r="C432" s="15" t="s">
        <v>31</v>
      </c>
      <c r="D432" s="16">
        <v>34</v>
      </c>
      <c r="E432" s="17">
        <v>2154.34</v>
      </c>
      <c r="F432" s="16">
        <v>0.1</v>
      </c>
      <c r="G432" s="15" t="s">
        <v>32</v>
      </c>
      <c r="H432" s="18">
        <v>177.66</v>
      </c>
      <c r="I432" s="19">
        <v>64.98</v>
      </c>
      <c r="J432" s="19">
        <v>6.88</v>
      </c>
      <c r="K432" s="19" t="s">
        <v>69</v>
      </c>
      <c r="L432" s="19" t="s">
        <v>215</v>
      </c>
      <c r="M432" s="15" t="s">
        <v>216</v>
      </c>
      <c r="N432" s="15" t="s">
        <v>36</v>
      </c>
      <c r="O432" s="15" t="s">
        <v>37</v>
      </c>
      <c r="P432" s="20" t="s">
        <v>727</v>
      </c>
      <c r="Q432" s="15" t="s">
        <v>83</v>
      </c>
      <c r="R432" s="4"/>
      <c r="S432" s="4"/>
    </row>
    <row r="433" spans="1:19" ht="21" customHeight="1" x14ac:dyDescent="0.25">
      <c r="A433" s="14">
        <f>DATE(2012,12,31)-104</f>
        <v>41170</v>
      </c>
      <c r="B433" s="15" t="s">
        <v>728</v>
      </c>
      <c r="C433" s="15" t="s">
        <v>43</v>
      </c>
      <c r="D433" s="16">
        <v>29</v>
      </c>
      <c r="E433" s="17">
        <v>197.41</v>
      </c>
      <c r="F433" s="16">
        <v>0.06</v>
      </c>
      <c r="G433" s="15" t="s">
        <v>32</v>
      </c>
      <c r="H433" s="18">
        <v>-128.68</v>
      </c>
      <c r="I433" s="19">
        <v>6.48</v>
      </c>
      <c r="J433" s="19">
        <v>8.4</v>
      </c>
      <c r="K433" s="19" t="s">
        <v>111</v>
      </c>
      <c r="L433" s="19" t="s">
        <v>442</v>
      </c>
      <c r="M433" s="15" t="s">
        <v>443</v>
      </c>
      <c r="N433" s="15" t="s">
        <v>36</v>
      </c>
      <c r="O433" s="15" t="s">
        <v>117</v>
      </c>
      <c r="P433" s="20" t="s">
        <v>729</v>
      </c>
      <c r="Q433" s="15" t="s">
        <v>83</v>
      </c>
      <c r="R433" s="4"/>
      <c r="S433" s="4"/>
    </row>
    <row r="434" spans="1:19" ht="21" customHeight="1" x14ac:dyDescent="0.25">
      <c r="A434" s="14">
        <f>DATE(2012,12,31)-104</f>
        <v>41170</v>
      </c>
      <c r="B434" s="15" t="s">
        <v>728</v>
      </c>
      <c r="C434" s="15" t="s">
        <v>43</v>
      </c>
      <c r="D434" s="16">
        <v>46</v>
      </c>
      <c r="E434" s="17">
        <v>712.18</v>
      </c>
      <c r="F434" s="16">
        <v>0.06</v>
      </c>
      <c r="G434" s="15" t="s">
        <v>32</v>
      </c>
      <c r="H434" s="18">
        <v>13.98</v>
      </c>
      <c r="I434" s="19">
        <v>15.42</v>
      </c>
      <c r="J434" s="19">
        <v>5.41</v>
      </c>
      <c r="K434" s="19" t="s">
        <v>111</v>
      </c>
      <c r="L434" s="19" t="s">
        <v>112</v>
      </c>
      <c r="M434" s="15" t="s">
        <v>113</v>
      </c>
      <c r="N434" s="15" t="s">
        <v>36</v>
      </c>
      <c r="O434" s="15" t="s">
        <v>37</v>
      </c>
      <c r="P434" s="20" t="s">
        <v>730</v>
      </c>
      <c r="Q434" s="15" t="s">
        <v>83</v>
      </c>
      <c r="R434" s="4"/>
      <c r="S434" s="4"/>
    </row>
    <row r="435" spans="1:19" ht="21" customHeight="1" x14ac:dyDescent="0.25">
      <c r="A435" s="14">
        <f>DATE(2012,12,31)-295</f>
        <v>40979</v>
      </c>
      <c r="B435" s="15" t="s">
        <v>88</v>
      </c>
      <c r="C435" s="15" t="s">
        <v>31</v>
      </c>
      <c r="D435" s="16">
        <v>7</v>
      </c>
      <c r="E435" s="17">
        <v>16587.13</v>
      </c>
      <c r="F435" s="16">
        <v>0.08</v>
      </c>
      <c r="G435" s="15" t="s">
        <v>58</v>
      </c>
      <c r="H435" s="18">
        <v>-3476.8593000000001</v>
      </c>
      <c r="I435" s="19">
        <v>2550.14</v>
      </c>
      <c r="J435" s="19">
        <v>29.7</v>
      </c>
      <c r="K435" s="19" t="s">
        <v>111</v>
      </c>
      <c r="L435" s="19" t="s">
        <v>442</v>
      </c>
      <c r="M435" s="15" t="s">
        <v>443</v>
      </c>
      <c r="N435" s="15" t="s">
        <v>64</v>
      </c>
      <c r="O435" s="15" t="s">
        <v>122</v>
      </c>
      <c r="P435" s="20" t="s">
        <v>731</v>
      </c>
      <c r="Q435" s="15" t="s">
        <v>181</v>
      </c>
      <c r="R435" s="4"/>
      <c r="S435" s="4"/>
    </row>
    <row r="436" spans="1:19" ht="21" customHeight="1" x14ac:dyDescent="0.25">
      <c r="A436" s="14">
        <f>DATE(2012,12,31)-295</f>
        <v>40979</v>
      </c>
      <c r="B436" s="15" t="s">
        <v>88</v>
      </c>
      <c r="C436" s="15" t="s">
        <v>31</v>
      </c>
      <c r="D436" s="16">
        <v>9</v>
      </c>
      <c r="E436" s="17">
        <v>507.98</v>
      </c>
      <c r="F436" s="16">
        <v>0.05</v>
      </c>
      <c r="G436" s="15" t="s">
        <v>101</v>
      </c>
      <c r="H436" s="18">
        <v>170.9</v>
      </c>
      <c r="I436" s="19">
        <v>55.98</v>
      </c>
      <c r="J436" s="19">
        <v>4.8600000000000003</v>
      </c>
      <c r="K436" s="19" t="s">
        <v>44</v>
      </c>
      <c r="L436" s="19" t="s">
        <v>89</v>
      </c>
      <c r="M436" s="15" t="s">
        <v>90</v>
      </c>
      <c r="N436" s="15" t="s">
        <v>36</v>
      </c>
      <c r="O436" s="15" t="s">
        <v>117</v>
      </c>
      <c r="P436" s="20" t="s">
        <v>584</v>
      </c>
      <c r="Q436" s="15" t="s">
        <v>83</v>
      </c>
      <c r="R436" s="4"/>
      <c r="S436" s="4"/>
    </row>
    <row r="437" spans="1:19" ht="21" customHeight="1" x14ac:dyDescent="0.25">
      <c r="A437" s="14">
        <f>DATE(2012,12,31)-1035</f>
        <v>40239</v>
      </c>
      <c r="B437" s="15" t="s">
        <v>369</v>
      </c>
      <c r="C437" s="15" t="s">
        <v>85</v>
      </c>
      <c r="D437" s="16">
        <v>3</v>
      </c>
      <c r="E437" s="17">
        <v>62.88</v>
      </c>
      <c r="F437" s="16">
        <v>0.09</v>
      </c>
      <c r="G437" s="15" t="s">
        <v>32</v>
      </c>
      <c r="H437" s="18">
        <v>-24.74</v>
      </c>
      <c r="I437" s="19">
        <v>18.97</v>
      </c>
      <c r="J437" s="19">
        <v>9.5399999999999991</v>
      </c>
      <c r="K437" s="19" t="s">
        <v>44</v>
      </c>
      <c r="L437" s="19" t="s">
        <v>120</v>
      </c>
      <c r="M437" s="15" t="s">
        <v>121</v>
      </c>
      <c r="N437" s="15" t="s">
        <v>36</v>
      </c>
      <c r="O437" s="15" t="s">
        <v>117</v>
      </c>
      <c r="P437" s="20" t="s">
        <v>281</v>
      </c>
      <c r="Q437" s="15" t="s">
        <v>83</v>
      </c>
      <c r="R437" s="4"/>
      <c r="S437" s="4"/>
    </row>
    <row r="438" spans="1:19" ht="21" customHeight="1" x14ac:dyDescent="0.25">
      <c r="A438" s="14">
        <f>DATE(2012,12,31)-1372</f>
        <v>39902</v>
      </c>
      <c r="B438" s="15" t="s">
        <v>732</v>
      </c>
      <c r="C438" s="15" t="s">
        <v>31</v>
      </c>
      <c r="D438" s="16">
        <v>41</v>
      </c>
      <c r="E438" s="17">
        <v>231.26</v>
      </c>
      <c r="F438" s="16">
        <v>7.0000000000000007E-2</v>
      </c>
      <c r="G438" s="15" t="s">
        <v>32</v>
      </c>
      <c r="H438" s="18">
        <v>32.83</v>
      </c>
      <c r="I438" s="19">
        <v>5.98</v>
      </c>
      <c r="J438" s="19">
        <v>0.96</v>
      </c>
      <c r="K438" s="19" t="s">
        <v>44</v>
      </c>
      <c r="L438" s="19" t="s">
        <v>89</v>
      </c>
      <c r="M438" s="15" t="s">
        <v>90</v>
      </c>
      <c r="N438" s="15" t="s">
        <v>36</v>
      </c>
      <c r="O438" s="15" t="s">
        <v>77</v>
      </c>
      <c r="P438" s="20" t="s">
        <v>664</v>
      </c>
      <c r="Q438" s="15" t="s">
        <v>79</v>
      </c>
      <c r="R438" s="4"/>
      <c r="S438" s="4"/>
    </row>
    <row r="439" spans="1:19" ht="21" customHeight="1" x14ac:dyDescent="0.25">
      <c r="A439" s="14">
        <f>DATE(2012,12,31)-1372</f>
        <v>39902</v>
      </c>
      <c r="B439" s="15" t="s">
        <v>732</v>
      </c>
      <c r="C439" s="15" t="s">
        <v>31</v>
      </c>
      <c r="D439" s="16">
        <v>23</v>
      </c>
      <c r="E439" s="17">
        <v>987.17</v>
      </c>
      <c r="F439" s="16">
        <v>0.01</v>
      </c>
      <c r="G439" s="15" t="s">
        <v>32</v>
      </c>
      <c r="H439" s="18">
        <v>51.590000000000053</v>
      </c>
      <c r="I439" s="19">
        <v>39.979999999999997</v>
      </c>
      <c r="J439" s="19">
        <v>4</v>
      </c>
      <c r="K439" s="19" t="s">
        <v>44</v>
      </c>
      <c r="L439" s="19" t="s">
        <v>45</v>
      </c>
      <c r="M439" s="15" t="s">
        <v>46</v>
      </c>
      <c r="N439" s="15" t="s">
        <v>64</v>
      </c>
      <c r="O439" s="15" t="s">
        <v>72</v>
      </c>
      <c r="P439" s="20" t="s">
        <v>733</v>
      </c>
      <c r="Q439" s="15" t="s">
        <v>83</v>
      </c>
      <c r="R439" s="4"/>
      <c r="S439" s="4"/>
    </row>
    <row r="440" spans="1:19" ht="21" customHeight="1" x14ac:dyDescent="0.25">
      <c r="A440" s="14">
        <f>DATE(2012,12,31)-616</f>
        <v>40658</v>
      </c>
      <c r="B440" s="15" t="s">
        <v>598</v>
      </c>
      <c r="C440" s="15" t="s">
        <v>85</v>
      </c>
      <c r="D440" s="16">
        <v>8</v>
      </c>
      <c r="E440" s="17">
        <v>57.04</v>
      </c>
      <c r="F440" s="16">
        <v>0.05</v>
      </c>
      <c r="G440" s="15" t="s">
        <v>32</v>
      </c>
      <c r="H440" s="18">
        <v>-29.06</v>
      </c>
      <c r="I440" s="19">
        <v>6.48</v>
      </c>
      <c r="J440" s="19">
        <v>6.81</v>
      </c>
      <c r="K440" s="19" t="s">
        <v>44</v>
      </c>
      <c r="L440" s="19" t="s">
        <v>89</v>
      </c>
      <c r="M440" s="15" t="s">
        <v>734</v>
      </c>
      <c r="N440" s="15" t="s">
        <v>36</v>
      </c>
      <c r="O440" s="15" t="s">
        <v>117</v>
      </c>
      <c r="P440" s="20" t="s">
        <v>735</v>
      </c>
      <c r="Q440" s="15" t="s">
        <v>83</v>
      </c>
      <c r="R440" s="4"/>
      <c r="S440" s="4"/>
    </row>
    <row r="441" spans="1:19" ht="21" customHeight="1" x14ac:dyDescent="0.25">
      <c r="A441" s="14">
        <f>DATE(2012,12,31)-753</f>
        <v>40521</v>
      </c>
      <c r="B441" s="15" t="s">
        <v>736</v>
      </c>
      <c r="C441" s="15" t="s">
        <v>43</v>
      </c>
      <c r="D441" s="16">
        <v>30</v>
      </c>
      <c r="E441" s="17">
        <v>14223.82</v>
      </c>
      <c r="F441" s="16">
        <v>0.09</v>
      </c>
      <c r="G441" s="15" t="s">
        <v>58</v>
      </c>
      <c r="H441" s="18">
        <v>3424.22</v>
      </c>
      <c r="I441" s="19">
        <v>500.98</v>
      </c>
      <c r="J441" s="19">
        <v>26</v>
      </c>
      <c r="K441" s="19" t="s">
        <v>44</v>
      </c>
      <c r="L441" s="19" t="s">
        <v>89</v>
      </c>
      <c r="M441" s="15" t="s">
        <v>734</v>
      </c>
      <c r="N441" s="15" t="s">
        <v>54</v>
      </c>
      <c r="O441" s="15" t="s">
        <v>252</v>
      </c>
      <c r="P441" s="20" t="s">
        <v>577</v>
      </c>
      <c r="Q441" s="15" t="s">
        <v>181</v>
      </c>
      <c r="R441" s="4"/>
      <c r="S441" s="4"/>
    </row>
    <row r="442" spans="1:19" ht="21" customHeight="1" x14ac:dyDescent="0.25">
      <c r="A442" s="14">
        <f>DATE(2012,12,31)-609</f>
        <v>40665</v>
      </c>
      <c r="B442" s="15" t="s">
        <v>737</v>
      </c>
      <c r="C442" s="15" t="s">
        <v>85</v>
      </c>
      <c r="D442" s="16">
        <v>34</v>
      </c>
      <c r="E442" s="17">
        <v>6264.1854999999996</v>
      </c>
      <c r="F442" s="16">
        <v>0.01</v>
      </c>
      <c r="G442" s="15" t="s">
        <v>32</v>
      </c>
      <c r="H442" s="18">
        <v>1312.038</v>
      </c>
      <c r="I442" s="19">
        <v>205.99</v>
      </c>
      <c r="J442" s="19">
        <v>19.989999999999998</v>
      </c>
      <c r="K442" s="19" t="s">
        <v>33</v>
      </c>
      <c r="L442" s="19" t="s">
        <v>128</v>
      </c>
      <c r="M442" s="15" t="s">
        <v>129</v>
      </c>
      <c r="N442" s="15" t="s">
        <v>64</v>
      </c>
      <c r="O442" s="15" t="s">
        <v>65</v>
      </c>
      <c r="P442" s="20" t="s">
        <v>738</v>
      </c>
      <c r="Q442" s="15" t="s">
        <v>83</v>
      </c>
      <c r="R442" s="4"/>
      <c r="S442" s="4"/>
    </row>
    <row r="443" spans="1:19" ht="21" customHeight="1" x14ac:dyDescent="0.25">
      <c r="A443" s="14">
        <f>DATE(2012,12,31)-609</f>
        <v>40665</v>
      </c>
      <c r="B443" s="15" t="s">
        <v>737</v>
      </c>
      <c r="C443" s="15" t="s">
        <v>85</v>
      </c>
      <c r="D443" s="16">
        <v>36</v>
      </c>
      <c r="E443" s="17">
        <v>5410.95</v>
      </c>
      <c r="F443" s="16">
        <v>0.09</v>
      </c>
      <c r="G443" s="15" t="s">
        <v>32</v>
      </c>
      <c r="H443" s="18">
        <v>2077.91</v>
      </c>
      <c r="I443" s="19">
        <v>162.93</v>
      </c>
      <c r="J443" s="19">
        <v>19.989999999999998</v>
      </c>
      <c r="K443" s="19" t="s">
        <v>33</v>
      </c>
      <c r="L443" s="19" t="s">
        <v>93</v>
      </c>
      <c r="M443" s="15" t="s">
        <v>94</v>
      </c>
      <c r="N443" s="15" t="s">
        <v>36</v>
      </c>
      <c r="O443" s="15" t="s">
        <v>189</v>
      </c>
      <c r="P443" s="20" t="s">
        <v>739</v>
      </c>
      <c r="Q443" s="15" t="s">
        <v>83</v>
      </c>
      <c r="R443" s="4"/>
      <c r="S443" s="4"/>
    </row>
    <row r="444" spans="1:19" ht="21" customHeight="1" x14ac:dyDescent="0.25">
      <c r="A444" s="14">
        <f>DATE(2012,12,31)-609</f>
        <v>40665</v>
      </c>
      <c r="B444" s="15" t="s">
        <v>737</v>
      </c>
      <c r="C444" s="15" t="s">
        <v>85</v>
      </c>
      <c r="D444" s="16">
        <v>28</v>
      </c>
      <c r="E444" s="17">
        <v>4671.1495000000004</v>
      </c>
      <c r="F444" s="16">
        <v>7.0000000000000007E-2</v>
      </c>
      <c r="G444" s="15" t="s">
        <v>32</v>
      </c>
      <c r="H444" s="18">
        <v>947.31299999999987</v>
      </c>
      <c r="I444" s="19">
        <v>200.99</v>
      </c>
      <c r="J444" s="19">
        <v>4.2</v>
      </c>
      <c r="K444" s="19" t="s">
        <v>33</v>
      </c>
      <c r="L444" s="19" t="s">
        <v>93</v>
      </c>
      <c r="M444" s="15" t="s">
        <v>94</v>
      </c>
      <c r="N444" s="15" t="s">
        <v>64</v>
      </c>
      <c r="O444" s="15" t="s">
        <v>65</v>
      </c>
      <c r="P444" s="20" t="s">
        <v>740</v>
      </c>
      <c r="Q444" s="15" t="s">
        <v>83</v>
      </c>
      <c r="R444" s="4"/>
      <c r="S444" s="4"/>
    </row>
    <row r="445" spans="1:19" ht="21" customHeight="1" x14ac:dyDescent="0.25">
      <c r="A445" s="14">
        <f>DATE(2012,12,31)-420</f>
        <v>40854</v>
      </c>
      <c r="B445" s="15" t="s">
        <v>741</v>
      </c>
      <c r="C445" s="15" t="s">
        <v>85</v>
      </c>
      <c r="D445" s="16">
        <v>41</v>
      </c>
      <c r="E445" s="17">
        <v>6831.72</v>
      </c>
      <c r="F445" s="16">
        <v>0.01</v>
      </c>
      <c r="G445" s="15" t="s">
        <v>32</v>
      </c>
      <c r="H445" s="18">
        <v>3081.02</v>
      </c>
      <c r="I445" s="19">
        <v>162.93</v>
      </c>
      <c r="J445" s="19">
        <v>19.989999999999998</v>
      </c>
      <c r="K445" s="19" t="s">
        <v>33</v>
      </c>
      <c r="L445" s="19" t="s">
        <v>128</v>
      </c>
      <c r="M445" s="15" t="s">
        <v>129</v>
      </c>
      <c r="N445" s="15" t="s">
        <v>36</v>
      </c>
      <c r="O445" s="15" t="s">
        <v>189</v>
      </c>
      <c r="P445" s="20" t="s">
        <v>739</v>
      </c>
      <c r="Q445" s="15" t="s">
        <v>83</v>
      </c>
      <c r="R445" s="4"/>
      <c r="S445" s="4"/>
    </row>
    <row r="446" spans="1:19" ht="21" customHeight="1" x14ac:dyDescent="0.25">
      <c r="A446" s="14">
        <f>DATE(2012,12,31)-972</f>
        <v>40302</v>
      </c>
      <c r="B446" s="15" t="s">
        <v>742</v>
      </c>
      <c r="C446" s="15" t="s">
        <v>85</v>
      </c>
      <c r="D446" s="16">
        <v>41</v>
      </c>
      <c r="E446" s="17">
        <v>120.03</v>
      </c>
      <c r="F446" s="16">
        <v>0</v>
      </c>
      <c r="G446" s="15" t="s">
        <v>32</v>
      </c>
      <c r="H446" s="18">
        <v>10.4975</v>
      </c>
      <c r="I446" s="19">
        <v>2.78</v>
      </c>
      <c r="J446" s="19">
        <v>1.49</v>
      </c>
      <c r="K446" s="19" t="s">
        <v>97</v>
      </c>
      <c r="L446" s="19" t="s">
        <v>98</v>
      </c>
      <c r="M446" s="15" t="s">
        <v>99</v>
      </c>
      <c r="N446" s="15" t="s">
        <v>36</v>
      </c>
      <c r="O446" s="15" t="s">
        <v>170</v>
      </c>
      <c r="P446" s="20" t="s">
        <v>530</v>
      </c>
      <c r="Q446" s="15" t="s">
        <v>83</v>
      </c>
      <c r="R446" s="4"/>
      <c r="S446" s="4"/>
    </row>
    <row r="447" spans="1:19" ht="21" customHeight="1" x14ac:dyDescent="0.25">
      <c r="A447" s="14">
        <f>DATE(2012,12,31)-63</f>
        <v>41211</v>
      </c>
      <c r="B447" s="15" t="s">
        <v>309</v>
      </c>
      <c r="C447" s="15" t="s">
        <v>43</v>
      </c>
      <c r="D447" s="16">
        <v>13</v>
      </c>
      <c r="E447" s="17">
        <v>4002.14</v>
      </c>
      <c r="F447" s="16">
        <v>0.02</v>
      </c>
      <c r="G447" s="15" t="s">
        <v>32</v>
      </c>
      <c r="H447" s="18">
        <v>1314.3889999999999</v>
      </c>
      <c r="I447" s="19">
        <v>304.99</v>
      </c>
      <c r="J447" s="19">
        <v>19.989999999999998</v>
      </c>
      <c r="K447" s="19" t="s">
        <v>97</v>
      </c>
      <c r="L447" s="19" t="s">
        <v>195</v>
      </c>
      <c r="M447" s="15" t="s">
        <v>196</v>
      </c>
      <c r="N447" s="15" t="s">
        <v>36</v>
      </c>
      <c r="O447" s="15" t="s">
        <v>170</v>
      </c>
      <c r="P447" s="20" t="s">
        <v>743</v>
      </c>
      <c r="Q447" s="15" t="s">
        <v>83</v>
      </c>
      <c r="R447" s="4"/>
      <c r="S447" s="4"/>
    </row>
    <row r="448" spans="1:19" ht="21" customHeight="1" x14ac:dyDescent="0.25">
      <c r="A448" s="14">
        <f>DATE(2012,12,31)-995</f>
        <v>40279</v>
      </c>
      <c r="B448" s="15" t="s">
        <v>744</v>
      </c>
      <c r="C448" s="15" t="s">
        <v>85</v>
      </c>
      <c r="D448" s="16">
        <v>13</v>
      </c>
      <c r="E448" s="17">
        <v>98.39</v>
      </c>
      <c r="F448" s="16">
        <v>0.01</v>
      </c>
      <c r="G448" s="15" t="s">
        <v>101</v>
      </c>
      <c r="H448" s="18">
        <v>-31.54</v>
      </c>
      <c r="I448" s="19">
        <v>6.48</v>
      </c>
      <c r="J448" s="19">
        <v>6.6</v>
      </c>
      <c r="K448" s="19" t="s">
        <v>97</v>
      </c>
      <c r="L448" s="19" t="s">
        <v>283</v>
      </c>
      <c r="M448" s="15" t="s">
        <v>284</v>
      </c>
      <c r="N448" s="15" t="s">
        <v>36</v>
      </c>
      <c r="O448" s="15" t="s">
        <v>117</v>
      </c>
      <c r="P448" s="20" t="s">
        <v>745</v>
      </c>
      <c r="Q448" s="15" t="s">
        <v>83</v>
      </c>
      <c r="R448" s="4"/>
      <c r="S448" s="4"/>
    </row>
    <row r="449" spans="1:19" ht="21" customHeight="1" x14ac:dyDescent="0.25">
      <c r="A449" s="14">
        <f>DATE(2012,12,31)-1137</f>
        <v>40137</v>
      </c>
      <c r="B449" s="15" t="s">
        <v>746</v>
      </c>
      <c r="C449" s="15" t="s">
        <v>85</v>
      </c>
      <c r="D449" s="16">
        <v>26</v>
      </c>
      <c r="E449" s="17">
        <v>103.87</v>
      </c>
      <c r="F449" s="16">
        <v>0.1</v>
      </c>
      <c r="G449" s="15" t="s">
        <v>32</v>
      </c>
      <c r="H449" s="18">
        <v>15.42</v>
      </c>
      <c r="I449" s="19">
        <v>4.26</v>
      </c>
      <c r="J449" s="19">
        <v>1.2</v>
      </c>
      <c r="K449" s="19" t="s">
        <v>97</v>
      </c>
      <c r="L449" s="19" t="s">
        <v>195</v>
      </c>
      <c r="M449" s="15" t="s">
        <v>196</v>
      </c>
      <c r="N449" s="15" t="s">
        <v>36</v>
      </c>
      <c r="O449" s="15" t="s">
        <v>77</v>
      </c>
      <c r="P449" s="20" t="s">
        <v>317</v>
      </c>
      <c r="Q449" s="15" t="s">
        <v>79</v>
      </c>
      <c r="R449" s="4"/>
      <c r="S449" s="4"/>
    </row>
    <row r="450" spans="1:19" ht="21" customHeight="1" x14ac:dyDescent="0.25">
      <c r="A450" s="14">
        <f>DATE(2012,12,31)-398</f>
        <v>40876</v>
      </c>
      <c r="B450" s="15" t="s">
        <v>539</v>
      </c>
      <c r="C450" s="15" t="s">
        <v>51</v>
      </c>
      <c r="D450" s="16">
        <v>24</v>
      </c>
      <c r="E450" s="17">
        <v>10094.43</v>
      </c>
      <c r="F450" s="16">
        <v>0.03</v>
      </c>
      <c r="G450" s="15" t="s">
        <v>32</v>
      </c>
      <c r="H450" s="18">
        <v>4451.0079999999998</v>
      </c>
      <c r="I450" s="19">
        <v>420.98</v>
      </c>
      <c r="J450" s="19">
        <v>19.989999999999998</v>
      </c>
      <c r="K450" s="19" t="s">
        <v>97</v>
      </c>
      <c r="L450" s="19" t="s">
        <v>98</v>
      </c>
      <c r="M450" s="15" t="s">
        <v>99</v>
      </c>
      <c r="N450" s="15" t="s">
        <v>36</v>
      </c>
      <c r="O450" s="15" t="s">
        <v>170</v>
      </c>
      <c r="P450" s="20" t="s">
        <v>466</v>
      </c>
      <c r="Q450" s="15" t="s">
        <v>83</v>
      </c>
      <c r="R450" s="4"/>
      <c r="S450" s="4"/>
    </row>
    <row r="451" spans="1:19" ht="21" customHeight="1" x14ac:dyDescent="0.25">
      <c r="A451" s="14">
        <f>DATE(2012,12,31)-1454</f>
        <v>39820</v>
      </c>
      <c r="B451" s="15" t="s">
        <v>747</v>
      </c>
      <c r="C451" s="15" t="s">
        <v>85</v>
      </c>
      <c r="D451" s="16">
        <v>3</v>
      </c>
      <c r="E451" s="17">
        <v>10.58</v>
      </c>
      <c r="F451" s="16">
        <v>0.05</v>
      </c>
      <c r="G451" s="15" t="s">
        <v>32</v>
      </c>
      <c r="H451" s="18">
        <v>-11.580500000000001</v>
      </c>
      <c r="I451" s="19">
        <v>1.98</v>
      </c>
      <c r="J451" s="19">
        <v>4.7699999999999996</v>
      </c>
      <c r="K451" s="19" t="s">
        <v>97</v>
      </c>
      <c r="L451" s="19" t="s">
        <v>283</v>
      </c>
      <c r="M451" s="15" t="s">
        <v>284</v>
      </c>
      <c r="N451" s="15" t="s">
        <v>36</v>
      </c>
      <c r="O451" s="15" t="s">
        <v>170</v>
      </c>
      <c r="P451" s="20" t="s">
        <v>748</v>
      </c>
      <c r="Q451" s="15" t="s">
        <v>83</v>
      </c>
      <c r="R451" s="4"/>
      <c r="S451" s="4"/>
    </row>
    <row r="452" spans="1:19" ht="21" customHeight="1" x14ac:dyDescent="0.25">
      <c r="A452" s="14">
        <f>DATE(2012,12,31)-1454</f>
        <v>39820</v>
      </c>
      <c r="B452" s="15" t="s">
        <v>747</v>
      </c>
      <c r="C452" s="15" t="s">
        <v>85</v>
      </c>
      <c r="D452" s="16">
        <v>3</v>
      </c>
      <c r="E452" s="17">
        <v>2119.67</v>
      </c>
      <c r="F452" s="16">
        <v>7.0000000000000007E-2</v>
      </c>
      <c r="G452" s="15" t="s">
        <v>101</v>
      </c>
      <c r="H452" s="18">
        <v>-2314.7399999999998</v>
      </c>
      <c r="I452" s="19">
        <v>699.99</v>
      </c>
      <c r="J452" s="19">
        <v>24.49</v>
      </c>
      <c r="K452" s="19" t="s">
        <v>124</v>
      </c>
      <c r="L452" s="19" t="s">
        <v>160</v>
      </c>
      <c r="M452" s="15" t="s">
        <v>749</v>
      </c>
      <c r="N452" s="15" t="s">
        <v>64</v>
      </c>
      <c r="O452" s="15" t="s">
        <v>460</v>
      </c>
      <c r="P452" s="20" t="s">
        <v>461</v>
      </c>
      <c r="Q452" s="15" t="s">
        <v>39</v>
      </c>
      <c r="R452" s="4"/>
      <c r="S452" s="4"/>
    </row>
    <row r="453" spans="1:19" ht="21" customHeight="1" x14ac:dyDescent="0.25">
      <c r="A453" s="14">
        <f>DATE(2012,12,31)-1454</f>
        <v>39820</v>
      </c>
      <c r="B453" s="15" t="s">
        <v>747</v>
      </c>
      <c r="C453" s="15" t="s">
        <v>85</v>
      </c>
      <c r="D453" s="16">
        <v>7</v>
      </c>
      <c r="E453" s="17">
        <v>45923.76</v>
      </c>
      <c r="F453" s="16">
        <v>7.0000000000000007E-2</v>
      </c>
      <c r="G453" s="15" t="s">
        <v>32</v>
      </c>
      <c r="H453" s="18">
        <v>102.60999999999694</v>
      </c>
      <c r="I453" s="19">
        <v>6783.02</v>
      </c>
      <c r="J453" s="19">
        <v>24.49</v>
      </c>
      <c r="K453" s="19" t="s">
        <v>124</v>
      </c>
      <c r="L453" s="19" t="s">
        <v>160</v>
      </c>
      <c r="M453" s="15" t="s">
        <v>749</v>
      </c>
      <c r="N453" s="15" t="s">
        <v>64</v>
      </c>
      <c r="O453" s="15" t="s">
        <v>122</v>
      </c>
      <c r="P453" s="20" t="s">
        <v>750</v>
      </c>
      <c r="Q453" s="15" t="s">
        <v>39</v>
      </c>
      <c r="R453" s="4"/>
      <c r="S453" s="4"/>
    </row>
    <row r="454" spans="1:19" ht="21" customHeight="1" x14ac:dyDescent="0.25">
      <c r="A454" s="14">
        <f>DATE(2012,12,31)-1054</f>
        <v>40220</v>
      </c>
      <c r="B454" s="15" t="s">
        <v>185</v>
      </c>
      <c r="C454" s="15" t="s">
        <v>51</v>
      </c>
      <c r="D454" s="16">
        <v>12</v>
      </c>
      <c r="E454" s="17">
        <v>33.86</v>
      </c>
      <c r="F454" s="16">
        <v>0.05</v>
      </c>
      <c r="G454" s="15" t="s">
        <v>32</v>
      </c>
      <c r="H454" s="18">
        <v>0.35000000000000053</v>
      </c>
      <c r="I454" s="19">
        <v>2.88</v>
      </c>
      <c r="J454" s="19">
        <v>0.7</v>
      </c>
      <c r="K454" s="19" t="s">
        <v>124</v>
      </c>
      <c r="L454" s="19" t="s">
        <v>160</v>
      </c>
      <c r="M454" s="15" t="s">
        <v>749</v>
      </c>
      <c r="N454" s="15" t="s">
        <v>36</v>
      </c>
      <c r="O454" s="15" t="s">
        <v>77</v>
      </c>
      <c r="P454" s="20" t="s">
        <v>95</v>
      </c>
      <c r="Q454" s="15" t="s">
        <v>79</v>
      </c>
      <c r="R454" s="4"/>
      <c r="S454" s="4"/>
    </row>
    <row r="455" spans="1:19" ht="21" customHeight="1" x14ac:dyDescent="0.25">
      <c r="A455" s="14">
        <f>DATE(2012,12,31)-1054</f>
        <v>40220</v>
      </c>
      <c r="B455" s="15" t="s">
        <v>185</v>
      </c>
      <c r="C455" s="15" t="s">
        <v>51</v>
      </c>
      <c r="D455" s="16">
        <v>1</v>
      </c>
      <c r="E455" s="17">
        <v>316.61</v>
      </c>
      <c r="F455" s="16">
        <v>0.1</v>
      </c>
      <c r="G455" s="15" t="s">
        <v>58</v>
      </c>
      <c r="H455" s="18">
        <v>-187.29</v>
      </c>
      <c r="I455" s="19">
        <v>291.73</v>
      </c>
      <c r="J455" s="19">
        <v>48.8</v>
      </c>
      <c r="K455" s="19" t="s">
        <v>124</v>
      </c>
      <c r="L455" s="19" t="s">
        <v>160</v>
      </c>
      <c r="M455" s="15" t="s">
        <v>749</v>
      </c>
      <c r="N455" s="15" t="s">
        <v>54</v>
      </c>
      <c r="O455" s="15" t="s">
        <v>252</v>
      </c>
      <c r="P455" s="20" t="s">
        <v>751</v>
      </c>
      <c r="Q455" s="15" t="s">
        <v>181</v>
      </c>
      <c r="R455" s="4"/>
      <c r="S455" s="4"/>
    </row>
    <row r="456" spans="1:19" ht="21" customHeight="1" x14ac:dyDescent="0.25">
      <c r="A456" s="14">
        <f>DATE(2012,12,31)-838</f>
        <v>40436</v>
      </c>
      <c r="B456" s="15" t="s">
        <v>752</v>
      </c>
      <c r="C456" s="15" t="s">
        <v>85</v>
      </c>
      <c r="D456" s="16">
        <v>50</v>
      </c>
      <c r="E456" s="17">
        <v>336.06</v>
      </c>
      <c r="F456" s="16">
        <v>0.01</v>
      </c>
      <c r="G456" s="15" t="s">
        <v>32</v>
      </c>
      <c r="H456" s="18">
        <v>-240.78</v>
      </c>
      <c r="I456" s="19">
        <v>6.48</v>
      </c>
      <c r="J456" s="19">
        <v>8.8800000000000008</v>
      </c>
      <c r="K456" s="19" t="s">
        <v>124</v>
      </c>
      <c r="L456" s="19" t="s">
        <v>160</v>
      </c>
      <c r="M456" s="15" t="s">
        <v>749</v>
      </c>
      <c r="N456" s="15" t="s">
        <v>36</v>
      </c>
      <c r="O456" s="15" t="s">
        <v>117</v>
      </c>
      <c r="P456" s="20" t="s">
        <v>753</v>
      </c>
      <c r="Q456" s="15" t="s">
        <v>83</v>
      </c>
      <c r="R456" s="4"/>
      <c r="S456" s="4"/>
    </row>
    <row r="457" spans="1:19" ht="21" customHeight="1" x14ac:dyDescent="0.25">
      <c r="A457" s="14">
        <f>DATE(2012,12,31)-838</f>
        <v>40436</v>
      </c>
      <c r="B457" s="15" t="s">
        <v>752</v>
      </c>
      <c r="C457" s="15" t="s">
        <v>85</v>
      </c>
      <c r="D457" s="16">
        <v>24</v>
      </c>
      <c r="E457" s="17">
        <v>380.38</v>
      </c>
      <c r="F457" s="16">
        <v>0.06</v>
      </c>
      <c r="G457" s="15" t="s">
        <v>101</v>
      </c>
      <c r="H457" s="18">
        <v>7.29</v>
      </c>
      <c r="I457" s="19">
        <v>15.94</v>
      </c>
      <c r="J457" s="19">
        <v>5.45</v>
      </c>
      <c r="K457" s="19" t="s">
        <v>124</v>
      </c>
      <c r="L457" s="19" t="s">
        <v>164</v>
      </c>
      <c r="M457" s="15" t="s">
        <v>754</v>
      </c>
      <c r="N457" s="15" t="s">
        <v>36</v>
      </c>
      <c r="O457" s="15" t="s">
        <v>77</v>
      </c>
      <c r="P457" s="20" t="s">
        <v>755</v>
      </c>
      <c r="Q457" s="15" t="s">
        <v>49</v>
      </c>
      <c r="R457" s="4"/>
      <c r="S457" s="4"/>
    </row>
    <row r="458" spans="1:19" ht="21" customHeight="1" x14ac:dyDescent="0.25">
      <c r="A458" s="14">
        <f>DATE(2012,12,31)-880</f>
        <v>40394</v>
      </c>
      <c r="B458" s="15" t="s">
        <v>676</v>
      </c>
      <c r="C458" s="15" t="s">
        <v>85</v>
      </c>
      <c r="D458" s="16">
        <v>36</v>
      </c>
      <c r="E458" s="17">
        <v>65.39</v>
      </c>
      <c r="F458" s="16">
        <v>0.09</v>
      </c>
      <c r="G458" s="15" t="s">
        <v>32</v>
      </c>
      <c r="H458" s="18">
        <v>-0.46</v>
      </c>
      <c r="I458" s="19">
        <v>1.82</v>
      </c>
      <c r="J458" s="19">
        <v>1</v>
      </c>
      <c r="K458" s="19" t="s">
        <v>124</v>
      </c>
      <c r="L458" s="19" t="s">
        <v>164</v>
      </c>
      <c r="M458" s="15" t="s">
        <v>754</v>
      </c>
      <c r="N458" s="15" t="s">
        <v>36</v>
      </c>
      <c r="O458" s="15" t="s">
        <v>77</v>
      </c>
      <c r="P458" s="20" t="s">
        <v>756</v>
      </c>
      <c r="Q458" s="15" t="s">
        <v>79</v>
      </c>
      <c r="R458" s="4"/>
      <c r="S458" s="4"/>
    </row>
    <row r="459" spans="1:19" ht="21" customHeight="1" x14ac:dyDescent="0.25">
      <c r="A459" s="14">
        <f>DATE(2012,12,31)-892</f>
        <v>40382</v>
      </c>
      <c r="B459" s="15" t="s">
        <v>489</v>
      </c>
      <c r="C459" s="15" t="s">
        <v>31</v>
      </c>
      <c r="D459" s="16">
        <v>47</v>
      </c>
      <c r="E459" s="17">
        <v>1005.74</v>
      </c>
      <c r="F459" s="16">
        <v>0.1</v>
      </c>
      <c r="G459" s="15" t="s">
        <v>32</v>
      </c>
      <c r="H459" s="18">
        <v>199.3</v>
      </c>
      <c r="I459" s="19">
        <v>22.23</v>
      </c>
      <c r="J459" s="19">
        <v>8.99</v>
      </c>
      <c r="K459" s="19" t="s">
        <v>124</v>
      </c>
      <c r="L459" s="19" t="s">
        <v>164</v>
      </c>
      <c r="M459" s="15" t="s">
        <v>754</v>
      </c>
      <c r="N459" s="15" t="s">
        <v>54</v>
      </c>
      <c r="O459" s="15" t="s">
        <v>55</v>
      </c>
      <c r="P459" s="20" t="s">
        <v>757</v>
      </c>
      <c r="Q459" s="15" t="s">
        <v>49</v>
      </c>
      <c r="R459" s="4"/>
      <c r="S459" s="4"/>
    </row>
    <row r="460" spans="1:19" ht="21" customHeight="1" x14ac:dyDescent="0.25">
      <c r="A460" s="14">
        <f>DATE(2012,12,31)-892</f>
        <v>40382</v>
      </c>
      <c r="B460" s="15" t="s">
        <v>489</v>
      </c>
      <c r="C460" s="15" t="s">
        <v>31</v>
      </c>
      <c r="D460" s="16">
        <v>37</v>
      </c>
      <c r="E460" s="17">
        <v>6477.7394999999997</v>
      </c>
      <c r="F460" s="16">
        <v>0.01</v>
      </c>
      <c r="G460" s="15" t="s">
        <v>32</v>
      </c>
      <c r="H460" s="18">
        <v>1653.9659999999999</v>
      </c>
      <c r="I460" s="19">
        <v>205.99</v>
      </c>
      <c r="J460" s="19">
        <v>8.99</v>
      </c>
      <c r="K460" s="19" t="s">
        <v>124</v>
      </c>
      <c r="L460" s="19" t="s">
        <v>319</v>
      </c>
      <c r="M460" s="15" t="s">
        <v>320</v>
      </c>
      <c r="N460" s="15" t="s">
        <v>64</v>
      </c>
      <c r="O460" s="15" t="s">
        <v>65</v>
      </c>
      <c r="P460" s="20" t="s">
        <v>758</v>
      </c>
      <c r="Q460" s="15" t="s">
        <v>83</v>
      </c>
      <c r="R460" s="4"/>
      <c r="S460" s="4"/>
    </row>
    <row r="461" spans="1:19" ht="21" customHeight="1" x14ac:dyDescent="0.25">
      <c r="A461" s="14">
        <f>DATE(2012,12,31)-1111</f>
        <v>40163</v>
      </c>
      <c r="B461" s="15" t="s">
        <v>759</v>
      </c>
      <c r="C461" s="15" t="s">
        <v>51</v>
      </c>
      <c r="D461" s="16">
        <v>13</v>
      </c>
      <c r="E461" s="17">
        <v>1601.32</v>
      </c>
      <c r="F461" s="16">
        <v>0.04</v>
      </c>
      <c r="G461" s="15" t="s">
        <v>58</v>
      </c>
      <c r="H461" s="18">
        <v>377.81</v>
      </c>
      <c r="I461" s="19">
        <v>119.99</v>
      </c>
      <c r="J461" s="19">
        <v>14</v>
      </c>
      <c r="K461" s="19" t="s">
        <v>44</v>
      </c>
      <c r="L461" s="19" t="s">
        <v>52</v>
      </c>
      <c r="M461" s="15" t="s">
        <v>424</v>
      </c>
      <c r="N461" s="15" t="s">
        <v>64</v>
      </c>
      <c r="O461" s="15" t="s">
        <v>122</v>
      </c>
      <c r="P461" s="20" t="s">
        <v>760</v>
      </c>
      <c r="Q461" s="15" t="s">
        <v>181</v>
      </c>
      <c r="R461" s="4"/>
      <c r="S461" s="4"/>
    </row>
    <row r="462" spans="1:19" ht="21" customHeight="1" x14ac:dyDescent="0.25">
      <c r="A462" s="14">
        <f>DATE(2012,12,31)-1240</f>
        <v>40034</v>
      </c>
      <c r="B462" s="15" t="s">
        <v>761</v>
      </c>
      <c r="C462" s="15" t="s">
        <v>43</v>
      </c>
      <c r="D462" s="16">
        <v>8</v>
      </c>
      <c r="E462" s="17">
        <v>238.74</v>
      </c>
      <c r="F462" s="16">
        <v>0.1</v>
      </c>
      <c r="G462" s="15" t="s">
        <v>32</v>
      </c>
      <c r="H462" s="18">
        <v>-38.89</v>
      </c>
      <c r="I462" s="19">
        <v>30.98</v>
      </c>
      <c r="J462" s="19">
        <v>8.99</v>
      </c>
      <c r="K462" s="19" t="s">
        <v>44</v>
      </c>
      <c r="L462" s="19" t="s">
        <v>52</v>
      </c>
      <c r="M462" s="15" t="s">
        <v>424</v>
      </c>
      <c r="N462" s="15" t="s">
        <v>36</v>
      </c>
      <c r="O462" s="15" t="s">
        <v>77</v>
      </c>
      <c r="P462" s="20" t="s">
        <v>497</v>
      </c>
      <c r="Q462" s="15" t="s">
        <v>49</v>
      </c>
      <c r="R462" s="4"/>
      <c r="S462" s="4"/>
    </row>
    <row r="463" spans="1:19" ht="21" customHeight="1" x14ac:dyDescent="0.25">
      <c r="A463" s="14">
        <f>DATE(2012,12,31)-1422</f>
        <v>39852</v>
      </c>
      <c r="B463" s="15" t="s">
        <v>762</v>
      </c>
      <c r="C463" s="15" t="s">
        <v>43</v>
      </c>
      <c r="D463" s="16">
        <v>4</v>
      </c>
      <c r="E463" s="17">
        <v>718.03</v>
      </c>
      <c r="F463" s="16">
        <v>7.0000000000000007E-2</v>
      </c>
      <c r="G463" s="15" t="s">
        <v>101</v>
      </c>
      <c r="H463" s="18">
        <v>-427.47</v>
      </c>
      <c r="I463" s="19">
        <v>179.99</v>
      </c>
      <c r="J463" s="19">
        <v>19.989999999999998</v>
      </c>
      <c r="K463" s="19" t="s">
        <v>44</v>
      </c>
      <c r="L463" s="19" t="s">
        <v>52</v>
      </c>
      <c r="M463" s="15" t="s">
        <v>424</v>
      </c>
      <c r="N463" s="15" t="s">
        <v>64</v>
      </c>
      <c r="O463" s="15" t="s">
        <v>72</v>
      </c>
      <c r="P463" s="20" t="s">
        <v>763</v>
      </c>
      <c r="Q463" s="15" t="s">
        <v>83</v>
      </c>
      <c r="R463" s="4"/>
      <c r="S463" s="4"/>
    </row>
    <row r="464" spans="1:19" ht="21" customHeight="1" x14ac:dyDescent="0.25">
      <c r="A464" s="14">
        <f>DATE(2012,12,31)-418</f>
        <v>40856</v>
      </c>
      <c r="B464" s="15" t="s">
        <v>764</v>
      </c>
      <c r="C464" s="15" t="s">
        <v>85</v>
      </c>
      <c r="D464" s="16">
        <v>30</v>
      </c>
      <c r="E464" s="17">
        <v>534.96</v>
      </c>
      <c r="F464" s="16">
        <v>0.08</v>
      </c>
      <c r="G464" s="15" t="s">
        <v>32</v>
      </c>
      <c r="H464" s="18">
        <v>-26.72</v>
      </c>
      <c r="I464" s="19">
        <v>18.89</v>
      </c>
      <c r="J464" s="19">
        <v>3.17</v>
      </c>
      <c r="K464" s="19" t="s">
        <v>44</v>
      </c>
      <c r="L464" s="19" t="s">
        <v>52</v>
      </c>
      <c r="M464" s="15" t="s">
        <v>424</v>
      </c>
      <c r="N464" s="15" t="s">
        <v>64</v>
      </c>
      <c r="O464" s="15" t="s">
        <v>72</v>
      </c>
      <c r="P464" s="20" t="s">
        <v>765</v>
      </c>
      <c r="Q464" s="15" t="s">
        <v>49</v>
      </c>
      <c r="R464" s="4"/>
      <c r="S464" s="4"/>
    </row>
    <row r="465" spans="1:19" ht="21" customHeight="1" x14ac:dyDescent="0.25">
      <c r="A465" s="14">
        <f>DATE(2012,12,31)-337</f>
        <v>40937</v>
      </c>
      <c r="B465" s="15" t="s">
        <v>747</v>
      </c>
      <c r="C465" s="15" t="s">
        <v>31</v>
      </c>
      <c r="D465" s="16">
        <v>14</v>
      </c>
      <c r="E465" s="17">
        <v>80.599999999999994</v>
      </c>
      <c r="F465" s="16">
        <v>0.04</v>
      </c>
      <c r="G465" s="15" t="s">
        <v>32</v>
      </c>
      <c r="H465" s="18">
        <v>-4.2</v>
      </c>
      <c r="I465" s="19">
        <v>5.28</v>
      </c>
      <c r="J465" s="19">
        <v>3.96</v>
      </c>
      <c r="K465" s="19" t="s">
        <v>44</v>
      </c>
      <c r="L465" s="19" t="s">
        <v>80</v>
      </c>
      <c r="M465" s="15" t="s">
        <v>81</v>
      </c>
      <c r="N465" s="15" t="s">
        <v>54</v>
      </c>
      <c r="O465" s="15" t="s">
        <v>55</v>
      </c>
      <c r="P465" s="20" t="s">
        <v>766</v>
      </c>
      <c r="Q465" s="15" t="s">
        <v>79</v>
      </c>
      <c r="R465" s="4"/>
      <c r="S465" s="4"/>
    </row>
    <row r="466" spans="1:19" ht="21" customHeight="1" x14ac:dyDescent="0.25">
      <c r="A466" s="14">
        <f>DATE(2012,12,31)-742</f>
        <v>40532</v>
      </c>
      <c r="B466" s="15" t="s">
        <v>767</v>
      </c>
      <c r="C466" s="15" t="s">
        <v>85</v>
      </c>
      <c r="D466" s="16">
        <v>7</v>
      </c>
      <c r="E466" s="17">
        <v>35.58</v>
      </c>
      <c r="F466" s="16">
        <v>0.04</v>
      </c>
      <c r="G466" s="15" t="s">
        <v>32</v>
      </c>
      <c r="H466" s="18">
        <v>-19.95</v>
      </c>
      <c r="I466" s="19">
        <v>4.42</v>
      </c>
      <c r="J466" s="19">
        <v>4.99</v>
      </c>
      <c r="K466" s="19" t="s">
        <v>33</v>
      </c>
      <c r="L466" s="19" t="s">
        <v>59</v>
      </c>
      <c r="M466" s="15" t="s">
        <v>60</v>
      </c>
      <c r="N466" s="15" t="s">
        <v>36</v>
      </c>
      <c r="O466" s="15" t="s">
        <v>189</v>
      </c>
      <c r="P466" s="20" t="s">
        <v>405</v>
      </c>
      <c r="Q466" s="15" t="s">
        <v>83</v>
      </c>
      <c r="R466" s="4"/>
      <c r="S466" s="4"/>
    </row>
    <row r="467" spans="1:19" ht="21" customHeight="1" x14ac:dyDescent="0.25">
      <c r="A467" s="14">
        <f>DATE(2012,12,31)-212</f>
        <v>41062</v>
      </c>
      <c r="B467" s="15" t="s">
        <v>768</v>
      </c>
      <c r="C467" s="15" t="s">
        <v>43</v>
      </c>
      <c r="D467" s="16">
        <v>33</v>
      </c>
      <c r="E467" s="17">
        <v>584.51099999999997</v>
      </c>
      <c r="F467" s="16">
        <v>0.05</v>
      </c>
      <c r="G467" s="15" t="s">
        <v>32</v>
      </c>
      <c r="H467" s="18">
        <v>-95.974999999999994</v>
      </c>
      <c r="I467" s="19">
        <v>20.99</v>
      </c>
      <c r="J467" s="19">
        <v>3.3</v>
      </c>
      <c r="K467" s="19" t="s">
        <v>33</v>
      </c>
      <c r="L467" s="19" t="s">
        <v>128</v>
      </c>
      <c r="M467" s="15" t="s">
        <v>129</v>
      </c>
      <c r="N467" s="15" t="s">
        <v>64</v>
      </c>
      <c r="O467" s="15" t="s">
        <v>65</v>
      </c>
      <c r="P467" s="20" t="s">
        <v>769</v>
      </c>
      <c r="Q467" s="15" t="s">
        <v>49</v>
      </c>
      <c r="R467" s="4"/>
      <c r="S467" s="4"/>
    </row>
    <row r="468" spans="1:19" ht="21" customHeight="1" x14ac:dyDescent="0.25">
      <c r="A468" s="14">
        <f>DATE(2012,12,31)-1266</f>
        <v>40008</v>
      </c>
      <c r="B468" s="15" t="s">
        <v>770</v>
      </c>
      <c r="C468" s="15" t="s">
        <v>31</v>
      </c>
      <c r="D468" s="16">
        <v>23</v>
      </c>
      <c r="E468" s="17">
        <v>3553.62</v>
      </c>
      <c r="F468" s="16">
        <v>7.0000000000000007E-2</v>
      </c>
      <c r="G468" s="15" t="s">
        <v>32</v>
      </c>
      <c r="H468" s="18">
        <v>521.69000000000005</v>
      </c>
      <c r="I468" s="19">
        <v>165.2</v>
      </c>
      <c r="J468" s="19">
        <v>19.989999999999998</v>
      </c>
      <c r="K468" s="19" t="s">
        <v>124</v>
      </c>
      <c r="L468" s="19" t="s">
        <v>160</v>
      </c>
      <c r="M468" s="15" t="s">
        <v>749</v>
      </c>
      <c r="N468" s="15" t="s">
        <v>36</v>
      </c>
      <c r="O468" s="15" t="s">
        <v>37</v>
      </c>
      <c r="P468" s="20" t="s">
        <v>771</v>
      </c>
      <c r="Q468" s="15" t="s">
        <v>83</v>
      </c>
      <c r="R468" s="4"/>
      <c r="S468" s="4"/>
    </row>
    <row r="469" spans="1:19" ht="21" customHeight="1" x14ac:dyDescent="0.25">
      <c r="A469" s="14">
        <f>DATE(2012,12,31)-8</f>
        <v>41266</v>
      </c>
      <c r="B469" s="15" t="s">
        <v>772</v>
      </c>
      <c r="C469" s="15" t="s">
        <v>31</v>
      </c>
      <c r="D469" s="16">
        <v>10</v>
      </c>
      <c r="E469" s="17">
        <v>554.21</v>
      </c>
      <c r="F469" s="16">
        <v>0.05</v>
      </c>
      <c r="G469" s="15" t="s">
        <v>32</v>
      </c>
      <c r="H469" s="18">
        <v>-105.37</v>
      </c>
      <c r="I469" s="19">
        <v>53.98</v>
      </c>
      <c r="J469" s="19">
        <v>5.5</v>
      </c>
      <c r="K469" s="19" t="s">
        <v>124</v>
      </c>
      <c r="L469" s="19" t="s">
        <v>158</v>
      </c>
      <c r="M469" s="15" t="s">
        <v>158</v>
      </c>
      <c r="N469" s="15" t="s">
        <v>64</v>
      </c>
      <c r="O469" s="15" t="s">
        <v>72</v>
      </c>
      <c r="P469" s="20" t="s">
        <v>773</v>
      </c>
      <c r="Q469" s="15" t="s">
        <v>83</v>
      </c>
      <c r="R469" s="4"/>
      <c r="S469" s="4"/>
    </row>
    <row r="470" spans="1:19" ht="21" customHeight="1" x14ac:dyDescent="0.25">
      <c r="A470" s="14">
        <f>DATE(2012,12,31)-265</f>
        <v>41009</v>
      </c>
      <c r="B470" s="15" t="s">
        <v>774</v>
      </c>
      <c r="C470" s="15" t="s">
        <v>31</v>
      </c>
      <c r="D470" s="16">
        <v>8</v>
      </c>
      <c r="E470" s="17">
        <v>136.61000000000001</v>
      </c>
      <c r="F470" s="16">
        <v>0.01</v>
      </c>
      <c r="G470" s="15" t="s">
        <v>32</v>
      </c>
      <c r="H470" s="18">
        <v>80.430000000000007</v>
      </c>
      <c r="I470" s="19">
        <v>15.68</v>
      </c>
      <c r="J470" s="19">
        <v>3.73</v>
      </c>
      <c r="K470" s="19" t="s">
        <v>33</v>
      </c>
      <c r="L470" s="19" t="s">
        <v>93</v>
      </c>
      <c r="M470" s="15" t="s">
        <v>94</v>
      </c>
      <c r="N470" s="15" t="s">
        <v>54</v>
      </c>
      <c r="O470" s="15" t="s">
        <v>55</v>
      </c>
      <c r="P470" s="20" t="s">
        <v>718</v>
      </c>
      <c r="Q470" s="15" t="s">
        <v>49</v>
      </c>
      <c r="R470" s="4"/>
      <c r="S470" s="4"/>
    </row>
    <row r="471" spans="1:19" ht="21" customHeight="1" x14ac:dyDescent="0.25">
      <c r="A471" s="14">
        <f>DATE(2012,12,31)-265</f>
        <v>41009</v>
      </c>
      <c r="B471" s="15" t="s">
        <v>774</v>
      </c>
      <c r="C471" s="15" t="s">
        <v>31</v>
      </c>
      <c r="D471" s="16">
        <v>42</v>
      </c>
      <c r="E471" s="17">
        <v>2907.63</v>
      </c>
      <c r="F471" s="16">
        <v>0.04</v>
      </c>
      <c r="G471" s="15" t="s">
        <v>101</v>
      </c>
      <c r="H471" s="18">
        <v>54.598050000000008</v>
      </c>
      <c r="I471" s="19">
        <v>71.37</v>
      </c>
      <c r="J471" s="19">
        <v>69</v>
      </c>
      <c r="K471" s="19" t="s">
        <v>124</v>
      </c>
      <c r="L471" s="19" t="s">
        <v>164</v>
      </c>
      <c r="M471" s="15" t="s">
        <v>754</v>
      </c>
      <c r="N471" s="15" t="s">
        <v>54</v>
      </c>
      <c r="O471" s="15" t="s">
        <v>61</v>
      </c>
      <c r="P471" s="20" t="s">
        <v>399</v>
      </c>
      <c r="Q471" s="15" t="s">
        <v>39</v>
      </c>
      <c r="R471" s="4"/>
      <c r="S471" s="4"/>
    </row>
    <row r="472" spans="1:19" ht="21" customHeight="1" x14ac:dyDescent="0.25">
      <c r="A472" s="14">
        <f>DATE(2012,12,31)-84</f>
        <v>41190</v>
      </c>
      <c r="B472" s="15" t="s">
        <v>775</v>
      </c>
      <c r="C472" s="15" t="s">
        <v>85</v>
      </c>
      <c r="D472" s="16">
        <v>5</v>
      </c>
      <c r="E472" s="17">
        <v>42.66</v>
      </c>
      <c r="F472" s="16">
        <v>0.06</v>
      </c>
      <c r="G472" s="15" t="s">
        <v>32</v>
      </c>
      <c r="H472" s="18">
        <v>-11.833499999999999</v>
      </c>
      <c r="I472" s="19">
        <v>7.84</v>
      </c>
      <c r="J472" s="19">
        <v>4.71</v>
      </c>
      <c r="K472" s="19" t="s">
        <v>124</v>
      </c>
      <c r="L472" s="19" t="s">
        <v>164</v>
      </c>
      <c r="M472" s="15" t="s">
        <v>754</v>
      </c>
      <c r="N472" s="15" t="s">
        <v>36</v>
      </c>
      <c r="O472" s="15" t="s">
        <v>170</v>
      </c>
      <c r="P472" s="20" t="s">
        <v>776</v>
      </c>
      <c r="Q472" s="15" t="s">
        <v>83</v>
      </c>
      <c r="R472" s="4"/>
      <c r="S472" s="4"/>
    </row>
    <row r="473" spans="1:19" ht="21" customHeight="1" x14ac:dyDescent="0.25">
      <c r="A473" s="14">
        <f>DATE(2012,12,31)-413</f>
        <v>40861</v>
      </c>
      <c r="B473" s="15" t="s">
        <v>777</v>
      </c>
      <c r="C473" s="15" t="s">
        <v>31</v>
      </c>
      <c r="D473" s="16">
        <v>31</v>
      </c>
      <c r="E473" s="17">
        <v>142.97</v>
      </c>
      <c r="F473" s="16">
        <v>0.1</v>
      </c>
      <c r="G473" s="15" t="s">
        <v>101</v>
      </c>
      <c r="H473" s="18">
        <v>-12.26</v>
      </c>
      <c r="I473" s="19">
        <v>4.71</v>
      </c>
      <c r="J473" s="19">
        <v>0.7</v>
      </c>
      <c r="K473" s="19" t="s">
        <v>33</v>
      </c>
      <c r="L473" s="19" t="s">
        <v>128</v>
      </c>
      <c r="M473" s="15" t="s">
        <v>129</v>
      </c>
      <c r="N473" s="15" t="s">
        <v>36</v>
      </c>
      <c r="O473" s="15" t="s">
        <v>105</v>
      </c>
      <c r="P473" s="20" t="s">
        <v>778</v>
      </c>
      <c r="Q473" s="15" t="s">
        <v>79</v>
      </c>
      <c r="R473" s="4"/>
      <c r="S473" s="4"/>
    </row>
    <row r="474" spans="1:19" ht="21" customHeight="1" x14ac:dyDescent="0.25">
      <c r="A474" s="14">
        <f>DATE(2012,12,31)-656</f>
        <v>40618</v>
      </c>
      <c r="B474" s="15" t="s">
        <v>779</v>
      </c>
      <c r="C474" s="15" t="s">
        <v>31</v>
      </c>
      <c r="D474" s="16">
        <v>4</v>
      </c>
      <c r="E474" s="17">
        <v>17.12</v>
      </c>
      <c r="F474" s="16">
        <v>0.03</v>
      </c>
      <c r="G474" s="15" t="s">
        <v>32</v>
      </c>
      <c r="H474" s="18">
        <v>-2.5530000000000004</v>
      </c>
      <c r="I474" s="19">
        <v>3.8</v>
      </c>
      <c r="J474" s="19">
        <v>1.49</v>
      </c>
      <c r="K474" s="19" t="s">
        <v>33</v>
      </c>
      <c r="L474" s="19" t="s">
        <v>34</v>
      </c>
      <c r="M474" s="15" t="s">
        <v>35</v>
      </c>
      <c r="N474" s="15" t="s">
        <v>36</v>
      </c>
      <c r="O474" s="15" t="s">
        <v>170</v>
      </c>
      <c r="P474" s="20" t="s">
        <v>611</v>
      </c>
      <c r="Q474" s="15" t="s">
        <v>83</v>
      </c>
      <c r="R474" s="4"/>
      <c r="S474" s="4"/>
    </row>
    <row r="475" spans="1:19" ht="21" customHeight="1" x14ac:dyDescent="0.25">
      <c r="A475" s="14">
        <f>DATE(2012,12,31)-366</f>
        <v>40908</v>
      </c>
      <c r="B475" s="15" t="s">
        <v>516</v>
      </c>
      <c r="C475" s="15" t="s">
        <v>85</v>
      </c>
      <c r="D475" s="16">
        <v>45</v>
      </c>
      <c r="E475" s="17">
        <v>11532.99</v>
      </c>
      <c r="F475" s="16">
        <v>7.0000000000000007E-2</v>
      </c>
      <c r="G475" s="15" t="s">
        <v>58</v>
      </c>
      <c r="H475" s="18">
        <v>2753.39</v>
      </c>
      <c r="I475" s="19">
        <v>264.98</v>
      </c>
      <c r="J475" s="19">
        <v>17.86</v>
      </c>
      <c r="K475" s="19" t="s">
        <v>69</v>
      </c>
      <c r="L475" s="19" t="s">
        <v>70</v>
      </c>
      <c r="M475" s="15" t="s">
        <v>71</v>
      </c>
      <c r="N475" s="15" t="s">
        <v>64</v>
      </c>
      <c r="O475" s="15" t="s">
        <v>122</v>
      </c>
      <c r="P475" s="20" t="s">
        <v>780</v>
      </c>
      <c r="Q475" s="15" t="s">
        <v>181</v>
      </c>
      <c r="R475" s="4"/>
      <c r="S475" s="4"/>
    </row>
    <row r="476" spans="1:19" ht="21" customHeight="1" x14ac:dyDescent="0.25">
      <c r="A476" s="14">
        <f>DATE(2012,12,31)-366</f>
        <v>40908</v>
      </c>
      <c r="B476" s="15" t="s">
        <v>516</v>
      </c>
      <c r="C476" s="15" t="s">
        <v>85</v>
      </c>
      <c r="D476" s="16">
        <v>18</v>
      </c>
      <c r="E476" s="17">
        <v>146.1</v>
      </c>
      <c r="F476" s="16">
        <v>0.06</v>
      </c>
      <c r="G476" s="15" t="s">
        <v>101</v>
      </c>
      <c r="H476" s="18">
        <v>51.14</v>
      </c>
      <c r="I476" s="19">
        <v>8.34</v>
      </c>
      <c r="J476" s="19">
        <v>1.43</v>
      </c>
      <c r="K476" s="19" t="s">
        <v>69</v>
      </c>
      <c r="L476" s="19" t="s">
        <v>75</v>
      </c>
      <c r="M476" s="15" t="s">
        <v>76</v>
      </c>
      <c r="N476" s="15" t="s">
        <v>36</v>
      </c>
      <c r="O476" s="15" t="s">
        <v>117</v>
      </c>
      <c r="P476" s="20" t="s">
        <v>781</v>
      </c>
      <c r="Q476" s="15" t="s">
        <v>79</v>
      </c>
      <c r="R476" s="4"/>
      <c r="S476" s="4"/>
    </row>
    <row r="477" spans="1:19" ht="21" customHeight="1" x14ac:dyDescent="0.25">
      <c r="A477" s="14">
        <f>DATE(2012,12,31)-59</f>
        <v>41215</v>
      </c>
      <c r="B477" s="15" t="s">
        <v>782</v>
      </c>
      <c r="C477" s="15" t="s">
        <v>51</v>
      </c>
      <c r="D477" s="16">
        <v>40</v>
      </c>
      <c r="E477" s="17">
        <v>158.69999999999999</v>
      </c>
      <c r="F477" s="16">
        <v>0.04</v>
      </c>
      <c r="G477" s="15" t="s">
        <v>32</v>
      </c>
      <c r="H477" s="18">
        <v>-196.8</v>
      </c>
      <c r="I477" s="19">
        <v>3.75</v>
      </c>
      <c r="J477" s="19">
        <v>7.5</v>
      </c>
      <c r="K477" s="19" t="s">
        <v>69</v>
      </c>
      <c r="L477" s="19" t="s">
        <v>70</v>
      </c>
      <c r="M477" s="15" t="s">
        <v>71</v>
      </c>
      <c r="N477" s="15" t="s">
        <v>36</v>
      </c>
      <c r="O477" s="15" t="s">
        <v>114</v>
      </c>
      <c r="P477" s="20" t="s">
        <v>783</v>
      </c>
      <c r="Q477" s="15" t="s">
        <v>83</v>
      </c>
      <c r="R477" s="4"/>
      <c r="S477" s="4"/>
    </row>
    <row r="478" spans="1:19" ht="21" customHeight="1" x14ac:dyDescent="0.25">
      <c r="A478" s="14">
        <f>DATE(2012,12,31)-536</f>
        <v>40738</v>
      </c>
      <c r="B478" s="15" t="s">
        <v>784</v>
      </c>
      <c r="C478" s="15" t="s">
        <v>31</v>
      </c>
      <c r="D478" s="16">
        <v>6</v>
      </c>
      <c r="E478" s="17">
        <v>92.02</v>
      </c>
      <c r="F478" s="16">
        <v>0.1</v>
      </c>
      <c r="G478" s="15" t="s">
        <v>32</v>
      </c>
      <c r="H478" s="18">
        <v>-47.36</v>
      </c>
      <c r="I478" s="19">
        <v>15.98</v>
      </c>
      <c r="J478" s="19">
        <v>4</v>
      </c>
      <c r="K478" s="19" t="s">
        <v>69</v>
      </c>
      <c r="L478" s="19" t="s">
        <v>215</v>
      </c>
      <c r="M478" s="15" t="s">
        <v>216</v>
      </c>
      <c r="N478" s="15" t="s">
        <v>64</v>
      </c>
      <c r="O478" s="15" t="s">
        <v>72</v>
      </c>
      <c r="P478" s="20" t="s">
        <v>344</v>
      </c>
      <c r="Q478" s="15" t="s">
        <v>83</v>
      </c>
      <c r="R478" s="4"/>
      <c r="S478" s="4"/>
    </row>
    <row r="479" spans="1:19" ht="21" customHeight="1" x14ac:dyDescent="0.25">
      <c r="A479" s="14">
        <f>DATE(2012,12,31)-43</f>
        <v>41231</v>
      </c>
      <c r="B479" s="15" t="s">
        <v>643</v>
      </c>
      <c r="C479" s="15" t="s">
        <v>31</v>
      </c>
      <c r="D479" s="16">
        <v>12</v>
      </c>
      <c r="E479" s="17">
        <v>1736.41</v>
      </c>
      <c r="F479" s="16">
        <v>0.1</v>
      </c>
      <c r="G479" s="15" t="s">
        <v>58</v>
      </c>
      <c r="H479" s="18">
        <v>-762.44</v>
      </c>
      <c r="I479" s="19">
        <v>146.05000000000001</v>
      </c>
      <c r="J479" s="19">
        <v>80.2</v>
      </c>
      <c r="K479" s="19" t="s">
        <v>69</v>
      </c>
      <c r="L479" s="19" t="s">
        <v>215</v>
      </c>
      <c r="M479" s="15" t="s">
        <v>216</v>
      </c>
      <c r="N479" s="15" t="s">
        <v>54</v>
      </c>
      <c r="O479" s="15" t="s">
        <v>61</v>
      </c>
      <c r="P479" s="20" t="s">
        <v>222</v>
      </c>
      <c r="Q479" s="15" t="s">
        <v>63</v>
      </c>
      <c r="R479" s="4"/>
      <c r="S479" s="4"/>
    </row>
    <row r="480" spans="1:19" ht="21" customHeight="1" x14ac:dyDescent="0.25">
      <c r="A480" s="14">
        <f>DATE(2012,12,31)-956</f>
        <v>40318</v>
      </c>
      <c r="B480" s="15" t="s">
        <v>785</v>
      </c>
      <c r="C480" s="15" t="s">
        <v>51</v>
      </c>
      <c r="D480" s="16">
        <v>31</v>
      </c>
      <c r="E480" s="17">
        <v>153.28</v>
      </c>
      <c r="F480" s="16">
        <v>0.05</v>
      </c>
      <c r="G480" s="15" t="s">
        <v>32</v>
      </c>
      <c r="H480" s="18">
        <v>73.16</v>
      </c>
      <c r="I480" s="19">
        <v>4.91</v>
      </c>
      <c r="J480" s="19">
        <v>0.5</v>
      </c>
      <c r="K480" s="19" t="s">
        <v>111</v>
      </c>
      <c r="L480" s="19" t="s">
        <v>112</v>
      </c>
      <c r="M480" s="15" t="s">
        <v>113</v>
      </c>
      <c r="N480" s="15" t="s">
        <v>36</v>
      </c>
      <c r="O480" s="15" t="s">
        <v>114</v>
      </c>
      <c r="P480" s="20" t="s">
        <v>786</v>
      </c>
      <c r="Q480" s="15" t="s">
        <v>83</v>
      </c>
      <c r="R480" s="4"/>
      <c r="S480" s="4"/>
    </row>
    <row r="481" spans="1:19" ht="21" customHeight="1" x14ac:dyDescent="0.25">
      <c r="A481" s="14">
        <f>DATE(2012,12,31)-1153</f>
        <v>40121</v>
      </c>
      <c r="B481" s="15" t="s">
        <v>787</v>
      </c>
      <c r="C481" s="15" t="s">
        <v>85</v>
      </c>
      <c r="D481" s="16">
        <v>6</v>
      </c>
      <c r="E481" s="17">
        <v>22.19</v>
      </c>
      <c r="F481" s="16">
        <v>0.01</v>
      </c>
      <c r="G481" s="15" t="s">
        <v>32</v>
      </c>
      <c r="H481" s="18">
        <v>-3.51</v>
      </c>
      <c r="I481" s="19">
        <v>3.26</v>
      </c>
      <c r="J481" s="19">
        <v>1.86</v>
      </c>
      <c r="K481" s="19" t="s">
        <v>44</v>
      </c>
      <c r="L481" s="19" t="s">
        <v>45</v>
      </c>
      <c r="M481" s="15" t="s">
        <v>46</v>
      </c>
      <c r="N481" s="15" t="s">
        <v>36</v>
      </c>
      <c r="O481" s="15" t="s">
        <v>77</v>
      </c>
      <c r="P481" s="20" t="s">
        <v>788</v>
      </c>
      <c r="Q481" s="15" t="s">
        <v>79</v>
      </c>
      <c r="R481" s="4"/>
      <c r="S481" s="4"/>
    </row>
    <row r="482" spans="1:19" ht="21" customHeight="1" x14ac:dyDescent="0.25">
      <c r="A482" s="14">
        <f>DATE(2012,12,31)-107</f>
        <v>41167</v>
      </c>
      <c r="B482" s="15" t="s">
        <v>789</v>
      </c>
      <c r="C482" s="15" t="s">
        <v>43</v>
      </c>
      <c r="D482" s="16">
        <v>42</v>
      </c>
      <c r="E482" s="17">
        <v>927.97</v>
      </c>
      <c r="F482" s="16">
        <v>0.08</v>
      </c>
      <c r="G482" s="15" t="s">
        <v>32</v>
      </c>
      <c r="H482" s="18">
        <v>162.16999999999999</v>
      </c>
      <c r="I482" s="19">
        <v>22.98</v>
      </c>
      <c r="J482" s="19">
        <v>4.5</v>
      </c>
      <c r="K482" s="19" t="s">
        <v>44</v>
      </c>
      <c r="L482" s="19" t="s">
        <v>80</v>
      </c>
      <c r="M482" s="15" t="s">
        <v>81</v>
      </c>
      <c r="N482" s="15" t="s">
        <v>36</v>
      </c>
      <c r="O482" s="15" t="s">
        <v>176</v>
      </c>
      <c r="P482" s="20" t="s">
        <v>790</v>
      </c>
      <c r="Q482" s="15" t="s">
        <v>83</v>
      </c>
      <c r="R482" s="4"/>
      <c r="S482" s="4"/>
    </row>
    <row r="483" spans="1:19" ht="21" customHeight="1" x14ac:dyDescent="0.25">
      <c r="A483" s="14">
        <f>DATE(2012,12,31)-107</f>
        <v>41167</v>
      </c>
      <c r="B483" s="15" t="s">
        <v>789</v>
      </c>
      <c r="C483" s="15" t="s">
        <v>43</v>
      </c>
      <c r="D483" s="16">
        <v>9</v>
      </c>
      <c r="E483" s="17">
        <v>59.05</v>
      </c>
      <c r="F483" s="16">
        <v>0.08</v>
      </c>
      <c r="G483" s="15" t="s">
        <v>32</v>
      </c>
      <c r="H483" s="18">
        <v>-24.09</v>
      </c>
      <c r="I483" s="19">
        <v>6.48</v>
      </c>
      <c r="J483" s="19">
        <v>5.4</v>
      </c>
      <c r="K483" s="19" t="s">
        <v>44</v>
      </c>
      <c r="L483" s="19" t="s">
        <v>120</v>
      </c>
      <c r="M483" s="15" t="s">
        <v>121</v>
      </c>
      <c r="N483" s="15" t="s">
        <v>36</v>
      </c>
      <c r="O483" s="15" t="s">
        <v>117</v>
      </c>
      <c r="P483" s="20" t="s">
        <v>546</v>
      </c>
      <c r="Q483" s="15" t="s">
        <v>83</v>
      </c>
      <c r="R483" s="4"/>
      <c r="S483" s="4"/>
    </row>
    <row r="484" spans="1:19" ht="21" customHeight="1" x14ac:dyDescent="0.25">
      <c r="A484" s="14">
        <f>DATE(2012,12,31)-131</f>
        <v>41143</v>
      </c>
      <c r="B484" s="15" t="s">
        <v>791</v>
      </c>
      <c r="C484" s="15" t="s">
        <v>43</v>
      </c>
      <c r="D484" s="16">
        <v>49</v>
      </c>
      <c r="E484" s="17">
        <v>213.71</v>
      </c>
      <c r="F484" s="16">
        <v>0.06</v>
      </c>
      <c r="G484" s="15" t="s">
        <v>32</v>
      </c>
      <c r="H484" s="18">
        <v>-208.02</v>
      </c>
      <c r="I484" s="19">
        <v>4.28</v>
      </c>
      <c r="J484" s="19">
        <v>6.72</v>
      </c>
      <c r="K484" s="19" t="s">
        <v>44</v>
      </c>
      <c r="L484" s="19" t="s">
        <v>45</v>
      </c>
      <c r="M484" s="15" t="s">
        <v>46</v>
      </c>
      <c r="N484" s="15" t="s">
        <v>36</v>
      </c>
      <c r="O484" s="15" t="s">
        <v>117</v>
      </c>
      <c r="P484" s="20" t="s">
        <v>792</v>
      </c>
      <c r="Q484" s="15" t="s">
        <v>83</v>
      </c>
      <c r="R484" s="4"/>
      <c r="S484" s="4"/>
    </row>
    <row r="485" spans="1:19" ht="21" customHeight="1" x14ac:dyDescent="0.25">
      <c r="A485" s="14">
        <f>DATE(2012,12,31)-131</f>
        <v>41143</v>
      </c>
      <c r="B485" s="15" t="s">
        <v>791</v>
      </c>
      <c r="C485" s="15" t="s">
        <v>43</v>
      </c>
      <c r="D485" s="16">
        <v>23</v>
      </c>
      <c r="E485" s="17">
        <v>133.66</v>
      </c>
      <c r="F485" s="16">
        <v>7.0000000000000007E-2</v>
      </c>
      <c r="G485" s="15" t="s">
        <v>32</v>
      </c>
      <c r="H485" s="18">
        <v>-5.6</v>
      </c>
      <c r="I485" s="19">
        <v>5.85</v>
      </c>
      <c r="J485" s="19">
        <v>2.27</v>
      </c>
      <c r="K485" s="19" t="s">
        <v>44</v>
      </c>
      <c r="L485" s="19" t="s">
        <v>89</v>
      </c>
      <c r="M485" s="15" t="s">
        <v>734</v>
      </c>
      <c r="N485" s="15" t="s">
        <v>36</v>
      </c>
      <c r="O485" s="15" t="s">
        <v>77</v>
      </c>
      <c r="P485" s="20" t="s">
        <v>793</v>
      </c>
      <c r="Q485" s="15" t="s">
        <v>79</v>
      </c>
      <c r="R485" s="4"/>
      <c r="S485" s="4"/>
    </row>
    <row r="486" spans="1:19" ht="21" customHeight="1" x14ac:dyDescent="0.25">
      <c r="A486" s="14">
        <f>DATE(2012,12,31)-522</f>
        <v>40752</v>
      </c>
      <c r="B486" s="15" t="s">
        <v>794</v>
      </c>
      <c r="C486" s="15" t="s">
        <v>31</v>
      </c>
      <c r="D486" s="16">
        <v>40</v>
      </c>
      <c r="E486" s="17">
        <v>1699.52</v>
      </c>
      <c r="F486" s="16">
        <v>0.04</v>
      </c>
      <c r="G486" s="15" t="s">
        <v>32</v>
      </c>
      <c r="H486" s="18">
        <v>734.75</v>
      </c>
      <c r="I486" s="19">
        <v>40.98</v>
      </c>
      <c r="J486" s="19">
        <v>1.99</v>
      </c>
      <c r="K486" s="19" t="s">
        <v>44</v>
      </c>
      <c r="L486" s="19" t="s">
        <v>89</v>
      </c>
      <c r="M486" s="15" t="s">
        <v>734</v>
      </c>
      <c r="N486" s="15" t="s">
        <v>64</v>
      </c>
      <c r="O486" s="15" t="s">
        <v>72</v>
      </c>
      <c r="P486" s="20" t="s">
        <v>507</v>
      </c>
      <c r="Q486" s="15" t="s">
        <v>49</v>
      </c>
      <c r="R486" s="4"/>
      <c r="S486" s="4"/>
    </row>
    <row r="487" spans="1:19" ht="21" customHeight="1" x14ac:dyDescent="0.25">
      <c r="A487" s="14">
        <f>DATE(2012,12,31)-522</f>
        <v>40752</v>
      </c>
      <c r="B487" s="15" t="s">
        <v>794</v>
      </c>
      <c r="C487" s="15" t="s">
        <v>31</v>
      </c>
      <c r="D487" s="16">
        <v>50</v>
      </c>
      <c r="E487" s="17">
        <v>760.85</v>
      </c>
      <c r="F487" s="16">
        <v>0.03</v>
      </c>
      <c r="G487" s="15" t="s">
        <v>32</v>
      </c>
      <c r="H487" s="18">
        <v>-109.1</v>
      </c>
      <c r="I487" s="19">
        <v>15.14</v>
      </c>
      <c r="J487" s="19">
        <v>4.53</v>
      </c>
      <c r="K487" s="19" t="s">
        <v>44</v>
      </c>
      <c r="L487" s="19" t="s">
        <v>80</v>
      </c>
      <c r="M487" s="15" t="s">
        <v>81</v>
      </c>
      <c r="N487" s="15" t="s">
        <v>36</v>
      </c>
      <c r="O487" s="15" t="s">
        <v>37</v>
      </c>
      <c r="P487" s="20" t="s">
        <v>795</v>
      </c>
      <c r="Q487" s="15" t="s">
        <v>83</v>
      </c>
      <c r="R487" s="4"/>
      <c r="S487" s="4"/>
    </row>
    <row r="488" spans="1:19" ht="21" customHeight="1" x14ac:dyDescent="0.25">
      <c r="A488" s="14">
        <f>DATE(2012,12,31)-466</f>
        <v>40808</v>
      </c>
      <c r="B488" s="15" t="s">
        <v>796</v>
      </c>
      <c r="C488" s="15" t="s">
        <v>51</v>
      </c>
      <c r="D488" s="16">
        <v>21</v>
      </c>
      <c r="E488" s="17">
        <v>8185.89</v>
      </c>
      <c r="F488" s="16">
        <v>0.09</v>
      </c>
      <c r="G488" s="15" t="s">
        <v>32</v>
      </c>
      <c r="H488" s="18">
        <v>2137.2800000000002</v>
      </c>
      <c r="I488" s="19">
        <v>415.88</v>
      </c>
      <c r="J488" s="19">
        <v>11.37</v>
      </c>
      <c r="K488" s="19" t="s">
        <v>44</v>
      </c>
      <c r="L488" s="19" t="s">
        <v>89</v>
      </c>
      <c r="M488" s="15" t="s">
        <v>734</v>
      </c>
      <c r="N488" s="15" t="s">
        <v>36</v>
      </c>
      <c r="O488" s="15" t="s">
        <v>37</v>
      </c>
      <c r="P488" s="20" t="s">
        <v>449</v>
      </c>
      <c r="Q488" s="15" t="s">
        <v>83</v>
      </c>
      <c r="R488" s="4"/>
      <c r="S488" s="4"/>
    </row>
    <row r="489" spans="1:19" ht="21" customHeight="1" x14ac:dyDescent="0.25">
      <c r="A489" s="14">
        <f>DATE(2012,12,31)-547</f>
        <v>40727</v>
      </c>
      <c r="B489" s="15" t="s">
        <v>797</v>
      </c>
      <c r="C489" s="15" t="s">
        <v>51</v>
      </c>
      <c r="D489" s="16">
        <v>7</v>
      </c>
      <c r="E489" s="17">
        <v>127.74</v>
      </c>
      <c r="F489" s="16">
        <v>0.04</v>
      </c>
      <c r="G489" s="15" t="s">
        <v>101</v>
      </c>
      <c r="H489" s="18">
        <v>-5.57</v>
      </c>
      <c r="I489" s="19">
        <v>15.98</v>
      </c>
      <c r="J489" s="19">
        <v>4</v>
      </c>
      <c r="K489" s="19" t="s">
        <v>44</v>
      </c>
      <c r="L489" s="19" t="s">
        <v>45</v>
      </c>
      <c r="M489" s="15" t="s">
        <v>46</v>
      </c>
      <c r="N489" s="15" t="s">
        <v>64</v>
      </c>
      <c r="O489" s="15" t="s">
        <v>72</v>
      </c>
      <c r="P489" s="20" t="s">
        <v>344</v>
      </c>
      <c r="Q489" s="15" t="s">
        <v>83</v>
      </c>
      <c r="R489" s="4"/>
      <c r="S489" s="4"/>
    </row>
    <row r="490" spans="1:19" ht="21" customHeight="1" x14ac:dyDescent="0.25">
      <c r="A490" s="14">
        <f>DATE(2012,12,31)-547</f>
        <v>40727</v>
      </c>
      <c r="B490" s="15" t="s">
        <v>797</v>
      </c>
      <c r="C490" s="15" t="s">
        <v>51</v>
      </c>
      <c r="D490" s="16">
        <v>33</v>
      </c>
      <c r="E490" s="17">
        <v>325.92</v>
      </c>
      <c r="F490" s="16">
        <v>0.03</v>
      </c>
      <c r="G490" s="15" t="s">
        <v>32</v>
      </c>
      <c r="H490" s="18">
        <v>-36.47</v>
      </c>
      <c r="I490" s="19">
        <v>9.48</v>
      </c>
      <c r="J490" s="19">
        <v>7.29</v>
      </c>
      <c r="K490" s="19" t="s">
        <v>44</v>
      </c>
      <c r="L490" s="19" t="s">
        <v>120</v>
      </c>
      <c r="M490" s="15" t="s">
        <v>121</v>
      </c>
      <c r="N490" s="15" t="s">
        <v>54</v>
      </c>
      <c r="O490" s="15" t="s">
        <v>55</v>
      </c>
      <c r="P490" s="20" t="s">
        <v>798</v>
      </c>
      <c r="Q490" s="15" t="s">
        <v>49</v>
      </c>
      <c r="R490" s="4"/>
      <c r="S490" s="4"/>
    </row>
    <row r="491" spans="1:19" ht="21" customHeight="1" x14ac:dyDescent="0.25">
      <c r="A491" s="14">
        <f>DATE(2012,12,31)-1159</f>
        <v>40115</v>
      </c>
      <c r="B491" s="15" t="s">
        <v>799</v>
      </c>
      <c r="C491" s="15" t="s">
        <v>43</v>
      </c>
      <c r="D491" s="16">
        <v>31</v>
      </c>
      <c r="E491" s="17">
        <v>181.17</v>
      </c>
      <c r="F491" s="16">
        <v>0.06</v>
      </c>
      <c r="G491" s="15" t="s">
        <v>101</v>
      </c>
      <c r="H491" s="18">
        <v>-59.880499999999998</v>
      </c>
      <c r="I491" s="19">
        <v>5.38</v>
      </c>
      <c r="J491" s="19">
        <v>5.24</v>
      </c>
      <c r="K491" s="19" t="s">
        <v>44</v>
      </c>
      <c r="L491" s="19" t="s">
        <v>120</v>
      </c>
      <c r="M491" s="15" t="s">
        <v>121</v>
      </c>
      <c r="N491" s="15" t="s">
        <v>36</v>
      </c>
      <c r="O491" s="15" t="s">
        <v>170</v>
      </c>
      <c r="P491" s="20" t="s">
        <v>800</v>
      </c>
      <c r="Q491" s="15" t="s">
        <v>83</v>
      </c>
      <c r="R491" s="4"/>
      <c r="S491" s="4"/>
    </row>
    <row r="492" spans="1:19" ht="21" customHeight="1" x14ac:dyDescent="0.25">
      <c r="A492" s="14">
        <f>DATE(2012,12,31)-1159</f>
        <v>40115</v>
      </c>
      <c r="B492" s="15" t="s">
        <v>799</v>
      </c>
      <c r="C492" s="15" t="s">
        <v>43</v>
      </c>
      <c r="D492" s="16">
        <v>1</v>
      </c>
      <c r="E492" s="17">
        <v>13.16</v>
      </c>
      <c r="F492" s="16">
        <v>0.03</v>
      </c>
      <c r="G492" s="15" t="s">
        <v>32</v>
      </c>
      <c r="H492" s="18">
        <v>-10.29</v>
      </c>
      <c r="I492" s="19">
        <v>7.35</v>
      </c>
      <c r="J492" s="19">
        <v>5.96</v>
      </c>
      <c r="K492" s="19" t="s">
        <v>33</v>
      </c>
      <c r="L492" s="19" t="s">
        <v>128</v>
      </c>
      <c r="M492" s="15" t="s">
        <v>129</v>
      </c>
      <c r="N492" s="15" t="s">
        <v>36</v>
      </c>
      <c r="O492" s="15" t="s">
        <v>117</v>
      </c>
      <c r="P492" s="20" t="s">
        <v>801</v>
      </c>
      <c r="Q492" s="15" t="s">
        <v>83</v>
      </c>
      <c r="R492" s="4"/>
      <c r="S492" s="4"/>
    </row>
    <row r="493" spans="1:19" ht="21" customHeight="1" x14ac:dyDescent="0.25">
      <c r="A493" s="14">
        <f>DATE(2012,12,31)-1159</f>
        <v>40115</v>
      </c>
      <c r="B493" s="15" t="s">
        <v>799</v>
      </c>
      <c r="C493" s="15" t="s">
        <v>43</v>
      </c>
      <c r="D493" s="16">
        <v>7</v>
      </c>
      <c r="E493" s="17">
        <v>107.88</v>
      </c>
      <c r="F493" s="16">
        <v>0.02</v>
      </c>
      <c r="G493" s="15" t="s">
        <v>32</v>
      </c>
      <c r="H493" s="18">
        <v>25.59</v>
      </c>
      <c r="I493" s="19">
        <v>15.57</v>
      </c>
      <c r="J493" s="19">
        <v>1.39</v>
      </c>
      <c r="K493" s="19" t="s">
        <v>33</v>
      </c>
      <c r="L493" s="19" t="s">
        <v>128</v>
      </c>
      <c r="M493" s="15" t="s">
        <v>129</v>
      </c>
      <c r="N493" s="15" t="s">
        <v>36</v>
      </c>
      <c r="O493" s="15" t="s">
        <v>189</v>
      </c>
      <c r="P493" s="20" t="s">
        <v>802</v>
      </c>
      <c r="Q493" s="15" t="s">
        <v>83</v>
      </c>
      <c r="R493" s="4"/>
      <c r="S493" s="4"/>
    </row>
    <row r="494" spans="1:19" ht="21" customHeight="1" x14ac:dyDescent="0.25">
      <c r="A494" s="14">
        <f>DATE(2012,12,31)-1159</f>
        <v>40115</v>
      </c>
      <c r="B494" s="15" t="s">
        <v>799</v>
      </c>
      <c r="C494" s="15" t="s">
        <v>43</v>
      </c>
      <c r="D494" s="16">
        <v>29</v>
      </c>
      <c r="E494" s="17">
        <v>623.02</v>
      </c>
      <c r="F494" s="16">
        <v>0.02</v>
      </c>
      <c r="G494" s="15" t="s">
        <v>32</v>
      </c>
      <c r="H494" s="18">
        <v>-255.66</v>
      </c>
      <c r="I494" s="19">
        <v>20.89</v>
      </c>
      <c r="J494" s="19">
        <v>11.52</v>
      </c>
      <c r="K494" s="19" t="s">
        <v>97</v>
      </c>
      <c r="L494" s="19" t="s">
        <v>132</v>
      </c>
      <c r="M494" s="15" t="s">
        <v>133</v>
      </c>
      <c r="N494" s="15" t="s">
        <v>36</v>
      </c>
      <c r="O494" s="15" t="s">
        <v>37</v>
      </c>
      <c r="P494" s="20" t="s">
        <v>803</v>
      </c>
      <c r="Q494" s="15" t="s">
        <v>83</v>
      </c>
      <c r="R494" s="4"/>
      <c r="S494" s="4"/>
    </row>
    <row r="495" spans="1:19" ht="21" customHeight="1" x14ac:dyDescent="0.25">
      <c r="A495" s="14">
        <f>DATE(2012,12,31)-1288</f>
        <v>39986</v>
      </c>
      <c r="B495" s="15" t="s">
        <v>804</v>
      </c>
      <c r="C495" s="15" t="s">
        <v>85</v>
      </c>
      <c r="D495" s="16">
        <v>43</v>
      </c>
      <c r="E495" s="17">
        <v>815.89</v>
      </c>
      <c r="F495" s="16">
        <v>0.1</v>
      </c>
      <c r="G495" s="15" t="s">
        <v>32</v>
      </c>
      <c r="H495" s="18">
        <v>-20.25</v>
      </c>
      <c r="I495" s="19">
        <v>19.98</v>
      </c>
      <c r="J495" s="19">
        <v>4</v>
      </c>
      <c r="K495" s="19" t="s">
        <v>124</v>
      </c>
      <c r="L495" s="19" t="s">
        <v>160</v>
      </c>
      <c r="M495" s="15" t="s">
        <v>749</v>
      </c>
      <c r="N495" s="15" t="s">
        <v>64</v>
      </c>
      <c r="O495" s="15" t="s">
        <v>72</v>
      </c>
      <c r="P495" s="20" t="s">
        <v>805</v>
      </c>
      <c r="Q495" s="15" t="s">
        <v>83</v>
      </c>
      <c r="R495" s="4"/>
      <c r="S495" s="4"/>
    </row>
    <row r="496" spans="1:19" ht="21" customHeight="1" x14ac:dyDescent="0.25">
      <c r="A496" s="14">
        <f>DATE(2012,12,31)-1288</f>
        <v>39986</v>
      </c>
      <c r="B496" s="15" t="s">
        <v>804</v>
      </c>
      <c r="C496" s="15" t="s">
        <v>85</v>
      </c>
      <c r="D496" s="16">
        <v>11</v>
      </c>
      <c r="E496" s="17">
        <v>30.61</v>
      </c>
      <c r="F496" s="16">
        <v>0.09</v>
      </c>
      <c r="G496" s="15" t="s">
        <v>32</v>
      </c>
      <c r="H496" s="18">
        <v>-3.3809999999999998</v>
      </c>
      <c r="I496" s="19">
        <v>2.88</v>
      </c>
      <c r="J496" s="19">
        <v>1.49</v>
      </c>
      <c r="K496" s="19" t="s">
        <v>124</v>
      </c>
      <c r="L496" s="19" t="s">
        <v>160</v>
      </c>
      <c r="M496" s="15" t="s">
        <v>749</v>
      </c>
      <c r="N496" s="15" t="s">
        <v>36</v>
      </c>
      <c r="O496" s="15" t="s">
        <v>170</v>
      </c>
      <c r="P496" s="20" t="s">
        <v>806</v>
      </c>
      <c r="Q496" s="15" t="s">
        <v>83</v>
      </c>
      <c r="R496" s="4"/>
      <c r="S496" s="4"/>
    </row>
    <row r="497" spans="1:19" ht="21" customHeight="1" x14ac:dyDescent="0.25">
      <c r="A497" s="14">
        <f>DATE(2012,12,31)-945</f>
        <v>40329</v>
      </c>
      <c r="B497" s="15" t="s">
        <v>807</v>
      </c>
      <c r="C497" s="15" t="s">
        <v>31</v>
      </c>
      <c r="D497" s="16">
        <v>20</v>
      </c>
      <c r="E497" s="17">
        <v>5418.68</v>
      </c>
      <c r="F497" s="16">
        <v>7.0000000000000007E-2</v>
      </c>
      <c r="G497" s="15" t="s">
        <v>58</v>
      </c>
      <c r="H497" s="18">
        <v>332.30070000000001</v>
      </c>
      <c r="I497" s="19">
        <v>280.98</v>
      </c>
      <c r="J497" s="19">
        <v>35.67</v>
      </c>
      <c r="K497" s="19" t="s">
        <v>44</v>
      </c>
      <c r="L497" s="19" t="s">
        <v>52</v>
      </c>
      <c r="M497" s="15" t="s">
        <v>424</v>
      </c>
      <c r="N497" s="15" t="s">
        <v>54</v>
      </c>
      <c r="O497" s="15" t="s">
        <v>61</v>
      </c>
      <c r="P497" s="20" t="s">
        <v>368</v>
      </c>
      <c r="Q497" s="15" t="s">
        <v>63</v>
      </c>
      <c r="R497" s="4"/>
      <c r="S497" s="4"/>
    </row>
    <row r="498" spans="1:19" ht="21" customHeight="1" x14ac:dyDescent="0.25">
      <c r="A498" s="14">
        <f>DATE(2012,12,31)-1106</f>
        <v>40168</v>
      </c>
      <c r="B498" s="15" t="s">
        <v>808</v>
      </c>
      <c r="C498" s="15" t="s">
        <v>51</v>
      </c>
      <c r="D498" s="16">
        <v>41</v>
      </c>
      <c r="E498" s="17">
        <v>627.91</v>
      </c>
      <c r="F498" s="16">
        <v>0.03</v>
      </c>
      <c r="G498" s="15" t="s">
        <v>32</v>
      </c>
      <c r="H498" s="18">
        <v>222.08</v>
      </c>
      <c r="I498" s="19">
        <v>15.28</v>
      </c>
      <c r="J498" s="19">
        <v>1.99</v>
      </c>
      <c r="K498" s="19" t="s">
        <v>44</v>
      </c>
      <c r="L498" s="19" t="s">
        <v>52</v>
      </c>
      <c r="M498" s="15" t="s">
        <v>424</v>
      </c>
      <c r="N498" s="15" t="s">
        <v>64</v>
      </c>
      <c r="O498" s="15" t="s">
        <v>72</v>
      </c>
      <c r="P498" s="20" t="s">
        <v>809</v>
      </c>
      <c r="Q498" s="15" t="s">
        <v>49</v>
      </c>
      <c r="R498" s="4"/>
      <c r="S498" s="4"/>
    </row>
    <row r="499" spans="1:19" ht="21" customHeight="1" x14ac:dyDescent="0.25">
      <c r="A499" s="14">
        <f>DATE(2012,12,31)-1106</f>
        <v>40168</v>
      </c>
      <c r="B499" s="15" t="s">
        <v>808</v>
      </c>
      <c r="C499" s="15" t="s">
        <v>51</v>
      </c>
      <c r="D499" s="16">
        <v>28</v>
      </c>
      <c r="E499" s="17">
        <v>46.89</v>
      </c>
      <c r="F499" s="16">
        <v>0.09</v>
      </c>
      <c r="G499" s="15" t="s">
        <v>32</v>
      </c>
      <c r="H499" s="18">
        <v>-3.83</v>
      </c>
      <c r="I499" s="19">
        <v>1.76</v>
      </c>
      <c r="J499" s="19">
        <v>0.7</v>
      </c>
      <c r="K499" s="19" t="s">
        <v>44</v>
      </c>
      <c r="L499" s="19" t="s">
        <v>236</v>
      </c>
      <c r="M499" s="15" t="s">
        <v>237</v>
      </c>
      <c r="N499" s="15" t="s">
        <v>36</v>
      </c>
      <c r="O499" s="15" t="s">
        <v>77</v>
      </c>
      <c r="P499" s="20" t="s">
        <v>295</v>
      </c>
      <c r="Q499" s="15" t="s">
        <v>79</v>
      </c>
      <c r="R499" s="4"/>
      <c r="S499" s="4"/>
    </row>
    <row r="500" spans="1:19" ht="21" customHeight="1" x14ac:dyDescent="0.25">
      <c r="A500" s="14">
        <f>DATE(2012,12,31)-1253</f>
        <v>40021</v>
      </c>
      <c r="B500" s="15" t="s">
        <v>810</v>
      </c>
      <c r="C500" s="15" t="s">
        <v>43</v>
      </c>
      <c r="D500" s="16">
        <v>24</v>
      </c>
      <c r="E500" s="17">
        <v>2152.4039999999995</v>
      </c>
      <c r="F500" s="16">
        <v>0.1</v>
      </c>
      <c r="G500" s="15" t="s">
        <v>101</v>
      </c>
      <c r="H500" s="18">
        <v>218.87099999999998</v>
      </c>
      <c r="I500" s="19">
        <v>110.99</v>
      </c>
      <c r="J500" s="19">
        <v>8.99</v>
      </c>
      <c r="K500" s="19" t="s">
        <v>33</v>
      </c>
      <c r="L500" s="19" t="s">
        <v>59</v>
      </c>
      <c r="M500" s="15" t="s">
        <v>60</v>
      </c>
      <c r="N500" s="15" t="s">
        <v>64</v>
      </c>
      <c r="O500" s="15" t="s">
        <v>65</v>
      </c>
      <c r="P500" s="20" t="s">
        <v>811</v>
      </c>
      <c r="Q500" s="15" t="s">
        <v>83</v>
      </c>
      <c r="R500" s="4"/>
      <c r="S500" s="4"/>
    </row>
    <row r="501" spans="1:19" ht="21" customHeight="1" x14ac:dyDescent="0.25">
      <c r="A501" s="14">
        <f>DATE(2012,12,31)-456</f>
        <v>40818</v>
      </c>
      <c r="B501" s="15" t="s">
        <v>812</v>
      </c>
      <c r="C501" s="15" t="s">
        <v>51</v>
      </c>
      <c r="D501" s="16">
        <v>27</v>
      </c>
      <c r="E501" s="17">
        <v>153.22999999999999</v>
      </c>
      <c r="F501" s="16">
        <v>0.08</v>
      </c>
      <c r="G501" s="15" t="s">
        <v>32</v>
      </c>
      <c r="H501" s="18">
        <v>-95.15</v>
      </c>
      <c r="I501" s="19">
        <v>5.98</v>
      </c>
      <c r="J501" s="19">
        <v>4.6900000000000004</v>
      </c>
      <c r="K501" s="19" t="s">
        <v>69</v>
      </c>
      <c r="L501" s="19" t="s">
        <v>70</v>
      </c>
      <c r="M501" s="15" t="s">
        <v>71</v>
      </c>
      <c r="N501" s="15" t="s">
        <v>36</v>
      </c>
      <c r="O501" s="15" t="s">
        <v>37</v>
      </c>
      <c r="P501" s="20" t="s">
        <v>813</v>
      </c>
      <c r="Q501" s="15" t="s">
        <v>83</v>
      </c>
      <c r="R501" s="4"/>
      <c r="S501" s="4"/>
    </row>
    <row r="502" spans="1:19" ht="21" customHeight="1" x14ac:dyDescent="0.25">
      <c r="A502" s="14">
        <f>DATE(2012,12,31)-1066</f>
        <v>40208</v>
      </c>
      <c r="B502" s="15" t="s">
        <v>814</v>
      </c>
      <c r="C502" s="15" t="s">
        <v>85</v>
      </c>
      <c r="D502" s="16">
        <v>47</v>
      </c>
      <c r="E502" s="17">
        <v>2053.3789999999999</v>
      </c>
      <c r="F502" s="16">
        <v>0.1</v>
      </c>
      <c r="G502" s="15" t="s">
        <v>32</v>
      </c>
      <c r="H502" s="18">
        <v>1040.4000000000001</v>
      </c>
      <c r="I502" s="19">
        <v>55.99</v>
      </c>
      <c r="J502" s="19">
        <v>1.25</v>
      </c>
      <c r="K502" s="19" t="s">
        <v>97</v>
      </c>
      <c r="L502" s="19" t="s">
        <v>98</v>
      </c>
      <c r="M502" s="15" t="s">
        <v>99</v>
      </c>
      <c r="N502" s="15" t="s">
        <v>64</v>
      </c>
      <c r="O502" s="15" t="s">
        <v>65</v>
      </c>
      <c r="P502" s="20" t="s">
        <v>815</v>
      </c>
      <c r="Q502" s="15" t="s">
        <v>49</v>
      </c>
      <c r="R502" s="4"/>
      <c r="S502" s="4"/>
    </row>
    <row r="503" spans="1:19" ht="21" customHeight="1" x14ac:dyDescent="0.25">
      <c r="A503" s="14">
        <f>DATE(2012,12,31)-1066</f>
        <v>40208</v>
      </c>
      <c r="B503" s="15" t="s">
        <v>814</v>
      </c>
      <c r="C503" s="15" t="s">
        <v>85</v>
      </c>
      <c r="D503" s="16">
        <v>35</v>
      </c>
      <c r="E503" s="17">
        <v>3206.3955000000001</v>
      </c>
      <c r="F503" s="16">
        <v>0.08</v>
      </c>
      <c r="G503" s="15" t="s">
        <v>32</v>
      </c>
      <c r="H503" s="18">
        <v>784.77300000000002</v>
      </c>
      <c r="I503" s="19">
        <v>115.99</v>
      </c>
      <c r="J503" s="19">
        <v>2.5</v>
      </c>
      <c r="K503" s="19" t="s">
        <v>97</v>
      </c>
      <c r="L503" s="19" t="s">
        <v>195</v>
      </c>
      <c r="M503" s="15" t="s">
        <v>196</v>
      </c>
      <c r="N503" s="15" t="s">
        <v>64</v>
      </c>
      <c r="O503" s="15" t="s">
        <v>65</v>
      </c>
      <c r="P503" s="20" t="s">
        <v>816</v>
      </c>
      <c r="Q503" s="15" t="s">
        <v>83</v>
      </c>
      <c r="R503" s="4"/>
      <c r="S503" s="4"/>
    </row>
    <row r="504" spans="1:19" ht="21" customHeight="1" x14ac:dyDescent="0.25">
      <c r="A504" s="14">
        <f>DATE(2012,12,31)-867</f>
        <v>40407</v>
      </c>
      <c r="B504" s="15" t="s">
        <v>817</v>
      </c>
      <c r="C504" s="15" t="s">
        <v>85</v>
      </c>
      <c r="D504" s="16">
        <v>43</v>
      </c>
      <c r="E504" s="17">
        <v>264.75</v>
      </c>
      <c r="F504" s="16">
        <v>0.08</v>
      </c>
      <c r="G504" s="15" t="s">
        <v>32</v>
      </c>
      <c r="H504" s="18">
        <v>-212.51</v>
      </c>
      <c r="I504" s="19">
        <v>6.48</v>
      </c>
      <c r="J504" s="19">
        <v>8.4</v>
      </c>
      <c r="K504" s="19" t="s">
        <v>44</v>
      </c>
      <c r="L504" s="19" t="s">
        <v>52</v>
      </c>
      <c r="M504" s="15" t="s">
        <v>424</v>
      </c>
      <c r="N504" s="15" t="s">
        <v>36</v>
      </c>
      <c r="O504" s="15" t="s">
        <v>117</v>
      </c>
      <c r="P504" s="20" t="s">
        <v>729</v>
      </c>
      <c r="Q504" s="15" t="s">
        <v>83</v>
      </c>
      <c r="R504" s="4"/>
      <c r="S504" s="4"/>
    </row>
    <row r="505" spans="1:19" ht="21" customHeight="1" x14ac:dyDescent="0.25">
      <c r="A505" s="14">
        <f>DATE(2012,12,31)-724</f>
        <v>40550</v>
      </c>
      <c r="B505" s="15" t="s">
        <v>818</v>
      </c>
      <c r="C505" s="15" t="s">
        <v>85</v>
      </c>
      <c r="D505" s="16">
        <v>39</v>
      </c>
      <c r="E505" s="17">
        <v>4669.1899999999996</v>
      </c>
      <c r="F505" s="16">
        <v>0.06</v>
      </c>
      <c r="G505" s="15" t="s">
        <v>58</v>
      </c>
      <c r="H505" s="18">
        <v>-1864.08</v>
      </c>
      <c r="I505" s="19">
        <v>122.99</v>
      </c>
      <c r="J505" s="19">
        <v>70.2</v>
      </c>
      <c r="K505" s="19" t="s">
        <v>44</v>
      </c>
      <c r="L505" s="19" t="s">
        <v>120</v>
      </c>
      <c r="M505" s="15" t="s">
        <v>121</v>
      </c>
      <c r="N505" s="15" t="s">
        <v>54</v>
      </c>
      <c r="O505" s="15" t="s">
        <v>252</v>
      </c>
      <c r="P505" s="20" t="s">
        <v>819</v>
      </c>
      <c r="Q505" s="15" t="s">
        <v>181</v>
      </c>
      <c r="R505" s="4"/>
      <c r="S505" s="4"/>
    </row>
    <row r="506" spans="1:19" ht="21" customHeight="1" x14ac:dyDescent="0.25">
      <c r="A506" s="14">
        <f>DATE(2012,12,31)-724</f>
        <v>40550</v>
      </c>
      <c r="B506" s="15" t="s">
        <v>818</v>
      </c>
      <c r="C506" s="15" t="s">
        <v>85</v>
      </c>
      <c r="D506" s="16">
        <v>6</v>
      </c>
      <c r="E506" s="17">
        <v>133.4</v>
      </c>
      <c r="F506" s="16">
        <v>0.02</v>
      </c>
      <c r="G506" s="15" t="s">
        <v>32</v>
      </c>
      <c r="H506" s="18">
        <v>-0.31000000000000227</v>
      </c>
      <c r="I506" s="19">
        <v>21.98</v>
      </c>
      <c r="J506" s="19">
        <v>2.87</v>
      </c>
      <c r="K506" s="19" t="s">
        <v>97</v>
      </c>
      <c r="L506" s="19" t="s">
        <v>132</v>
      </c>
      <c r="M506" s="15" t="s">
        <v>133</v>
      </c>
      <c r="N506" s="15" t="s">
        <v>36</v>
      </c>
      <c r="O506" s="15" t="s">
        <v>77</v>
      </c>
      <c r="P506" s="20" t="s">
        <v>715</v>
      </c>
      <c r="Q506" s="15" t="s">
        <v>49</v>
      </c>
      <c r="R506" s="4"/>
      <c r="S506" s="4"/>
    </row>
    <row r="507" spans="1:19" ht="21" customHeight="1" x14ac:dyDescent="0.25">
      <c r="A507" s="14">
        <f>DATE(2012,12,31)-1134</f>
        <v>40140</v>
      </c>
      <c r="B507" s="15" t="s">
        <v>820</v>
      </c>
      <c r="C507" s="15" t="s">
        <v>31</v>
      </c>
      <c r="D507" s="16">
        <v>35</v>
      </c>
      <c r="E507" s="17">
        <v>2393.63</v>
      </c>
      <c r="F507" s="16">
        <v>0.04</v>
      </c>
      <c r="G507" s="15" t="s">
        <v>32</v>
      </c>
      <c r="H507" s="18">
        <v>524.875</v>
      </c>
      <c r="I507" s="19">
        <v>67.28</v>
      </c>
      <c r="J507" s="19">
        <v>19.989999999999998</v>
      </c>
      <c r="K507" s="19" t="s">
        <v>33</v>
      </c>
      <c r="L507" s="19" t="s">
        <v>34</v>
      </c>
      <c r="M507" s="15" t="s">
        <v>35</v>
      </c>
      <c r="N507" s="15" t="s">
        <v>36</v>
      </c>
      <c r="O507" s="15" t="s">
        <v>170</v>
      </c>
      <c r="P507" s="20" t="s">
        <v>821</v>
      </c>
      <c r="Q507" s="15" t="s">
        <v>83</v>
      </c>
      <c r="R507" s="4"/>
      <c r="S507" s="4"/>
    </row>
    <row r="508" spans="1:19" ht="21" customHeight="1" x14ac:dyDescent="0.25">
      <c r="A508" s="14">
        <f>DATE(2012,12,31)-1134</f>
        <v>40140</v>
      </c>
      <c r="B508" s="15" t="s">
        <v>820</v>
      </c>
      <c r="C508" s="15" t="s">
        <v>31</v>
      </c>
      <c r="D508" s="16">
        <v>49</v>
      </c>
      <c r="E508" s="17">
        <v>6177.53</v>
      </c>
      <c r="F508" s="16">
        <v>0.1</v>
      </c>
      <c r="G508" s="15" t="s">
        <v>58</v>
      </c>
      <c r="H508" s="18">
        <v>-1195.1199999999999</v>
      </c>
      <c r="I508" s="19">
        <v>130.97999999999999</v>
      </c>
      <c r="J508" s="19">
        <v>54.74</v>
      </c>
      <c r="K508" s="19" t="s">
        <v>69</v>
      </c>
      <c r="L508" s="19" t="s">
        <v>215</v>
      </c>
      <c r="M508" s="15" t="s">
        <v>216</v>
      </c>
      <c r="N508" s="15" t="s">
        <v>54</v>
      </c>
      <c r="O508" s="15" t="s">
        <v>134</v>
      </c>
      <c r="P508" s="20" t="s">
        <v>135</v>
      </c>
      <c r="Q508" s="15" t="s">
        <v>63</v>
      </c>
      <c r="R508" s="4"/>
      <c r="S508" s="4"/>
    </row>
    <row r="509" spans="1:19" ht="21" customHeight="1" x14ac:dyDescent="0.25">
      <c r="A509" s="14">
        <f>DATE(2012,12,31)-1134</f>
        <v>40140</v>
      </c>
      <c r="B509" s="15" t="s">
        <v>820</v>
      </c>
      <c r="C509" s="15" t="s">
        <v>31</v>
      </c>
      <c r="D509" s="16">
        <v>33</v>
      </c>
      <c r="E509" s="17">
        <v>94.6</v>
      </c>
      <c r="F509" s="16">
        <v>0.04</v>
      </c>
      <c r="G509" s="15" t="s">
        <v>32</v>
      </c>
      <c r="H509" s="18">
        <v>-6.34</v>
      </c>
      <c r="I509" s="19">
        <v>2.78</v>
      </c>
      <c r="J509" s="19">
        <v>1.25</v>
      </c>
      <c r="K509" s="19" t="s">
        <v>44</v>
      </c>
      <c r="L509" s="19" t="s">
        <v>89</v>
      </c>
      <c r="M509" s="15" t="s">
        <v>734</v>
      </c>
      <c r="N509" s="15" t="s">
        <v>36</v>
      </c>
      <c r="O509" s="15" t="s">
        <v>77</v>
      </c>
      <c r="P509" s="20" t="s">
        <v>822</v>
      </c>
      <c r="Q509" s="15" t="s">
        <v>79</v>
      </c>
      <c r="R509" s="4"/>
      <c r="S509" s="4"/>
    </row>
    <row r="510" spans="1:19" ht="21" customHeight="1" x14ac:dyDescent="0.25">
      <c r="A510" s="14">
        <f>DATE(2012,12,31)-861</f>
        <v>40413</v>
      </c>
      <c r="B510" s="15" t="s">
        <v>823</v>
      </c>
      <c r="C510" s="15" t="s">
        <v>51</v>
      </c>
      <c r="D510" s="16">
        <v>48</v>
      </c>
      <c r="E510" s="17">
        <v>7518.12</v>
      </c>
      <c r="F510" s="16">
        <v>0.04</v>
      </c>
      <c r="G510" s="15" t="s">
        <v>32</v>
      </c>
      <c r="H510" s="18">
        <v>1027.6300000000001</v>
      </c>
      <c r="I510" s="19">
        <v>152.47999999999999</v>
      </c>
      <c r="J510" s="19">
        <v>6.5</v>
      </c>
      <c r="K510" s="19" t="s">
        <v>33</v>
      </c>
      <c r="L510" s="19" t="s">
        <v>34</v>
      </c>
      <c r="M510" s="15" t="s">
        <v>35</v>
      </c>
      <c r="N510" s="15" t="s">
        <v>64</v>
      </c>
      <c r="O510" s="15" t="s">
        <v>72</v>
      </c>
      <c r="P510" s="20" t="s">
        <v>473</v>
      </c>
      <c r="Q510" s="15" t="s">
        <v>83</v>
      </c>
      <c r="R510" s="4"/>
      <c r="S510" s="4"/>
    </row>
    <row r="511" spans="1:19" ht="21" customHeight="1" x14ac:dyDescent="0.25">
      <c r="A511" s="14">
        <f>DATE(2012,12,31)-67</f>
        <v>41207</v>
      </c>
      <c r="B511" s="15" t="s">
        <v>824</v>
      </c>
      <c r="C511" s="15" t="s">
        <v>31</v>
      </c>
      <c r="D511" s="16">
        <v>50</v>
      </c>
      <c r="E511" s="17">
        <v>204.11</v>
      </c>
      <c r="F511" s="16">
        <v>0.06</v>
      </c>
      <c r="G511" s="15" t="s">
        <v>32</v>
      </c>
      <c r="H511" s="18">
        <v>28.71</v>
      </c>
      <c r="I511" s="19">
        <v>4.28</v>
      </c>
      <c r="J511" s="19">
        <v>0.94</v>
      </c>
      <c r="K511" s="19" t="s">
        <v>33</v>
      </c>
      <c r="L511" s="19" t="s">
        <v>59</v>
      </c>
      <c r="M511" s="15" t="s">
        <v>60</v>
      </c>
      <c r="N511" s="15" t="s">
        <v>36</v>
      </c>
      <c r="O511" s="15" t="s">
        <v>77</v>
      </c>
      <c r="P511" s="20" t="s">
        <v>600</v>
      </c>
      <c r="Q511" s="15" t="s">
        <v>79</v>
      </c>
      <c r="R511" s="4"/>
      <c r="S511" s="4"/>
    </row>
    <row r="512" spans="1:19" ht="21" customHeight="1" x14ac:dyDescent="0.25">
      <c r="A512" s="14">
        <f>DATE(2012,12,31)-1193</f>
        <v>40081</v>
      </c>
      <c r="B512" s="15" t="s">
        <v>572</v>
      </c>
      <c r="C512" s="15" t="s">
        <v>31</v>
      </c>
      <c r="D512" s="16">
        <v>33</v>
      </c>
      <c r="E512" s="17">
        <v>1935.17</v>
      </c>
      <c r="F512" s="16">
        <v>0.09</v>
      </c>
      <c r="G512" s="15" t="s">
        <v>32</v>
      </c>
      <c r="H512" s="18">
        <v>-991.07</v>
      </c>
      <c r="I512" s="19">
        <v>60.98</v>
      </c>
      <c r="J512" s="19">
        <v>49</v>
      </c>
      <c r="K512" s="19" t="s">
        <v>33</v>
      </c>
      <c r="L512" s="19" t="s">
        <v>59</v>
      </c>
      <c r="M512" s="15" t="s">
        <v>60</v>
      </c>
      <c r="N512" s="15" t="s">
        <v>36</v>
      </c>
      <c r="O512" s="15" t="s">
        <v>176</v>
      </c>
      <c r="P512" s="20" t="s">
        <v>534</v>
      </c>
      <c r="Q512" s="15" t="s">
        <v>39</v>
      </c>
      <c r="R512" s="4"/>
      <c r="S512" s="4"/>
    </row>
    <row r="513" spans="1:19" ht="21" customHeight="1" x14ac:dyDescent="0.25">
      <c r="A513" s="14">
        <f>DATE(2012,12,31)-1193</f>
        <v>40081</v>
      </c>
      <c r="B513" s="15" t="s">
        <v>572</v>
      </c>
      <c r="C513" s="15" t="s">
        <v>31</v>
      </c>
      <c r="D513" s="16">
        <v>27</v>
      </c>
      <c r="E513" s="17">
        <v>812.68</v>
      </c>
      <c r="F513" s="16">
        <v>0.05</v>
      </c>
      <c r="G513" s="15" t="s">
        <v>32</v>
      </c>
      <c r="H513" s="18">
        <v>235.88</v>
      </c>
      <c r="I513" s="19">
        <v>29.89</v>
      </c>
      <c r="J513" s="19">
        <v>1.99</v>
      </c>
      <c r="K513" s="19" t="s">
        <v>69</v>
      </c>
      <c r="L513" s="19" t="s">
        <v>70</v>
      </c>
      <c r="M513" s="15" t="s">
        <v>71</v>
      </c>
      <c r="N513" s="15" t="s">
        <v>64</v>
      </c>
      <c r="O513" s="15" t="s">
        <v>72</v>
      </c>
      <c r="P513" s="20" t="s">
        <v>825</v>
      </c>
      <c r="Q513" s="15" t="s">
        <v>49</v>
      </c>
      <c r="R513" s="4"/>
      <c r="S513" s="4"/>
    </row>
    <row r="514" spans="1:19" ht="21" customHeight="1" x14ac:dyDescent="0.25">
      <c r="A514" s="14">
        <f>DATE(2012,12,31)-243</f>
        <v>41031</v>
      </c>
      <c r="B514" s="15" t="s">
        <v>826</v>
      </c>
      <c r="C514" s="15" t="s">
        <v>51</v>
      </c>
      <c r="D514" s="16">
        <v>21</v>
      </c>
      <c r="E514" s="17">
        <v>427.32</v>
      </c>
      <c r="F514" s="16">
        <v>0</v>
      </c>
      <c r="G514" s="15" t="s">
        <v>32</v>
      </c>
      <c r="H514" s="18">
        <v>52.35</v>
      </c>
      <c r="I514" s="19">
        <v>18.97</v>
      </c>
      <c r="J514" s="19">
        <v>9.0299999999999994</v>
      </c>
      <c r="K514" s="19" t="s">
        <v>69</v>
      </c>
      <c r="L514" s="19" t="s">
        <v>70</v>
      </c>
      <c r="M514" s="15" t="s">
        <v>71</v>
      </c>
      <c r="N514" s="15" t="s">
        <v>36</v>
      </c>
      <c r="O514" s="15" t="s">
        <v>117</v>
      </c>
      <c r="P514" s="20" t="s">
        <v>127</v>
      </c>
      <c r="Q514" s="15" t="s">
        <v>83</v>
      </c>
      <c r="R514" s="4"/>
      <c r="S514" s="4"/>
    </row>
    <row r="515" spans="1:19" ht="21" customHeight="1" x14ac:dyDescent="0.25">
      <c r="A515" s="14">
        <f>DATE(2012,12,31)-376</f>
        <v>40898</v>
      </c>
      <c r="B515" s="15" t="s">
        <v>784</v>
      </c>
      <c r="C515" s="15" t="s">
        <v>43</v>
      </c>
      <c r="D515" s="16">
        <v>38</v>
      </c>
      <c r="E515" s="17">
        <v>115.43</v>
      </c>
      <c r="F515" s="16">
        <v>0</v>
      </c>
      <c r="G515" s="15" t="s">
        <v>32</v>
      </c>
      <c r="H515" s="18">
        <v>11.41</v>
      </c>
      <c r="I515" s="19">
        <v>2.78</v>
      </c>
      <c r="J515" s="19">
        <v>1.34</v>
      </c>
      <c r="K515" s="19" t="s">
        <v>69</v>
      </c>
      <c r="L515" s="19" t="s">
        <v>75</v>
      </c>
      <c r="M515" s="15" t="s">
        <v>76</v>
      </c>
      <c r="N515" s="15" t="s">
        <v>36</v>
      </c>
      <c r="O515" s="15" t="s">
        <v>77</v>
      </c>
      <c r="P515" s="20" t="s">
        <v>422</v>
      </c>
      <c r="Q515" s="15" t="s">
        <v>79</v>
      </c>
      <c r="R515" s="4"/>
      <c r="S515" s="4"/>
    </row>
    <row r="516" spans="1:19" ht="21" customHeight="1" x14ac:dyDescent="0.25">
      <c r="A516" s="14">
        <f>DATE(2012,12,31)-657</f>
        <v>40617</v>
      </c>
      <c r="B516" s="15" t="s">
        <v>827</v>
      </c>
      <c r="C516" s="15" t="s">
        <v>31</v>
      </c>
      <c r="D516" s="16">
        <v>20</v>
      </c>
      <c r="E516" s="17">
        <v>246.06</v>
      </c>
      <c r="F516" s="16">
        <v>0.08</v>
      </c>
      <c r="G516" s="15" t="s">
        <v>32</v>
      </c>
      <c r="H516" s="18">
        <v>20.67</v>
      </c>
      <c r="I516" s="19">
        <v>12.07</v>
      </c>
      <c r="J516" s="19">
        <v>6.2</v>
      </c>
      <c r="K516" s="19" t="s">
        <v>69</v>
      </c>
      <c r="L516" s="19" t="s">
        <v>215</v>
      </c>
      <c r="M516" s="15" t="s">
        <v>828</v>
      </c>
      <c r="N516" s="15" t="s">
        <v>54</v>
      </c>
      <c r="O516" s="15" t="s">
        <v>55</v>
      </c>
      <c r="P516" s="20" t="s">
        <v>829</v>
      </c>
      <c r="Q516" s="15" t="s">
        <v>79</v>
      </c>
      <c r="R516" s="4"/>
      <c r="S516" s="4"/>
    </row>
    <row r="517" spans="1:19" ht="21" customHeight="1" x14ac:dyDescent="0.25">
      <c r="A517" s="14">
        <f>DATE(2012,12,31)-1324</f>
        <v>39950</v>
      </c>
      <c r="B517" s="15" t="s">
        <v>820</v>
      </c>
      <c r="C517" s="15" t="s">
        <v>85</v>
      </c>
      <c r="D517" s="16">
        <v>7</v>
      </c>
      <c r="E517" s="17">
        <v>20.5</v>
      </c>
      <c r="F517" s="16">
        <v>0.06</v>
      </c>
      <c r="G517" s="15" t="s">
        <v>32</v>
      </c>
      <c r="H517" s="18">
        <v>-4.04</v>
      </c>
      <c r="I517" s="19">
        <v>2.94</v>
      </c>
      <c r="J517" s="19">
        <v>0.96</v>
      </c>
      <c r="K517" s="19" t="s">
        <v>69</v>
      </c>
      <c r="L517" s="19" t="s">
        <v>215</v>
      </c>
      <c r="M517" s="15" t="s">
        <v>828</v>
      </c>
      <c r="N517" s="15" t="s">
        <v>36</v>
      </c>
      <c r="O517" s="15" t="s">
        <v>77</v>
      </c>
      <c r="P517" s="20" t="s">
        <v>830</v>
      </c>
      <c r="Q517" s="15" t="s">
        <v>79</v>
      </c>
      <c r="R517" s="4"/>
      <c r="S517" s="4"/>
    </row>
    <row r="518" spans="1:19" ht="21" customHeight="1" x14ac:dyDescent="0.25">
      <c r="A518" s="14">
        <f>DATE(2012,12,31)-564</f>
        <v>40710</v>
      </c>
      <c r="B518" s="15" t="s">
        <v>831</v>
      </c>
      <c r="C518" s="15" t="s">
        <v>31</v>
      </c>
      <c r="D518" s="16">
        <v>25</v>
      </c>
      <c r="E518" s="17">
        <v>288.91000000000003</v>
      </c>
      <c r="F518" s="16">
        <v>0.08</v>
      </c>
      <c r="G518" s="15" t="s">
        <v>32</v>
      </c>
      <c r="H518" s="18">
        <v>-14.06</v>
      </c>
      <c r="I518" s="19">
        <v>12.28</v>
      </c>
      <c r="J518" s="19">
        <v>6.47</v>
      </c>
      <c r="K518" s="19" t="s">
        <v>44</v>
      </c>
      <c r="L518" s="19" t="s">
        <v>89</v>
      </c>
      <c r="M518" s="15" t="s">
        <v>734</v>
      </c>
      <c r="N518" s="15" t="s">
        <v>36</v>
      </c>
      <c r="O518" s="15" t="s">
        <v>117</v>
      </c>
      <c r="P518" s="20" t="s">
        <v>832</v>
      </c>
      <c r="Q518" s="15" t="s">
        <v>83</v>
      </c>
      <c r="R518" s="4"/>
      <c r="S518" s="4"/>
    </row>
    <row r="519" spans="1:19" ht="21" customHeight="1" x14ac:dyDescent="0.25">
      <c r="A519" s="14">
        <f>DATE(2012,12,31)-100</f>
        <v>41174</v>
      </c>
      <c r="B519" s="15" t="s">
        <v>833</v>
      </c>
      <c r="C519" s="15" t="s">
        <v>43</v>
      </c>
      <c r="D519" s="16">
        <v>48</v>
      </c>
      <c r="E519" s="17">
        <v>269.37</v>
      </c>
      <c r="F519" s="16">
        <v>0.05</v>
      </c>
      <c r="G519" s="15" t="s">
        <v>32</v>
      </c>
      <c r="H519" s="18">
        <v>-103.54600000000001</v>
      </c>
      <c r="I519" s="19">
        <v>5.74</v>
      </c>
      <c r="J519" s="19">
        <v>5.01</v>
      </c>
      <c r="K519" s="19" t="s">
        <v>44</v>
      </c>
      <c r="L519" s="19" t="s">
        <v>89</v>
      </c>
      <c r="M519" s="15" t="s">
        <v>734</v>
      </c>
      <c r="N519" s="15" t="s">
        <v>36</v>
      </c>
      <c r="O519" s="15" t="s">
        <v>170</v>
      </c>
      <c r="P519" s="20" t="s">
        <v>834</v>
      </c>
      <c r="Q519" s="15" t="s">
        <v>83</v>
      </c>
      <c r="R519" s="4"/>
      <c r="S519" s="4"/>
    </row>
    <row r="520" spans="1:19" ht="21" customHeight="1" x14ac:dyDescent="0.25">
      <c r="A520" s="14">
        <f>DATE(2012,12,31)-100</f>
        <v>41174</v>
      </c>
      <c r="B520" s="15" t="s">
        <v>833</v>
      </c>
      <c r="C520" s="15" t="s">
        <v>43</v>
      </c>
      <c r="D520" s="16">
        <v>41</v>
      </c>
      <c r="E520" s="17">
        <v>4933.99</v>
      </c>
      <c r="F520" s="16">
        <v>0.1</v>
      </c>
      <c r="G520" s="15" t="s">
        <v>32</v>
      </c>
      <c r="H520" s="18">
        <v>1161.8900000000001</v>
      </c>
      <c r="I520" s="19">
        <v>128.24</v>
      </c>
      <c r="J520" s="19">
        <v>12.65</v>
      </c>
      <c r="K520" s="19" t="s">
        <v>44</v>
      </c>
      <c r="L520" s="19" t="s">
        <v>89</v>
      </c>
      <c r="M520" s="15" t="s">
        <v>734</v>
      </c>
      <c r="N520" s="15" t="s">
        <v>54</v>
      </c>
      <c r="O520" s="15" t="s">
        <v>252</v>
      </c>
      <c r="P520" s="20" t="s">
        <v>585</v>
      </c>
      <c r="Q520" s="15" t="s">
        <v>57</v>
      </c>
      <c r="R520" s="4"/>
      <c r="S520" s="4"/>
    </row>
    <row r="521" spans="1:19" ht="21" customHeight="1" x14ac:dyDescent="0.25">
      <c r="A521" s="14">
        <f>DATE(2012,12,31)-69</f>
        <v>41205</v>
      </c>
      <c r="B521" s="15" t="s">
        <v>185</v>
      </c>
      <c r="C521" s="15" t="s">
        <v>85</v>
      </c>
      <c r="D521" s="16">
        <v>34</v>
      </c>
      <c r="E521" s="17">
        <v>136.66999999999999</v>
      </c>
      <c r="F521" s="16">
        <v>7.0000000000000007E-2</v>
      </c>
      <c r="G521" s="15" t="s">
        <v>101</v>
      </c>
      <c r="H521" s="18">
        <v>-117.92100000000001</v>
      </c>
      <c r="I521" s="19">
        <v>3.81</v>
      </c>
      <c r="J521" s="19">
        <v>5.44</v>
      </c>
      <c r="K521" s="19" t="s">
        <v>44</v>
      </c>
      <c r="L521" s="19" t="s">
        <v>89</v>
      </c>
      <c r="M521" s="15" t="s">
        <v>734</v>
      </c>
      <c r="N521" s="15" t="s">
        <v>36</v>
      </c>
      <c r="O521" s="15" t="s">
        <v>170</v>
      </c>
      <c r="P521" s="20" t="s">
        <v>835</v>
      </c>
      <c r="Q521" s="15" t="s">
        <v>83</v>
      </c>
      <c r="R521" s="4"/>
      <c r="S521" s="4"/>
    </row>
    <row r="522" spans="1:19" ht="21" customHeight="1" x14ac:dyDescent="0.25">
      <c r="A522" s="14">
        <f>DATE(2012,12,31)-1135</f>
        <v>40139</v>
      </c>
      <c r="B522" s="15" t="s">
        <v>836</v>
      </c>
      <c r="C522" s="15" t="s">
        <v>51</v>
      </c>
      <c r="D522" s="16">
        <v>27</v>
      </c>
      <c r="E522" s="17">
        <v>259.72000000000003</v>
      </c>
      <c r="F522" s="16">
        <v>7.0000000000000007E-2</v>
      </c>
      <c r="G522" s="15" t="s">
        <v>32</v>
      </c>
      <c r="H522" s="18">
        <v>78.05</v>
      </c>
      <c r="I522" s="19">
        <v>10.06</v>
      </c>
      <c r="J522" s="19">
        <v>2.06</v>
      </c>
      <c r="K522" s="19" t="s">
        <v>44</v>
      </c>
      <c r="L522" s="19" t="s">
        <v>120</v>
      </c>
      <c r="M522" s="15" t="s">
        <v>121</v>
      </c>
      <c r="N522" s="15" t="s">
        <v>36</v>
      </c>
      <c r="O522" s="15" t="s">
        <v>117</v>
      </c>
      <c r="P522" s="20" t="s">
        <v>837</v>
      </c>
      <c r="Q522" s="15" t="s">
        <v>79</v>
      </c>
      <c r="R522" s="4"/>
      <c r="S522" s="4"/>
    </row>
    <row r="523" spans="1:19" ht="21" customHeight="1" x14ac:dyDescent="0.25">
      <c r="A523" s="14">
        <f>DATE(2012,12,31)-1135</f>
        <v>40139</v>
      </c>
      <c r="B523" s="15" t="s">
        <v>836</v>
      </c>
      <c r="C523" s="15" t="s">
        <v>51</v>
      </c>
      <c r="D523" s="16">
        <v>34</v>
      </c>
      <c r="E523" s="17">
        <v>54.69</v>
      </c>
      <c r="F523" s="16">
        <v>7.0000000000000007E-2</v>
      </c>
      <c r="G523" s="15" t="s">
        <v>32</v>
      </c>
      <c r="H523" s="18">
        <v>-35.75</v>
      </c>
      <c r="I523" s="19">
        <v>1.68</v>
      </c>
      <c r="J523" s="19">
        <v>1.57</v>
      </c>
      <c r="K523" s="19" t="s">
        <v>44</v>
      </c>
      <c r="L523" s="19" t="s">
        <v>120</v>
      </c>
      <c r="M523" s="15" t="s">
        <v>121</v>
      </c>
      <c r="N523" s="15" t="s">
        <v>36</v>
      </c>
      <c r="O523" s="15" t="s">
        <v>77</v>
      </c>
      <c r="P523" s="20" t="s">
        <v>838</v>
      </c>
      <c r="Q523" s="15" t="s">
        <v>79</v>
      </c>
      <c r="R523" s="4"/>
      <c r="S523" s="4"/>
    </row>
    <row r="524" spans="1:19" ht="21" customHeight="1" x14ac:dyDescent="0.25">
      <c r="A524" s="14">
        <f>DATE(2012,12,31)-758</f>
        <v>40516</v>
      </c>
      <c r="B524" s="15" t="s">
        <v>839</v>
      </c>
      <c r="C524" s="15" t="s">
        <v>51</v>
      </c>
      <c r="D524" s="16">
        <v>32</v>
      </c>
      <c r="E524" s="17">
        <v>383.57</v>
      </c>
      <c r="F524" s="16">
        <v>0.06</v>
      </c>
      <c r="G524" s="15" t="s">
        <v>32</v>
      </c>
      <c r="H524" s="18">
        <v>70.510000000000005</v>
      </c>
      <c r="I524" s="19">
        <v>12.58</v>
      </c>
      <c r="J524" s="19">
        <v>5.16</v>
      </c>
      <c r="K524" s="19" t="s">
        <v>44</v>
      </c>
      <c r="L524" s="19" t="s">
        <v>45</v>
      </c>
      <c r="M524" s="15" t="s">
        <v>46</v>
      </c>
      <c r="N524" s="15" t="s">
        <v>54</v>
      </c>
      <c r="O524" s="15" t="s">
        <v>55</v>
      </c>
      <c r="P524" s="20" t="s">
        <v>840</v>
      </c>
      <c r="Q524" s="15" t="s">
        <v>83</v>
      </c>
      <c r="R524" s="4"/>
      <c r="S524" s="4"/>
    </row>
    <row r="525" spans="1:19" ht="21" customHeight="1" x14ac:dyDescent="0.25">
      <c r="A525" s="14">
        <f>DATE(2012,12,31)-758</f>
        <v>40516</v>
      </c>
      <c r="B525" s="15" t="s">
        <v>839</v>
      </c>
      <c r="C525" s="15" t="s">
        <v>51</v>
      </c>
      <c r="D525" s="16">
        <v>31</v>
      </c>
      <c r="E525" s="17">
        <v>461.1</v>
      </c>
      <c r="F525" s="16">
        <v>0.05</v>
      </c>
      <c r="G525" s="15" t="s">
        <v>32</v>
      </c>
      <c r="H525" s="18">
        <v>116.96</v>
      </c>
      <c r="I525" s="19">
        <v>14.34</v>
      </c>
      <c r="J525" s="19">
        <v>5</v>
      </c>
      <c r="K525" s="19" t="s">
        <v>44</v>
      </c>
      <c r="L525" s="19" t="s">
        <v>89</v>
      </c>
      <c r="M525" s="15" t="s">
        <v>734</v>
      </c>
      <c r="N525" s="15" t="s">
        <v>54</v>
      </c>
      <c r="O525" s="15" t="s">
        <v>55</v>
      </c>
      <c r="P525" s="20" t="s">
        <v>277</v>
      </c>
      <c r="Q525" s="15" t="s">
        <v>49</v>
      </c>
      <c r="R525" s="4"/>
      <c r="S525" s="4"/>
    </row>
    <row r="526" spans="1:19" ht="21" customHeight="1" x14ac:dyDescent="0.25">
      <c r="A526" s="14">
        <f>DATE(2012,12,31)-654</f>
        <v>40620</v>
      </c>
      <c r="B526" s="15" t="s">
        <v>823</v>
      </c>
      <c r="C526" s="15" t="s">
        <v>43</v>
      </c>
      <c r="D526" s="16">
        <v>42</v>
      </c>
      <c r="E526" s="17">
        <v>374.38</v>
      </c>
      <c r="F526" s="16">
        <v>0.03</v>
      </c>
      <c r="G526" s="15" t="s">
        <v>32</v>
      </c>
      <c r="H526" s="18">
        <v>-1.1599999999999999</v>
      </c>
      <c r="I526" s="19">
        <v>8.67</v>
      </c>
      <c r="J526" s="19">
        <v>3.5</v>
      </c>
      <c r="K526" s="19" t="s">
        <v>124</v>
      </c>
      <c r="L526" s="19" t="s">
        <v>125</v>
      </c>
      <c r="M526" s="15" t="s">
        <v>126</v>
      </c>
      <c r="N526" s="15" t="s">
        <v>36</v>
      </c>
      <c r="O526" s="15" t="s">
        <v>176</v>
      </c>
      <c r="P526" s="20" t="s">
        <v>841</v>
      </c>
      <c r="Q526" s="15" t="s">
        <v>83</v>
      </c>
      <c r="R526" s="4"/>
      <c r="S526" s="4"/>
    </row>
    <row r="527" spans="1:19" ht="21" customHeight="1" x14ac:dyDescent="0.25">
      <c r="A527" s="14">
        <f>DATE(2012,12,31)-654</f>
        <v>40620</v>
      </c>
      <c r="B527" s="15" t="s">
        <v>823</v>
      </c>
      <c r="C527" s="15" t="s">
        <v>43</v>
      </c>
      <c r="D527" s="16">
        <v>21</v>
      </c>
      <c r="E527" s="17">
        <v>1557.42</v>
      </c>
      <c r="F527" s="16">
        <v>0.01</v>
      </c>
      <c r="G527" s="15" t="s">
        <v>32</v>
      </c>
      <c r="H527" s="18">
        <v>-123.81</v>
      </c>
      <c r="I527" s="19">
        <v>73.98</v>
      </c>
      <c r="J527" s="19">
        <v>4</v>
      </c>
      <c r="K527" s="19" t="s">
        <v>33</v>
      </c>
      <c r="L527" s="19" t="s">
        <v>93</v>
      </c>
      <c r="M527" s="15" t="s">
        <v>94</v>
      </c>
      <c r="N527" s="15" t="s">
        <v>64</v>
      </c>
      <c r="O527" s="15" t="s">
        <v>72</v>
      </c>
      <c r="P527" s="20" t="s">
        <v>842</v>
      </c>
      <c r="Q527" s="15" t="s">
        <v>83</v>
      </c>
      <c r="R527" s="4"/>
      <c r="S527" s="4"/>
    </row>
    <row r="528" spans="1:19" ht="21" customHeight="1" x14ac:dyDescent="0.25">
      <c r="A528" s="14">
        <f>DATE(2012,12,31)-654</f>
        <v>40620</v>
      </c>
      <c r="B528" s="15" t="s">
        <v>823</v>
      </c>
      <c r="C528" s="15" t="s">
        <v>43</v>
      </c>
      <c r="D528" s="16">
        <v>14</v>
      </c>
      <c r="E528" s="17">
        <v>410.27</v>
      </c>
      <c r="F528" s="16">
        <v>0.08</v>
      </c>
      <c r="G528" s="15" t="s">
        <v>32</v>
      </c>
      <c r="H528" s="18">
        <v>226.72</v>
      </c>
      <c r="I528" s="19">
        <v>30.93</v>
      </c>
      <c r="J528" s="19">
        <v>3.92</v>
      </c>
      <c r="K528" s="19" t="s">
        <v>33</v>
      </c>
      <c r="L528" s="19" t="s">
        <v>128</v>
      </c>
      <c r="M528" s="15" t="s">
        <v>129</v>
      </c>
      <c r="N528" s="15" t="s">
        <v>54</v>
      </c>
      <c r="O528" s="15" t="s">
        <v>55</v>
      </c>
      <c r="P528" s="20" t="s">
        <v>100</v>
      </c>
      <c r="Q528" s="15" t="s">
        <v>49</v>
      </c>
      <c r="R528" s="4"/>
      <c r="S528" s="4"/>
    </row>
    <row r="529" spans="1:19" ht="21" customHeight="1" x14ac:dyDescent="0.25">
      <c r="A529" s="14">
        <f>DATE(2012,12,31)-654</f>
        <v>40620</v>
      </c>
      <c r="B529" s="15" t="s">
        <v>823</v>
      </c>
      <c r="C529" s="15" t="s">
        <v>43</v>
      </c>
      <c r="D529" s="16">
        <v>18</v>
      </c>
      <c r="E529" s="17">
        <v>1531.93</v>
      </c>
      <c r="F529" s="16">
        <v>0.1</v>
      </c>
      <c r="G529" s="15" t="s">
        <v>58</v>
      </c>
      <c r="H529" s="18">
        <v>326.56</v>
      </c>
      <c r="I529" s="19">
        <v>90.97</v>
      </c>
      <c r="J529" s="19">
        <v>14</v>
      </c>
      <c r="K529" s="19" t="s">
        <v>33</v>
      </c>
      <c r="L529" s="19" t="s">
        <v>128</v>
      </c>
      <c r="M529" s="15" t="s">
        <v>129</v>
      </c>
      <c r="N529" s="15" t="s">
        <v>64</v>
      </c>
      <c r="O529" s="15" t="s">
        <v>122</v>
      </c>
      <c r="P529" s="20" t="s">
        <v>843</v>
      </c>
      <c r="Q529" s="15" t="s">
        <v>181</v>
      </c>
      <c r="R529" s="4"/>
      <c r="S529" s="4"/>
    </row>
    <row r="530" spans="1:19" ht="21" customHeight="1" x14ac:dyDescent="0.25">
      <c r="A530" s="14">
        <f>DATE(2012,12,31)-1316</f>
        <v>39958</v>
      </c>
      <c r="B530" s="15" t="s">
        <v>844</v>
      </c>
      <c r="C530" s="15" t="s">
        <v>51</v>
      </c>
      <c r="D530" s="16">
        <v>23</v>
      </c>
      <c r="E530" s="17">
        <v>72.930000000000007</v>
      </c>
      <c r="F530" s="16">
        <v>0.01</v>
      </c>
      <c r="G530" s="15" t="s">
        <v>32</v>
      </c>
      <c r="H530" s="18">
        <v>28.55</v>
      </c>
      <c r="I530" s="19">
        <v>3.15</v>
      </c>
      <c r="J530" s="19">
        <v>0.49</v>
      </c>
      <c r="K530" s="19" t="s">
        <v>33</v>
      </c>
      <c r="L530" s="19" t="s">
        <v>128</v>
      </c>
      <c r="M530" s="15" t="s">
        <v>129</v>
      </c>
      <c r="N530" s="15" t="s">
        <v>36</v>
      </c>
      <c r="O530" s="15" t="s">
        <v>114</v>
      </c>
      <c r="P530" s="20" t="s">
        <v>845</v>
      </c>
      <c r="Q530" s="15" t="s">
        <v>83</v>
      </c>
      <c r="R530" s="4"/>
      <c r="S530" s="4"/>
    </row>
    <row r="531" spans="1:19" ht="21" customHeight="1" x14ac:dyDescent="0.25">
      <c r="A531" s="14">
        <f>DATE(2012,12,31)-755</f>
        <v>40519</v>
      </c>
      <c r="B531" s="15" t="s">
        <v>846</v>
      </c>
      <c r="C531" s="15" t="s">
        <v>85</v>
      </c>
      <c r="D531" s="16">
        <v>3</v>
      </c>
      <c r="E531" s="17">
        <v>321.57</v>
      </c>
      <c r="F531" s="16">
        <v>0.01</v>
      </c>
      <c r="G531" s="15" t="s">
        <v>58</v>
      </c>
      <c r="H531" s="18">
        <v>-100.05</v>
      </c>
      <c r="I531" s="19">
        <v>100.98</v>
      </c>
      <c r="J531" s="19">
        <v>15.66</v>
      </c>
      <c r="K531" s="19" t="s">
        <v>33</v>
      </c>
      <c r="L531" s="19" t="s">
        <v>93</v>
      </c>
      <c r="M531" s="15" t="s">
        <v>94</v>
      </c>
      <c r="N531" s="15" t="s">
        <v>36</v>
      </c>
      <c r="O531" s="15" t="s">
        <v>176</v>
      </c>
      <c r="P531" s="20" t="s">
        <v>847</v>
      </c>
      <c r="Q531" s="15" t="s">
        <v>181</v>
      </c>
      <c r="R531" s="4"/>
      <c r="S531" s="4"/>
    </row>
    <row r="532" spans="1:19" ht="21" customHeight="1" x14ac:dyDescent="0.25">
      <c r="A532" s="14">
        <f>DATE(2012,12,31)-755</f>
        <v>40519</v>
      </c>
      <c r="B532" s="15" t="s">
        <v>846</v>
      </c>
      <c r="C532" s="15" t="s">
        <v>85</v>
      </c>
      <c r="D532" s="16">
        <v>12</v>
      </c>
      <c r="E532" s="17">
        <v>1085.1600000000001</v>
      </c>
      <c r="F532" s="16">
        <v>0.08</v>
      </c>
      <c r="G532" s="15" t="s">
        <v>58</v>
      </c>
      <c r="H532" s="18">
        <v>-311.54000000000002</v>
      </c>
      <c r="I532" s="19">
        <v>89.99</v>
      </c>
      <c r="J532" s="19">
        <v>42</v>
      </c>
      <c r="K532" s="19" t="s">
        <v>124</v>
      </c>
      <c r="L532" s="19" t="s">
        <v>160</v>
      </c>
      <c r="M532" s="15" t="s">
        <v>749</v>
      </c>
      <c r="N532" s="15" t="s">
        <v>54</v>
      </c>
      <c r="O532" s="15" t="s">
        <v>252</v>
      </c>
      <c r="P532" s="20" t="s">
        <v>848</v>
      </c>
      <c r="Q532" s="15" t="s">
        <v>181</v>
      </c>
      <c r="R532" s="4"/>
      <c r="S532" s="4"/>
    </row>
    <row r="533" spans="1:19" ht="21" customHeight="1" x14ac:dyDescent="0.25">
      <c r="A533" s="14">
        <f>DATE(2012,12,31)-971</f>
        <v>40303</v>
      </c>
      <c r="B533" s="15" t="s">
        <v>630</v>
      </c>
      <c r="C533" s="15" t="s">
        <v>85</v>
      </c>
      <c r="D533" s="16">
        <v>14</v>
      </c>
      <c r="E533" s="17">
        <v>83.87</v>
      </c>
      <c r="F533" s="16">
        <v>0.06</v>
      </c>
      <c r="G533" s="15" t="s">
        <v>32</v>
      </c>
      <c r="H533" s="18">
        <v>-28.83</v>
      </c>
      <c r="I533" s="19">
        <v>5.58</v>
      </c>
      <c r="J533" s="19">
        <v>5.3</v>
      </c>
      <c r="K533" s="19" t="s">
        <v>124</v>
      </c>
      <c r="L533" s="19" t="s">
        <v>160</v>
      </c>
      <c r="M533" s="15" t="s">
        <v>749</v>
      </c>
      <c r="N533" s="15" t="s">
        <v>36</v>
      </c>
      <c r="O533" s="15" t="s">
        <v>189</v>
      </c>
      <c r="P533" s="20" t="s">
        <v>849</v>
      </c>
      <c r="Q533" s="15" t="s">
        <v>83</v>
      </c>
      <c r="R533" s="4"/>
      <c r="S533" s="4"/>
    </row>
    <row r="534" spans="1:19" ht="21" customHeight="1" x14ac:dyDescent="0.25">
      <c r="A534" s="14">
        <f>DATE(2012,12,31)-401</f>
        <v>40873</v>
      </c>
      <c r="B534" s="15" t="s">
        <v>850</v>
      </c>
      <c r="C534" s="15" t="s">
        <v>31</v>
      </c>
      <c r="D534" s="16">
        <v>16</v>
      </c>
      <c r="E534" s="17">
        <v>76.599999999999994</v>
      </c>
      <c r="F534" s="16">
        <v>0.01</v>
      </c>
      <c r="G534" s="15" t="s">
        <v>32</v>
      </c>
      <c r="H534" s="18">
        <v>-48.506999999999998</v>
      </c>
      <c r="I534" s="19">
        <v>4.24</v>
      </c>
      <c r="J534" s="19">
        <v>5.41</v>
      </c>
      <c r="K534" s="19" t="s">
        <v>124</v>
      </c>
      <c r="L534" s="19" t="s">
        <v>493</v>
      </c>
      <c r="M534" s="15" t="s">
        <v>494</v>
      </c>
      <c r="N534" s="15" t="s">
        <v>36</v>
      </c>
      <c r="O534" s="15" t="s">
        <v>170</v>
      </c>
      <c r="P534" s="20" t="s">
        <v>415</v>
      </c>
      <c r="Q534" s="15" t="s">
        <v>83</v>
      </c>
      <c r="R534" s="4"/>
      <c r="S534" s="4"/>
    </row>
    <row r="535" spans="1:19" ht="21" customHeight="1" x14ac:dyDescent="0.25">
      <c r="A535" s="14">
        <f>DATE(2012,12,31)-929</f>
        <v>40345</v>
      </c>
      <c r="B535" s="15" t="s">
        <v>696</v>
      </c>
      <c r="C535" s="15" t="s">
        <v>31</v>
      </c>
      <c r="D535" s="16">
        <v>46</v>
      </c>
      <c r="E535" s="17">
        <v>134.81</v>
      </c>
      <c r="F535" s="16">
        <v>0.1</v>
      </c>
      <c r="G535" s="15" t="s">
        <v>32</v>
      </c>
      <c r="H535" s="18">
        <v>52.36</v>
      </c>
      <c r="I535" s="19">
        <v>3.15</v>
      </c>
      <c r="J535" s="19">
        <v>0.49</v>
      </c>
      <c r="K535" s="19" t="s">
        <v>124</v>
      </c>
      <c r="L535" s="19" t="s">
        <v>160</v>
      </c>
      <c r="M535" s="15" t="s">
        <v>749</v>
      </c>
      <c r="N535" s="15" t="s">
        <v>36</v>
      </c>
      <c r="O535" s="15" t="s">
        <v>114</v>
      </c>
      <c r="P535" s="20" t="s">
        <v>845</v>
      </c>
      <c r="Q535" s="15" t="s">
        <v>83</v>
      </c>
      <c r="R535" s="4"/>
      <c r="S535" s="4"/>
    </row>
    <row r="536" spans="1:19" ht="21" customHeight="1" x14ac:dyDescent="0.25">
      <c r="A536" s="14">
        <f>DATE(2012,12,31)-929</f>
        <v>40345</v>
      </c>
      <c r="B536" s="15" t="s">
        <v>696</v>
      </c>
      <c r="C536" s="15" t="s">
        <v>31</v>
      </c>
      <c r="D536" s="16">
        <v>34</v>
      </c>
      <c r="E536" s="17">
        <v>5488.5264999999999</v>
      </c>
      <c r="F536" s="16">
        <v>0.05</v>
      </c>
      <c r="G536" s="15" t="s">
        <v>32</v>
      </c>
      <c r="H536" s="18">
        <v>1382.4449999999999</v>
      </c>
      <c r="I536" s="19">
        <v>195.99</v>
      </c>
      <c r="J536" s="19">
        <v>4.2</v>
      </c>
      <c r="K536" s="19" t="s">
        <v>124</v>
      </c>
      <c r="L536" s="19" t="s">
        <v>160</v>
      </c>
      <c r="M536" s="15" t="s">
        <v>749</v>
      </c>
      <c r="N536" s="15" t="s">
        <v>64</v>
      </c>
      <c r="O536" s="15" t="s">
        <v>65</v>
      </c>
      <c r="P536" s="20" t="s">
        <v>851</v>
      </c>
      <c r="Q536" s="15" t="s">
        <v>83</v>
      </c>
      <c r="R536" s="4"/>
      <c r="S536" s="4"/>
    </row>
    <row r="537" spans="1:19" ht="21" customHeight="1" x14ac:dyDescent="0.25">
      <c r="A537" s="14">
        <f>DATE(2012,12,31)-1275</f>
        <v>39999</v>
      </c>
      <c r="B537" s="15" t="s">
        <v>149</v>
      </c>
      <c r="C537" s="15" t="s">
        <v>31</v>
      </c>
      <c r="D537" s="16">
        <v>8</v>
      </c>
      <c r="E537" s="17">
        <v>79.42</v>
      </c>
      <c r="F537" s="16">
        <v>0.01</v>
      </c>
      <c r="G537" s="15" t="s">
        <v>32</v>
      </c>
      <c r="H537" s="18">
        <v>-15.456</v>
      </c>
      <c r="I537" s="19">
        <v>8.8800000000000008</v>
      </c>
      <c r="J537" s="19">
        <v>6.28</v>
      </c>
      <c r="K537" s="19" t="s">
        <v>124</v>
      </c>
      <c r="L537" s="19" t="s">
        <v>164</v>
      </c>
      <c r="M537" s="15" t="s">
        <v>754</v>
      </c>
      <c r="N537" s="15" t="s">
        <v>36</v>
      </c>
      <c r="O537" s="15" t="s">
        <v>170</v>
      </c>
      <c r="P537" s="20" t="s">
        <v>852</v>
      </c>
      <c r="Q537" s="15" t="s">
        <v>83</v>
      </c>
      <c r="R537" s="4"/>
      <c r="S537" s="4"/>
    </row>
    <row r="538" spans="1:19" ht="21" customHeight="1" x14ac:dyDescent="0.25">
      <c r="A538" s="14">
        <f>DATE(2012,12,31)-1275</f>
        <v>39999</v>
      </c>
      <c r="B538" s="15" t="s">
        <v>149</v>
      </c>
      <c r="C538" s="15" t="s">
        <v>31</v>
      </c>
      <c r="D538" s="16">
        <v>26</v>
      </c>
      <c r="E538" s="17">
        <v>75.599999999999994</v>
      </c>
      <c r="F538" s="16">
        <v>0.06</v>
      </c>
      <c r="G538" s="15" t="s">
        <v>32</v>
      </c>
      <c r="H538" s="18">
        <v>17.14</v>
      </c>
      <c r="I538" s="19">
        <v>2.88</v>
      </c>
      <c r="J538" s="19">
        <v>0.99</v>
      </c>
      <c r="K538" s="19" t="s">
        <v>124</v>
      </c>
      <c r="L538" s="19" t="s">
        <v>319</v>
      </c>
      <c r="M538" s="15" t="s">
        <v>320</v>
      </c>
      <c r="N538" s="15" t="s">
        <v>36</v>
      </c>
      <c r="O538" s="15" t="s">
        <v>114</v>
      </c>
      <c r="P538" s="20" t="s">
        <v>853</v>
      </c>
      <c r="Q538" s="15" t="s">
        <v>83</v>
      </c>
      <c r="R538" s="4"/>
      <c r="S538" s="4"/>
    </row>
    <row r="539" spans="1:19" ht="21" customHeight="1" x14ac:dyDescent="0.25">
      <c r="A539" s="14">
        <f>DATE(2012,12,31)-218</f>
        <v>41056</v>
      </c>
      <c r="B539" s="15" t="s">
        <v>854</v>
      </c>
      <c r="C539" s="15" t="s">
        <v>43</v>
      </c>
      <c r="D539" s="16">
        <v>36</v>
      </c>
      <c r="E539" s="17">
        <v>139.94999999999999</v>
      </c>
      <c r="F539" s="16">
        <v>0.04</v>
      </c>
      <c r="G539" s="15" t="s">
        <v>101</v>
      </c>
      <c r="H539" s="18">
        <v>-128.59299999999999</v>
      </c>
      <c r="I539" s="19">
        <v>3.58</v>
      </c>
      <c r="J539" s="19">
        <v>5.47</v>
      </c>
      <c r="K539" s="19" t="s">
        <v>44</v>
      </c>
      <c r="L539" s="19" t="s">
        <v>52</v>
      </c>
      <c r="M539" s="15" t="s">
        <v>424</v>
      </c>
      <c r="N539" s="15" t="s">
        <v>36</v>
      </c>
      <c r="O539" s="15" t="s">
        <v>170</v>
      </c>
      <c r="P539" s="20" t="s">
        <v>297</v>
      </c>
      <c r="Q539" s="15" t="s">
        <v>83</v>
      </c>
      <c r="R539" s="4"/>
      <c r="S539" s="4"/>
    </row>
    <row r="540" spans="1:19" ht="21" customHeight="1" x14ac:dyDescent="0.25">
      <c r="A540" s="14">
        <f>DATE(2012,12,31)-218</f>
        <v>41056</v>
      </c>
      <c r="B540" s="15" t="s">
        <v>854</v>
      </c>
      <c r="C540" s="15" t="s">
        <v>43</v>
      </c>
      <c r="D540" s="16">
        <v>24</v>
      </c>
      <c r="E540" s="17">
        <v>5207.5</v>
      </c>
      <c r="F540" s="16">
        <v>0.03</v>
      </c>
      <c r="G540" s="15" t="s">
        <v>58</v>
      </c>
      <c r="H540" s="18">
        <v>166.44</v>
      </c>
      <c r="I540" s="19">
        <v>216.6</v>
      </c>
      <c r="J540" s="19">
        <v>64.2</v>
      </c>
      <c r="K540" s="19" t="s">
        <v>44</v>
      </c>
      <c r="L540" s="19" t="s">
        <v>52</v>
      </c>
      <c r="M540" s="15" t="s">
        <v>424</v>
      </c>
      <c r="N540" s="15" t="s">
        <v>54</v>
      </c>
      <c r="O540" s="15" t="s">
        <v>252</v>
      </c>
      <c r="P540" s="20" t="s">
        <v>855</v>
      </c>
      <c r="Q540" s="15" t="s">
        <v>181</v>
      </c>
      <c r="R540" s="4"/>
      <c r="S540" s="4"/>
    </row>
    <row r="541" spans="1:19" ht="21" customHeight="1" x14ac:dyDescent="0.25">
      <c r="A541" s="14">
        <f>DATE(2012,12,31)-1376</f>
        <v>39898</v>
      </c>
      <c r="B541" s="15" t="s">
        <v>856</v>
      </c>
      <c r="C541" s="15" t="s">
        <v>85</v>
      </c>
      <c r="D541" s="16">
        <v>41</v>
      </c>
      <c r="E541" s="17">
        <v>271.11</v>
      </c>
      <c r="F541" s="16">
        <v>0.08</v>
      </c>
      <c r="G541" s="15" t="s">
        <v>32</v>
      </c>
      <c r="H541" s="18">
        <v>64.790000000000006</v>
      </c>
      <c r="I541" s="19">
        <v>6.68</v>
      </c>
      <c r="J541" s="19">
        <v>1.5</v>
      </c>
      <c r="K541" s="19" t="s">
        <v>44</v>
      </c>
      <c r="L541" s="19" t="s">
        <v>52</v>
      </c>
      <c r="M541" s="15" t="s">
        <v>424</v>
      </c>
      <c r="N541" s="15" t="s">
        <v>36</v>
      </c>
      <c r="O541" s="15" t="s">
        <v>77</v>
      </c>
      <c r="P541" s="20" t="s">
        <v>857</v>
      </c>
      <c r="Q541" s="15" t="s">
        <v>79</v>
      </c>
      <c r="R541" s="4"/>
      <c r="S541" s="4"/>
    </row>
    <row r="542" spans="1:19" ht="21" customHeight="1" x14ac:dyDescent="0.25">
      <c r="A542" s="14">
        <f>DATE(2012,12,31)-212</f>
        <v>41062</v>
      </c>
      <c r="B542" s="15" t="s">
        <v>406</v>
      </c>
      <c r="C542" s="15" t="s">
        <v>31</v>
      </c>
      <c r="D542" s="16">
        <v>41</v>
      </c>
      <c r="E542" s="17">
        <v>95.73</v>
      </c>
      <c r="F542" s="16">
        <v>0</v>
      </c>
      <c r="G542" s="15" t="s">
        <v>32</v>
      </c>
      <c r="H542" s="18">
        <v>-151.15</v>
      </c>
      <c r="I542" s="19">
        <v>2.08</v>
      </c>
      <c r="J542" s="19">
        <v>5.33</v>
      </c>
      <c r="K542" s="19" t="s">
        <v>44</v>
      </c>
      <c r="L542" s="19" t="s">
        <v>52</v>
      </c>
      <c r="M542" s="15" t="s">
        <v>424</v>
      </c>
      <c r="N542" s="15" t="s">
        <v>54</v>
      </c>
      <c r="O542" s="15" t="s">
        <v>55</v>
      </c>
      <c r="P542" s="20" t="s">
        <v>858</v>
      </c>
      <c r="Q542" s="15" t="s">
        <v>83</v>
      </c>
      <c r="R542" s="4"/>
      <c r="S542" s="4"/>
    </row>
    <row r="543" spans="1:19" ht="21" customHeight="1" x14ac:dyDescent="0.25">
      <c r="A543" s="14">
        <f>DATE(2012,12,31)-212</f>
        <v>41062</v>
      </c>
      <c r="B543" s="15" t="s">
        <v>406</v>
      </c>
      <c r="C543" s="15" t="s">
        <v>31</v>
      </c>
      <c r="D543" s="16">
        <v>39</v>
      </c>
      <c r="E543" s="17">
        <v>7338.79</v>
      </c>
      <c r="F543" s="16">
        <v>0.03</v>
      </c>
      <c r="G543" s="15" t="s">
        <v>32</v>
      </c>
      <c r="H543" s="18">
        <v>4031.62</v>
      </c>
      <c r="I543" s="19">
        <v>204.1</v>
      </c>
      <c r="J543" s="19">
        <v>13.99</v>
      </c>
      <c r="K543" s="19" t="s">
        <v>44</v>
      </c>
      <c r="L543" s="19" t="s">
        <v>80</v>
      </c>
      <c r="M543" s="15" t="s">
        <v>81</v>
      </c>
      <c r="N543" s="15" t="s">
        <v>64</v>
      </c>
      <c r="O543" s="15" t="s">
        <v>122</v>
      </c>
      <c r="P543" s="20" t="s">
        <v>859</v>
      </c>
      <c r="Q543" s="15" t="s">
        <v>57</v>
      </c>
      <c r="R543" s="4"/>
      <c r="S543" s="4"/>
    </row>
    <row r="544" spans="1:19" ht="21" customHeight="1" x14ac:dyDescent="0.25">
      <c r="A544" s="14">
        <f>DATE(2012,12,31)-212</f>
        <v>41062</v>
      </c>
      <c r="B544" s="15" t="s">
        <v>406</v>
      </c>
      <c r="C544" s="15" t="s">
        <v>31</v>
      </c>
      <c r="D544" s="16">
        <v>47</v>
      </c>
      <c r="E544" s="17">
        <v>12569.31</v>
      </c>
      <c r="F544" s="16">
        <v>0.1</v>
      </c>
      <c r="G544" s="15" t="s">
        <v>58</v>
      </c>
      <c r="H544" s="18">
        <v>3160.63</v>
      </c>
      <c r="I544" s="19">
        <v>279.81</v>
      </c>
      <c r="J544" s="19">
        <v>23.19</v>
      </c>
      <c r="K544" s="19" t="s">
        <v>44</v>
      </c>
      <c r="L544" s="19" t="s">
        <v>52</v>
      </c>
      <c r="M544" s="15" t="s">
        <v>424</v>
      </c>
      <c r="N544" s="15" t="s">
        <v>36</v>
      </c>
      <c r="O544" s="15" t="s">
        <v>176</v>
      </c>
      <c r="P544" s="20" t="s">
        <v>682</v>
      </c>
      <c r="Q544" s="15" t="s">
        <v>181</v>
      </c>
      <c r="R544" s="4"/>
      <c r="S544" s="4"/>
    </row>
    <row r="545" spans="1:19" ht="21" customHeight="1" x14ac:dyDescent="0.25">
      <c r="A545" s="14">
        <f>DATE(2012,12,31)-87</f>
        <v>41187</v>
      </c>
      <c r="B545" s="15" t="s">
        <v>233</v>
      </c>
      <c r="C545" s="15" t="s">
        <v>85</v>
      </c>
      <c r="D545" s="16">
        <v>3</v>
      </c>
      <c r="E545" s="17">
        <v>62.54</v>
      </c>
      <c r="F545" s="16">
        <v>0.02</v>
      </c>
      <c r="G545" s="15" t="s">
        <v>32</v>
      </c>
      <c r="H545" s="18">
        <v>-30.7395</v>
      </c>
      <c r="I545" s="19">
        <v>15.99</v>
      </c>
      <c r="J545" s="19">
        <v>13.18</v>
      </c>
      <c r="K545" s="19" t="s">
        <v>44</v>
      </c>
      <c r="L545" s="19" t="s">
        <v>52</v>
      </c>
      <c r="M545" s="15" t="s">
        <v>424</v>
      </c>
      <c r="N545" s="15" t="s">
        <v>36</v>
      </c>
      <c r="O545" s="15" t="s">
        <v>170</v>
      </c>
      <c r="P545" s="20" t="s">
        <v>479</v>
      </c>
      <c r="Q545" s="15" t="s">
        <v>83</v>
      </c>
      <c r="R545" s="4"/>
      <c r="S545" s="4"/>
    </row>
    <row r="546" spans="1:19" ht="21" customHeight="1" x14ac:dyDescent="0.25">
      <c r="A546" s="14">
        <f>DATE(2012,12,31)-87</f>
        <v>41187</v>
      </c>
      <c r="B546" s="15" t="s">
        <v>233</v>
      </c>
      <c r="C546" s="15" t="s">
        <v>85</v>
      </c>
      <c r="D546" s="16">
        <v>24</v>
      </c>
      <c r="E546" s="17">
        <v>2750.107</v>
      </c>
      <c r="F546" s="16">
        <v>0</v>
      </c>
      <c r="G546" s="15" t="s">
        <v>32</v>
      </c>
      <c r="H546" s="18">
        <v>600.41700000000003</v>
      </c>
      <c r="I546" s="19">
        <v>125.99</v>
      </c>
      <c r="J546" s="19">
        <v>7.69</v>
      </c>
      <c r="K546" s="19" t="s">
        <v>44</v>
      </c>
      <c r="L546" s="19" t="s">
        <v>52</v>
      </c>
      <c r="M546" s="15" t="s">
        <v>424</v>
      </c>
      <c r="N546" s="15" t="s">
        <v>64</v>
      </c>
      <c r="O546" s="15" t="s">
        <v>65</v>
      </c>
      <c r="P546" s="20" t="s">
        <v>860</v>
      </c>
      <c r="Q546" s="15" t="s">
        <v>83</v>
      </c>
      <c r="R546" s="4"/>
      <c r="S546" s="4"/>
    </row>
    <row r="547" spans="1:19" ht="21" customHeight="1" x14ac:dyDescent="0.25">
      <c r="A547" s="14">
        <f>DATE(2012,12,31)-22</f>
        <v>41252</v>
      </c>
      <c r="B547" s="15" t="s">
        <v>861</v>
      </c>
      <c r="C547" s="15" t="s">
        <v>43</v>
      </c>
      <c r="D547" s="16">
        <v>27</v>
      </c>
      <c r="E547" s="17">
        <v>177.95</v>
      </c>
      <c r="F547" s="16">
        <v>0.09</v>
      </c>
      <c r="G547" s="15" t="s">
        <v>32</v>
      </c>
      <c r="H547" s="18">
        <v>-61.75</v>
      </c>
      <c r="I547" s="19">
        <v>6.48</v>
      </c>
      <c r="J547" s="19">
        <v>6</v>
      </c>
      <c r="K547" s="19" t="s">
        <v>44</v>
      </c>
      <c r="L547" s="19" t="s">
        <v>45</v>
      </c>
      <c r="M547" s="15" t="s">
        <v>46</v>
      </c>
      <c r="N547" s="15" t="s">
        <v>36</v>
      </c>
      <c r="O547" s="15" t="s">
        <v>117</v>
      </c>
      <c r="P547" s="20" t="s">
        <v>862</v>
      </c>
      <c r="Q547" s="15" t="s">
        <v>83</v>
      </c>
      <c r="R547" s="4"/>
      <c r="S547" s="4"/>
    </row>
    <row r="548" spans="1:19" ht="21" customHeight="1" x14ac:dyDescent="0.25">
      <c r="A548" s="14">
        <f>DATE(2012,12,31)-22</f>
        <v>41252</v>
      </c>
      <c r="B548" s="15" t="s">
        <v>861</v>
      </c>
      <c r="C548" s="15" t="s">
        <v>43</v>
      </c>
      <c r="D548" s="16">
        <v>24</v>
      </c>
      <c r="E548" s="17">
        <v>99.53</v>
      </c>
      <c r="F548" s="16">
        <v>0.1</v>
      </c>
      <c r="G548" s="15" t="s">
        <v>101</v>
      </c>
      <c r="H548" s="18">
        <v>18.2835</v>
      </c>
      <c r="I548" s="19">
        <v>3.8</v>
      </c>
      <c r="J548" s="19">
        <v>1.49</v>
      </c>
      <c r="K548" s="19" t="s">
        <v>44</v>
      </c>
      <c r="L548" s="19" t="s">
        <v>45</v>
      </c>
      <c r="M548" s="15" t="s">
        <v>46</v>
      </c>
      <c r="N548" s="15" t="s">
        <v>36</v>
      </c>
      <c r="O548" s="15" t="s">
        <v>170</v>
      </c>
      <c r="P548" s="20" t="s">
        <v>611</v>
      </c>
      <c r="Q548" s="15" t="s">
        <v>83</v>
      </c>
      <c r="R548" s="4"/>
      <c r="S548" s="4"/>
    </row>
    <row r="549" spans="1:19" ht="21" customHeight="1" x14ac:dyDescent="0.25">
      <c r="A549" s="14">
        <f>DATE(2012,12,31)-350</f>
        <v>40924</v>
      </c>
      <c r="B549" s="15" t="s">
        <v>361</v>
      </c>
      <c r="C549" s="15" t="s">
        <v>85</v>
      </c>
      <c r="D549" s="16">
        <v>29</v>
      </c>
      <c r="E549" s="17">
        <v>106.78</v>
      </c>
      <c r="F549" s="16">
        <v>0</v>
      </c>
      <c r="G549" s="15" t="s">
        <v>32</v>
      </c>
      <c r="H549" s="18">
        <v>-98.05</v>
      </c>
      <c r="I549" s="19">
        <v>3.28</v>
      </c>
      <c r="J549" s="19">
        <v>5</v>
      </c>
      <c r="K549" s="19" t="s">
        <v>69</v>
      </c>
      <c r="L549" s="19" t="s">
        <v>70</v>
      </c>
      <c r="M549" s="15" t="s">
        <v>71</v>
      </c>
      <c r="N549" s="15" t="s">
        <v>36</v>
      </c>
      <c r="O549" s="15" t="s">
        <v>77</v>
      </c>
      <c r="P549" s="20" t="s">
        <v>863</v>
      </c>
      <c r="Q549" s="15" t="s">
        <v>79</v>
      </c>
      <c r="R549" s="4"/>
      <c r="S549" s="4"/>
    </row>
    <row r="550" spans="1:19" ht="21" customHeight="1" x14ac:dyDescent="0.25">
      <c r="A550" s="14">
        <f>DATE(2012,12,31)-1063</f>
        <v>40211</v>
      </c>
      <c r="B550" s="15" t="s">
        <v>864</v>
      </c>
      <c r="C550" s="15" t="s">
        <v>85</v>
      </c>
      <c r="D550" s="16">
        <v>25</v>
      </c>
      <c r="E550" s="17">
        <v>79.37</v>
      </c>
      <c r="F550" s="16">
        <v>7.0000000000000007E-2</v>
      </c>
      <c r="G550" s="15" t="s">
        <v>32</v>
      </c>
      <c r="H550" s="18">
        <v>6.14</v>
      </c>
      <c r="I550" s="19">
        <v>3.29</v>
      </c>
      <c r="J550" s="19">
        <v>1.35</v>
      </c>
      <c r="K550" s="19" t="s">
        <v>111</v>
      </c>
      <c r="L550" s="19" t="s">
        <v>112</v>
      </c>
      <c r="M550" s="15" t="s">
        <v>865</v>
      </c>
      <c r="N550" s="15" t="s">
        <v>36</v>
      </c>
      <c r="O550" s="15" t="s">
        <v>105</v>
      </c>
      <c r="P550" s="20" t="s">
        <v>866</v>
      </c>
      <c r="Q550" s="15" t="s">
        <v>79</v>
      </c>
      <c r="R550" s="4"/>
      <c r="S550" s="4"/>
    </row>
    <row r="551" spans="1:19" ht="21" customHeight="1" x14ac:dyDescent="0.25">
      <c r="A551" s="14">
        <f>DATE(2012,12,31)-825</f>
        <v>40449</v>
      </c>
      <c r="B551" s="15" t="s">
        <v>867</v>
      </c>
      <c r="C551" s="15" t="s">
        <v>31</v>
      </c>
      <c r="D551" s="16">
        <v>38</v>
      </c>
      <c r="E551" s="17">
        <v>1143.3499999999999</v>
      </c>
      <c r="F551" s="16">
        <v>0.04</v>
      </c>
      <c r="G551" s="15" t="s">
        <v>101</v>
      </c>
      <c r="H551" s="18">
        <v>411.1</v>
      </c>
      <c r="I551" s="19">
        <v>29.18</v>
      </c>
      <c r="J551" s="19">
        <v>8.5500000000000007</v>
      </c>
      <c r="K551" s="19" t="s">
        <v>44</v>
      </c>
      <c r="L551" s="19" t="s">
        <v>45</v>
      </c>
      <c r="M551" s="15" t="s">
        <v>46</v>
      </c>
      <c r="N551" s="15" t="s">
        <v>54</v>
      </c>
      <c r="O551" s="15" t="s">
        <v>55</v>
      </c>
      <c r="P551" s="20" t="s">
        <v>868</v>
      </c>
      <c r="Q551" s="15" t="s">
        <v>83</v>
      </c>
      <c r="R551" s="4"/>
      <c r="S551" s="4"/>
    </row>
    <row r="552" spans="1:19" ht="21" customHeight="1" x14ac:dyDescent="0.25">
      <c r="A552" s="14">
        <f>DATE(2012,12,31)-1208</f>
        <v>40066</v>
      </c>
      <c r="B552" s="15" t="s">
        <v>869</v>
      </c>
      <c r="C552" s="15" t="s">
        <v>43</v>
      </c>
      <c r="D552" s="16">
        <v>14</v>
      </c>
      <c r="E552" s="17">
        <v>1463.0964999999999</v>
      </c>
      <c r="F552" s="16">
        <v>0</v>
      </c>
      <c r="G552" s="15" t="s">
        <v>32</v>
      </c>
      <c r="H552" s="18">
        <v>162.666</v>
      </c>
      <c r="I552" s="19">
        <v>115.99</v>
      </c>
      <c r="J552" s="19">
        <v>2.5</v>
      </c>
      <c r="K552" s="19" t="s">
        <v>124</v>
      </c>
      <c r="L552" s="19" t="s">
        <v>493</v>
      </c>
      <c r="M552" s="15" t="s">
        <v>494</v>
      </c>
      <c r="N552" s="15" t="s">
        <v>64</v>
      </c>
      <c r="O552" s="15" t="s">
        <v>65</v>
      </c>
      <c r="P552" s="20" t="s">
        <v>870</v>
      </c>
      <c r="Q552" s="15" t="s">
        <v>83</v>
      </c>
      <c r="R552" s="4"/>
      <c r="S552" s="4"/>
    </row>
    <row r="553" spans="1:19" ht="21" customHeight="1" x14ac:dyDescent="0.25">
      <c r="A553" s="14">
        <f>DATE(2012,12,31)-1208</f>
        <v>40066</v>
      </c>
      <c r="B553" s="15" t="s">
        <v>869</v>
      </c>
      <c r="C553" s="15" t="s">
        <v>43</v>
      </c>
      <c r="D553" s="16">
        <v>38</v>
      </c>
      <c r="E553" s="17">
        <v>246.3</v>
      </c>
      <c r="F553" s="16">
        <v>0.02</v>
      </c>
      <c r="G553" s="15" t="s">
        <v>32</v>
      </c>
      <c r="H553" s="18">
        <v>-67.489999999999995</v>
      </c>
      <c r="I553" s="19">
        <v>5.98</v>
      </c>
      <c r="J553" s="19">
        <v>5.79</v>
      </c>
      <c r="K553" s="19" t="s">
        <v>124</v>
      </c>
      <c r="L553" s="19" t="s">
        <v>168</v>
      </c>
      <c r="M553" s="15" t="s">
        <v>169</v>
      </c>
      <c r="N553" s="15" t="s">
        <v>36</v>
      </c>
      <c r="O553" s="15" t="s">
        <v>117</v>
      </c>
      <c r="P553" s="20" t="s">
        <v>871</v>
      </c>
      <c r="Q553" s="15" t="s">
        <v>83</v>
      </c>
      <c r="R553" s="4"/>
      <c r="S553" s="4"/>
    </row>
    <row r="554" spans="1:19" ht="21" customHeight="1" x14ac:dyDescent="0.25">
      <c r="A554" s="14">
        <f>DATE(2012,12,31)-677</f>
        <v>40597</v>
      </c>
      <c r="B554" s="15" t="s">
        <v>872</v>
      </c>
      <c r="C554" s="15" t="s">
        <v>85</v>
      </c>
      <c r="D554" s="16">
        <v>27</v>
      </c>
      <c r="E554" s="17">
        <v>353.62</v>
      </c>
      <c r="F554" s="16">
        <v>0.01</v>
      </c>
      <c r="G554" s="15" t="s">
        <v>32</v>
      </c>
      <c r="H554" s="18">
        <v>140.148</v>
      </c>
      <c r="I554" s="19">
        <v>12.97</v>
      </c>
      <c r="J554" s="19">
        <v>1.49</v>
      </c>
      <c r="K554" s="19" t="s">
        <v>124</v>
      </c>
      <c r="L554" s="19" t="s">
        <v>164</v>
      </c>
      <c r="M554" s="15" t="s">
        <v>754</v>
      </c>
      <c r="N554" s="15" t="s">
        <v>36</v>
      </c>
      <c r="O554" s="15" t="s">
        <v>170</v>
      </c>
      <c r="P554" s="20" t="s">
        <v>873</v>
      </c>
      <c r="Q554" s="15" t="s">
        <v>83</v>
      </c>
      <c r="R554" s="4"/>
      <c r="S554" s="4"/>
    </row>
    <row r="555" spans="1:19" ht="21" customHeight="1" x14ac:dyDescent="0.25">
      <c r="A555" s="14">
        <f>DATE(2012,12,31)-612</f>
        <v>40662</v>
      </c>
      <c r="B555" s="15" t="s">
        <v>404</v>
      </c>
      <c r="C555" s="15" t="s">
        <v>85</v>
      </c>
      <c r="D555" s="16">
        <v>12</v>
      </c>
      <c r="E555" s="17">
        <v>76.16</v>
      </c>
      <c r="F555" s="16">
        <v>0.04</v>
      </c>
      <c r="G555" s="15" t="s">
        <v>32</v>
      </c>
      <c r="H555" s="18">
        <v>-24.03</v>
      </c>
      <c r="I555" s="19">
        <v>5.98</v>
      </c>
      <c r="J555" s="19">
        <v>5.2</v>
      </c>
      <c r="K555" s="19" t="s">
        <v>33</v>
      </c>
      <c r="L555" s="19" t="s">
        <v>93</v>
      </c>
      <c r="M555" s="15" t="s">
        <v>94</v>
      </c>
      <c r="N555" s="15" t="s">
        <v>36</v>
      </c>
      <c r="O555" s="15" t="s">
        <v>117</v>
      </c>
      <c r="P555" s="20" t="s">
        <v>874</v>
      </c>
      <c r="Q555" s="15" t="s">
        <v>83</v>
      </c>
      <c r="R555" s="4"/>
      <c r="S555" s="4"/>
    </row>
    <row r="556" spans="1:19" ht="21" customHeight="1" x14ac:dyDescent="0.25">
      <c r="A556" s="14">
        <f>DATE(2012,12,31)-1364</f>
        <v>39910</v>
      </c>
      <c r="B556" s="15" t="s">
        <v>670</v>
      </c>
      <c r="C556" s="15" t="s">
        <v>85</v>
      </c>
      <c r="D556" s="16">
        <v>14</v>
      </c>
      <c r="E556" s="17">
        <v>244.85</v>
      </c>
      <c r="F556" s="16">
        <v>0.06</v>
      </c>
      <c r="G556" s="15" t="s">
        <v>101</v>
      </c>
      <c r="H556" s="18">
        <v>38.06</v>
      </c>
      <c r="I556" s="19">
        <v>17.670000000000002</v>
      </c>
      <c r="J556" s="19">
        <v>8.99</v>
      </c>
      <c r="K556" s="19" t="s">
        <v>97</v>
      </c>
      <c r="L556" s="19" t="s">
        <v>283</v>
      </c>
      <c r="M556" s="15" t="s">
        <v>284</v>
      </c>
      <c r="N556" s="15" t="s">
        <v>54</v>
      </c>
      <c r="O556" s="15" t="s">
        <v>55</v>
      </c>
      <c r="P556" s="20" t="s">
        <v>458</v>
      </c>
      <c r="Q556" s="15" t="s">
        <v>49</v>
      </c>
      <c r="R556" s="4"/>
      <c r="S556" s="4"/>
    </row>
    <row r="557" spans="1:19" ht="21" customHeight="1" x14ac:dyDescent="0.25">
      <c r="A557" s="14">
        <f>DATE(2012,12,31)-951</f>
        <v>40323</v>
      </c>
      <c r="B557" s="15" t="s">
        <v>875</v>
      </c>
      <c r="C557" s="15" t="s">
        <v>85</v>
      </c>
      <c r="D557" s="16">
        <v>34</v>
      </c>
      <c r="E557" s="17">
        <v>268.08999999999997</v>
      </c>
      <c r="F557" s="16">
        <v>7.0000000000000007E-2</v>
      </c>
      <c r="G557" s="15" t="s">
        <v>32</v>
      </c>
      <c r="H557" s="18">
        <v>-63.76</v>
      </c>
      <c r="I557" s="19">
        <v>8.32</v>
      </c>
      <c r="J557" s="19">
        <v>2.38</v>
      </c>
      <c r="K557" s="19" t="s">
        <v>124</v>
      </c>
      <c r="L557" s="19" t="s">
        <v>160</v>
      </c>
      <c r="M557" s="15" t="s">
        <v>749</v>
      </c>
      <c r="N557" s="15" t="s">
        <v>64</v>
      </c>
      <c r="O557" s="15" t="s">
        <v>72</v>
      </c>
      <c r="P557" s="20" t="s">
        <v>876</v>
      </c>
      <c r="Q557" s="15" t="s">
        <v>49</v>
      </c>
      <c r="R557" s="4"/>
      <c r="S557" s="4"/>
    </row>
    <row r="558" spans="1:19" ht="21" customHeight="1" x14ac:dyDescent="0.25">
      <c r="A558" s="14">
        <f>DATE(2012,12,31)-951</f>
        <v>40323</v>
      </c>
      <c r="B558" s="15" t="s">
        <v>875</v>
      </c>
      <c r="C558" s="15" t="s">
        <v>85</v>
      </c>
      <c r="D558" s="16">
        <v>12</v>
      </c>
      <c r="E558" s="17">
        <v>557.03</v>
      </c>
      <c r="F558" s="16">
        <v>0.04</v>
      </c>
      <c r="G558" s="15" t="s">
        <v>32</v>
      </c>
      <c r="H558" s="18">
        <v>8.9499999999999993</v>
      </c>
      <c r="I558" s="19">
        <v>45.19</v>
      </c>
      <c r="J558" s="19">
        <v>1.99</v>
      </c>
      <c r="K558" s="19" t="s">
        <v>44</v>
      </c>
      <c r="L558" s="19" t="s">
        <v>52</v>
      </c>
      <c r="M558" s="15" t="s">
        <v>424</v>
      </c>
      <c r="N558" s="15" t="s">
        <v>64</v>
      </c>
      <c r="O558" s="15" t="s">
        <v>72</v>
      </c>
      <c r="P558" s="20" t="s">
        <v>877</v>
      </c>
      <c r="Q558" s="15" t="s">
        <v>49</v>
      </c>
      <c r="R558" s="4"/>
      <c r="S558" s="4"/>
    </row>
    <row r="559" spans="1:19" ht="21" customHeight="1" x14ac:dyDescent="0.25">
      <c r="A559" s="14">
        <f>DATE(2012,12,31)-951</f>
        <v>40323</v>
      </c>
      <c r="B559" s="15" t="s">
        <v>875</v>
      </c>
      <c r="C559" s="15" t="s">
        <v>85</v>
      </c>
      <c r="D559" s="16">
        <v>3</v>
      </c>
      <c r="E559" s="17">
        <v>26.53</v>
      </c>
      <c r="F559" s="16">
        <v>0.05</v>
      </c>
      <c r="G559" s="15" t="s">
        <v>32</v>
      </c>
      <c r="H559" s="18">
        <v>-15</v>
      </c>
      <c r="I559" s="19">
        <v>6.68</v>
      </c>
      <c r="J559" s="19">
        <v>6.92</v>
      </c>
      <c r="K559" s="19" t="s">
        <v>33</v>
      </c>
      <c r="L559" s="19" t="s">
        <v>145</v>
      </c>
      <c r="M559" s="15" t="s">
        <v>146</v>
      </c>
      <c r="N559" s="15" t="s">
        <v>36</v>
      </c>
      <c r="O559" s="15" t="s">
        <v>117</v>
      </c>
      <c r="P559" s="20" t="s">
        <v>878</v>
      </c>
      <c r="Q559" s="15" t="s">
        <v>83</v>
      </c>
      <c r="R559" s="4"/>
      <c r="S559" s="4"/>
    </row>
    <row r="560" spans="1:19" ht="21" customHeight="1" x14ac:dyDescent="0.25">
      <c r="A560" s="14">
        <f>DATE(2012,12,31)-951</f>
        <v>40323</v>
      </c>
      <c r="B560" s="15" t="s">
        <v>875</v>
      </c>
      <c r="C560" s="15" t="s">
        <v>85</v>
      </c>
      <c r="D560" s="16">
        <v>34</v>
      </c>
      <c r="E560" s="17">
        <v>5133.9234999999999</v>
      </c>
      <c r="F560" s="16">
        <v>0.02</v>
      </c>
      <c r="G560" s="15" t="s">
        <v>32</v>
      </c>
      <c r="H560" s="18">
        <v>1313.9460000000001</v>
      </c>
      <c r="I560" s="19">
        <v>175.99</v>
      </c>
      <c r="J560" s="19">
        <v>4.99</v>
      </c>
      <c r="K560" s="19" t="s">
        <v>33</v>
      </c>
      <c r="L560" s="19" t="s">
        <v>145</v>
      </c>
      <c r="M560" s="15" t="s">
        <v>146</v>
      </c>
      <c r="N560" s="15" t="s">
        <v>64</v>
      </c>
      <c r="O560" s="15" t="s">
        <v>65</v>
      </c>
      <c r="P560" s="20" t="s">
        <v>452</v>
      </c>
      <c r="Q560" s="15" t="s">
        <v>83</v>
      </c>
      <c r="R560" s="4"/>
      <c r="S560" s="4"/>
    </row>
    <row r="561" spans="1:19" ht="21" customHeight="1" x14ac:dyDescent="0.25">
      <c r="A561" s="14">
        <f>DATE(2012,12,31)-757</f>
        <v>40517</v>
      </c>
      <c r="B561" s="15" t="s">
        <v>96</v>
      </c>
      <c r="C561" s="15" t="s">
        <v>43</v>
      </c>
      <c r="D561" s="16">
        <v>11</v>
      </c>
      <c r="E561" s="17">
        <v>92.14</v>
      </c>
      <c r="F561" s="16">
        <v>0.01</v>
      </c>
      <c r="G561" s="15" t="s">
        <v>32</v>
      </c>
      <c r="H561" s="18">
        <v>-40.25</v>
      </c>
      <c r="I561" s="19">
        <v>8.1199999999999992</v>
      </c>
      <c r="J561" s="19">
        <v>2.83</v>
      </c>
      <c r="K561" s="19" t="s">
        <v>69</v>
      </c>
      <c r="L561" s="19" t="s">
        <v>70</v>
      </c>
      <c r="M561" s="15" t="s">
        <v>71</v>
      </c>
      <c r="N561" s="15" t="s">
        <v>64</v>
      </c>
      <c r="O561" s="15" t="s">
        <v>72</v>
      </c>
      <c r="P561" s="20" t="s">
        <v>879</v>
      </c>
      <c r="Q561" s="15" t="s">
        <v>49</v>
      </c>
      <c r="R561" s="4"/>
      <c r="S561" s="4"/>
    </row>
    <row r="562" spans="1:19" ht="21" customHeight="1" x14ac:dyDescent="0.25">
      <c r="A562" s="14">
        <f>DATE(2012,12,31)-757</f>
        <v>40517</v>
      </c>
      <c r="B562" s="15" t="s">
        <v>96</v>
      </c>
      <c r="C562" s="15" t="s">
        <v>43</v>
      </c>
      <c r="D562" s="16">
        <v>40</v>
      </c>
      <c r="E562" s="17">
        <v>257.43</v>
      </c>
      <c r="F562" s="16">
        <v>0.05</v>
      </c>
      <c r="G562" s="15" t="s">
        <v>32</v>
      </c>
      <c r="H562" s="18">
        <v>-200.63</v>
      </c>
      <c r="I562" s="19">
        <v>6.48</v>
      </c>
      <c r="J562" s="19">
        <v>8.73</v>
      </c>
      <c r="K562" s="19" t="s">
        <v>69</v>
      </c>
      <c r="L562" s="19" t="s">
        <v>215</v>
      </c>
      <c r="M562" s="15" t="s">
        <v>828</v>
      </c>
      <c r="N562" s="15" t="s">
        <v>36</v>
      </c>
      <c r="O562" s="15" t="s">
        <v>117</v>
      </c>
      <c r="P562" s="20" t="s">
        <v>880</v>
      </c>
      <c r="Q562" s="15" t="s">
        <v>83</v>
      </c>
      <c r="R562" s="4"/>
      <c r="S562" s="4"/>
    </row>
    <row r="563" spans="1:19" ht="21" customHeight="1" x14ac:dyDescent="0.25">
      <c r="A563" s="14">
        <f>DATE(2012,12,31)-1348</f>
        <v>39926</v>
      </c>
      <c r="B563" s="15" t="s">
        <v>856</v>
      </c>
      <c r="C563" s="15" t="s">
        <v>85</v>
      </c>
      <c r="D563" s="16">
        <v>2</v>
      </c>
      <c r="E563" s="17">
        <v>6.13</v>
      </c>
      <c r="F563" s="16">
        <v>0.08</v>
      </c>
      <c r="G563" s="15" t="s">
        <v>32</v>
      </c>
      <c r="H563" s="18">
        <v>-2.83</v>
      </c>
      <c r="I563" s="19">
        <v>2.89</v>
      </c>
      <c r="J563" s="19">
        <v>0.49</v>
      </c>
      <c r="K563" s="19" t="s">
        <v>44</v>
      </c>
      <c r="L563" s="19" t="s">
        <v>80</v>
      </c>
      <c r="M563" s="15" t="s">
        <v>81</v>
      </c>
      <c r="N563" s="15" t="s">
        <v>36</v>
      </c>
      <c r="O563" s="15" t="s">
        <v>114</v>
      </c>
      <c r="P563" s="20" t="s">
        <v>881</v>
      </c>
      <c r="Q563" s="15" t="s">
        <v>83</v>
      </c>
      <c r="R563" s="4"/>
      <c r="S563" s="4"/>
    </row>
    <row r="564" spans="1:19" ht="21" customHeight="1" x14ac:dyDescent="0.25">
      <c r="A564" s="14">
        <f>DATE(2012,12,31)-106</f>
        <v>41168</v>
      </c>
      <c r="B564" s="15" t="s">
        <v>418</v>
      </c>
      <c r="C564" s="15" t="s">
        <v>85</v>
      </c>
      <c r="D564" s="16">
        <v>40</v>
      </c>
      <c r="E564" s="17">
        <v>221.86</v>
      </c>
      <c r="F564" s="16">
        <v>0.09</v>
      </c>
      <c r="G564" s="15" t="s">
        <v>32</v>
      </c>
      <c r="H564" s="18">
        <v>-1845.66</v>
      </c>
      <c r="I564" s="19">
        <v>4.4800000000000004</v>
      </c>
      <c r="J564" s="19">
        <v>49</v>
      </c>
      <c r="K564" s="19" t="s">
        <v>33</v>
      </c>
      <c r="L564" s="19" t="s">
        <v>128</v>
      </c>
      <c r="M564" s="15" t="s">
        <v>129</v>
      </c>
      <c r="N564" s="15" t="s">
        <v>36</v>
      </c>
      <c r="O564" s="15" t="s">
        <v>176</v>
      </c>
      <c r="P564" s="20" t="s">
        <v>314</v>
      </c>
      <c r="Q564" s="15" t="s">
        <v>39</v>
      </c>
      <c r="R564" s="4"/>
      <c r="S564" s="4"/>
    </row>
    <row r="565" spans="1:19" ht="21" customHeight="1" x14ac:dyDescent="0.25">
      <c r="A565" s="14">
        <f>DATE(2012,12,31)-106</f>
        <v>41168</v>
      </c>
      <c r="B565" s="15" t="s">
        <v>418</v>
      </c>
      <c r="C565" s="15" t="s">
        <v>85</v>
      </c>
      <c r="D565" s="16">
        <v>25</v>
      </c>
      <c r="E565" s="17">
        <v>78.260000000000005</v>
      </c>
      <c r="F565" s="16">
        <v>0.04</v>
      </c>
      <c r="G565" s="15" t="s">
        <v>101</v>
      </c>
      <c r="H565" s="18">
        <v>35.090000000000003</v>
      </c>
      <c r="I565" s="19">
        <v>2.61</v>
      </c>
      <c r="J565" s="19">
        <v>0.5</v>
      </c>
      <c r="K565" s="19" t="s">
        <v>97</v>
      </c>
      <c r="L565" s="19" t="s">
        <v>98</v>
      </c>
      <c r="M565" s="15" t="s">
        <v>99</v>
      </c>
      <c r="N565" s="15" t="s">
        <v>36</v>
      </c>
      <c r="O565" s="15" t="s">
        <v>114</v>
      </c>
      <c r="P565" s="20" t="s">
        <v>587</v>
      </c>
      <c r="Q565" s="15" t="s">
        <v>83</v>
      </c>
      <c r="R565" s="4"/>
      <c r="S565" s="4"/>
    </row>
    <row r="566" spans="1:19" ht="21" customHeight="1" x14ac:dyDescent="0.25">
      <c r="A566" s="14">
        <f>DATE(2012,12,31)-679</f>
        <v>40595</v>
      </c>
      <c r="B566" s="15" t="s">
        <v>882</v>
      </c>
      <c r="C566" s="15" t="s">
        <v>31</v>
      </c>
      <c r="D566" s="16">
        <v>43</v>
      </c>
      <c r="E566" s="17">
        <v>1225.4100000000001</v>
      </c>
      <c r="F566" s="16">
        <v>0.04</v>
      </c>
      <c r="G566" s="15" t="s">
        <v>101</v>
      </c>
      <c r="H566" s="18">
        <v>-138.02000000000001</v>
      </c>
      <c r="I566" s="19">
        <v>28.28</v>
      </c>
      <c r="J566" s="19">
        <v>13.99</v>
      </c>
      <c r="K566" s="19" t="s">
        <v>97</v>
      </c>
      <c r="L566" s="19" t="s">
        <v>98</v>
      </c>
      <c r="M566" s="15" t="s">
        <v>99</v>
      </c>
      <c r="N566" s="15" t="s">
        <v>36</v>
      </c>
      <c r="O566" s="15" t="s">
        <v>37</v>
      </c>
      <c r="P566" s="20" t="s">
        <v>883</v>
      </c>
      <c r="Q566" s="15" t="s">
        <v>57</v>
      </c>
      <c r="R566" s="4"/>
      <c r="S566" s="4"/>
    </row>
    <row r="567" spans="1:19" ht="21" customHeight="1" x14ac:dyDescent="0.25">
      <c r="A567" s="14">
        <f>DATE(2012,12,31)-1184</f>
        <v>40090</v>
      </c>
      <c r="B567" s="15" t="s">
        <v>884</v>
      </c>
      <c r="C567" s="15" t="s">
        <v>43</v>
      </c>
      <c r="D567" s="16">
        <v>19</v>
      </c>
      <c r="E567" s="17">
        <v>1184.45</v>
      </c>
      <c r="F567" s="16">
        <v>0.02</v>
      </c>
      <c r="G567" s="15" t="s">
        <v>32</v>
      </c>
      <c r="H567" s="18">
        <v>-552.1</v>
      </c>
      <c r="I567" s="19">
        <v>60.98</v>
      </c>
      <c r="J567" s="19">
        <v>49</v>
      </c>
      <c r="K567" s="19" t="s">
        <v>97</v>
      </c>
      <c r="L567" s="19" t="s">
        <v>283</v>
      </c>
      <c r="M567" s="15" t="s">
        <v>284</v>
      </c>
      <c r="N567" s="15" t="s">
        <v>36</v>
      </c>
      <c r="O567" s="15" t="s">
        <v>176</v>
      </c>
      <c r="P567" s="20" t="s">
        <v>534</v>
      </c>
      <c r="Q567" s="15" t="s">
        <v>39</v>
      </c>
      <c r="R567" s="4"/>
      <c r="S567" s="4"/>
    </row>
    <row r="568" spans="1:19" ht="21" customHeight="1" x14ac:dyDescent="0.25">
      <c r="A568" s="14">
        <f>DATE(2012,12,31)-1184</f>
        <v>40090</v>
      </c>
      <c r="B568" s="15" t="s">
        <v>884</v>
      </c>
      <c r="C568" s="15" t="s">
        <v>43</v>
      </c>
      <c r="D568" s="16">
        <v>20</v>
      </c>
      <c r="E568" s="17">
        <v>25409.63</v>
      </c>
      <c r="F568" s="16">
        <v>0.02</v>
      </c>
      <c r="G568" s="15" t="s">
        <v>32</v>
      </c>
      <c r="H568" s="18">
        <v>11535.281999999999</v>
      </c>
      <c r="I568" s="19">
        <v>1270.99</v>
      </c>
      <c r="J568" s="19">
        <v>19.989999999999998</v>
      </c>
      <c r="K568" s="19" t="s">
        <v>124</v>
      </c>
      <c r="L568" s="19" t="s">
        <v>160</v>
      </c>
      <c r="M568" s="15" t="s">
        <v>749</v>
      </c>
      <c r="N568" s="15" t="s">
        <v>36</v>
      </c>
      <c r="O568" s="15" t="s">
        <v>170</v>
      </c>
      <c r="P568" s="20" t="s">
        <v>885</v>
      </c>
      <c r="Q568" s="15" t="s">
        <v>83</v>
      </c>
      <c r="R568" s="4"/>
      <c r="S568" s="4"/>
    </row>
    <row r="569" spans="1:19" ht="21" customHeight="1" x14ac:dyDescent="0.25">
      <c r="A569" s="14">
        <f>DATE(2012,12,31)-1184</f>
        <v>40090</v>
      </c>
      <c r="B569" s="15" t="s">
        <v>884</v>
      </c>
      <c r="C569" s="15" t="s">
        <v>43</v>
      </c>
      <c r="D569" s="16">
        <v>43</v>
      </c>
      <c r="E569" s="17">
        <v>7308.2829999999994</v>
      </c>
      <c r="F569" s="16">
        <v>0.05</v>
      </c>
      <c r="G569" s="15" t="s">
        <v>101</v>
      </c>
      <c r="H569" s="18">
        <v>1680.2280000000001</v>
      </c>
      <c r="I569" s="19">
        <v>205.99</v>
      </c>
      <c r="J569" s="19">
        <v>8.99</v>
      </c>
      <c r="K569" s="19" t="s">
        <v>124</v>
      </c>
      <c r="L569" s="19" t="s">
        <v>160</v>
      </c>
      <c r="M569" s="15" t="s">
        <v>749</v>
      </c>
      <c r="N569" s="15" t="s">
        <v>64</v>
      </c>
      <c r="O569" s="15" t="s">
        <v>65</v>
      </c>
      <c r="P569" s="20" t="s">
        <v>886</v>
      </c>
      <c r="Q569" s="15" t="s">
        <v>83</v>
      </c>
      <c r="R569" s="4"/>
      <c r="S569" s="4"/>
    </row>
    <row r="570" spans="1:19" ht="21" customHeight="1" x14ac:dyDescent="0.25">
      <c r="A570" s="14">
        <f>DATE(2012,12,31)-250</f>
        <v>41024</v>
      </c>
      <c r="B570" s="15" t="s">
        <v>887</v>
      </c>
      <c r="C570" s="15" t="s">
        <v>85</v>
      </c>
      <c r="D570" s="16">
        <v>9</v>
      </c>
      <c r="E570" s="17">
        <v>3064.27</v>
      </c>
      <c r="F570" s="16">
        <v>0.09</v>
      </c>
      <c r="G570" s="15" t="s">
        <v>32</v>
      </c>
      <c r="H570" s="18">
        <v>294.39</v>
      </c>
      <c r="I570" s="19">
        <v>363.25</v>
      </c>
      <c r="J570" s="19">
        <v>19.989999999999998</v>
      </c>
      <c r="K570" s="19" t="s">
        <v>124</v>
      </c>
      <c r="L570" s="19" t="s">
        <v>160</v>
      </c>
      <c r="M570" s="15" t="s">
        <v>749</v>
      </c>
      <c r="N570" s="15" t="s">
        <v>36</v>
      </c>
      <c r="O570" s="15" t="s">
        <v>176</v>
      </c>
      <c r="P570" s="20" t="s">
        <v>177</v>
      </c>
      <c r="Q570" s="15" t="s">
        <v>83</v>
      </c>
      <c r="R570" s="4"/>
      <c r="S570" s="4"/>
    </row>
    <row r="571" spans="1:19" ht="21" customHeight="1" x14ac:dyDescent="0.25">
      <c r="A571" s="14">
        <f>DATE(2012,12,31)-250</f>
        <v>41024</v>
      </c>
      <c r="B571" s="15" t="s">
        <v>887</v>
      </c>
      <c r="C571" s="15" t="s">
        <v>85</v>
      </c>
      <c r="D571" s="16">
        <v>22</v>
      </c>
      <c r="E571" s="17">
        <v>475.72</v>
      </c>
      <c r="F571" s="16">
        <v>0.02</v>
      </c>
      <c r="G571" s="15" t="s">
        <v>32</v>
      </c>
      <c r="H571" s="18">
        <v>-10.4</v>
      </c>
      <c r="I571" s="19">
        <v>19.98</v>
      </c>
      <c r="J571" s="19">
        <v>10.49</v>
      </c>
      <c r="K571" s="19" t="s">
        <v>124</v>
      </c>
      <c r="L571" s="19" t="s">
        <v>160</v>
      </c>
      <c r="M571" s="15" t="s">
        <v>888</v>
      </c>
      <c r="N571" s="15" t="s">
        <v>54</v>
      </c>
      <c r="O571" s="15" t="s">
        <v>55</v>
      </c>
      <c r="P571" s="20" t="s">
        <v>889</v>
      </c>
      <c r="Q571" s="15" t="s">
        <v>83</v>
      </c>
      <c r="R571" s="4"/>
      <c r="S571" s="4"/>
    </row>
    <row r="572" spans="1:19" ht="21" customHeight="1" x14ac:dyDescent="0.25">
      <c r="A572" s="14">
        <f>DATE(2012,12,31)-250</f>
        <v>41024</v>
      </c>
      <c r="B572" s="15" t="s">
        <v>887</v>
      </c>
      <c r="C572" s="15" t="s">
        <v>85</v>
      </c>
      <c r="D572" s="16">
        <v>15</v>
      </c>
      <c r="E572" s="17">
        <v>123.91</v>
      </c>
      <c r="F572" s="16">
        <v>0.09</v>
      </c>
      <c r="G572" s="15" t="s">
        <v>32</v>
      </c>
      <c r="H572" s="18">
        <v>39.04</v>
      </c>
      <c r="I572" s="19">
        <v>8.34</v>
      </c>
      <c r="J572" s="19">
        <v>0.96</v>
      </c>
      <c r="K572" s="19" t="s">
        <v>124</v>
      </c>
      <c r="L572" s="19" t="s">
        <v>164</v>
      </c>
      <c r="M572" s="15" t="s">
        <v>754</v>
      </c>
      <c r="N572" s="15" t="s">
        <v>54</v>
      </c>
      <c r="O572" s="15" t="s">
        <v>55</v>
      </c>
      <c r="P572" s="20" t="s">
        <v>890</v>
      </c>
      <c r="Q572" s="15" t="s">
        <v>79</v>
      </c>
      <c r="R572" s="4"/>
      <c r="S572" s="4"/>
    </row>
    <row r="573" spans="1:19" ht="21" customHeight="1" x14ac:dyDescent="0.25">
      <c r="A573" s="14">
        <f>DATE(2012,12,31)-956</f>
        <v>40318</v>
      </c>
      <c r="B573" s="15" t="s">
        <v>558</v>
      </c>
      <c r="C573" s="15" t="s">
        <v>31</v>
      </c>
      <c r="D573" s="16">
        <v>14</v>
      </c>
      <c r="E573" s="17">
        <v>700.46</v>
      </c>
      <c r="F573" s="16">
        <v>0.02</v>
      </c>
      <c r="G573" s="15" t="s">
        <v>101</v>
      </c>
      <c r="H573" s="18">
        <v>254.31</v>
      </c>
      <c r="I573" s="19">
        <v>48.04</v>
      </c>
      <c r="J573" s="19">
        <v>7.23</v>
      </c>
      <c r="K573" s="19" t="s">
        <v>124</v>
      </c>
      <c r="L573" s="19" t="s">
        <v>125</v>
      </c>
      <c r="M573" s="15" t="s">
        <v>126</v>
      </c>
      <c r="N573" s="15" t="s">
        <v>36</v>
      </c>
      <c r="O573" s="15" t="s">
        <v>117</v>
      </c>
      <c r="P573" s="20" t="s">
        <v>891</v>
      </c>
      <c r="Q573" s="15" t="s">
        <v>83</v>
      </c>
      <c r="R573" s="4"/>
      <c r="S573" s="4"/>
    </row>
    <row r="574" spans="1:19" ht="21" customHeight="1" x14ac:dyDescent="0.25">
      <c r="A574" s="14">
        <f>DATE(2012,12,31)-742</f>
        <v>40532</v>
      </c>
      <c r="B574" s="15" t="s">
        <v>892</v>
      </c>
      <c r="C574" s="15" t="s">
        <v>43</v>
      </c>
      <c r="D574" s="16">
        <v>42</v>
      </c>
      <c r="E574" s="17">
        <v>2537.88</v>
      </c>
      <c r="F574" s="16">
        <v>0.03</v>
      </c>
      <c r="G574" s="15" t="s">
        <v>58</v>
      </c>
      <c r="H574" s="18">
        <v>-377.25</v>
      </c>
      <c r="I574" s="19">
        <v>60.89</v>
      </c>
      <c r="J574" s="19">
        <v>32.409999999999997</v>
      </c>
      <c r="K574" s="19" t="s">
        <v>44</v>
      </c>
      <c r="L574" s="19" t="s">
        <v>52</v>
      </c>
      <c r="M574" s="15" t="s">
        <v>424</v>
      </c>
      <c r="N574" s="15" t="s">
        <v>54</v>
      </c>
      <c r="O574" s="15" t="s">
        <v>252</v>
      </c>
      <c r="P574" s="20" t="s">
        <v>486</v>
      </c>
      <c r="Q574" s="15" t="s">
        <v>181</v>
      </c>
      <c r="R574" s="4"/>
      <c r="S574" s="4"/>
    </row>
    <row r="575" spans="1:19" ht="21" customHeight="1" x14ac:dyDescent="0.25">
      <c r="A575" s="14">
        <f>DATE(2012,12,31)-135</f>
        <v>41139</v>
      </c>
      <c r="B575" s="15" t="s">
        <v>688</v>
      </c>
      <c r="C575" s="15" t="s">
        <v>85</v>
      </c>
      <c r="D575" s="16">
        <v>36</v>
      </c>
      <c r="E575" s="17">
        <v>218.12</v>
      </c>
      <c r="F575" s="16">
        <v>0.02</v>
      </c>
      <c r="G575" s="15" t="s">
        <v>32</v>
      </c>
      <c r="H575" s="18">
        <v>-1642.65</v>
      </c>
      <c r="I575" s="19">
        <v>4.4800000000000004</v>
      </c>
      <c r="J575" s="19">
        <v>49</v>
      </c>
      <c r="K575" s="19" t="s">
        <v>44</v>
      </c>
      <c r="L575" s="19" t="s">
        <v>80</v>
      </c>
      <c r="M575" s="15" t="s">
        <v>81</v>
      </c>
      <c r="N575" s="15" t="s">
        <v>36</v>
      </c>
      <c r="O575" s="15" t="s">
        <v>176</v>
      </c>
      <c r="P575" s="20" t="s">
        <v>314</v>
      </c>
      <c r="Q575" s="15" t="s">
        <v>39</v>
      </c>
      <c r="R575" s="4"/>
      <c r="S575" s="4"/>
    </row>
    <row r="576" spans="1:19" ht="21" customHeight="1" x14ac:dyDescent="0.25">
      <c r="A576" s="14">
        <f>DATE(2012,12,31)-135</f>
        <v>41139</v>
      </c>
      <c r="B576" s="15" t="s">
        <v>688</v>
      </c>
      <c r="C576" s="15" t="s">
        <v>85</v>
      </c>
      <c r="D576" s="16">
        <v>34</v>
      </c>
      <c r="E576" s="17">
        <v>729.83</v>
      </c>
      <c r="F576" s="16">
        <v>7.0000000000000007E-2</v>
      </c>
      <c r="G576" s="15" t="s">
        <v>32</v>
      </c>
      <c r="H576" s="18">
        <v>-135.102</v>
      </c>
      <c r="I576" s="19">
        <v>22.38</v>
      </c>
      <c r="J576" s="19">
        <v>15.1</v>
      </c>
      <c r="K576" s="19" t="s">
        <v>44</v>
      </c>
      <c r="L576" s="19" t="s">
        <v>52</v>
      </c>
      <c r="M576" s="15" t="s">
        <v>424</v>
      </c>
      <c r="N576" s="15" t="s">
        <v>36</v>
      </c>
      <c r="O576" s="15" t="s">
        <v>170</v>
      </c>
      <c r="P576" s="20" t="s">
        <v>893</v>
      </c>
      <c r="Q576" s="15" t="s">
        <v>83</v>
      </c>
      <c r="R576" s="4"/>
      <c r="S576" s="4"/>
    </row>
    <row r="577" spans="1:19" ht="21" customHeight="1" x14ac:dyDescent="0.25">
      <c r="A577" s="14">
        <f>DATE(2012,12,31)-135</f>
        <v>41139</v>
      </c>
      <c r="B577" s="15" t="s">
        <v>688</v>
      </c>
      <c r="C577" s="15" t="s">
        <v>85</v>
      </c>
      <c r="D577" s="16">
        <v>36</v>
      </c>
      <c r="E577" s="17">
        <v>1083.19</v>
      </c>
      <c r="F577" s="16">
        <v>0.03</v>
      </c>
      <c r="G577" s="15" t="s">
        <v>101</v>
      </c>
      <c r="H577" s="18">
        <v>214.61</v>
      </c>
      <c r="I577" s="19">
        <v>29.99</v>
      </c>
      <c r="J577" s="19">
        <v>5.5</v>
      </c>
      <c r="K577" s="19" t="s">
        <v>44</v>
      </c>
      <c r="L577" s="19" t="s">
        <v>52</v>
      </c>
      <c r="M577" s="15" t="s">
        <v>424</v>
      </c>
      <c r="N577" s="15" t="s">
        <v>64</v>
      </c>
      <c r="O577" s="15" t="s">
        <v>72</v>
      </c>
      <c r="P577" s="20" t="s">
        <v>894</v>
      </c>
      <c r="Q577" s="15" t="s">
        <v>83</v>
      </c>
      <c r="R577" s="4"/>
      <c r="S577" s="4"/>
    </row>
    <row r="578" spans="1:19" ht="21" customHeight="1" x14ac:dyDescent="0.25">
      <c r="A578" s="14">
        <f>DATE(2012,12,31)-1029</f>
        <v>40245</v>
      </c>
      <c r="B578" s="15" t="s">
        <v>895</v>
      </c>
      <c r="C578" s="15" t="s">
        <v>85</v>
      </c>
      <c r="D578" s="16">
        <v>8</v>
      </c>
      <c r="E578" s="17">
        <v>820.28399999999999</v>
      </c>
      <c r="F578" s="16">
        <v>0</v>
      </c>
      <c r="G578" s="15" t="s">
        <v>32</v>
      </c>
      <c r="H578" s="18">
        <v>-180.202</v>
      </c>
      <c r="I578" s="19">
        <v>115.99</v>
      </c>
      <c r="J578" s="19">
        <v>2.5</v>
      </c>
      <c r="K578" s="19" t="s">
        <v>124</v>
      </c>
      <c r="L578" s="19" t="s">
        <v>160</v>
      </c>
      <c r="M578" s="15" t="s">
        <v>888</v>
      </c>
      <c r="N578" s="15" t="s">
        <v>64</v>
      </c>
      <c r="O578" s="15" t="s">
        <v>65</v>
      </c>
      <c r="P578" s="20" t="s">
        <v>870</v>
      </c>
      <c r="Q578" s="15" t="s">
        <v>83</v>
      </c>
      <c r="R578" s="4"/>
      <c r="S578" s="4"/>
    </row>
    <row r="579" spans="1:19" ht="21" customHeight="1" x14ac:dyDescent="0.25">
      <c r="A579" s="14">
        <f>DATE(2012,12,31)-656</f>
        <v>40618</v>
      </c>
      <c r="B579" s="15" t="s">
        <v>651</v>
      </c>
      <c r="C579" s="15" t="s">
        <v>43</v>
      </c>
      <c r="D579" s="16">
        <v>24</v>
      </c>
      <c r="E579" s="17">
        <v>370.72</v>
      </c>
      <c r="F579" s="16">
        <v>0.1</v>
      </c>
      <c r="G579" s="15" t="s">
        <v>32</v>
      </c>
      <c r="H579" s="18">
        <v>-156.76</v>
      </c>
      <c r="I579" s="19">
        <v>15.7</v>
      </c>
      <c r="J579" s="19">
        <v>11.25</v>
      </c>
      <c r="K579" s="19" t="s">
        <v>124</v>
      </c>
      <c r="L579" s="19" t="s">
        <v>164</v>
      </c>
      <c r="M579" s="15" t="s">
        <v>754</v>
      </c>
      <c r="N579" s="15" t="s">
        <v>36</v>
      </c>
      <c r="O579" s="15" t="s">
        <v>37</v>
      </c>
      <c r="P579" s="20" t="s">
        <v>242</v>
      </c>
      <c r="Q579" s="15" t="s">
        <v>83</v>
      </c>
      <c r="R579" s="4"/>
      <c r="S579" s="4"/>
    </row>
    <row r="580" spans="1:19" ht="21" customHeight="1" x14ac:dyDescent="0.25">
      <c r="A580" s="14">
        <f>DATE(2012,12,31)-918</f>
        <v>40356</v>
      </c>
      <c r="B580" s="15" t="s">
        <v>896</v>
      </c>
      <c r="C580" s="15" t="s">
        <v>43</v>
      </c>
      <c r="D580" s="16">
        <v>11</v>
      </c>
      <c r="E580" s="17">
        <v>225.14</v>
      </c>
      <c r="F580" s="16">
        <v>0.08</v>
      </c>
      <c r="G580" s="15" t="s">
        <v>32</v>
      </c>
      <c r="H580" s="18">
        <v>-42.61</v>
      </c>
      <c r="I580" s="19">
        <v>20.149999999999999</v>
      </c>
      <c r="J580" s="19">
        <v>8.99</v>
      </c>
      <c r="K580" s="19" t="s">
        <v>69</v>
      </c>
      <c r="L580" s="19" t="s">
        <v>215</v>
      </c>
      <c r="M580" s="15" t="s">
        <v>828</v>
      </c>
      <c r="N580" s="15" t="s">
        <v>36</v>
      </c>
      <c r="O580" s="15" t="s">
        <v>77</v>
      </c>
      <c r="P580" s="20" t="s">
        <v>897</v>
      </c>
      <c r="Q580" s="15" t="s">
        <v>49</v>
      </c>
      <c r="R580" s="4"/>
      <c r="S580" s="4"/>
    </row>
    <row r="581" spans="1:19" ht="21" customHeight="1" x14ac:dyDescent="0.25">
      <c r="A581" s="14">
        <f>DATE(2012,12,31)-918</f>
        <v>40356</v>
      </c>
      <c r="B581" s="15" t="s">
        <v>896</v>
      </c>
      <c r="C581" s="15" t="s">
        <v>43</v>
      </c>
      <c r="D581" s="16">
        <v>22</v>
      </c>
      <c r="E581" s="17">
        <v>1559.7755</v>
      </c>
      <c r="F581" s="16">
        <v>0.03</v>
      </c>
      <c r="G581" s="15" t="s">
        <v>32</v>
      </c>
      <c r="H581" s="18">
        <v>-247.18100000000001</v>
      </c>
      <c r="I581" s="19">
        <v>85.99</v>
      </c>
      <c r="J581" s="19">
        <v>0.99</v>
      </c>
      <c r="K581" s="19" t="s">
        <v>44</v>
      </c>
      <c r="L581" s="19" t="s">
        <v>89</v>
      </c>
      <c r="M581" s="15" t="s">
        <v>734</v>
      </c>
      <c r="N581" s="15" t="s">
        <v>64</v>
      </c>
      <c r="O581" s="15" t="s">
        <v>65</v>
      </c>
      <c r="P581" s="20" t="s">
        <v>213</v>
      </c>
      <c r="Q581" s="15" t="s">
        <v>79</v>
      </c>
      <c r="R581" s="4"/>
      <c r="S581" s="4"/>
    </row>
    <row r="582" spans="1:19" ht="21" customHeight="1" x14ac:dyDescent="0.25">
      <c r="A582" s="14">
        <f>DATE(2012,12,31)-280</f>
        <v>40994</v>
      </c>
      <c r="B582" s="15" t="s">
        <v>898</v>
      </c>
      <c r="C582" s="15" t="s">
        <v>85</v>
      </c>
      <c r="D582" s="16">
        <v>39</v>
      </c>
      <c r="E582" s="17">
        <v>1032.97</v>
      </c>
      <c r="F582" s="16">
        <v>7.0000000000000007E-2</v>
      </c>
      <c r="G582" s="15" t="s">
        <v>32</v>
      </c>
      <c r="H582" s="18">
        <v>397.15</v>
      </c>
      <c r="I582" s="19">
        <v>28.48</v>
      </c>
      <c r="J582" s="19">
        <v>1.99</v>
      </c>
      <c r="K582" s="19" t="s">
        <v>44</v>
      </c>
      <c r="L582" s="19" t="s">
        <v>89</v>
      </c>
      <c r="M582" s="15" t="s">
        <v>734</v>
      </c>
      <c r="N582" s="15" t="s">
        <v>64</v>
      </c>
      <c r="O582" s="15" t="s">
        <v>72</v>
      </c>
      <c r="P582" s="20" t="s">
        <v>382</v>
      </c>
      <c r="Q582" s="15" t="s">
        <v>49</v>
      </c>
      <c r="R582" s="4"/>
      <c r="S582" s="4"/>
    </row>
    <row r="583" spans="1:19" ht="21" customHeight="1" x14ac:dyDescent="0.25">
      <c r="A583" s="14">
        <f>DATE(2012,12,31)-280</f>
        <v>40994</v>
      </c>
      <c r="B583" s="15" t="s">
        <v>898</v>
      </c>
      <c r="C583" s="15" t="s">
        <v>85</v>
      </c>
      <c r="D583" s="16">
        <v>13</v>
      </c>
      <c r="E583" s="17">
        <v>324.83</v>
      </c>
      <c r="F583" s="16">
        <v>0.05</v>
      </c>
      <c r="G583" s="15" t="s">
        <v>58</v>
      </c>
      <c r="H583" s="18">
        <v>-426.54</v>
      </c>
      <c r="I583" s="19">
        <v>20.98</v>
      </c>
      <c r="J583" s="19">
        <v>45</v>
      </c>
      <c r="K583" s="19" t="s">
        <v>124</v>
      </c>
      <c r="L583" s="19" t="s">
        <v>125</v>
      </c>
      <c r="M583" s="15" t="s">
        <v>126</v>
      </c>
      <c r="N583" s="15" t="s">
        <v>36</v>
      </c>
      <c r="O583" s="15" t="s">
        <v>37</v>
      </c>
      <c r="P583" s="20" t="s">
        <v>899</v>
      </c>
      <c r="Q583" s="15" t="s">
        <v>181</v>
      </c>
      <c r="R583" s="4"/>
      <c r="S583" s="4"/>
    </row>
    <row r="584" spans="1:19" ht="21" customHeight="1" x14ac:dyDescent="0.25">
      <c r="A584" s="14">
        <f>DATE(2012,12,31)-283</f>
        <v>40991</v>
      </c>
      <c r="B584" s="15" t="s">
        <v>900</v>
      </c>
      <c r="C584" s="15" t="s">
        <v>43</v>
      </c>
      <c r="D584" s="16">
        <v>21</v>
      </c>
      <c r="E584" s="17">
        <v>316.35000000000002</v>
      </c>
      <c r="F584" s="16">
        <v>0.06</v>
      </c>
      <c r="G584" s="15" t="s">
        <v>32</v>
      </c>
      <c r="H584" s="18">
        <v>117.91</v>
      </c>
      <c r="I584" s="19">
        <v>15.68</v>
      </c>
      <c r="J584" s="19">
        <v>3.73</v>
      </c>
      <c r="K584" s="19" t="s">
        <v>44</v>
      </c>
      <c r="L584" s="19" t="s">
        <v>89</v>
      </c>
      <c r="M584" s="15" t="s">
        <v>734</v>
      </c>
      <c r="N584" s="15" t="s">
        <v>54</v>
      </c>
      <c r="O584" s="15" t="s">
        <v>55</v>
      </c>
      <c r="P584" s="20" t="s">
        <v>718</v>
      </c>
      <c r="Q584" s="15" t="s">
        <v>49</v>
      </c>
      <c r="R584" s="4"/>
      <c r="S584" s="4"/>
    </row>
    <row r="585" spans="1:19" ht="21" customHeight="1" x14ac:dyDescent="0.25">
      <c r="A585" s="14">
        <f>DATE(2012,12,31)-970</f>
        <v>40304</v>
      </c>
      <c r="B585" s="15" t="s">
        <v>270</v>
      </c>
      <c r="C585" s="15" t="s">
        <v>85</v>
      </c>
      <c r="D585" s="16">
        <v>14</v>
      </c>
      <c r="E585" s="17">
        <v>63.52</v>
      </c>
      <c r="F585" s="16">
        <v>0.1</v>
      </c>
      <c r="G585" s="15" t="s">
        <v>32</v>
      </c>
      <c r="H585" s="18">
        <v>8.66</v>
      </c>
      <c r="I585" s="19">
        <v>4.84</v>
      </c>
      <c r="J585" s="19">
        <v>0.71</v>
      </c>
      <c r="K585" s="19" t="s">
        <v>44</v>
      </c>
      <c r="L585" s="19" t="s">
        <v>52</v>
      </c>
      <c r="M585" s="15" t="s">
        <v>424</v>
      </c>
      <c r="N585" s="15" t="s">
        <v>36</v>
      </c>
      <c r="O585" s="15" t="s">
        <v>77</v>
      </c>
      <c r="P585" s="20" t="s">
        <v>901</v>
      </c>
      <c r="Q585" s="15" t="s">
        <v>79</v>
      </c>
      <c r="R585" s="4"/>
      <c r="S585" s="4"/>
    </row>
    <row r="586" spans="1:19" ht="21" customHeight="1" x14ac:dyDescent="0.25">
      <c r="A586" s="14">
        <f>DATE(2012,12,31)-970</f>
        <v>40304</v>
      </c>
      <c r="B586" s="15" t="s">
        <v>270</v>
      </c>
      <c r="C586" s="15" t="s">
        <v>85</v>
      </c>
      <c r="D586" s="16">
        <v>44</v>
      </c>
      <c r="E586" s="17">
        <v>1512.25</v>
      </c>
      <c r="F586" s="16">
        <v>0.05</v>
      </c>
      <c r="G586" s="15" t="s">
        <v>32</v>
      </c>
      <c r="H586" s="18">
        <v>195.48</v>
      </c>
      <c r="I586" s="19">
        <v>34.58</v>
      </c>
      <c r="J586" s="19">
        <v>8.99</v>
      </c>
      <c r="K586" s="19" t="s">
        <v>33</v>
      </c>
      <c r="L586" s="19" t="s">
        <v>93</v>
      </c>
      <c r="M586" s="15" t="s">
        <v>94</v>
      </c>
      <c r="N586" s="15" t="s">
        <v>36</v>
      </c>
      <c r="O586" s="15" t="s">
        <v>77</v>
      </c>
      <c r="P586" s="20" t="s">
        <v>241</v>
      </c>
      <c r="Q586" s="15" t="s">
        <v>49</v>
      </c>
      <c r="R586" s="4"/>
      <c r="S586" s="4"/>
    </row>
    <row r="587" spans="1:19" ht="21" customHeight="1" x14ac:dyDescent="0.25">
      <c r="A587" s="14">
        <f>DATE(2012,12,31)-728</f>
        <v>40546</v>
      </c>
      <c r="B587" s="15" t="s">
        <v>367</v>
      </c>
      <c r="C587" s="15" t="s">
        <v>85</v>
      </c>
      <c r="D587" s="16">
        <v>38</v>
      </c>
      <c r="E587" s="17">
        <v>1441.61</v>
      </c>
      <c r="F587" s="16">
        <v>0.06</v>
      </c>
      <c r="G587" s="15" t="s">
        <v>32</v>
      </c>
      <c r="H587" s="18">
        <v>624.84</v>
      </c>
      <c r="I587" s="19">
        <v>37.94</v>
      </c>
      <c r="J587" s="19">
        <v>5.08</v>
      </c>
      <c r="K587" s="19" t="s">
        <v>33</v>
      </c>
      <c r="L587" s="19" t="s">
        <v>34</v>
      </c>
      <c r="M587" s="15" t="s">
        <v>35</v>
      </c>
      <c r="N587" s="15" t="s">
        <v>36</v>
      </c>
      <c r="O587" s="15" t="s">
        <v>117</v>
      </c>
      <c r="P587" s="20" t="s">
        <v>902</v>
      </c>
      <c r="Q587" s="15" t="s">
        <v>79</v>
      </c>
      <c r="R587" s="4"/>
      <c r="S587" s="4"/>
    </row>
    <row r="588" spans="1:19" ht="21" customHeight="1" x14ac:dyDescent="0.25">
      <c r="A588" s="14">
        <f>DATE(2012,12,31)-928</f>
        <v>40346</v>
      </c>
      <c r="B588" s="15" t="s">
        <v>903</v>
      </c>
      <c r="C588" s="15" t="s">
        <v>51</v>
      </c>
      <c r="D588" s="16">
        <v>18</v>
      </c>
      <c r="E588" s="17">
        <v>1038.4000000000001</v>
      </c>
      <c r="F588" s="16">
        <v>0.01</v>
      </c>
      <c r="G588" s="15" t="s">
        <v>32</v>
      </c>
      <c r="H588" s="18">
        <v>112.36</v>
      </c>
      <c r="I588" s="19">
        <v>56.96</v>
      </c>
      <c r="J588" s="19">
        <v>13.22</v>
      </c>
      <c r="K588" s="19" t="s">
        <v>44</v>
      </c>
      <c r="L588" s="19" t="s">
        <v>120</v>
      </c>
      <c r="M588" s="15" t="s">
        <v>121</v>
      </c>
      <c r="N588" s="15" t="s">
        <v>36</v>
      </c>
      <c r="O588" s="15" t="s">
        <v>176</v>
      </c>
      <c r="P588" s="20" t="s">
        <v>904</v>
      </c>
      <c r="Q588" s="15" t="s">
        <v>83</v>
      </c>
      <c r="R588" s="4"/>
      <c r="S588" s="4"/>
    </row>
    <row r="589" spans="1:19" ht="21" customHeight="1" x14ac:dyDescent="0.25">
      <c r="A589" s="14">
        <f>DATE(2012,12,31)-928</f>
        <v>40346</v>
      </c>
      <c r="B589" s="15" t="s">
        <v>903</v>
      </c>
      <c r="C589" s="15" t="s">
        <v>51</v>
      </c>
      <c r="D589" s="16">
        <v>1</v>
      </c>
      <c r="E589" s="17">
        <v>305.82</v>
      </c>
      <c r="F589" s="16">
        <v>0.05</v>
      </c>
      <c r="G589" s="15" t="s">
        <v>32</v>
      </c>
      <c r="H589" s="18">
        <v>-232.24</v>
      </c>
      <c r="I589" s="19">
        <v>279.48</v>
      </c>
      <c r="J589" s="19">
        <v>35</v>
      </c>
      <c r="K589" s="19" t="s">
        <v>97</v>
      </c>
      <c r="L589" s="19" t="s">
        <v>98</v>
      </c>
      <c r="M589" s="15" t="s">
        <v>99</v>
      </c>
      <c r="N589" s="15" t="s">
        <v>36</v>
      </c>
      <c r="O589" s="15" t="s">
        <v>37</v>
      </c>
      <c r="P589" s="20" t="s">
        <v>905</v>
      </c>
      <c r="Q589" s="15" t="s">
        <v>39</v>
      </c>
      <c r="R589" s="4"/>
      <c r="S589" s="4"/>
    </row>
    <row r="590" spans="1:19" ht="21" customHeight="1" x14ac:dyDescent="0.25">
      <c r="A590" s="14">
        <f>DATE(2012,12,31)-944</f>
        <v>40330</v>
      </c>
      <c r="B590" s="15" t="s">
        <v>724</v>
      </c>
      <c r="C590" s="15" t="s">
        <v>31</v>
      </c>
      <c r="D590" s="16">
        <v>21</v>
      </c>
      <c r="E590" s="17">
        <v>763.12</v>
      </c>
      <c r="F590" s="16">
        <v>0.03</v>
      </c>
      <c r="G590" s="15" t="s">
        <v>32</v>
      </c>
      <c r="H590" s="18">
        <v>140.33000000000001</v>
      </c>
      <c r="I590" s="19">
        <v>34.76</v>
      </c>
      <c r="J590" s="19">
        <v>5.49</v>
      </c>
      <c r="K590" s="19" t="s">
        <v>97</v>
      </c>
      <c r="L590" s="19" t="s">
        <v>98</v>
      </c>
      <c r="M590" s="15" t="s">
        <v>99</v>
      </c>
      <c r="N590" s="15" t="s">
        <v>36</v>
      </c>
      <c r="O590" s="15" t="s">
        <v>37</v>
      </c>
      <c r="P590" s="20" t="s">
        <v>906</v>
      </c>
      <c r="Q590" s="15" t="s">
        <v>83</v>
      </c>
      <c r="R590" s="4"/>
      <c r="S590" s="4"/>
    </row>
    <row r="591" spans="1:19" ht="21" customHeight="1" x14ac:dyDescent="0.25">
      <c r="A591" s="14">
        <f>DATE(2012,12,31)-944</f>
        <v>40330</v>
      </c>
      <c r="B591" s="15" t="s">
        <v>724</v>
      </c>
      <c r="C591" s="15" t="s">
        <v>31</v>
      </c>
      <c r="D591" s="16">
        <v>38</v>
      </c>
      <c r="E591" s="17">
        <v>19269.05</v>
      </c>
      <c r="F591" s="16">
        <v>0</v>
      </c>
      <c r="G591" s="15" t="s">
        <v>58</v>
      </c>
      <c r="H591" s="18">
        <v>4127.79</v>
      </c>
      <c r="I591" s="19">
        <v>500.98</v>
      </c>
      <c r="J591" s="19">
        <v>41.44</v>
      </c>
      <c r="K591" s="19" t="s">
        <v>97</v>
      </c>
      <c r="L591" s="19" t="s">
        <v>98</v>
      </c>
      <c r="M591" s="15" t="s">
        <v>99</v>
      </c>
      <c r="N591" s="15" t="s">
        <v>54</v>
      </c>
      <c r="O591" s="15" t="s">
        <v>134</v>
      </c>
      <c r="P591" s="20" t="s">
        <v>907</v>
      </c>
      <c r="Q591" s="15" t="s">
        <v>63</v>
      </c>
      <c r="R591" s="4"/>
      <c r="S591" s="4"/>
    </row>
    <row r="592" spans="1:19" ht="21" customHeight="1" x14ac:dyDescent="0.25">
      <c r="A592" s="14">
        <f>DATE(2012,12,31)-779</f>
        <v>40495</v>
      </c>
      <c r="B592" s="15" t="s">
        <v>908</v>
      </c>
      <c r="C592" s="15" t="s">
        <v>43</v>
      </c>
      <c r="D592" s="16">
        <v>44</v>
      </c>
      <c r="E592" s="17">
        <v>3367.24</v>
      </c>
      <c r="F592" s="16">
        <v>7.0000000000000007E-2</v>
      </c>
      <c r="G592" s="15" t="s">
        <v>32</v>
      </c>
      <c r="H592" s="18">
        <v>-1183.69</v>
      </c>
      <c r="I592" s="19">
        <v>79.52</v>
      </c>
      <c r="J592" s="19">
        <v>48.2</v>
      </c>
      <c r="K592" s="19" t="s">
        <v>97</v>
      </c>
      <c r="L592" s="19" t="s">
        <v>98</v>
      </c>
      <c r="M592" s="15" t="s">
        <v>99</v>
      </c>
      <c r="N592" s="15" t="s">
        <v>54</v>
      </c>
      <c r="O592" s="15" t="s">
        <v>55</v>
      </c>
      <c r="P592" s="20" t="s">
        <v>909</v>
      </c>
      <c r="Q592" s="15" t="s">
        <v>57</v>
      </c>
      <c r="R592" s="4"/>
      <c r="S592" s="4"/>
    </row>
    <row r="593" spans="1:19" ht="21" customHeight="1" x14ac:dyDescent="0.25">
      <c r="A593" s="14">
        <f>DATE(2012,12,31)-779</f>
        <v>40495</v>
      </c>
      <c r="B593" s="15" t="s">
        <v>908</v>
      </c>
      <c r="C593" s="15" t="s">
        <v>43</v>
      </c>
      <c r="D593" s="16">
        <v>37</v>
      </c>
      <c r="E593" s="17">
        <v>5723.24</v>
      </c>
      <c r="F593" s="16">
        <v>0</v>
      </c>
      <c r="G593" s="15" t="s">
        <v>58</v>
      </c>
      <c r="H593" s="18">
        <v>-194.96700000000001</v>
      </c>
      <c r="I593" s="19">
        <v>145.97999999999999</v>
      </c>
      <c r="J593" s="19">
        <v>51.92</v>
      </c>
      <c r="K593" s="19" t="s">
        <v>97</v>
      </c>
      <c r="L593" s="19" t="s">
        <v>98</v>
      </c>
      <c r="M593" s="15" t="s">
        <v>99</v>
      </c>
      <c r="N593" s="15" t="s">
        <v>54</v>
      </c>
      <c r="O593" s="15" t="s">
        <v>61</v>
      </c>
      <c r="P593" s="20" t="s">
        <v>910</v>
      </c>
      <c r="Q593" s="15" t="s">
        <v>63</v>
      </c>
      <c r="R593" s="4"/>
      <c r="S593" s="4"/>
    </row>
    <row r="594" spans="1:19" ht="21" customHeight="1" x14ac:dyDescent="0.25">
      <c r="A594" s="14">
        <f>DATE(2012,12,31)-1014</f>
        <v>40260</v>
      </c>
      <c r="B594" s="15" t="s">
        <v>911</v>
      </c>
      <c r="C594" s="15" t="s">
        <v>51</v>
      </c>
      <c r="D594" s="16">
        <v>27</v>
      </c>
      <c r="E594" s="17">
        <v>188.07</v>
      </c>
      <c r="F594" s="16">
        <v>0</v>
      </c>
      <c r="G594" s="15" t="s">
        <v>32</v>
      </c>
      <c r="H594" s="18">
        <v>-101.85</v>
      </c>
      <c r="I594" s="19">
        <v>6.48</v>
      </c>
      <c r="J594" s="19">
        <v>7.86</v>
      </c>
      <c r="K594" s="19" t="s">
        <v>124</v>
      </c>
      <c r="L594" s="19" t="s">
        <v>160</v>
      </c>
      <c r="M594" s="15" t="s">
        <v>888</v>
      </c>
      <c r="N594" s="15" t="s">
        <v>36</v>
      </c>
      <c r="O594" s="15" t="s">
        <v>117</v>
      </c>
      <c r="P594" s="20" t="s">
        <v>912</v>
      </c>
      <c r="Q594" s="15" t="s">
        <v>83</v>
      </c>
      <c r="R594" s="4"/>
      <c r="S594" s="4"/>
    </row>
    <row r="595" spans="1:19" ht="21" customHeight="1" x14ac:dyDescent="0.25">
      <c r="A595" s="14">
        <f>DATE(2012,12,31)-86</f>
        <v>41188</v>
      </c>
      <c r="B595" s="15" t="s">
        <v>465</v>
      </c>
      <c r="C595" s="15" t="s">
        <v>51</v>
      </c>
      <c r="D595" s="16">
        <v>16</v>
      </c>
      <c r="E595" s="17">
        <v>118.38</v>
      </c>
      <c r="F595" s="16">
        <v>0.04</v>
      </c>
      <c r="G595" s="15" t="s">
        <v>32</v>
      </c>
      <c r="H595" s="18">
        <v>-42.457999999999998</v>
      </c>
      <c r="I595" s="19">
        <v>7.1</v>
      </c>
      <c r="J595" s="19">
        <v>6.05</v>
      </c>
      <c r="K595" s="19" t="s">
        <v>44</v>
      </c>
      <c r="L595" s="19" t="s">
        <v>52</v>
      </c>
      <c r="M595" s="15" t="s">
        <v>424</v>
      </c>
      <c r="N595" s="15" t="s">
        <v>36</v>
      </c>
      <c r="O595" s="15" t="s">
        <v>170</v>
      </c>
      <c r="P595" s="20" t="s">
        <v>913</v>
      </c>
      <c r="Q595" s="15" t="s">
        <v>83</v>
      </c>
      <c r="R595" s="4"/>
      <c r="S595" s="4"/>
    </row>
    <row r="596" spans="1:19" ht="21" customHeight="1" x14ac:dyDescent="0.25">
      <c r="A596" s="14">
        <f>DATE(2012,12,31)-233</f>
        <v>41041</v>
      </c>
      <c r="B596" s="15" t="s">
        <v>390</v>
      </c>
      <c r="C596" s="15" t="s">
        <v>85</v>
      </c>
      <c r="D596" s="16">
        <v>8</v>
      </c>
      <c r="E596" s="17">
        <v>54.43</v>
      </c>
      <c r="F596" s="16">
        <v>0.08</v>
      </c>
      <c r="G596" s="15" t="s">
        <v>32</v>
      </c>
      <c r="H596" s="18">
        <v>-31.63</v>
      </c>
      <c r="I596" s="19">
        <v>6.48</v>
      </c>
      <c r="J596" s="19">
        <v>6.74</v>
      </c>
      <c r="K596" s="19" t="s">
        <v>33</v>
      </c>
      <c r="L596" s="19" t="s">
        <v>34</v>
      </c>
      <c r="M596" s="15" t="s">
        <v>35</v>
      </c>
      <c r="N596" s="15" t="s">
        <v>36</v>
      </c>
      <c r="O596" s="15" t="s">
        <v>117</v>
      </c>
      <c r="P596" s="20" t="s">
        <v>914</v>
      </c>
      <c r="Q596" s="15" t="s">
        <v>83</v>
      </c>
      <c r="R596" s="4"/>
      <c r="S596" s="4"/>
    </row>
    <row r="597" spans="1:19" ht="21" customHeight="1" x14ac:dyDescent="0.25">
      <c r="A597" s="14">
        <f>DATE(2012,12,31)-233</f>
        <v>41041</v>
      </c>
      <c r="B597" s="15" t="s">
        <v>390</v>
      </c>
      <c r="C597" s="15" t="s">
        <v>85</v>
      </c>
      <c r="D597" s="16">
        <v>47</v>
      </c>
      <c r="E597" s="17">
        <v>124.94</v>
      </c>
      <c r="F597" s="16">
        <v>0.1</v>
      </c>
      <c r="G597" s="15" t="s">
        <v>101</v>
      </c>
      <c r="H597" s="18">
        <v>-2.4</v>
      </c>
      <c r="I597" s="19">
        <v>2.78</v>
      </c>
      <c r="J597" s="19">
        <v>1.34</v>
      </c>
      <c r="K597" s="19" t="s">
        <v>33</v>
      </c>
      <c r="L597" s="19" t="s">
        <v>145</v>
      </c>
      <c r="M597" s="15" t="s">
        <v>146</v>
      </c>
      <c r="N597" s="15" t="s">
        <v>36</v>
      </c>
      <c r="O597" s="15" t="s">
        <v>77</v>
      </c>
      <c r="P597" s="20" t="s">
        <v>422</v>
      </c>
      <c r="Q597" s="15" t="s">
        <v>79</v>
      </c>
      <c r="R597" s="4"/>
      <c r="S597" s="4"/>
    </row>
    <row r="598" spans="1:19" ht="21" customHeight="1" x14ac:dyDescent="0.25">
      <c r="A598" s="14">
        <f>DATE(2012,12,31)-233</f>
        <v>41041</v>
      </c>
      <c r="B598" s="15" t="s">
        <v>390</v>
      </c>
      <c r="C598" s="15" t="s">
        <v>85</v>
      </c>
      <c r="D598" s="16">
        <v>30</v>
      </c>
      <c r="E598" s="17">
        <v>78.459999999999994</v>
      </c>
      <c r="F598" s="16">
        <v>0.05</v>
      </c>
      <c r="G598" s="15" t="s">
        <v>32</v>
      </c>
      <c r="H598" s="18">
        <v>18.57</v>
      </c>
      <c r="I598" s="19">
        <v>2.62</v>
      </c>
      <c r="J598" s="19">
        <v>0.8</v>
      </c>
      <c r="K598" s="19" t="s">
        <v>33</v>
      </c>
      <c r="L598" s="19" t="s">
        <v>59</v>
      </c>
      <c r="M598" s="15" t="s">
        <v>60</v>
      </c>
      <c r="N598" s="15" t="s">
        <v>36</v>
      </c>
      <c r="O598" s="15" t="s">
        <v>105</v>
      </c>
      <c r="P598" s="20" t="s">
        <v>915</v>
      </c>
      <c r="Q598" s="15" t="s">
        <v>79</v>
      </c>
      <c r="R598" s="4"/>
      <c r="S598" s="4"/>
    </row>
    <row r="599" spans="1:19" ht="21" customHeight="1" x14ac:dyDescent="0.25">
      <c r="A599" s="14">
        <f>DATE(2012,12,31)-569</f>
        <v>40705</v>
      </c>
      <c r="B599" s="15" t="s">
        <v>267</v>
      </c>
      <c r="C599" s="15" t="s">
        <v>51</v>
      </c>
      <c r="D599" s="16">
        <v>22</v>
      </c>
      <c r="E599" s="17">
        <v>646.07000000000005</v>
      </c>
      <c r="F599" s="16">
        <v>0.06</v>
      </c>
      <c r="G599" s="15" t="s">
        <v>101</v>
      </c>
      <c r="H599" s="18">
        <v>237.75</v>
      </c>
      <c r="I599" s="19">
        <v>28.48</v>
      </c>
      <c r="J599" s="19">
        <v>1.99</v>
      </c>
      <c r="K599" s="19" t="s">
        <v>33</v>
      </c>
      <c r="L599" s="19" t="s">
        <v>59</v>
      </c>
      <c r="M599" s="15" t="s">
        <v>60</v>
      </c>
      <c r="N599" s="15" t="s">
        <v>64</v>
      </c>
      <c r="O599" s="15" t="s">
        <v>72</v>
      </c>
      <c r="P599" s="20" t="s">
        <v>382</v>
      </c>
      <c r="Q599" s="15" t="s">
        <v>49</v>
      </c>
      <c r="R599" s="4"/>
      <c r="S599" s="4"/>
    </row>
    <row r="600" spans="1:19" ht="21" customHeight="1" x14ac:dyDescent="0.25">
      <c r="A600" s="14">
        <f>DATE(2012,12,31)-182</f>
        <v>41092</v>
      </c>
      <c r="B600" s="15" t="s">
        <v>286</v>
      </c>
      <c r="C600" s="15" t="s">
        <v>43</v>
      </c>
      <c r="D600" s="16">
        <v>21</v>
      </c>
      <c r="E600" s="17">
        <v>128.28</v>
      </c>
      <c r="F600" s="16">
        <v>0.04</v>
      </c>
      <c r="G600" s="15" t="s">
        <v>32</v>
      </c>
      <c r="H600" s="18">
        <v>53.58</v>
      </c>
      <c r="I600" s="19">
        <v>6.3</v>
      </c>
      <c r="J600" s="19">
        <v>0.5</v>
      </c>
      <c r="K600" s="19" t="s">
        <v>33</v>
      </c>
      <c r="L600" s="19" t="s">
        <v>59</v>
      </c>
      <c r="M600" s="15" t="s">
        <v>60</v>
      </c>
      <c r="N600" s="15" t="s">
        <v>36</v>
      </c>
      <c r="O600" s="15" t="s">
        <v>114</v>
      </c>
      <c r="P600" s="20" t="s">
        <v>916</v>
      </c>
      <c r="Q600" s="15" t="s">
        <v>83</v>
      </c>
      <c r="R600" s="4"/>
      <c r="S600" s="4"/>
    </row>
    <row r="601" spans="1:19" ht="21" customHeight="1" x14ac:dyDescent="0.25">
      <c r="A601" s="14">
        <f>DATE(2012,12,31)-133</f>
        <v>41141</v>
      </c>
      <c r="B601" s="15" t="s">
        <v>394</v>
      </c>
      <c r="C601" s="15" t="s">
        <v>85</v>
      </c>
      <c r="D601" s="16">
        <v>42</v>
      </c>
      <c r="E601" s="17">
        <v>1691.51</v>
      </c>
      <c r="F601" s="16">
        <v>0.08</v>
      </c>
      <c r="G601" s="15" t="s">
        <v>32</v>
      </c>
      <c r="H601" s="18">
        <v>285.16000000000003</v>
      </c>
      <c r="I601" s="19">
        <v>42.76</v>
      </c>
      <c r="J601" s="19">
        <v>6.22</v>
      </c>
      <c r="K601" s="19" t="s">
        <v>69</v>
      </c>
      <c r="L601" s="19" t="s">
        <v>70</v>
      </c>
      <c r="M601" s="15" t="s">
        <v>71</v>
      </c>
      <c r="N601" s="15" t="s">
        <v>36</v>
      </c>
      <c r="O601" s="15" t="s">
        <v>37</v>
      </c>
      <c r="P601" s="20" t="s">
        <v>275</v>
      </c>
      <c r="Q601" s="15" t="s">
        <v>83</v>
      </c>
      <c r="R601" s="4"/>
      <c r="S601" s="4"/>
    </row>
    <row r="602" spans="1:19" ht="21" customHeight="1" x14ac:dyDescent="0.25">
      <c r="A602" s="14">
        <f>DATE(2012,12,31)-133</f>
        <v>41141</v>
      </c>
      <c r="B602" s="15" t="s">
        <v>394</v>
      </c>
      <c r="C602" s="15" t="s">
        <v>85</v>
      </c>
      <c r="D602" s="16">
        <v>12</v>
      </c>
      <c r="E602" s="17">
        <v>122.93</v>
      </c>
      <c r="F602" s="16">
        <v>0.04</v>
      </c>
      <c r="G602" s="15" t="s">
        <v>32</v>
      </c>
      <c r="H602" s="18">
        <v>-6.83</v>
      </c>
      <c r="I602" s="19">
        <v>9.7799999999999994</v>
      </c>
      <c r="J602" s="19">
        <v>5.76</v>
      </c>
      <c r="K602" s="19" t="s">
        <v>69</v>
      </c>
      <c r="L602" s="19" t="s">
        <v>70</v>
      </c>
      <c r="M602" s="15" t="s">
        <v>71</v>
      </c>
      <c r="N602" s="15" t="s">
        <v>36</v>
      </c>
      <c r="O602" s="15" t="s">
        <v>189</v>
      </c>
      <c r="P602" s="20" t="s">
        <v>917</v>
      </c>
      <c r="Q602" s="15" t="s">
        <v>83</v>
      </c>
      <c r="R602" s="4"/>
      <c r="S602" s="4"/>
    </row>
    <row r="603" spans="1:19" ht="21" customHeight="1" x14ac:dyDescent="0.25">
      <c r="A603" s="14">
        <f>DATE(2012,12,31)-133</f>
        <v>41141</v>
      </c>
      <c r="B603" s="15" t="s">
        <v>394</v>
      </c>
      <c r="C603" s="15" t="s">
        <v>85</v>
      </c>
      <c r="D603" s="16">
        <v>4</v>
      </c>
      <c r="E603" s="17">
        <v>47.86</v>
      </c>
      <c r="F603" s="16">
        <v>0</v>
      </c>
      <c r="G603" s="15" t="s">
        <v>32</v>
      </c>
      <c r="H603" s="18">
        <v>-17.32</v>
      </c>
      <c r="I603" s="19">
        <v>9.48</v>
      </c>
      <c r="J603" s="19">
        <v>7.29</v>
      </c>
      <c r="K603" s="19" t="s">
        <v>69</v>
      </c>
      <c r="L603" s="19" t="s">
        <v>70</v>
      </c>
      <c r="M603" s="15" t="s">
        <v>71</v>
      </c>
      <c r="N603" s="15" t="s">
        <v>54</v>
      </c>
      <c r="O603" s="15" t="s">
        <v>55</v>
      </c>
      <c r="P603" s="20" t="s">
        <v>798</v>
      </c>
      <c r="Q603" s="15" t="s">
        <v>49</v>
      </c>
      <c r="R603" s="4"/>
      <c r="S603" s="4"/>
    </row>
    <row r="604" spans="1:19" ht="21" customHeight="1" x14ac:dyDescent="0.25">
      <c r="A604" s="14">
        <f>DATE(2012,12,31)-133</f>
        <v>41141</v>
      </c>
      <c r="B604" s="15" t="s">
        <v>394</v>
      </c>
      <c r="C604" s="15" t="s">
        <v>85</v>
      </c>
      <c r="D604" s="16">
        <v>39</v>
      </c>
      <c r="E604" s="17">
        <v>3607.8504999999996</v>
      </c>
      <c r="F604" s="16">
        <v>0.05</v>
      </c>
      <c r="G604" s="15" t="s">
        <v>32</v>
      </c>
      <c r="H604" s="18">
        <v>784.49399999999991</v>
      </c>
      <c r="I604" s="19">
        <v>110.99</v>
      </c>
      <c r="J604" s="19">
        <v>8.99</v>
      </c>
      <c r="K604" s="19" t="s">
        <v>69</v>
      </c>
      <c r="L604" s="19" t="s">
        <v>75</v>
      </c>
      <c r="M604" s="15" t="s">
        <v>76</v>
      </c>
      <c r="N604" s="15" t="s">
        <v>64</v>
      </c>
      <c r="O604" s="15" t="s">
        <v>65</v>
      </c>
      <c r="P604" s="20" t="s">
        <v>811</v>
      </c>
      <c r="Q604" s="15" t="s">
        <v>83</v>
      </c>
      <c r="R604" s="4"/>
      <c r="S604" s="4"/>
    </row>
    <row r="605" spans="1:19" ht="21" customHeight="1" x14ac:dyDescent="0.25">
      <c r="A605" s="14">
        <f>DATE(2012,12,31)-182</f>
        <v>41092</v>
      </c>
      <c r="B605" s="15" t="s">
        <v>844</v>
      </c>
      <c r="C605" s="15" t="s">
        <v>31</v>
      </c>
      <c r="D605" s="16">
        <v>3</v>
      </c>
      <c r="E605" s="17">
        <v>42.5</v>
      </c>
      <c r="F605" s="16">
        <v>7.0000000000000007E-2</v>
      </c>
      <c r="G605" s="15" t="s">
        <v>32</v>
      </c>
      <c r="H605" s="18">
        <v>-28.43</v>
      </c>
      <c r="I605" s="19">
        <v>11.66</v>
      </c>
      <c r="J605" s="19">
        <v>8.99</v>
      </c>
      <c r="K605" s="19" t="s">
        <v>69</v>
      </c>
      <c r="L605" s="19" t="s">
        <v>215</v>
      </c>
      <c r="M605" s="15" t="s">
        <v>828</v>
      </c>
      <c r="N605" s="15" t="s">
        <v>36</v>
      </c>
      <c r="O605" s="15" t="s">
        <v>77</v>
      </c>
      <c r="P605" s="20" t="s">
        <v>918</v>
      </c>
      <c r="Q605" s="15" t="s">
        <v>49</v>
      </c>
      <c r="R605" s="4"/>
      <c r="S605" s="4"/>
    </row>
    <row r="606" spans="1:19" ht="21" customHeight="1" x14ac:dyDescent="0.25">
      <c r="A606" s="14">
        <f>DATE(2012,12,31)-452</f>
        <v>40822</v>
      </c>
      <c r="B606" s="15" t="s">
        <v>919</v>
      </c>
      <c r="C606" s="15" t="s">
        <v>43</v>
      </c>
      <c r="D606" s="16">
        <v>38</v>
      </c>
      <c r="E606" s="17">
        <v>391.42</v>
      </c>
      <c r="F606" s="16">
        <v>0.04</v>
      </c>
      <c r="G606" s="15" t="s">
        <v>32</v>
      </c>
      <c r="H606" s="18">
        <v>25.03</v>
      </c>
      <c r="I606" s="19">
        <v>9.99</v>
      </c>
      <c r="J606" s="19">
        <v>5.12</v>
      </c>
      <c r="K606" s="19" t="s">
        <v>69</v>
      </c>
      <c r="L606" s="19" t="s">
        <v>215</v>
      </c>
      <c r="M606" s="15" t="s">
        <v>828</v>
      </c>
      <c r="N606" s="15" t="s">
        <v>36</v>
      </c>
      <c r="O606" s="15" t="s">
        <v>117</v>
      </c>
      <c r="P606" s="20" t="s">
        <v>920</v>
      </c>
      <c r="Q606" s="15" t="s">
        <v>83</v>
      </c>
      <c r="R606" s="4"/>
      <c r="S606" s="4"/>
    </row>
    <row r="607" spans="1:19" ht="21" customHeight="1" x14ac:dyDescent="0.25">
      <c r="A607" s="14">
        <f>DATE(2012,12,31)-583</f>
        <v>40691</v>
      </c>
      <c r="B607" s="15" t="s">
        <v>921</v>
      </c>
      <c r="C607" s="15" t="s">
        <v>43</v>
      </c>
      <c r="D607" s="16">
        <v>5</v>
      </c>
      <c r="E607" s="17">
        <v>14.76</v>
      </c>
      <c r="F607" s="16">
        <v>0.01</v>
      </c>
      <c r="G607" s="15" t="s">
        <v>32</v>
      </c>
      <c r="H607" s="18">
        <v>1.32</v>
      </c>
      <c r="I607" s="19">
        <v>2.88</v>
      </c>
      <c r="J607" s="19">
        <v>0.5</v>
      </c>
      <c r="K607" s="19" t="s">
        <v>111</v>
      </c>
      <c r="L607" s="19" t="s">
        <v>112</v>
      </c>
      <c r="M607" s="15" t="s">
        <v>865</v>
      </c>
      <c r="N607" s="15" t="s">
        <v>36</v>
      </c>
      <c r="O607" s="15" t="s">
        <v>114</v>
      </c>
      <c r="P607" s="20" t="s">
        <v>922</v>
      </c>
      <c r="Q607" s="15" t="s">
        <v>83</v>
      </c>
      <c r="R607" s="4"/>
      <c r="S607" s="4"/>
    </row>
    <row r="608" spans="1:19" ht="21" customHeight="1" x14ac:dyDescent="0.25">
      <c r="A608" s="14">
        <f>DATE(2012,12,31)-720</f>
        <v>40554</v>
      </c>
      <c r="B608" s="15" t="s">
        <v>923</v>
      </c>
      <c r="C608" s="15" t="s">
        <v>85</v>
      </c>
      <c r="D608" s="16">
        <v>48</v>
      </c>
      <c r="E608" s="17">
        <v>6403.39</v>
      </c>
      <c r="F608" s="16">
        <v>0.01</v>
      </c>
      <c r="G608" s="15" t="s">
        <v>58</v>
      </c>
      <c r="H608" s="18">
        <v>-824.15</v>
      </c>
      <c r="I608" s="19">
        <v>130.97999999999999</v>
      </c>
      <c r="J608" s="19">
        <v>54.74</v>
      </c>
      <c r="K608" s="19" t="s">
        <v>111</v>
      </c>
      <c r="L608" s="19" t="s">
        <v>407</v>
      </c>
      <c r="M608" s="15" t="s">
        <v>407</v>
      </c>
      <c r="N608" s="15" t="s">
        <v>54</v>
      </c>
      <c r="O608" s="15" t="s">
        <v>134</v>
      </c>
      <c r="P608" s="20" t="s">
        <v>135</v>
      </c>
      <c r="Q608" s="15" t="s">
        <v>63</v>
      </c>
      <c r="R608" s="4"/>
      <c r="S608" s="4"/>
    </row>
    <row r="609" spans="1:19" ht="21" customHeight="1" x14ac:dyDescent="0.25">
      <c r="A609" s="14">
        <f>DATE(2012,12,31)-720</f>
        <v>40554</v>
      </c>
      <c r="B609" s="15" t="s">
        <v>923</v>
      </c>
      <c r="C609" s="15" t="s">
        <v>85</v>
      </c>
      <c r="D609" s="16">
        <v>23</v>
      </c>
      <c r="E609" s="17">
        <v>757.91</v>
      </c>
      <c r="F609" s="16">
        <v>0.02</v>
      </c>
      <c r="G609" s="15" t="s">
        <v>32</v>
      </c>
      <c r="H609" s="18">
        <v>-16.05</v>
      </c>
      <c r="I609" s="19">
        <v>30.97</v>
      </c>
      <c r="J609" s="19">
        <v>4</v>
      </c>
      <c r="K609" s="19" t="s">
        <v>44</v>
      </c>
      <c r="L609" s="19" t="s">
        <v>120</v>
      </c>
      <c r="M609" s="15" t="s">
        <v>121</v>
      </c>
      <c r="N609" s="15" t="s">
        <v>64</v>
      </c>
      <c r="O609" s="15" t="s">
        <v>72</v>
      </c>
      <c r="P609" s="20" t="s">
        <v>924</v>
      </c>
      <c r="Q609" s="15" t="s">
        <v>83</v>
      </c>
      <c r="R609" s="4"/>
      <c r="S609" s="4"/>
    </row>
    <row r="610" spans="1:19" ht="21" customHeight="1" x14ac:dyDescent="0.25">
      <c r="A610" s="14">
        <f>DATE(2012,12,31)-326</f>
        <v>40948</v>
      </c>
      <c r="B610" s="15" t="s">
        <v>925</v>
      </c>
      <c r="C610" s="15" t="s">
        <v>31</v>
      </c>
      <c r="D610" s="16">
        <v>2</v>
      </c>
      <c r="E610" s="17">
        <v>381.6</v>
      </c>
      <c r="F610" s="16">
        <v>0.1</v>
      </c>
      <c r="G610" s="15" t="s">
        <v>32</v>
      </c>
      <c r="H610" s="18">
        <v>-319.02</v>
      </c>
      <c r="I610" s="19">
        <v>193.17</v>
      </c>
      <c r="J610" s="19">
        <v>19.989999999999998</v>
      </c>
      <c r="K610" s="19" t="s">
        <v>44</v>
      </c>
      <c r="L610" s="19" t="s">
        <v>89</v>
      </c>
      <c r="M610" s="15" t="s">
        <v>734</v>
      </c>
      <c r="N610" s="15" t="s">
        <v>36</v>
      </c>
      <c r="O610" s="15" t="s">
        <v>37</v>
      </c>
      <c r="P610" s="20" t="s">
        <v>197</v>
      </c>
      <c r="Q610" s="15" t="s">
        <v>83</v>
      </c>
      <c r="R610" s="4"/>
      <c r="S610" s="4"/>
    </row>
    <row r="611" spans="1:19" ht="21" customHeight="1" x14ac:dyDescent="0.25">
      <c r="A611" s="14">
        <f>DATE(2012,12,31)-1038</f>
        <v>40236</v>
      </c>
      <c r="B611" s="15" t="s">
        <v>674</v>
      </c>
      <c r="C611" s="15" t="s">
        <v>31</v>
      </c>
      <c r="D611" s="16">
        <v>19</v>
      </c>
      <c r="E611" s="17">
        <v>138.85</v>
      </c>
      <c r="F611" s="16">
        <v>0.08</v>
      </c>
      <c r="G611" s="15" t="s">
        <v>32</v>
      </c>
      <c r="H611" s="18">
        <v>-49.346499999999999</v>
      </c>
      <c r="I611" s="19">
        <v>7.1</v>
      </c>
      <c r="J611" s="19">
        <v>6.05</v>
      </c>
      <c r="K611" s="19" t="s">
        <v>44</v>
      </c>
      <c r="L611" s="19" t="s">
        <v>45</v>
      </c>
      <c r="M611" s="15" t="s">
        <v>46</v>
      </c>
      <c r="N611" s="15" t="s">
        <v>36</v>
      </c>
      <c r="O611" s="15" t="s">
        <v>170</v>
      </c>
      <c r="P611" s="20" t="s">
        <v>913</v>
      </c>
      <c r="Q611" s="15" t="s">
        <v>83</v>
      </c>
      <c r="R611" s="4"/>
      <c r="S611" s="4"/>
    </row>
    <row r="612" spans="1:19" ht="21" customHeight="1" x14ac:dyDescent="0.25">
      <c r="A612" s="14">
        <f>DATE(2012,12,31)-1453</f>
        <v>39821</v>
      </c>
      <c r="B612" s="15" t="s">
        <v>789</v>
      </c>
      <c r="C612" s="15" t="s">
        <v>51</v>
      </c>
      <c r="D612" s="16">
        <v>16</v>
      </c>
      <c r="E612" s="17">
        <v>64.290000000000006</v>
      </c>
      <c r="F612" s="16">
        <v>7.0000000000000007E-2</v>
      </c>
      <c r="G612" s="15" t="s">
        <v>32</v>
      </c>
      <c r="H612" s="18">
        <v>14.42</v>
      </c>
      <c r="I612" s="19">
        <v>4.13</v>
      </c>
      <c r="J612" s="19">
        <v>0.99</v>
      </c>
      <c r="K612" s="19" t="s">
        <v>44</v>
      </c>
      <c r="L612" s="19" t="s">
        <v>89</v>
      </c>
      <c r="M612" s="15" t="s">
        <v>734</v>
      </c>
      <c r="N612" s="15" t="s">
        <v>36</v>
      </c>
      <c r="O612" s="15" t="s">
        <v>114</v>
      </c>
      <c r="P612" s="20" t="s">
        <v>926</v>
      </c>
      <c r="Q612" s="15" t="s">
        <v>83</v>
      </c>
      <c r="R612" s="4"/>
      <c r="S612" s="4"/>
    </row>
    <row r="613" spans="1:19" ht="21" customHeight="1" x14ac:dyDescent="0.25">
      <c r="A613" s="14">
        <f>DATE(2012,12,31)-1453</f>
        <v>39821</v>
      </c>
      <c r="B613" s="15" t="s">
        <v>789</v>
      </c>
      <c r="C613" s="15" t="s">
        <v>51</v>
      </c>
      <c r="D613" s="16">
        <v>3</v>
      </c>
      <c r="E613" s="17">
        <v>75.77</v>
      </c>
      <c r="F613" s="16">
        <v>0.03</v>
      </c>
      <c r="G613" s="15" t="s">
        <v>32</v>
      </c>
      <c r="H613" s="18">
        <v>64.25</v>
      </c>
      <c r="I613" s="19">
        <v>22.72</v>
      </c>
      <c r="J613" s="19">
        <v>8.99</v>
      </c>
      <c r="K613" s="19" t="s">
        <v>124</v>
      </c>
      <c r="L613" s="19" t="s">
        <v>125</v>
      </c>
      <c r="M613" s="15" t="s">
        <v>126</v>
      </c>
      <c r="N613" s="15" t="s">
        <v>54</v>
      </c>
      <c r="O613" s="15" t="s">
        <v>55</v>
      </c>
      <c r="P613" s="20" t="s">
        <v>927</v>
      </c>
      <c r="Q613" s="15" t="s">
        <v>49</v>
      </c>
      <c r="R613" s="4"/>
      <c r="S613" s="4"/>
    </row>
    <row r="614" spans="1:19" ht="21" customHeight="1" x14ac:dyDescent="0.25">
      <c r="A614" s="14">
        <f>DATE(2012,12,31)-948</f>
        <v>40326</v>
      </c>
      <c r="B614" s="15" t="s">
        <v>667</v>
      </c>
      <c r="C614" s="15" t="s">
        <v>43</v>
      </c>
      <c r="D614" s="16">
        <v>30</v>
      </c>
      <c r="E614" s="17">
        <v>255.74</v>
      </c>
      <c r="F614" s="16">
        <v>7.0000000000000007E-2</v>
      </c>
      <c r="G614" s="15" t="s">
        <v>32</v>
      </c>
      <c r="H614" s="18">
        <v>37.090000000000003</v>
      </c>
      <c r="I614" s="19">
        <v>8.5</v>
      </c>
      <c r="J614" s="19">
        <v>1.99</v>
      </c>
      <c r="K614" s="19" t="s">
        <v>33</v>
      </c>
      <c r="L614" s="19" t="s">
        <v>93</v>
      </c>
      <c r="M614" s="15" t="s">
        <v>94</v>
      </c>
      <c r="N614" s="15" t="s">
        <v>64</v>
      </c>
      <c r="O614" s="15" t="s">
        <v>72</v>
      </c>
      <c r="P614" s="20" t="s">
        <v>928</v>
      </c>
      <c r="Q614" s="15" t="s">
        <v>49</v>
      </c>
      <c r="R614" s="4"/>
      <c r="S614" s="4"/>
    </row>
    <row r="615" spans="1:19" ht="21" customHeight="1" x14ac:dyDescent="0.25">
      <c r="A615" s="14">
        <f>DATE(2012,12,31)-323</f>
        <v>40951</v>
      </c>
      <c r="B615" s="15" t="s">
        <v>929</v>
      </c>
      <c r="C615" s="15" t="s">
        <v>85</v>
      </c>
      <c r="D615" s="16">
        <v>43</v>
      </c>
      <c r="E615" s="17">
        <v>639.71</v>
      </c>
      <c r="F615" s="16">
        <v>0.01</v>
      </c>
      <c r="G615" s="15" t="s">
        <v>101</v>
      </c>
      <c r="H615" s="18">
        <v>102.53</v>
      </c>
      <c r="I615" s="19">
        <v>14.2</v>
      </c>
      <c r="J615" s="19">
        <v>5.3</v>
      </c>
      <c r="K615" s="19" t="s">
        <v>124</v>
      </c>
      <c r="L615" s="19" t="s">
        <v>160</v>
      </c>
      <c r="M615" s="15" t="s">
        <v>888</v>
      </c>
      <c r="N615" s="15" t="s">
        <v>54</v>
      </c>
      <c r="O615" s="15" t="s">
        <v>55</v>
      </c>
      <c r="P615" s="20" t="s">
        <v>930</v>
      </c>
      <c r="Q615" s="15" t="s">
        <v>79</v>
      </c>
      <c r="R615" s="4"/>
      <c r="S615" s="4"/>
    </row>
    <row r="616" spans="1:19" ht="21" customHeight="1" x14ac:dyDescent="0.25">
      <c r="A616" s="14">
        <f>DATE(2012,12,31)-303</f>
        <v>40971</v>
      </c>
      <c r="B616" s="15" t="s">
        <v>931</v>
      </c>
      <c r="C616" s="15" t="s">
        <v>85</v>
      </c>
      <c r="D616" s="16">
        <v>18</v>
      </c>
      <c r="E616" s="17">
        <v>409.16</v>
      </c>
      <c r="F616" s="16">
        <v>0.05</v>
      </c>
      <c r="G616" s="15" t="s">
        <v>32</v>
      </c>
      <c r="H616" s="18">
        <v>21.96</v>
      </c>
      <c r="I616" s="19">
        <v>22.72</v>
      </c>
      <c r="J616" s="19">
        <v>8.99</v>
      </c>
      <c r="K616" s="19" t="s">
        <v>124</v>
      </c>
      <c r="L616" s="19" t="s">
        <v>164</v>
      </c>
      <c r="M616" s="15" t="s">
        <v>754</v>
      </c>
      <c r="N616" s="15" t="s">
        <v>54</v>
      </c>
      <c r="O616" s="15" t="s">
        <v>55</v>
      </c>
      <c r="P616" s="20" t="s">
        <v>927</v>
      </c>
      <c r="Q616" s="15" t="s">
        <v>49</v>
      </c>
      <c r="R616" s="4"/>
      <c r="S616" s="4"/>
    </row>
    <row r="617" spans="1:19" ht="21" customHeight="1" x14ac:dyDescent="0.25">
      <c r="A617" s="14">
        <f>DATE(2012,12,31)-303</f>
        <v>40971</v>
      </c>
      <c r="B617" s="15" t="s">
        <v>931</v>
      </c>
      <c r="C617" s="15" t="s">
        <v>85</v>
      </c>
      <c r="D617" s="16">
        <v>46</v>
      </c>
      <c r="E617" s="17">
        <v>2508.3159999999998</v>
      </c>
      <c r="F617" s="16">
        <v>7.0000000000000007E-2</v>
      </c>
      <c r="G617" s="15" t="s">
        <v>101</v>
      </c>
      <c r="H617" s="18">
        <v>456.81299999999999</v>
      </c>
      <c r="I617" s="19">
        <v>65.989999999999995</v>
      </c>
      <c r="J617" s="19">
        <v>8.99</v>
      </c>
      <c r="K617" s="19" t="s">
        <v>124</v>
      </c>
      <c r="L617" s="19" t="s">
        <v>319</v>
      </c>
      <c r="M617" s="15" t="s">
        <v>320</v>
      </c>
      <c r="N617" s="15" t="s">
        <v>64</v>
      </c>
      <c r="O617" s="15" t="s">
        <v>65</v>
      </c>
      <c r="P617" s="20" t="s">
        <v>692</v>
      </c>
      <c r="Q617" s="15" t="s">
        <v>83</v>
      </c>
      <c r="R617" s="4"/>
      <c r="S617" s="4"/>
    </row>
    <row r="618" spans="1:19" ht="21" customHeight="1" x14ac:dyDescent="0.25">
      <c r="A618" s="14">
        <f>DATE(2012,12,31)-648</f>
        <v>40626</v>
      </c>
      <c r="B618" s="15" t="s">
        <v>932</v>
      </c>
      <c r="C618" s="15" t="s">
        <v>85</v>
      </c>
      <c r="D618" s="16">
        <v>45</v>
      </c>
      <c r="E618" s="17">
        <v>253.89</v>
      </c>
      <c r="F618" s="16">
        <v>0.01</v>
      </c>
      <c r="G618" s="15" t="s">
        <v>32</v>
      </c>
      <c r="H618" s="18">
        <v>-83.66</v>
      </c>
      <c r="I618" s="19">
        <v>5.58</v>
      </c>
      <c r="J618" s="19">
        <v>5.3</v>
      </c>
      <c r="K618" s="19" t="s">
        <v>44</v>
      </c>
      <c r="L618" s="19" t="s">
        <v>52</v>
      </c>
      <c r="M618" s="15" t="s">
        <v>424</v>
      </c>
      <c r="N618" s="15" t="s">
        <v>36</v>
      </c>
      <c r="O618" s="15" t="s">
        <v>189</v>
      </c>
      <c r="P618" s="20" t="s">
        <v>849</v>
      </c>
      <c r="Q618" s="15" t="s">
        <v>83</v>
      </c>
      <c r="R618" s="4"/>
      <c r="S618" s="4"/>
    </row>
    <row r="619" spans="1:19" ht="21" customHeight="1" x14ac:dyDescent="0.25">
      <c r="A619" s="14">
        <f>DATE(2012,12,31)-90</f>
        <v>41184</v>
      </c>
      <c r="B619" s="15" t="s">
        <v>412</v>
      </c>
      <c r="C619" s="15" t="s">
        <v>85</v>
      </c>
      <c r="D619" s="16">
        <v>22</v>
      </c>
      <c r="E619" s="17">
        <v>1556.87</v>
      </c>
      <c r="F619" s="16">
        <v>0.04</v>
      </c>
      <c r="G619" s="15" t="s">
        <v>58</v>
      </c>
      <c r="H619" s="18">
        <v>-521.41999999999996</v>
      </c>
      <c r="I619" s="19">
        <v>68.81</v>
      </c>
      <c r="J619" s="19">
        <v>60</v>
      </c>
      <c r="K619" s="19" t="s">
        <v>44</v>
      </c>
      <c r="L619" s="19" t="s">
        <v>52</v>
      </c>
      <c r="M619" s="15" t="s">
        <v>424</v>
      </c>
      <c r="N619" s="15" t="s">
        <v>36</v>
      </c>
      <c r="O619" s="15" t="s">
        <v>176</v>
      </c>
      <c r="P619" s="20" t="s">
        <v>363</v>
      </c>
      <c r="Q619" s="15" t="s">
        <v>181</v>
      </c>
      <c r="R619" s="4"/>
      <c r="S619" s="4"/>
    </row>
    <row r="620" spans="1:19" ht="21" customHeight="1" x14ac:dyDescent="0.25">
      <c r="A620" s="14">
        <f>DATE(2012,12,31)-90</f>
        <v>41184</v>
      </c>
      <c r="B620" s="15" t="s">
        <v>412</v>
      </c>
      <c r="C620" s="15" t="s">
        <v>85</v>
      </c>
      <c r="D620" s="16">
        <v>33</v>
      </c>
      <c r="E620" s="17">
        <v>195.98</v>
      </c>
      <c r="F620" s="16">
        <v>0.08</v>
      </c>
      <c r="G620" s="15" t="s">
        <v>32</v>
      </c>
      <c r="H620" s="18">
        <v>-71.47</v>
      </c>
      <c r="I620" s="19">
        <v>5.98</v>
      </c>
      <c r="J620" s="19">
        <v>5.35</v>
      </c>
      <c r="K620" s="19" t="s">
        <v>44</v>
      </c>
      <c r="L620" s="19" t="s">
        <v>52</v>
      </c>
      <c r="M620" s="15" t="s">
        <v>424</v>
      </c>
      <c r="N620" s="15" t="s">
        <v>36</v>
      </c>
      <c r="O620" s="15" t="s">
        <v>117</v>
      </c>
      <c r="P620" s="20" t="s">
        <v>933</v>
      </c>
      <c r="Q620" s="15" t="s">
        <v>83</v>
      </c>
      <c r="R620" s="4"/>
      <c r="S620" s="4"/>
    </row>
    <row r="621" spans="1:19" ht="21" customHeight="1" x14ac:dyDescent="0.25">
      <c r="A621" s="14">
        <f>DATE(2012,12,31)-90</f>
        <v>41184</v>
      </c>
      <c r="B621" s="15" t="s">
        <v>412</v>
      </c>
      <c r="C621" s="15" t="s">
        <v>85</v>
      </c>
      <c r="D621" s="16">
        <v>32</v>
      </c>
      <c r="E621" s="17">
        <v>9235.9699999999993</v>
      </c>
      <c r="F621" s="16">
        <v>0.04</v>
      </c>
      <c r="G621" s="15" t="s">
        <v>32</v>
      </c>
      <c r="H621" s="18">
        <v>2848.17</v>
      </c>
      <c r="I621" s="19">
        <v>300.64999999999998</v>
      </c>
      <c r="J621" s="19">
        <v>24.49</v>
      </c>
      <c r="K621" s="19" t="s">
        <v>44</v>
      </c>
      <c r="L621" s="19" t="s">
        <v>52</v>
      </c>
      <c r="M621" s="15" t="s">
        <v>424</v>
      </c>
      <c r="N621" s="15" t="s">
        <v>36</v>
      </c>
      <c r="O621" s="15" t="s">
        <v>176</v>
      </c>
      <c r="P621" s="20" t="s">
        <v>934</v>
      </c>
      <c r="Q621" s="15" t="s">
        <v>39</v>
      </c>
      <c r="R621" s="4"/>
      <c r="S621" s="4"/>
    </row>
    <row r="622" spans="1:19" ht="21" customHeight="1" x14ac:dyDescent="0.25">
      <c r="A622" s="14">
        <f>DATE(2012,12,31)-90</f>
        <v>41184</v>
      </c>
      <c r="B622" s="15" t="s">
        <v>412</v>
      </c>
      <c r="C622" s="15" t="s">
        <v>85</v>
      </c>
      <c r="D622" s="16">
        <v>48</v>
      </c>
      <c r="E622" s="17">
        <v>274.38</v>
      </c>
      <c r="F622" s="16">
        <v>0.04</v>
      </c>
      <c r="G622" s="15" t="s">
        <v>32</v>
      </c>
      <c r="H622" s="18">
        <v>-94.82</v>
      </c>
      <c r="I622" s="19">
        <v>5.78</v>
      </c>
      <c r="J622" s="19">
        <v>5.37</v>
      </c>
      <c r="K622" s="19" t="s">
        <v>111</v>
      </c>
      <c r="L622" s="19" t="s">
        <v>407</v>
      </c>
      <c r="M622" s="15" t="s">
        <v>407</v>
      </c>
      <c r="N622" s="15" t="s">
        <v>36</v>
      </c>
      <c r="O622" s="15" t="s">
        <v>117</v>
      </c>
      <c r="P622" s="20" t="s">
        <v>235</v>
      </c>
      <c r="Q622" s="15" t="s">
        <v>83</v>
      </c>
      <c r="R622" s="4"/>
      <c r="S622" s="4"/>
    </row>
    <row r="623" spans="1:19" ht="21" customHeight="1" x14ac:dyDescent="0.25">
      <c r="A623" s="14">
        <f>DATE(2012,12,31)-139</f>
        <v>41135</v>
      </c>
      <c r="B623" s="15" t="s">
        <v>361</v>
      </c>
      <c r="C623" s="15" t="s">
        <v>85</v>
      </c>
      <c r="D623" s="16">
        <v>8</v>
      </c>
      <c r="E623" s="17">
        <v>17.72</v>
      </c>
      <c r="F623" s="16">
        <v>0.02</v>
      </c>
      <c r="G623" s="15" t="s">
        <v>32</v>
      </c>
      <c r="H623" s="18">
        <v>-15.34</v>
      </c>
      <c r="I623" s="19">
        <v>1.74</v>
      </c>
      <c r="J623" s="19">
        <v>4.08</v>
      </c>
      <c r="K623" s="19" t="s">
        <v>124</v>
      </c>
      <c r="L623" s="19" t="s">
        <v>168</v>
      </c>
      <c r="M623" s="15" t="s">
        <v>169</v>
      </c>
      <c r="N623" s="15" t="s">
        <v>54</v>
      </c>
      <c r="O623" s="15" t="s">
        <v>55</v>
      </c>
      <c r="P623" s="20" t="s">
        <v>935</v>
      </c>
      <c r="Q623" s="15" t="s">
        <v>49</v>
      </c>
      <c r="R623" s="4"/>
      <c r="S623" s="4"/>
    </row>
    <row r="624" spans="1:19" ht="21" customHeight="1" x14ac:dyDescent="0.25">
      <c r="A624" s="14">
        <f>DATE(2012,12,31)-1263</f>
        <v>40011</v>
      </c>
      <c r="B624" s="15" t="s">
        <v>116</v>
      </c>
      <c r="C624" s="15" t="s">
        <v>85</v>
      </c>
      <c r="D624" s="16">
        <v>47</v>
      </c>
      <c r="E624" s="17">
        <v>1505.57</v>
      </c>
      <c r="F624" s="16">
        <v>0.02</v>
      </c>
      <c r="G624" s="15" t="s">
        <v>101</v>
      </c>
      <c r="H624" s="18">
        <v>-54.63</v>
      </c>
      <c r="I624" s="19">
        <v>30.53</v>
      </c>
      <c r="J624" s="19">
        <v>19.989999999999998</v>
      </c>
      <c r="K624" s="19" t="s">
        <v>69</v>
      </c>
      <c r="L624" s="19" t="s">
        <v>70</v>
      </c>
      <c r="M624" s="15" t="s">
        <v>71</v>
      </c>
      <c r="N624" s="15" t="s">
        <v>36</v>
      </c>
      <c r="O624" s="15" t="s">
        <v>114</v>
      </c>
      <c r="P624" s="20" t="s">
        <v>936</v>
      </c>
      <c r="Q624" s="15" t="s">
        <v>83</v>
      </c>
      <c r="R624" s="4"/>
      <c r="S624" s="4"/>
    </row>
    <row r="625" spans="1:19" ht="21" customHeight="1" x14ac:dyDescent="0.25">
      <c r="A625" s="14">
        <f>DATE(2012,12,31)-534</f>
        <v>40740</v>
      </c>
      <c r="B625" s="15" t="s">
        <v>937</v>
      </c>
      <c r="C625" s="15" t="s">
        <v>85</v>
      </c>
      <c r="D625" s="16">
        <v>28</v>
      </c>
      <c r="E625" s="17">
        <v>1165.33</v>
      </c>
      <c r="F625" s="16">
        <v>0.04</v>
      </c>
      <c r="G625" s="15" t="s">
        <v>32</v>
      </c>
      <c r="H625" s="18">
        <v>154.85</v>
      </c>
      <c r="I625" s="19">
        <v>40.97</v>
      </c>
      <c r="J625" s="19">
        <v>8.99</v>
      </c>
      <c r="K625" s="19" t="s">
        <v>44</v>
      </c>
      <c r="L625" s="19" t="s">
        <v>120</v>
      </c>
      <c r="M625" s="15" t="s">
        <v>121</v>
      </c>
      <c r="N625" s="15" t="s">
        <v>36</v>
      </c>
      <c r="O625" s="15" t="s">
        <v>77</v>
      </c>
      <c r="P625" s="20" t="s">
        <v>938</v>
      </c>
      <c r="Q625" s="15" t="s">
        <v>49</v>
      </c>
      <c r="R625" s="4"/>
      <c r="S625" s="4"/>
    </row>
    <row r="626" spans="1:19" ht="21" customHeight="1" x14ac:dyDescent="0.25">
      <c r="A626" s="14">
        <f>DATE(2012,12,31)-1189</f>
        <v>40085</v>
      </c>
      <c r="B626" s="15" t="s">
        <v>172</v>
      </c>
      <c r="C626" s="15" t="s">
        <v>43</v>
      </c>
      <c r="D626" s="16">
        <v>6</v>
      </c>
      <c r="E626" s="17">
        <v>49.04</v>
      </c>
      <c r="F626" s="16">
        <v>0.02</v>
      </c>
      <c r="G626" s="15" t="s">
        <v>32</v>
      </c>
      <c r="H626" s="18">
        <v>7.74</v>
      </c>
      <c r="I626" s="19">
        <v>7.38</v>
      </c>
      <c r="J626" s="19">
        <v>5.21</v>
      </c>
      <c r="K626" s="19" t="s">
        <v>44</v>
      </c>
      <c r="L626" s="19" t="s">
        <v>120</v>
      </c>
      <c r="M626" s="15" t="s">
        <v>121</v>
      </c>
      <c r="N626" s="15" t="s">
        <v>54</v>
      </c>
      <c r="O626" s="15" t="s">
        <v>55</v>
      </c>
      <c r="P626" s="20" t="s">
        <v>154</v>
      </c>
      <c r="Q626" s="15" t="s">
        <v>83</v>
      </c>
      <c r="R626" s="4"/>
      <c r="S626" s="4"/>
    </row>
    <row r="627" spans="1:19" ht="21" customHeight="1" x14ac:dyDescent="0.25">
      <c r="A627" s="14">
        <f>DATE(2012,12,31)-1035</f>
        <v>40239</v>
      </c>
      <c r="B627" s="15" t="s">
        <v>939</v>
      </c>
      <c r="C627" s="15" t="s">
        <v>85</v>
      </c>
      <c r="D627" s="16">
        <v>21</v>
      </c>
      <c r="E627" s="17">
        <v>215.76</v>
      </c>
      <c r="F627" s="16">
        <v>0.09</v>
      </c>
      <c r="G627" s="15" t="s">
        <v>32</v>
      </c>
      <c r="H627" s="18">
        <v>-97.75</v>
      </c>
      <c r="I627" s="19">
        <v>10.9</v>
      </c>
      <c r="J627" s="19">
        <v>7.46</v>
      </c>
      <c r="K627" s="19" t="s">
        <v>44</v>
      </c>
      <c r="L627" s="19" t="s">
        <v>52</v>
      </c>
      <c r="M627" s="15" t="s">
        <v>424</v>
      </c>
      <c r="N627" s="15" t="s">
        <v>36</v>
      </c>
      <c r="O627" s="15" t="s">
        <v>37</v>
      </c>
      <c r="P627" s="20" t="s">
        <v>940</v>
      </c>
      <c r="Q627" s="15" t="s">
        <v>83</v>
      </c>
      <c r="R627" s="4"/>
      <c r="S627" s="4"/>
    </row>
    <row r="628" spans="1:19" ht="21" customHeight="1" x14ac:dyDescent="0.25">
      <c r="A628" s="14">
        <f>DATE(2012,12,31)-436</f>
        <v>40838</v>
      </c>
      <c r="B628" s="15" t="s">
        <v>900</v>
      </c>
      <c r="C628" s="15" t="s">
        <v>85</v>
      </c>
      <c r="D628" s="16">
        <v>4</v>
      </c>
      <c r="E628" s="17">
        <v>640.21</v>
      </c>
      <c r="F628" s="16">
        <v>7.0000000000000007E-2</v>
      </c>
      <c r="G628" s="15" t="s">
        <v>58</v>
      </c>
      <c r="H628" s="18">
        <v>-388.51670000000001</v>
      </c>
      <c r="I628" s="19">
        <v>150.97999999999999</v>
      </c>
      <c r="J628" s="19">
        <v>39.25</v>
      </c>
      <c r="K628" s="19" t="s">
        <v>44</v>
      </c>
      <c r="L628" s="19" t="s">
        <v>52</v>
      </c>
      <c r="M628" s="15" t="s">
        <v>424</v>
      </c>
      <c r="N628" s="15" t="s">
        <v>54</v>
      </c>
      <c r="O628" s="15" t="s">
        <v>61</v>
      </c>
      <c r="P628" s="20" t="s">
        <v>941</v>
      </c>
      <c r="Q628" s="15" t="s">
        <v>63</v>
      </c>
      <c r="R628" s="4"/>
      <c r="S628" s="4"/>
    </row>
    <row r="629" spans="1:19" ht="21" customHeight="1" x14ac:dyDescent="0.25">
      <c r="A629" s="14">
        <f>DATE(2012,12,31)-1337</f>
        <v>39937</v>
      </c>
      <c r="B629" s="15" t="s">
        <v>942</v>
      </c>
      <c r="C629" s="15" t="s">
        <v>85</v>
      </c>
      <c r="D629" s="16">
        <v>35</v>
      </c>
      <c r="E629" s="17">
        <v>179.45</v>
      </c>
      <c r="F629" s="16">
        <v>7.0000000000000007E-2</v>
      </c>
      <c r="G629" s="15" t="s">
        <v>32</v>
      </c>
      <c r="H629" s="18">
        <v>-116.3455</v>
      </c>
      <c r="I629" s="19">
        <v>5.34</v>
      </c>
      <c r="J629" s="19">
        <v>5.63</v>
      </c>
      <c r="K629" s="19" t="s">
        <v>111</v>
      </c>
      <c r="L629" s="19" t="s">
        <v>112</v>
      </c>
      <c r="M629" s="15" t="s">
        <v>865</v>
      </c>
      <c r="N629" s="15" t="s">
        <v>36</v>
      </c>
      <c r="O629" s="15" t="s">
        <v>170</v>
      </c>
      <c r="P629" s="20" t="s">
        <v>943</v>
      </c>
      <c r="Q629" s="15" t="s">
        <v>83</v>
      </c>
      <c r="R629" s="4"/>
      <c r="S629" s="4"/>
    </row>
    <row r="630" spans="1:19" ht="21" customHeight="1" x14ac:dyDescent="0.25">
      <c r="A630" s="14">
        <f>DATE(2012,12,31)-1337</f>
        <v>39937</v>
      </c>
      <c r="B630" s="15" t="s">
        <v>942</v>
      </c>
      <c r="C630" s="15" t="s">
        <v>85</v>
      </c>
      <c r="D630" s="16">
        <v>49</v>
      </c>
      <c r="E630" s="17">
        <v>7987.43</v>
      </c>
      <c r="F630" s="16">
        <v>0.03</v>
      </c>
      <c r="G630" s="15" t="s">
        <v>58</v>
      </c>
      <c r="H630" s="18">
        <v>1304.9000000000001</v>
      </c>
      <c r="I630" s="19">
        <v>160.97999999999999</v>
      </c>
      <c r="J630" s="19">
        <v>30</v>
      </c>
      <c r="K630" s="19" t="s">
        <v>33</v>
      </c>
      <c r="L630" s="19" t="s">
        <v>93</v>
      </c>
      <c r="M630" s="15" t="s">
        <v>94</v>
      </c>
      <c r="N630" s="15" t="s">
        <v>54</v>
      </c>
      <c r="O630" s="15" t="s">
        <v>252</v>
      </c>
      <c r="P630" s="20" t="s">
        <v>726</v>
      </c>
      <c r="Q630" s="15" t="s">
        <v>181</v>
      </c>
      <c r="R630" s="4"/>
      <c r="S630" s="4"/>
    </row>
    <row r="631" spans="1:19" ht="21" customHeight="1" x14ac:dyDescent="0.25">
      <c r="A631" s="14">
        <f>DATE(2012,12,31)-1337</f>
        <v>39937</v>
      </c>
      <c r="B631" s="15" t="s">
        <v>942</v>
      </c>
      <c r="C631" s="15" t="s">
        <v>85</v>
      </c>
      <c r="D631" s="16">
        <v>42</v>
      </c>
      <c r="E631" s="17">
        <v>2455.2759999999998</v>
      </c>
      <c r="F631" s="16">
        <v>0.04</v>
      </c>
      <c r="G631" s="15" t="s">
        <v>101</v>
      </c>
      <c r="H631" s="18">
        <v>693.0630000000001</v>
      </c>
      <c r="I631" s="19">
        <v>65.989999999999995</v>
      </c>
      <c r="J631" s="19">
        <v>5.63</v>
      </c>
      <c r="K631" s="19" t="s">
        <v>124</v>
      </c>
      <c r="L631" s="19" t="s">
        <v>160</v>
      </c>
      <c r="M631" s="15" t="s">
        <v>888</v>
      </c>
      <c r="N631" s="15" t="s">
        <v>64</v>
      </c>
      <c r="O631" s="15" t="s">
        <v>65</v>
      </c>
      <c r="P631" s="20" t="s">
        <v>695</v>
      </c>
      <c r="Q631" s="15" t="s">
        <v>83</v>
      </c>
      <c r="R631" s="4"/>
      <c r="S631" s="4"/>
    </row>
    <row r="632" spans="1:19" ht="21" customHeight="1" x14ac:dyDescent="0.25">
      <c r="A632" s="14">
        <f>DATE(2012,12,31)-318</f>
        <v>40956</v>
      </c>
      <c r="B632" s="15" t="s">
        <v>333</v>
      </c>
      <c r="C632" s="15" t="s">
        <v>51</v>
      </c>
      <c r="D632" s="16">
        <v>20</v>
      </c>
      <c r="E632" s="17">
        <v>2592.4319999999998</v>
      </c>
      <c r="F632" s="16">
        <v>0.06</v>
      </c>
      <c r="G632" s="15" t="s">
        <v>32</v>
      </c>
      <c r="H632" s="18">
        <v>428.47199999999998</v>
      </c>
      <c r="I632" s="19">
        <v>155.99</v>
      </c>
      <c r="J632" s="19">
        <v>3.9</v>
      </c>
      <c r="K632" s="19" t="s">
        <v>33</v>
      </c>
      <c r="L632" s="19" t="s">
        <v>59</v>
      </c>
      <c r="M632" s="15" t="s">
        <v>60</v>
      </c>
      <c r="N632" s="15" t="s">
        <v>64</v>
      </c>
      <c r="O632" s="15" t="s">
        <v>65</v>
      </c>
      <c r="P632" s="20" t="s">
        <v>686</v>
      </c>
      <c r="Q632" s="15" t="s">
        <v>83</v>
      </c>
      <c r="R632" s="4"/>
      <c r="S632" s="4"/>
    </row>
    <row r="633" spans="1:19" ht="21" customHeight="1" x14ac:dyDescent="0.25">
      <c r="A633" s="14">
        <f>DATE(2012,12,31)-185</f>
        <v>41089</v>
      </c>
      <c r="B633" s="15" t="s">
        <v>944</v>
      </c>
      <c r="C633" s="15" t="s">
        <v>31</v>
      </c>
      <c r="D633" s="16">
        <v>46</v>
      </c>
      <c r="E633" s="17">
        <v>7441.29</v>
      </c>
      <c r="F633" s="16">
        <v>0.1</v>
      </c>
      <c r="G633" s="15" t="s">
        <v>32</v>
      </c>
      <c r="H633" s="18">
        <v>2665.3960000000002</v>
      </c>
      <c r="I633" s="19">
        <v>165.98</v>
      </c>
      <c r="J633" s="19">
        <v>19.989999999999998</v>
      </c>
      <c r="K633" s="19" t="s">
        <v>33</v>
      </c>
      <c r="L633" s="19" t="s">
        <v>59</v>
      </c>
      <c r="M633" s="15" t="s">
        <v>60</v>
      </c>
      <c r="N633" s="15" t="s">
        <v>36</v>
      </c>
      <c r="O633" s="15" t="s">
        <v>170</v>
      </c>
      <c r="P633" s="20" t="s">
        <v>945</v>
      </c>
      <c r="Q633" s="15" t="s">
        <v>83</v>
      </c>
      <c r="R633" s="4"/>
      <c r="S633" s="4"/>
    </row>
    <row r="634" spans="1:19" ht="21" customHeight="1" x14ac:dyDescent="0.25">
      <c r="A634" s="14">
        <f>DATE(2012,12,31)-590</f>
        <v>40684</v>
      </c>
      <c r="B634" s="15" t="s">
        <v>946</v>
      </c>
      <c r="C634" s="15" t="s">
        <v>85</v>
      </c>
      <c r="D634" s="16">
        <v>12</v>
      </c>
      <c r="E634" s="17">
        <v>313.43</v>
      </c>
      <c r="F634" s="16">
        <v>0.02</v>
      </c>
      <c r="G634" s="15" t="s">
        <v>32</v>
      </c>
      <c r="H634" s="18">
        <v>104.03</v>
      </c>
      <c r="I634" s="19">
        <v>25.38</v>
      </c>
      <c r="J634" s="19">
        <v>8.99</v>
      </c>
      <c r="K634" s="19" t="s">
        <v>33</v>
      </c>
      <c r="L634" s="19" t="s">
        <v>145</v>
      </c>
      <c r="M634" s="15" t="s">
        <v>146</v>
      </c>
      <c r="N634" s="15" t="s">
        <v>54</v>
      </c>
      <c r="O634" s="15" t="s">
        <v>55</v>
      </c>
      <c r="P634" s="20" t="s">
        <v>947</v>
      </c>
      <c r="Q634" s="15" t="s">
        <v>49</v>
      </c>
      <c r="R634" s="4"/>
      <c r="S634" s="4"/>
    </row>
    <row r="635" spans="1:19" ht="21" customHeight="1" x14ac:dyDescent="0.25">
      <c r="A635" s="14">
        <f>DATE(2012,12,31)-590</f>
        <v>40684</v>
      </c>
      <c r="B635" s="15" t="s">
        <v>946</v>
      </c>
      <c r="C635" s="15" t="s">
        <v>85</v>
      </c>
      <c r="D635" s="16">
        <v>17</v>
      </c>
      <c r="E635" s="17">
        <v>390.11</v>
      </c>
      <c r="F635" s="16">
        <v>0.02</v>
      </c>
      <c r="G635" s="15" t="s">
        <v>32</v>
      </c>
      <c r="H635" s="18">
        <v>-19.920000000000002</v>
      </c>
      <c r="I635" s="19">
        <v>21.38</v>
      </c>
      <c r="J635" s="19">
        <v>8.99</v>
      </c>
      <c r="K635" s="19" t="s">
        <v>33</v>
      </c>
      <c r="L635" s="19" t="s">
        <v>34</v>
      </c>
      <c r="M635" s="15" t="s">
        <v>35</v>
      </c>
      <c r="N635" s="15" t="s">
        <v>36</v>
      </c>
      <c r="O635" s="15" t="s">
        <v>77</v>
      </c>
      <c r="P635" s="20" t="s">
        <v>948</v>
      </c>
      <c r="Q635" s="15" t="s">
        <v>49</v>
      </c>
      <c r="R635" s="4"/>
      <c r="S635" s="4"/>
    </row>
    <row r="636" spans="1:19" ht="21" customHeight="1" x14ac:dyDescent="0.25">
      <c r="A636" s="14">
        <f>DATE(2012,12,31)-1188</f>
        <v>40086</v>
      </c>
      <c r="B636" s="15" t="s">
        <v>418</v>
      </c>
      <c r="C636" s="15" t="s">
        <v>85</v>
      </c>
      <c r="D636" s="16">
        <v>47</v>
      </c>
      <c r="E636" s="17">
        <v>992.95</v>
      </c>
      <c r="F636" s="16">
        <v>0.04</v>
      </c>
      <c r="G636" s="15" t="s">
        <v>32</v>
      </c>
      <c r="H636" s="18">
        <v>-65.209999999999994</v>
      </c>
      <c r="I636" s="19">
        <v>21.38</v>
      </c>
      <c r="J636" s="19">
        <v>8.99</v>
      </c>
      <c r="K636" s="19" t="s">
        <v>33</v>
      </c>
      <c r="L636" s="19" t="s">
        <v>145</v>
      </c>
      <c r="M636" s="15" t="s">
        <v>146</v>
      </c>
      <c r="N636" s="15" t="s">
        <v>36</v>
      </c>
      <c r="O636" s="15" t="s">
        <v>77</v>
      </c>
      <c r="P636" s="20" t="s">
        <v>948</v>
      </c>
      <c r="Q636" s="15" t="s">
        <v>49</v>
      </c>
      <c r="R636" s="4"/>
      <c r="S636" s="4"/>
    </row>
    <row r="637" spans="1:19" ht="21" customHeight="1" x14ac:dyDescent="0.25">
      <c r="A637" s="14">
        <f>DATE(2012,12,31)-1429</f>
        <v>39845</v>
      </c>
      <c r="B637" s="15" t="s">
        <v>944</v>
      </c>
      <c r="C637" s="15" t="s">
        <v>31</v>
      </c>
      <c r="D637" s="16">
        <v>17</v>
      </c>
      <c r="E637" s="17">
        <v>55.45</v>
      </c>
      <c r="F637" s="16">
        <v>0.01</v>
      </c>
      <c r="G637" s="15" t="s">
        <v>32</v>
      </c>
      <c r="H637" s="18">
        <v>21.42</v>
      </c>
      <c r="I637" s="19">
        <v>3.08</v>
      </c>
      <c r="J637" s="19">
        <v>0.5</v>
      </c>
      <c r="K637" s="19" t="s">
        <v>33</v>
      </c>
      <c r="L637" s="19" t="s">
        <v>59</v>
      </c>
      <c r="M637" s="15" t="s">
        <v>60</v>
      </c>
      <c r="N637" s="15" t="s">
        <v>36</v>
      </c>
      <c r="O637" s="15" t="s">
        <v>114</v>
      </c>
      <c r="P637" s="20" t="s">
        <v>949</v>
      </c>
      <c r="Q637" s="15" t="s">
        <v>83</v>
      </c>
      <c r="R637" s="4"/>
      <c r="S637" s="4"/>
    </row>
    <row r="638" spans="1:19" ht="21" customHeight="1" x14ac:dyDescent="0.25">
      <c r="A638" s="14">
        <f>DATE(2012,12,31)-813</f>
        <v>40461</v>
      </c>
      <c r="B638" s="15" t="s">
        <v>950</v>
      </c>
      <c r="C638" s="15" t="s">
        <v>85</v>
      </c>
      <c r="D638" s="16">
        <v>39</v>
      </c>
      <c r="E638" s="17">
        <v>279.29000000000002</v>
      </c>
      <c r="F638" s="16">
        <v>7.0000000000000007E-2</v>
      </c>
      <c r="G638" s="15" t="s">
        <v>32</v>
      </c>
      <c r="H638" s="18">
        <v>14.15</v>
      </c>
      <c r="I638" s="19">
        <v>7.59</v>
      </c>
      <c r="J638" s="19">
        <v>4</v>
      </c>
      <c r="K638" s="19" t="s">
        <v>69</v>
      </c>
      <c r="L638" s="19" t="s">
        <v>70</v>
      </c>
      <c r="M638" s="15" t="s">
        <v>71</v>
      </c>
      <c r="N638" s="15" t="s">
        <v>54</v>
      </c>
      <c r="O638" s="15" t="s">
        <v>55</v>
      </c>
      <c r="P638" s="20" t="s">
        <v>951</v>
      </c>
      <c r="Q638" s="15" t="s">
        <v>79</v>
      </c>
      <c r="R638" s="4"/>
      <c r="S638" s="4"/>
    </row>
    <row r="639" spans="1:19" ht="21" customHeight="1" x14ac:dyDescent="0.25">
      <c r="A639" s="14">
        <f>DATE(2012,12,31)-1043</f>
        <v>40231</v>
      </c>
      <c r="B639" s="15" t="s">
        <v>952</v>
      </c>
      <c r="C639" s="15" t="s">
        <v>85</v>
      </c>
      <c r="D639" s="16">
        <v>50</v>
      </c>
      <c r="E639" s="17">
        <v>325.24</v>
      </c>
      <c r="F639" s="16">
        <v>0.05</v>
      </c>
      <c r="G639" s="15" t="s">
        <v>32</v>
      </c>
      <c r="H639" s="18">
        <v>-79.418999999999997</v>
      </c>
      <c r="I639" s="19">
        <v>6.54</v>
      </c>
      <c r="J639" s="19">
        <v>5.27</v>
      </c>
      <c r="K639" s="19" t="s">
        <v>69</v>
      </c>
      <c r="L639" s="19" t="s">
        <v>75</v>
      </c>
      <c r="M639" s="15" t="s">
        <v>76</v>
      </c>
      <c r="N639" s="15" t="s">
        <v>36</v>
      </c>
      <c r="O639" s="15" t="s">
        <v>170</v>
      </c>
      <c r="P639" s="20" t="s">
        <v>182</v>
      </c>
      <c r="Q639" s="15" t="s">
        <v>83</v>
      </c>
      <c r="R639" s="4"/>
      <c r="S639" s="4"/>
    </row>
    <row r="640" spans="1:19" ht="21" customHeight="1" x14ac:dyDescent="0.25">
      <c r="A640" s="14">
        <f>DATE(2012,12,31)-434</f>
        <v>40840</v>
      </c>
      <c r="B640" s="15" t="s">
        <v>789</v>
      </c>
      <c r="C640" s="15" t="s">
        <v>31</v>
      </c>
      <c r="D640" s="16">
        <v>43</v>
      </c>
      <c r="E640" s="17">
        <v>6077.11</v>
      </c>
      <c r="F640" s="16">
        <v>0.06</v>
      </c>
      <c r="G640" s="15" t="s">
        <v>58</v>
      </c>
      <c r="H640" s="18">
        <v>-353.65987800000011</v>
      </c>
      <c r="I640" s="19">
        <v>146.34</v>
      </c>
      <c r="J640" s="19">
        <v>43.75</v>
      </c>
      <c r="K640" s="19" t="s">
        <v>69</v>
      </c>
      <c r="L640" s="19" t="s">
        <v>70</v>
      </c>
      <c r="M640" s="15" t="s">
        <v>71</v>
      </c>
      <c r="N640" s="15" t="s">
        <v>54</v>
      </c>
      <c r="O640" s="15" t="s">
        <v>61</v>
      </c>
      <c r="P640" s="20" t="s">
        <v>953</v>
      </c>
      <c r="Q640" s="15" t="s">
        <v>63</v>
      </c>
      <c r="R640" s="4"/>
      <c r="S640" s="4"/>
    </row>
    <row r="641" spans="1:19" ht="21" customHeight="1" x14ac:dyDescent="0.25">
      <c r="A641" s="14">
        <f>DATE(2012,12,31)-1342</f>
        <v>39932</v>
      </c>
      <c r="B641" s="15" t="s">
        <v>725</v>
      </c>
      <c r="C641" s="15" t="s">
        <v>85</v>
      </c>
      <c r="D641" s="16">
        <v>28</v>
      </c>
      <c r="E641" s="17">
        <v>2841.4395</v>
      </c>
      <c r="F641" s="16">
        <v>0.08</v>
      </c>
      <c r="G641" s="15" t="s">
        <v>32</v>
      </c>
      <c r="H641" s="18">
        <v>374.625</v>
      </c>
      <c r="I641" s="19">
        <v>125.99</v>
      </c>
      <c r="J641" s="19">
        <v>7.69</v>
      </c>
      <c r="K641" s="19" t="s">
        <v>69</v>
      </c>
      <c r="L641" s="19" t="s">
        <v>75</v>
      </c>
      <c r="M641" s="15" t="s">
        <v>76</v>
      </c>
      <c r="N641" s="15" t="s">
        <v>64</v>
      </c>
      <c r="O641" s="15" t="s">
        <v>65</v>
      </c>
      <c r="P641" s="20" t="s">
        <v>954</v>
      </c>
      <c r="Q641" s="15" t="s">
        <v>83</v>
      </c>
      <c r="R641" s="4"/>
      <c r="S641" s="4"/>
    </row>
    <row r="642" spans="1:19" ht="21" customHeight="1" x14ac:dyDescent="0.25">
      <c r="A642" s="14">
        <f>DATE(2012,12,31)-290</f>
        <v>40984</v>
      </c>
      <c r="B642" s="15" t="s">
        <v>602</v>
      </c>
      <c r="C642" s="15" t="s">
        <v>85</v>
      </c>
      <c r="D642" s="16">
        <v>7</v>
      </c>
      <c r="E642" s="17">
        <v>887.94</v>
      </c>
      <c r="F642" s="16">
        <v>0.02</v>
      </c>
      <c r="G642" s="15" t="s">
        <v>32</v>
      </c>
      <c r="H642" s="18">
        <v>49.45</v>
      </c>
      <c r="I642" s="19">
        <v>120.97</v>
      </c>
      <c r="J642" s="19">
        <v>7.11</v>
      </c>
      <c r="K642" s="19" t="s">
        <v>69</v>
      </c>
      <c r="L642" s="19" t="s">
        <v>215</v>
      </c>
      <c r="M642" s="15" t="s">
        <v>828</v>
      </c>
      <c r="N642" s="15" t="s">
        <v>64</v>
      </c>
      <c r="O642" s="15" t="s">
        <v>122</v>
      </c>
      <c r="P642" s="20" t="s">
        <v>955</v>
      </c>
      <c r="Q642" s="15" t="s">
        <v>57</v>
      </c>
      <c r="R642" s="4"/>
      <c r="S642" s="4"/>
    </row>
    <row r="643" spans="1:19" ht="21" customHeight="1" x14ac:dyDescent="0.25">
      <c r="A643" s="14">
        <f>DATE(2012,12,31)-1374</f>
        <v>39900</v>
      </c>
      <c r="B643" s="15" t="s">
        <v>956</v>
      </c>
      <c r="C643" s="15" t="s">
        <v>85</v>
      </c>
      <c r="D643" s="16">
        <v>42</v>
      </c>
      <c r="E643" s="17">
        <v>294.77999999999997</v>
      </c>
      <c r="F643" s="16">
        <v>0.05</v>
      </c>
      <c r="G643" s="15" t="s">
        <v>32</v>
      </c>
      <c r="H643" s="18">
        <v>-113.45</v>
      </c>
      <c r="I643" s="19">
        <v>6.68</v>
      </c>
      <c r="J643" s="19">
        <v>6.93</v>
      </c>
      <c r="K643" s="19" t="s">
        <v>69</v>
      </c>
      <c r="L643" s="19" t="s">
        <v>215</v>
      </c>
      <c r="M643" s="15" t="s">
        <v>828</v>
      </c>
      <c r="N643" s="15" t="s">
        <v>36</v>
      </c>
      <c r="O643" s="15" t="s">
        <v>117</v>
      </c>
      <c r="P643" s="20" t="s">
        <v>957</v>
      </c>
      <c r="Q643" s="15" t="s">
        <v>83</v>
      </c>
      <c r="R643" s="4"/>
      <c r="S643" s="4"/>
    </row>
    <row r="644" spans="1:19" ht="21" customHeight="1" x14ac:dyDescent="0.25">
      <c r="A644" s="14">
        <f>DATE(2012,12,31)-1080</f>
        <v>40194</v>
      </c>
      <c r="B644" s="15" t="s">
        <v>116</v>
      </c>
      <c r="C644" s="15" t="s">
        <v>43</v>
      </c>
      <c r="D644" s="16">
        <v>33</v>
      </c>
      <c r="E644" s="17">
        <v>126.38</v>
      </c>
      <c r="F644" s="16">
        <v>0.08</v>
      </c>
      <c r="G644" s="15" t="s">
        <v>32</v>
      </c>
      <c r="H644" s="18">
        <v>26.64</v>
      </c>
      <c r="I644" s="19">
        <v>4</v>
      </c>
      <c r="J644" s="19">
        <v>1.3</v>
      </c>
      <c r="K644" s="19" t="s">
        <v>69</v>
      </c>
      <c r="L644" s="19" t="s">
        <v>75</v>
      </c>
      <c r="M644" s="15" t="s">
        <v>76</v>
      </c>
      <c r="N644" s="15" t="s">
        <v>36</v>
      </c>
      <c r="O644" s="15" t="s">
        <v>117</v>
      </c>
      <c r="P644" s="20" t="s">
        <v>958</v>
      </c>
      <c r="Q644" s="15" t="s">
        <v>79</v>
      </c>
      <c r="R644" s="4"/>
      <c r="S644" s="4"/>
    </row>
    <row r="645" spans="1:19" ht="21" customHeight="1" x14ac:dyDescent="0.25">
      <c r="A645" s="14">
        <f>DATE(2012,12,31)-1080</f>
        <v>40194</v>
      </c>
      <c r="B645" s="15" t="s">
        <v>116</v>
      </c>
      <c r="C645" s="15" t="s">
        <v>43</v>
      </c>
      <c r="D645" s="16">
        <v>4</v>
      </c>
      <c r="E645" s="17">
        <v>33.1</v>
      </c>
      <c r="F645" s="16">
        <v>0.06</v>
      </c>
      <c r="G645" s="15" t="s">
        <v>32</v>
      </c>
      <c r="H645" s="18">
        <v>-24.15</v>
      </c>
      <c r="I645" s="19">
        <v>6.48</v>
      </c>
      <c r="J645" s="19">
        <v>8.74</v>
      </c>
      <c r="K645" s="19" t="s">
        <v>111</v>
      </c>
      <c r="L645" s="19" t="s">
        <v>442</v>
      </c>
      <c r="M645" s="15" t="s">
        <v>443</v>
      </c>
      <c r="N645" s="15" t="s">
        <v>36</v>
      </c>
      <c r="O645" s="15" t="s">
        <v>117</v>
      </c>
      <c r="P645" s="20" t="s">
        <v>179</v>
      </c>
      <c r="Q645" s="15" t="s">
        <v>83</v>
      </c>
      <c r="R645" s="4"/>
      <c r="S645" s="4"/>
    </row>
    <row r="646" spans="1:19" ht="21" customHeight="1" x14ac:dyDescent="0.25">
      <c r="A646" s="14">
        <f>DATE(2012,12,31)-1099</f>
        <v>40175</v>
      </c>
      <c r="B646" s="15" t="s">
        <v>796</v>
      </c>
      <c r="C646" s="15" t="s">
        <v>51</v>
      </c>
      <c r="D646" s="16">
        <v>32</v>
      </c>
      <c r="E646" s="17">
        <v>3730.54</v>
      </c>
      <c r="F646" s="16">
        <v>7.0000000000000007E-2</v>
      </c>
      <c r="G646" s="15" t="s">
        <v>58</v>
      </c>
      <c r="H646" s="18">
        <v>1369.09</v>
      </c>
      <c r="I646" s="19">
        <v>119.99</v>
      </c>
      <c r="J646" s="19">
        <v>16.8</v>
      </c>
      <c r="K646" s="19" t="s">
        <v>44</v>
      </c>
      <c r="L646" s="19" t="s">
        <v>89</v>
      </c>
      <c r="M646" s="15" t="s">
        <v>734</v>
      </c>
      <c r="N646" s="15" t="s">
        <v>64</v>
      </c>
      <c r="O646" s="15" t="s">
        <v>122</v>
      </c>
      <c r="P646" s="20" t="s">
        <v>959</v>
      </c>
      <c r="Q646" s="15" t="s">
        <v>63</v>
      </c>
      <c r="R646" s="4"/>
      <c r="S646" s="4"/>
    </row>
    <row r="647" spans="1:19" ht="21" customHeight="1" x14ac:dyDescent="0.25">
      <c r="A647" s="14">
        <f>DATE(2012,12,31)-110</f>
        <v>41164</v>
      </c>
      <c r="B647" s="15" t="s">
        <v>820</v>
      </c>
      <c r="C647" s="15" t="s">
        <v>31</v>
      </c>
      <c r="D647" s="16">
        <v>45</v>
      </c>
      <c r="E647" s="17">
        <v>282.70999999999998</v>
      </c>
      <c r="F647" s="16">
        <v>0.09</v>
      </c>
      <c r="G647" s="15" t="s">
        <v>32</v>
      </c>
      <c r="H647" s="18">
        <v>-141.44</v>
      </c>
      <c r="I647" s="19">
        <v>6.48</v>
      </c>
      <c r="J647" s="19">
        <v>6.74</v>
      </c>
      <c r="K647" s="19" t="s">
        <v>44</v>
      </c>
      <c r="L647" s="19" t="s">
        <v>89</v>
      </c>
      <c r="M647" s="15" t="s">
        <v>734</v>
      </c>
      <c r="N647" s="15" t="s">
        <v>36</v>
      </c>
      <c r="O647" s="15" t="s">
        <v>117</v>
      </c>
      <c r="P647" s="20" t="s">
        <v>914</v>
      </c>
      <c r="Q647" s="15" t="s">
        <v>83</v>
      </c>
      <c r="R647" s="4"/>
      <c r="S647" s="4"/>
    </row>
    <row r="648" spans="1:19" ht="21" customHeight="1" x14ac:dyDescent="0.25">
      <c r="A648" s="14">
        <f>DATE(2012,12,31)-110</f>
        <v>41164</v>
      </c>
      <c r="B648" s="15" t="s">
        <v>820</v>
      </c>
      <c r="C648" s="15" t="s">
        <v>31</v>
      </c>
      <c r="D648" s="16">
        <v>48</v>
      </c>
      <c r="E648" s="17">
        <v>724.13</v>
      </c>
      <c r="F648" s="16">
        <v>0.01</v>
      </c>
      <c r="G648" s="15" t="s">
        <v>32</v>
      </c>
      <c r="H648" s="18">
        <v>-250.53</v>
      </c>
      <c r="I648" s="19">
        <v>14.81</v>
      </c>
      <c r="J648" s="19">
        <v>13.32</v>
      </c>
      <c r="K648" s="19" t="s">
        <v>44</v>
      </c>
      <c r="L648" s="19" t="s">
        <v>89</v>
      </c>
      <c r="M648" s="15" t="s">
        <v>734</v>
      </c>
      <c r="N648" s="15" t="s">
        <v>36</v>
      </c>
      <c r="O648" s="15" t="s">
        <v>176</v>
      </c>
      <c r="P648" s="20" t="s">
        <v>638</v>
      </c>
      <c r="Q648" s="15" t="s">
        <v>83</v>
      </c>
      <c r="R648" s="4"/>
      <c r="S648" s="4"/>
    </row>
    <row r="649" spans="1:19" ht="21" customHeight="1" x14ac:dyDescent="0.25">
      <c r="A649" s="14">
        <f>DATE(2012,12,31)-110</f>
        <v>41164</v>
      </c>
      <c r="B649" s="15" t="s">
        <v>820</v>
      </c>
      <c r="C649" s="15" t="s">
        <v>31</v>
      </c>
      <c r="D649" s="16">
        <v>15</v>
      </c>
      <c r="E649" s="17">
        <v>294.66000000000003</v>
      </c>
      <c r="F649" s="16">
        <v>7.0000000000000007E-2</v>
      </c>
      <c r="G649" s="15" t="s">
        <v>32</v>
      </c>
      <c r="H649" s="18">
        <v>86.33</v>
      </c>
      <c r="I649" s="19">
        <v>20.239999999999998</v>
      </c>
      <c r="J649" s="19">
        <v>6.67</v>
      </c>
      <c r="K649" s="19" t="s">
        <v>44</v>
      </c>
      <c r="L649" s="19" t="s">
        <v>45</v>
      </c>
      <c r="M649" s="15" t="s">
        <v>46</v>
      </c>
      <c r="N649" s="15" t="s">
        <v>54</v>
      </c>
      <c r="O649" s="15" t="s">
        <v>55</v>
      </c>
      <c r="P649" s="20" t="s">
        <v>960</v>
      </c>
      <c r="Q649" s="15" t="s">
        <v>49</v>
      </c>
      <c r="R649" s="4"/>
      <c r="S649" s="4"/>
    </row>
    <row r="650" spans="1:19" ht="21" customHeight="1" x14ac:dyDescent="0.25">
      <c r="A650" s="14">
        <f>DATE(2012,12,31)-397</f>
        <v>40877</v>
      </c>
      <c r="B650" s="15" t="s">
        <v>961</v>
      </c>
      <c r="C650" s="15" t="s">
        <v>51</v>
      </c>
      <c r="D650" s="16">
        <v>40</v>
      </c>
      <c r="E650" s="17">
        <v>1765.05</v>
      </c>
      <c r="F650" s="16">
        <v>0.05</v>
      </c>
      <c r="G650" s="15" t="s">
        <v>32</v>
      </c>
      <c r="H650" s="18">
        <v>749.21550000000002</v>
      </c>
      <c r="I650" s="19">
        <v>43.41</v>
      </c>
      <c r="J650" s="19">
        <v>2.99</v>
      </c>
      <c r="K650" s="19" t="s">
        <v>44</v>
      </c>
      <c r="L650" s="19" t="s">
        <v>89</v>
      </c>
      <c r="M650" s="15" t="s">
        <v>734</v>
      </c>
      <c r="N650" s="15" t="s">
        <v>36</v>
      </c>
      <c r="O650" s="15" t="s">
        <v>170</v>
      </c>
      <c r="P650" s="20" t="s">
        <v>962</v>
      </c>
      <c r="Q650" s="15" t="s">
        <v>83</v>
      </c>
      <c r="R650" s="4"/>
      <c r="S650" s="4"/>
    </row>
    <row r="651" spans="1:19" ht="21" customHeight="1" x14ac:dyDescent="0.25">
      <c r="A651" s="14">
        <f>DATE(2012,12,31)-778</f>
        <v>40496</v>
      </c>
      <c r="B651" s="15" t="s">
        <v>797</v>
      </c>
      <c r="C651" s="15" t="s">
        <v>43</v>
      </c>
      <c r="D651" s="16">
        <v>28</v>
      </c>
      <c r="E651" s="17">
        <v>7384.54</v>
      </c>
      <c r="F651" s="16">
        <v>0.09</v>
      </c>
      <c r="G651" s="15" t="s">
        <v>58</v>
      </c>
      <c r="H651" s="18">
        <v>-2301.5278000000003</v>
      </c>
      <c r="I651" s="19">
        <v>280.98</v>
      </c>
      <c r="J651" s="19">
        <v>81.98</v>
      </c>
      <c r="K651" s="19" t="s">
        <v>44</v>
      </c>
      <c r="L651" s="19" t="s">
        <v>45</v>
      </c>
      <c r="M651" s="15" t="s">
        <v>46</v>
      </c>
      <c r="N651" s="15" t="s">
        <v>54</v>
      </c>
      <c r="O651" s="15" t="s">
        <v>61</v>
      </c>
      <c r="P651" s="20" t="s">
        <v>368</v>
      </c>
      <c r="Q651" s="15" t="s">
        <v>63</v>
      </c>
      <c r="R651" s="4"/>
      <c r="S651" s="4"/>
    </row>
    <row r="652" spans="1:19" ht="21" customHeight="1" x14ac:dyDescent="0.25">
      <c r="A652" s="14">
        <f>DATE(2012,12,31)-119</f>
        <v>41155</v>
      </c>
      <c r="B652" s="15" t="s">
        <v>396</v>
      </c>
      <c r="C652" s="15" t="s">
        <v>43</v>
      </c>
      <c r="D652" s="16">
        <v>25</v>
      </c>
      <c r="E652" s="17">
        <v>2325.42</v>
      </c>
      <c r="F652" s="16">
        <v>0.02</v>
      </c>
      <c r="G652" s="15" t="s">
        <v>32</v>
      </c>
      <c r="H652" s="18">
        <v>739.91</v>
      </c>
      <c r="I652" s="19">
        <v>90.48</v>
      </c>
      <c r="J652" s="19">
        <v>19.989999999999998</v>
      </c>
      <c r="K652" s="19" t="s">
        <v>44</v>
      </c>
      <c r="L652" s="19" t="s">
        <v>89</v>
      </c>
      <c r="M652" s="15" t="s">
        <v>734</v>
      </c>
      <c r="N652" s="15" t="s">
        <v>36</v>
      </c>
      <c r="O652" s="15" t="s">
        <v>189</v>
      </c>
      <c r="P652" s="20" t="s">
        <v>963</v>
      </c>
      <c r="Q652" s="15" t="s">
        <v>83</v>
      </c>
      <c r="R652" s="4"/>
      <c r="S652" s="4"/>
    </row>
    <row r="653" spans="1:19" ht="21" customHeight="1" x14ac:dyDescent="0.25">
      <c r="A653" s="14">
        <f>DATE(2012,12,31)-1194</f>
        <v>40080</v>
      </c>
      <c r="B653" s="15" t="s">
        <v>742</v>
      </c>
      <c r="C653" s="15" t="s">
        <v>85</v>
      </c>
      <c r="D653" s="16">
        <v>44</v>
      </c>
      <c r="E653" s="17">
        <v>3021.64</v>
      </c>
      <c r="F653" s="16">
        <v>7.0000000000000007E-2</v>
      </c>
      <c r="G653" s="15" t="s">
        <v>58</v>
      </c>
      <c r="H653" s="18">
        <v>-720.2</v>
      </c>
      <c r="I653" s="19">
        <v>70.98</v>
      </c>
      <c r="J653" s="19">
        <v>30</v>
      </c>
      <c r="K653" s="19" t="s">
        <v>44</v>
      </c>
      <c r="L653" s="19" t="s">
        <v>120</v>
      </c>
      <c r="M653" s="15" t="s">
        <v>121</v>
      </c>
      <c r="N653" s="15" t="s">
        <v>54</v>
      </c>
      <c r="O653" s="15" t="s">
        <v>252</v>
      </c>
      <c r="P653" s="20" t="s">
        <v>964</v>
      </c>
      <c r="Q653" s="15" t="s">
        <v>181</v>
      </c>
      <c r="R653" s="4"/>
      <c r="S653" s="4"/>
    </row>
    <row r="654" spans="1:19" ht="21" customHeight="1" x14ac:dyDescent="0.25">
      <c r="A654" s="14">
        <f>DATE(2012,12,31)-928</f>
        <v>40346</v>
      </c>
      <c r="B654" s="15" t="s">
        <v>965</v>
      </c>
      <c r="C654" s="15" t="s">
        <v>31</v>
      </c>
      <c r="D654" s="16">
        <v>8</v>
      </c>
      <c r="E654" s="17">
        <v>66.88</v>
      </c>
      <c r="F654" s="16">
        <v>0.09</v>
      </c>
      <c r="G654" s="15" t="s">
        <v>32</v>
      </c>
      <c r="H654" s="18">
        <v>-17.010000000000002</v>
      </c>
      <c r="I654" s="19">
        <v>8.33</v>
      </c>
      <c r="J654" s="19">
        <v>1.99</v>
      </c>
      <c r="K654" s="19" t="s">
        <v>33</v>
      </c>
      <c r="L654" s="19" t="s">
        <v>128</v>
      </c>
      <c r="M654" s="15" t="s">
        <v>129</v>
      </c>
      <c r="N654" s="15" t="s">
        <v>64</v>
      </c>
      <c r="O654" s="15" t="s">
        <v>72</v>
      </c>
      <c r="P654" s="20" t="s">
        <v>966</v>
      </c>
      <c r="Q654" s="15" t="s">
        <v>49</v>
      </c>
      <c r="R654" s="4"/>
      <c r="S654" s="4"/>
    </row>
    <row r="655" spans="1:19" ht="21" customHeight="1" x14ac:dyDescent="0.25">
      <c r="A655" s="14">
        <f>DATE(2012,12,31)-928</f>
        <v>40346</v>
      </c>
      <c r="B655" s="15" t="s">
        <v>965</v>
      </c>
      <c r="C655" s="15" t="s">
        <v>31</v>
      </c>
      <c r="D655" s="16">
        <v>29</v>
      </c>
      <c r="E655" s="17">
        <v>447.34</v>
      </c>
      <c r="F655" s="16">
        <v>0.08</v>
      </c>
      <c r="G655" s="15" t="s">
        <v>32</v>
      </c>
      <c r="H655" s="18">
        <v>203.01</v>
      </c>
      <c r="I655" s="19">
        <v>15.67</v>
      </c>
      <c r="J655" s="19">
        <v>1.39</v>
      </c>
      <c r="K655" s="19" t="s">
        <v>97</v>
      </c>
      <c r="L655" s="19" t="s">
        <v>98</v>
      </c>
      <c r="M655" s="15" t="s">
        <v>99</v>
      </c>
      <c r="N655" s="15" t="s">
        <v>36</v>
      </c>
      <c r="O655" s="15" t="s">
        <v>189</v>
      </c>
      <c r="P655" s="20" t="s">
        <v>967</v>
      </c>
      <c r="Q655" s="15" t="s">
        <v>83</v>
      </c>
      <c r="R655" s="4"/>
      <c r="S655" s="4"/>
    </row>
    <row r="656" spans="1:19" ht="21" customHeight="1" x14ac:dyDescent="0.25">
      <c r="A656" s="14">
        <f>DATE(2012,12,31)-1087</f>
        <v>40187</v>
      </c>
      <c r="B656" s="15" t="s">
        <v>850</v>
      </c>
      <c r="C656" s="15" t="s">
        <v>51</v>
      </c>
      <c r="D656" s="16">
        <v>32</v>
      </c>
      <c r="E656" s="17">
        <v>16172.44</v>
      </c>
      <c r="F656" s="16">
        <v>0.03</v>
      </c>
      <c r="G656" s="15" t="s">
        <v>58</v>
      </c>
      <c r="H656" s="18">
        <v>7176.12</v>
      </c>
      <c r="I656" s="19">
        <v>500.98</v>
      </c>
      <c r="J656" s="19">
        <v>28.14</v>
      </c>
      <c r="K656" s="19" t="s">
        <v>97</v>
      </c>
      <c r="L656" s="19" t="s">
        <v>567</v>
      </c>
      <c r="M656" s="15" t="s">
        <v>568</v>
      </c>
      <c r="N656" s="15" t="s">
        <v>64</v>
      </c>
      <c r="O656" s="15" t="s">
        <v>122</v>
      </c>
      <c r="P656" s="20" t="s">
        <v>231</v>
      </c>
      <c r="Q656" s="15" t="s">
        <v>181</v>
      </c>
      <c r="R656" s="4"/>
      <c r="S656" s="4"/>
    </row>
    <row r="657" spans="1:19" ht="21" customHeight="1" x14ac:dyDescent="0.25">
      <c r="A657" s="14">
        <f>DATE(2012,12,31)-834</f>
        <v>40440</v>
      </c>
      <c r="B657" s="15" t="s">
        <v>436</v>
      </c>
      <c r="C657" s="15" t="s">
        <v>85</v>
      </c>
      <c r="D657" s="16">
        <v>9</v>
      </c>
      <c r="E657" s="17">
        <v>89.55</v>
      </c>
      <c r="F657" s="16">
        <v>0.06</v>
      </c>
      <c r="G657" s="15" t="s">
        <v>32</v>
      </c>
      <c r="H657" s="18">
        <v>-375.64</v>
      </c>
      <c r="I657" s="19">
        <v>4.4800000000000004</v>
      </c>
      <c r="J657" s="19">
        <v>49</v>
      </c>
      <c r="K657" s="19" t="s">
        <v>97</v>
      </c>
      <c r="L657" s="19" t="s">
        <v>195</v>
      </c>
      <c r="M657" s="15" t="s">
        <v>196</v>
      </c>
      <c r="N657" s="15" t="s">
        <v>36</v>
      </c>
      <c r="O657" s="15" t="s">
        <v>176</v>
      </c>
      <c r="P657" s="20" t="s">
        <v>314</v>
      </c>
      <c r="Q657" s="15" t="s">
        <v>39</v>
      </c>
      <c r="R657" s="4"/>
      <c r="S657" s="4"/>
    </row>
    <row r="658" spans="1:19" ht="21" customHeight="1" x14ac:dyDescent="0.25">
      <c r="A658" s="14">
        <f>DATE(2012,12,31)-674</f>
        <v>40600</v>
      </c>
      <c r="B658" s="15" t="s">
        <v>465</v>
      </c>
      <c r="C658" s="15" t="s">
        <v>85</v>
      </c>
      <c r="D658" s="16">
        <v>9</v>
      </c>
      <c r="E658" s="17">
        <v>65.61</v>
      </c>
      <c r="F658" s="16">
        <v>0.08</v>
      </c>
      <c r="G658" s="15" t="s">
        <v>32</v>
      </c>
      <c r="H658" s="18">
        <v>-39.74</v>
      </c>
      <c r="I658" s="19">
        <v>7.28</v>
      </c>
      <c r="J658" s="19">
        <v>3.52</v>
      </c>
      <c r="K658" s="19" t="s">
        <v>124</v>
      </c>
      <c r="L658" s="19" t="s">
        <v>493</v>
      </c>
      <c r="M658" s="15" t="s">
        <v>494</v>
      </c>
      <c r="N658" s="15" t="s">
        <v>64</v>
      </c>
      <c r="O658" s="15" t="s">
        <v>72</v>
      </c>
      <c r="P658" s="20" t="s">
        <v>968</v>
      </c>
      <c r="Q658" s="15" t="s">
        <v>49</v>
      </c>
      <c r="R658" s="4"/>
      <c r="S658" s="4"/>
    </row>
    <row r="659" spans="1:19" ht="21" customHeight="1" x14ac:dyDescent="0.25">
      <c r="A659" s="14">
        <f>DATE(2012,12,31)-674</f>
        <v>40600</v>
      </c>
      <c r="B659" s="15" t="s">
        <v>465</v>
      </c>
      <c r="C659" s="15" t="s">
        <v>85</v>
      </c>
      <c r="D659" s="16">
        <v>21</v>
      </c>
      <c r="E659" s="17">
        <v>309.62</v>
      </c>
      <c r="F659" s="16">
        <v>0</v>
      </c>
      <c r="G659" s="15" t="s">
        <v>101</v>
      </c>
      <c r="H659" s="18">
        <v>-80.2</v>
      </c>
      <c r="I659" s="19">
        <v>14.03</v>
      </c>
      <c r="J659" s="19">
        <v>9.3699999999999992</v>
      </c>
      <c r="K659" s="19" t="s">
        <v>124</v>
      </c>
      <c r="L659" s="19" t="s">
        <v>160</v>
      </c>
      <c r="M659" s="15" t="s">
        <v>888</v>
      </c>
      <c r="N659" s="15" t="s">
        <v>36</v>
      </c>
      <c r="O659" s="15" t="s">
        <v>37</v>
      </c>
      <c r="P659" s="20" t="s">
        <v>969</v>
      </c>
      <c r="Q659" s="15" t="s">
        <v>83</v>
      </c>
      <c r="R659" s="4"/>
      <c r="S659" s="4"/>
    </row>
    <row r="660" spans="1:19" ht="21" customHeight="1" x14ac:dyDescent="0.25">
      <c r="A660" s="14">
        <f>DATE(2012,12,31)-1199</f>
        <v>40075</v>
      </c>
      <c r="B660" s="15" t="s">
        <v>970</v>
      </c>
      <c r="C660" s="15" t="s">
        <v>85</v>
      </c>
      <c r="D660" s="16">
        <v>30</v>
      </c>
      <c r="E660" s="17">
        <v>920</v>
      </c>
      <c r="F660" s="16">
        <v>0.08</v>
      </c>
      <c r="G660" s="15" t="s">
        <v>32</v>
      </c>
      <c r="H660" s="18">
        <v>-45.07</v>
      </c>
      <c r="I660" s="19">
        <v>30.73</v>
      </c>
      <c r="J660" s="19">
        <v>4</v>
      </c>
      <c r="K660" s="19" t="s">
        <v>124</v>
      </c>
      <c r="L660" s="19" t="s">
        <v>493</v>
      </c>
      <c r="M660" s="15" t="s">
        <v>494</v>
      </c>
      <c r="N660" s="15" t="s">
        <v>64</v>
      </c>
      <c r="O660" s="15" t="s">
        <v>72</v>
      </c>
      <c r="P660" s="20" t="s">
        <v>971</v>
      </c>
      <c r="Q660" s="15" t="s">
        <v>83</v>
      </c>
      <c r="R660" s="4"/>
      <c r="S660" s="4"/>
    </row>
    <row r="661" spans="1:19" ht="21" customHeight="1" x14ac:dyDescent="0.25">
      <c r="A661" s="14">
        <f>DATE(2012,12,31)-1199</f>
        <v>40075</v>
      </c>
      <c r="B661" s="15" t="s">
        <v>970</v>
      </c>
      <c r="C661" s="15" t="s">
        <v>85</v>
      </c>
      <c r="D661" s="16">
        <v>7</v>
      </c>
      <c r="E661" s="17">
        <v>104.2</v>
      </c>
      <c r="F661" s="16">
        <v>0.05</v>
      </c>
      <c r="G661" s="15" t="s">
        <v>32</v>
      </c>
      <c r="H661" s="18">
        <v>-8.5299999999999994</v>
      </c>
      <c r="I661" s="19">
        <v>14.56</v>
      </c>
      <c r="J661" s="19">
        <v>3.5</v>
      </c>
      <c r="K661" s="19" t="s">
        <v>124</v>
      </c>
      <c r="L661" s="19" t="s">
        <v>160</v>
      </c>
      <c r="M661" s="15" t="s">
        <v>888</v>
      </c>
      <c r="N661" s="15" t="s">
        <v>36</v>
      </c>
      <c r="O661" s="15" t="s">
        <v>176</v>
      </c>
      <c r="P661" s="20" t="s">
        <v>972</v>
      </c>
      <c r="Q661" s="15" t="s">
        <v>83</v>
      </c>
      <c r="R661" s="4"/>
      <c r="S661" s="4"/>
    </row>
    <row r="662" spans="1:19" ht="21" customHeight="1" x14ac:dyDescent="0.25">
      <c r="A662" s="14">
        <f>DATE(2012,12,31)-1199</f>
        <v>40075</v>
      </c>
      <c r="B662" s="15" t="s">
        <v>970</v>
      </c>
      <c r="C662" s="15" t="s">
        <v>85</v>
      </c>
      <c r="D662" s="16">
        <v>11</v>
      </c>
      <c r="E662" s="17">
        <v>3563.88</v>
      </c>
      <c r="F662" s="16">
        <v>0</v>
      </c>
      <c r="G662" s="15" t="s">
        <v>32</v>
      </c>
      <c r="H662" s="18">
        <v>285.95</v>
      </c>
      <c r="I662" s="19">
        <v>299.99</v>
      </c>
      <c r="J662" s="19">
        <v>11.64</v>
      </c>
      <c r="K662" s="19" t="s">
        <v>124</v>
      </c>
      <c r="L662" s="19" t="s">
        <v>160</v>
      </c>
      <c r="M662" s="15" t="s">
        <v>888</v>
      </c>
      <c r="N662" s="15" t="s">
        <v>64</v>
      </c>
      <c r="O662" s="15" t="s">
        <v>460</v>
      </c>
      <c r="P662" s="20" t="s">
        <v>973</v>
      </c>
      <c r="Q662" s="15" t="s">
        <v>39</v>
      </c>
      <c r="R662" s="4"/>
      <c r="S662" s="4"/>
    </row>
    <row r="663" spans="1:19" ht="21" customHeight="1" x14ac:dyDescent="0.25">
      <c r="A663" s="14">
        <f>DATE(2012,12,31)-1328</f>
        <v>39946</v>
      </c>
      <c r="B663" s="15" t="s">
        <v>974</v>
      </c>
      <c r="C663" s="15" t="s">
        <v>85</v>
      </c>
      <c r="D663" s="16">
        <v>33</v>
      </c>
      <c r="E663" s="17">
        <v>1590.163</v>
      </c>
      <c r="F663" s="16">
        <v>0.01</v>
      </c>
      <c r="G663" s="15" t="s">
        <v>32</v>
      </c>
      <c r="H663" s="18">
        <v>-57.541000000000004</v>
      </c>
      <c r="I663" s="19">
        <v>55.99</v>
      </c>
      <c r="J663" s="19">
        <v>5</v>
      </c>
      <c r="K663" s="19" t="s">
        <v>124</v>
      </c>
      <c r="L663" s="19" t="s">
        <v>164</v>
      </c>
      <c r="M663" s="15" t="s">
        <v>754</v>
      </c>
      <c r="N663" s="15" t="s">
        <v>64</v>
      </c>
      <c r="O663" s="15" t="s">
        <v>65</v>
      </c>
      <c r="P663" s="20" t="s">
        <v>975</v>
      </c>
      <c r="Q663" s="15" t="s">
        <v>49</v>
      </c>
      <c r="R663" s="4"/>
      <c r="S663" s="4"/>
    </row>
    <row r="664" spans="1:19" ht="21" customHeight="1" x14ac:dyDescent="0.25">
      <c r="A664" s="14">
        <f>DATE(2012,12,31)-1328</f>
        <v>39946</v>
      </c>
      <c r="B664" s="15" t="s">
        <v>974</v>
      </c>
      <c r="C664" s="15" t="s">
        <v>85</v>
      </c>
      <c r="D664" s="16">
        <v>34</v>
      </c>
      <c r="E664" s="17">
        <v>482.93</v>
      </c>
      <c r="F664" s="16">
        <v>0.06</v>
      </c>
      <c r="G664" s="15" t="s">
        <v>32</v>
      </c>
      <c r="H664" s="18">
        <v>-67.59</v>
      </c>
      <c r="I664" s="19">
        <v>13.9</v>
      </c>
      <c r="J664" s="19">
        <v>7.59</v>
      </c>
      <c r="K664" s="19" t="s">
        <v>124</v>
      </c>
      <c r="L664" s="19" t="s">
        <v>168</v>
      </c>
      <c r="M664" s="15" t="s">
        <v>169</v>
      </c>
      <c r="N664" s="15" t="s">
        <v>36</v>
      </c>
      <c r="O664" s="15" t="s">
        <v>47</v>
      </c>
      <c r="P664" s="20" t="s">
        <v>976</v>
      </c>
      <c r="Q664" s="15" t="s">
        <v>49</v>
      </c>
      <c r="R664" s="4"/>
      <c r="S664" s="4"/>
    </row>
    <row r="665" spans="1:19" ht="21" customHeight="1" x14ac:dyDescent="0.25">
      <c r="A665" s="14">
        <f>DATE(2012,12,31)-1328</f>
        <v>39946</v>
      </c>
      <c r="B665" s="15" t="s">
        <v>974</v>
      </c>
      <c r="C665" s="15" t="s">
        <v>85</v>
      </c>
      <c r="D665" s="16">
        <v>7</v>
      </c>
      <c r="E665" s="17">
        <v>1203.73</v>
      </c>
      <c r="F665" s="16">
        <v>0.03</v>
      </c>
      <c r="G665" s="15" t="s">
        <v>32</v>
      </c>
      <c r="H665" s="18">
        <v>293.14</v>
      </c>
      <c r="I665" s="19">
        <v>162.93</v>
      </c>
      <c r="J665" s="19">
        <v>19.989999999999998</v>
      </c>
      <c r="K665" s="19" t="s">
        <v>124</v>
      </c>
      <c r="L665" s="19" t="s">
        <v>319</v>
      </c>
      <c r="M665" s="15" t="s">
        <v>320</v>
      </c>
      <c r="N665" s="15" t="s">
        <v>36</v>
      </c>
      <c r="O665" s="15" t="s">
        <v>189</v>
      </c>
      <c r="P665" s="20" t="s">
        <v>739</v>
      </c>
      <c r="Q665" s="15" t="s">
        <v>83</v>
      </c>
      <c r="R665" s="4"/>
      <c r="S665" s="4"/>
    </row>
    <row r="666" spans="1:19" ht="21" customHeight="1" x14ac:dyDescent="0.25">
      <c r="A666" s="14">
        <f>DATE(2012,12,31)-1328</f>
        <v>39946</v>
      </c>
      <c r="B666" s="15" t="s">
        <v>974</v>
      </c>
      <c r="C666" s="15" t="s">
        <v>85</v>
      </c>
      <c r="D666" s="16">
        <v>6</v>
      </c>
      <c r="E666" s="17">
        <v>75.19</v>
      </c>
      <c r="F666" s="16">
        <v>0.01</v>
      </c>
      <c r="G666" s="15" t="s">
        <v>32</v>
      </c>
      <c r="H666" s="18">
        <v>-6.61</v>
      </c>
      <c r="I666" s="19">
        <v>11.58</v>
      </c>
      <c r="J666" s="19">
        <v>5.72</v>
      </c>
      <c r="K666" s="19" t="s">
        <v>44</v>
      </c>
      <c r="L666" s="19" t="s">
        <v>52</v>
      </c>
      <c r="M666" s="15" t="s">
        <v>424</v>
      </c>
      <c r="N666" s="15" t="s">
        <v>36</v>
      </c>
      <c r="O666" s="15" t="s">
        <v>189</v>
      </c>
      <c r="P666" s="20" t="s">
        <v>977</v>
      </c>
      <c r="Q666" s="15" t="s">
        <v>83</v>
      </c>
      <c r="R666" s="4"/>
      <c r="S666" s="4"/>
    </row>
    <row r="667" spans="1:19" ht="21" customHeight="1" x14ac:dyDescent="0.25">
      <c r="A667" s="14">
        <f>DATE(2012,12,31)-421</f>
        <v>40853</v>
      </c>
      <c r="B667" s="15" t="s">
        <v>869</v>
      </c>
      <c r="C667" s="15" t="s">
        <v>85</v>
      </c>
      <c r="D667" s="16">
        <v>20</v>
      </c>
      <c r="E667" s="17">
        <v>152.44</v>
      </c>
      <c r="F667" s="16">
        <v>0.08</v>
      </c>
      <c r="G667" s="15" t="s">
        <v>32</v>
      </c>
      <c r="H667" s="18">
        <v>-16.64</v>
      </c>
      <c r="I667" s="19">
        <v>7.7</v>
      </c>
      <c r="J667" s="19">
        <v>3.68</v>
      </c>
      <c r="K667" s="19" t="s">
        <v>44</v>
      </c>
      <c r="L667" s="19" t="s">
        <v>52</v>
      </c>
      <c r="M667" s="15" t="s">
        <v>424</v>
      </c>
      <c r="N667" s="15" t="s">
        <v>54</v>
      </c>
      <c r="O667" s="15" t="s">
        <v>55</v>
      </c>
      <c r="P667" s="20" t="s">
        <v>978</v>
      </c>
      <c r="Q667" s="15" t="s">
        <v>79</v>
      </c>
      <c r="R667" s="4"/>
      <c r="S667" s="4"/>
    </row>
    <row r="668" spans="1:19" ht="21" customHeight="1" x14ac:dyDescent="0.25">
      <c r="A668" s="14">
        <f>DATE(2012,12,31)-1353</f>
        <v>39921</v>
      </c>
      <c r="B668" s="15" t="s">
        <v>979</v>
      </c>
      <c r="C668" s="15" t="s">
        <v>85</v>
      </c>
      <c r="D668" s="16">
        <v>23</v>
      </c>
      <c r="E668" s="17">
        <v>3041.33</v>
      </c>
      <c r="F668" s="16">
        <v>0.02</v>
      </c>
      <c r="G668" s="15" t="s">
        <v>58</v>
      </c>
      <c r="H668" s="18">
        <v>-260.41000000000003</v>
      </c>
      <c r="I668" s="19">
        <v>130.97999999999999</v>
      </c>
      <c r="J668" s="19">
        <v>30</v>
      </c>
      <c r="K668" s="19" t="s">
        <v>44</v>
      </c>
      <c r="L668" s="19" t="s">
        <v>52</v>
      </c>
      <c r="M668" s="15" t="s">
        <v>424</v>
      </c>
      <c r="N668" s="15" t="s">
        <v>54</v>
      </c>
      <c r="O668" s="15" t="s">
        <v>252</v>
      </c>
      <c r="P668" s="20" t="s">
        <v>980</v>
      </c>
      <c r="Q668" s="15" t="s">
        <v>181</v>
      </c>
      <c r="R668" s="4"/>
      <c r="S668" s="4"/>
    </row>
    <row r="669" spans="1:19" ht="21" customHeight="1" x14ac:dyDescent="0.25">
      <c r="A669" s="14">
        <f>DATE(2012,12,31)-768</f>
        <v>40506</v>
      </c>
      <c r="B669" s="15" t="s">
        <v>491</v>
      </c>
      <c r="C669" s="15" t="s">
        <v>43</v>
      </c>
      <c r="D669" s="16">
        <v>4</v>
      </c>
      <c r="E669" s="17">
        <v>17.89</v>
      </c>
      <c r="F669" s="16">
        <v>0</v>
      </c>
      <c r="G669" s="15" t="s">
        <v>32</v>
      </c>
      <c r="H669" s="18">
        <v>-1.1499999999999999</v>
      </c>
      <c r="I669" s="19">
        <v>3.98</v>
      </c>
      <c r="J669" s="19">
        <v>0.7</v>
      </c>
      <c r="K669" s="19" t="s">
        <v>44</v>
      </c>
      <c r="L669" s="19" t="s">
        <v>52</v>
      </c>
      <c r="M669" s="15" t="s">
        <v>424</v>
      </c>
      <c r="N669" s="15" t="s">
        <v>36</v>
      </c>
      <c r="O669" s="15" t="s">
        <v>77</v>
      </c>
      <c r="P669" s="20" t="s">
        <v>981</v>
      </c>
      <c r="Q669" s="15" t="s">
        <v>79</v>
      </c>
      <c r="R669" s="4"/>
      <c r="S669" s="4"/>
    </row>
    <row r="670" spans="1:19" ht="21" customHeight="1" x14ac:dyDescent="0.25">
      <c r="A670" s="14">
        <f>DATE(2012,12,31)-488</f>
        <v>40786</v>
      </c>
      <c r="B670" s="15" t="s">
        <v>509</v>
      </c>
      <c r="C670" s="15" t="s">
        <v>51</v>
      </c>
      <c r="D670" s="16">
        <v>11</v>
      </c>
      <c r="E670" s="17">
        <v>1210.0514999999998</v>
      </c>
      <c r="F670" s="16">
        <v>0.04</v>
      </c>
      <c r="G670" s="15" t="s">
        <v>32</v>
      </c>
      <c r="H670" s="18">
        <v>-104.24700000000007</v>
      </c>
      <c r="I670" s="19">
        <v>125.99</v>
      </c>
      <c r="J670" s="19">
        <v>7.69</v>
      </c>
      <c r="K670" s="19" t="s">
        <v>44</v>
      </c>
      <c r="L670" s="19" t="s">
        <v>52</v>
      </c>
      <c r="M670" s="15" t="s">
        <v>424</v>
      </c>
      <c r="N670" s="15" t="s">
        <v>64</v>
      </c>
      <c r="O670" s="15" t="s">
        <v>65</v>
      </c>
      <c r="P670" s="20" t="s">
        <v>860</v>
      </c>
      <c r="Q670" s="15" t="s">
        <v>83</v>
      </c>
      <c r="R670" s="4"/>
      <c r="S670" s="4"/>
    </row>
    <row r="671" spans="1:19" ht="21" customHeight="1" x14ac:dyDescent="0.25">
      <c r="A671" s="14">
        <f>DATE(2012,12,31)-488</f>
        <v>40786</v>
      </c>
      <c r="B671" s="15" t="s">
        <v>509</v>
      </c>
      <c r="C671" s="15" t="s">
        <v>51</v>
      </c>
      <c r="D671" s="16">
        <v>50</v>
      </c>
      <c r="E671" s="17">
        <v>187.83</v>
      </c>
      <c r="F671" s="16">
        <v>0.03</v>
      </c>
      <c r="G671" s="15" t="s">
        <v>32</v>
      </c>
      <c r="H671" s="18">
        <v>85.96</v>
      </c>
      <c r="I671" s="19">
        <v>3.75</v>
      </c>
      <c r="J671" s="19">
        <v>0.5</v>
      </c>
      <c r="K671" s="19" t="s">
        <v>44</v>
      </c>
      <c r="L671" s="19" t="s">
        <v>52</v>
      </c>
      <c r="M671" s="15" t="s">
        <v>424</v>
      </c>
      <c r="N671" s="15" t="s">
        <v>36</v>
      </c>
      <c r="O671" s="15" t="s">
        <v>114</v>
      </c>
      <c r="P671" s="20" t="s">
        <v>982</v>
      </c>
      <c r="Q671" s="15" t="s">
        <v>83</v>
      </c>
      <c r="R671" s="4"/>
      <c r="S671" s="4"/>
    </row>
    <row r="672" spans="1:19" ht="21" customHeight="1" x14ac:dyDescent="0.25">
      <c r="A672" s="14">
        <f>DATE(2012,12,31)-488</f>
        <v>40786</v>
      </c>
      <c r="B672" s="15" t="s">
        <v>509</v>
      </c>
      <c r="C672" s="15" t="s">
        <v>51</v>
      </c>
      <c r="D672" s="16">
        <v>3</v>
      </c>
      <c r="E672" s="17">
        <v>49.59</v>
      </c>
      <c r="F672" s="16">
        <v>7.0000000000000007E-2</v>
      </c>
      <c r="G672" s="15" t="s">
        <v>101</v>
      </c>
      <c r="H672" s="18">
        <v>-8.3800000000000008</v>
      </c>
      <c r="I672" s="19">
        <v>12.28</v>
      </c>
      <c r="J672" s="19">
        <v>6.47</v>
      </c>
      <c r="K672" s="19" t="s">
        <v>124</v>
      </c>
      <c r="L672" s="19" t="s">
        <v>168</v>
      </c>
      <c r="M672" s="15" t="s">
        <v>169</v>
      </c>
      <c r="N672" s="15" t="s">
        <v>36</v>
      </c>
      <c r="O672" s="15" t="s">
        <v>117</v>
      </c>
      <c r="P672" s="20" t="s">
        <v>832</v>
      </c>
      <c r="Q672" s="15" t="s">
        <v>83</v>
      </c>
      <c r="R672" s="4"/>
      <c r="S672" s="4"/>
    </row>
    <row r="673" spans="1:19" ht="21" customHeight="1" x14ac:dyDescent="0.25">
      <c r="A673" s="14">
        <f>DATE(2012,12,31)-488</f>
        <v>40786</v>
      </c>
      <c r="B673" s="15" t="s">
        <v>509</v>
      </c>
      <c r="C673" s="15" t="s">
        <v>51</v>
      </c>
      <c r="D673" s="16">
        <v>30</v>
      </c>
      <c r="E673" s="17">
        <v>4253.009</v>
      </c>
      <c r="F673" s="16">
        <v>0.01</v>
      </c>
      <c r="G673" s="15" t="s">
        <v>32</v>
      </c>
      <c r="H673" s="18">
        <v>1115.694</v>
      </c>
      <c r="I673" s="19">
        <v>155.99</v>
      </c>
      <c r="J673" s="19">
        <v>8.99</v>
      </c>
      <c r="K673" s="19" t="s">
        <v>44</v>
      </c>
      <c r="L673" s="19" t="s">
        <v>52</v>
      </c>
      <c r="M673" s="15" t="s">
        <v>424</v>
      </c>
      <c r="N673" s="15" t="s">
        <v>64</v>
      </c>
      <c r="O673" s="15" t="s">
        <v>65</v>
      </c>
      <c r="P673" s="20" t="s">
        <v>438</v>
      </c>
      <c r="Q673" s="15" t="s">
        <v>83</v>
      </c>
      <c r="R673" s="4"/>
      <c r="S673" s="4"/>
    </row>
    <row r="674" spans="1:19" ht="21" customHeight="1" x14ac:dyDescent="0.25">
      <c r="A674" s="14">
        <f>DATE(2012,12,31)-285</f>
        <v>40989</v>
      </c>
      <c r="B674" s="15" t="s">
        <v>983</v>
      </c>
      <c r="C674" s="15" t="s">
        <v>43</v>
      </c>
      <c r="D674" s="16">
        <v>16</v>
      </c>
      <c r="E674" s="17">
        <v>123.85</v>
      </c>
      <c r="F674" s="16">
        <v>0.09</v>
      </c>
      <c r="G674" s="15" t="s">
        <v>32</v>
      </c>
      <c r="H674" s="18">
        <v>-71.44</v>
      </c>
      <c r="I674" s="19">
        <v>7.98</v>
      </c>
      <c r="J674" s="19">
        <v>6.5</v>
      </c>
      <c r="K674" s="19" t="s">
        <v>33</v>
      </c>
      <c r="L674" s="19" t="s">
        <v>93</v>
      </c>
      <c r="M674" s="15" t="s">
        <v>94</v>
      </c>
      <c r="N674" s="15" t="s">
        <v>36</v>
      </c>
      <c r="O674" s="15" t="s">
        <v>37</v>
      </c>
      <c r="P674" s="20" t="s">
        <v>984</v>
      </c>
      <c r="Q674" s="15" t="s">
        <v>57</v>
      </c>
      <c r="R674" s="4"/>
      <c r="S674" s="4"/>
    </row>
    <row r="675" spans="1:19" ht="21" customHeight="1" x14ac:dyDescent="0.25">
      <c r="A675" s="14">
        <f>DATE(2012,12,31)-3</f>
        <v>41271</v>
      </c>
      <c r="B675" s="15" t="s">
        <v>770</v>
      </c>
      <c r="C675" s="15" t="s">
        <v>43</v>
      </c>
      <c r="D675" s="16">
        <v>30</v>
      </c>
      <c r="E675" s="17">
        <v>2116.6999999999998</v>
      </c>
      <c r="F675" s="16">
        <v>0.02</v>
      </c>
      <c r="G675" s="15" t="s">
        <v>32</v>
      </c>
      <c r="H675" s="18">
        <v>488.81800000000004</v>
      </c>
      <c r="I675" s="19">
        <v>67.28</v>
      </c>
      <c r="J675" s="19">
        <v>19.989999999999998</v>
      </c>
      <c r="K675" s="19" t="s">
        <v>33</v>
      </c>
      <c r="L675" s="19" t="s">
        <v>59</v>
      </c>
      <c r="M675" s="15" t="s">
        <v>60</v>
      </c>
      <c r="N675" s="15" t="s">
        <v>36</v>
      </c>
      <c r="O675" s="15" t="s">
        <v>170</v>
      </c>
      <c r="P675" s="20" t="s">
        <v>821</v>
      </c>
      <c r="Q675" s="15" t="s">
        <v>83</v>
      </c>
      <c r="R675" s="4"/>
      <c r="S675" s="4"/>
    </row>
    <row r="676" spans="1:19" ht="21" customHeight="1" x14ac:dyDescent="0.25">
      <c r="A676" s="14">
        <f>DATE(2012,12,31)-1188</f>
        <v>40086</v>
      </c>
      <c r="B676" s="15" t="s">
        <v>207</v>
      </c>
      <c r="C676" s="15" t="s">
        <v>85</v>
      </c>
      <c r="D676" s="16">
        <v>29</v>
      </c>
      <c r="E676" s="17">
        <v>180.38</v>
      </c>
      <c r="F676" s="16">
        <v>0.08</v>
      </c>
      <c r="G676" s="15" t="s">
        <v>32</v>
      </c>
      <c r="H676" s="18">
        <v>-119.32</v>
      </c>
      <c r="I676" s="19">
        <v>6.48</v>
      </c>
      <c r="J676" s="19">
        <v>7.49</v>
      </c>
      <c r="K676" s="19" t="s">
        <v>44</v>
      </c>
      <c r="L676" s="19" t="s">
        <v>52</v>
      </c>
      <c r="M676" s="15" t="s">
        <v>424</v>
      </c>
      <c r="N676" s="15" t="s">
        <v>36</v>
      </c>
      <c r="O676" s="15" t="s">
        <v>117</v>
      </c>
      <c r="P676" s="20" t="s">
        <v>985</v>
      </c>
      <c r="Q676" s="15" t="s">
        <v>83</v>
      </c>
      <c r="R676" s="4"/>
      <c r="S676" s="4"/>
    </row>
    <row r="677" spans="1:19" ht="21" customHeight="1" x14ac:dyDescent="0.25">
      <c r="A677" s="14">
        <f>DATE(2012,12,31)-1027</f>
        <v>40247</v>
      </c>
      <c r="B677" s="15" t="s">
        <v>119</v>
      </c>
      <c r="C677" s="15" t="s">
        <v>43</v>
      </c>
      <c r="D677" s="16">
        <v>49</v>
      </c>
      <c r="E677" s="17">
        <v>314.20999999999998</v>
      </c>
      <c r="F677" s="16">
        <v>0</v>
      </c>
      <c r="G677" s="15" t="s">
        <v>32</v>
      </c>
      <c r="H677" s="18">
        <v>49.77</v>
      </c>
      <c r="I677" s="19">
        <v>5.88</v>
      </c>
      <c r="J677" s="19">
        <v>3.04</v>
      </c>
      <c r="K677" s="19" t="s">
        <v>97</v>
      </c>
      <c r="L677" s="19" t="s">
        <v>98</v>
      </c>
      <c r="M677" s="15" t="s">
        <v>99</v>
      </c>
      <c r="N677" s="15" t="s">
        <v>36</v>
      </c>
      <c r="O677" s="15" t="s">
        <v>117</v>
      </c>
      <c r="P677" s="20" t="s">
        <v>986</v>
      </c>
      <c r="Q677" s="15" t="s">
        <v>79</v>
      </c>
      <c r="R677" s="4"/>
      <c r="S677" s="4"/>
    </row>
    <row r="678" spans="1:19" ht="21" customHeight="1" x14ac:dyDescent="0.25">
      <c r="A678" s="14">
        <f>DATE(2012,12,31)-268</f>
        <v>41006</v>
      </c>
      <c r="B678" s="15" t="s">
        <v>340</v>
      </c>
      <c r="C678" s="15" t="s">
        <v>51</v>
      </c>
      <c r="D678" s="16">
        <v>2</v>
      </c>
      <c r="E678" s="17">
        <v>10.39</v>
      </c>
      <c r="F678" s="16">
        <v>0.02</v>
      </c>
      <c r="G678" s="15" t="s">
        <v>32</v>
      </c>
      <c r="H678" s="18">
        <v>-7.97</v>
      </c>
      <c r="I678" s="19">
        <v>4.71</v>
      </c>
      <c r="J678" s="19">
        <v>0.7</v>
      </c>
      <c r="K678" s="19" t="s">
        <v>44</v>
      </c>
      <c r="L678" s="19" t="s">
        <v>52</v>
      </c>
      <c r="M678" s="15" t="s">
        <v>424</v>
      </c>
      <c r="N678" s="15" t="s">
        <v>36</v>
      </c>
      <c r="O678" s="15" t="s">
        <v>105</v>
      </c>
      <c r="P678" s="20" t="s">
        <v>454</v>
      </c>
      <c r="Q678" s="15" t="s">
        <v>79</v>
      </c>
      <c r="R678" s="4"/>
      <c r="S678" s="4"/>
    </row>
    <row r="679" spans="1:19" ht="21" customHeight="1" x14ac:dyDescent="0.25">
      <c r="A679" s="14">
        <f>DATE(2012,12,31)-1045</f>
        <v>40229</v>
      </c>
      <c r="B679" s="15" t="s">
        <v>856</v>
      </c>
      <c r="C679" s="15" t="s">
        <v>31</v>
      </c>
      <c r="D679" s="16">
        <v>16</v>
      </c>
      <c r="E679" s="17">
        <v>48.57</v>
      </c>
      <c r="F679" s="16">
        <v>0.04</v>
      </c>
      <c r="G679" s="15" t="s">
        <v>32</v>
      </c>
      <c r="H679" s="18">
        <v>4.21</v>
      </c>
      <c r="I679" s="19">
        <v>2.94</v>
      </c>
      <c r="J679" s="19">
        <v>0.7</v>
      </c>
      <c r="K679" s="19" t="s">
        <v>33</v>
      </c>
      <c r="L679" s="19" t="s">
        <v>93</v>
      </c>
      <c r="M679" s="15" t="s">
        <v>94</v>
      </c>
      <c r="N679" s="15" t="s">
        <v>36</v>
      </c>
      <c r="O679" s="15" t="s">
        <v>77</v>
      </c>
      <c r="P679" s="20" t="s">
        <v>987</v>
      </c>
      <c r="Q679" s="15" t="s">
        <v>79</v>
      </c>
      <c r="R679" s="4"/>
      <c r="S679" s="4"/>
    </row>
    <row r="680" spans="1:19" ht="21" customHeight="1" x14ac:dyDescent="0.25">
      <c r="A680" s="14">
        <f>DATE(2012,12,31)-178</f>
        <v>41096</v>
      </c>
      <c r="B680" s="15" t="s">
        <v>350</v>
      </c>
      <c r="C680" s="15" t="s">
        <v>43</v>
      </c>
      <c r="D680" s="16">
        <v>40</v>
      </c>
      <c r="E680" s="17">
        <v>342.97</v>
      </c>
      <c r="F680" s="16">
        <v>0.09</v>
      </c>
      <c r="G680" s="15" t="s">
        <v>32</v>
      </c>
      <c r="H680" s="18">
        <v>-131.63</v>
      </c>
      <c r="I680" s="19">
        <v>8.75</v>
      </c>
      <c r="J680" s="19">
        <v>8.5399999999999991</v>
      </c>
      <c r="K680" s="19" t="s">
        <v>97</v>
      </c>
      <c r="L680" s="19" t="s">
        <v>195</v>
      </c>
      <c r="M680" s="15" t="s">
        <v>196</v>
      </c>
      <c r="N680" s="15" t="s">
        <v>54</v>
      </c>
      <c r="O680" s="15" t="s">
        <v>55</v>
      </c>
      <c r="P680" s="20" t="s">
        <v>988</v>
      </c>
      <c r="Q680" s="15" t="s">
        <v>49</v>
      </c>
      <c r="R680" s="4"/>
      <c r="S680" s="4"/>
    </row>
    <row r="681" spans="1:19" ht="21" customHeight="1" x14ac:dyDescent="0.25">
      <c r="A681" s="14">
        <f>DATE(2012,12,31)-1007</f>
        <v>40267</v>
      </c>
      <c r="B681" s="15" t="s">
        <v>796</v>
      </c>
      <c r="C681" s="15" t="s">
        <v>31</v>
      </c>
      <c r="D681" s="16">
        <v>29</v>
      </c>
      <c r="E681" s="17">
        <v>352.55</v>
      </c>
      <c r="F681" s="16">
        <v>0.09</v>
      </c>
      <c r="G681" s="15" t="s">
        <v>32</v>
      </c>
      <c r="H681" s="18">
        <v>128.98750000000001</v>
      </c>
      <c r="I681" s="19">
        <v>12.97</v>
      </c>
      <c r="J681" s="19">
        <v>1.49</v>
      </c>
      <c r="K681" s="19" t="s">
        <v>33</v>
      </c>
      <c r="L681" s="19" t="s">
        <v>59</v>
      </c>
      <c r="M681" s="15" t="s">
        <v>60</v>
      </c>
      <c r="N681" s="15" t="s">
        <v>36</v>
      </c>
      <c r="O681" s="15" t="s">
        <v>170</v>
      </c>
      <c r="P681" s="20" t="s">
        <v>873</v>
      </c>
      <c r="Q681" s="15" t="s">
        <v>83</v>
      </c>
      <c r="R681" s="4"/>
      <c r="S681" s="4"/>
    </row>
    <row r="682" spans="1:19" ht="21" customHeight="1" x14ac:dyDescent="0.25">
      <c r="A682" s="14">
        <f>DATE(2012,12,31)-1007</f>
        <v>40267</v>
      </c>
      <c r="B682" s="15" t="s">
        <v>796</v>
      </c>
      <c r="C682" s="15" t="s">
        <v>31</v>
      </c>
      <c r="D682" s="16">
        <v>32</v>
      </c>
      <c r="E682" s="17">
        <v>719.64</v>
      </c>
      <c r="F682" s="16">
        <v>0.01</v>
      </c>
      <c r="G682" s="15" t="s">
        <v>32</v>
      </c>
      <c r="H682" s="18">
        <v>-245.62</v>
      </c>
      <c r="I682" s="19">
        <v>20.89</v>
      </c>
      <c r="J682" s="19">
        <v>11.52</v>
      </c>
      <c r="K682" s="19" t="s">
        <v>69</v>
      </c>
      <c r="L682" s="19" t="s">
        <v>70</v>
      </c>
      <c r="M682" s="15" t="s">
        <v>989</v>
      </c>
      <c r="N682" s="15" t="s">
        <v>36</v>
      </c>
      <c r="O682" s="15" t="s">
        <v>37</v>
      </c>
      <c r="P682" s="20" t="s">
        <v>803</v>
      </c>
      <c r="Q682" s="15" t="s">
        <v>83</v>
      </c>
      <c r="R682" s="4"/>
      <c r="S682" s="4"/>
    </row>
    <row r="683" spans="1:19" ht="21" customHeight="1" x14ac:dyDescent="0.25">
      <c r="A683" s="14">
        <f>DATE(2012,12,31)-628</f>
        <v>40646</v>
      </c>
      <c r="B683" s="15" t="s">
        <v>990</v>
      </c>
      <c r="C683" s="15" t="s">
        <v>43</v>
      </c>
      <c r="D683" s="16">
        <v>41</v>
      </c>
      <c r="E683" s="17">
        <v>117.4</v>
      </c>
      <c r="F683" s="16">
        <v>0.01</v>
      </c>
      <c r="G683" s="15" t="s">
        <v>32</v>
      </c>
      <c r="H683" s="18">
        <v>48.63</v>
      </c>
      <c r="I683" s="19">
        <v>2.88</v>
      </c>
      <c r="J683" s="19">
        <v>0.5</v>
      </c>
      <c r="K683" s="19" t="s">
        <v>44</v>
      </c>
      <c r="L683" s="19" t="s">
        <v>120</v>
      </c>
      <c r="M683" s="15" t="s">
        <v>121</v>
      </c>
      <c r="N683" s="15" t="s">
        <v>36</v>
      </c>
      <c r="O683" s="15" t="s">
        <v>114</v>
      </c>
      <c r="P683" s="20" t="s">
        <v>922</v>
      </c>
      <c r="Q683" s="15" t="s">
        <v>83</v>
      </c>
      <c r="R683" s="4"/>
      <c r="S683" s="4"/>
    </row>
    <row r="684" spans="1:19" ht="21" customHeight="1" x14ac:dyDescent="0.25">
      <c r="A684" s="14">
        <f>DATE(2012,12,31)-18</f>
        <v>41256</v>
      </c>
      <c r="B684" s="15" t="s">
        <v>746</v>
      </c>
      <c r="C684" s="15" t="s">
        <v>85</v>
      </c>
      <c r="D684" s="16">
        <v>4</v>
      </c>
      <c r="E684" s="17">
        <v>135.928</v>
      </c>
      <c r="F684" s="16">
        <v>0.04</v>
      </c>
      <c r="G684" s="15" t="s">
        <v>58</v>
      </c>
      <c r="H684" s="18">
        <v>-126.47</v>
      </c>
      <c r="I684" s="19">
        <v>31.76</v>
      </c>
      <c r="J684" s="19">
        <v>45.51</v>
      </c>
      <c r="K684" s="19" t="s">
        <v>44</v>
      </c>
      <c r="L684" s="19" t="s">
        <v>80</v>
      </c>
      <c r="M684" s="15" t="s">
        <v>991</v>
      </c>
      <c r="N684" s="15" t="s">
        <v>54</v>
      </c>
      <c r="O684" s="15" t="s">
        <v>61</v>
      </c>
      <c r="P684" s="20" t="s">
        <v>542</v>
      </c>
      <c r="Q684" s="15" t="s">
        <v>63</v>
      </c>
      <c r="R684" s="4"/>
      <c r="S684" s="4"/>
    </row>
    <row r="685" spans="1:19" ht="21" customHeight="1" x14ac:dyDescent="0.25">
      <c r="A685" s="14">
        <f>DATE(2012,12,31)-1205</f>
        <v>40069</v>
      </c>
      <c r="B685" s="15" t="s">
        <v>785</v>
      </c>
      <c r="C685" s="15" t="s">
        <v>85</v>
      </c>
      <c r="D685" s="16">
        <v>28</v>
      </c>
      <c r="E685" s="17">
        <v>1560.617</v>
      </c>
      <c r="F685" s="16">
        <v>0.04</v>
      </c>
      <c r="G685" s="15" t="s">
        <v>32</v>
      </c>
      <c r="H685" s="18">
        <v>214.29</v>
      </c>
      <c r="I685" s="19">
        <v>65.989999999999995</v>
      </c>
      <c r="J685" s="19">
        <v>8.99</v>
      </c>
      <c r="K685" s="19" t="s">
        <v>124</v>
      </c>
      <c r="L685" s="19" t="s">
        <v>319</v>
      </c>
      <c r="M685" s="15" t="s">
        <v>320</v>
      </c>
      <c r="N685" s="15" t="s">
        <v>64</v>
      </c>
      <c r="O685" s="15" t="s">
        <v>65</v>
      </c>
      <c r="P685" s="20" t="s">
        <v>141</v>
      </c>
      <c r="Q685" s="15" t="s">
        <v>83</v>
      </c>
      <c r="R685" s="4"/>
      <c r="S685" s="4"/>
    </row>
    <row r="686" spans="1:19" ht="21" customHeight="1" x14ac:dyDescent="0.25">
      <c r="A686" s="14">
        <f>DATE(2012,12,31)-375</f>
        <v>40899</v>
      </c>
      <c r="B686" s="15" t="s">
        <v>178</v>
      </c>
      <c r="C686" s="15" t="s">
        <v>85</v>
      </c>
      <c r="D686" s="16">
        <v>48</v>
      </c>
      <c r="E686" s="17">
        <v>6746.3119999999999</v>
      </c>
      <c r="F686" s="16">
        <v>7.0000000000000007E-2</v>
      </c>
      <c r="G686" s="15" t="s">
        <v>58</v>
      </c>
      <c r="H686" s="18">
        <v>-433.29014300000011</v>
      </c>
      <c r="I686" s="19">
        <v>179.29</v>
      </c>
      <c r="J686" s="19">
        <v>29.21</v>
      </c>
      <c r="K686" s="19" t="s">
        <v>44</v>
      </c>
      <c r="L686" s="19" t="s">
        <v>236</v>
      </c>
      <c r="M686" s="15" t="s">
        <v>237</v>
      </c>
      <c r="N686" s="15" t="s">
        <v>54</v>
      </c>
      <c r="O686" s="15" t="s">
        <v>61</v>
      </c>
      <c r="P686" s="20" t="s">
        <v>592</v>
      </c>
      <c r="Q686" s="15" t="s">
        <v>63</v>
      </c>
      <c r="R686" s="4"/>
      <c r="S686" s="4"/>
    </row>
    <row r="687" spans="1:19" ht="21" customHeight="1" x14ac:dyDescent="0.25">
      <c r="A687" s="14">
        <f>DATE(2012,12,31)-375</f>
        <v>40899</v>
      </c>
      <c r="B687" s="15" t="s">
        <v>178</v>
      </c>
      <c r="C687" s="15" t="s">
        <v>85</v>
      </c>
      <c r="D687" s="16">
        <v>26</v>
      </c>
      <c r="E687" s="17">
        <v>311.38</v>
      </c>
      <c r="F687" s="16">
        <v>0.06</v>
      </c>
      <c r="G687" s="15" t="s">
        <v>32</v>
      </c>
      <c r="H687" s="18">
        <v>34.119999999999997</v>
      </c>
      <c r="I687" s="19">
        <v>11.58</v>
      </c>
      <c r="J687" s="19">
        <v>5.72</v>
      </c>
      <c r="K687" s="19" t="s">
        <v>44</v>
      </c>
      <c r="L687" s="19" t="s">
        <v>52</v>
      </c>
      <c r="M687" s="15" t="s">
        <v>424</v>
      </c>
      <c r="N687" s="15" t="s">
        <v>36</v>
      </c>
      <c r="O687" s="15" t="s">
        <v>189</v>
      </c>
      <c r="P687" s="20" t="s">
        <v>977</v>
      </c>
      <c r="Q687" s="15" t="s">
        <v>83</v>
      </c>
      <c r="R687" s="4"/>
      <c r="S687" s="4"/>
    </row>
    <row r="688" spans="1:19" ht="21" customHeight="1" x14ac:dyDescent="0.25">
      <c r="A688" s="14">
        <f>DATE(2012,12,31)-987</f>
        <v>40287</v>
      </c>
      <c r="B688" s="15" t="s">
        <v>992</v>
      </c>
      <c r="C688" s="15" t="s">
        <v>85</v>
      </c>
      <c r="D688" s="16">
        <v>4</v>
      </c>
      <c r="E688" s="17">
        <v>126.87</v>
      </c>
      <c r="F688" s="16">
        <v>0.08</v>
      </c>
      <c r="G688" s="15" t="s">
        <v>32</v>
      </c>
      <c r="H688" s="18">
        <v>-125.99</v>
      </c>
      <c r="I688" s="19">
        <v>32.979999999999997</v>
      </c>
      <c r="J688" s="19">
        <v>5.5</v>
      </c>
      <c r="K688" s="19" t="s">
        <v>69</v>
      </c>
      <c r="L688" s="19" t="s">
        <v>75</v>
      </c>
      <c r="M688" s="15" t="s">
        <v>76</v>
      </c>
      <c r="N688" s="15" t="s">
        <v>64</v>
      </c>
      <c r="O688" s="15" t="s">
        <v>72</v>
      </c>
      <c r="P688" s="20" t="s">
        <v>993</v>
      </c>
      <c r="Q688" s="15" t="s">
        <v>83</v>
      </c>
      <c r="R688" s="4"/>
      <c r="S688" s="4"/>
    </row>
    <row r="689" spans="1:19" ht="21" customHeight="1" x14ac:dyDescent="0.25">
      <c r="A689" s="14">
        <f>DATE(2012,12,31)-361</f>
        <v>40913</v>
      </c>
      <c r="B689" s="15" t="s">
        <v>994</v>
      </c>
      <c r="C689" s="15" t="s">
        <v>31</v>
      </c>
      <c r="D689" s="16">
        <v>4</v>
      </c>
      <c r="E689" s="17">
        <v>41.94</v>
      </c>
      <c r="F689" s="16">
        <v>0.05</v>
      </c>
      <c r="G689" s="15" t="s">
        <v>32</v>
      </c>
      <c r="H689" s="18">
        <v>-26.174000000000003</v>
      </c>
      <c r="I689" s="19">
        <v>8.0399999999999991</v>
      </c>
      <c r="J689" s="19">
        <v>8.94</v>
      </c>
      <c r="K689" s="19" t="s">
        <v>97</v>
      </c>
      <c r="L689" s="19" t="s">
        <v>195</v>
      </c>
      <c r="M689" s="15" t="s">
        <v>196</v>
      </c>
      <c r="N689" s="15" t="s">
        <v>36</v>
      </c>
      <c r="O689" s="15" t="s">
        <v>170</v>
      </c>
      <c r="P689" s="20" t="s">
        <v>995</v>
      </c>
      <c r="Q689" s="15" t="s">
        <v>83</v>
      </c>
      <c r="R689" s="4"/>
      <c r="S689" s="4"/>
    </row>
    <row r="690" spans="1:19" ht="21" customHeight="1" x14ac:dyDescent="0.25">
      <c r="A690" s="14">
        <f>DATE(2012,12,31)-361</f>
        <v>40913</v>
      </c>
      <c r="B690" s="15" t="s">
        <v>994</v>
      </c>
      <c r="C690" s="15" t="s">
        <v>31</v>
      </c>
      <c r="D690" s="16">
        <v>17</v>
      </c>
      <c r="E690" s="17">
        <v>89.25</v>
      </c>
      <c r="F690" s="16">
        <v>0.01</v>
      </c>
      <c r="G690" s="15" t="s">
        <v>32</v>
      </c>
      <c r="H690" s="18">
        <v>40.880000000000003</v>
      </c>
      <c r="I690" s="19">
        <v>4.91</v>
      </c>
      <c r="J690" s="19">
        <v>0.5</v>
      </c>
      <c r="K690" s="19" t="s">
        <v>44</v>
      </c>
      <c r="L690" s="19" t="s">
        <v>52</v>
      </c>
      <c r="M690" s="15" t="s">
        <v>424</v>
      </c>
      <c r="N690" s="15" t="s">
        <v>36</v>
      </c>
      <c r="O690" s="15" t="s">
        <v>114</v>
      </c>
      <c r="P690" s="20" t="s">
        <v>400</v>
      </c>
      <c r="Q690" s="15" t="s">
        <v>83</v>
      </c>
      <c r="R690" s="4"/>
      <c r="S690" s="4"/>
    </row>
    <row r="691" spans="1:19" ht="21" customHeight="1" x14ac:dyDescent="0.25">
      <c r="A691" s="14">
        <f>DATE(2012,12,31)-361</f>
        <v>40913</v>
      </c>
      <c r="B691" s="15" t="s">
        <v>994</v>
      </c>
      <c r="C691" s="15" t="s">
        <v>31</v>
      </c>
      <c r="D691" s="16">
        <v>7</v>
      </c>
      <c r="E691" s="17">
        <v>79.81</v>
      </c>
      <c r="F691" s="16">
        <v>7.0000000000000007E-2</v>
      </c>
      <c r="G691" s="15" t="s">
        <v>32</v>
      </c>
      <c r="H691" s="18">
        <v>-4.28</v>
      </c>
      <c r="I691" s="19">
        <v>11.55</v>
      </c>
      <c r="J691" s="19">
        <v>2.36</v>
      </c>
      <c r="K691" s="19" t="s">
        <v>33</v>
      </c>
      <c r="L691" s="19" t="s">
        <v>93</v>
      </c>
      <c r="M691" s="15" t="s">
        <v>94</v>
      </c>
      <c r="N691" s="15" t="s">
        <v>36</v>
      </c>
      <c r="O691" s="15" t="s">
        <v>77</v>
      </c>
      <c r="P691" s="20" t="s">
        <v>996</v>
      </c>
      <c r="Q691" s="15" t="s">
        <v>79</v>
      </c>
      <c r="R691" s="4"/>
      <c r="S691" s="4"/>
    </row>
    <row r="692" spans="1:19" ht="21" customHeight="1" x14ac:dyDescent="0.25">
      <c r="A692" s="14">
        <f>DATE(2012,12,31)-339</f>
        <v>40935</v>
      </c>
      <c r="B692" s="15" t="s">
        <v>541</v>
      </c>
      <c r="C692" s="15" t="s">
        <v>51</v>
      </c>
      <c r="D692" s="16">
        <v>13</v>
      </c>
      <c r="E692" s="17">
        <v>463.83</v>
      </c>
      <c r="F692" s="16">
        <v>0</v>
      </c>
      <c r="G692" s="15" t="s">
        <v>32</v>
      </c>
      <c r="H692" s="18">
        <v>103.26</v>
      </c>
      <c r="I692" s="19">
        <v>33.979999999999997</v>
      </c>
      <c r="J692" s="19">
        <v>1.99</v>
      </c>
      <c r="K692" s="19" t="s">
        <v>33</v>
      </c>
      <c r="L692" s="19" t="s">
        <v>59</v>
      </c>
      <c r="M692" s="15" t="s">
        <v>60</v>
      </c>
      <c r="N692" s="15" t="s">
        <v>64</v>
      </c>
      <c r="O692" s="15" t="s">
        <v>72</v>
      </c>
      <c r="P692" s="20" t="s">
        <v>997</v>
      </c>
      <c r="Q692" s="15" t="s">
        <v>49</v>
      </c>
      <c r="R692" s="4"/>
      <c r="S692" s="4"/>
    </row>
    <row r="693" spans="1:19" ht="21" customHeight="1" x14ac:dyDescent="0.25">
      <c r="A693" s="14">
        <f>DATE(2012,12,31)-251</f>
        <v>41023</v>
      </c>
      <c r="B693" s="15" t="s">
        <v>233</v>
      </c>
      <c r="C693" s="15" t="s">
        <v>43</v>
      </c>
      <c r="D693" s="16">
        <v>7</v>
      </c>
      <c r="E693" s="17">
        <v>55.38</v>
      </c>
      <c r="F693" s="16">
        <v>0.02</v>
      </c>
      <c r="G693" s="15" t="s">
        <v>32</v>
      </c>
      <c r="H693" s="18">
        <v>-25.95</v>
      </c>
      <c r="I693" s="19">
        <v>6.48</v>
      </c>
      <c r="J693" s="19">
        <v>7.37</v>
      </c>
      <c r="K693" s="19" t="s">
        <v>33</v>
      </c>
      <c r="L693" s="19" t="s">
        <v>145</v>
      </c>
      <c r="M693" s="15" t="s">
        <v>146</v>
      </c>
      <c r="N693" s="15" t="s">
        <v>36</v>
      </c>
      <c r="O693" s="15" t="s">
        <v>117</v>
      </c>
      <c r="P693" s="20" t="s">
        <v>998</v>
      </c>
      <c r="Q693" s="15" t="s">
        <v>83</v>
      </c>
      <c r="R693" s="4"/>
      <c r="S693" s="4"/>
    </row>
    <row r="694" spans="1:19" ht="21" customHeight="1" x14ac:dyDescent="0.25">
      <c r="A694" s="14">
        <f>DATE(2012,12,31)-1164</f>
        <v>40110</v>
      </c>
      <c r="B694" s="15" t="s">
        <v>333</v>
      </c>
      <c r="C694" s="15" t="s">
        <v>85</v>
      </c>
      <c r="D694" s="16">
        <v>3</v>
      </c>
      <c r="E694" s="17">
        <v>9.4</v>
      </c>
      <c r="F694" s="16">
        <v>0.04</v>
      </c>
      <c r="G694" s="15" t="s">
        <v>32</v>
      </c>
      <c r="H694" s="18">
        <v>-7.6</v>
      </c>
      <c r="I694" s="19">
        <v>2.52</v>
      </c>
      <c r="J694" s="19">
        <v>1.92</v>
      </c>
      <c r="K694" s="19" t="s">
        <v>33</v>
      </c>
      <c r="L694" s="19" t="s">
        <v>59</v>
      </c>
      <c r="M694" s="15" t="s">
        <v>60</v>
      </c>
      <c r="N694" s="15" t="s">
        <v>36</v>
      </c>
      <c r="O694" s="15" t="s">
        <v>47</v>
      </c>
      <c r="P694" s="20" t="s">
        <v>999</v>
      </c>
      <c r="Q694" s="15" t="s">
        <v>79</v>
      </c>
      <c r="R694" s="4"/>
      <c r="S694" s="4"/>
    </row>
    <row r="695" spans="1:19" ht="21" customHeight="1" x14ac:dyDescent="0.25">
      <c r="A695" s="14">
        <f>DATE(2012,12,31)-1332</f>
        <v>39942</v>
      </c>
      <c r="B695" s="15" t="s">
        <v>637</v>
      </c>
      <c r="C695" s="15" t="s">
        <v>85</v>
      </c>
      <c r="D695" s="16">
        <v>24</v>
      </c>
      <c r="E695" s="17">
        <v>159.43</v>
      </c>
      <c r="F695" s="16">
        <v>0.05</v>
      </c>
      <c r="G695" s="15" t="s">
        <v>32</v>
      </c>
      <c r="H695" s="18">
        <v>-120.59</v>
      </c>
      <c r="I695" s="19">
        <v>6.48</v>
      </c>
      <c r="J695" s="19">
        <v>8.73</v>
      </c>
      <c r="K695" s="19" t="s">
        <v>33</v>
      </c>
      <c r="L695" s="19" t="s">
        <v>59</v>
      </c>
      <c r="M695" s="15" t="s">
        <v>60</v>
      </c>
      <c r="N695" s="15" t="s">
        <v>36</v>
      </c>
      <c r="O695" s="15" t="s">
        <v>117</v>
      </c>
      <c r="P695" s="20" t="s">
        <v>880</v>
      </c>
      <c r="Q695" s="15" t="s">
        <v>83</v>
      </c>
      <c r="R695" s="4"/>
      <c r="S695" s="4"/>
    </row>
    <row r="696" spans="1:19" ht="21" customHeight="1" x14ac:dyDescent="0.25">
      <c r="A696" s="14">
        <f>DATE(2012,12,31)-51</f>
        <v>41223</v>
      </c>
      <c r="B696" s="15" t="s">
        <v>1000</v>
      </c>
      <c r="C696" s="15" t="s">
        <v>31</v>
      </c>
      <c r="D696" s="16">
        <v>16</v>
      </c>
      <c r="E696" s="17">
        <v>4901.99</v>
      </c>
      <c r="F696" s="16">
        <v>0.04</v>
      </c>
      <c r="G696" s="15" t="s">
        <v>32</v>
      </c>
      <c r="H696" s="18">
        <v>1724.6755000000001</v>
      </c>
      <c r="I696" s="19">
        <v>315.98</v>
      </c>
      <c r="J696" s="19">
        <v>19.989999999999998</v>
      </c>
      <c r="K696" s="19" t="s">
        <v>33</v>
      </c>
      <c r="L696" s="19" t="s">
        <v>145</v>
      </c>
      <c r="M696" s="15" t="s">
        <v>146</v>
      </c>
      <c r="N696" s="15" t="s">
        <v>36</v>
      </c>
      <c r="O696" s="15" t="s">
        <v>170</v>
      </c>
      <c r="P696" s="20" t="s">
        <v>503</v>
      </c>
      <c r="Q696" s="15" t="s">
        <v>83</v>
      </c>
      <c r="R696" s="4"/>
      <c r="S696" s="4"/>
    </row>
    <row r="697" spans="1:19" ht="21" customHeight="1" x14ac:dyDescent="0.25">
      <c r="A697" s="14">
        <f>DATE(2012,12,31)-1244</f>
        <v>40030</v>
      </c>
      <c r="B697" s="15" t="s">
        <v>353</v>
      </c>
      <c r="C697" s="15" t="s">
        <v>85</v>
      </c>
      <c r="D697" s="16">
        <v>44</v>
      </c>
      <c r="E697" s="17">
        <v>17248.09</v>
      </c>
      <c r="F697" s="16">
        <v>0.08</v>
      </c>
      <c r="G697" s="15" t="s">
        <v>58</v>
      </c>
      <c r="H697" s="18">
        <v>2048.63</v>
      </c>
      <c r="I697" s="19">
        <v>400.98</v>
      </c>
      <c r="J697" s="19">
        <v>42.52</v>
      </c>
      <c r="K697" s="19" t="s">
        <v>69</v>
      </c>
      <c r="L697" s="19" t="s">
        <v>70</v>
      </c>
      <c r="M697" s="15" t="s">
        <v>989</v>
      </c>
      <c r="N697" s="15" t="s">
        <v>54</v>
      </c>
      <c r="O697" s="15" t="s">
        <v>61</v>
      </c>
      <c r="P697" s="20" t="s">
        <v>1001</v>
      </c>
      <c r="Q697" s="15" t="s">
        <v>63</v>
      </c>
      <c r="R697" s="4"/>
      <c r="S697" s="4"/>
    </row>
    <row r="698" spans="1:19" ht="21" customHeight="1" x14ac:dyDescent="0.25">
      <c r="A698" s="14">
        <f>DATE(2012,12,31)-569</f>
        <v>40705</v>
      </c>
      <c r="B698" s="15" t="s">
        <v>1002</v>
      </c>
      <c r="C698" s="15" t="s">
        <v>85</v>
      </c>
      <c r="D698" s="16">
        <v>8</v>
      </c>
      <c r="E698" s="17">
        <v>775.74</v>
      </c>
      <c r="F698" s="16">
        <v>0.02</v>
      </c>
      <c r="G698" s="15" t="s">
        <v>58</v>
      </c>
      <c r="H698" s="18">
        <v>-215.39</v>
      </c>
      <c r="I698" s="19">
        <v>89.99</v>
      </c>
      <c r="J698" s="19">
        <v>42</v>
      </c>
      <c r="K698" s="19" t="s">
        <v>69</v>
      </c>
      <c r="L698" s="19" t="s">
        <v>70</v>
      </c>
      <c r="M698" s="15" t="s">
        <v>989</v>
      </c>
      <c r="N698" s="15" t="s">
        <v>54</v>
      </c>
      <c r="O698" s="15" t="s">
        <v>252</v>
      </c>
      <c r="P698" s="20" t="s">
        <v>848</v>
      </c>
      <c r="Q698" s="15" t="s">
        <v>181</v>
      </c>
      <c r="R698" s="4"/>
      <c r="S698" s="4"/>
    </row>
    <row r="699" spans="1:19" ht="21" customHeight="1" x14ac:dyDescent="0.25">
      <c r="A699" s="14">
        <f>DATE(2012,12,31)-569</f>
        <v>40705</v>
      </c>
      <c r="B699" s="15" t="s">
        <v>1002</v>
      </c>
      <c r="C699" s="15" t="s">
        <v>85</v>
      </c>
      <c r="D699" s="16">
        <v>26</v>
      </c>
      <c r="E699" s="17">
        <v>238.34</v>
      </c>
      <c r="F699" s="16">
        <v>0.06</v>
      </c>
      <c r="G699" s="15" t="s">
        <v>32</v>
      </c>
      <c r="H699" s="18">
        <v>-19.309999999999999</v>
      </c>
      <c r="I699" s="19">
        <v>9.31</v>
      </c>
      <c r="J699" s="19">
        <v>3.98</v>
      </c>
      <c r="K699" s="19" t="s">
        <v>69</v>
      </c>
      <c r="L699" s="19" t="s">
        <v>70</v>
      </c>
      <c r="M699" s="15" t="s">
        <v>989</v>
      </c>
      <c r="N699" s="15" t="s">
        <v>36</v>
      </c>
      <c r="O699" s="15" t="s">
        <v>47</v>
      </c>
      <c r="P699" s="20" t="s">
        <v>291</v>
      </c>
      <c r="Q699" s="15" t="s">
        <v>49</v>
      </c>
      <c r="R699" s="4"/>
      <c r="S699" s="4"/>
    </row>
    <row r="700" spans="1:19" ht="21" customHeight="1" x14ac:dyDescent="0.25">
      <c r="A700" s="14">
        <f>DATE(2012,12,31)-132</f>
        <v>41142</v>
      </c>
      <c r="B700" s="15" t="s">
        <v>1003</v>
      </c>
      <c r="C700" s="15" t="s">
        <v>85</v>
      </c>
      <c r="D700" s="16">
        <v>25</v>
      </c>
      <c r="E700" s="17">
        <v>831.52</v>
      </c>
      <c r="F700" s="16">
        <v>7.0000000000000007E-2</v>
      </c>
      <c r="G700" s="15" t="s">
        <v>32</v>
      </c>
      <c r="H700" s="18">
        <v>259.47000000000003</v>
      </c>
      <c r="I700" s="19">
        <v>35.409999999999997</v>
      </c>
      <c r="J700" s="19">
        <v>1.99</v>
      </c>
      <c r="K700" s="19" t="s">
        <v>69</v>
      </c>
      <c r="L700" s="19" t="s">
        <v>75</v>
      </c>
      <c r="M700" s="15" t="s">
        <v>76</v>
      </c>
      <c r="N700" s="15" t="s">
        <v>64</v>
      </c>
      <c r="O700" s="15" t="s">
        <v>72</v>
      </c>
      <c r="P700" s="20" t="s">
        <v>1004</v>
      </c>
      <c r="Q700" s="15" t="s">
        <v>49</v>
      </c>
      <c r="R700" s="4"/>
      <c r="S700" s="4"/>
    </row>
    <row r="701" spans="1:19" ht="21" customHeight="1" x14ac:dyDescent="0.25">
      <c r="A701" s="14">
        <f>DATE(2012,12,31)-132</f>
        <v>41142</v>
      </c>
      <c r="B701" s="15" t="s">
        <v>1003</v>
      </c>
      <c r="C701" s="15" t="s">
        <v>85</v>
      </c>
      <c r="D701" s="16">
        <v>10</v>
      </c>
      <c r="E701" s="17">
        <v>1089.8699999999999</v>
      </c>
      <c r="F701" s="16">
        <v>0.06</v>
      </c>
      <c r="G701" s="15" t="s">
        <v>101</v>
      </c>
      <c r="H701" s="18">
        <v>-124.509</v>
      </c>
      <c r="I701" s="19">
        <v>125.99</v>
      </c>
      <c r="J701" s="19">
        <v>5.99</v>
      </c>
      <c r="K701" s="19" t="s">
        <v>69</v>
      </c>
      <c r="L701" s="19" t="s">
        <v>70</v>
      </c>
      <c r="M701" s="15" t="s">
        <v>989</v>
      </c>
      <c r="N701" s="15" t="s">
        <v>64</v>
      </c>
      <c r="O701" s="15" t="s">
        <v>65</v>
      </c>
      <c r="P701" s="20" t="s">
        <v>1005</v>
      </c>
      <c r="Q701" s="15" t="s">
        <v>83</v>
      </c>
      <c r="R701" s="4"/>
      <c r="S701" s="4"/>
    </row>
    <row r="702" spans="1:19" ht="21" customHeight="1" x14ac:dyDescent="0.25">
      <c r="A702" s="14">
        <f>DATE(2012,12,31)-132</f>
        <v>41142</v>
      </c>
      <c r="B702" s="15" t="s">
        <v>1003</v>
      </c>
      <c r="C702" s="15" t="s">
        <v>85</v>
      </c>
      <c r="D702" s="16">
        <v>21</v>
      </c>
      <c r="E702" s="17">
        <v>121.3</v>
      </c>
      <c r="F702" s="16">
        <v>0.05</v>
      </c>
      <c r="G702" s="15" t="s">
        <v>32</v>
      </c>
      <c r="H702" s="18">
        <v>-64.871499999999997</v>
      </c>
      <c r="I702" s="19">
        <v>5.8</v>
      </c>
      <c r="J702" s="19">
        <v>5.59</v>
      </c>
      <c r="K702" s="19" t="s">
        <v>69</v>
      </c>
      <c r="L702" s="19" t="s">
        <v>215</v>
      </c>
      <c r="M702" s="15" t="s">
        <v>828</v>
      </c>
      <c r="N702" s="15" t="s">
        <v>36</v>
      </c>
      <c r="O702" s="15" t="s">
        <v>170</v>
      </c>
      <c r="P702" s="20" t="s">
        <v>1006</v>
      </c>
      <c r="Q702" s="15" t="s">
        <v>83</v>
      </c>
      <c r="R702" s="4"/>
      <c r="S702" s="4"/>
    </row>
    <row r="703" spans="1:19" ht="21" customHeight="1" x14ac:dyDescent="0.25">
      <c r="A703" s="14">
        <f>DATE(2012,12,31)-1141</f>
        <v>40133</v>
      </c>
      <c r="B703" s="15" t="s">
        <v>1007</v>
      </c>
      <c r="C703" s="15" t="s">
        <v>85</v>
      </c>
      <c r="D703" s="16">
        <v>22</v>
      </c>
      <c r="E703" s="17">
        <v>168.31</v>
      </c>
      <c r="F703" s="16">
        <v>0.1</v>
      </c>
      <c r="G703" s="15" t="s">
        <v>32</v>
      </c>
      <c r="H703" s="18">
        <v>46.49</v>
      </c>
      <c r="I703" s="19">
        <v>8.17</v>
      </c>
      <c r="J703" s="19">
        <v>1.69</v>
      </c>
      <c r="K703" s="19" t="s">
        <v>69</v>
      </c>
      <c r="L703" s="19" t="s">
        <v>215</v>
      </c>
      <c r="M703" s="15" t="s">
        <v>828</v>
      </c>
      <c r="N703" s="15" t="s">
        <v>36</v>
      </c>
      <c r="O703" s="15" t="s">
        <v>117</v>
      </c>
      <c r="P703" s="20" t="s">
        <v>1008</v>
      </c>
      <c r="Q703" s="15" t="s">
        <v>79</v>
      </c>
      <c r="R703" s="4"/>
      <c r="S703" s="4"/>
    </row>
    <row r="704" spans="1:19" ht="21" customHeight="1" x14ac:dyDescent="0.25">
      <c r="A704" s="14">
        <f>DATE(2012,12,31)-1141</f>
        <v>40133</v>
      </c>
      <c r="B704" s="15" t="s">
        <v>1007</v>
      </c>
      <c r="C704" s="15" t="s">
        <v>85</v>
      </c>
      <c r="D704" s="16">
        <v>45</v>
      </c>
      <c r="E704" s="17">
        <v>4282.7249999999995</v>
      </c>
      <c r="F704" s="16">
        <v>0.03</v>
      </c>
      <c r="G704" s="15" t="s">
        <v>32</v>
      </c>
      <c r="H704" s="18">
        <v>1371.7440000000001</v>
      </c>
      <c r="I704" s="19">
        <v>110.99</v>
      </c>
      <c r="J704" s="19">
        <v>2.5</v>
      </c>
      <c r="K704" s="19" t="s">
        <v>111</v>
      </c>
      <c r="L704" s="19" t="s">
        <v>112</v>
      </c>
      <c r="M704" s="15" t="s">
        <v>1009</v>
      </c>
      <c r="N704" s="15" t="s">
        <v>64</v>
      </c>
      <c r="O704" s="15" t="s">
        <v>65</v>
      </c>
      <c r="P704" s="20" t="s">
        <v>1010</v>
      </c>
      <c r="Q704" s="15" t="s">
        <v>83</v>
      </c>
      <c r="R704" s="4"/>
      <c r="S704" s="4"/>
    </row>
    <row r="705" spans="1:19" ht="21" customHeight="1" x14ac:dyDescent="0.25">
      <c r="A705" s="14">
        <f>DATE(2012,12,31)-875</f>
        <v>40399</v>
      </c>
      <c r="B705" s="15" t="s">
        <v>900</v>
      </c>
      <c r="C705" s="15" t="s">
        <v>85</v>
      </c>
      <c r="D705" s="16">
        <v>11</v>
      </c>
      <c r="E705" s="17">
        <v>109.37</v>
      </c>
      <c r="F705" s="16">
        <v>7.0000000000000007E-2</v>
      </c>
      <c r="G705" s="15" t="s">
        <v>32</v>
      </c>
      <c r="H705" s="18">
        <v>25.96</v>
      </c>
      <c r="I705" s="19">
        <v>10.31</v>
      </c>
      <c r="J705" s="19">
        <v>1.79</v>
      </c>
      <c r="K705" s="19" t="s">
        <v>44</v>
      </c>
      <c r="L705" s="19" t="s">
        <v>120</v>
      </c>
      <c r="M705" s="15" t="s">
        <v>121</v>
      </c>
      <c r="N705" s="15" t="s">
        <v>36</v>
      </c>
      <c r="O705" s="15" t="s">
        <v>117</v>
      </c>
      <c r="P705" s="20" t="s">
        <v>1011</v>
      </c>
      <c r="Q705" s="15" t="s">
        <v>79</v>
      </c>
      <c r="R705" s="4"/>
      <c r="S705" s="4"/>
    </row>
    <row r="706" spans="1:19" ht="21" customHeight="1" x14ac:dyDescent="0.25">
      <c r="A706" s="14">
        <f>DATE(2012,12,31)-952</f>
        <v>40322</v>
      </c>
      <c r="B706" s="15" t="s">
        <v>1012</v>
      </c>
      <c r="C706" s="15" t="s">
        <v>43</v>
      </c>
      <c r="D706" s="16">
        <v>30</v>
      </c>
      <c r="E706" s="17">
        <v>106.64</v>
      </c>
      <c r="F706" s="16">
        <v>0.1</v>
      </c>
      <c r="G706" s="15" t="s">
        <v>32</v>
      </c>
      <c r="H706" s="18">
        <v>-31.95</v>
      </c>
      <c r="I706" s="19">
        <v>3.68</v>
      </c>
      <c r="J706" s="19">
        <v>1.32</v>
      </c>
      <c r="K706" s="19" t="s">
        <v>44</v>
      </c>
      <c r="L706" s="19" t="s">
        <v>89</v>
      </c>
      <c r="M706" s="15" t="s">
        <v>734</v>
      </c>
      <c r="N706" s="15" t="s">
        <v>36</v>
      </c>
      <c r="O706" s="15" t="s">
        <v>47</v>
      </c>
      <c r="P706" s="20" t="s">
        <v>1013</v>
      </c>
      <c r="Q706" s="15" t="s">
        <v>79</v>
      </c>
      <c r="R706" s="4"/>
      <c r="S706" s="4"/>
    </row>
    <row r="707" spans="1:19" ht="21" customHeight="1" x14ac:dyDescent="0.25">
      <c r="A707" s="14">
        <f>DATE(2012,12,31)-675</f>
        <v>40599</v>
      </c>
      <c r="B707" s="15" t="s">
        <v>1014</v>
      </c>
      <c r="C707" s="15" t="s">
        <v>31</v>
      </c>
      <c r="D707" s="16">
        <v>4</v>
      </c>
      <c r="E707" s="17">
        <v>40.869999999999997</v>
      </c>
      <c r="F707" s="16">
        <v>0.04</v>
      </c>
      <c r="G707" s="15" t="s">
        <v>101</v>
      </c>
      <c r="H707" s="18">
        <v>-16.38</v>
      </c>
      <c r="I707" s="19">
        <v>6.48</v>
      </c>
      <c r="J707" s="19">
        <v>8.74</v>
      </c>
      <c r="K707" s="19" t="s">
        <v>44</v>
      </c>
      <c r="L707" s="19" t="s">
        <v>45</v>
      </c>
      <c r="M707" s="15" t="s">
        <v>46</v>
      </c>
      <c r="N707" s="15" t="s">
        <v>36</v>
      </c>
      <c r="O707" s="15" t="s">
        <v>117</v>
      </c>
      <c r="P707" s="20" t="s">
        <v>179</v>
      </c>
      <c r="Q707" s="15" t="s">
        <v>83</v>
      </c>
      <c r="R707" s="4"/>
      <c r="S707" s="4"/>
    </row>
    <row r="708" spans="1:19" ht="21" customHeight="1" x14ac:dyDescent="0.25">
      <c r="A708" s="14">
        <f>DATE(2012,12,31)-675</f>
        <v>40599</v>
      </c>
      <c r="B708" s="15" t="s">
        <v>1014</v>
      </c>
      <c r="C708" s="15" t="s">
        <v>31</v>
      </c>
      <c r="D708" s="16">
        <v>30</v>
      </c>
      <c r="E708" s="17">
        <v>8363.65</v>
      </c>
      <c r="F708" s="16">
        <v>0.09</v>
      </c>
      <c r="G708" s="15" t="s">
        <v>58</v>
      </c>
      <c r="H708" s="18">
        <v>763.33</v>
      </c>
      <c r="I708" s="19">
        <v>300.98</v>
      </c>
      <c r="J708" s="19">
        <v>64.73</v>
      </c>
      <c r="K708" s="19" t="s">
        <v>44</v>
      </c>
      <c r="L708" s="19" t="s">
        <v>120</v>
      </c>
      <c r="M708" s="15" t="s">
        <v>121</v>
      </c>
      <c r="N708" s="15" t="s">
        <v>54</v>
      </c>
      <c r="O708" s="15" t="s">
        <v>252</v>
      </c>
      <c r="P708" s="20" t="s">
        <v>1015</v>
      </c>
      <c r="Q708" s="15" t="s">
        <v>181</v>
      </c>
      <c r="R708" s="4"/>
      <c r="S708" s="4"/>
    </row>
    <row r="709" spans="1:19" ht="21" customHeight="1" x14ac:dyDescent="0.25">
      <c r="A709" s="14">
        <f>DATE(2012,12,31)-803</f>
        <v>40471</v>
      </c>
      <c r="B709" s="15" t="s">
        <v>185</v>
      </c>
      <c r="C709" s="15" t="s">
        <v>31</v>
      </c>
      <c r="D709" s="16">
        <v>14</v>
      </c>
      <c r="E709" s="17">
        <v>1068.79</v>
      </c>
      <c r="F709" s="16">
        <v>7.0000000000000007E-2</v>
      </c>
      <c r="G709" s="15" t="s">
        <v>32</v>
      </c>
      <c r="H709" s="18">
        <v>56.05</v>
      </c>
      <c r="I709" s="19">
        <v>76.72</v>
      </c>
      <c r="J709" s="19">
        <v>19.95</v>
      </c>
      <c r="K709" s="19" t="s">
        <v>44</v>
      </c>
      <c r="L709" s="19" t="s">
        <v>89</v>
      </c>
      <c r="M709" s="15" t="s">
        <v>734</v>
      </c>
      <c r="N709" s="15" t="s">
        <v>36</v>
      </c>
      <c r="O709" s="15" t="s">
        <v>176</v>
      </c>
      <c r="P709" s="20" t="s">
        <v>1016</v>
      </c>
      <c r="Q709" s="15" t="s">
        <v>39</v>
      </c>
      <c r="R709" s="4"/>
      <c r="S709" s="4"/>
    </row>
    <row r="710" spans="1:19" ht="21" customHeight="1" x14ac:dyDescent="0.25">
      <c r="A710" s="14">
        <f>DATE(2012,12,31)-803</f>
        <v>40471</v>
      </c>
      <c r="B710" s="15" t="s">
        <v>185</v>
      </c>
      <c r="C710" s="15" t="s">
        <v>31</v>
      </c>
      <c r="D710" s="16">
        <v>46</v>
      </c>
      <c r="E710" s="17">
        <v>287.13</v>
      </c>
      <c r="F710" s="16">
        <v>0</v>
      </c>
      <c r="G710" s="15" t="s">
        <v>32</v>
      </c>
      <c r="H710" s="18">
        <v>-186.31</v>
      </c>
      <c r="I710" s="19">
        <v>5.78</v>
      </c>
      <c r="J710" s="19">
        <v>7.96</v>
      </c>
      <c r="K710" s="19" t="s">
        <v>33</v>
      </c>
      <c r="L710" s="19" t="s">
        <v>128</v>
      </c>
      <c r="M710" s="15" t="s">
        <v>129</v>
      </c>
      <c r="N710" s="15" t="s">
        <v>36</v>
      </c>
      <c r="O710" s="15" t="s">
        <v>117</v>
      </c>
      <c r="P710" s="20" t="s">
        <v>1017</v>
      </c>
      <c r="Q710" s="15" t="s">
        <v>83</v>
      </c>
      <c r="R710" s="4"/>
      <c r="S710" s="4"/>
    </row>
    <row r="711" spans="1:19" ht="21" customHeight="1" x14ac:dyDescent="0.25">
      <c r="A711" s="14">
        <f>DATE(2012,12,31)-109</f>
        <v>41165</v>
      </c>
      <c r="B711" s="15" t="s">
        <v>1018</v>
      </c>
      <c r="C711" s="15" t="s">
        <v>85</v>
      </c>
      <c r="D711" s="16">
        <v>30</v>
      </c>
      <c r="E711" s="17">
        <v>4305.79</v>
      </c>
      <c r="F711" s="16">
        <v>0</v>
      </c>
      <c r="G711" s="15" t="s">
        <v>32</v>
      </c>
      <c r="H711" s="18">
        <v>1020.32</v>
      </c>
      <c r="I711" s="19">
        <v>142.86000000000001</v>
      </c>
      <c r="J711" s="19">
        <v>19.989999999999998</v>
      </c>
      <c r="K711" s="19" t="s">
        <v>97</v>
      </c>
      <c r="L711" s="19" t="s">
        <v>98</v>
      </c>
      <c r="M711" s="15" t="s">
        <v>99</v>
      </c>
      <c r="N711" s="15" t="s">
        <v>36</v>
      </c>
      <c r="O711" s="15" t="s">
        <v>37</v>
      </c>
      <c r="P711" s="20" t="s">
        <v>1019</v>
      </c>
      <c r="Q711" s="15" t="s">
        <v>83</v>
      </c>
      <c r="R711" s="4"/>
      <c r="S711" s="4"/>
    </row>
    <row r="712" spans="1:19" ht="21" customHeight="1" x14ac:dyDescent="0.25">
      <c r="A712" s="14">
        <f>DATE(2012,12,31)-259</f>
        <v>41015</v>
      </c>
      <c r="B712" s="15" t="s">
        <v>667</v>
      </c>
      <c r="C712" s="15" t="s">
        <v>51</v>
      </c>
      <c r="D712" s="16">
        <v>10</v>
      </c>
      <c r="E712" s="17">
        <v>79.680000000000007</v>
      </c>
      <c r="F712" s="16">
        <v>0.06</v>
      </c>
      <c r="G712" s="15" t="s">
        <v>32</v>
      </c>
      <c r="H712" s="18">
        <v>18.239999999999998</v>
      </c>
      <c r="I712" s="19">
        <v>7.7</v>
      </c>
      <c r="J712" s="19">
        <v>3.68</v>
      </c>
      <c r="K712" s="19" t="s">
        <v>124</v>
      </c>
      <c r="L712" s="19" t="s">
        <v>160</v>
      </c>
      <c r="M712" s="15" t="s">
        <v>888</v>
      </c>
      <c r="N712" s="15" t="s">
        <v>54</v>
      </c>
      <c r="O712" s="15" t="s">
        <v>55</v>
      </c>
      <c r="P712" s="20" t="s">
        <v>978</v>
      </c>
      <c r="Q712" s="15" t="s">
        <v>79</v>
      </c>
      <c r="R712" s="4"/>
      <c r="S712" s="4"/>
    </row>
    <row r="713" spans="1:19" ht="21" customHeight="1" x14ac:dyDescent="0.25">
      <c r="A713" s="14">
        <f>DATE(2012,12,31)-783</f>
        <v>40491</v>
      </c>
      <c r="B713" s="15" t="s">
        <v>1020</v>
      </c>
      <c r="C713" s="15" t="s">
        <v>51</v>
      </c>
      <c r="D713" s="16">
        <v>5</v>
      </c>
      <c r="E713" s="17">
        <v>41.18</v>
      </c>
      <c r="F713" s="16">
        <v>0.1</v>
      </c>
      <c r="G713" s="15" t="s">
        <v>101</v>
      </c>
      <c r="H713" s="18">
        <v>-19.308499999999999</v>
      </c>
      <c r="I713" s="19">
        <v>5.44</v>
      </c>
      <c r="J713" s="19">
        <v>7.46</v>
      </c>
      <c r="K713" s="19" t="s">
        <v>124</v>
      </c>
      <c r="L713" s="19" t="s">
        <v>160</v>
      </c>
      <c r="M713" s="15" t="s">
        <v>888</v>
      </c>
      <c r="N713" s="15" t="s">
        <v>36</v>
      </c>
      <c r="O713" s="15" t="s">
        <v>170</v>
      </c>
      <c r="P713" s="20" t="s">
        <v>707</v>
      </c>
      <c r="Q713" s="15" t="s">
        <v>83</v>
      </c>
      <c r="R713" s="4"/>
      <c r="S713" s="4"/>
    </row>
    <row r="714" spans="1:19" ht="21" customHeight="1" x14ac:dyDescent="0.25">
      <c r="A714" s="14">
        <f>DATE(2012,12,31)-871</f>
        <v>40403</v>
      </c>
      <c r="B714" s="15" t="s">
        <v>1021</v>
      </c>
      <c r="C714" s="15" t="s">
        <v>85</v>
      </c>
      <c r="D714" s="16">
        <v>4</v>
      </c>
      <c r="E714" s="17">
        <v>12.8</v>
      </c>
      <c r="F714" s="16">
        <v>0</v>
      </c>
      <c r="G714" s="15" t="s">
        <v>32</v>
      </c>
      <c r="H714" s="18">
        <v>-2.21</v>
      </c>
      <c r="I714" s="19">
        <v>2.88</v>
      </c>
      <c r="J714" s="19">
        <v>0.7</v>
      </c>
      <c r="K714" s="19" t="s">
        <v>124</v>
      </c>
      <c r="L714" s="19" t="s">
        <v>160</v>
      </c>
      <c r="M714" s="15" t="s">
        <v>888</v>
      </c>
      <c r="N714" s="15" t="s">
        <v>36</v>
      </c>
      <c r="O714" s="15" t="s">
        <v>77</v>
      </c>
      <c r="P714" s="20" t="s">
        <v>1022</v>
      </c>
      <c r="Q714" s="15" t="s">
        <v>79</v>
      </c>
      <c r="R714" s="4"/>
      <c r="S714" s="4"/>
    </row>
    <row r="715" spans="1:19" ht="21" customHeight="1" x14ac:dyDescent="0.25">
      <c r="A715" s="14">
        <f>DATE(2012,12,31)-429</f>
        <v>40845</v>
      </c>
      <c r="B715" s="15" t="s">
        <v>1023</v>
      </c>
      <c r="C715" s="15" t="s">
        <v>31</v>
      </c>
      <c r="D715" s="16">
        <v>3</v>
      </c>
      <c r="E715" s="17">
        <v>709.04</v>
      </c>
      <c r="F715" s="16">
        <v>0.1</v>
      </c>
      <c r="G715" s="15" t="s">
        <v>58</v>
      </c>
      <c r="H715" s="18">
        <v>-337.92</v>
      </c>
      <c r="I715" s="19">
        <v>220.98</v>
      </c>
      <c r="J715" s="19">
        <v>64.66</v>
      </c>
      <c r="K715" s="19" t="s">
        <v>124</v>
      </c>
      <c r="L715" s="19" t="s">
        <v>168</v>
      </c>
      <c r="M715" s="15" t="s">
        <v>169</v>
      </c>
      <c r="N715" s="15" t="s">
        <v>54</v>
      </c>
      <c r="O715" s="15" t="s">
        <v>134</v>
      </c>
      <c r="P715" s="20" t="s">
        <v>447</v>
      </c>
      <c r="Q715" s="15" t="s">
        <v>63</v>
      </c>
      <c r="R715" s="4"/>
      <c r="S715" s="4"/>
    </row>
    <row r="716" spans="1:19" ht="21" customHeight="1" x14ac:dyDescent="0.25">
      <c r="A716" s="14">
        <f>DATE(2012,12,31)-429</f>
        <v>40845</v>
      </c>
      <c r="B716" s="15" t="s">
        <v>1023</v>
      </c>
      <c r="C716" s="15" t="s">
        <v>31</v>
      </c>
      <c r="D716" s="16">
        <v>25</v>
      </c>
      <c r="E716" s="17">
        <v>978.77</v>
      </c>
      <c r="F716" s="16">
        <v>0.06</v>
      </c>
      <c r="G716" s="15" t="s">
        <v>32</v>
      </c>
      <c r="H716" s="18">
        <v>220.91</v>
      </c>
      <c r="I716" s="19">
        <v>38.76</v>
      </c>
      <c r="J716" s="19">
        <v>13.26</v>
      </c>
      <c r="K716" s="19" t="s">
        <v>124</v>
      </c>
      <c r="L716" s="19" t="s">
        <v>164</v>
      </c>
      <c r="M716" s="15" t="s">
        <v>754</v>
      </c>
      <c r="N716" s="15" t="s">
        <v>36</v>
      </c>
      <c r="O716" s="15" t="s">
        <v>117</v>
      </c>
      <c r="P716" s="20" t="s">
        <v>720</v>
      </c>
      <c r="Q716" s="15" t="s">
        <v>83</v>
      </c>
      <c r="R716" s="4"/>
      <c r="S716" s="4"/>
    </row>
    <row r="717" spans="1:19" ht="21" customHeight="1" x14ac:dyDescent="0.25">
      <c r="A717" s="14">
        <f>DATE(2012,12,31)-1009</f>
        <v>40265</v>
      </c>
      <c r="B717" s="15" t="s">
        <v>1024</v>
      </c>
      <c r="C717" s="15" t="s">
        <v>43</v>
      </c>
      <c r="D717" s="16">
        <v>2</v>
      </c>
      <c r="E717" s="17">
        <v>79.58</v>
      </c>
      <c r="F717" s="16">
        <v>0.06</v>
      </c>
      <c r="G717" s="15" t="s">
        <v>32</v>
      </c>
      <c r="H717" s="18">
        <v>-38.28</v>
      </c>
      <c r="I717" s="19">
        <v>37.44</v>
      </c>
      <c r="J717" s="19">
        <v>4.2699999999999996</v>
      </c>
      <c r="K717" s="19" t="s">
        <v>124</v>
      </c>
      <c r="L717" s="19" t="s">
        <v>164</v>
      </c>
      <c r="M717" s="15" t="s">
        <v>754</v>
      </c>
      <c r="N717" s="15" t="s">
        <v>36</v>
      </c>
      <c r="O717" s="15" t="s">
        <v>77</v>
      </c>
      <c r="P717" s="20" t="s">
        <v>1025</v>
      </c>
      <c r="Q717" s="15" t="s">
        <v>79</v>
      </c>
      <c r="R717" s="4"/>
      <c r="S717" s="4"/>
    </row>
    <row r="718" spans="1:19" ht="21" customHeight="1" x14ac:dyDescent="0.25">
      <c r="A718" s="14">
        <f>DATE(2012,12,31)-254</f>
        <v>41020</v>
      </c>
      <c r="B718" s="15" t="s">
        <v>1026</v>
      </c>
      <c r="C718" s="15" t="s">
        <v>51</v>
      </c>
      <c r="D718" s="16">
        <v>7</v>
      </c>
      <c r="E718" s="17">
        <v>786.67499999999995</v>
      </c>
      <c r="F718" s="16">
        <v>0.01</v>
      </c>
      <c r="G718" s="15" t="s">
        <v>32</v>
      </c>
      <c r="H718" s="18">
        <v>-315.029</v>
      </c>
      <c r="I718" s="19">
        <v>125.99</v>
      </c>
      <c r="J718" s="19">
        <v>8.8000000000000007</v>
      </c>
      <c r="K718" s="19" t="s">
        <v>44</v>
      </c>
      <c r="L718" s="19" t="s">
        <v>80</v>
      </c>
      <c r="M718" s="15" t="s">
        <v>991</v>
      </c>
      <c r="N718" s="15" t="s">
        <v>64</v>
      </c>
      <c r="O718" s="15" t="s">
        <v>65</v>
      </c>
      <c r="P718" s="20" t="s">
        <v>536</v>
      </c>
      <c r="Q718" s="15" t="s">
        <v>83</v>
      </c>
      <c r="R718" s="4"/>
      <c r="S718" s="4"/>
    </row>
    <row r="719" spans="1:19" ht="21" customHeight="1" x14ac:dyDescent="0.25">
      <c r="A719" s="14">
        <f>DATE(2012,12,31)-235</f>
        <v>41039</v>
      </c>
      <c r="B719" s="15" t="s">
        <v>1000</v>
      </c>
      <c r="C719" s="15" t="s">
        <v>43</v>
      </c>
      <c r="D719" s="16">
        <v>45</v>
      </c>
      <c r="E719" s="17">
        <v>1991.7029999999997</v>
      </c>
      <c r="F719" s="16">
        <v>7.0000000000000007E-2</v>
      </c>
      <c r="G719" s="15" t="s">
        <v>32</v>
      </c>
      <c r="H719" s="18">
        <v>559.10699999999997</v>
      </c>
      <c r="I719" s="19">
        <v>55.99</v>
      </c>
      <c r="J719" s="19">
        <v>1.25</v>
      </c>
      <c r="K719" s="19" t="s">
        <v>44</v>
      </c>
      <c r="L719" s="19" t="s">
        <v>52</v>
      </c>
      <c r="M719" s="15" t="s">
        <v>424</v>
      </c>
      <c r="N719" s="15" t="s">
        <v>64</v>
      </c>
      <c r="O719" s="15" t="s">
        <v>65</v>
      </c>
      <c r="P719" s="20" t="s">
        <v>1027</v>
      </c>
      <c r="Q719" s="15" t="s">
        <v>49</v>
      </c>
      <c r="R719" s="4"/>
      <c r="S719" s="4"/>
    </row>
    <row r="720" spans="1:19" ht="21" customHeight="1" x14ac:dyDescent="0.25">
      <c r="A720" s="14">
        <f>DATE(2012,12,31)-494</f>
        <v>40780</v>
      </c>
      <c r="B720" s="15" t="s">
        <v>311</v>
      </c>
      <c r="C720" s="15" t="s">
        <v>85</v>
      </c>
      <c r="D720" s="16">
        <v>37</v>
      </c>
      <c r="E720" s="17">
        <v>4896.93</v>
      </c>
      <c r="F720" s="16">
        <v>0.04</v>
      </c>
      <c r="G720" s="15" t="s">
        <v>101</v>
      </c>
      <c r="H720" s="18">
        <v>1467.82</v>
      </c>
      <c r="I720" s="19">
        <v>128.24</v>
      </c>
      <c r="J720" s="19">
        <v>12.65</v>
      </c>
      <c r="K720" s="19" t="s">
        <v>44</v>
      </c>
      <c r="L720" s="19" t="s">
        <v>52</v>
      </c>
      <c r="M720" s="15" t="s">
        <v>424</v>
      </c>
      <c r="N720" s="15" t="s">
        <v>54</v>
      </c>
      <c r="O720" s="15" t="s">
        <v>252</v>
      </c>
      <c r="P720" s="20" t="s">
        <v>585</v>
      </c>
      <c r="Q720" s="15" t="s">
        <v>57</v>
      </c>
      <c r="R720" s="4"/>
      <c r="S720" s="4"/>
    </row>
    <row r="721" spans="1:19" ht="21" customHeight="1" x14ac:dyDescent="0.25">
      <c r="A721" s="14">
        <f>DATE(2012,12,31)-1299</f>
        <v>39975</v>
      </c>
      <c r="B721" s="15" t="s">
        <v>1028</v>
      </c>
      <c r="C721" s="15" t="s">
        <v>51</v>
      </c>
      <c r="D721" s="16">
        <v>14</v>
      </c>
      <c r="E721" s="17">
        <v>569.21</v>
      </c>
      <c r="F721" s="16">
        <v>0.01</v>
      </c>
      <c r="G721" s="15" t="s">
        <v>32</v>
      </c>
      <c r="H721" s="18">
        <v>-38.51</v>
      </c>
      <c r="I721" s="19">
        <v>39.979999999999997</v>
      </c>
      <c r="J721" s="19">
        <v>4</v>
      </c>
      <c r="K721" s="19" t="s">
        <v>44</v>
      </c>
      <c r="L721" s="19" t="s">
        <v>80</v>
      </c>
      <c r="M721" s="15" t="s">
        <v>991</v>
      </c>
      <c r="N721" s="15" t="s">
        <v>64</v>
      </c>
      <c r="O721" s="15" t="s">
        <v>72</v>
      </c>
      <c r="P721" s="20" t="s">
        <v>733</v>
      </c>
      <c r="Q721" s="15" t="s">
        <v>83</v>
      </c>
      <c r="R721" s="4"/>
      <c r="S721" s="4"/>
    </row>
    <row r="722" spans="1:19" ht="21" customHeight="1" x14ac:dyDescent="0.25">
      <c r="A722" s="14">
        <f>DATE(2012,12,31)-671</f>
        <v>40603</v>
      </c>
      <c r="B722" s="15" t="s">
        <v>770</v>
      </c>
      <c r="C722" s="15" t="s">
        <v>43</v>
      </c>
      <c r="D722" s="16">
        <v>24</v>
      </c>
      <c r="E722" s="17">
        <v>192.8</v>
      </c>
      <c r="F722" s="16">
        <v>0.05</v>
      </c>
      <c r="G722" s="15" t="s">
        <v>32</v>
      </c>
      <c r="H722" s="18">
        <v>31</v>
      </c>
      <c r="I722" s="19">
        <v>8.01</v>
      </c>
      <c r="J722" s="19">
        <v>2.87</v>
      </c>
      <c r="K722" s="19" t="s">
        <v>44</v>
      </c>
      <c r="L722" s="19" t="s">
        <v>52</v>
      </c>
      <c r="M722" s="15" t="s">
        <v>1029</v>
      </c>
      <c r="N722" s="15" t="s">
        <v>36</v>
      </c>
      <c r="O722" s="15" t="s">
        <v>117</v>
      </c>
      <c r="P722" s="20" t="s">
        <v>639</v>
      </c>
      <c r="Q722" s="15" t="s">
        <v>79</v>
      </c>
      <c r="R722" s="4"/>
      <c r="S722" s="4"/>
    </row>
    <row r="723" spans="1:19" ht="21" customHeight="1" x14ac:dyDescent="0.25">
      <c r="A723" s="14">
        <f>DATE(2012,12,31)-767</f>
        <v>40507</v>
      </c>
      <c r="B723" s="15" t="s">
        <v>861</v>
      </c>
      <c r="C723" s="15" t="s">
        <v>31</v>
      </c>
      <c r="D723" s="16">
        <v>12</v>
      </c>
      <c r="E723" s="17">
        <v>900.06</v>
      </c>
      <c r="F723" s="16">
        <v>0.05</v>
      </c>
      <c r="G723" s="15" t="s">
        <v>32</v>
      </c>
      <c r="H723" s="18">
        <v>-221.12</v>
      </c>
      <c r="I723" s="19">
        <v>73.98</v>
      </c>
      <c r="J723" s="19">
        <v>14.52</v>
      </c>
      <c r="K723" s="19" t="s">
        <v>44</v>
      </c>
      <c r="L723" s="19" t="s">
        <v>52</v>
      </c>
      <c r="M723" s="15" t="s">
        <v>1029</v>
      </c>
      <c r="N723" s="15" t="s">
        <v>64</v>
      </c>
      <c r="O723" s="15" t="s">
        <v>72</v>
      </c>
      <c r="P723" s="20" t="s">
        <v>842</v>
      </c>
      <c r="Q723" s="15" t="s">
        <v>83</v>
      </c>
      <c r="R723" s="4"/>
      <c r="S723" s="4"/>
    </row>
    <row r="724" spans="1:19" ht="21" customHeight="1" x14ac:dyDescent="0.25">
      <c r="A724" s="14">
        <f>DATE(2012,12,31)-767</f>
        <v>40507</v>
      </c>
      <c r="B724" s="15" t="s">
        <v>861</v>
      </c>
      <c r="C724" s="15" t="s">
        <v>31</v>
      </c>
      <c r="D724" s="16">
        <v>14</v>
      </c>
      <c r="E724" s="17">
        <v>2066.63</v>
      </c>
      <c r="F724" s="16">
        <v>0.03</v>
      </c>
      <c r="G724" s="15" t="s">
        <v>32</v>
      </c>
      <c r="H724" s="18">
        <v>65.58</v>
      </c>
      <c r="I724" s="19">
        <v>140.85</v>
      </c>
      <c r="J724" s="19">
        <v>19.989999999999998</v>
      </c>
      <c r="K724" s="19" t="s">
        <v>44</v>
      </c>
      <c r="L724" s="19" t="s">
        <v>52</v>
      </c>
      <c r="M724" s="15" t="s">
        <v>1029</v>
      </c>
      <c r="N724" s="15" t="s">
        <v>36</v>
      </c>
      <c r="O724" s="15" t="s">
        <v>37</v>
      </c>
      <c r="P724" s="20" t="s">
        <v>634</v>
      </c>
      <c r="Q724" s="15" t="s">
        <v>83</v>
      </c>
      <c r="R724" s="4"/>
      <c r="S724" s="4"/>
    </row>
    <row r="725" spans="1:19" ht="21" customHeight="1" x14ac:dyDescent="0.25">
      <c r="A725" s="14">
        <f>DATE(2012,12,31)-767</f>
        <v>40507</v>
      </c>
      <c r="B725" s="15" t="s">
        <v>861</v>
      </c>
      <c r="C725" s="15" t="s">
        <v>31</v>
      </c>
      <c r="D725" s="16">
        <v>8</v>
      </c>
      <c r="E725" s="17">
        <v>24.72</v>
      </c>
      <c r="F725" s="16">
        <v>0.06</v>
      </c>
      <c r="G725" s="15" t="s">
        <v>32</v>
      </c>
      <c r="H725" s="18">
        <v>-21.47</v>
      </c>
      <c r="I725" s="19">
        <v>2.74</v>
      </c>
      <c r="J725" s="19">
        <v>3.5</v>
      </c>
      <c r="K725" s="19" t="s">
        <v>44</v>
      </c>
      <c r="L725" s="19" t="s">
        <v>52</v>
      </c>
      <c r="M725" s="15" t="s">
        <v>1029</v>
      </c>
      <c r="N725" s="15" t="s">
        <v>36</v>
      </c>
      <c r="O725" s="15" t="s">
        <v>77</v>
      </c>
      <c r="P725" s="20" t="s">
        <v>321</v>
      </c>
      <c r="Q725" s="15" t="s">
        <v>49</v>
      </c>
      <c r="R725" s="4"/>
      <c r="S725" s="4"/>
    </row>
    <row r="726" spans="1:19" ht="21" customHeight="1" x14ac:dyDescent="0.25">
      <c r="A726" s="14">
        <f>DATE(2012,12,31)-446</f>
        <v>40828</v>
      </c>
      <c r="B726" s="15" t="s">
        <v>705</v>
      </c>
      <c r="C726" s="15" t="s">
        <v>51</v>
      </c>
      <c r="D726" s="16">
        <v>8</v>
      </c>
      <c r="E726" s="17">
        <v>339.35</v>
      </c>
      <c r="F726" s="16">
        <v>0.03</v>
      </c>
      <c r="G726" s="15" t="s">
        <v>101</v>
      </c>
      <c r="H726" s="18">
        <v>27.88</v>
      </c>
      <c r="I726" s="19">
        <v>40.98</v>
      </c>
      <c r="J726" s="19">
        <v>5.33</v>
      </c>
      <c r="K726" s="19" t="s">
        <v>33</v>
      </c>
      <c r="L726" s="19" t="s">
        <v>59</v>
      </c>
      <c r="M726" s="15" t="s">
        <v>60</v>
      </c>
      <c r="N726" s="15" t="s">
        <v>36</v>
      </c>
      <c r="O726" s="15" t="s">
        <v>176</v>
      </c>
      <c r="P726" s="20" t="s">
        <v>588</v>
      </c>
      <c r="Q726" s="15" t="s">
        <v>83</v>
      </c>
      <c r="R726" s="4"/>
      <c r="S726" s="4"/>
    </row>
    <row r="727" spans="1:19" ht="21" customHeight="1" x14ac:dyDescent="0.25">
      <c r="A727" s="14">
        <f>DATE(2012,12,31)-446</f>
        <v>40828</v>
      </c>
      <c r="B727" s="15" t="s">
        <v>705</v>
      </c>
      <c r="C727" s="15" t="s">
        <v>51</v>
      </c>
      <c r="D727" s="16">
        <v>11</v>
      </c>
      <c r="E727" s="17">
        <v>33.67</v>
      </c>
      <c r="F727" s="16">
        <v>0.09</v>
      </c>
      <c r="G727" s="15" t="s">
        <v>32</v>
      </c>
      <c r="H727" s="18">
        <v>4.08</v>
      </c>
      <c r="I727" s="19">
        <v>3.08</v>
      </c>
      <c r="J727" s="19">
        <v>0.99</v>
      </c>
      <c r="K727" s="19" t="s">
        <v>44</v>
      </c>
      <c r="L727" s="19" t="s">
        <v>52</v>
      </c>
      <c r="M727" s="15" t="s">
        <v>1029</v>
      </c>
      <c r="N727" s="15" t="s">
        <v>36</v>
      </c>
      <c r="O727" s="15" t="s">
        <v>114</v>
      </c>
      <c r="P727" s="20" t="s">
        <v>262</v>
      </c>
      <c r="Q727" s="15" t="s">
        <v>83</v>
      </c>
      <c r="R727" s="4"/>
      <c r="S727" s="4"/>
    </row>
    <row r="728" spans="1:19" ht="21" customHeight="1" x14ac:dyDescent="0.25">
      <c r="A728" s="14">
        <f>DATE(2012,12,31)-572</f>
        <v>40702</v>
      </c>
      <c r="B728" s="15" t="s">
        <v>1030</v>
      </c>
      <c r="C728" s="15" t="s">
        <v>43</v>
      </c>
      <c r="D728" s="16">
        <v>48</v>
      </c>
      <c r="E728" s="17">
        <v>1347.63</v>
      </c>
      <c r="F728" s="16">
        <v>7.0000000000000007E-2</v>
      </c>
      <c r="G728" s="15" t="s">
        <v>32</v>
      </c>
      <c r="H728" s="18">
        <v>562.89</v>
      </c>
      <c r="I728" s="19">
        <v>28.48</v>
      </c>
      <c r="J728" s="19">
        <v>1.99</v>
      </c>
      <c r="K728" s="19" t="s">
        <v>44</v>
      </c>
      <c r="L728" s="19" t="s">
        <v>120</v>
      </c>
      <c r="M728" s="15" t="s">
        <v>121</v>
      </c>
      <c r="N728" s="15" t="s">
        <v>64</v>
      </c>
      <c r="O728" s="15" t="s">
        <v>72</v>
      </c>
      <c r="P728" s="20" t="s">
        <v>382</v>
      </c>
      <c r="Q728" s="15" t="s">
        <v>49</v>
      </c>
      <c r="R728" s="4"/>
      <c r="S728" s="4"/>
    </row>
    <row r="729" spans="1:19" ht="21" customHeight="1" x14ac:dyDescent="0.25">
      <c r="A729" s="14">
        <f>DATE(2012,12,31)-1315</f>
        <v>39959</v>
      </c>
      <c r="B729" s="15" t="s">
        <v>932</v>
      </c>
      <c r="C729" s="15" t="s">
        <v>43</v>
      </c>
      <c r="D729" s="16">
        <v>40</v>
      </c>
      <c r="E729" s="17">
        <v>14451.75</v>
      </c>
      <c r="F729" s="16">
        <v>0.01</v>
      </c>
      <c r="G729" s="15" t="s">
        <v>58</v>
      </c>
      <c r="H729" s="18">
        <v>4503.63</v>
      </c>
      <c r="I729" s="19">
        <v>349.45</v>
      </c>
      <c r="J729" s="19">
        <v>60</v>
      </c>
      <c r="K729" s="19" t="s">
        <v>44</v>
      </c>
      <c r="L729" s="19" t="s">
        <v>89</v>
      </c>
      <c r="M729" s="15" t="s">
        <v>734</v>
      </c>
      <c r="N729" s="15" t="s">
        <v>54</v>
      </c>
      <c r="O729" s="15" t="s">
        <v>61</v>
      </c>
      <c r="P729" s="20" t="s">
        <v>1031</v>
      </c>
      <c r="Q729" s="15" t="s">
        <v>181</v>
      </c>
      <c r="R729" s="4"/>
      <c r="S729" s="4"/>
    </row>
    <row r="730" spans="1:19" ht="21" customHeight="1" x14ac:dyDescent="0.25">
      <c r="A730" s="14">
        <f>DATE(2012,12,31)-630</f>
        <v>40644</v>
      </c>
      <c r="B730" s="15" t="s">
        <v>88</v>
      </c>
      <c r="C730" s="15" t="s">
        <v>85</v>
      </c>
      <c r="D730" s="16">
        <v>38</v>
      </c>
      <c r="E730" s="17">
        <v>3821.0390000000002</v>
      </c>
      <c r="F730" s="16">
        <v>0.05</v>
      </c>
      <c r="G730" s="15" t="s">
        <v>101</v>
      </c>
      <c r="H730" s="18">
        <v>1057.8870000000002</v>
      </c>
      <c r="I730" s="19">
        <v>115.99</v>
      </c>
      <c r="J730" s="19">
        <v>5.99</v>
      </c>
      <c r="K730" s="19" t="s">
        <v>124</v>
      </c>
      <c r="L730" s="19" t="s">
        <v>160</v>
      </c>
      <c r="M730" s="15" t="s">
        <v>888</v>
      </c>
      <c r="N730" s="15" t="s">
        <v>64</v>
      </c>
      <c r="O730" s="15" t="s">
        <v>65</v>
      </c>
      <c r="P730" s="20" t="s">
        <v>1032</v>
      </c>
      <c r="Q730" s="15" t="s">
        <v>83</v>
      </c>
      <c r="R730" s="4"/>
      <c r="S730" s="4"/>
    </row>
    <row r="731" spans="1:19" ht="21" customHeight="1" x14ac:dyDescent="0.25">
      <c r="A731" s="14">
        <f>DATE(2012,12,31)-159</f>
        <v>41115</v>
      </c>
      <c r="B731" s="15" t="s">
        <v>282</v>
      </c>
      <c r="C731" s="15" t="s">
        <v>43</v>
      </c>
      <c r="D731" s="16">
        <v>31</v>
      </c>
      <c r="E731" s="17">
        <v>1735.3515</v>
      </c>
      <c r="F731" s="16">
        <v>0.08</v>
      </c>
      <c r="G731" s="15" t="s">
        <v>32</v>
      </c>
      <c r="H731" s="18">
        <v>258.62400000000002</v>
      </c>
      <c r="I731" s="19">
        <v>65.989999999999995</v>
      </c>
      <c r="J731" s="19">
        <v>8.99</v>
      </c>
      <c r="K731" s="19" t="s">
        <v>124</v>
      </c>
      <c r="L731" s="19" t="s">
        <v>160</v>
      </c>
      <c r="M731" s="15" t="s">
        <v>888</v>
      </c>
      <c r="N731" s="15" t="s">
        <v>64</v>
      </c>
      <c r="O731" s="15" t="s">
        <v>65</v>
      </c>
      <c r="P731" s="20" t="s">
        <v>692</v>
      </c>
      <c r="Q731" s="15" t="s">
        <v>83</v>
      </c>
      <c r="R731" s="4"/>
      <c r="S731" s="4"/>
    </row>
    <row r="732" spans="1:19" ht="21" customHeight="1" x14ac:dyDescent="0.25">
      <c r="A732" s="14">
        <f>DATE(2012,12,31)-426</f>
        <v>40848</v>
      </c>
      <c r="B732" s="15" t="s">
        <v>1033</v>
      </c>
      <c r="C732" s="15" t="s">
        <v>51</v>
      </c>
      <c r="D732" s="16">
        <v>36</v>
      </c>
      <c r="E732" s="17">
        <v>4733.7</v>
      </c>
      <c r="F732" s="16">
        <v>0</v>
      </c>
      <c r="G732" s="15" t="s">
        <v>58</v>
      </c>
      <c r="H732" s="18">
        <v>624.36</v>
      </c>
      <c r="I732" s="19">
        <v>120.98</v>
      </c>
      <c r="J732" s="19">
        <v>30</v>
      </c>
      <c r="K732" s="19" t="s">
        <v>124</v>
      </c>
      <c r="L732" s="19" t="s">
        <v>125</v>
      </c>
      <c r="M732" s="15" t="s">
        <v>126</v>
      </c>
      <c r="N732" s="15" t="s">
        <v>54</v>
      </c>
      <c r="O732" s="15" t="s">
        <v>252</v>
      </c>
      <c r="P732" s="20" t="s">
        <v>712</v>
      </c>
      <c r="Q732" s="15" t="s">
        <v>181</v>
      </c>
      <c r="R732" s="4"/>
      <c r="S732" s="4"/>
    </row>
    <row r="733" spans="1:19" ht="21" customHeight="1" x14ac:dyDescent="0.25">
      <c r="A733" s="14">
        <f>DATE(2012,12,31)-426</f>
        <v>40848</v>
      </c>
      <c r="B733" s="15" t="s">
        <v>1033</v>
      </c>
      <c r="C733" s="15" t="s">
        <v>51</v>
      </c>
      <c r="D733" s="16">
        <v>14</v>
      </c>
      <c r="E733" s="17">
        <v>2718.07</v>
      </c>
      <c r="F733" s="16">
        <v>0.1</v>
      </c>
      <c r="G733" s="15" t="s">
        <v>32</v>
      </c>
      <c r="H733" s="18">
        <v>1107.53</v>
      </c>
      <c r="I733" s="19">
        <v>209.84</v>
      </c>
      <c r="J733" s="19">
        <v>21.21</v>
      </c>
      <c r="K733" s="19" t="s">
        <v>124</v>
      </c>
      <c r="L733" s="19" t="s">
        <v>158</v>
      </c>
      <c r="M733" s="15" t="s">
        <v>158</v>
      </c>
      <c r="N733" s="15" t="s">
        <v>54</v>
      </c>
      <c r="O733" s="15" t="s">
        <v>55</v>
      </c>
      <c r="P733" s="20" t="s">
        <v>1034</v>
      </c>
      <c r="Q733" s="15" t="s">
        <v>39</v>
      </c>
      <c r="R733" s="4"/>
      <c r="S733" s="4"/>
    </row>
    <row r="734" spans="1:19" ht="21" customHeight="1" x14ac:dyDescent="0.25">
      <c r="A734" s="14">
        <f>DATE(2012,12,31)-1307</f>
        <v>39967</v>
      </c>
      <c r="B734" s="15" t="s">
        <v>796</v>
      </c>
      <c r="C734" s="15" t="s">
        <v>85</v>
      </c>
      <c r="D734" s="16">
        <v>23</v>
      </c>
      <c r="E734" s="17">
        <v>2508.6730000000002</v>
      </c>
      <c r="F734" s="16">
        <v>0.03</v>
      </c>
      <c r="G734" s="15" t="s">
        <v>32</v>
      </c>
      <c r="H734" s="18">
        <v>417.46499999999997</v>
      </c>
      <c r="I734" s="19">
        <v>125.99</v>
      </c>
      <c r="J734" s="19">
        <v>7.69</v>
      </c>
      <c r="K734" s="19" t="s">
        <v>44</v>
      </c>
      <c r="L734" s="19" t="s">
        <v>52</v>
      </c>
      <c r="M734" s="15" t="s">
        <v>1029</v>
      </c>
      <c r="N734" s="15" t="s">
        <v>64</v>
      </c>
      <c r="O734" s="15" t="s">
        <v>65</v>
      </c>
      <c r="P734" s="20" t="s">
        <v>860</v>
      </c>
      <c r="Q734" s="15" t="s">
        <v>83</v>
      </c>
      <c r="R734" s="4"/>
      <c r="S734" s="4"/>
    </row>
    <row r="735" spans="1:19" ht="21" customHeight="1" x14ac:dyDescent="0.25">
      <c r="A735" s="14">
        <f>DATE(2012,12,31)-542</f>
        <v>40732</v>
      </c>
      <c r="B735" s="15" t="s">
        <v>509</v>
      </c>
      <c r="C735" s="15" t="s">
        <v>43</v>
      </c>
      <c r="D735" s="16">
        <v>7</v>
      </c>
      <c r="E735" s="17">
        <v>59.38</v>
      </c>
      <c r="F735" s="16">
        <v>0.1</v>
      </c>
      <c r="G735" s="15" t="s">
        <v>32</v>
      </c>
      <c r="H735" s="18">
        <v>-3.0474999999999999</v>
      </c>
      <c r="I735" s="19">
        <v>8.69</v>
      </c>
      <c r="J735" s="19">
        <v>2.99</v>
      </c>
      <c r="K735" s="19" t="s">
        <v>44</v>
      </c>
      <c r="L735" s="19" t="s">
        <v>52</v>
      </c>
      <c r="M735" s="15" t="s">
        <v>1029</v>
      </c>
      <c r="N735" s="15" t="s">
        <v>36</v>
      </c>
      <c r="O735" s="15" t="s">
        <v>170</v>
      </c>
      <c r="P735" s="20" t="s">
        <v>193</v>
      </c>
      <c r="Q735" s="15" t="s">
        <v>83</v>
      </c>
      <c r="R735" s="4"/>
      <c r="S735" s="4"/>
    </row>
    <row r="736" spans="1:19" ht="21" customHeight="1" x14ac:dyDescent="0.25">
      <c r="A736" s="14">
        <f>DATE(2012,12,31)-1431</f>
        <v>39843</v>
      </c>
      <c r="B736" s="15" t="s">
        <v>247</v>
      </c>
      <c r="C736" s="15" t="s">
        <v>85</v>
      </c>
      <c r="D736" s="16">
        <v>42</v>
      </c>
      <c r="E736" s="17">
        <v>1285.3699999999999</v>
      </c>
      <c r="F736" s="16">
        <v>0.1</v>
      </c>
      <c r="G736" s="15" t="s">
        <v>32</v>
      </c>
      <c r="H736" s="18">
        <v>514.07000000000005</v>
      </c>
      <c r="I736" s="19">
        <v>31.78</v>
      </c>
      <c r="J736" s="19">
        <v>1.99</v>
      </c>
      <c r="K736" s="19" t="s">
        <v>69</v>
      </c>
      <c r="L736" s="19" t="s">
        <v>75</v>
      </c>
      <c r="M736" s="15" t="s">
        <v>76</v>
      </c>
      <c r="N736" s="15" t="s">
        <v>64</v>
      </c>
      <c r="O736" s="15" t="s">
        <v>72</v>
      </c>
      <c r="P736" s="20" t="s">
        <v>421</v>
      </c>
      <c r="Q736" s="15" t="s">
        <v>49</v>
      </c>
      <c r="R736" s="4"/>
      <c r="S736" s="4"/>
    </row>
    <row r="737" spans="1:19" ht="21" customHeight="1" x14ac:dyDescent="0.25">
      <c r="A737" s="14">
        <f>DATE(2012,12,31)-1210</f>
        <v>40064</v>
      </c>
      <c r="B737" s="15" t="s">
        <v>688</v>
      </c>
      <c r="C737" s="15" t="s">
        <v>31</v>
      </c>
      <c r="D737" s="16">
        <v>38</v>
      </c>
      <c r="E737" s="17">
        <v>212.57</v>
      </c>
      <c r="F737" s="16">
        <v>0.09</v>
      </c>
      <c r="G737" s="15" t="s">
        <v>101</v>
      </c>
      <c r="H737" s="18">
        <v>9.4860000000000007</v>
      </c>
      <c r="I737" s="19">
        <v>5.34</v>
      </c>
      <c r="J737" s="19">
        <v>2.99</v>
      </c>
      <c r="K737" s="19" t="s">
        <v>124</v>
      </c>
      <c r="L737" s="19" t="s">
        <v>164</v>
      </c>
      <c r="M737" s="15" t="s">
        <v>754</v>
      </c>
      <c r="N737" s="15" t="s">
        <v>36</v>
      </c>
      <c r="O737" s="15" t="s">
        <v>170</v>
      </c>
      <c r="P737" s="20" t="s">
        <v>388</v>
      </c>
      <c r="Q737" s="15" t="s">
        <v>83</v>
      </c>
      <c r="R737" s="4"/>
      <c r="S737" s="4"/>
    </row>
    <row r="738" spans="1:19" ht="21" customHeight="1" x14ac:dyDescent="0.25">
      <c r="A738" s="14">
        <f>DATE(2012,12,31)-1210</f>
        <v>40064</v>
      </c>
      <c r="B738" s="15" t="s">
        <v>688</v>
      </c>
      <c r="C738" s="15" t="s">
        <v>31</v>
      </c>
      <c r="D738" s="16">
        <v>10</v>
      </c>
      <c r="E738" s="17">
        <v>1469.48</v>
      </c>
      <c r="F738" s="16">
        <v>7.0000000000000007E-2</v>
      </c>
      <c r="G738" s="15" t="s">
        <v>58</v>
      </c>
      <c r="H738" s="18">
        <v>-263.64999999999998</v>
      </c>
      <c r="I738" s="19">
        <v>140.97999999999999</v>
      </c>
      <c r="J738" s="19">
        <v>53.48</v>
      </c>
      <c r="K738" s="19" t="s">
        <v>33</v>
      </c>
      <c r="L738" s="19" t="s">
        <v>34</v>
      </c>
      <c r="M738" s="15" t="s">
        <v>35</v>
      </c>
      <c r="N738" s="15" t="s">
        <v>54</v>
      </c>
      <c r="O738" s="15" t="s">
        <v>134</v>
      </c>
      <c r="P738" s="20" t="s">
        <v>1035</v>
      </c>
      <c r="Q738" s="15" t="s">
        <v>63</v>
      </c>
      <c r="R738" s="4"/>
      <c r="S738" s="4"/>
    </row>
    <row r="739" spans="1:19" ht="21" customHeight="1" x14ac:dyDescent="0.25">
      <c r="A739" s="14">
        <f>DATE(2012,12,31)-1210</f>
        <v>40064</v>
      </c>
      <c r="B739" s="15" t="s">
        <v>688</v>
      </c>
      <c r="C739" s="15" t="s">
        <v>31</v>
      </c>
      <c r="D739" s="16">
        <v>25</v>
      </c>
      <c r="E739" s="17">
        <v>4279.24</v>
      </c>
      <c r="F739" s="16">
        <v>0.06</v>
      </c>
      <c r="G739" s="15" t="s">
        <v>32</v>
      </c>
      <c r="H739" s="18">
        <v>890.18100000000004</v>
      </c>
      <c r="I739" s="19">
        <v>205.99</v>
      </c>
      <c r="J739" s="19">
        <v>5.26</v>
      </c>
      <c r="K739" s="19" t="s">
        <v>33</v>
      </c>
      <c r="L739" s="19" t="s">
        <v>145</v>
      </c>
      <c r="M739" s="15" t="s">
        <v>146</v>
      </c>
      <c r="N739" s="15" t="s">
        <v>64</v>
      </c>
      <c r="O739" s="15" t="s">
        <v>65</v>
      </c>
      <c r="P739" s="20" t="s">
        <v>650</v>
      </c>
      <c r="Q739" s="15" t="s">
        <v>83</v>
      </c>
      <c r="R739" s="4"/>
      <c r="S739" s="4"/>
    </row>
    <row r="740" spans="1:19" ht="21" customHeight="1" x14ac:dyDescent="0.25">
      <c r="A740" s="14">
        <f>DATE(2012,12,31)-1003</f>
        <v>40271</v>
      </c>
      <c r="B740" s="15" t="s">
        <v>240</v>
      </c>
      <c r="C740" s="15" t="s">
        <v>51</v>
      </c>
      <c r="D740" s="16">
        <v>8</v>
      </c>
      <c r="E740" s="17">
        <v>1042.25</v>
      </c>
      <c r="F740" s="16">
        <v>0.08</v>
      </c>
      <c r="G740" s="15" t="s">
        <v>32</v>
      </c>
      <c r="H740" s="18">
        <v>195.16</v>
      </c>
      <c r="I740" s="19">
        <v>131.12</v>
      </c>
      <c r="J740" s="19">
        <v>0.99</v>
      </c>
      <c r="K740" s="19" t="s">
        <v>33</v>
      </c>
      <c r="L740" s="19" t="s">
        <v>145</v>
      </c>
      <c r="M740" s="15" t="s">
        <v>146</v>
      </c>
      <c r="N740" s="15" t="s">
        <v>36</v>
      </c>
      <c r="O740" s="15" t="s">
        <v>176</v>
      </c>
      <c r="P740" s="20" t="s">
        <v>1036</v>
      </c>
      <c r="Q740" s="15" t="s">
        <v>83</v>
      </c>
      <c r="R740" s="4"/>
      <c r="S740" s="4"/>
    </row>
    <row r="741" spans="1:19" ht="21" customHeight="1" x14ac:dyDescent="0.25">
      <c r="A741" s="14">
        <f>DATE(2012,12,31)-1003</f>
        <v>40271</v>
      </c>
      <c r="B741" s="15" t="s">
        <v>240</v>
      </c>
      <c r="C741" s="15" t="s">
        <v>51</v>
      </c>
      <c r="D741" s="16">
        <v>29</v>
      </c>
      <c r="E741" s="17">
        <v>5010.7415000000001</v>
      </c>
      <c r="F741" s="16">
        <v>0.03</v>
      </c>
      <c r="G741" s="15" t="s">
        <v>101</v>
      </c>
      <c r="H741" s="18">
        <v>1196.3699999999999</v>
      </c>
      <c r="I741" s="19">
        <v>200.99</v>
      </c>
      <c r="J741" s="19">
        <v>4.2</v>
      </c>
      <c r="K741" s="19" t="s">
        <v>33</v>
      </c>
      <c r="L741" s="19" t="s">
        <v>34</v>
      </c>
      <c r="M741" s="15" t="s">
        <v>35</v>
      </c>
      <c r="N741" s="15" t="s">
        <v>64</v>
      </c>
      <c r="O741" s="15" t="s">
        <v>65</v>
      </c>
      <c r="P741" s="20" t="s">
        <v>740</v>
      </c>
      <c r="Q741" s="15" t="s">
        <v>83</v>
      </c>
      <c r="R741" s="4"/>
      <c r="S741" s="4"/>
    </row>
    <row r="742" spans="1:19" ht="21" customHeight="1" x14ac:dyDescent="0.25">
      <c r="A742" s="14">
        <f>DATE(2012,12,31)-737</f>
        <v>40537</v>
      </c>
      <c r="B742" s="15" t="s">
        <v>1037</v>
      </c>
      <c r="C742" s="15" t="s">
        <v>85</v>
      </c>
      <c r="D742" s="16">
        <v>34</v>
      </c>
      <c r="E742" s="17">
        <v>2932.99</v>
      </c>
      <c r="F742" s="16">
        <v>7.0000000000000007E-2</v>
      </c>
      <c r="G742" s="15" t="s">
        <v>32</v>
      </c>
      <c r="H742" s="18">
        <v>-1448.83</v>
      </c>
      <c r="I742" s="19">
        <v>90.98</v>
      </c>
      <c r="J742" s="19">
        <v>56.2</v>
      </c>
      <c r="K742" s="19" t="s">
        <v>69</v>
      </c>
      <c r="L742" s="19" t="s">
        <v>70</v>
      </c>
      <c r="M742" s="15" t="s">
        <v>989</v>
      </c>
      <c r="N742" s="15" t="s">
        <v>54</v>
      </c>
      <c r="O742" s="15" t="s">
        <v>55</v>
      </c>
      <c r="P742" s="20" t="s">
        <v>1038</v>
      </c>
      <c r="Q742" s="15" t="s">
        <v>57</v>
      </c>
      <c r="R742" s="4"/>
      <c r="S742" s="4"/>
    </row>
    <row r="743" spans="1:19" ht="21" customHeight="1" x14ac:dyDescent="0.25">
      <c r="A743" s="14">
        <f>DATE(2012,12,31)-737</f>
        <v>40537</v>
      </c>
      <c r="B743" s="15" t="s">
        <v>1037</v>
      </c>
      <c r="C743" s="15" t="s">
        <v>85</v>
      </c>
      <c r="D743" s="16">
        <v>45</v>
      </c>
      <c r="E743" s="17">
        <v>9194.7999999999993</v>
      </c>
      <c r="F743" s="16">
        <v>0.1</v>
      </c>
      <c r="G743" s="15" t="s">
        <v>58</v>
      </c>
      <c r="H743" s="18">
        <v>-1760.5710000000001</v>
      </c>
      <c r="I743" s="19">
        <v>218.75</v>
      </c>
      <c r="J743" s="19">
        <v>69.64</v>
      </c>
      <c r="K743" s="19" t="s">
        <v>69</v>
      </c>
      <c r="L743" s="19" t="s">
        <v>75</v>
      </c>
      <c r="M743" s="15" t="s">
        <v>76</v>
      </c>
      <c r="N743" s="15" t="s">
        <v>54</v>
      </c>
      <c r="O743" s="15" t="s">
        <v>61</v>
      </c>
      <c r="P743" s="20" t="s">
        <v>425</v>
      </c>
      <c r="Q743" s="15" t="s">
        <v>63</v>
      </c>
      <c r="R743" s="4"/>
      <c r="S743" s="4"/>
    </row>
    <row r="744" spans="1:19" ht="21" customHeight="1" x14ac:dyDescent="0.25">
      <c r="A744" s="14">
        <f>DATE(2012,12,31)-737</f>
        <v>40537</v>
      </c>
      <c r="B744" s="15" t="s">
        <v>1037</v>
      </c>
      <c r="C744" s="15" t="s">
        <v>85</v>
      </c>
      <c r="D744" s="16">
        <v>17</v>
      </c>
      <c r="E744" s="17">
        <v>2285.12</v>
      </c>
      <c r="F744" s="16">
        <v>0.08</v>
      </c>
      <c r="G744" s="15" t="s">
        <v>58</v>
      </c>
      <c r="H744" s="18">
        <v>-455.8</v>
      </c>
      <c r="I744" s="19">
        <v>140.97999999999999</v>
      </c>
      <c r="J744" s="19">
        <v>36.090000000000003</v>
      </c>
      <c r="K744" s="19" t="s">
        <v>69</v>
      </c>
      <c r="L744" s="19" t="s">
        <v>215</v>
      </c>
      <c r="M744" s="15" t="s">
        <v>828</v>
      </c>
      <c r="N744" s="15" t="s">
        <v>54</v>
      </c>
      <c r="O744" s="15" t="s">
        <v>134</v>
      </c>
      <c r="P744" s="20" t="s">
        <v>1039</v>
      </c>
      <c r="Q744" s="15" t="s">
        <v>63</v>
      </c>
      <c r="R744" s="4"/>
      <c r="S744" s="4"/>
    </row>
    <row r="745" spans="1:19" ht="21" customHeight="1" x14ac:dyDescent="0.25">
      <c r="A745" s="14">
        <f>DATE(2012,12,31)-679</f>
        <v>40595</v>
      </c>
      <c r="B745" s="15" t="s">
        <v>1040</v>
      </c>
      <c r="C745" s="15" t="s">
        <v>85</v>
      </c>
      <c r="D745" s="16">
        <v>7</v>
      </c>
      <c r="E745" s="17">
        <v>525.55499999999995</v>
      </c>
      <c r="F745" s="16">
        <v>0.04</v>
      </c>
      <c r="G745" s="15" t="s">
        <v>32</v>
      </c>
      <c r="H745" s="18">
        <v>-60.664999999999999</v>
      </c>
      <c r="I745" s="19">
        <v>85.99</v>
      </c>
      <c r="J745" s="19">
        <v>1.25</v>
      </c>
      <c r="K745" s="19" t="s">
        <v>69</v>
      </c>
      <c r="L745" s="19" t="s">
        <v>215</v>
      </c>
      <c r="M745" s="15" t="s">
        <v>828</v>
      </c>
      <c r="N745" s="15" t="s">
        <v>64</v>
      </c>
      <c r="O745" s="15" t="s">
        <v>65</v>
      </c>
      <c r="P745" s="20" t="s">
        <v>685</v>
      </c>
      <c r="Q745" s="15" t="s">
        <v>49</v>
      </c>
      <c r="R745" s="4"/>
      <c r="S745" s="4"/>
    </row>
    <row r="746" spans="1:19" ht="21" customHeight="1" x14ac:dyDescent="0.25">
      <c r="A746" s="14">
        <f>DATE(2012,12,31)-679</f>
        <v>40595</v>
      </c>
      <c r="B746" s="15" t="s">
        <v>1040</v>
      </c>
      <c r="C746" s="15" t="s">
        <v>85</v>
      </c>
      <c r="D746" s="16">
        <v>39</v>
      </c>
      <c r="E746" s="17">
        <v>276.029</v>
      </c>
      <c r="F746" s="16">
        <v>0.05</v>
      </c>
      <c r="G746" s="15" t="s">
        <v>32</v>
      </c>
      <c r="H746" s="18">
        <v>-108.185</v>
      </c>
      <c r="I746" s="19">
        <v>7.99</v>
      </c>
      <c r="J746" s="19">
        <v>5.03</v>
      </c>
      <c r="K746" s="19" t="s">
        <v>69</v>
      </c>
      <c r="L746" s="19" t="s">
        <v>215</v>
      </c>
      <c r="M746" s="15" t="s">
        <v>828</v>
      </c>
      <c r="N746" s="15" t="s">
        <v>64</v>
      </c>
      <c r="O746" s="15" t="s">
        <v>65</v>
      </c>
      <c r="P746" s="20" t="s">
        <v>66</v>
      </c>
      <c r="Q746" s="15" t="s">
        <v>57</v>
      </c>
      <c r="R746" s="4"/>
      <c r="S746" s="4"/>
    </row>
    <row r="747" spans="1:19" ht="21" customHeight="1" x14ac:dyDescent="0.25">
      <c r="A747" s="14">
        <f>DATE(2012,12,31)-679</f>
        <v>40595</v>
      </c>
      <c r="B747" s="15" t="s">
        <v>1040</v>
      </c>
      <c r="C747" s="15" t="s">
        <v>85</v>
      </c>
      <c r="D747" s="16">
        <v>1</v>
      </c>
      <c r="E747" s="17">
        <v>187.20400000000001</v>
      </c>
      <c r="F747" s="16">
        <v>0.01</v>
      </c>
      <c r="G747" s="15" t="s">
        <v>32</v>
      </c>
      <c r="H747" s="18">
        <v>-796.76300000000003</v>
      </c>
      <c r="I747" s="19">
        <v>205.99</v>
      </c>
      <c r="J747" s="19">
        <v>5.26</v>
      </c>
      <c r="K747" s="19" t="s">
        <v>44</v>
      </c>
      <c r="L747" s="19" t="s">
        <v>120</v>
      </c>
      <c r="M747" s="15" t="s">
        <v>121</v>
      </c>
      <c r="N747" s="15" t="s">
        <v>64</v>
      </c>
      <c r="O747" s="15" t="s">
        <v>65</v>
      </c>
      <c r="P747" s="20" t="s">
        <v>650</v>
      </c>
      <c r="Q747" s="15" t="s">
        <v>83</v>
      </c>
      <c r="R747" s="4"/>
      <c r="S747" s="4"/>
    </row>
    <row r="748" spans="1:19" ht="21" customHeight="1" x14ac:dyDescent="0.25">
      <c r="A748" s="14">
        <f>DATE(2012,12,31)-814</f>
        <v>40460</v>
      </c>
      <c r="B748" s="15" t="s">
        <v>1041</v>
      </c>
      <c r="C748" s="15" t="s">
        <v>31</v>
      </c>
      <c r="D748" s="16">
        <v>39</v>
      </c>
      <c r="E748" s="17">
        <v>434.73</v>
      </c>
      <c r="F748" s="16">
        <v>0.03</v>
      </c>
      <c r="G748" s="15" t="s">
        <v>32</v>
      </c>
      <c r="H748" s="18">
        <v>-12.2</v>
      </c>
      <c r="I748" s="19">
        <v>11.33</v>
      </c>
      <c r="J748" s="19">
        <v>6.12</v>
      </c>
      <c r="K748" s="19" t="s">
        <v>44</v>
      </c>
      <c r="L748" s="19" t="s">
        <v>80</v>
      </c>
      <c r="M748" s="15" t="s">
        <v>991</v>
      </c>
      <c r="N748" s="15" t="s">
        <v>36</v>
      </c>
      <c r="O748" s="15" t="s">
        <v>176</v>
      </c>
      <c r="P748" s="20" t="s">
        <v>1042</v>
      </c>
      <c r="Q748" s="15" t="s">
        <v>57</v>
      </c>
      <c r="R748" s="4"/>
      <c r="S748" s="4"/>
    </row>
    <row r="749" spans="1:19" ht="21" customHeight="1" x14ac:dyDescent="0.25">
      <c r="A749" s="14">
        <f>DATE(2012,12,31)-814</f>
        <v>40460</v>
      </c>
      <c r="B749" s="15" t="s">
        <v>1041</v>
      </c>
      <c r="C749" s="15" t="s">
        <v>31</v>
      </c>
      <c r="D749" s="16">
        <v>50</v>
      </c>
      <c r="E749" s="17">
        <v>7017.42</v>
      </c>
      <c r="F749" s="16">
        <v>0.08</v>
      </c>
      <c r="G749" s="15" t="s">
        <v>32</v>
      </c>
      <c r="H749" s="18">
        <v>595.20000000000005</v>
      </c>
      <c r="I749" s="19">
        <v>140.85</v>
      </c>
      <c r="J749" s="19">
        <v>19.989999999999998</v>
      </c>
      <c r="K749" s="19" t="s">
        <v>44</v>
      </c>
      <c r="L749" s="19" t="s">
        <v>89</v>
      </c>
      <c r="M749" s="15" t="s">
        <v>734</v>
      </c>
      <c r="N749" s="15" t="s">
        <v>36</v>
      </c>
      <c r="O749" s="15" t="s">
        <v>37</v>
      </c>
      <c r="P749" s="20" t="s">
        <v>634</v>
      </c>
      <c r="Q749" s="15" t="s">
        <v>83</v>
      </c>
      <c r="R749" s="4"/>
      <c r="S749" s="4"/>
    </row>
    <row r="750" spans="1:19" ht="21" customHeight="1" x14ac:dyDescent="0.25">
      <c r="A750" s="14">
        <f>DATE(2012,12,31)-68</f>
        <v>41206</v>
      </c>
      <c r="B750" s="15" t="s">
        <v>1043</v>
      </c>
      <c r="C750" s="15" t="s">
        <v>85</v>
      </c>
      <c r="D750" s="16">
        <v>6</v>
      </c>
      <c r="E750" s="17">
        <v>54.28</v>
      </c>
      <c r="F750" s="16">
        <v>0.01</v>
      </c>
      <c r="G750" s="15" t="s">
        <v>101</v>
      </c>
      <c r="H750" s="18">
        <v>-11.98</v>
      </c>
      <c r="I750" s="19">
        <v>6.24</v>
      </c>
      <c r="J750" s="19">
        <v>5.22</v>
      </c>
      <c r="K750" s="19" t="s">
        <v>44</v>
      </c>
      <c r="L750" s="19" t="s">
        <v>89</v>
      </c>
      <c r="M750" s="15" t="s">
        <v>734</v>
      </c>
      <c r="N750" s="15" t="s">
        <v>54</v>
      </c>
      <c r="O750" s="15" t="s">
        <v>55</v>
      </c>
      <c r="P750" s="20" t="s">
        <v>341</v>
      </c>
      <c r="Q750" s="15" t="s">
        <v>83</v>
      </c>
      <c r="R750" s="4"/>
      <c r="S750" s="4"/>
    </row>
    <row r="751" spans="1:19" ht="21" customHeight="1" x14ac:dyDescent="0.25">
      <c r="A751" s="14">
        <f>DATE(2012,12,31)-1068</f>
        <v>40206</v>
      </c>
      <c r="B751" s="15" t="s">
        <v>342</v>
      </c>
      <c r="C751" s="15" t="s">
        <v>31</v>
      </c>
      <c r="D751" s="16">
        <v>47</v>
      </c>
      <c r="E751" s="17">
        <v>4888.1400000000003</v>
      </c>
      <c r="F751" s="16">
        <v>7.0000000000000007E-2</v>
      </c>
      <c r="G751" s="15" t="s">
        <v>32</v>
      </c>
      <c r="H751" s="18">
        <v>1545.09</v>
      </c>
      <c r="I751" s="19">
        <v>107.53</v>
      </c>
      <c r="J751" s="19">
        <v>5.81</v>
      </c>
      <c r="K751" s="19" t="s">
        <v>44</v>
      </c>
      <c r="L751" s="19" t="s">
        <v>45</v>
      </c>
      <c r="M751" s="15" t="s">
        <v>46</v>
      </c>
      <c r="N751" s="15" t="s">
        <v>54</v>
      </c>
      <c r="O751" s="15" t="s">
        <v>55</v>
      </c>
      <c r="P751" s="20" t="s">
        <v>56</v>
      </c>
      <c r="Q751" s="15" t="s">
        <v>57</v>
      </c>
      <c r="R751" s="4"/>
      <c r="S751" s="4"/>
    </row>
    <row r="752" spans="1:19" ht="21" customHeight="1" x14ac:dyDescent="0.25">
      <c r="A752" s="14">
        <f>DATE(2012,12,31)-1068</f>
        <v>40206</v>
      </c>
      <c r="B752" s="15" t="s">
        <v>342</v>
      </c>
      <c r="C752" s="15" t="s">
        <v>31</v>
      </c>
      <c r="D752" s="16">
        <v>27</v>
      </c>
      <c r="E752" s="17">
        <v>63.87</v>
      </c>
      <c r="F752" s="16">
        <v>0.09</v>
      </c>
      <c r="G752" s="15" t="s">
        <v>32</v>
      </c>
      <c r="H752" s="18">
        <v>-149.93</v>
      </c>
      <c r="I752" s="19">
        <v>2.1800000000000002</v>
      </c>
      <c r="J752" s="19">
        <v>7.09</v>
      </c>
      <c r="K752" s="19" t="s">
        <v>44</v>
      </c>
      <c r="L752" s="19" t="s">
        <v>120</v>
      </c>
      <c r="M752" s="15" t="s">
        <v>121</v>
      </c>
      <c r="N752" s="15" t="s">
        <v>36</v>
      </c>
      <c r="O752" s="15" t="s">
        <v>117</v>
      </c>
      <c r="P752" s="20" t="s">
        <v>1044</v>
      </c>
      <c r="Q752" s="15" t="s">
        <v>79</v>
      </c>
      <c r="R752" s="4"/>
      <c r="S752" s="4"/>
    </row>
    <row r="753" spans="1:19" ht="21" customHeight="1" x14ac:dyDescent="0.25">
      <c r="A753" s="14">
        <f>DATE(2012,12,31)-354</f>
        <v>40920</v>
      </c>
      <c r="B753" s="15" t="s">
        <v>207</v>
      </c>
      <c r="C753" s="15" t="s">
        <v>31</v>
      </c>
      <c r="D753" s="16">
        <v>30</v>
      </c>
      <c r="E753" s="17">
        <v>260.12</v>
      </c>
      <c r="F753" s="16">
        <v>0.05</v>
      </c>
      <c r="G753" s="15" t="s">
        <v>32</v>
      </c>
      <c r="H753" s="18">
        <v>36.54</v>
      </c>
      <c r="I753" s="19">
        <v>8.98</v>
      </c>
      <c r="J753" s="19">
        <v>4.1900000000000004</v>
      </c>
      <c r="K753" s="19" t="s">
        <v>33</v>
      </c>
      <c r="L753" s="19" t="s">
        <v>93</v>
      </c>
      <c r="M753" s="15" t="s">
        <v>94</v>
      </c>
      <c r="N753" s="15" t="s">
        <v>54</v>
      </c>
      <c r="O753" s="15" t="s">
        <v>55</v>
      </c>
      <c r="P753" s="20" t="s">
        <v>1045</v>
      </c>
      <c r="Q753" s="15" t="s">
        <v>49</v>
      </c>
      <c r="R753" s="4"/>
      <c r="S753" s="4"/>
    </row>
    <row r="754" spans="1:19" ht="21" customHeight="1" x14ac:dyDescent="0.25">
      <c r="A754" s="14">
        <f>DATE(2012,12,31)-164</f>
        <v>41110</v>
      </c>
      <c r="B754" s="15" t="s">
        <v>651</v>
      </c>
      <c r="C754" s="15" t="s">
        <v>31</v>
      </c>
      <c r="D754" s="16">
        <v>20</v>
      </c>
      <c r="E754" s="17">
        <v>88.82</v>
      </c>
      <c r="F754" s="16">
        <v>0.01</v>
      </c>
      <c r="G754" s="15" t="s">
        <v>32</v>
      </c>
      <c r="H754" s="18">
        <v>38.35</v>
      </c>
      <c r="I754" s="19">
        <v>4.13</v>
      </c>
      <c r="J754" s="19">
        <v>0.5</v>
      </c>
      <c r="K754" s="19" t="s">
        <v>33</v>
      </c>
      <c r="L754" s="19" t="s">
        <v>93</v>
      </c>
      <c r="M754" s="15" t="s">
        <v>94</v>
      </c>
      <c r="N754" s="15" t="s">
        <v>36</v>
      </c>
      <c r="O754" s="15" t="s">
        <v>114</v>
      </c>
      <c r="P754" s="20" t="s">
        <v>653</v>
      </c>
      <c r="Q754" s="15" t="s">
        <v>83</v>
      </c>
      <c r="R754" s="4"/>
      <c r="S754" s="4"/>
    </row>
    <row r="755" spans="1:19" ht="21" customHeight="1" x14ac:dyDescent="0.25">
      <c r="A755" s="14">
        <f>DATE(2012,12,31)-164</f>
        <v>41110</v>
      </c>
      <c r="B755" s="15" t="s">
        <v>651</v>
      </c>
      <c r="C755" s="15" t="s">
        <v>31</v>
      </c>
      <c r="D755" s="16">
        <v>11</v>
      </c>
      <c r="E755" s="17">
        <v>2392.23</v>
      </c>
      <c r="F755" s="16">
        <v>0.04</v>
      </c>
      <c r="G755" s="15" t="s">
        <v>32</v>
      </c>
      <c r="H755" s="18">
        <v>1216.74</v>
      </c>
      <c r="I755" s="19">
        <v>209.84</v>
      </c>
      <c r="J755" s="19">
        <v>21.21</v>
      </c>
      <c r="K755" s="19" t="s">
        <v>97</v>
      </c>
      <c r="L755" s="19" t="s">
        <v>98</v>
      </c>
      <c r="M755" s="15" t="s">
        <v>99</v>
      </c>
      <c r="N755" s="15" t="s">
        <v>54</v>
      </c>
      <c r="O755" s="15" t="s">
        <v>55</v>
      </c>
      <c r="P755" s="20" t="s">
        <v>1034</v>
      </c>
      <c r="Q755" s="15" t="s">
        <v>39</v>
      </c>
      <c r="R755" s="4"/>
      <c r="S755" s="4"/>
    </row>
    <row r="756" spans="1:19" ht="21" customHeight="1" x14ac:dyDescent="0.25">
      <c r="A756" s="14">
        <f>DATE(2012,12,31)-358</f>
        <v>40916</v>
      </c>
      <c r="B756" s="15" t="s">
        <v>1046</v>
      </c>
      <c r="C756" s="15" t="s">
        <v>31</v>
      </c>
      <c r="D756" s="16">
        <v>11</v>
      </c>
      <c r="E756" s="17">
        <v>48.91</v>
      </c>
      <c r="F756" s="16">
        <v>0.01</v>
      </c>
      <c r="G756" s="15" t="s">
        <v>32</v>
      </c>
      <c r="H756" s="18">
        <v>-7.04</v>
      </c>
      <c r="I756" s="19">
        <v>3.98</v>
      </c>
      <c r="J756" s="19">
        <v>2.97</v>
      </c>
      <c r="K756" s="19" t="s">
        <v>97</v>
      </c>
      <c r="L756" s="19" t="s">
        <v>98</v>
      </c>
      <c r="M756" s="15" t="s">
        <v>99</v>
      </c>
      <c r="N756" s="15" t="s">
        <v>36</v>
      </c>
      <c r="O756" s="15" t="s">
        <v>117</v>
      </c>
      <c r="P756" s="20" t="s">
        <v>1047</v>
      </c>
      <c r="Q756" s="15" t="s">
        <v>79</v>
      </c>
      <c r="R756" s="4"/>
      <c r="S756" s="4"/>
    </row>
    <row r="757" spans="1:19" ht="21" customHeight="1" x14ac:dyDescent="0.25">
      <c r="A757" s="14">
        <f>DATE(2012,12,31)-1013</f>
        <v>40261</v>
      </c>
      <c r="B757" s="15" t="s">
        <v>207</v>
      </c>
      <c r="C757" s="15" t="s">
        <v>43</v>
      </c>
      <c r="D757" s="16">
        <v>14</v>
      </c>
      <c r="E757" s="17">
        <v>284.62</v>
      </c>
      <c r="F757" s="16">
        <v>0.1</v>
      </c>
      <c r="G757" s="15" t="s">
        <v>101</v>
      </c>
      <c r="H757" s="18">
        <v>-27.08</v>
      </c>
      <c r="I757" s="19">
        <v>20.98</v>
      </c>
      <c r="J757" s="19">
        <v>5.42</v>
      </c>
      <c r="K757" s="19" t="s">
        <v>97</v>
      </c>
      <c r="L757" s="19" t="s">
        <v>98</v>
      </c>
      <c r="M757" s="15" t="s">
        <v>99</v>
      </c>
      <c r="N757" s="15" t="s">
        <v>36</v>
      </c>
      <c r="O757" s="15" t="s">
        <v>37</v>
      </c>
      <c r="P757" s="20" t="s">
        <v>622</v>
      </c>
      <c r="Q757" s="15" t="s">
        <v>83</v>
      </c>
      <c r="R757" s="4"/>
      <c r="S757" s="4"/>
    </row>
    <row r="758" spans="1:19" ht="21" customHeight="1" x14ac:dyDescent="0.25">
      <c r="A758" s="14">
        <f>DATE(2012,12,31)-1260</f>
        <v>40014</v>
      </c>
      <c r="B758" s="15" t="s">
        <v>1048</v>
      </c>
      <c r="C758" s="15" t="s">
        <v>43</v>
      </c>
      <c r="D758" s="16">
        <v>34</v>
      </c>
      <c r="E758" s="17">
        <v>226.83</v>
      </c>
      <c r="F758" s="16">
        <v>0.02</v>
      </c>
      <c r="G758" s="15" t="s">
        <v>32</v>
      </c>
      <c r="H758" s="18">
        <v>-92.05</v>
      </c>
      <c r="I758" s="19">
        <v>6.48</v>
      </c>
      <c r="J758" s="19">
        <v>6.6</v>
      </c>
      <c r="K758" s="19" t="s">
        <v>97</v>
      </c>
      <c r="L758" s="19" t="s">
        <v>98</v>
      </c>
      <c r="M758" s="15" t="s">
        <v>99</v>
      </c>
      <c r="N758" s="15" t="s">
        <v>36</v>
      </c>
      <c r="O758" s="15" t="s">
        <v>117</v>
      </c>
      <c r="P758" s="20" t="s">
        <v>745</v>
      </c>
      <c r="Q758" s="15" t="s">
        <v>83</v>
      </c>
      <c r="R758" s="4"/>
      <c r="S758" s="4"/>
    </row>
    <row r="759" spans="1:19" ht="21" customHeight="1" x14ac:dyDescent="0.25">
      <c r="A759" s="14">
        <f>DATE(2012,12,31)-1260</f>
        <v>40014</v>
      </c>
      <c r="B759" s="15" t="s">
        <v>1048</v>
      </c>
      <c r="C759" s="15" t="s">
        <v>43</v>
      </c>
      <c r="D759" s="16">
        <v>16</v>
      </c>
      <c r="E759" s="17">
        <v>278.92</v>
      </c>
      <c r="F759" s="16">
        <v>0.04</v>
      </c>
      <c r="G759" s="15" t="s">
        <v>32</v>
      </c>
      <c r="H759" s="18">
        <v>6.11</v>
      </c>
      <c r="I759" s="19">
        <v>17.149999999999999</v>
      </c>
      <c r="J759" s="19">
        <v>4.96</v>
      </c>
      <c r="K759" s="19" t="s">
        <v>124</v>
      </c>
      <c r="L759" s="19" t="s">
        <v>160</v>
      </c>
      <c r="M759" s="15" t="s">
        <v>888</v>
      </c>
      <c r="N759" s="15" t="s">
        <v>36</v>
      </c>
      <c r="O759" s="15" t="s">
        <v>37</v>
      </c>
      <c r="P759" s="20" t="s">
        <v>463</v>
      </c>
      <c r="Q759" s="15" t="s">
        <v>83</v>
      </c>
      <c r="R759" s="4"/>
      <c r="S759" s="4"/>
    </row>
    <row r="760" spans="1:19" ht="21" customHeight="1" x14ac:dyDescent="0.25">
      <c r="A760" s="14">
        <f>DATE(2012,12,31)-655</f>
        <v>40619</v>
      </c>
      <c r="B760" s="15" t="s">
        <v>1049</v>
      </c>
      <c r="C760" s="15" t="s">
        <v>85</v>
      </c>
      <c r="D760" s="16">
        <v>2</v>
      </c>
      <c r="E760" s="17">
        <v>885.94</v>
      </c>
      <c r="F760" s="16">
        <v>0.08</v>
      </c>
      <c r="G760" s="15" t="s">
        <v>32</v>
      </c>
      <c r="H760" s="18">
        <v>-2024.079</v>
      </c>
      <c r="I760" s="19">
        <v>449.99</v>
      </c>
      <c r="J760" s="19">
        <v>24.49</v>
      </c>
      <c r="K760" s="19" t="s">
        <v>124</v>
      </c>
      <c r="L760" s="19" t="s">
        <v>160</v>
      </c>
      <c r="M760" s="15" t="s">
        <v>888</v>
      </c>
      <c r="N760" s="15" t="s">
        <v>64</v>
      </c>
      <c r="O760" s="15" t="s">
        <v>460</v>
      </c>
      <c r="P760" s="20" t="s">
        <v>511</v>
      </c>
      <c r="Q760" s="15" t="s">
        <v>39</v>
      </c>
      <c r="R760" s="4"/>
      <c r="S760" s="4"/>
    </row>
    <row r="761" spans="1:19" ht="21" customHeight="1" x14ac:dyDescent="0.25">
      <c r="A761" s="14">
        <f>DATE(2012,12,31)-890</f>
        <v>40384</v>
      </c>
      <c r="B761" s="15" t="s">
        <v>136</v>
      </c>
      <c r="C761" s="15" t="s">
        <v>31</v>
      </c>
      <c r="D761" s="16">
        <v>4</v>
      </c>
      <c r="E761" s="17">
        <v>29.42</v>
      </c>
      <c r="F761" s="16">
        <v>0.06</v>
      </c>
      <c r="G761" s="15" t="s">
        <v>101</v>
      </c>
      <c r="H761" s="18">
        <v>14.43</v>
      </c>
      <c r="I761" s="19">
        <v>3.69</v>
      </c>
      <c r="J761" s="19">
        <v>0.5</v>
      </c>
      <c r="K761" s="19" t="s">
        <v>124</v>
      </c>
      <c r="L761" s="19" t="s">
        <v>160</v>
      </c>
      <c r="M761" s="15" t="s">
        <v>888</v>
      </c>
      <c r="N761" s="15" t="s">
        <v>36</v>
      </c>
      <c r="O761" s="15" t="s">
        <v>114</v>
      </c>
      <c r="P761" s="20" t="s">
        <v>453</v>
      </c>
      <c r="Q761" s="15" t="s">
        <v>83</v>
      </c>
      <c r="R761" s="4"/>
      <c r="S761" s="4"/>
    </row>
    <row r="762" spans="1:19" ht="21" customHeight="1" x14ac:dyDescent="0.25">
      <c r="A762" s="14">
        <f>DATE(2012,12,31)-890</f>
        <v>40384</v>
      </c>
      <c r="B762" s="15" t="s">
        <v>136</v>
      </c>
      <c r="C762" s="15" t="s">
        <v>31</v>
      </c>
      <c r="D762" s="16">
        <v>9</v>
      </c>
      <c r="E762" s="17">
        <v>46.48</v>
      </c>
      <c r="F762" s="16">
        <v>0.01</v>
      </c>
      <c r="G762" s="15" t="s">
        <v>32</v>
      </c>
      <c r="H762" s="18">
        <v>-1.82</v>
      </c>
      <c r="I762" s="19">
        <v>4.63</v>
      </c>
      <c r="J762" s="19">
        <v>1.93</v>
      </c>
      <c r="K762" s="19" t="s">
        <v>124</v>
      </c>
      <c r="L762" s="19" t="s">
        <v>319</v>
      </c>
      <c r="M762" s="15" t="s">
        <v>320</v>
      </c>
      <c r="N762" s="15" t="s">
        <v>36</v>
      </c>
      <c r="O762" s="15" t="s">
        <v>77</v>
      </c>
      <c r="P762" s="20" t="s">
        <v>1050</v>
      </c>
      <c r="Q762" s="15" t="s">
        <v>79</v>
      </c>
      <c r="R762" s="4"/>
      <c r="S762" s="4"/>
    </row>
    <row r="763" spans="1:19" ht="21" customHeight="1" x14ac:dyDescent="0.25">
      <c r="A763" s="14">
        <f>DATE(2012,12,31)-1290</f>
        <v>39984</v>
      </c>
      <c r="B763" s="15" t="s">
        <v>403</v>
      </c>
      <c r="C763" s="15" t="s">
        <v>31</v>
      </c>
      <c r="D763" s="16">
        <v>42</v>
      </c>
      <c r="E763" s="17">
        <v>433.68</v>
      </c>
      <c r="F763" s="16">
        <v>7.0000000000000007E-2</v>
      </c>
      <c r="G763" s="15" t="s">
        <v>32</v>
      </c>
      <c r="H763" s="18">
        <v>44.1</v>
      </c>
      <c r="I763" s="19">
        <v>10.98</v>
      </c>
      <c r="J763" s="19">
        <v>4.8</v>
      </c>
      <c r="K763" s="19" t="s">
        <v>124</v>
      </c>
      <c r="L763" s="19" t="s">
        <v>158</v>
      </c>
      <c r="M763" s="15" t="s">
        <v>158</v>
      </c>
      <c r="N763" s="15" t="s">
        <v>36</v>
      </c>
      <c r="O763" s="15" t="s">
        <v>189</v>
      </c>
      <c r="P763" s="20" t="s">
        <v>1051</v>
      </c>
      <c r="Q763" s="15" t="s">
        <v>83</v>
      </c>
      <c r="R763" s="4"/>
      <c r="S763" s="4"/>
    </row>
    <row r="764" spans="1:19" ht="21" customHeight="1" x14ac:dyDescent="0.25">
      <c r="A764" s="14">
        <f>DATE(2012,12,31)-996</f>
        <v>40278</v>
      </c>
      <c r="B764" s="15" t="s">
        <v>406</v>
      </c>
      <c r="C764" s="15" t="s">
        <v>31</v>
      </c>
      <c r="D764" s="16">
        <v>32</v>
      </c>
      <c r="E764" s="17">
        <v>216.08</v>
      </c>
      <c r="F764" s="16">
        <v>0</v>
      </c>
      <c r="G764" s="15" t="s">
        <v>32</v>
      </c>
      <c r="H764" s="18">
        <v>-84.33</v>
      </c>
      <c r="I764" s="19">
        <v>6.48</v>
      </c>
      <c r="J764" s="19">
        <v>6.65</v>
      </c>
      <c r="K764" s="19" t="s">
        <v>124</v>
      </c>
      <c r="L764" s="19" t="s">
        <v>164</v>
      </c>
      <c r="M764" s="15" t="s">
        <v>754</v>
      </c>
      <c r="N764" s="15" t="s">
        <v>36</v>
      </c>
      <c r="O764" s="15" t="s">
        <v>117</v>
      </c>
      <c r="P764" s="20" t="s">
        <v>1052</v>
      </c>
      <c r="Q764" s="15" t="s">
        <v>83</v>
      </c>
      <c r="R764" s="4"/>
      <c r="S764" s="4"/>
    </row>
    <row r="765" spans="1:19" ht="21" customHeight="1" x14ac:dyDescent="0.25">
      <c r="A765" s="14">
        <f>DATE(2012,12,31)-996</f>
        <v>40278</v>
      </c>
      <c r="B765" s="15" t="s">
        <v>406</v>
      </c>
      <c r="C765" s="15" t="s">
        <v>31</v>
      </c>
      <c r="D765" s="16">
        <v>27</v>
      </c>
      <c r="E765" s="17">
        <v>339.03</v>
      </c>
      <c r="F765" s="16">
        <v>0.09</v>
      </c>
      <c r="G765" s="15" t="s">
        <v>32</v>
      </c>
      <c r="H765" s="18">
        <v>-24.44</v>
      </c>
      <c r="I765" s="19">
        <v>13.48</v>
      </c>
      <c r="J765" s="19">
        <v>4.51</v>
      </c>
      <c r="K765" s="19" t="s">
        <v>124</v>
      </c>
      <c r="L765" s="19" t="s">
        <v>164</v>
      </c>
      <c r="M765" s="15" t="s">
        <v>754</v>
      </c>
      <c r="N765" s="15" t="s">
        <v>36</v>
      </c>
      <c r="O765" s="15" t="s">
        <v>37</v>
      </c>
      <c r="P765" s="20" t="s">
        <v>515</v>
      </c>
      <c r="Q765" s="15" t="s">
        <v>83</v>
      </c>
      <c r="R765" s="4"/>
      <c r="S765" s="4"/>
    </row>
    <row r="766" spans="1:19" ht="21" customHeight="1" x14ac:dyDescent="0.25">
      <c r="A766" s="14">
        <f>DATE(2012,12,31)-996</f>
        <v>40278</v>
      </c>
      <c r="B766" s="15" t="s">
        <v>406</v>
      </c>
      <c r="C766" s="15" t="s">
        <v>31</v>
      </c>
      <c r="D766" s="16">
        <v>12</v>
      </c>
      <c r="E766" s="17">
        <v>1098.1490000000001</v>
      </c>
      <c r="F766" s="16">
        <v>0.09</v>
      </c>
      <c r="G766" s="15" t="s">
        <v>32</v>
      </c>
      <c r="H766" s="18">
        <v>-182.97399999999999</v>
      </c>
      <c r="I766" s="19">
        <v>115.99</v>
      </c>
      <c r="J766" s="19">
        <v>5.92</v>
      </c>
      <c r="K766" s="19" t="s">
        <v>124</v>
      </c>
      <c r="L766" s="19" t="s">
        <v>125</v>
      </c>
      <c r="M766" s="15" t="s">
        <v>126</v>
      </c>
      <c r="N766" s="15" t="s">
        <v>64</v>
      </c>
      <c r="O766" s="15" t="s">
        <v>65</v>
      </c>
      <c r="P766" s="20" t="s">
        <v>1053</v>
      </c>
      <c r="Q766" s="15" t="s">
        <v>83</v>
      </c>
      <c r="R766" s="4"/>
      <c r="S766" s="4"/>
    </row>
    <row r="767" spans="1:19" ht="21" customHeight="1" x14ac:dyDescent="0.25">
      <c r="A767" s="14">
        <f>DATE(2012,12,31)-282</f>
        <v>40992</v>
      </c>
      <c r="B767" s="15" t="s">
        <v>1054</v>
      </c>
      <c r="C767" s="15" t="s">
        <v>43</v>
      </c>
      <c r="D767" s="16">
        <v>42</v>
      </c>
      <c r="E767" s="17">
        <v>355.69</v>
      </c>
      <c r="F767" s="16">
        <v>0.09</v>
      </c>
      <c r="G767" s="15" t="s">
        <v>32</v>
      </c>
      <c r="H767" s="18">
        <v>-149.46</v>
      </c>
      <c r="I767" s="19">
        <v>8.74</v>
      </c>
      <c r="J767" s="19">
        <v>8.2899999999999991</v>
      </c>
      <c r="K767" s="19" t="s">
        <v>124</v>
      </c>
      <c r="L767" s="19" t="s">
        <v>319</v>
      </c>
      <c r="M767" s="15" t="s">
        <v>320</v>
      </c>
      <c r="N767" s="15" t="s">
        <v>36</v>
      </c>
      <c r="O767" s="15" t="s">
        <v>189</v>
      </c>
      <c r="P767" s="20" t="s">
        <v>581</v>
      </c>
      <c r="Q767" s="15" t="s">
        <v>83</v>
      </c>
      <c r="R767" s="4"/>
      <c r="S767" s="4"/>
    </row>
    <row r="768" spans="1:19" ht="21" customHeight="1" x14ac:dyDescent="0.25">
      <c r="A768" s="14">
        <f>DATE(2012,12,31)-1091</f>
        <v>40183</v>
      </c>
      <c r="B768" s="15" t="s">
        <v>1055</v>
      </c>
      <c r="C768" s="15" t="s">
        <v>51</v>
      </c>
      <c r="D768" s="16">
        <v>6</v>
      </c>
      <c r="E768" s="17">
        <v>49.55</v>
      </c>
      <c r="F768" s="16">
        <v>0.06</v>
      </c>
      <c r="G768" s="15" t="s">
        <v>101</v>
      </c>
      <c r="H768" s="18">
        <v>-20.329999999999998</v>
      </c>
      <c r="I768" s="19">
        <v>5.78</v>
      </c>
      <c r="J768" s="19">
        <v>7.64</v>
      </c>
      <c r="K768" s="19" t="s">
        <v>44</v>
      </c>
      <c r="L768" s="19" t="s">
        <v>52</v>
      </c>
      <c r="M768" s="15" t="s">
        <v>1029</v>
      </c>
      <c r="N768" s="15" t="s">
        <v>36</v>
      </c>
      <c r="O768" s="15" t="s">
        <v>117</v>
      </c>
      <c r="P768" s="20" t="s">
        <v>1056</v>
      </c>
      <c r="Q768" s="15" t="s">
        <v>83</v>
      </c>
      <c r="R768" s="4"/>
      <c r="S768" s="4"/>
    </row>
    <row r="769" spans="1:19" ht="21" customHeight="1" x14ac:dyDescent="0.25">
      <c r="A769" s="14">
        <f>DATE(2012,12,31)-1091</f>
        <v>40183</v>
      </c>
      <c r="B769" s="15" t="s">
        <v>1055</v>
      </c>
      <c r="C769" s="15" t="s">
        <v>51</v>
      </c>
      <c r="D769" s="16">
        <v>15</v>
      </c>
      <c r="E769" s="17">
        <v>606.55999999999995</v>
      </c>
      <c r="F769" s="16">
        <v>0.04</v>
      </c>
      <c r="G769" s="15" t="s">
        <v>32</v>
      </c>
      <c r="H769" s="18">
        <v>20.231999999999999</v>
      </c>
      <c r="I769" s="19">
        <v>45.99</v>
      </c>
      <c r="J769" s="19">
        <v>4.99</v>
      </c>
      <c r="K769" s="19" t="s">
        <v>44</v>
      </c>
      <c r="L769" s="19" t="s">
        <v>52</v>
      </c>
      <c r="M769" s="15" t="s">
        <v>1029</v>
      </c>
      <c r="N769" s="15" t="s">
        <v>64</v>
      </c>
      <c r="O769" s="15" t="s">
        <v>65</v>
      </c>
      <c r="P769" s="20" t="s">
        <v>1057</v>
      </c>
      <c r="Q769" s="15" t="s">
        <v>83</v>
      </c>
      <c r="R769" s="4"/>
      <c r="S769" s="4"/>
    </row>
    <row r="770" spans="1:19" ht="21" customHeight="1" x14ac:dyDescent="0.25">
      <c r="A770" s="14">
        <f>DATE(2012,12,31)-785</f>
        <v>40489</v>
      </c>
      <c r="B770" s="15" t="s">
        <v>1058</v>
      </c>
      <c r="C770" s="15" t="s">
        <v>85</v>
      </c>
      <c r="D770" s="16">
        <v>22</v>
      </c>
      <c r="E770" s="17">
        <v>129.62</v>
      </c>
      <c r="F770" s="16">
        <v>0.05</v>
      </c>
      <c r="G770" s="15" t="s">
        <v>32</v>
      </c>
      <c r="H770" s="18">
        <v>4.41</v>
      </c>
      <c r="I770" s="19">
        <v>5.88</v>
      </c>
      <c r="J770" s="19">
        <v>3.04</v>
      </c>
      <c r="K770" s="19" t="s">
        <v>44</v>
      </c>
      <c r="L770" s="19" t="s">
        <v>52</v>
      </c>
      <c r="M770" s="15" t="s">
        <v>1029</v>
      </c>
      <c r="N770" s="15" t="s">
        <v>36</v>
      </c>
      <c r="O770" s="15" t="s">
        <v>117</v>
      </c>
      <c r="P770" s="20" t="s">
        <v>986</v>
      </c>
      <c r="Q770" s="15" t="s">
        <v>79</v>
      </c>
      <c r="R770" s="4"/>
      <c r="S770" s="4"/>
    </row>
    <row r="771" spans="1:19" ht="21" customHeight="1" x14ac:dyDescent="0.25">
      <c r="A771" s="14">
        <f>DATE(2012,12,31)-1364</f>
        <v>39910</v>
      </c>
      <c r="B771" s="15" t="s">
        <v>1059</v>
      </c>
      <c r="C771" s="15" t="s">
        <v>31</v>
      </c>
      <c r="D771" s="16">
        <v>11</v>
      </c>
      <c r="E771" s="17">
        <v>68.459999999999994</v>
      </c>
      <c r="F771" s="16">
        <v>0.02</v>
      </c>
      <c r="G771" s="15" t="s">
        <v>32</v>
      </c>
      <c r="H771" s="18">
        <v>-22.48</v>
      </c>
      <c r="I771" s="19">
        <v>5.58</v>
      </c>
      <c r="J771" s="19">
        <v>5.3</v>
      </c>
      <c r="K771" s="19" t="s">
        <v>44</v>
      </c>
      <c r="L771" s="19" t="s">
        <v>236</v>
      </c>
      <c r="M771" s="15" t="s">
        <v>237</v>
      </c>
      <c r="N771" s="15" t="s">
        <v>36</v>
      </c>
      <c r="O771" s="15" t="s">
        <v>189</v>
      </c>
      <c r="P771" s="20" t="s">
        <v>849</v>
      </c>
      <c r="Q771" s="15" t="s">
        <v>83</v>
      </c>
      <c r="R771" s="4"/>
      <c r="S771" s="4"/>
    </row>
    <row r="772" spans="1:19" ht="21" customHeight="1" x14ac:dyDescent="0.25">
      <c r="A772" s="14">
        <f>DATE(2012,12,31)-1364</f>
        <v>39910</v>
      </c>
      <c r="B772" s="15" t="s">
        <v>1059</v>
      </c>
      <c r="C772" s="15" t="s">
        <v>31</v>
      </c>
      <c r="D772" s="16">
        <v>21</v>
      </c>
      <c r="E772" s="17">
        <v>885.23</v>
      </c>
      <c r="F772" s="16">
        <v>0.03</v>
      </c>
      <c r="G772" s="15" t="s">
        <v>32</v>
      </c>
      <c r="H772" s="18">
        <v>78.98</v>
      </c>
      <c r="I772" s="19">
        <v>40.89</v>
      </c>
      <c r="J772" s="19">
        <v>18.98</v>
      </c>
      <c r="K772" s="19" t="s">
        <v>44</v>
      </c>
      <c r="L772" s="19" t="s">
        <v>236</v>
      </c>
      <c r="M772" s="15" t="s">
        <v>237</v>
      </c>
      <c r="N772" s="15" t="s">
        <v>54</v>
      </c>
      <c r="O772" s="15" t="s">
        <v>55</v>
      </c>
      <c r="P772" s="20" t="s">
        <v>632</v>
      </c>
      <c r="Q772" s="15" t="s">
        <v>83</v>
      </c>
      <c r="R772" s="4"/>
      <c r="S772" s="4"/>
    </row>
    <row r="773" spans="1:19" ht="21" customHeight="1" x14ac:dyDescent="0.25">
      <c r="A773" s="14">
        <f>DATE(2012,12,31)-1089</f>
        <v>40185</v>
      </c>
      <c r="B773" s="15" t="s">
        <v>844</v>
      </c>
      <c r="C773" s="15" t="s">
        <v>85</v>
      </c>
      <c r="D773" s="16">
        <v>12</v>
      </c>
      <c r="E773" s="17">
        <v>116.38</v>
      </c>
      <c r="F773" s="16">
        <v>0.08</v>
      </c>
      <c r="G773" s="15" t="s">
        <v>32</v>
      </c>
      <c r="H773" s="18">
        <v>29.68</v>
      </c>
      <c r="I773" s="19">
        <v>9.68</v>
      </c>
      <c r="J773" s="19">
        <v>2.0299999999999998</v>
      </c>
      <c r="K773" s="19" t="s">
        <v>44</v>
      </c>
      <c r="L773" s="19" t="s">
        <v>52</v>
      </c>
      <c r="M773" s="15" t="s">
        <v>1029</v>
      </c>
      <c r="N773" s="15" t="s">
        <v>36</v>
      </c>
      <c r="O773" s="15" t="s">
        <v>117</v>
      </c>
      <c r="P773" s="20" t="s">
        <v>1060</v>
      </c>
      <c r="Q773" s="15" t="s">
        <v>79</v>
      </c>
      <c r="R773" s="4"/>
      <c r="S773" s="4"/>
    </row>
    <row r="774" spans="1:19" ht="21" customHeight="1" x14ac:dyDescent="0.25">
      <c r="A774" s="14">
        <f>DATE(2012,12,31)-1129</f>
        <v>40145</v>
      </c>
      <c r="B774" s="15" t="s">
        <v>504</v>
      </c>
      <c r="C774" s="15" t="s">
        <v>85</v>
      </c>
      <c r="D774" s="16">
        <v>46</v>
      </c>
      <c r="E774" s="17">
        <v>129.44</v>
      </c>
      <c r="F774" s="16">
        <v>0.02</v>
      </c>
      <c r="G774" s="15" t="s">
        <v>101</v>
      </c>
      <c r="H774" s="18">
        <v>-5.54</v>
      </c>
      <c r="I774" s="19">
        <v>2.58</v>
      </c>
      <c r="J774" s="19">
        <v>1.3</v>
      </c>
      <c r="K774" s="19" t="s">
        <v>44</v>
      </c>
      <c r="L774" s="19" t="s">
        <v>52</v>
      </c>
      <c r="M774" s="15" t="s">
        <v>1029</v>
      </c>
      <c r="N774" s="15" t="s">
        <v>36</v>
      </c>
      <c r="O774" s="15" t="s">
        <v>77</v>
      </c>
      <c r="P774" s="20" t="s">
        <v>1061</v>
      </c>
      <c r="Q774" s="15" t="s">
        <v>79</v>
      </c>
      <c r="R774" s="4"/>
      <c r="S774" s="4"/>
    </row>
    <row r="775" spans="1:19" ht="21" customHeight="1" x14ac:dyDescent="0.25">
      <c r="A775" s="14">
        <f>DATE(2012,12,31)-1129</f>
        <v>40145</v>
      </c>
      <c r="B775" s="15" t="s">
        <v>504</v>
      </c>
      <c r="C775" s="15" t="s">
        <v>85</v>
      </c>
      <c r="D775" s="16">
        <v>32</v>
      </c>
      <c r="E775" s="17">
        <v>1829.3869999999997</v>
      </c>
      <c r="F775" s="16">
        <v>0.02</v>
      </c>
      <c r="G775" s="15" t="s">
        <v>32</v>
      </c>
      <c r="H775" s="18">
        <v>482.44499999999999</v>
      </c>
      <c r="I775" s="19">
        <v>65.989999999999995</v>
      </c>
      <c r="J775" s="19">
        <v>3.9</v>
      </c>
      <c r="K775" s="19" t="s">
        <v>44</v>
      </c>
      <c r="L775" s="19" t="s">
        <v>52</v>
      </c>
      <c r="M775" s="15" t="s">
        <v>1029</v>
      </c>
      <c r="N775" s="15" t="s">
        <v>64</v>
      </c>
      <c r="O775" s="15" t="s">
        <v>65</v>
      </c>
      <c r="P775" s="20" t="s">
        <v>1062</v>
      </c>
      <c r="Q775" s="15" t="s">
        <v>83</v>
      </c>
      <c r="R775" s="4"/>
      <c r="S775" s="4"/>
    </row>
    <row r="776" spans="1:19" ht="21" customHeight="1" x14ac:dyDescent="0.25">
      <c r="A776" s="14">
        <f>DATE(2012,12,31)-738</f>
        <v>40536</v>
      </c>
      <c r="B776" s="15" t="s">
        <v>817</v>
      </c>
      <c r="C776" s="15" t="s">
        <v>85</v>
      </c>
      <c r="D776" s="16">
        <v>43</v>
      </c>
      <c r="E776" s="17">
        <v>1281.28</v>
      </c>
      <c r="F776" s="16">
        <v>0.05</v>
      </c>
      <c r="G776" s="15" t="s">
        <v>32</v>
      </c>
      <c r="H776" s="18">
        <v>415.85400000000004</v>
      </c>
      <c r="I776" s="19">
        <v>29.17</v>
      </c>
      <c r="J776" s="19">
        <v>6.27</v>
      </c>
      <c r="K776" s="19" t="s">
        <v>44</v>
      </c>
      <c r="L776" s="19" t="s">
        <v>52</v>
      </c>
      <c r="M776" s="15" t="s">
        <v>1029</v>
      </c>
      <c r="N776" s="15" t="s">
        <v>36</v>
      </c>
      <c r="O776" s="15" t="s">
        <v>170</v>
      </c>
      <c r="P776" s="20" t="s">
        <v>1063</v>
      </c>
      <c r="Q776" s="15" t="s">
        <v>83</v>
      </c>
      <c r="R776" s="4"/>
      <c r="S776" s="4"/>
    </row>
    <row r="777" spans="1:19" ht="21" customHeight="1" x14ac:dyDescent="0.25">
      <c r="A777" s="14">
        <f>DATE(2012,12,31)-738</f>
        <v>40536</v>
      </c>
      <c r="B777" s="15" t="s">
        <v>817</v>
      </c>
      <c r="C777" s="15" t="s">
        <v>85</v>
      </c>
      <c r="D777" s="16">
        <v>13</v>
      </c>
      <c r="E777" s="17">
        <v>1940.31</v>
      </c>
      <c r="F777" s="16">
        <v>0.03</v>
      </c>
      <c r="G777" s="15" t="s">
        <v>58</v>
      </c>
      <c r="H777" s="18">
        <v>-668.18700000000001</v>
      </c>
      <c r="I777" s="19">
        <v>146.05000000000001</v>
      </c>
      <c r="J777" s="19">
        <v>80.2</v>
      </c>
      <c r="K777" s="19" t="s">
        <v>44</v>
      </c>
      <c r="L777" s="19" t="s">
        <v>52</v>
      </c>
      <c r="M777" s="15" t="s">
        <v>1029</v>
      </c>
      <c r="N777" s="15" t="s">
        <v>54</v>
      </c>
      <c r="O777" s="15" t="s">
        <v>61</v>
      </c>
      <c r="P777" s="20" t="s">
        <v>222</v>
      </c>
      <c r="Q777" s="15" t="s">
        <v>63</v>
      </c>
      <c r="R777" s="4"/>
      <c r="S777" s="4"/>
    </row>
    <row r="778" spans="1:19" ht="21" customHeight="1" x14ac:dyDescent="0.25">
      <c r="A778" s="14">
        <f>DATE(2012,12,31)-738</f>
        <v>40536</v>
      </c>
      <c r="B778" s="15" t="s">
        <v>817</v>
      </c>
      <c r="C778" s="15" t="s">
        <v>85</v>
      </c>
      <c r="D778" s="16">
        <v>4</v>
      </c>
      <c r="E778" s="17">
        <v>430.84800000000001</v>
      </c>
      <c r="F778" s="16">
        <v>0.06</v>
      </c>
      <c r="G778" s="15" t="s">
        <v>32</v>
      </c>
      <c r="H778" s="18">
        <v>-492.76700000000005</v>
      </c>
      <c r="I778" s="19">
        <v>125.99</v>
      </c>
      <c r="J778" s="19">
        <v>5.63</v>
      </c>
      <c r="K778" s="19" t="s">
        <v>44</v>
      </c>
      <c r="L778" s="19" t="s">
        <v>80</v>
      </c>
      <c r="M778" s="15" t="s">
        <v>991</v>
      </c>
      <c r="N778" s="15" t="s">
        <v>64</v>
      </c>
      <c r="O778" s="15" t="s">
        <v>65</v>
      </c>
      <c r="P778" s="20" t="s">
        <v>1064</v>
      </c>
      <c r="Q778" s="15" t="s">
        <v>83</v>
      </c>
      <c r="R778" s="4"/>
      <c r="S778" s="4"/>
    </row>
    <row r="779" spans="1:19" ht="21" customHeight="1" x14ac:dyDescent="0.25">
      <c r="A779" s="14">
        <f>DATE(2012,12,31)-829</f>
        <v>40445</v>
      </c>
      <c r="B779" s="15" t="s">
        <v>1065</v>
      </c>
      <c r="C779" s="15" t="s">
        <v>85</v>
      </c>
      <c r="D779" s="16">
        <v>15</v>
      </c>
      <c r="E779" s="17">
        <v>703.54</v>
      </c>
      <c r="F779" s="16">
        <v>0.04</v>
      </c>
      <c r="G779" s="15" t="s">
        <v>32</v>
      </c>
      <c r="H779" s="18">
        <v>138.46</v>
      </c>
      <c r="I779" s="19">
        <v>48.58</v>
      </c>
      <c r="J779" s="19">
        <v>3.99</v>
      </c>
      <c r="K779" s="19" t="s">
        <v>44</v>
      </c>
      <c r="L779" s="19" t="s">
        <v>89</v>
      </c>
      <c r="M779" s="15" t="s">
        <v>734</v>
      </c>
      <c r="N779" s="15" t="s">
        <v>36</v>
      </c>
      <c r="O779" s="15" t="s">
        <v>176</v>
      </c>
      <c r="P779" s="20" t="s">
        <v>483</v>
      </c>
      <c r="Q779" s="15" t="s">
        <v>83</v>
      </c>
      <c r="R779" s="4"/>
      <c r="S779" s="4"/>
    </row>
    <row r="780" spans="1:19" ht="21" customHeight="1" x14ac:dyDescent="0.25">
      <c r="A780" s="14">
        <f>DATE(2012,12,31)-829</f>
        <v>40445</v>
      </c>
      <c r="B780" s="15" t="s">
        <v>1065</v>
      </c>
      <c r="C780" s="15" t="s">
        <v>85</v>
      </c>
      <c r="D780" s="16">
        <v>6</v>
      </c>
      <c r="E780" s="17">
        <v>65.930000000000007</v>
      </c>
      <c r="F780" s="16">
        <v>0.04</v>
      </c>
      <c r="G780" s="15" t="s">
        <v>32</v>
      </c>
      <c r="H780" s="18">
        <v>11.06</v>
      </c>
      <c r="I780" s="19">
        <v>10.31</v>
      </c>
      <c r="J780" s="19">
        <v>1.79</v>
      </c>
      <c r="K780" s="19" t="s">
        <v>97</v>
      </c>
      <c r="L780" s="19" t="s">
        <v>132</v>
      </c>
      <c r="M780" s="15" t="s">
        <v>133</v>
      </c>
      <c r="N780" s="15" t="s">
        <v>36</v>
      </c>
      <c r="O780" s="15" t="s">
        <v>117</v>
      </c>
      <c r="P780" s="20" t="s">
        <v>1011</v>
      </c>
      <c r="Q780" s="15" t="s">
        <v>79</v>
      </c>
      <c r="R780" s="4"/>
      <c r="S780" s="4"/>
    </row>
    <row r="781" spans="1:19" ht="21" customHeight="1" x14ac:dyDescent="0.25">
      <c r="A781" s="14">
        <f>DATE(2012,12,31)-829</f>
        <v>40445</v>
      </c>
      <c r="B781" s="15" t="s">
        <v>1065</v>
      </c>
      <c r="C781" s="15" t="s">
        <v>85</v>
      </c>
      <c r="D781" s="16">
        <v>27</v>
      </c>
      <c r="E781" s="17">
        <v>67.3</v>
      </c>
      <c r="F781" s="16">
        <v>0.02</v>
      </c>
      <c r="G781" s="15" t="s">
        <v>32</v>
      </c>
      <c r="H781" s="18">
        <v>-115.38</v>
      </c>
      <c r="I781" s="19">
        <v>2.1800000000000002</v>
      </c>
      <c r="J781" s="19">
        <v>5</v>
      </c>
      <c r="K781" s="19" t="s">
        <v>44</v>
      </c>
      <c r="L781" s="19" t="s">
        <v>52</v>
      </c>
      <c r="M781" s="15" t="s">
        <v>1029</v>
      </c>
      <c r="N781" s="15" t="s">
        <v>36</v>
      </c>
      <c r="O781" s="15" t="s">
        <v>47</v>
      </c>
      <c r="P781" s="20" t="s">
        <v>673</v>
      </c>
      <c r="Q781" s="15" t="s">
        <v>79</v>
      </c>
      <c r="R781" s="4"/>
      <c r="S781" s="4"/>
    </row>
    <row r="782" spans="1:19" ht="21" customHeight="1" x14ac:dyDescent="0.25">
      <c r="A782" s="14">
        <f>DATE(2012,12,31)-574</f>
        <v>40700</v>
      </c>
      <c r="B782" s="15" t="s">
        <v>1066</v>
      </c>
      <c r="C782" s="15" t="s">
        <v>85</v>
      </c>
      <c r="D782" s="16">
        <v>8</v>
      </c>
      <c r="E782" s="17">
        <v>120.22</v>
      </c>
      <c r="F782" s="16">
        <v>7.0000000000000007E-2</v>
      </c>
      <c r="G782" s="15" t="s">
        <v>32</v>
      </c>
      <c r="H782" s="18">
        <v>52.69</v>
      </c>
      <c r="I782" s="19">
        <v>14.34</v>
      </c>
      <c r="J782" s="19">
        <v>5</v>
      </c>
      <c r="K782" s="19" t="s">
        <v>33</v>
      </c>
      <c r="L782" s="19" t="s">
        <v>59</v>
      </c>
      <c r="M782" s="15" t="s">
        <v>60</v>
      </c>
      <c r="N782" s="15" t="s">
        <v>54</v>
      </c>
      <c r="O782" s="15" t="s">
        <v>55</v>
      </c>
      <c r="P782" s="20" t="s">
        <v>277</v>
      </c>
      <c r="Q782" s="15" t="s">
        <v>49</v>
      </c>
      <c r="R782" s="4"/>
      <c r="S782" s="4"/>
    </row>
    <row r="783" spans="1:19" ht="21" customHeight="1" x14ac:dyDescent="0.25">
      <c r="A783" s="14">
        <f>DATE(2012,12,31)-977</f>
        <v>40297</v>
      </c>
      <c r="B783" s="15" t="s">
        <v>1067</v>
      </c>
      <c r="C783" s="15" t="s">
        <v>43</v>
      </c>
      <c r="D783" s="16">
        <v>12</v>
      </c>
      <c r="E783" s="17">
        <v>118.97</v>
      </c>
      <c r="F783" s="16">
        <v>0.09</v>
      </c>
      <c r="G783" s="15" t="s">
        <v>32</v>
      </c>
      <c r="H783" s="18">
        <v>-5.9999999999995168E-2</v>
      </c>
      <c r="I783" s="19">
        <v>9.65</v>
      </c>
      <c r="J783" s="19">
        <v>6.22</v>
      </c>
      <c r="K783" s="19" t="s">
        <v>69</v>
      </c>
      <c r="L783" s="19" t="s">
        <v>70</v>
      </c>
      <c r="M783" s="15" t="s">
        <v>989</v>
      </c>
      <c r="N783" s="15" t="s">
        <v>54</v>
      </c>
      <c r="O783" s="15" t="s">
        <v>55</v>
      </c>
      <c r="P783" s="20" t="s">
        <v>490</v>
      </c>
      <c r="Q783" s="15" t="s">
        <v>83</v>
      </c>
      <c r="R783" s="4"/>
      <c r="S783" s="4"/>
    </row>
    <row r="784" spans="1:19" ht="21" customHeight="1" x14ac:dyDescent="0.25">
      <c r="A784" s="14">
        <f>DATE(2012,12,31)-1264</f>
        <v>40010</v>
      </c>
      <c r="B784" s="15" t="s">
        <v>1068</v>
      </c>
      <c r="C784" s="15" t="s">
        <v>51</v>
      </c>
      <c r="D784" s="16">
        <v>37</v>
      </c>
      <c r="E784" s="17">
        <v>288.55</v>
      </c>
      <c r="F784" s="16">
        <v>0.03</v>
      </c>
      <c r="G784" s="15" t="s">
        <v>32</v>
      </c>
      <c r="H784" s="18">
        <v>-133.69999999999999</v>
      </c>
      <c r="I784" s="19">
        <v>7.37</v>
      </c>
      <c r="J784" s="19">
        <v>5.53</v>
      </c>
      <c r="K784" s="19" t="s">
        <v>33</v>
      </c>
      <c r="L784" s="19" t="s">
        <v>128</v>
      </c>
      <c r="M784" s="15" t="s">
        <v>129</v>
      </c>
      <c r="N784" s="15" t="s">
        <v>64</v>
      </c>
      <c r="O784" s="15" t="s">
        <v>72</v>
      </c>
      <c r="P784" s="20" t="s">
        <v>1069</v>
      </c>
      <c r="Q784" s="15" t="s">
        <v>49</v>
      </c>
      <c r="R784" s="4"/>
      <c r="S784" s="4"/>
    </row>
    <row r="785" spans="1:19" ht="21" customHeight="1" x14ac:dyDescent="0.25">
      <c r="A785" s="14">
        <f>DATE(2012,12,31)-527</f>
        <v>40747</v>
      </c>
      <c r="B785" s="15" t="s">
        <v>1070</v>
      </c>
      <c r="C785" s="15" t="s">
        <v>31</v>
      </c>
      <c r="D785" s="16">
        <v>41</v>
      </c>
      <c r="E785" s="17">
        <v>254.69</v>
      </c>
      <c r="F785" s="16">
        <v>0.06</v>
      </c>
      <c r="G785" s="15" t="s">
        <v>32</v>
      </c>
      <c r="H785" s="18">
        <v>-269.37</v>
      </c>
      <c r="I785" s="19">
        <v>5.98</v>
      </c>
      <c r="J785" s="19">
        <v>10.39</v>
      </c>
      <c r="K785" s="19" t="s">
        <v>97</v>
      </c>
      <c r="L785" s="19" t="s">
        <v>195</v>
      </c>
      <c r="M785" s="15" t="s">
        <v>196</v>
      </c>
      <c r="N785" s="15" t="s">
        <v>36</v>
      </c>
      <c r="O785" s="15" t="s">
        <v>117</v>
      </c>
      <c r="P785" s="20" t="s">
        <v>1071</v>
      </c>
      <c r="Q785" s="15" t="s">
        <v>83</v>
      </c>
      <c r="R785" s="4"/>
      <c r="S785" s="4"/>
    </row>
    <row r="786" spans="1:19" ht="21" customHeight="1" x14ac:dyDescent="0.25">
      <c r="A786" s="14">
        <f>DATE(2012,12,31)-361</f>
        <v>40913</v>
      </c>
      <c r="B786" s="15" t="s">
        <v>1072</v>
      </c>
      <c r="C786" s="15" t="s">
        <v>51</v>
      </c>
      <c r="D786" s="16">
        <v>10</v>
      </c>
      <c r="E786" s="17">
        <v>120.53</v>
      </c>
      <c r="F786" s="16">
        <v>0.1</v>
      </c>
      <c r="G786" s="15" t="s">
        <v>32</v>
      </c>
      <c r="H786" s="18">
        <v>49.26</v>
      </c>
      <c r="I786" s="19">
        <v>12.22</v>
      </c>
      <c r="J786" s="19">
        <v>2.85</v>
      </c>
      <c r="K786" s="19" t="s">
        <v>97</v>
      </c>
      <c r="L786" s="19" t="s">
        <v>98</v>
      </c>
      <c r="M786" s="15" t="s">
        <v>99</v>
      </c>
      <c r="N786" s="15" t="s">
        <v>54</v>
      </c>
      <c r="O786" s="15" t="s">
        <v>55</v>
      </c>
      <c r="P786" s="20" t="s">
        <v>1073</v>
      </c>
      <c r="Q786" s="15" t="s">
        <v>49</v>
      </c>
      <c r="R786" s="4"/>
      <c r="S786" s="4"/>
    </row>
    <row r="787" spans="1:19" ht="21" customHeight="1" x14ac:dyDescent="0.25">
      <c r="A787" s="14">
        <f>DATE(2012,12,31)-366</f>
        <v>40908</v>
      </c>
      <c r="B787" s="15" t="s">
        <v>1074</v>
      </c>
      <c r="C787" s="15" t="s">
        <v>43</v>
      </c>
      <c r="D787" s="16">
        <v>8</v>
      </c>
      <c r="E787" s="17">
        <v>61.871500000000005</v>
      </c>
      <c r="F787" s="16">
        <v>0</v>
      </c>
      <c r="G787" s="15" t="s">
        <v>32</v>
      </c>
      <c r="H787" s="18">
        <v>-50.325000000000003</v>
      </c>
      <c r="I787" s="19">
        <v>7.99</v>
      </c>
      <c r="J787" s="19">
        <v>5.03</v>
      </c>
      <c r="K787" s="19" t="s">
        <v>33</v>
      </c>
      <c r="L787" s="19" t="s">
        <v>93</v>
      </c>
      <c r="M787" s="15" t="s">
        <v>94</v>
      </c>
      <c r="N787" s="15" t="s">
        <v>64</v>
      </c>
      <c r="O787" s="15" t="s">
        <v>65</v>
      </c>
      <c r="P787" s="20" t="s">
        <v>66</v>
      </c>
      <c r="Q787" s="15" t="s">
        <v>57</v>
      </c>
      <c r="R787" s="4"/>
      <c r="S787" s="4"/>
    </row>
    <row r="788" spans="1:19" ht="21" customHeight="1" x14ac:dyDescent="0.25">
      <c r="A788" s="14">
        <f>DATE(2012,12,31)-138</f>
        <v>41136</v>
      </c>
      <c r="B788" s="15" t="s">
        <v>1075</v>
      </c>
      <c r="C788" s="15" t="s">
        <v>85</v>
      </c>
      <c r="D788" s="16">
        <v>17</v>
      </c>
      <c r="E788" s="17">
        <v>198.78</v>
      </c>
      <c r="F788" s="16">
        <v>0.02</v>
      </c>
      <c r="G788" s="15" t="s">
        <v>32</v>
      </c>
      <c r="H788" s="18">
        <v>-28.3475</v>
      </c>
      <c r="I788" s="19">
        <v>11.5</v>
      </c>
      <c r="J788" s="19">
        <v>7.19</v>
      </c>
      <c r="K788" s="19" t="s">
        <v>44</v>
      </c>
      <c r="L788" s="19" t="s">
        <v>89</v>
      </c>
      <c r="M788" s="15" t="s">
        <v>734</v>
      </c>
      <c r="N788" s="15" t="s">
        <v>36</v>
      </c>
      <c r="O788" s="15" t="s">
        <v>170</v>
      </c>
      <c r="P788" s="20" t="s">
        <v>596</v>
      </c>
      <c r="Q788" s="15" t="s">
        <v>83</v>
      </c>
      <c r="R788" s="4"/>
      <c r="S788" s="4"/>
    </row>
    <row r="789" spans="1:19" ht="21" customHeight="1" x14ac:dyDescent="0.25">
      <c r="A789" s="14">
        <f>DATE(2012,12,31)-138</f>
        <v>41136</v>
      </c>
      <c r="B789" s="15" t="s">
        <v>1075</v>
      </c>
      <c r="C789" s="15" t="s">
        <v>85</v>
      </c>
      <c r="D789" s="16">
        <v>50</v>
      </c>
      <c r="E789" s="17">
        <v>281.58</v>
      </c>
      <c r="F789" s="16">
        <v>0.09</v>
      </c>
      <c r="G789" s="15" t="s">
        <v>32</v>
      </c>
      <c r="H789" s="18">
        <v>-161.56</v>
      </c>
      <c r="I789" s="19">
        <v>5.77</v>
      </c>
      <c r="J789" s="19">
        <v>5.92</v>
      </c>
      <c r="K789" s="19" t="s">
        <v>33</v>
      </c>
      <c r="L789" s="19" t="s">
        <v>128</v>
      </c>
      <c r="M789" s="15" t="s">
        <v>129</v>
      </c>
      <c r="N789" s="15" t="s">
        <v>54</v>
      </c>
      <c r="O789" s="15" t="s">
        <v>55</v>
      </c>
      <c r="P789" s="20" t="s">
        <v>1076</v>
      </c>
      <c r="Q789" s="15" t="s">
        <v>57</v>
      </c>
      <c r="R789" s="4"/>
      <c r="S789" s="4"/>
    </row>
    <row r="790" spans="1:19" ht="21" customHeight="1" x14ac:dyDescent="0.25">
      <c r="A790" s="14">
        <f>DATE(2012,12,31)-685</f>
        <v>40589</v>
      </c>
      <c r="B790" s="15" t="s">
        <v>1077</v>
      </c>
      <c r="C790" s="15" t="s">
        <v>85</v>
      </c>
      <c r="D790" s="16">
        <v>23</v>
      </c>
      <c r="E790" s="17">
        <v>138.16999999999999</v>
      </c>
      <c r="F790" s="16">
        <v>0</v>
      </c>
      <c r="G790" s="15" t="s">
        <v>32</v>
      </c>
      <c r="H790" s="18">
        <v>-1.0900000000000001</v>
      </c>
      <c r="I790" s="19">
        <v>5.85</v>
      </c>
      <c r="J790" s="19">
        <v>2.27</v>
      </c>
      <c r="K790" s="19" t="s">
        <v>69</v>
      </c>
      <c r="L790" s="19" t="s">
        <v>70</v>
      </c>
      <c r="M790" s="15" t="s">
        <v>989</v>
      </c>
      <c r="N790" s="15" t="s">
        <v>36</v>
      </c>
      <c r="O790" s="15" t="s">
        <v>77</v>
      </c>
      <c r="P790" s="20" t="s">
        <v>793</v>
      </c>
      <c r="Q790" s="15" t="s">
        <v>79</v>
      </c>
      <c r="R790" s="4"/>
      <c r="S790" s="4"/>
    </row>
    <row r="791" spans="1:19" ht="21" customHeight="1" x14ac:dyDescent="0.25">
      <c r="A791" s="14">
        <f>DATE(2012,12,31)-1309</f>
        <v>39965</v>
      </c>
      <c r="B791" s="15" t="s">
        <v>1078</v>
      </c>
      <c r="C791" s="15" t="s">
        <v>85</v>
      </c>
      <c r="D791" s="16">
        <v>31</v>
      </c>
      <c r="E791" s="17">
        <v>501.38</v>
      </c>
      <c r="F791" s="16">
        <v>0.03</v>
      </c>
      <c r="G791" s="15" t="s">
        <v>32</v>
      </c>
      <c r="H791" s="18">
        <v>-71.95</v>
      </c>
      <c r="I791" s="19">
        <v>15.31</v>
      </c>
      <c r="J791" s="19">
        <v>8.7799999999999994</v>
      </c>
      <c r="K791" s="19" t="s">
        <v>124</v>
      </c>
      <c r="L791" s="19" t="s">
        <v>160</v>
      </c>
      <c r="M791" s="15" t="s">
        <v>888</v>
      </c>
      <c r="N791" s="15" t="s">
        <v>36</v>
      </c>
      <c r="O791" s="15" t="s">
        <v>37</v>
      </c>
      <c r="P791" s="20" t="s">
        <v>1079</v>
      </c>
      <c r="Q791" s="15" t="s">
        <v>83</v>
      </c>
      <c r="R791" s="4"/>
      <c r="S791" s="4"/>
    </row>
    <row r="792" spans="1:19" ht="21" customHeight="1" x14ac:dyDescent="0.25">
      <c r="A792" s="14">
        <f>DATE(2012,12,31)-608</f>
        <v>40666</v>
      </c>
      <c r="B792" s="15" t="s">
        <v>1080</v>
      </c>
      <c r="C792" s="15" t="s">
        <v>85</v>
      </c>
      <c r="D792" s="16">
        <v>4</v>
      </c>
      <c r="E792" s="17">
        <v>2206.17</v>
      </c>
      <c r="F792" s="16">
        <v>0.02</v>
      </c>
      <c r="G792" s="15" t="s">
        <v>32</v>
      </c>
      <c r="H792" s="18">
        <v>251.43</v>
      </c>
      <c r="I792" s="19">
        <v>525.98</v>
      </c>
      <c r="J792" s="19">
        <v>19.989999999999998</v>
      </c>
      <c r="K792" s="19" t="s">
        <v>124</v>
      </c>
      <c r="L792" s="19" t="s">
        <v>125</v>
      </c>
      <c r="M792" s="15" t="s">
        <v>126</v>
      </c>
      <c r="N792" s="15" t="s">
        <v>36</v>
      </c>
      <c r="O792" s="15" t="s">
        <v>170</v>
      </c>
      <c r="P792" s="20" t="s">
        <v>1081</v>
      </c>
      <c r="Q792" s="15" t="s">
        <v>83</v>
      </c>
      <c r="R792" s="4"/>
      <c r="S792" s="4"/>
    </row>
    <row r="793" spans="1:19" ht="21" customHeight="1" x14ac:dyDescent="0.25">
      <c r="A793" s="14">
        <f>DATE(2012,12,31)-608</f>
        <v>40666</v>
      </c>
      <c r="B793" s="15" t="s">
        <v>1080</v>
      </c>
      <c r="C793" s="15" t="s">
        <v>85</v>
      </c>
      <c r="D793" s="16">
        <v>40</v>
      </c>
      <c r="E793" s="17">
        <v>621.12</v>
      </c>
      <c r="F793" s="16">
        <v>0.1</v>
      </c>
      <c r="G793" s="15" t="s">
        <v>32</v>
      </c>
      <c r="H793" s="18">
        <v>190.5275</v>
      </c>
      <c r="I793" s="19">
        <v>16.510000000000002</v>
      </c>
      <c r="J793" s="19">
        <v>2.99</v>
      </c>
      <c r="K793" s="19" t="s">
        <v>44</v>
      </c>
      <c r="L793" s="19" t="s">
        <v>52</v>
      </c>
      <c r="M793" s="15" t="s">
        <v>1029</v>
      </c>
      <c r="N793" s="15" t="s">
        <v>36</v>
      </c>
      <c r="O793" s="15" t="s">
        <v>170</v>
      </c>
      <c r="P793" s="20" t="s">
        <v>1082</v>
      </c>
      <c r="Q793" s="15" t="s">
        <v>83</v>
      </c>
      <c r="R793" s="4"/>
      <c r="S793" s="4"/>
    </row>
    <row r="794" spans="1:19" ht="21" customHeight="1" x14ac:dyDescent="0.25">
      <c r="A794" s="14">
        <f>DATE(2012,12,31)-608</f>
        <v>40666</v>
      </c>
      <c r="B794" s="15" t="s">
        <v>1080</v>
      </c>
      <c r="C794" s="15" t="s">
        <v>85</v>
      </c>
      <c r="D794" s="16">
        <v>31</v>
      </c>
      <c r="E794" s="17">
        <v>175.92</v>
      </c>
      <c r="F794" s="16">
        <v>0.09</v>
      </c>
      <c r="G794" s="15" t="s">
        <v>32</v>
      </c>
      <c r="H794" s="18">
        <v>-93.41</v>
      </c>
      <c r="I794" s="19">
        <v>5.98</v>
      </c>
      <c r="J794" s="19">
        <v>3.85</v>
      </c>
      <c r="K794" s="19" t="s">
        <v>33</v>
      </c>
      <c r="L794" s="19" t="s">
        <v>145</v>
      </c>
      <c r="M794" s="15" t="s">
        <v>1083</v>
      </c>
      <c r="N794" s="15" t="s">
        <v>64</v>
      </c>
      <c r="O794" s="15" t="s">
        <v>72</v>
      </c>
      <c r="P794" s="20" t="s">
        <v>1084</v>
      </c>
      <c r="Q794" s="15" t="s">
        <v>49</v>
      </c>
      <c r="R794" s="4"/>
      <c r="S794" s="4"/>
    </row>
    <row r="795" spans="1:19" ht="21" customHeight="1" x14ac:dyDescent="0.25">
      <c r="A795" s="14">
        <f>DATE(2012,12,31)-88</f>
        <v>41186</v>
      </c>
      <c r="B795" s="15" t="s">
        <v>378</v>
      </c>
      <c r="C795" s="15" t="s">
        <v>85</v>
      </c>
      <c r="D795" s="16">
        <v>31</v>
      </c>
      <c r="E795" s="17">
        <v>371.68</v>
      </c>
      <c r="F795" s="16">
        <v>0.03</v>
      </c>
      <c r="G795" s="15" t="s">
        <v>32</v>
      </c>
      <c r="H795" s="18">
        <v>-13.32</v>
      </c>
      <c r="I795" s="19">
        <v>11.29</v>
      </c>
      <c r="J795" s="19">
        <v>5.03</v>
      </c>
      <c r="K795" s="19" t="s">
        <v>69</v>
      </c>
      <c r="L795" s="19" t="s">
        <v>70</v>
      </c>
      <c r="M795" s="15" t="s">
        <v>989</v>
      </c>
      <c r="N795" s="15" t="s">
        <v>36</v>
      </c>
      <c r="O795" s="15" t="s">
        <v>37</v>
      </c>
      <c r="P795" s="20" t="s">
        <v>1085</v>
      </c>
      <c r="Q795" s="15" t="s">
        <v>83</v>
      </c>
      <c r="R795" s="4"/>
      <c r="S795" s="4"/>
    </row>
    <row r="796" spans="1:19" ht="21" customHeight="1" x14ac:dyDescent="0.25">
      <c r="A796" s="14">
        <f>DATE(2012,12,31)-1321</f>
        <v>39953</v>
      </c>
      <c r="B796" s="15" t="s">
        <v>1086</v>
      </c>
      <c r="C796" s="15" t="s">
        <v>85</v>
      </c>
      <c r="D796" s="16">
        <v>15</v>
      </c>
      <c r="E796" s="17">
        <v>297.05</v>
      </c>
      <c r="F796" s="16">
        <v>0.09</v>
      </c>
      <c r="G796" s="15" t="s">
        <v>32</v>
      </c>
      <c r="H796" s="18">
        <v>-16.89</v>
      </c>
      <c r="I796" s="19">
        <v>20.48</v>
      </c>
      <c r="J796" s="19">
        <v>6.32</v>
      </c>
      <c r="K796" s="19" t="s">
        <v>69</v>
      </c>
      <c r="L796" s="19" t="s">
        <v>75</v>
      </c>
      <c r="M796" s="15" t="s">
        <v>76</v>
      </c>
      <c r="N796" s="15" t="s">
        <v>36</v>
      </c>
      <c r="O796" s="15" t="s">
        <v>176</v>
      </c>
      <c r="P796" s="20" t="s">
        <v>1087</v>
      </c>
      <c r="Q796" s="15" t="s">
        <v>83</v>
      </c>
      <c r="R796" s="4"/>
      <c r="S796" s="4"/>
    </row>
    <row r="797" spans="1:19" ht="21" customHeight="1" x14ac:dyDescent="0.25">
      <c r="A797" s="14">
        <f>DATE(2012,12,31)-1321</f>
        <v>39953</v>
      </c>
      <c r="B797" s="15" t="s">
        <v>1086</v>
      </c>
      <c r="C797" s="15" t="s">
        <v>85</v>
      </c>
      <c r="D797" s="16">
        <v>7</v>
      </c>
      <c r="E797" s="17">
        <v>108.26</v>
      </c>
      <c r="F797" s="16">
        <v>0.06</v>
      </c>
      <c r="G797" s="15" t="s">
        <v>32</v>
      </c>
      <c r="H797" s="18">
        <v>25.51</v>
      </c>
      <c r="I797" s="19">
        <v>15.67</v>
      </c>
      <c r="J797" s="19">
        <v>1.39</v>
      </c>
      <c r="K797" s="19" t="s">
        <v>44</v>
      </c>
      <c r="L797" s="19" t="s">
        <v>120</v>
      </c>
      <c r="M797" s="15" t="s">
        <v>121</v>
      </c>
      <c r="N797" s="15" t="s">
        <v>36</v>
      </c>
      <c r="O797" s="15" t="s">
        <v>189</v>
      </c>
      <c r="P797" s="20" t="s">
        <v>967</v>
      </c>
      <c r="Q797" s="15" t="s">
        <v>83</v>
      </c>
      <c r="R797" s="4"/>
      <c r="S797" s="4"/>
    </row>
    <row r="798" spans="1:19" ht="21" customHeight="1" x14ac:dyDescent="0.25">
      <c r="A798" s="14">
        <f>DATE(2012,12,31)-155</f>
        <v>41119</v>
      </c>
      <c r="B798" s="15" t="s">
        <v>1088</v>
      </c>
      <c r="C798" s="15" t="s">
        <v>31</v>
      </c>
      <c r="D798" s="16">
        <v>2</v>
      </c>
      <c r="E798" s="17">
        <v>9.25</v>
      </c>
      <c r="F798" s="16">
        <v>0.01</v>
      </c>
      <c r="G798" s="15" t="s">
        <v>32</v>
      </c>
      <c r="H798" s="18">
        <v>-4.21</v>
      </c>
      <c r="I798" s="19">
        <v>4.13</v>
      </c>
      <c r="J798" s="19">
        <v>0.99</v>
      </c>
      <c r="K798" s="19" t="s">
        <v>44</v>
      </c>
      <c r="L798" s="19" t="s">
        <v>89</v>
      </c>
      <c r="M798" s="15" t="s">
        <v>734</v>
      </c>
      <c r="N798" s="15" t="s">
        <v>36</v>
      </c>
      <c r="O798" s="15" t="s">
        <v>114</v>
      </c>
      <c r="P798" s="20" t="s">
        <v>926</v>
      </c>
      <c r="Q798" s="15" t="s">
        <v>83</v>
      </c>
      <c r="R798" s="4"/>
      <c r="S798" s="4"/>
    </row>
    <row r="799" spans="1:19" ht="21" customHeight="1" x14ac:dyDescent="0.25">
      <c r="A799" s="14">
        <f>DATE(2012,12,31)-155</f>
        <v>41119</v>
      </c>
      <c r="B799" s="15" t="s">
        <v>1088</v>
      </c>
      <c r="C799" s="15" t="s">
        <v>31</v>
      </c>
      <c r="D799" s="16">
        <v>41</v>
      </c>
      <c r="E799" s="17">
        <v>573.89</v>
      </c>
      <c r="F799" s="16">
        <v>0.09</v>
      </c>
      <c r="G799" s="15" t="s">
        <v>101</v>
      </c>
      <c r="H799" s="18">
        <v>-121.44</v>
      </c>
      <c r="I799" s="19">
        <v>14.98</v>
      </c>
      <c r="J799" s="19">
        <v>7.69</v>
      </c>
      <c r="K799" s="19" t="s">
        <v>33</v>
      </c>
      <c r="L799" s="19" t="s">
        <v>145</v>
      </c>
      <c r="M799" s="15" t="s">
        <v>1083</v>
      </c>
      <c r="N799" s="15" t="s">
        <v>36</v>
      </c>
      <c r="O799" s="15" t="s">
        <v>37</v>
      </c>
      <c r="P799" s="20" t="s">
        <v>1089</v>
      </c>
      <c r="Q799" s="15" t="s">
        <v>83</v>
      </c>
      <c r="R799" s="4"/>
      <c r="S799" s="4"/>
    </row>
    <row r="800" spans="1:19" ht="21" customHeight="1" x14ac:dyDescent="0.25">
      <c r="A800" s="14">
        <f>DATE(2012,12,31)-847</f>
        <v>40427</v>
      </c>
      <c r="B800" s="15" t="s">
        <v>474</v>
      </c>
      <c r="C800" s="15" t="s">
        <v>43</v>
      </c>
      <c r="D800" s="16">
        <v>20</v>
      </c>
      <c r="E800" s="17">
        <v>2039.39</v>
      </c>
      <c r="F800" s="16">
        <v>0.01</v>
      </c>
      <c r="G800" s="15" t="s">
        <v>32</v>
      </c>
      <c r="H800" s="18">
        <v>199.73</v>
      </c>
      <c r="I800" s="19">
        <v>99.99</v>
      </c>
      <c r="J800" s="19">
        <v>19.989999999999998</v>
      </c>
      <c r="K800" s="19" t="s">
        <v>33</v>
      </c>
      <c r="L800" s="19" t="s">
        <v>93</v>
      </c>
      <c r="M800" s="15" t="s">
        <v>94</v>
      </c>
      <c r="N800" s="15" t="s">
        <v>64</v>
      </c>
      <c r="O800" s="15" t="s">
        <v>72</v>
      </c>
      <c r="P800" s="20" t="s">
        <v>496</v>
      </c>
      <c r="Q800" s="15" t="s">
        <v>83</v>
      </c>
      <c r="R800" s="4"/>
      <c r="S800" s="4"/>
    </row>
    <row r="801" spans="1:19" ht="21" customHeight="1" x14ac:dyDescent="0.25">
      <c r="A801" s="14">
        <f>DATE(2012,12,31)-961</f>
        <v>40313</v>
      </c>
      <c r="B801" s="15" t="s">
        <v>516</v>
      </c>
      <c r="C801" s="15" t="s">
        <v>85</v>
      </c>
      <c r="D801" s="16">
        <v>29</v>
      </c>
      <c r="E801" s="17">
        <v>357.96</v>
      </c>
      <c r="F801" s="16">
        <v>0.06</v>
      </c>
      <c r="G801" s="15" t="s">
        <v>32</v>
      </c>
      <c r="H801" s="18">
        <v>10.44</v>
      </c>
      <c r="I801" s="19">
        <v>12.28</v>
      </c>
      <c r="J801" s="19">
        <v>6.47</v>
      </c>
      <c r="K801" s="19" t="s">
        <v>44</v>
      </c>
      <c r="L801" s="19" t="s">
        <v>52</v>
      </c>
      <c r="M801" s="15" t="s">
        <v>1029</v>
      </c>
      <c r="N801" s="15" t="s">
        <v>36</v>
      </c>
      <c r="O801" s="15" t="s">
        <v>117</v>
      </c>
      <c r="P801" s="20" t="s">
        <v>832</v>
      </c>
      <c r="Q801" s="15" t="s">
        <v>83</v>
      </c>
      <c r="R801" s="4"/>
      <c r="S801" s="4"/>
    </row>
    <row r="802" spans="1:19" ht="21" customHeight="1" x14ac:dyDescent="0.25">
      <c r="A802" s="14">
        <f>DATE(2012,12,31)-1117</f>
        <v>40157</v>
      </c>
      <c r="B802" s="15" t="s">
        <v>245</v>
      </c>
      <c r="C802" s="15" t="s">
        <v>85</v>
      </c>
      <c r="D802" s="16">
        <v>10</v>
      </c>
      <c r="E802" s="17">
        <v>2665.64</v>
      </c>
      <c r="F802" s="16">
        <v>0.1</v>
      </c>
      <c r="G802" s="15" t="s">
        <v>58</v>
      </c>
      <c r="H802" s="18">
        <v>-107.49</v>
      </c>
      <c r="I802" s="19">
        <v>280.98</v>
      </c>
      <c r="J802" s="19">
        <v>35.67</v>
      </c>
      <c r="K802" s="19" t="s">
        <v>44</v>
      </c>
      <c r="L802" s="19" t="s">
        <v>52</v>
      </c>
      <c r="M802" s="15" t="s">
        <v>1029</v>
      </c>
      <c r="N802" s="15" t="s">
        <v>54</v>
      </c>
      <c r="O802" s="15" t="s">
        <v>61</v>
      </c>
      <c r="P802" s="20" t="s">
        <v>368</v>
      </c>
      <c r="Q802" s="15" t="s">
        <v>63</v>
      </c>
      <c r="R802" s="4"/>
      <c r="S802" s="4"/>
    </row>
    <row r="803" spans="1:19" ht="21" customHeight="1" x14ac:dyDescent="0.25">
      <c r="A803" s="14">
        <f>DATE(2012,12,31)-1317</f>
        <v>39957</v>
      </c>
      <c r="B803" s="15" t="s">
        <v>1090</v>
      </c>
      <c r="C803" s="15" t="s">
        <v>43</v>
      </c>
      <c r="D803" s="16">
        <v>34</v>
      </c>
      <c r="E803" s="17">
        <v>5261.73</v>
      </c>
      <c r="F803" s="16">
        <v>0.05</v>
      </c>
      <c r="G803" s="15" t="s">
        <v>58</v>
      </c>
      <c r="H803" s="18">
        <v>650.29999999999995</v>
      </c>
      <c r="I803" s="19">
        <v>150.97999999999999</v>
      </c>
      <c r="J803" s="19">
        <v>43.71</v>
      </c>
      <c r="K803" s="19" t="s">
        <v>33</v>
      </c>
      <c r="L803" s="19" t="s">
        <v>34</v>
      </c>
      <c r="M803" s="15" t="s">
        <v>35</v>
      </c>
      <c r="N803" s="15" t="s">
        <v>54</v>
      </c>
      <c r="O803" s="15" t="s">
        <v>252</v>
      </c>
      <c r="P803" s="20" t="s">
        <v>1091</v>
      </c>
      <c r="Q803" s="15" t="s">
        <v>181</v>
      </c>
      <c r="R803" s="4"/>
      <c r="S803" s="4"/>
    </row>
    <row r="804" spans="1:19" ht="21" customHeight="1" x14ac:dyDescent="0.25">
      <c r="A804" s="14">
        <f>DATE(2012,12,31)-821</f>
        <v>40453</v>
      </c>
      <c r="B804" s="15" t="s">
        <v>1092</v>
      </c>
      <c r="C804" s="15" t="s">
        <v>43</v>
      </c>
      <c r="D804" s="16">
        <v>23</v>
      </c>
      <c r="E804" s="17">
        <v>193.79</v>
      </c>
      <c r="F804" s="16">
        <v>0.02</v>
      </c>
      <c r="G804" s="15" t="s">
        <v>32</v>
      </c>
      <c r="H804" s="18">
        <v>-117.16199999999999</v>
      </c>
      <c r="I804" s="19">
        <v>8.0399999999999991</v>
      </c>
      <c r="J804" s="19">
        <v>8.94</v>
      </c>
      <c r="K804" s="19" t="s">
        <v>33</v>
      </c>
      <c r="L804" s="19" t="s">
        <v>145</v>
      </c>
      <c r="M804" s="15" t="s">
        <v>1083</v>
      </c>
      <c r="N804" s="15" t="s">
        <v>36</v>
      </c>
      <c r="O804" s="15" t="s">
        <v>170</v>
      </c>
      <c r="P804" s="20" t="s">
        <v>995</v>
      </c>
      <c r="Q804" s="15" t="s">
        <v>83</v>
      </c>
      <c r="R804" s="4"/>
      <c r="S804" s="4"/>
    </row>
    <row r="805" spans="1:19" ht="21" customHeight="1" x14ac:dyDescent="0.25">
      <c r="A805" s="14">
        <f>DATE(2012,12,31)-1113</f>
        <v>40161</v>
      </c>
      <c r="B805" s="15" t="s">
        <v>96</v>
      </c>
      <c r="C805" s="15" t="s">
        <v>31</v>
      </c>
      <c r="D805" s="16">
        <v>23</v>
      </c>
      <c r="E805" s="17">
        <v>849.46</v>
      </c>
      <c r="F805" s="16">
        <v>0.04</v>
      </c>
      <c r="G805" s="15" t="s">
        <v>32</v>
      </c>
      <c r="H805" s="18">
        <v>9.06</v>
      </c>
      <c r="I805" s="19">
        <v>35.44</v>
      </c>
      <c r="J805" s="19">
        <v>19.989999999999998</v>
      </c>
      <c r="K805" s="19" t="s">
        <v>33</v>
      </c>
      <c r="L805" s="19" t="s">
        <v>145</v>
      </c>
      <c r="M805" s="15" t="s">
        <v>1083</v>
      </c>
      <c r="N805" s="15" t="s">
        <v>36</v>
      </c>
      <c r="O805" s="15" t="s">
        <v>117</v>
      </c>
      <c r="P805" s="20" t="s">
        <v>1093</v>
      </c>
      <c r="Q805" s="15" t="s">
        <v>83</v>
      </c>
      <c r="R805" s="4"/>
      <c r="S805" s="4"/>
    </row>
    <row r="806" spans="1:19" ht="21" customHeight="1" x14ac:dyDescent="0.25">
      <c r="A806" s="14">
        <f>DATE(2012,12,31)-247</f>
        <v>41027</v>
      </c>
      <c r="B806" s="15" t="s">
        <v>1094</v>
      </c>
      <c r="C806" s="15" t="s">
        <v>51</v>
      </c>
      <c r="D806" s="16">
        <v>36</v>
      </c>
      <c r="E806" s="17">
        <v>163.54</v>
      </c>
      <c r="F806" s="16">
        <v>0.03</v>
      </c>
      <c r="G806" s="15" t="s">
        <v>101</v>
      </c>
      <c r="H806" s="18">
        <v>-95.058999999999997</v>
      </c>
      <c r="I806" s="19">
        <v>4.13</v>
      </c>
      <c r="J806" s="19">
        <v>5.04</v>
      </c>
      <c r="K806" s="19" t="s">
        <v>33</v>
      </c>
      <c r="L806" s="19" t="s">
        <v>145</v>
      </c>
      <c r="M806" s="15" t="s">
        <v>1083</v>
      </c>
      <c r="N806" s="15" t="s">
        <v>36</v>
      </c>
      <c r="O806" s="15" t="s">
        <v>170</v>
      </c>
      <c r="P806" s="20" t="s">
        <v>519</v>
      </c>
      <c r="Q806" s="15" t="s">
        <v>83</v>
      </c>
      <c r="R806" s="4"/>
      <c r="S806" s="4"/>
    </row>
    <row r="807" spans="1:19" ht="21" customHeight="1" x14ac:dyDescent="0.25">
      <c r="A807" s="14">
        <f>DATE(2012,12,31)-247</f>
        <v>41027</v>
      </c>
      <c r="B807" s="15" t="s">
        <v>1094</v>
      </c>
      <c r="C807" s="15" t="s">
        <v>51</v>
      </c>
      <c r="D807" s="16">
        <v>31</v>
      </c>
      <c r="E807" s="17">
        <v>2390.54</v>
      </c>
      <c r="F807" s="16">
        <v>0.08</v>
      </c>
      <c r="G807" s="15" t="s">
        <v>32</v>
      </c>
      <c r="H807" s="18">
        <v>756.1</v>
      </c>
      <c r="I807" s="19">
        <v>82.99</v>
      </c>
      <c r="J807" s="19">
        <v>5.5</v>
      </c>
      <c r="K807" s="19" t="s">
        <v>33</v>
      </c>
      <c r="L807" s="19" t="s">
        <v>59</v>
      </c>
      <c r="M807" s="15" t="s">
        <v>60</v>
      </c>
      <c r="N807" s="15" t="s">
        <v>64</v>
      </c>
      <c r="O807" s="15" t="s">
        <v>72</v>
      </c>
      <c r="P807" s="20" t="s">
        <v>1095</v>
      </c>
      <c r="Q807" s="15" t="s">
        <v>83</v>
      </c>
      <c r="R807" s="4"/>
      <c r="S807" s="4"/>
    </row>
    <row r="808" spans="1:19" ht="21" customHeight="1" x14ac:dyDescent="0.25">
      <c r="A808" s="14">
        <f>DATE(2012,12,31)-517</f>
        <v>40757</v>
      </c>
      <c r="B808" s="15" t="s">
        <v>595</v>
      </c>
      <c r="C808" s="15" t="s">
        <v>85</v>
      </c>
      <c r="D808" s="16">
        <v>34</v>
      </c>
      <c r="E808" s="17">
        <v>9626.86</v>
      </c>
      <c r="F808" s="16">
        <v>0.08</v>
      </c>
      <c r="G808" s="15" t="s">
        <v>58</v>
      </c>
      <c r="H808" s="18">
        <v>1882.2</v>
      </c>
      <c r="I808" s="19">
        <v>294.62</v>
      </c>
      <c r="J808" s="19">
        <v>42.52</v>
      </c>
      <c r="K808" s="19" t="s">
        <v>33</v>
      </c>
      <c r="L808" s="19" t="s">
        <v>145</v>
      </c>
      <c r="M808" s="15" t="s">
        <v>1083</v>
      </c>
      <c r="N808" s="15" t="s">
        <v>36</v>
      </c>
      <c r="O808" s="15" t="s">
        <v>176</v>
      </c>
      <c r="P808" s="20" t="s">
        <v>570</v>
      </c>
      <c r="Q808" s="15" t="s">
        <v>181</v>
      </c>
      <c r="R808" s="4"/>
      <c r="S808" s="4"/>
    </row>
    <row r="809" spans="1:19" ht="21" customHeight="1" x14ac:dyDescent="0.25">
      <c r="A809" s="14">
        <f>DATE(2012,12,31)-1397</f>
        <v>39877</v>
      </c>
      <c r="B809" s="15" t="s">
        <v>898</v>
      </c>
      <c r="C809" s="15" t="s">
        <v>31</v>
      </c>
      <c r="D809" s="16">
        <v>21</v>
      </c>
      <c r="E809" s="17">
        <v>6005.21</v>
      </c>
      <c r="F809" s="16">
        <v>0.08</v>
      </c>
      <c r="G809" s="15" t="s">
        <v>58</v>
      </c>
      <c r="H809" s="18">
        <v>-450.7</v>
      </c>
      <c r="I809" s="19">
        <v>296.18</v>
      </c>
      <c r="J809" s="19">
        <v>54.12</v>
      </c>
      <c r="K809" s="19" t="s">
        <v>33</v>
      </c>
      <c r="L809" s="19" t="s">
        <v>145</v>
      </c>
      <c r="M809" s="15" t="s">
        <v>1083</v>
      </c>
      <c r="N809" s="15" t="s">
        <v>54</v>
      </c>
      <c r="O809" s="15" t="s">
        <v>61</v>
      </c>
      <c r="P809" s="20" t="s">
        <v>345</v>
      </c>
      <c r="Q809" s="15" t="s">
        <v>63</v>
      </c>
      <c r="R809" s="4"/>
      <c r="S809" s="4"/>
    </row>
    <row r="810" spans="1:19" ht="21" customHeight="1" x14ac:dyDescent="0.25">
      <c r="A810" s="14">
        <f>DATE(2012,12,31)-1013</f>
        <v>40261</v>
      </c>
      <c r="B810" s="15" t="s">
        <v>1096</v>
      </c>
      <c r="C810" s="15" t="s">
        <v>85</v>
      </c>
      <c r="D810" s="16">
        <v>49</v>
      </c>
      <c r="E810" s="17">
        <v>2012.14</v>
      </c>
      <c r="F810" s="16">
        <v>7.0000000000000007E-2</v>
      </c>
      <c r="G810" s="15" t="s">
        <v>32</v>
      </c>
      <c r="H810" s="18">
        <v>241.74</v>
      </c>
      <c r="I810" s="19">
        <v>40.97</v>
      </c>
      <c r="J810" s="19">
        <v>14.45</v>
      </c>
      <c r="K810" s="19" t="s">
        <v>69</v>
      </c>
      <c r="L810" s="19" t="s">
        <v>70</v>
      </c>
      <c r="M810" s="15" t="s">
        <v>989</v>
      </c>
      <c r="N810" s="15" t="s">
        <v>54</v>
      </c>
      <c r="O810" s="15" t="s">
        <v>55</v>
      </c>
      <c r="P810" s="20" t="s">
        <v>508</v>
      </c>
      <c r="Q810" s="15" t="s">
        <v>39</v>
      </c>
      <c r="R810" s="4"/>
      <c r="S810" s="4"/>
    </row>
    <row r="811" spans="1:19" ht="21" customHeight="1" x14ac:dyDescent="0.25">
      <c r="A811" s="14">
        <f>DATE(2012,12,31)-1152</f>
        <v>40122</v>
      </c>
      <c r="B811" s="15" t="s">
        <v>688</v>
      </c>
      <c r="C811" s="15" t="s">
        <v>51</v>
      </c>
      <c r="D811" s="16">
        <v>42</v>
      </c>
      <c r="E811" s="17">
        <v>10307.01</v>
      </c>
      <c r="F811" s="16">
        <v>0</v>
      </c>
      <c r="G811" s="15" t="s">
        <v>58</v>
      </c>
      <c r="H811" s="18">
        <v>3025.59</v>
      </c>
      <c r="I811" s="19">
        <v>230.98</v>
      </c>
      <c r="J811" s="19">
        <v>23.78</v>
      </c>
      <c r="K811" s="19" t="s">
        <v>69</v>
      </c>
      <c r="L811" s="19" t="s">
        <v>70</v>
      </c>
      <c r="M811" s="15" t="s">
        <v>989</v>
      </c>
      <c r="N811" s="15" t="s">
        <v>54</v>
      </c>
      <c r="O811" s="15" t="s">
        <v>61</v>
      </c>
      <c r="P811" s="20" t="s">
        <v>1097</v>
      </c>
      <c r="Q811" s="15" t="s">
        <v>63</v>
      </c>
      <c r="R811" s="4"/>
      <c r="S811" s="4"/>
    </row>
    <row r="812" spans="1:19" ht="21" customHeight="1" x14ac:dyDescent="0.25">
      <c r="A812" s="14">
        <f>DATE(2012,12,31)-171</f>
        <v>41103</v>
      </c>
      <c r="B812" s="15" t="s">
        <v>313</v>
      </c>
      <c r="C812" s="15" t="s">
        <v>43</v>
      </c>
      <c r="D812" s="16">
        <v>48</v>
      </c>
      <c r="E812" s="17">
        <v>2531.66</v>
      </c>
      <c r="F812" s="16">
        <v>0.02</v>
      </c>
      <c r="G812" s="15" t="s">
        <v>32</v>
      </c>
      <c r="H812" s="18">
        <v>354.74</v>
      </c>
      <c r="I812" s="19">
        <v>50.98</v>
      </c>
      <c r="J812" s="19">
        <v>13.66</v>
      </c>
      <c r="K812" s="19" t="s">
        <v>69</v>
      </c>
      <c r="L812" s="19" t="s">
        <v>70</v>
      </c>
      <c r="M812" s="15" t="s">
        <v>989</v>
      </c>
      <c r="N812" s="15" t="s">
        <v>36</v>
      </c>
      <c r="O812" s="15" t="s">
        <v>176</v>
      </c>
      <c r="P812" s="20" t="s">
        <v>1098</v>
      </c>
      <c r="Q812" s="15" t="s">
        <v>83</v>
      </c>
      <c r="R812" s="4"/>
      <c r="S812" s="4"/>
    </row>
    <row r="813" spans="1:19" ht="21" customHeight="1" x14ac:dyDescent="0.25">
      <c r="A813" s="14">
        <f>DATE(2012,12,31)-171</f>
        <v>41103</v>
      </c>
      <c r="B813" s="15" t="s">
        <v>313</v>
      </c>
      <c r="C813" s="15" t="s">
        <v>43</v>
      </c>
      <c r="D813" s="16">
        <v>29</v>
      </c>
      <c r="E813" s="17">
        <v>5382.3104999999996</v>
      </c>
      <c r="F813" s="16">
        <v>0</v>
      </c>
      <c r="G813" s="15" t="s">
        <v>32</v>
      </c>
      <c r="H813" s="18">
        <v>1419.048</v>
      </c>
      <c r="I813" s="19">
        <v>205.99</v>
      </c>
      <c r="J813" s="19">
        <v>8.99</v>
      </c>
      <c r="K813" s="19" t="s">
        <v>69</v>
      </c>
      <c r="L813" s="19" t="s">
        <v>70</v>
      </c>
      <c r="M813" s="15" t="s">
        <v>989</v>
      </c>
      <c r="N813" s="15" t="s">
        <v>64</v>
      </c>
      <c r="O813" s="15" t="s">
        <v>65</v>
      </c>
      <c r="P813" s="20" t="s">
        <v>758</v>
      </c>
      <c r="Q813" s="15" t="s">
        <v>83</v>
      </c>
      <c r="R813" s="4"/>
      <c r="S813" s="4"/>
    </row>
    <row r="814" spans="1:19" ht="21" customHeight="1" x14ac:dyDescent="0.25">
      <c r="A814" s="14">
        <f>DATE(2012,12,31)-316</f>
        <v>40958</v>
      </c>
      <c r="B814" s="15" t="s">
        <v>768</v>
      </c>
      <c r="C814" s="15" t="s">
        <v>43</v>
      </c>
      <c r="D814" s="16">
        <v>12</v>
      </c>
      <c r="E814" s="17">
        <v>56.73</v>
      </c>
      <c r="F814" s="16">
        <v>0.09</v>
      </c>
      <c r="G814" s="15" t="s">
        <v>32</v>
      </c>
      <c r="H814" s="18">
        <v>8.33</v>
      </c>
      <c r="I814" s="19">
        <v>4.84</v>
      </c>
      <c r="J814" s="19">
        <v>0.71</v>
      </c>
      <c r="K814" s="19" t="s">
        <v>69</v>
      </c>
      <c r="L814" s="19" t="s">
        <v>75</v>
      </c>
      <c r="M814" s="15" t="s">
        <v>76</v>
      </c>
      <c r="N814" s="15" t="s">
        <v>36</v>
      </c>
      <c r="O814" s="15" t="s">
        <v>77</v>
      </c>
      <c r="P814" s="20" t="s">
        <v>901</v>
      </c>
      <c r="Q814" s="15" t="s">
        <v>79</v>
      </c>
      <c r="R814" s="4"/>
      <c r="S814" s="4"/>
    </row>
    <row r="815" spans="1:19" ht="21" customHeight="1" x14ac:dyDescent="0.25">
      <c r="A815" s="14">
        <f>DATE(2012,12,31)-771</f>
        <v>40503</v>
      </c>
      <c r="B815" s="15" t="s">
        <v>1099</v>
      </c>
      <c r="C815" s="15" t="s">
        <v>85</v>
      </c>
      <c r="D815" s="16">
        <v>40</v>
      </c>
      <c r="E815" s="17">
        <v>933.21</v>
      </c>
      <c r="F815" s="16">
        <v>0.05</v>
      </c>
      <c r="G815" s="15" t="s">
        <v>32</v>
      </c>
      <c r="H815" s="18">
        <v>207.18</v>
      </c>
      <c r="I815" s="19">
        <v>22.98</v>
      </c>
      <c r="J815" s="19">
        <v>7.58</v>
      </c>
      <c r="K815" s="19" t="s">
        <v>69</v>
      </c>
      <c r="L815" s="19" t="s">
        <v>215</v>
      </c>
      <c r="M815" s="15" t="s">
        <v>828</v>
      </c>
      <c r="N815" s="15" t="s">
        <v>54</v>
      </c>
      <c r="O815" s="15" t="s">
        <v>55</v>
      </c>
      <c r="P815" s="20" t="s">
        <v>579</v>
      </c>
      <c r="Q815" s="15" t="s">
        <v>83</v>
      </c>
      <c r="R815" s="4"/>
      <c r="S815" s="4"/>
    </row>
    <row r="816" spans="1:19" ht="21" customHeight="1" x14ac:dyDescent="0.25">
      <c r="A816" s="14">
        <f>DATE(2012,12,31)-58</f>
        <v>41216</v>
      </c>
      <c r="B816" s="15" t="s">
        <v>1100</v>
      </c>
      <c r="C816" s="15" t="s">
        <v>51</v>
      </c>
      <c r="D816" s="16">
        <v>42</v>
      </c>
      <c r="E816" s="17">
        <v>813.53499999999997</v>
      </c>
      <c r="F816" s="16">
        <v>0</v>
      </c>
      <c r="G816" s="15" t="s">
        <v>101</v>
      </c>
      <c r="H816" s="18">
        <v>435.95099999999996</v>
      </c>
      <c r="I816" s="19">
        <v>20.99</v>
      </c>
      <c r="J816" s="19">
        <v>0.99</v>
      </c>
      <c r="K816" s="19" t="s">
        <v>111</v>
      </c>
      <c r="L816" s="19" t="s">
        <v>112</v>
      </c>
      <c r="M816" s="15" t="s">
        <v>1009</v>
      </c>
      <c r="N816" s="15" t="s">
        <v>64</v>
      </c>
      <c r="O816" s="15" t="s">
        <v>65</v>
      </c>
      <c r="P816" s="20" t="s">
        <v>1101</v>
      </c>
      <c r="Q816" s="15" t="s">
        <v>79</v>
      </c>
      <c r="R816" s="4"/>
      <c r="S816" s="4"/>
    </row>
    <row r="817" spans="1:19" ht="21" customHeight="1" x14ac:dyDescent="0.25">
      <c r="A817" s="14">
        <f>DATE(2012,12,31)-3</f>
        <v>41271</v>
      </c>
      <c r="B817" s="15" t="s">
        <v>245</v>
      </c>
      <c r="C817" s="15" t="s">
        <v>85</v>
      </c>
      <c r="D817" s="16">
        <v>2</v>
      </c>
      <c r="E817" s="17">
        <v>44.45</v>
      </c>
      <c r="F817" s="16">
        <v>0.01</v>
      </c>
      <c r="G817" s="15" t="s">
        <v>32</v>
      </c>
      <c r="H817" s="18">
        <v>-17.457000000000001</v>
      </c>
      <c r="I817" s="19">
        <v>20.98</v>
      </c>
      <c r="J817" s="19">
        <v>1.49</v>
      </c>
      <c r="K817" s="19" t="s">
        <v>111</v>
      </c>
      <c r="L817" s="19" t="s">
        <v>442</v>
      </c>
      <c r="M817" s="15" t="s">
        <v>443</v>
      </c>
      <c r="N817" s="15" t="s">
        <v>36</v>
      </c>
      <c r="O817" s="15" t="s">
        <v>170</v>
      </c>
      <c r="P817" s="20" t="s">
        <v>1102</v>
      </c>
      <c r="Q817" s="15" t="s">
        <v>83</v>
      </c>
      <c r="R817" s="4"/>
      <c r="S817" s="4"/>
    </row>
    <row r="818" spans="1:19" ht="21" customHeight="1" x14ac:dyDescent="0.25">
      <c r="A818" s="14">
        <f>DATE(2012,12,31)-1237</f>
        <v>40037</v>
      </c>
      <c r="B818" s="15" t="s">
        <v>1103</v>
      </c>
      <c r="C818" s="15" t="s">
        <v>51</v>
      </c>
      <c r="D818" s="16">
        <v>7</v>
      </c>
      <c r="E818" s="17">
        <v>384.33</v>
      </c>
      <c r="F818" s="16">
        <v>0.1</v>
      </c>
      <c r="G818" s="15" t="s">
        <v>32</v>
      </c>
      <c r="H818" s="18">
        <v>87.677499999999995</v>
      </c>
      <c r="I818" s="19">
        <v>58.1</v>
      </c>
      <c r="J818" s="19">
        <v>1.49</v>
      </c>
      <c r="K818" s="19" t="s">
        <v>44</v>
      </c>
      <c r="L818" s="19" t="s">
        <v>80</v>
      </c>
      <c r="M818" s="15" t="s">
        <v>991</v>
      </c>
      <c r="N818" s="15" t="s">
        <v>36</v>
      </c>
      <c r="O818" s="15" t="s">
        <v>170</v>
      </c>
      <c r="P818" s="20" t="s">
        <v>1104</v>
      </c>
      <c r="Q818" s="15" t="s">
        <v>83</v>
      </c>
      <c r="R818" s="4"/>
      <c r="S818" s="4"/>
    </row>
    <row r="819" spans="1:19" ht="21" customHeight="1" x14ac:dyDescent="0.25">
      <c r="A819" s="14">
        <f>DATE(2012,12,31)-1237</f>
        <v>40037</v>
      </c>
      <c r="B819" s="15" t="s">
        <v>1103</v>
      </c>
      <c r="C819" s="15" t="s">
        <v>51</v>
      </c>
      <c r="D819" s="16">
        <v>3</v>
      </c>
      <c r="E819" s="17">
        <v>239.03</v>
      </c>
      <c r="F819" s="16">
        <v>0.01</v>
      </c>
      <c r="G819" s="15" t="s">
        <v>32</v>
      </c>
      <c r="H819" s="18">
        <v>-68.22</v>
      </c>
      <c r="I819" s="19">
        <v>80.48</v>
      </c>
      <c r="J819" s="19">
        <v>4.5</v>
      </c>
      <c r="K819" s="19" t="s">
        <v>44</v>
      </c>
      <c r="L819" s="19" t="s">
        <v>80</v>
      </c>
      <c r="M819" s="15" t="s">
        <v>991</v>
      </c>
      <c r="N819" s="15" t="s">
        <v>36</v>
      </c>
      <c r="O819" s="15" t="s">
        <v>176</v>
      </c>
      <c r="P819" s="20" t="s">
        <v>1105</v>
      </c>
      <c r="Q819" s="15" t="s">
        <v>83</v>
      </c>
      <c r="R819" s="4"/>
      <c r="S819" s="4"/>
    </row>
    <row r="820" spans="1:19" ht="21" customHeight="1" x14ac:dyDescent="0.25">
      <c r="A820" s="14">
        <f>DATE(2012,12,31)-1138</f>
        <v>40136</v>
      </c>
      <c r="B820" s="15" t="s">
        <v>1106</v>
      </c>
      <c r="C820" s="15" t="s">
        <v>51</v>
      </c>
      <c r="D820" s="16">
        <v>4</v>
      </c>
      <c r="E820" s="17">
        <v>582.59</v>
      </c>
      <c r="F820" s="16">
        <v>7.0000000000000007E-2</v>
      </c>
      <c r="G820" s="15" t="s">
        <v>32</v>
      </c>
      <c r="H820" s="18">
        <v>-121.75</v>
      </c>
      <c r="I820" s="19">
        <v>155.06</v>
      </c>
      <c r="J820" s="19">
        <v>7.07</v>
      </c>
      <c r="K820" s="19" t="s">
        <v>44</v>
      </c>
      <c r="L820" s="19" t="s">
        <v>89</v>
      </c>
      <c r="M820" s="15" t="s">
        <v>734</v>
      </c>
      <c r="N820" s="15" t="s">
        <v>36</v>
      </c>
      <c r="O820" s="15" t="s">
        <v>37</v>
      </c>
      <c r="P820" s="20" t="s">
        <v>1107</v>
      </c>
      <c r="Q820" s="15" t="s">
        <v>83</v>
      </c>
      <c r="R820" s="4"/>
      <c r="S820" s="4"/>
    </row>
    <row r="821" spans="1:19" ht="21" customHeight="1" x14ac:dyDescent="0.25">
      <c r="A821" s="14">
        <f>DATE(2012,12,31)-1365</f>
        <v>39909</v>
      </c>
      <c r="B821" s="15" t="s">
        <v>1108</v>
      </c>
      <c r="C821" s="15" t="s">
        <v>31</v>
      </c>
      <c r="D821" s="16">
        <v>27</v>
      </c>
      <c r="E821" s="17">
        <v>384.74</v>
      </c>
      <c r="F821" s="16">
        <v>0.01</v>
      </c>
      <c r="G821" s="15" t="s">
        <v>101</v>
      </c>
      <c r="H821" s="18">
        <v>2.69</v>
      </c>
      <c r="I821" s="19">
        <v>13.43</v>
      </c>
      <c r="J821" s="19">
        <v>5.5</v>
      </c>
      <c r="K821" s="19" t="s">
        <v>44</v>
      </c>
      <c r="L821" s="19" t="s">
        <v>120</v>
      </c>
      <c r="M821" s="15" t="s">
        <v>121</v>
      </c>
      <c r="N821" s="15" t="s">
        <v>36</v>
      </c>
      <c r="O821" s="15" t="s">
        <v>37</v>
      </c>
      <c r="P821" s="20" t="s">
        <v>1109</v>
      </c>
      <c r="Q821" s="15" t="s">
        <v>83</v>
      </c>
      <c r="R821" s="4"/>
      <c r="S821" s="4"/>
    </row>
    <row r="822" spans="1:19" ht="21" customHeight="1" x14ac:dyDescent="0.25">
      <c r="A822" s="14">
        <f>DATE(2012,12,31)-415</f>
        <v>40859</v>
      </c>
      <c r="B822" s="15" t="s">
        <v>1110</v>
      </c>
      <c r="C822" s="15" t="s">
        <v>31</v>
      </c>
      <c r="D822" s="16">
        <v>44</v>
      </c>
      <c r="E822" s="17">
        <v>3922.42</v>
      </c>
      <c r="F822" s="16">
        <v>0.08</v>
      </c>
      <c r="G822" s="15" t="s">
        <v>32</v>
      </c>
      <c r="H822" s="18">
        <v>-354.9</v>
      </c>
      <c r="I822" s="19">
        <v>92.23</v>
      </c>
      <c r="J822" s="19">
        <v>39.61</v>
      </c>
      <c r="K822" s="19" t="s">
        <v>44</v>
      </c>
      <c r="L822" s="19" t="s">
        <v>120</v>
      </c>
      <c r="M822" s="15" t="s">
        <v>121</v>
      </c>
      <c r="N822" s="15" t="s">
        <v>54</v>
      </c>
      <c r="O822" s="15" t="s">
        <v>55</v>
      </c>
      <c r="P822" s="20" t="s">
        <v>1111</v>
      </c>
      <c r="Q822" s="15" t="s">
        <v>57</v>
      </c>
      <c r="R822" s="4"/>
      <c r="S822" s="4"/>
    </row>
    <row r="823" spans="1:19" ht="21" customHeight="1" x14ac:dyDescent="0.25">
      <c r="A823" s="14">
        <f>DATE(2012,12,31)-415</f>
        <v>40859</v>
      </c>
      <c r="B823" s="15" t="s">
        <v>1110</v>
      </c>
      <c r="C823" s="15" t="s">
        <v>31</v>
      </c>
      <c r="D823" s="16">
        <v>25</v>
      </c>
      <c r="E823" s="17">
        <v>1733.3625</v>
      </c>
      <c r="F823" s="16">
        <v>7.0000000000000007E-2</v>
      </c>
      <c r="G823" s="15" t="s">
        <v>32</v>
      </c>
      <c r="H823" s="18">
        <v>-267.01400000000001</v>
      </c>
      <c r="I823" s="19">
        <v>85.99</v>
      </c>
      <c r="J823" s="19">
        <v>0.99</v>
      </c>
      <c r="K823" s="19" t="s">
        <v>44</v>
      </c>
      <c r="L823" s="19" t="s">
        <v>120</v>
      </c>
      <c r="M823" s="15" t="s">
        <v>121</v>
      </c>
      <c r="N823" s="15" t="s">
        <v>64</v>
      </c>
      <c r="O823" s="15" t="s">
        <v>65</v>
      </c>
      <c r="P823" s="20" t="s">
        <v>213</v>
      </c>
      <c r="Q823" s="15" t="s">
        <v>79</v>
      </c>
      <c r="R823" s="4"/>
      <c r="S823" s="4"/>
    </row>
    <row r="824" spans="1:19" ht="21" customHeight="1" x14ac:dyDescent="0.25">
      <c r="A824" s="14">
        <f>DATE(2012,12,31)-29</f>
        <v>41245</v>
      </c>
      <c r="B824" s="15" t="s">
        <v>831</v>
      </c>
      <c r="C824" s="15" t="s">
        <v>85</v>
      </c>
      <c r="D824" s="16">
        <v>32</v>
      </c>
      <c r="E824" s="17">
        <v>18316.3</v>
      </c>
      <c r="F824" s="16">
        <v>0.06</v>
      </c>
      <c r="G824" s="15" t="s">
        <v>58</v>
      </c>
      <c r="H824" s="18">
        <v>4569.0600000000004</v>
      </c>
      <c r="I824" s="19">
        <v>596.98</v>
      </c>
      <c r="J824" s="19">
        <v>14.7</v>
      </c>
      <c r="K824" s="19" t="s">
        <v>44</v>
      </c>
      <c r="L824" s="19" t="s">
        <v>89</v>
      </c>
      <c r="M824" s="15" t="s">
        <v>734</v>
      </c>
      <c r="N824" s="15" t="s">
        <v>64</v>
      </c>
      <c r="O824" s="15" t="s">
        <v>122</v>
      </c>
      <c r="P824" s="20" t="s">
        <v>1112</v>
      </c>
      <c r="Q824" s="15" t="s">
        <v>181</v>
      </c>
      <c r="R824" s="4"/>
      <c r="S824" s="4"/>
    </row>
    <row r="825" spans="1:19" ht="21" customHeight="1" x14ac:dyDescent="0.25">
      <c r="A825" s="14">
        <f>DATE(2012,12,31)-736</f>
        <v>40538</v>
      </c>
      <c r="B825" s="15" t="s">
        <v>401</v>
      </c>
      <c r="C825" s="15" t="s">
        <v>51</v>
      </c>
      <c r="D825" s="16">
        <v>15</v>
      </c>
      <c r="E825" s="17">
        <v>68.319999999999993</v>
      </c>
      <c r="F825" s="16">
        <v>0.05</v>
      </c>
      <c r="G825" s="15" t="s">
        <v>32</v>
      </c>
      <c r="H825" s="18">
        <v>-66.72</v>
      </c>
      <c r="I825" s="19">
        <v>4.28</v>
      </c>
      <c r="J825" s="19">
        <v>6.72</v>
      </c>
      <c r="K825" s="19" t="s">
        <v>44</v>
      </c>
      <c r="L825" s="19" t="s">
        <v>120</v>
      </c>
      <c r="M825" s="15" t="s">
        <v>121</v>
      </c>
      <c r="N825" s="15" t="s">
        <v>36</v>
      </c>
      <c r="O825" s="15" t="s">
        <v>117</v>
      </c>
      <c r="P825" s="20" t="s">
        <v>792</v>
      </c>
      <c r="Q825" s="15" t="s">
        <v>83</v>
      </c>
      <c r="R825" s="4"/>
      <c r="S825" s="4"/>
    </row>
    <row r="826" spans="1:19" ht="21" customHeight="1" x14ac:dyDescent="0.25">
      <c r="A826" s="14">
        <f>DATE(2012,12,31)-736</f>
        <v>40538</v>
      </c>
      <c r="B826" s="15" t="s">
        <v>401</v>
      </c>
      <c r="C826" s="15" t="s">
        <v>51</v>
      </c>
      <c r="D826" s="16">
        <v>3</v>
      </c>
      <c r="E826" s="17">
        <v>536.38</v>
      </c>
      <c r="F826" s="16">
        <v>0.03</v>
      </c>
      <c r="G826" s="15" t="s">
        <v>58</v>
      </c>
      <c r="H826" s="18">
        <v>-258.8</v>
      </c>
      <c r="I826" s="19">
        <v>150.97999999999999</v>
      </c>
      <c r="J826" s="19">
        <v>66.27</v>
      </c>
      <c r="K826" s="19" t="s">
        <v>33</v>
      </c>
      <c r="L826" s="19" t="s">
        <v>128</v>
      </c>
      <c r="M826" s="15" t="s">
        <v>129</v>
      </c>
      <c r="N826" s="15" t="s">
        <v>54</v>
      </c>
      <c r="O826" s="15" t="s">
        <v>134</v>
      </c>
      <c r="P826" s="20" t="s">
        <v>1113</v>
      </c>
      <c r="Q826" s="15" t="s">
        <v>63</v>
      </c>
      <c r="R826" s="4"/>
      <c r="S826" s="4"/>
    </row>
    <row r="827" spans="1:19" ht="21" customHeight="1" x14ac:dyDescent="0.25">
      <c r="A827" s="14">
        <f>DATE(2012,12,31)-736</f>
        <v>40538</v>
      </c>
      <c r="B827" s="15" t="s">
        <v>401</v>
      </c>
      <c r="C827" s="15" t="s">
        <v>51</v>
      </c>
      <c r="D827" s="16">
        <v>23</v>
      </c>
      <c r="E827" s="17">
        <v>391.87549999999999</v>
      </c>
      <c r="F827" s="16">
        <v>0.1</v>
      </c>
      <c r="G827" s="15" t="s">
        <v>32</v>
      </c>
      <c r="H827" s="18">
        <v>-38.016000000000005</v>
      </c>
      <c r="I827" s="19">
        <v>20.99</v>
      </c>
      <c r="J827" s="19">
        <v>4.8099999999999996</v>
      </c>
      <c r="K827" s="19" t="s">
        <v>97</v>
      </c>
      <c r="L827" s="19" t="s">
        <v>283</v>
      </c>
      <c r="M827" s="15" t="s">
        <v>284</v>
      </c>
      <c r="N827" s="15" t="s">
        <v>64</v>
      </c>
      <c r="O827" s="15" t="s">
        <v>65</v>
      </c>
      <c r="P827" s="20" t="s">
        <v>654</v>
      </c>
      <c r="Q827" s="15" t="s">
        <v>57</v>
      </c>
      <c r="R827" s="4"/>
      <c r="S827" s="4"/>
    </row>
    <row r="828" spans="1:19" ht="21" customHeight="1" x14ac:dyDescent="0.25">
      <c r="A828" s="14">
        <f>DATE(2012,12,31)-473</f>
        <v>40801</v>
      </c>
      <c r="B828" s="15" t="s">
        <v>1007</v>
      </c>
      <c r="C828" s="15" t="s">
        <v>85</v>
      </c>
      <c r="D828" s="16">
        <v>3</v>
      </c>
      <c r="E828" s="17">
        <v>2036.97</v>
      </c>
      <c r="F828" s="16">
        <v>0.03</v>
      </c>
      <c r="G828" s="15" t="s">
        <v>32</v>
      </c>
      <c r="H828" s="18">
        <v>-2397.44</v>
      </c>
      <c r="I828" s="19">
        <v>699.99</v>
      </c>
      <c r="J828" s="19">
        <v>24.49</v>
      </c>
      <c r="K828" s="19" t="s">
        <v>124</v>
      </c>
      <c r="L828" s="19" t="s">
        <v>160</v>
      </c>
      <c r="M828" s="15" t="s">
        <v>888</v>
      </c>
      <c r="N828" s="15" t="s">
        <v>64</v>
      </c>
      <c r="O828" s="15" t="s">
        <v>460</v>
      </c>
      <c r="P828" s="20" t="s">
        <v>461</v>
      </c>
      <c r="Q828" s="15" t="s">
        <v>39</v>
      </c>
      <c r="R828" s="4"/>
      <c r="S828" s="4"/>
    </row>
    <row r="829" spans="1:19" ht="21" customHeight="1" x14ac:dyDescent="0.25">
      <c r="A829" s="14">
        <f>DATE(2012,12,31)-473</f>
        <v>40801</v>
      </c>
      <c r="B829" s="15" t="s">
        <v>1007</v>
      </c>
      <c r="C829" s="15" t="s">
        <v>85</v>
      </c>
      <c r="D829" s="16">
        <v>21</v>
      </c>
      <c r="E829" s="17">
        <v>2629.6640000000002</v>
      </c>
      <c r="F829" s="16">
        <v>0.09</v>
      </c>
      <c r="G829" s="15" t="s">
        <v>58</v>
      </c>
      <c r="H829" s="18">
        <v>27.74</v>
      </c>
      <c r="I829" s="19">
        <v>159.31</v>
      </c>
      <c r="J829" s="19">
        <v>60</v>
      </c>
      <c r="K829" s="19" t="s">
        <v>124</v>
      </c>
      <c r="L829" s="19" t="s">
        <v>160</v>
      </c>
      <c r="M829" s="15" t="s">
        <v>888</v>
      </c>
      <c r="N829" s="15" t="s">
        <v>54</v>
      </c>
      <c r="O829" s="15" t="s">
        <v>61</v>
      </c>
      <c r="P829" s="20" t="s">
        <v>679</v>
      </c>
      <c r="Q829" s="15" t="s">
        <v>181</v>
      </c>
      <c r="R829" s="4"/>
      <c r="S829" s="4"/>
    </row>
    <row r="830" spans="1:19" ht="21" customHeight="1" x14ac:dyDescent="0.25">
      <c r="A830" s="14">
        <f>DATE(2012,12,31)-1293</f>
        <v>39981</v>
      </c>
      <c r="B830" s="15" t="s">
        <v>630</v>
      </c>
      <c r="C830" s="15" t="s">
        <v>31</v>
      </c>
      <c r="D830" s="16">
        <v>37</v>
      </c>
      <c r="E830" s="17">
        <v>394.62</v>
      </c>
      <c r="F830" s="16">
        <v>0.06</v>
      </c>
      <c r="G830" s="15" t="s">
        <v>32</v>
      </c>
      <c r="H830" s="18">
        <v>-31.39</v>
      </c>
      <c r="I830" s="19">
        <v>10.89</v>
      </c>
      <c r="J830" s="19">
        <v>4.5</v>
      </c>
      <c r="K830" s="19" t="s">
        <v>124</v>
      </c>
      <c r="L830" s="19" t="s">
        <v>160</v>
      </c>
      <c r="M830" s="15" t="s">
        <v>888</v>
      </c>
      <c r="N830" s="15" t="s">
        <v>36</v>
      </c>
      <c r="O830" s="15" t="s">
        <v>176</v>
      </c>
      <c r="P830" s="20" t="s">
        <v>250</v>
      </c>
      <c r="Q830" s="15" t="s">
        <v>83</v>
      </c>
      <c r="R830" s="4"/>
      <c r="S830" s="4"/>
    </row>
    <row r="831" spans="1:19" ht="21" customHeight="1" x14ac:dyDescent="0.25">
      <c r="A831" s="14">
        <f>DATE(2012,12,31)-1293</f>
        <v>39981</v>
      </c>
      <c r="B831" s="15" t="s">
        <v>630</v>
      </c>
      <c r="C831" s="15" t="s">
        <v>31</v>
      </c>
      <c r="D831" s="16">
        <v>42</v>
      </c>
      <c r="E831" s="17">
        <v>464.64</v>
      </c>
      <c r="F831" s="16">
        <v>0.03</v>
      </c>
      <c r="G831" s="15" t="s">
        <v>32</v>
      </c>
      <c r="H831" s="18">
        <v>14.48</v>
      </c>
      <c r="I831" s="19">
        <v>10.64</v>
      </c>
      <c r="J831" s="19">
        <v>5.16</v>
      </c>
      <c r="K831" s="19" t="s">
        <v>124</v>
      </c>
      <c r="L831" s="19" t="s">
        <v>319</v>
      </c>
      <c r="M831" s="15" t="s">
        <v>320</v>
      </c>
      <c r="N831" s="15" t="s">
        <v>54</v>
      </c>
      <c r="O831" s="15" t="s">
        <v>55</v>
      </c>
      <c r="P831" s="20" t="s">
        <v>607</v>
      </c>
      <c r="Q831" s="15" t="s">
        <v>83</v>
      </c>
      <c r="R831" s="4"/>
      <c r="S831" s="4"/>
    </row>
    <row r="832" spans="1:19" ht="21" customHeight="1" x14ac:dyDescent="0.25">
      <c r="A832" s="14">
        <f>DATE(2012,12,31)-1293</f>
        <v>39981</v>
      </c>
      <c r="B832" s="15" t="s">
        <v>630</v>
      </c>
      <c r="C832" s="15" t="s">
        <v>31</v>
      </c>
      <c r="D832" s="16">
        <v>11</v>
      </c>
      <c r="E832" s="17">
        <v>96.68</v>
      </c>
      <c r="F832" s="16">
        <v>0.03</v>
      </c>
      <c r="G832" s="15" t="s">
        <v>32</v>
      </c>
      <c r="H832" s="18">
        <v>22.25</v>
      </c>
      <c r="I832" s="19">
        <v>7.96</v>
      </c>
      <c r="J832" s="19">
        <v>4.95</v>
      </c>
      <c r="K832" s="19" t="s">
        <v>124</v>
      </c>
      <c r="L832" s="19" t="s">
        <v>319</v>
      </c>
      <c r="M832" s="15" t="s">
        <v>320</v>
      </c>
      <c r="N832" s="15" t="s">
        <v>54</v>
      </c>
      <c r="O832" s="15" t="s">
        <v>55</v>
      </c>
      <c r="P832" s="20" t="s">
        <v>1114</v>
      </c>
      <c r="Q832" s="15" t="s">
        <v>83</v>
      </c>
      <c r="R832" s="4"/>
      <c r="S832" s="4"/>
    </row>
    <row r="833" spans="1:19" ht="21" customHeight="1" x14ac:dyDescent="0.25">
      <c r="A833" s="14">
        <f>DATE(2012,12,31)-254</f>
        <v>41020</v>
      </c>
      <c r="B833" s="15" t="s">
        <v>1115</v>
      </c>
      <c r="C833" s="15" t="s">
        <v>51</v>
      </c>
      <c r="D833" s="16">
        <v>48</v>
      </c>
      <c r="E833" s="17">
        <v>5556.18</v>
      </c>
      <c r="F833" s="16">
        <v>0.08</v>
      </c>
      <c r="G833" s="15" t="s">
        <v>32</v>
      </c>
      <c r="H833" s="18">
        <v>1638.48</v>
      </c>
      <c r="I833" s="19">
        <v>120.98</v>
      </c>
      <c r="J833" s="19">
        <v>3.99</v>
      </c>
      <c r="K833" s="19" t="s">
        <v>44</v>
      </c>
      <c r="L833" s="19" t="s">
        <v>52</v>
      </c>
      <c r="M833" s="15" t="s">
        <v>1029</v>
      </c>
      <c r="N833" s="15" t="s">
        <v>36</v>
      </c>
      <c r="O833" s="15" t="s">
        <v>176</v>
      </c>
      <c r="P833" s="20" t="s">
        <v>1116</v>
      </c>
      <c r="Q833" s="15" t="s">
        <v>83</v>
      </c>
      <c r="R833" s="4"/>
      <c r="S833" s="4"/>
    </row>
    <row r="834" spans="1:19" ht="21" customHeight="1" x14ac:dyDescent="0.25">
      <c r="A834" s="14">
        <f>DATE(2012,12,31)-254</f>
        <v>41020</v>
      </c>
      <c r="B834" s="15" t="s">
        <v>1115</v>
      </c>
      <c r="C834" s="15" t="s">
        <v>51</v>
      </c>
      <c r="D834" s="16">
        <v>20</v>
      </c>
      <c r="E834" s="17">
        <v>1021.55</v>
      </c>
      <c r="F834" s="16">
        <v>0.05</v>
      </c>
      <c r="G834" s="15" t="s">
        <v>58</v>
      </c>
      <c r="H834" s="18">
        <v>64.81</v>
      </c>
      <c r="I834" s="19">
        <v>50.98</v>
      </c>
      <c r="J834" s="19">
        <v>14.19</v>
      </c>
      <c r="K834" s="19" t="s">
        <v>44</v>
      </c>
      <c r="L834" s="19" t="s">
        <v>52</v>
      </c>
      <c r="M834" s="15" t="s">
        <v>1029</v>
      </c>
      <c r="N834" s="15" t="s">
        <v>54</v>
      </c>
      <c r="O834" s="15" t="s">
        <v>252</v>
      </c>
      <c r="P834" s="20" t="s">
        <v>1117</v>
      </c>
      <c r="Q834" s="15" t="s">
        <v>181</v>
      </c>
      <c r="R834" s="4"/>
      <c r="S834" s="4"/>
    </row>
    <row r="835" spans="1:19" ht="21" customHeight="1" x14ac:dyDescent="0.25">
      <c r="A835" s="14">
        <f>DATE(2012,12,31)-254</f>
        <v>41020</v>
      </c>
      <c r="B835" s="15" t="s">
        <v>1115</v>
      </c>
      <c r="C835" s="15" t="s">
        <v>51</v>
      </c>
      <c r="D835" s="16">
        <v>41</v>
      </c>
      <c r="E835" s="17">
        <v>205.24</v>
      </c>
      <c r="F835" s="16">
        <v>0.03</v>
      </c>
      <c r="G835" s="15" t="s">
        <v>32</v>
      </c>
      <c r="H835" s="18">
        <v>-148.77000000000001</v>
      </c>
      <c r="I835" s="19">
        <v>4.8899999999999997</v>
      </c>
      <c r="J835" s="19">
        <v>4.93</v>
      </c>
      <c r="K835" s="19" t="s">
        <v>44</v>
      </c>
      <c r="L835" s="19" t="s">
        <v>80</v>
      </c>
      <c r="M835" s="15" t="s">
        <v>991</v>
      </c>
      <c r="N835" s="15" t="s">
        <v>64</v>
      </c>
      <c r="O835" s="15" t="s">
        <v>72</v>
      </c>
      <c r="P835" s="20" t="s">
        <v>480</v>
      </c>
      <c r="Q835" s="15" t="s">
        <v>49</v>
      </c>
      <c r="R835" s="4"/>
      <c r="S835" s="4"/>
    </row>
    <row r="836" spans="1:19" ht="21" customHeight="1" x14ac:dyDescent="0.25">
      <c r="A836" s="14">
        <f>DATE(2012,12,31)-771</f>
        <v>40503</v>
      </c>
      <c r="B836" s="15" t="s">
        <v>194</v>
      </c>
      <c r="C836" s="15" t="s">
        <v>43</v>
      </c>
      <c r="D836" s="16">
        <v>40</v>
      </c>
      <c r="E836" s="17">
        <v>19109.61</v>
      </c>
      <c r="F836" s="16">
        <v>0.1</v>
      </c>
      <c r="G836" s="15" t="s">
        <v>101</v>
      </c>
      <c r="H836" s="18">
        <v>-379.29</v>
      </c>
      <c r="I836" s="19">
        <v>499.99</v>
      </c>
      <c r="J836" s="19">
        <v>24.49</v>
      </c>
      <c r="K836" s="19" t="s">
        <v>44</v>
      </c>
      <c r="L836" s="19" t="s">
        <v>80</v>
      </c>
      <c r="M836" s="15" t="s">
        <v>991</v>
      </c>
      <c r="N836" s="15" t="s">
        <v>64</v>
      </c>
      <c r="O836" s="15" t="s">
        <v>460</v>
      </c>
      <c r="P836" s="20" t="s">
        <v>1118</v>
      </c>
      <c r="Q836" s="15" t="s">
        <v>39</v>
      </c>
      <c r="R836" s="4"/>
      <c r="S836" s="4"/>
    </row>
    <row r="837" spans="1:19" ht="21" customHeight="1" x14ac:dyDescent="0.25">
      <c r="A837" s="14">
        <f>DATE(2012,12,31)-444</f>
        <v>40830</v>
      </c>
      <c r="B837" s="15" t="s">
        <v>1119</v>
      </c>
      <c r="C837" s="15" t="s">
        <v>85</v>
      </c>
      <c r="D837" s="16">
        <v>6</v>
      </c>
      <c r="E837" s="17">
        <v>155.47999999999999</v>
      </c>
      <c r="F837" s="16">
        <v>0.1</v>
      </c>
      <c r="G837" s="15" t="s">
        <v>32</v>
      </c>
      <c r="H837" s="18">
        <v>-6.64</v>
      </c>
      <c r="I837" s="19">
        <v>25.98</v>
      </c>
      <c r="J837" s="19">
        <v>5.37</v>
      </c>
      <c r="K837" s="19" t="s">
        <v>44</v>
      </c>
      <c r="L837" s="19" t="s">
        <v>52</v>
      </c>
      <c r="M837" s="15" t="s">
        <v>1029</v>
      </c>
      <c r="N837" s="15" t="s">
        <v>36</v>
      </c>
      <c r="O837" s="15" t="s">
        <v>176</v>
      </c>
      <c r="P837" s="20" t="s">
        <v>1120</v>
      </c>
      <c r="Q837" s="15" t="s">
        <v>57</v>
      </c>
      <c r="R837" s="4"/>
      <c r="S837" s="4"/>
    </row>
    <row r="838" spans="1:19" ht="21" customHeight="1" x14ac:dyDescent="0.25">
      <c r="A838" s="14">
        <f>DATE(2012,12,31)-444</f>
        <v>40830</v>
      </c>
      <c r="B838" s="15" t="s">
        <v>1119</v>
      </c>
      <c r="C838" s="15" t="s">
        <v>85</v>
      </c>
      <c r="D838" s="16">
        <v>21</v>
      </c>
      <c r="E838" s="17">
        <v>56.77</v>
      </c>
      <c r="F838" s="16">
        <v>0.06</v>
      </c>
      <c r="G838" s="15" t="s">
        <v>32</v>
      </c>
      <c r="H838" s="18">
        <v>-3.2</v>
      </c>
      <c r="I838" s="19">
        <v>2.78</v>
      </c>
      <c r="J838" s="19">
        <v>1.34</v>
      </c>
      <c r="K838" s="19" t="s">
        <v>44</v>
      </c>
      <c r="L838" s="19" t="s">
        <v>236</v>
      </c>
      <c r="M838" s="15" t="s">
        <v>237</v>
      </c>
      <c r="N838" s="15" t="s">
        <v>36</v>
      </c>
      <c r="O838" s="15" t="s">
        <v>77</v>
      </c>
      <c r="P838" s="20" t="s">
        <v>422</v>
      </c>
      <c r="Q838" s="15" t="s">
        <v>79</v>
      </c>
      <c r="R838" s="4"/>
      <c r="S838" s="4"/>
    </row>
    <row r="839" spans="1:19" ht="21" customHeight="1" x14ac:dyDescent="0.25">
      <c r="A839" s="14">
        <f>DATE(2012,12,31)-999</f>
        <v>40275</v>
      </c>
      <c r="B839" s="15" t="s">
        <v>1121</v>
      </c>
      <c r="C839" s="15" t="s">
        <v>85</v>
      </c>
      <c r="D839" s="16">
        <v>9</v>
      </c>
      <c r="E839" s="17">
        <v>63.91</v>
      </c>
      <c r="F839" s="16">
        <v>0.06</v>
      </c>
      <c r="G839" s="15" t="s">
        <v>32</v>
      </c>
      <c r="H839" s="18">
        <v>-27.78</v>
      </c>
      <c r="I839" s="19">
        <v>6.48</v>
      </c>
      <c r="J839" s="19">
        <v>6.35</v>
      </c>
      <c r="K839" s="19" t="s">
        <v>44</v>
      </c>
      <c r="L839" s="19" t="s">
        <v>52</v>
      </c>
      <c r="M839" s="15" t="s">
        <v>1029</v>
      </c>
      <c r="N839" s="15" t="s">
        <v>36</v>
      </c>
      <c r="O839" s="15" t="s">
        <v>117</v>
      </c>
      <c r="P839" s="20" t="s">
        <v>1122</v>
      </c>
      <c r="Q839" s="15" t="s">
        <v>83</v>
      </c>
      <c r="R839" s="4"/>
      <c r="S839" s="4"/>
    </row>
    <row r="840" spans="1:19" ht="21" customHeight="1" x14ac:dyDescent="0.25">
      <c r="A840" s="14">
        <f>DATE(2012,12,31)-346</f>
        <v>40928</v>
      </c>
      <c r="B840" s="15" t="s">
        <v>1123</v>
      </c>
      <c r="C840" s="15" t="s">
        <v>51</v>
      </c>
      <c r="D840" s="16">
        <v>19</v>
      </c>
      <c r="E840" s="17">
        <v>208.28</v>
      </c>
      <c r="F840" s="16">
        <v>7.0000000000000007E-2</v>
      </c>
      <c r="G840" s="15" t="s">
        <v>32</v>
      </c>
      <c r="H840" s="18">
        <v>3.63</v>
      </c>
      <c r="I840" s="19">
        <v>11.48</v>
      </c>
      <c r="J840" s="19">
        <v>5.43</v>
      </c>
      <c r="K840" s="19" t="s">
        <v>44</v>
      </c>
      <c r="L840" s="19" t="s">
        <v>52</v>
      </c>
      <c r="M840" s="15" t="s">
        <v>1029</v>
      </c>
      <c r="N840" s="15" t="s">
        <v>36</v>
      </c>
      <c r="O840" s="15" t="s">
        <v>117</v>
      </c>
      <c r="P840" s="20" t="s">
        <v>1124</v>
      </c>
      <c r="Q840" s="15" t="s">
        <v>83</v>
      </c>
      <c r="R840" s="4"/>
      <c r="S840" s="4"/>
    </row>
    <row r="841" spans="1:19" ht="21" customHeight="1" x14ac:dyDescent="0.25">
      <c r="A841" s="14">
        <f>DATE(2012,12,31)-135</f>
        <v>41139</v>
      </c>
      <c r="B841" s="15" t="s">
        <v>1125</v>
      </c>
      <c r="C841" s="15" t="s">
        <v>31</v>
      </c>
      <c r="D841" s="16">
        <v>39</v>
      </c>
      <c r="E841" s="17">
        <v>206.09</v>
      </c>
      <c r="F841" s="16">
        <v>0</v>
      </c>
      <c r="G841" s="15" t="s">
        <v>32</v>
      </c>
      <c r="H841" s="18">
        <v>36.04</v>
      </c>
      <c r="I841" s="19">
        <v>5.08</v>
      </c>
      <c r="J841" s="19">
        <v>2.0299999999999998</v>
      </c>
      <c r="K841" s="19" t="s">
        <v>44</v>
      </c>
      <c r="L841" s="19" t="s">
        <v>52</v>
      </c>
      <c r="M841" s="15" t="s">
        <v>1029</v>
      </c>
      <c r="N841" s="15" t="s">
        <v>54</v>
      </c>
      <c r="O841" s="15" t="s">
        <v>55</v>
      </c>
      <c r="P841" s="20" t="s">
        <v>1126</v>
      </c>
      <c r="Q841" s="15" t="s">
        <v>79</v>
      </c>
      <c r="R841" s="4"/>
      <c r="S841" s="4"/>
    </row>
    <row r="842" spans="1:19" ht="21" customHeight="1" x14ac:dyDescent="0.25">
      <c r="A842" s="14">
        <f>DATE(2012,12,31)-135</f>
        <v>41139</v>
      </c>
      <c r="B842" s="15" t="s">
        <v>1125</v>
      </c>
      <c r="C842" s="15" t="s">
        <v>31</v>
      </c>
      <c r="D842" s="16">
        <v>2</v>
      </c>
      <c r="E842" s="17">
        <v>124.25</v>
      </c>
      <c r="F842" s="16">
        <v>7.0000000000000007E-2</v>
      </c>
      <c r="G842" s="15" t="s">
        <v>32</v>
      </c>
      <c r="H842" s="18">
        <v>-55.78</v>
      </c>
      <c r="I842" s="19">
        <v>55.98</v>
      </c>
      <c r="J842" s="19">
        <v>13.88</v>
      </c>
      <c r="K842" s="19" t="s">
        <v>44</v>
      </c>
      <c r="L842" s="19" t="s">
        <v>52</v>
      </c>
      <c r="M842" s="15" t="s">
        <v>1029</v>
      </c>
      <c r="N842" s="15" t="s">
        <v>36</v>
      </c>
      <c r="O842" s="15" t="s">
        <v>117</v>
      </c>
      <c r="P842" s="20" t="s">
        <v>1127</v>
      </c>
      <c r="Q842" s="15" t="s">
        <v>83</v>
      </c>
      <c r="R842" s="4"/>
      <c r="S842" s="4"/>
    </row>
    <row r="843" spans="1:19" ht="21" customHeight="1" x14ac:dyDescent="0.25">
      <c r="A843" s="14">
        <f>DATE(2012,12,31)-1197</f>
        <v>40077</v>
      </c>
      <c r="B843" s="15" t="s">
        <v>1128</v>
      </c>
      <c r="C843" s="15" t="s">
        <v>85</v>
      </c>
      <c r="D843" s="16">
        <v>23</v>
      </c>
      <c r="E843" s="17">
        <v>66.09</v>
      </c>
      <c r="F843" s="16">
        <v>0.09</v>
      </c>
      <c r="G843" s="15" t="s">
        <v>32</v>
      </c>
      <c r="H843" s="18">
        <v>13.71</v>
      </c>
      <c r="I843" s="19">
        <v>2.88</v>
      </c>
      <c r="J843" s="19">
        <v>0.99</v>
      </c>
      <c r="K843" s="19" t="s">
        <v>44</v>
      </c>
      <c r="L843" s="19" t="s">
        <v>89</v>
      </c>
      <c r="M843" s="15" t="s">
        <v>734</v>
      </c>
      <c r="N843" s="15" t="s">
        <v>36</v>
      </c>
      <c r="O843" s="15" t="s">
        <v>114</v>
      </c>
      <c r="P843" s="20" t="s">
        <v>853</v>
      </c>
      <c r="Q843" s="15" t="s">
        <v>83</v>
      </c>
      <c r="R843" s="4"/>
      <c r="S843" s="4"/>
    </row>
    <row r="844" spans="1:19" ht="21" customHeight="1" x14ac:dyDescent="0.25">
      <c r="A844" s="14">
        <f>DATE(2012,12,31)-1009</f>
        <v>40265</v>
      </c>
      <c r="B844" s="15" t="s">
        <v>1129</v>
      </c>
      <c r="C844" s="15" t="s">
        <v>31</v>
      </c>
      <c r="D844" s="16">
        <v>3</v>
      </c>
      <c r="E844" s="17">
        <v>261.94</v>
      </c>
      <c r="F844" s="16">
        <v>0.06</v>
      </c>
      <c r="G844" s="15" t="s">
        <v>58</v>
      </c>
      <c r="H844" s="18">
        <v>-219.77940000000001</v>
      </c>
      <c r="I844" s="19">
        <v>80.97</v>
      </c>
      <c r="J844" s="19">
        <v>33.6</v>
      </c>
      <c r="K844" s="19" t="s">
        <v>69</v>
      </c>
      <c r="L844" s="19" t="s">
        <v>70</v>
      </c>
      <c r="M844" s="15" t="s">
        <v>989</v>
      </c>
      <c r="N844" s="15" t="s">
        <v>64</v>
      </c>
      <c r="O844" s="15" t="s">
        <v>122</v>
      </c>
      <c r="P844" s="20" t="s">
        <v>1130</v>
      </c>
      <c r="Q844" s="15" t="s">
        <v>181</v>
      </c>
      <c r="R844" s="4"/>
      <c r="S844" s="4"/>
    </row>
    <row r="845" spans="1:19" ht="21" customHeight="1" x14ac:dyDescent="0.25">
      <c r="A845" s="14">
        <f>DATE(2012,12,31)-1009</f>
        <v>40265</v>
      </c>
      <c r="B845" s="15" t="s">
        <v>1129</v>
      </c>
      <c r="C845" s="15" t="s">
        <v>31</v>
      </c>
      <c r="D845" s="16">
        <v>47</v>
      </c>
      <c r="E845" s="17">
        <v>9574.82</v>
      </c>
      <c r="F845" s="16">
        <v>0.08</v>
      </c>
      <c r="G845" s="15" t="s">
        <v>32</v>
      </c>
      <c r="H845" s="18">
        <v>-505.98447900000014</v>
      </c>
      <c r="I845" s="19">
        <v>209.37</v>
      </c>
      <c r="J845" s="19">
        <v>69</v>
      </c>
      <c r="K845" s="19" t="s">
        <v>69</v>
      </c>
      <c r="L845" s="19" t="s">
        <v>70</v>
      </c>
      <c r="M845" s="15" t="s">
        <v>989</v>
      </c>
      <c r="N845" s="15" t="s">
        <v>54</v>
      </c>
      <c r="O845" s="15" t="s">
        <v>61</v>
      </c>
      <c r="P845" s="20" t="s">
        <v>1131</v>
      </c>
      <c r="Q845" s="15" t="s">
        <v>39</v>
      </c>
      <c r="R845" s="4"/>
      <c r="S845" s="4"/>
    </row>
    <row r="846" spans="1:19" ht="21" customHeight="1" x14ac:dyDescent="0.25">
      <c r="A846" s="14">
        <f>DATE(2012,12,31)-751</f>
        <v>40523</v>
      </c>
      <c r="B846" s="15" t="s">
        <v>1132</v>
      </c>
      <c r="C846" s="15" t="s">
        <v>85</v>
      </c>
      <c r="D846" s="16">
        <v>4</v>
      </c>
      <c r="E846" s="17">
        <v>16.079999999999998</v>
      </c>
      <c r="F846" s="16">
        <v>0.04</v>
      </c>
      <c r="G846" s="15" t="s">
        <v>32</v>
      </c>
      <c r="H846" s="18">
        <v>-3.7489999999999997</v>
      </c>
      <c r="I846" s="19">
        <v>3.8</v>
      </c>
      <c r="J846" s="19">
        <v>1.49</v>
      </c>
      <c r="K846" s="19" t="s">
        <v>69</v>
      </c>
      <c r="L846" s="19" t="s">
        <v>215</v>
      </c>
      <c r="M846" s="15" t="s">
        <v>1133</v>
      </c>
      <c r="N846" s="15" t="s">
        <v>36</v>
      </c>
      <c r="O846" s="15" t="s">
        <v>170</v>
      </c>
      <c r="P846" s="20" t="s">
        <v>611</v>
      </c>
      <c r="Q846" s="15" t="s">
        <v>83</v>
      </c>
      <c r="R846" s="4"/>
      <c r="S846" s="4"/>
    </row>
    <row r="847" spans="1:19" ht="21" customHeight="1" x14ac:dyDescent="0.25">
      <c r="A847" s="14">
        <f>DATE(2012,12,31)-480</f>
        <v>40794</v>
      </c>
      <c r="B847" s="15" t="s">
        <v>492</v>
      </c>
      <c r="C847" s="15" t="s">
        <v>31</v>
      </c>
      <c r="D847" s="16">
        <v>6</v>
      </c>
      <c r="E847" s="17">
        <v>27.32</v>
      </c>
      <c r="F847" s="16">
        <v>0.05</v>
      </c>
      <c r="G847" s="15" t="s">
        <v>101</v>
      </c>
      <c r="H847" s="18">
        <v>-5.87</v>
      </c>
      <c r="I847" s="19">
        <v>2.08</v>
      </c>
      <c r="J847" s="19">
        <v>5.33</v>
      </c>
      <c r="K847" s="19" t="s">
        <v>44</v>
      </c>
      <c r="L847" s="19" t="s">
        <v>120</v>
      </c>
      <c r="M847" s="15" t="s">
        <v>121</v>
      </c>
      <c r="N847" s="15" t="s">
        <v>54</v>
      </c>
      <c r="O847" s="15" t="s">
        <v>55</v>
      </c>
      <c r="P847" s="20" t="s">
        <v>858</v>
      </c>
      <c r="Q847" s="15" t="s">
        <v>83</v>
      </c>
      <c r="R847" s="4"/>
      <c r="S847" s="4"/>
    </row>
    <row r="848" spans="1:19" ht="21" customHeight="1" x14ac:dyDescent="0.25">
      <c r="A848" s="14">
        <f>DATE(2012,12,31)-480</f>
        <v>40794</v>
      </c>
      <c r="B848" s="15" t="s">
        <v>492</v>
      </c>
      <c r="C848" s="15" t="s">
        <v>31</v>
      </c>
      <c r="D848" s="16">
        <v>43</v>
      </c>
      <c r="E848" s="17">
        <v>643.30999999999995</v>
      </c>
      <c r="F848" s="16">
        <v>0.08</v>
      </c>
      <c r="G848" s="15" t="s">
        <v>101</v>
      </c>
      <c r="H848" s="18">
        <v>-231.34</v>
      </c>
      <c r="I848" s="19">
        <v>15.42</v>
      </c>
      <c r="J848" s="19">
        <v>10.68</v>
      </c>
      <c r="K848" s="19" t="s">
        <v>44</v>
      </c>
      <c r="L848" s="19" t="s">
        <v>80</v>
      </c>
      <c r="M848" s="15" t="s">
        <v>991</v>
      </c>
      <c r="N848" s="15" t="s">
        <v>36</v>
      </c>
      <c r="O848" s="15" t="s">
        <v>37</v>
      </c>
      <c r="P848" s="20" t="s">
        <v>156</v>
      </c>
      <c r="Q848" s="15" t="s">
        <v>83</v>
      </c>
      <c r="R848" s="4"/>
      <c r="S848" s="4"/>
    </row>
    <row r="849" spans="1:19" ht="21" customHeight="1" x14ac:dyDescent="0.25">
      <c r="A849" s="14">
        <f>DATE(2012,12,31)-466</f>
        <v>40808</v>
      </c>
      <c r="B849" s="15" t="s">
        <v>1134</v>
      </c>
      <c r="C849" s="15" t="s">
        <v>85</v>
      </c>
      <c r="D849" s="16">
        <v>48</v>
      </c>
      <c r="E849" s="17">
        <v>1734.72</v>
      </c>
      <c r="F849" s="16">
        <v>0.04</v>
      </c>
      <c r="G849" s="15" t="s">
        <v>32</v>
      </c>
      <c r="H849" s="18">
        <v>57.89</v>
      </c>
      <c r="I849" s="19">
        <v>35.44</v>
      </c>
      <c r="J849" s="19">
        <v>19.989999999999998</v>
      </c>
      <c r="K849" s="19" t="s">
        <v>97</v>
      </c>
      <c r="L849" s="19" t="s">
        <v>283</v>
      </c>
      <c r="M849" s="15" t="s">
        <v>284</v>
      </c>
      <c r="N849" s="15" t="s">
        <v>36</v>
      </c>
      <c r="O849" s="15" t="s">
        <v>117</v>
      </c>
      <c r="P849" s="20" t="s">
        <v>1093</v>
      </c>
      <c r="Q849" s="15" t="s">
        <v>83</v>
      </c>
      <c r="R849" s="4"/>
      <c r="S849" s="4"/>
    </row>
    <row r="850" spans="1:19" ht="21" customHeight="1" x14ac:dyDescent="0.25">
      <c r="A850" s="14">
        <f>DATE(2012,12,31)-1226</f>
        <v>40048</v>
      </c>
      <c r="B850" s="15" t="s">
        <v>1128</v>
      </c>
      <c r="C850" s="15" t="s">
        <v>85</v>
      </c>
      <c r="D850" s="16">
        <v>10</v>
      </c>
      <c r="E850" s="17">
        <v>1597.37</v>
      </c>
      <c r="F850" s="16">
        <v>0.02</v>
      </c>
      <c r="G850" s="15" t="s">
        <v>58</v>
      </c>
      <c r="H850" s="18">
        <v>-533.69000000000005</v>
      </c>
      <c r="I850" s="19">
        <v>146.05000000000001</v>
      </c>
      <c r="J850" s="19">
        <v>80.2</v>
      </c>
      <c r="K850" s="19" t="s">
        <v>124</v>
      </c>
      <c r="L850" s="19" t="s">
        <v>493</v>
      </c>
      <c r="M850" s="15" t="s">
        <v>494</v>
      </c>
      <c r="N850" s="15" t="s">
        <v>54</v>
      </c>
      <c r="O850" s="15" t="s">
        <v>61</v>
      </c>
      <c r="P850" s="20" t="s">
        <v>222</v>
      </c>
      <c r="Q850" s="15" t="s">
        <v>63</v>
      </c>
      <c r="R850" s="4"/>
      <c r="S850" s="4"/>
    </row>
    <row r="851" spans="1:19" ht="21" customHeight="1" x14ac:dyDescent="0.25">
      <c r="A851" s="14">
        <f>DATE(2012,12,31)-1226</f>
        <v>40048</v>
      </c>
      <c r="B851" s="15" t="s">
        <v>1128</v>
      </c>
      <c r="C851" s="15" t="s">
        <v>85</v>
      </c>
      <c r="D851" s="16">
        <v>31</v>
      </c>
      <c r="E851" s="17">
        <v>1753.9579999999999</v>
      </c>
      <c r="F851" s="16">
        <v>0.06</v>
      </c>
      <c r="G851" s="15" t="s">
        <v>32</v>
      </c>
      <c r="H851" s="18">
        <v>382.392</v>
      </c>
      <c r="I851" s="19">
        <v>65.989999999999995</v>
      </c>
      <c r="J851" s="19">
        <v>5.92</v>
      </c>
      <c r="K851" s="19" t="s">
        <v>124</v>
      </c>
      <c r="L851" s="19" t="s">
        <v>164</v>
      </c>
      <c r="M851" s="15" t="s">
        <v>754</v>
      </c>
      <c r="N851" s="15" t="s">
        <v>64</v>
      </c>
      <c r="O851" s="15" t="s">
        <v>65</v>
      </c>
      <c r="P851" s="20" t="s">
        <v>1135</v>
      </c>
      <c r="Q851" s="15" t="s">
        <v>83</v>
      </c>
      <c r="R851" s="4"/>
      <c r="S851" s="4"/>
    </row>
    <row r="852" spans="1:19" ht="21" customHeight="1" x14ac:dyDescent="0.25">
      <c r="A852" s="14">
        <f>DATE(2012,12,31)-842</f>
        <v>40432</v>
      </c>
      <c r="B852" s="15" t="s">
        <v>240</v>
      </c>
      <c r="C852" s="15" t="s">
        <v>85</v>
      </c>
      <c r="D852" s="16">
        <v>25</v>
      </c>
      <c r="E852" s="17">
        <v>409.08</v>
      </c>
      <c r="F852" s="16">
        <v>0.1</v>
      </c>
      <c r="G852" s="15" t="s">
        <v>32</v>
      </c>
      <c r="H852" s="18">
        <v>78.86</v>
      </c>
      <c r="I852" s="19">
        <v>17.78</v>
      </c>
      <c r="J852" s="19">
        <v>5.03</v>
      </c>
      <c r="K852" s="19" t="s">
        <v>124</v>
      </c>
      <c r="L852" s="19" t="s">
        <v>125</v>
      </c>
      <c r="M852" s="15" t="s">
        <v>126</v>
      </c>
      <c r="N852" s="15" t="s">
        <v>54</v>
      </c>
      <c r="O852" s="15" t="s">
        <v>55</v>
      </c>
      <c r="P852" s="20" t="s">
        <v>1136</v>
      </c>
      <c r="Q852" s="15" t="s">
        <v>83</v>
      </c>
      <c r="R852" s="4"/>
      <c r="S852" s="4"/>
    </row>
    <row r="853" spans="1:19" ht="21" customHeight="1" x14ac:dyDescent="0.25">
      <c r="A853" s="14">
        <f>DATE(2012,12,31)-1382</f>
        <v>39892</v>
      </c>
      <c r="B853" s="15" t="s">
        <v>1137</v>
      </c>
      <c r="C853" s="15" t="s">
        <v>85</v>
      </c>
      <c r="D853" s="16">
        <v>7</v>
      </c>
      <c r="E853" s="17">
        <v>150.77000000000001</v>
      </c>
      <c r="F853" s="16">
        <v>0.01</v>
      </c>
      <c r="G853" s="15" t="s">
        <v>32</v>
      </c>
      <c r="H853" s="18">
        <v>-72.23</v>
      </c>
      <c r="I853" s="19">
        <v>19.98</v>
      </c>
      <c r="J853" s="19">
        <v>4</v>
      </c>
      <c r="K853" s="19" t="s">
        <v>124</v>
      </c>
      <c r="L853" s="19" t="s">
        <v>160</v>
      </c>
      <c r="M853" s="15" t="s">
        <v>888</v>
      </c>
      <c r="N853" s="15" t="s">
        <v>64</v>
      </c>
      <c r="O853" s="15" t="s">
        <v>72</v>
      </c>
      <c r="P853" s="20" t="s">
        <v>805</v>
      </c>
      <c r="Q853" s="15" t="s">
        <v>83</v>
      </c>
      <c r="R853" s="4"/>
      <c r="S853" s="4"/>
    </row>
    <row r="854" spans="1:19" ht="21" customHeight="1" x14ac:dyDescent="0.25">
      <c r="A854" s="14">
        <f>DATE(2012,12,31)-1382</f>
        <v>39892</v>
      </c>
      <c r="B854" s="15" t="s">
        <v>1137</v>
      </c>
      <c r="C854" s="15" t="s">
        <v>85</v>
      </c>
      <c r="D854" s="16">
        <v>6</v>
      </c>
      <c r="E854" s="17">
        <v>9620.82</v>
      </c>
      <c r="F854" s="16">
        <v>0.04</v>
      </c>
      <c r="G854" s="15" t="s">
        <v>32</v>
      </c>
      <c r="H854" s="18">
        <v>-1759.58</v>
      </c>
      <c r="I854" s="19">
        <v>1637.53</v>
      </c>
      <c r="J854" s="19">
        <v>24.49</v>
      </c>
      <c r="K854" s="19" t="s">
        <v>124</v>
      </c>
      <c r="L854" s="19" t="s">
        <v>158</v>
      </c>
      <c r="M854" s="15" t="s">
        <v>158</v>
      </c>
      <c r="N854" s="15" t="s">
        <v>36</v>
      </c>
      <c r="O854" s="15" t="s">
        <v>47</v>
      </c>
      <c r="P854" s="20" t="s">
        <v>1138</v>
      </c>
      <c r="Q854" s="15" t="s">
        <v>57</v>
      </c>
      <c r="R854" s="4"/>
      <c r="S854" s="4"/>
    </row>
    <row r="855" spans="1:19" ht="21" customHeight="1" x14ac:dyDescent="0.25">
      <c r="A855" s="14">
        <f>DATE(2012,12,31)-10</f>
        <v>41264</v>
      </c>
      <c r="B855" s="15" t="s">
        <v>768</v>
      </c>
      <c r="C855" s="15" t="s">
        <v>85</v>
      </c>
      <c r="D855" s="16">
        <v>7</v>
      </c>
      <c r="E855" s="17">
        <v>157.03</v>
      </c>
      <c r="F855" s="16">
        <v>7.0000000000000007E-2</v>
      </c>
      <c r="G855" s="15" t="s">
        <v>32</v>
      </c>
      <c r="H855" s="18">
        <v>13.21</v>
      </c>
      <c r="I855" s="19">
        <v>22.23</v>
      </c>
      <c r="J855" s="19">
        <v>5.08</v>
      </c>
      <c r="K855" s="19" t="s">
        <v>33</v>
      </c>
      <c r="L855" s="19" t="s">
        <v>34</v>
      </c>
      <c r="M855" s="15" t="s">
        <v>35</v>
      </c>
      <c r="N855" s="15" t="s">
        <v>54</v>
      </c>
      <c r="O855" s="15" t="s">
        <v>55</v>
      </c>
      <c r="P855" s="20" t="s">
        <v>1139</v>
      </c>
      <c r="Q855" s="15" t="s">
        <v>49</v>
      </c>
      <c r="R855" s="4"/>
      <c r="S855" s="4"/>
    </row>
    <row r="856" spans="1:19" ht="21" customHeight="1" x14ac:dyDescent="0.25">
      <c r="A856" s="14">
        <f>DATE(2012,12,31)-1289</f>
        <v>39985</v>
      </c>
      <c r="B856" s="15" t="s">
        <v>1000</v>
      </c>
      <c r="C856" s="15" t="s">
        <v>85</v>
      </c>
      <c r="D856" s="16">
        <v>24</v>
      </c>
      <c r="E856" s="17">
        <v>67.349999999999994</v>
      </c>
      <c r="F856" s="16">
        <v>7.0000000000000007E-2</v>
      </c>
      <c r="G856" s="15" t="s">
        <v>32</v>
      </c>
      <c r="H856" s="18">
        <v>22.63</v>
      </c>
      <c r="I856" s="19">
        <v>2.88</v>
      </c>
      <c r="J856" s="19">
        <v>0.5</v>
      </c>
      <c r="K856" s="19" t="s">
        <v>33</v>
      </c>
      <c r="L856" s="19" t="s">
        <v>59</v>
      </c>
      <c r="M856" s="15" t="s">
        <v>60</v>
      </c>
      <c r="N856" s="15" t="s">
        <v>36</v>
      </c>
      <c r="O856" s="15" t="s">
        <v>114</v>
      </c>
      <c r="P856" s="20" t="s">
        <v>1140</v>
      </c>
      <c r="Q856" s="15" t="s">
        <v>83</v>
      </c>
      <c r="R856" s="4"/>
      <c r="S856" s="4"/>
    </row>
    <row r="857" spans="1:19" ht="21" customHeight="1" x14ac:dyDescent="0.25">
      <c r="A857" s="14">
        <f>DATE(2012,12,31)-1289</f>
        <v>39985</v>
      </c>
      <c r="B857" s="15" t="s">
        <v>1000</v>
      </c>
      <c r="C857" s="15" t="s">
        <v>85</v>
      </c>
      <c r="D857" s="16">
        <v>4</v>
      </c>
      <c r="E857" s="17">
        <v>1472.31</v>
      </c>
      <c r="F857" s="16">
        <v>0.03</v>
      </c>
      <c r="G857" s="15" t="s">
        <v>58</v>
      </c>
      <c r="H857" s="18">
        <v>-223.58700000000002</v>
      </c>
      <c r="I857" s="19">
        <v>348.21</v>
      </c>
      <c r="J857" s="19">
        <v>40.19</v>
      </c>
      <c r="K857" s="19" t="s">
        <v>33</v>
      </c>
      <c r="L857" s="19" t="s">
        <v>59</v>
      </c>
      <c r="M857" s="15" t="s">
        <v>60</v>
      </c>
      <c r="N857" s="15" t="s">
        <v>54</v>
      </c>
      <c r="O857" s="15" t="s">
        <v>61</v>
      </c>
      <c r="P857" s="20" t="s">
        <v>1141</v>
      </c>
      <c r="Q857" s="15" t="s">
        <v>63</v>
      </c>
      <c r="R857" s="4"/>
      <c r="S857" s="4"/>
    </row>
    <row r="858" spans="1:19" ht="21" customHeight="1" x14ac:dyDescent="0.25">
      <c r="A858" s="14">
        <f>DATE(2012,12,31)-373</f>
        <v>40901</v>
      </c>
      <c r="B858" s="15" t="s">
        <v>1142</v>
      </c>
      <c r="C858" s="15" t="s">
        <v>85</v>
      </c>
      <c r="D858" s="16">
        <v>50</v>
      </c>
      <c r="E858" s="17">
        <v>510.56</v>
      </c>
      <c r="F858" s="16">
        <v>0.05</v>
      </c>
      <c r="G858" s="15" t="s">
        <v>32</v>
      </c>
      <c r="H858" s="18">
        <v>-29.4</v>
      </c>
      <c r="I858" s="19">
        <v>10.64</v>
      </c>
      <c r="J858" s="19">
        <v>5.16</v>
      </c>
      <c r="K858" s="19" t="s">
        <v>33</v>
      </c>
      <c r="L858" s="19" t="s">
        <v>34</v>
      </c>
      <c r="M858" s="15" t="s">
        <v>35</v>
      </c>
      <c r="N858" s="15" t="s">
        <v>54</v>
      </c>
      <c r="O858" s="15" t="s">
        <v>55</v>
      </c>
      <c r="P858" s="20" t="s">
        <v>607</v>
      </c>
      <c r="Q858" s="15" t="s">
        <v>83</v>
      </c>
      <c r="R858" s="4"/>
      <c r="S858" s="4"/>
    </row>
    <row r="859" spans="1:19" ht="21" customHeight="1" x14ac:dyDescent="0.25">
      <c r="A859" s="14">
        <f>DATE(2012,12,31)-373</f>
        <v>40901</v>
      </c>
      <c r="B859" s="15" t="s">
        <v>1142</v>
      </c>
      <c r="C859" s="15" t="s">
        <v>85</v>
      </c>
      <c r="D859" s="16">
        <v>18</v>
      </c>
      <c r="E859" s="17">
        <v>389.52</v>
      </c>
      <c r="F859" s="16">
        <v>0.05</v>
      </c>
      <c r="G859" s="15" t="s">
        <v>101</v>
      </c>
      <c r="H859" s="18">
        <v>116.37</v>
      </c>
      <c r="I859" s="19">
        <v>20.28</v>
      </c>
      <c r="J859" s="19">
        <v>6.68</v>
      </c>
      <c r="K859" s="19" t="s">
        <v>69</v>
      </c>
      <c r="L859" s="19" t="s">
        <v>70</v>
      </c>
      <c r="M859" s="15" t="s">
        <v>989</v>
      </c>
      <c r="N859" s="15" t="s">
        <v>54</v>
      </c>
      <c r="O859" s="15" t="s">
        <v>55</v>
      </c>
      <c r="P859" s="20" t="s">
        <v>1143</v>
      </c>
      <c r="Q859" s="15" t="s">
        <v>83</v>
      </c>
      <c r="R859" s="4"/>
      <c r="S859" s="4"/>
    </row>
    <row r="860" spans="1:19" ht="21" customHeight="1" x14ac:dyDescent="0.25">
      <c r="A860" s="14">
        <f>DATE(2012,12,31)-91</f>
        <v>41183</v>
      </c>
      <c r="B860" s="15" t="s">
        <v>1144</v>
      </c>
      <c r="C860" s="15" t="s">
        <v>85</v>
      </c>
      <c r="D860" s="16">
        <v>38</v>
      </c>
      <c r="E860" s="17">
        <v>191.14</v>
      </c>
      <c r="F860" s="16">
        <v>0.06</v>
      </c>
      <c r="G860" s="15" t="s">
        <v>32</v>
      </c>
      <c r="H860" s="18">
        <v>82.65</v>
      </c>
      <c r="I860" s="19">
        <v>4.9800000000000004</v>
      </c>
      <c r="J860" s="19">
        <v>0.8</v>
      </c>
      <c r="K860" s="19" t="s">
        <v>69</v>
      </c>
      <c r="L860" s="19" t="s">
        <v>70</v>
      </c>
      <c r="M860" s="15" t="s">
        <v>989</v>
      </c>
      <c r="N860" s="15" t="s">
        <v>36</v>
      </c>
      <c r="O860" s="15" t="s">
        <v>117</v>
      </c>
      <c r="P860" s="20" t="s">
        <v>487</v>
      </c>
      <c r="Q860" s="15" t="s">
        <v>79</v>
      </c>
      <c r="R860" s="4"/>
      <c r="S860" s="4"/>
    </row>
    <row r="861" spans="1:19" ht="21" customHeight="1" x14ac:dyDescent="0.25">
      <c r="A861" s="14">
        <f>DATE(2012,12,31)-1308</f>
        <v>39966</v>
      </c>
      <c r="B861" s="15" t="s">
        <v>610</v>
      </c>
      <c r="C861" s="15" t="s">
        <v>43</v>
      </c>
      <c r="D861" s="16">
        <v>50</v>
      </c>
      <c r="E861" s="17">
        <v>477.53</v>
      </c>
      <c r="F861" s="16">
        <v>0.09</v>
      </c>
      <c r="G861" s="15" t="s">
        <v>32</v>
      </c>
      <c r="H861" s="18">
        <v>197.76</v>
      </c>
      <c r="I861" s="19">
        <v>9.7799999999999994</v>
      </c>
      <c r="J861" s="19">
        <v>1.39</v>
      </c>
      <c r="K861" s="19" t="s">
        <v>69</v>
      </c>
      <c r="L861" s="19" t="s">
        <v>215</v>
      </c>
      <c r="M861" s="15" t="s">
        <v>1133</v>
      </c>
      <c r="N861" s="15" t="s">
        <v>36</v>
      </c>
      <c r="O861" s="15" t="s">
        <v>189</v>
      </c>
      <c r="P861" s="20" t="s">
        <v>917</v>
      </c>
      <c r="Q861" s="15" t="s">
        <v>83</v>
      </c>
      <c r="R861" s="4"/>
      <c r="S861" s="4"/>
    </row>
    <row r="862" spans="1:19" ht="21" customHeight="1" x14ac:dyDescent="0.25">
      <c r="A862" s="14">
        <f>DATE(2012,12,31)-1308</f>
        <v>39966</v>
      </c>
      <c r="B862" s="15" t="s">
        <v>610</v>
      </c>
      <c r="C862" s="15" t="s">
        <v>43</v>
      </c>
      <c r="D862" s="16">
        <v>15</v>
      </c>
      <c r="E862" s="17">
        <v>2690.7514999999999</v>
      </c>
      <c r="F862" s="16">
        <v>0</v>
      </c>
      <c r="G862" s="15" t="s">
        <v>32</v>
      </c>
      <c r="H862" s="18">
        <v>234.61199999999999</v>
      </c>
      <c r="I862" s="19">
        <v>200.99</v>
      </c>
      <c r="J862" s="19">
        <v>8.08</v>
      </c>
      <c r="K862" s="19" t="s">
        <v>69</v>
      </c>
      <c r="L862" s="19" t="s">
        <v>215</v>
      </c>
      <c r="M862" s="15" t="s">
        <v>1133</v>
      </c>
      <c r="N862" s="15" t="s">
        <v>64</v>
      </c>
      <c r="O862" s="15" t="s">
        <v>65</v>
      </c>
      <c r="P862" s="20" t="s">
        <v>1145</v>
      </c>
      <c r="Q862" s="15" t="s">
        <v>83</v>
      </c>
      <c r="R862" s="4"/>
      <c r="S862" s="4"/>
    </row>
    <row r="863" spans="1:19" ht="21" customHeight="1" x14ac:dyDescent="0.25">
      <c r="A863" s="14">
        <f>DATE(2012,12,31)-630</f>
        <v>40644</v>
      </c>
      <c r="B863" s="15" t="s">
        <v>261</v>
      </c>
      <c r="C863" s="15" t="s">
        <v>85</v>
      </c>
      <c r="D863" s="16">
        <v>44</v>
      </c>
      <c r="E863" s="17">
        <v>2443.3420000000001</v>
      </c>
      <c r="F863" s="16">
        <v>0.01</v>
      </c>
      <c r="G863" s="15" t="s">
        <v>32</v>
      </c>
      <c r="H863" s="18">
        <v>590.31899999999996</v>
      </c>
      <c r="I863" s="19">
        <v>65.989999999999995</v>
      </c>
      <c r="J863" s="19">
        <v>3.99</v>
      </c>
      <c r="K863" s="19" t="s">
        <v>44</v>
      </c>
      <c r="L863" s="19" t="s">
        <v>120</v>
      </c>
      <c r="M863" s="15" t="s">
        <v>121</v>
      </c>
      <c r="N863" s="15" t="s">
        <v>64</v>
      </c>
      <c r="O863" s="15" t="s">
        <v>65</v>
      </c>
      <c r="P863" s="20" t="s">
        <v>689</v>
      </c>
      <c r="Q863" s="15" t="s">
        <v>83</v>
      </c>
      <c r="R863" s="4"/>
      <c r="S863" s="4"/>
    </row>
    <row r="864" spans="1:19" ht="21" customHeight="1" x14ac:dyDescent="0.25">
      <c r="A864" s="14">
        <f>DATE(2012,12,31)-163</f>
        <v>41111</v>
      </c>
      <c r="B864" s="15" t="s">
        <v>616</v>
      </c>
      <c r="C864" s="15" t="s">
        <v>31</v>
      </c>
      <c r="D864" s="16">
        <v>40</v>
      </c>
      <c r="E864" s="17">
        <v>255.48</v>
      </c>
      <c r="F864" s="16">
        <v>0.04</v>
      </c>
      <c r="G864" s="15" t="s">
        <v>32</v>
      </c>
      <c r="H864" s="18">
        <v>-116.79</v>
      </c>
      <c r="I864" s="19">
        <v>6.48</v>
      </c>
      <c r="J864" s="19">
        <v>6.65</v>
      </c>
      <c r="K864" s="19" t="s">
        <v>44</v>
      </c>
      <c r="L864" s="19" t="s">
        <v>89</v>
      </c>
      <c r="M864" s="15" t="s">
        <v>734</v>
      </c>
      <c r="N864" s="15" t="s">
        <v>36</v>
      </c>
      <c r="O864" s="15" t="s">
        <v>117</v>
      </c>
      <c r="P864" s="20" t="s">
        <v>1052</v>
      </c>
      <c r="Q864" s="15" t="s">
        <v>83</v>
      </c>
      <c r="R864" s="4"/>
      <c r="S864" s="4"/>
    </row>
    <row r="865" spans="1:19" ht="21" customHeight="1" x14ac:dyDescent="0.25">
      <c r="A865" s="14">
        <f>DATE(2012,12,31)-163</f>
        <v>41111</v>
      </c>
      <c r="B865" s="15" t="s">
        <v>616</v>
      </c>
      <c r="C865" s="15" t="s">
        <v>31</v>
      </c>
      <c r="D865" s="16">
        <v>18</v>
      </c>
      <c r="E865" s="17">
        <v>130.32</v>
      </c>
      <c r="F865" s="16">
        <v>0.04</v>
      </c>
      <c r="G865" s="15" t="s">
        <v>101</v>
      </c>
      <c r="H865" s="18">
        <v>-67.28</v>
      </c>
      <c r="I865" s="19">
        <v>6.48</v>
      </c>
      <c r="J865" s="19">
        <v>7.86</v>
      </c>
      <c r="K865" s="19" t="s">
        <v>44</v>
      </c>
      <c r="L865" s="19" t="s">
        <v>120</v>
      </c>
      <c r="M865" s="15" t="s">
        <v>121</v>
      </c>
      <c r="N865" s="15" t="s">
        <v>36</v>
      </c>
      <c r="O865" s="15" t="s">
        <v>117</v>
      </c>
      <c r="P865" s="20" t="s">
        <v>912</v>
      </c>
      <c r="Q865" s="15" t="s">
        <v>83</v>
      </c>
      <c r="R865" s="4"/>
      <c r="S865" s="4"/>
    </row>
    <row r="866" spans="1:19" ht="21" customHeight="1" x14ac:dyDescent="0.25">
      <c r="A866" s="14">
        <f>DATE(2012,12,31)-199</f>
        <v>41075</v>
      </c>
      <c r="B866" s="15" t="s">
        <v>401</v>
      </c>
      <c r="C866" s="15" t="s">
        <v>85</v>
      </c>
      <c r="D866" s="16">
        <v>41</v>
      </c>
      <c r="E866" s="17">
        <v>1991.93</v>
      </c>
      <c r="F866" s="16">
        <v>0.02</v>
      </c>
      <c r="G866" s="15" t="s">
        <v>32</v>
      </c>
      <c r="H866" s="18">
        <v>951.5</v>
      </c>
      <c r="I866" s="19">
        <v>48.94</v>
      </c>
      <c r="J866" s="19">
        <v>5.86</v>
      </c>
      <c r="K866" s="19" t="s">
        <v>44</v>
      </c>
      <c r="L866" s="19" t="s">
        <v>89</v>
      </c>
      <c r="M866" s="15" t="s">
        <v>734</v>
      </c>
      <c r="N866" s="15" t="s">
        <v>36</v>
      </c>
      <c r="O866" s="15" t="s">
        <v>117</v>
      </c>
      <c r="P866" s="20" t="s">
        <v>1146</v>
      </c>
      <c r="Q866" s="15" t="s">
        <v>83</v>
      </c>
      <c r="R866" s="4"/>
      <c r="S866" s="4"/>
    </row>
    <row r="867" spans="1:19" ht="21" customHeight="1" x14ac:dyDescent="0.25">
      <c r="A867" s="14">
        <f>DATE(2012,12,31)-1134</f>
        <v>40140</v>
      </c>
      <c r="B867" s="15" t="s">
        <v>502</v>
      </c>
      <c r="C867" s="15" t="s">
        <v>85</v>
      </c>
      <c r="D867" s="16">
        <v>28</v>
      </c>
      <c r="E867" s="17">
        <v>67.72</v>
      </c>
      <c r="F867" s="16">
        <v>0.01</v>
      </c>
      <c r="G867" s="15" t="s">
        <v>32</v>
      </c>
      <c r="H867" s="18">
        <v>-142.66900000000001</v>
      </c>
      <c r="I867" s="19">
        <v>2.16</v>
      </c>
      <c r="J867" s="19">
        <v>6.05</v>
      </c>
      <c r="K867" s="19" t="s">
        <v>44</v>
      </c>
      <c r="L867" s="19" t="s">
        <v>120</v>
      </c>
      <c r="M867" s="15" t="s">
        <v>121</v>
      </c>
      <c r="N867" s="15" t="s">
        <v>36</v>
      </c>
      <c r="O867" s="15" t="s">
        <v>170</v>
      </c>
      <c r="P867" s="20" t="s">
        <v>475</v>
      </c>
      <c r="Q867" s="15" t="s">
        <v>83</v>
      </c>
      <c r="R867" s="4"/>
      <c r="S867" s="4"/>
    </row>
    <row r="868" spans="1:19" ht="21" customHeight="1" x14ac:dyDescent="0.25">
      <c r="A868" s="14">
        <f>DATE(2012,12,31)-1134</f>
        <v>40140</v>
      </c>
      <c r="B868" s="15" t="s">
        <v>502</v>
      </c>
      <c r="C868" s="15" t="s">
        <v>85</v>
      </c>
      <c r="D868" s="16">
        <v>3</v>
      </c>
      <c r="E868" s="17">
        <v>68.64</v>
      </c>
      <c r="F868" s="16">
        <v>7.0000000000000007E-2</v>
      </c>
      <c r="G868" s="15" t="s">
        <v>32</v>
      </c>
      <c r="H868" s="18">
        <v>-38.93</v>
      </c>
      <c r="I868" s="19">
        <v>21.38</v>
      </c>
      <c r="J868" s="19">
        <v>8.99</v>
      </c>
      <c r="K868" s="19" t="s">
        <v>44</v>
      </c>
      <c r="L868" s="19" t="s">
        <v>80</v>
      </c>
      <c r="M868" s="15" t="s">
        <v>991</v>
      </c>
      <c r="N868" s="15" t="s">
        <v>36</v>
      </c>
      <c r="O868" s="15" t="s">
        <v>77</v>
      </c>
      <c r="P868" s="20" t="s">
        <v>948</v>
      </c>
      <c r="Q868" s="15" t="s">
        <v>49</v>
      </c>
      <c r="R868" s="4"/>
      <c r="S868" s="4"/>
    </row>
    <row r="869" spans="1:19" ht="21" customHeight="1" x14ac:dyDescent="0.25">
      <c r="A869" s="14">
        <f>DATE(2012,12,31)-1098</f>
        <v>40176</v>
      </c>
      <c r="B869" s="15" t="s">
        <v>1147</v>
      </c>
      <c r="C869" s="15" t="s">
        <v>31</v>
      </c>
      <c r="D869" s="16">
        <v>24</v>
      </c>
      <c r="E869" s="17">
        <v>133.94</v>
      </c>
      <c r="F869" s="16">
        <v>0.08</v>
      </c>
      <c r="G869" s="15" t="s">
        <v>101</v>
      </c>
      <c r="H869" s="18">
        <v>45</v>
      </c>
      <c r="I869" s="19">
        <v>5.84</v>
      </c>
      <c r="J869" s="19">
        <v>1</v>
      </c>
      <c r="K869" s="19" t="s">
        <v>33</v>
      </c>
      <c r="L869" s="19" t="s">
        <v>128</v>
      </c>
      <c r="M869" s="15" t="s">
        <v>129</v>
      </c>
      <c r="N869" s="15" t="s">
        <v>36</v>
      </c>
      <c r="O869" s="15" t="s">
        <v>77</v>
      </c>
      <c r="P869" s="20" t="s">
        <v>1148</v>
      </c>
      <c r="Q869" s="15" t="s">
        <v>79</v>
      </c>
      <c r="R869" s="4"/>
      <c r="S869" s="4"/>
    </row>
    <row r="870" spans="1:19" ht="21" customHeight="1" x14ac:dyDescent="0.25">
      <c r="A870" s="14">
        <f>DATE(2012,12,31)-1098</f>
        <v>40176</v>
      </c>
      <c r="B870" s="15" t="s">
        <v>1147</v>
      </c>
      <c r="C870" s="15" t="s">
        <v>31</v>
      </c>
      <c r="D870" s="16">
        <v>29</v>
      </c>
      <c r="E870" s="17">
        <v>5433.0895</v>
      </c>
      <c r="F870" s="16">
        <v>0</v>
      </c>
      <c r="G870" s="15" t="s">
        <v>32</v>
      </c>
      <c r="H870" s="18">
        <v>1365.2819999999999</v>
      </c>
      <c r="I870" s="19">
        <v>205.99</v>
      </c>
      <c r="J870" s="19">
        <v>8.99</v>
      </c>
      <c r="K870" s="19" t="s">
        <v>97</v>
      </c>
      <c r="L870" s="19" t="s">
        <v>98</v>
      </c>
      <c r="M870" s="15" t="s">
        <v>99</v>
      </c>
      <c r="N870" s="15" t="s">
        <v>64</v>
      </c>
      <c r="O870" s="15" t="s">
        <v>65</v>
      </c>
      <c r="P870" s="20" t="s">
        <v>886</v>
      </c>
      <c r="Q870" s="15" t="s">
        <v>83</v>
      </c>
      <c r="R870" s="4"/>
      <c r="S870" s="4"/>
    </row>
    <row r="871" spans="1:19" ht="21" customHeight="1" x14ac:dyDescent="0.25">
      <c r="A871" s="14">
        <f>DATE(2012,12,31)-1167</f>
        <v>40107</v>
      </c>
      <c r="B871" s="15" t="s">
        <v>696</v>
      </c>
      <c r="C871" s="15" t="s">
        <v>43</v>
      </c>
      <c r="D871" s="16">
        <v>13</v>
      </c>
      <c r="E871" s="17">
        <v>52.38</v>
      </c>
      <c r="F871" s="16">
        <v>0.06</v>
      </c>
      <c r="G871" s="15" t="s">
        <v>32</v>
      </c>
      <c r="H871" s="18">
        <v>11.72</v>
      </c>
      <c r="I871" s="19">
        <v>3.93</v>
      </c>
      <c r="J871" s="19">
        <v>0.99</v>
      </c>
      <c r="K871" s="19" t="s">
        <v>97</v>
      </c>
      <c r="L871" s="19" t="s">
        <v>98</v>
      </c>
      <c r="M871" s="15" t="s">
        <v>99</v>
      </c>
      <c r="N871" s="15" t="s">
        <v>36</v>
      </c>
      <c r="O871" s="15" t="s">
        <v>105</v>
      </c>
      <c r="P871" s="20" t="s">
        <v>1149</v>
      </c>
      <c r="Q871" s="15" t="s">
        <v>79</v>
      </c>
      <c r="R871" s="4"/>
      <c r="S871" s="4"/>
    </row>
    <row r="872" spans="1:19" ht="21" customHeight="1" x14ac:dyDescent="0.25">
      <c r="A872" s="14">
        <f>DATE(2012,12,31)-1038</f>
        <v>40236</v>
      </c>
      <c r="B872" s="15" t="s">
        <v>1066</v>
      </c>
      <c r="C872" s="15" t="s">
        <v>51</v>
      </c>
      <c r="D872" s="16">
        <v>33</v>
      </c>
      <c r="E872" s="17">
        <v>497.4</v>
      </c>
      <c r="F872" s="16">
        <v>0.05</v>
      </c>
      <c r="G872" s="15" t="s">
        <v>32</v>
      </c>
      <c r="H872" s="18">
        <v>37.9</v>
      </c>
      <c r="I872" s="19">
        <v>14.98</v>
      </c>
      <c r="J872" s="19">
        <v>8.99</v>
      </c>
      <c r="K872" s="19" t="s">
        <v>97</v>
      </c>
      <c r="L872" s="19" t="s">
        <v>567</v>
      </c>
      <c r="M872" s="15" t="s">
        <v>568</v>
      </c>
      <c r="N872" s="15" t="s">
        <v>54</v>
      </c>
      <c r="O872" s="15" t="s">
        <v>55</v>
      </c>
      <c r="P872" s="20" t="s">
        <v>719</v>
      </c>
      <c r="Q872" s="15" t="s">
        <v>49</v>
      </c>
      <c r="R872" s="4"/>
      <c r="S872" s="4"/>
    </row>
    <row r="873" spans="1:19" ht="21" customHeight="1" x14ac:dyDescent="0.25">
      <c r="A873" s="14">
        <f>DATE(2012,12,31)-1038</f>
        <v>40236</v>
      </c>
      <c r="B873" s="15" t="s">
        <v>1066</v>
      </c>
      <c r="C873" s="15" t="s">
        <v>51</v>
      </c>
      <c r="D873" s="16">
        <v>48</v>
      </c>
      <c r="E873" s="17">
        <v>4965.384</v>
      </c>
      <c r="F873" s="16">
        <v>0</v>
      </c>
      <c r="G873" s="15" t="s">
        <v>58</v>
      </c>
      <c r="H873" s="18">
        <v>-175.46</v>
      </c>
      <c r="I873" s="19">
        <v>124.49</v>
      </c>
      <c r="J873" s="19">
        <v>51.94</v>
      </c>
      <c r="K873" s="19" t="s">
        <v>124</v>
      </c>
      <c r="L873" s="19" t="s">
        <v>164</v>
      </c>
      <c r="M873" s="15" t="s">
        <v>754</v>
      </c>
      <c r="N873" s="15" t="s">
        <v>54</v>
      </c>
      <c r="O873" s="15" t="s">
        <v>61</v>
      </c>
      <c r="P873" s="20" t="s">
        <v>220</v>
      </c>
      <c r="Q873" s="15" t="s">
        <v>63</v>
      </c>
      <c r="R873" s="4"/>
      <c r="S873" s="4"/>
    </row>
    <row r="874" spans="1:19" ht="21" customHeight="1" x14ac:dyDescent="0.25">
      <c r="A874" s="14">
        <f>DATE(2012,12,31)-1038</f>
        <v>40236</v>
      </c>
      <c r="B874" s="15" t="s">
        <v>1066</v>
      </c>
      <c r="C874" s="15" t="s">
        <v>51</v>
      </c>
      <c r="D874" s="16">
        <v>8</v>
      </c>
      <c r="E874" s="17">
        <v>358.41950000000003</v>
      </c>
      <c r="F874" s="16">
        <v>0.09</v>
      </c>
      <c r="G874" s="15" t="s">
        <v>101</v>
      </c>
      <c r="H874" s="18">
        <v>-275.05500000000001</v>
      </c>
      <c r="I874" s="19">
        <v>55.99</v>
      </c>
      <c r="J874" s="19">
        <v>2.5</v>
      </c>
      <c r="K874" s="19" t="s">
        <v>124</v>
      </c>
      <c r="L874" s="19" t="s">
        <v>164</v>
      </c>
      <c r="M874" s="15" t="s">
        <v>754</v>
      </c>
      <c r="N874" s="15" t="s">
        <v>64</v>
      </c>
      <c r="O874" s="15" t="s">
        <v>65</v>
      </c>
      <c r="P874" s="20" t="s">
        <v>1150</v>
      </c>
      <c r="Q874" s="15" t="s">
        <v>49</v>
      </c>
      <c r="R874" s="4"/>
      <c r="S874" s="4"/>
    </row>
    <row r="875" spans="1:19" ht="21" customHeight="1" x14ac:dyDescent="0.25">
      <c r="A875" s="14">
        <f>DATE(2012,12,31)-1038</f>
        <v>40236</v>
      </c>
      <c r="B875" s="15" t="s">
        <v>1066</v>
      </c>
      <c r="C875" s="15" t="s">
        <v>51</v>
      </c>
      <c r="D875" s="16">
        <v>31</v>
      </c>
      <c r="E875" s="17">
        <v>3232.68</v>
      </c>
      <c r="F875" s="16">
        <v>0.03</v>
      </c>
      <c r="G875" s="15" t="s">
        <v>32</v>
      </c>
      <c r="H875" s="18">
        <v>875.45</v>
      </c>
      <c r="I875" s="19">
        <v>105.98</v>
      </c>
      <c r="J875" s="19">
        <v>13.99</v>
      </c>
      <c r="K875" s="19" t="s">
        <v>44</v>
      </c>
      <c r="L875" s="19" t="s">
        <v>52</v>
      </c>
      <c r="M875" s="15" t="s">
        <v>1029</v>
      </c>
      <c r="N875" s="15" t="s">
        <v>54</v>
      </c>
      <c r="O875" s="15" t="s">
        <v>55</v>
      </c>
      <c r="P875" s="20" t="s">
        <v>1151</v>
      </c>
      <c r="Q875" s="15" t="s">
        <v>57</v>
      </c>
      <c r="R875" s="4"/>
      <c r="S875" s="4"/>
    </row>
    <row r="876" spans="1:19" ht="21" customHeight="1" x14ac:dyDescent="0.25">
      <c r="A876" s="14">
        <f>DATE(2012,12,31)-536</f>
        <v>40738</v>
      </c>
      <c r="B876" s="15" t="s">
        <v>333</v>
      </c>
      <c r="C876" s="15" t="s">
        <v>43</v>
      </c>
      <c r="D876" s="16">
        <v>22</v>
      </c>
      <c r="E876" s="17">
        <v>46.36</v>
      </c>
      <c r="F876" s="16">
        <v>0.05</v>
      </c>
      <c r="G876" s="15" t="s">
        <v>101</v>
      </c>
      <c r="H876" s="18">
        <v>-56.73</v>
      </c>
      <c r="I876" s="19">
        <v>1.74</v>
      </c>
      <c r="J876" s="19">
        <v>4.08</v>
      </c>
      <c r="K876" s="19" t="s">
        <v>44</v>
      </c>
      <c r="L876" s="19" t="s">
        <v>52</v>
      </c>
      <c r="M876" s="15" t="s">
        <v>1029</v>
      </c>
      <c r="N876" s="15" t="s">
        <v>54</v>
      </c>
      <c r="O876" s="15" t="s">
        <v>55</v>
      </c>
      <c r="P876" s="20" t="s">
        <v>935</v>
      </c>
      <c r="Q876" s="15" t="s">
        <v>49</v>
      </c>
      <c r="R876" s="4"/>
      <c r="S876" s="4"/>
    </row>
    <row r="877" spans="1:19" ht="21" customHeight="1" x14ac:dyDescent="0.25">
      <c r="A877" s="14">
        <f>DATE(2012,12,31)-1067</f>
        <v>40207</v>
      </c>
      <c r="B877" s="15" t="s">
        <v>578</v>
      </c>
      <c r="C877" s="15" t="s">
        <v>85</v>
      </c>
      <c r="D877" s="16">
        <v>49</v>
      </c>
      <c r="E877" s="17">
        <v>3283.74</v>
      </c>
      <c r="F877" s="16">
        <v>0.01</v>
      </c>
      <c r="G877" s="15" t="s">
        <v>32</v>
      </c>
      <c r="H877" s="18">
        <v>723.33300000000008</v>
      </c>
      <c r="I877" s="19">
        <v>67.28</v>
      </c>
      <c r="J877" s="19">
        <v>19.989999999999998</v>
      </c>
      <c r="K877" s="19" t="s">
        <v>44</v>
      </c>
      <c r="L877" s="19" t="s">
        <v>52</v>
      </c>
      <c r="M877" s="15" t="s">
        <v>1029</v>
      </c>
      <c r="N877" s="15" t="s">
        <v>36</v>
      </c>
      <c r="O877" s="15" t="s">
        <v>170</v>
      </c>
      <c r="P877" s="20" t="s">
        <v>821</v>
      </c>
      <c r="Q877" s="15" t="s">
        <v>83</v>
      </c>
      <c r="R877" s="4"/>
      <c r="S877" s="4"/>
    </row>
    <row r="878" spans="1:19" ht="21" customHeight="1" x14ac:dyDescent="0.25">
      <c r="A878" s="14">
        <f>DATE(2012,12,31)-508</f>
        <v>40766</v>
      </c>
      <c r="B878" s="15" t="s">
        <v>1152</v>
      </c>
      <c r="C878" s="15" t="s">
        <v>51</v>
      </c>
      <c r="D878" s="16">
        <v>30</v>
      </c>
      <c r="E878" s="17">
        <v>199.11</v>
      </c>
      <c r="F878" s="16">
        <v>0.01</v>
      </c>
      <c r="G878" s="15" t="s">
        <v>32</v>
      </c>
      <c r="H878" s="18">
        <v>-83.33</v>
      </c>
      <c r="I878" s="19">
        <v>6.48</v>
      </c>
      <c r="J878" s="19">
        <v>6.65</v>
      </c>
      <c r="K878" s="19" t="s">
        <v>44</v>
      </c>
      <c r="L878" s="19" t="s">
        <v>52</v>
      </c>
      <c r="M878" s="15" t="s">
        <v>1029</v>
      </c>
      <c r="N878" s="15" t="s">
        <v>36</v>
      </c>
      <c r="O878" s="15" t="s">
        <v>117</v>
      </c>
      <c r="P878" s="20" t="s">
        <v>1052</v>
      </c>
      <c r="Q878" s="15" t="s">
        <v>83</v>
      </c>
      <c r="R878" s="4"/>
      <c r="S878" s="4"/>
    </row>
    <row r="879" spans="1:19" ht="21" customHeight="1" x14ac:dyDescent="0.25">
      <c r="A879" s="14">
        <f>DATE(2012,12,31)-936</f>
        <v>40338</v>
      </c>
      <c r="B879" s="15" t="s">
        <v>667</v>
      </c>
      <c r="C879" s="15" t="s">
        <v>85</v>
      </c>
      <c r="D879" s="16">
        <v>10</v>
      </c>
      <c r="E879" s="17">
        <v>29.79</v>
      </c>
      <c r="F879" s="16">
        <v>0.01</v>
      </c>
      <c r="G879" s="15" t="s">
        <v>32</v>
      </c>
      <c r="H879" s="18">
        <v>3.76</v>
      </c>
      <c r="I879" s="19">
        <v>2.88</v>
      </c>
      <c r="J879" s="19">
        <v>0.99</v>
      </c>
      <c r="K879" s="19" t="s">
        <v>44</v>
      </c>
      <c r="L879" s="19" t="s">
        <v>236</v>
      </c>
      <c r="M879" s="15" t="s">
        <v>237</v>
      </c>
      <c r="N879" s="15" t="s">
        <v>36</v>
      </c>
      <c r="O879" s="15" t="s">
        <v>114</v>
      </c>
      <c r="P879" s="20" t="s">
        <v>1153</v>
      </c>
      <c r="Q879" s="15" t="s">
        <v>83</v>
      </c>
      <c r="R879" s="4"/>
      <c r="S879" s="4"/>
    </row>
    <row r="880" spans="1:19" ht="21" customHeight="1" x14ac:dyDescent="0.25">
      <c r="A880" s="14">
        <f>DATE(2012,12,31)-1338</f>
        <v>39936</v>
      </c>
      <c r="B880" s="15" t="s">
        <v>1154</v>
      </c>
      <c r="C880" s="15" t="s">
        <v>43</v>
      </c>
      <c r="D880" s="16">
        <v>27</v>
      </c>
      <c r="E880" s="17">
        <v>216.95</v>
      </c>
      <c r="F880" s="16">
        <v>0.08</v>
      </c>
      <c r="G880" s="15" t="s">
        <v>32</v>
      </c>
      <c r="H880" s="18">
        <v>-88.82</v>
      </c>
      <c r="I880" s="19">
        <v>8.09</v>
      </c>
      <c r="J880" s="19">
        <v>7.96</v>
      </c>
      <c r="K880" s="19" t="s">
        <v>44</v>
      </c>
      <c r="L880" s="19" t="s">
        <v>236</v>
      </c>
      <c r="M880" s="15" t="s">
        <v>237</v>
      </c>
      <c r="N880" s="15" t="s">
        <v>54</v>
      </c>
      <c r="O880" s="15" t="s">
        <v>55</v>
      </c>
      <c r="P880" s="20" t="s">
        <v>1155</v>
      </c>
      <c r="Q880" s="15" t="s">
        <v>83</v>
      </c>
      <c r="R880" s="4"/>
      <c r="S880" s="4"/>
    </row>
    <row r="881" spans="1:19" ht="21" customHeight="1" x14ac:dyDescent="0.25">
      <c r="A881" s="14">
        <f>DATE(2012,12,31)-1055</f>
        <v>40219</v>
      </c>
      <c r="B881" s="15" t="s">
        <v>1068</v>
      </c>
      <c r="C881" s="15" t="s">
        <v>85</v>
      </c>
      <c r="D881" s="16">
        <v>18</v>
      </c>
      <c r="E881" s="17">
        <v>1297.4485</v>
      </c>
      <c r="F881" s="16">
        <v>0.04</v>
      </c>
      <c r="G881" s="15" t="s">
        <v>32</v>
      </c>
      <c r="H881" s="18">
        <v>4.212000000000006</v>
      </c>
      <c r="I881" s="19">
        <v>85.99</v>
      </c>
      <c r="J881" s="19">
        <v>10.78</v>
      </c>
      <c r="K881" s="19" t="s">
        <v>44</v>
      </c>
      <c r="L881" s="19" t="s">
        <v>45</v>
      </c>
      <c r="M881" s="15" t="s">
        <v>46</v>
      </c>
      <c r="N881" s="15" t="s">
        <v>64</v>
      </c>
      <c r="O881" s="15" t="s">
        <v>65</v>
      </c>
      <c r="P881" s="20" t="s">
        <v>1156</v>
      </c>
      <c r="Q881" s="15" t="s">
        <v>83</v>
      </c>
      <c r="R881" s="4"/>
      <c r="S881" s="4"/>
    </row>
    <row r="882" spans="1:19" ht="21" customHeight="1" x14ac:dyDescent="0.25">
      <c r="A882" s="14">
        <f>DATE(2012,12,31)-491</f>
        <v>40783</v>
      </c>
      <c r="B882" s="15" t="s">
        <v>1157</v>
      </c>
      <c r="C882" s="15" t="s">
        <v>51</v>
      </c>
      <c r="D882" s="16">
        <v>43</v>
      </c>
      <c r="E882" s="17">
        <v>320.26</v>
      </c>
      <c r="F882" s="16">
        <v>0.01</v>
      </c>
      <c r="G882" s="15" t="s">
        <v>101</v>
      </c>
      <c r="H882" s="18">
        <v>-84.134</v>
      </c>
      <c r="I882" s="19">
        <v>7.1</v>
      </c>
      <c r="J882" s="19">
        <v>6.05</v>
      </c>
      <c r="K882" s="19" t="s">
        <v>69</v>
      </c>
      <c r="L882" s="19" t="s">
        <v>70</v>
      </c>
      <c r="M882" s="15" t="s">
        <v>989</v>
      </c>
      <c r="N882" s="15" t="s">
        <v>36</v>
      </c>
      <c r="O882" s="15" t="s">
        <v>170</v>
      </c>
      <c r="P882" s="20" t="s">
        <v>913</v>
      </c>
      <c r="Q882" s="15" t="s">
        <v>83</v>
      </c>
      <c r="R882" s="4"/>
      <c r="S882" s="4"/>
    </row>
    <row r="883" spans="1:19" ht="21" customHeight="1" x14ac:dyDescent="0.25">
      <c r="A883" s="14">
        <f>DATE(2012,12,31)-488</f>
        <v>40786</v>
      </c>
      <c r="B883" s="15" t="s">
        <v>433</v>
      </c>
      <c r="C883" s="15" t="s">
        <v>43</v>
      </c>
      <c r="D883" s="16">
        <v>48</v>
      </c>
      <c r="E883" s="17">
        <v>3397.72</v>
      </c>
      <c r="F883" s="16">
        <v>0.01</v>
      </c>
      <c r="G883" s="15" t="s">
        <v>32</v>
      </c>
      <c r="H883" s="18">
        <v>-912.08</v>
      </c>
      <c r="I883" s="19">
        <v>70.709999999999994</v>
      </c>
      <c r="J883" s="19">
        <v>37.58</v>
      </c>
      <c r="K883" s="19" t="s">
        <v>33</v>
      </c>
      <c r="L883" s="19" t="s">
        <v>59</v>
      </c>
      <c r="M883" s="15" t="s">
        <v>60</v>
      </c>
      <c r="N883" s="15" t="s">
        <v>54</v>
      </c>
      <c r="O883" s="15" t="s">
        <v>55</v>
      </c>
      <c r="P883" s="20" t="s">
        <v>1158</v>
      </c>
      <c r="Q883" s="15" t="s">
        <v>79</v>
      </c>
      <c r="R883" s="4"/>
      <c r="S883" s="4"/>
    </row>
    <row r="884" spans="1:19" ht="21" customHeight="1" x14ac:dyDescent="0.25">
      <c r="A884" s="14">
        <f>DATE(2012,12,31)-488</f>
        <v>40786</v>
      </c>
      <c r="B884" s="15" t="s">
        <v>433</v>
      </c>
      <c r="C884" s="15" t="s">
        <v>43</v>
      </c>
      <c r="D884" s="16">
        <v>1</v>
      </c>
      <c r="E884" s="17">
        <v>449.42</v>
      </c>
      <c r="F884" s="16">
        <v>7.0000000000000007E-2</v>
      </c>
      <c r="G884" s="15" t="s">
        <v>58</v>
      </c>
      <c r="H884" s="18">
        <v>-261.61200000000002</v>
      </c>
      <c r="I884" s="19">
        <v>376.13</v>
      </c>
      <c r="J884" s="19">
        <v>85.63</v>
      </c>
      <c r="K884" s="19" t="s">
        <v>33</v>
      </c>
      <c r="L884" s="19" t="s">
        <v>59</v>
      </c>
      <c r="M884" s="15" t="s">
        <v>60</v>
      </c>
      <c r="N884" s="15" t="s">
        <v>54</v>
      </c>
      <c r="O884" s="15" t="s">
        <v>61</v>
      </c>
      <c r="P884" s="20" t="s">
        <v>1159</v>
      </c>
      <c r="Q884" s="15" t="s">
        <v>63</v>
      </c>
      <c r="R884" s="4"/>
      <c r="S884" s="4"/>
    </row>
    <row r="885" spans="1:19" ht="21" customHeight="1" x14ac:dyDescent="0.25">
      <c r="A885" s="14">
        <f>DATE(2012,12,31)-20</f>
        <v>41254</v>
      </c>
      <c r="B885" s="15" t="s">
        <v>96</v>
      </c>
      <c r="C885" s="15" t="s">
        <v>85</v>
      </c>
      <c r="D885" s="16">
        <v>20</v>
      </c>
      <c r="E885" s="17">
        <v>303.69</v>
      </c>
      <c r="F885" s="16">
        <v>0.05</v>
      </c>
      <c r="G885" s="15" t="s">
        <v>32</v>
      </c>
      <c r="H885" s="18">
        <v>-50.84</v>
      </c>
      <c r="I885" s="19">
        <v>14.98</v>
      </c>
      <c r="J885" s="19">
        <v>7.69</v>
      </c>
      <c r="K885" s="19" t="s">
        <v>44</v>
      </c>
      <c r="L885" s="19" t="s">
        <v>52</v>
      </c>
      <c r="M885" s="15" t="s">
        <v>1029</v>
      </c>
      <c r="N885" s="15" t="s">
        <v>36</v>
      </c>
      <c r="O885" s="15" t="s">
        <v>37</v>
      </c>
      <c r="P885" s="20" t="s">
        <v>1089</v>
      </c>
      <c r="Q885" s="15" t="s">
        <v>83</v>
      </c>
      <c r="R885" s="4"/>
      <c r="S885" s="4"/>
    </row>
    <row r="886" spans="1:19" ht="21" customHeight="1" x14ac:dyDescent="0.25">
      <c r="A886" s="14">
        <f>DATE(2012,12,31)-1408</f>
        <v>39866</v>
      </c>
      <c r="B886" s="15" t="s">
        <v>350</v>
      </c>
      <c r="C886" s="15" t="s">
        <v>43</v>
      </c>
      <c r="D886" s="16">
        <v>40</v>
      </c>
      <c r="E886" s="17">
        <v>19100.45</v>
      </c>
      <c r="F886" s="16">
        <v>0</v>
      </c>
      <c r="G886" s="15" t="s">
        <v>58</v>
      </c>
      <c r="H886" s="18">
        <v>6839.95</v>
      </c>
      <c r="I886" s="19">
        <v>442.14</v>
      </c>
      <c r="J886" s="19">
        <v>14.7</v>
      </c>
      <c r="K886" s="19" t="s">
        <v>33</v>
      </c>
      <c r="L886" s="19" t="s">
        <v>128</v>
      </c>
      <c r="M886" s="15" t="s">
        <v>129</v>
      </c>
      <c r="N886" s="15" t="s">
        <v>64</v>
      </c>
      <c r="O886" s="15" t="s">
        <v>122</v>
      </c>
      <c r="P886" s="20" t="s">
        <v>1160</v>
      </c>
      <c r="Q886" s="15" t="s">
        <v>181</v>
      </c>
      <c r="R886" s="4"/>
      <c r="S886" s="4"/>
    </row>
    <row r="887" spans="1:19" ht="21" customHeight="1" x14ac:dyDescent="0.25">
      <c r="A887" s="14">
        <f>DATE(2012,12,31)-1108</f>
        <v>40166</v>
      </c>
      <c r="B887" s="15" t="s">
        <v>1099</v>
      </c>
      <c r="C887" s="15" t="s">
        <v>51</v>
      </c>
      <c r="D887" s="16">
        <v>30</v>
      </c>
      <c r="E887" s="17">
        <v>14922.16</v>
      </c>
      <c r="F887" s="16">
        <v>0.1</v>
      </c>
      <c r="G887" s="15" t="s">
        <v>58</v>
      </c>
      <c r="H887" s="18">
        <v>545.69745</v>
      </c>
      <c r="I887" s="19">
        <v>550.98</v>
      </c>
      <c r="J887" s="19">
        <v>45.7</v>
      </c>
      <c r="K887" s="19" t="s">
        <v>124</v>
      </c>
      <c r="L887" s="19" t="s">
        <v>164</v>
      </c>
      <c r="M887" s="15" t="s">
        <v>754</v>
      </c>
      <c r="N887" s="15" t="s">
        <v>54</v>
      </c>
      <c r="O887" s="15" t="s">
        <v>61</v>
      </c>
      <c r="P887" s="20" t="s">
        <v>1161</v>
      </c>
      <c r="Q887" s="15" t="s">
        <v>63</v>
      </c>
      <c r="R887" s="4"/>
      <c r="S887" s="4"/>
    </row>
    <row r="888" spans="1:19" ht="21" customHeight="1" x14ac:dyDescent="0.25">
      <c r="A888" s="14">
        <f>DATE(2012,12,31)-343</f>
        <v>40931</v>
      </c>
      <c r="B888" s="15" t="s">
        <v>844</v>
      </c>
      <c r="C888" s="15" t="s">
        <v>43</v>
      </c>
      <c r="D888" s="16">
        <v>1</v>
      </c>
      <c r="E888" s="17">
        <v>62.77</v>
      </c>
      <c r="F888" s="16">
        <v>0.01</v>
      </c>
      <c r="G888" s="15" t="s">
        <v>32</v>
      </c>
      <c r="H888" s="18">
        <v>-36.840000000000003</v>
      </c>
      <c r="I888" s="19">
        <v>60.97</v>
      </c>
      <c r="J888" s="19">
        <v>4.5</v>
      </c>
      <c r="K888" s="19" t="s">
        <v>97</v>
      </c>
      <c r="L888" s="19" t="s">
        <v>98</v>
      </c>
      <c r="M888" s="15" t="s">
        <v>1162</v>
      </c>
      <c r="N888" s="15" t="s">
        <v>36</v>
      </c>
      <c r="O888" s="15" t="s">
        <v>176</v>
      </c>
      <c r="P888" s="20" t="s">
        <v>571</v>
      </c>
      <c r="Q888" s="15" t="s">
        <v>83</v>
      </c>
      <c r="R888" s="4"/>
      <c r="S888" s="4"/>
    </row>
    <row r="889" spans="1:19" ht="21" customHeight="1" x14ac:dyDescent="0.25">
      <c r="A889" s="14">
        <f>DATE(2012,12,31)-512</f>
        <v>40762</v>
      </c>
      <c r="B889" s="15" t="s">
        <v>1163</v>
      </c>
      <c r="C889" s="15" t="s">
        <v>85</v>
      </c>
      <c r="D889" s="16">
        <v>29</v>
      </c>
      <c r="E889" s="17">
        <v>857.42</v>
      </c>
      <c r="F889" s="16">
        <v>7.0000000000000007E-2</v>
      </c>
      <c r="G889" s="15" t="s">
        <v>101</v>
      </c>
      <c r="H889" s="18">
        <v>51.18</v>
      </c>
      <c r="I889" s="19">
        <v>31.11</v>
      </c>
      <c r="J889" s="19">
        <v>3.6</v>
      </c>
      <c r="K889" s="19" t="s">
        <v>69</v>
      </c>
      <c r="L889" s="19" t="s">
        <v>70</v>
      </c>
      <c r="M889" s="15" t="s">
        <v>989</v>
      </c>
      <c r="N889" s="15" t="s">
        <v>64</v>
      </c>
      <c r="O889" s="15" t="s">
        <v>72</v>
      </c>
      <c r="P889" s="20" t="s">
        <v>1164</v>
      </c>
      <c r="Q889" s="15" t="s">
        <v>49</v>
      </c>
      <c r="R889" s="4"/>
      <c r="S889" s="4"/>
    </row>
    <row r="890" spans="1:19" ht="21" customHeight="1" x14ac:dyDescent="0.25">
      <c r="A890" s="14">
        <f>DATE(2012,12,31)-512</f>
        <v>40762</v>
      </c>
      <c r="B890" s="15" t="s">
        <v>1163</v>
      </c>
      <c r="C890" s="15" t="s">
        <v>85</v>
      </c>
      <c r="D890" s="16">
        <v>1</v>
      </c>
      <c r="E890" s="17">
        <v>2.2400000000000002</v>
      </c>
      <c r="F890" s="16">
        <v>0.01</v>
      </c>
      <c r="G890" s="15" t="s">
        <v>32</v>
      </c>
      <c r="H890" s="18">
        <v>-1.97</v>
      </c>
      <c r="I890" s="19">
        <v>1.48</v>
      </c>
      <c r="J890" s="19">
        <v>0.7</v>
      </c>
      <c r="K890" s="19" t="s">
        <v>69</v>
      </c>
      <c r="L890" s="19" t="s">
        <v>70</v>
      </c>
      <c r="M890" s="15" t="s">
        <v>989</v>
      </c>
      <c r="N890" s="15" t="s">
        <v>36</v>
      </c>
      <c r="O890" s="15" t="s">
        <v>105</v>
      </c>
      <c r="P890" s="20" t="s">
        <v>1165</v>
      </c>
      <c r="Q890" s="15" t="s">
        <v>79</v>
      </c>
      <c r="R890" s="4"/>
      <c r="S890" s="4"/>
    </row>
    <row r="891" spans="1:19" ht="21" customHeight="1" x14ac:dyDescent="0.25">
      <c r="A891" s="14">
        <f>DATE(2012,12,31)-618</f>
        <v>40656</v>
      </c>
      <c r="B891" s="15" t="s">
        <v>1166</v>
      </c>
      <c r="C891" s="15" t="s">
        <v>31</v>
      </c>
      <c r="D891" s="16">
        <v>35</v>
      </c>
      <c r="E891" s="17">
        <v>373.33</v>
      </c>
      <c r="F891" s="16">
        <v>0.01</v>
      </c>
      <c r="G891" s="15" t="s">
        <v>32</v>
      </c>
      <c r="H891" s="18">
        <v>-22.18</v>
      </c>
      <c r="I891" s="19">
        <v>10.23</v>
      </c>
      <c r="J891" s="19">
        <v>4.68</v>
      </c>
      <c r="K891" s="19" t="s">
        <v>44</v>
      </c>
      <c r="L891" s="19" t="s">
        <v>45</v>
      </c>
      <c r="M891" s="15" t="s">
        <v>46</v>
      </c>
      <c r="N891" s="15" t="s">
        <v>36</v>
      </c>
      <c r="O891" s="15" t="s">
        <v>47</v>
      </c>
      <c r="P891" s="20" t="s">
        <v>1167</v>
      </c>
      <c r="Q891" s="15" t="s">
        <v>49</v>
      </c>
      <c r="R891" s="4"/>
      <c r="S891" s="4"/>
    </row>
    <row r="892" spans="1:19" ht="21" customHeight="1" x14ac:dyDescent="0.25">
      <c r="A892" s="14">
        <f>DATE(2012,12,31)-689</f>
        <v>40585</v>
      </c>
      <c r="B892" s="15" t="s">
        <v>500</v>
      </c>
      <c r="C892" s="15" t="s">
        <v>31</v>
      </c>
      <c r="D892" s="16">
        <v>41</v>
      </c>
      <c r="E892" s="17">
        <v>17874.259999999998</v>
      </c>
      <c r="F892" s="16">
        <v>0</v>
      </c>
      <c r="G892" s="15" t="s">
        <v>32</v>
      </c>
      <c r="H892" s="18">
        <v>6247.95</v>
      </c>
      <c r="I892" s="19">
        <v>419.19</v>
      </c>
      <c r="J892" s="19">
        <v>19.989999999999998</v>
      </c>
      <c r="K892" s="19" t="s">
        <v>44</v>
      </c>
      <c r="L892" s="19" t="s">
        <v>120</v>
      </c>
      <c r="M892" s="15" t="s">
        <v>121</v>
      </c>
      <c r="N892" s="15" t="s">
        <v>36</v>
      </c>
      <c r="O892" s="15" t="s">
        <v>37</v>
      </c>
      <c r="P892" s="20" t="s">
        <v>1168</v>
      </c>
      <c r="Q892" s="15" t="s">
        <v>83</v>
      </c>
      <c r="R892" s="4"/>
      <c r="S892" s="4"/>
    </row>
    <row r="893" spans="1:19" ht="21" customHeight="1" x14ac:dyDescent="0.25">
      <c r="A893" s="14">
        <f>DATE(2012,12,31)-1235</f>
        <v>40039</v>
      </c>
      <c r="B893" s="15" t="s">
        <v>818</v>
      </c>
      <c r="C893" s="15" t="s">
        <v>85</v>
      </c>
      <c r="D893" s="16">
        <v>43</v>
      </c>
      <c r="E893" s="17">
        <v>92.63</v>
      </c>
      <c r="F893" s="16">
        <v>0.05</v>
      </c>
      <c r="G893" s="15" t="s">
        <v>32</v>
      </c>
      <c r="H893" s="18">
        <v>-70.8</v>
      </c>
      <c r="I893" s="19">
        <v>2.08</v>
      </c>
      <c r="J893" s="19">
        <v>2.56</v>
      </c>
      <c r="K893" s="19" t="s">
        <v>124</v>
      </c>
      <c r="L893" s="19" t="s">
        <v>319</v>
      </c>
      <c r="M893" s="15" t="s">
        <v>320</v>
      </c>
      <c r="N893" s="15" t="s">
        <v>36</v>
      </c>
      <c r="O893" s="15" t="s">
        <v>47</v>
      </c>
      <c r="P893" s="20" t="s">
        <v>48</v>
      </c>
      <c r="Q893" s="15" t="s">
        <v>49</v>
      </c>
      <c r="R893" s="4"/>
      <c r="S893" s="4"/>
    </row>
    <row r="894" spans="1:19" ht="21" customHeight="1" x14ac:dyDescent="0.25">
      <c r="A894" s="14">
        <f>DATE(2012,12,31)-417</f>
        <v>40857</v>
      </c>
      <c r="B894" s="15" t="s">
        <v>426</v>
      </c>
      <c r="C894" s="15" t="s">
        <v>85</v>
      </c>
      <c r="D894" s="16">
        <v>30</v>
      </c>
      <c r="E894" s="17">
        <v>311.08</v>
      </c>
      <c r="F894" s="16">
        <v>0.08</v>
      </c>
      <c r="G894" s="15" t="s">
        <v>32</v>
      </c>
      <c r="H894" s="18">
        <v>-38.450000000000003</v>
      </c>
      <c r="I894" s="19">
        <v>10.89</v>
      </c>
      <c r="J894" s="19">
        <v>4.5</v>
      </c>
      <c r="K894" s="19" t="s">
        <v>33</v>
      </c>
      <c r="L894" s="19" t="s">
        <v>93</v>
      </c>
      <c r="M894" s="15" t="s">
        <v>94</v>
      </c>
      <c r="N894" s="15" t="s">
        <v>36</v>
      </c>
      <c r="O894" s="15" t="s">
        <v>176</v>
      </c>
      <c r="P894" s="20" t="s">
        <v>250</v>
      </c>
      <c r="Q894" s="15" t="s">
        <v>83</v>
      </c>
      <c r="R894" s="4"/>
      <c r="S894" s="4"/>
    </row>
    <row r="895" spans="1:19" ht="21" customHeight="1" x14ac:dyDescent="0.25">
      <c r="A895" s="14">
        <f>DATE(2012,12,31)-405</f>
        <v>40869</v>
      </c>
      <c r="B895" s="15" t="s">
        <v>764</v>
      </c>
      <c r="C895" s="15" t="s">
        <v>85</v>
      </c>
      <c r="D895" s="16">
        <v>41</v>
      </c>
      <c r="E895" s="17">
        <v>159.26</v>
      </c>
      <c r="F895" s="16">
        <v>0.01</v>
      </c>
      <c r="G895" s="15" t="s">
        <v>32</v>
      </c>
      <c r="H895" s="18">
        <v>73.89</v>
      </c>
      <c r="I895" s="19">
        <v>3.69</v>
      </c>
      <c r="J895" s="19">
        <v>0.5</v>
      </c>
      <c r="K895" s="19" t="s">
        <v>97</v>
      </c>
      <c r="L895" s="19" t="s">
        <v>132</v>
      </c>
      <c r="M895" s="15" t="s">
        <v>133</v>
      </c>
      <c r="N895" s="15" t="s">
        <v>36</v>
      </c>
      <c r="O895" s="15" t="s">
        <v>114</v>
      </c>
      <c r="P895" s="20" t="s">
        <v>1169</v>
      </c>
      <c r="Q895" s="15" t="s">
        <v>83</v>
      </c>
      <c r="R895" s="4"/>
      <c r="S895" s="4"/>
    </row>
    <row r="896" spans="1:19" ht="21" customHeight="1" x14ac:dyDescent="0.25">
      <c r="A896" s="14">
        <f>DATE(2012,12,31)-1303</f>
        <v>39971</v>
      </c>
      <c r="B896" s="15" t="s">
        <v>620</v>
      </c>
      <c r="C896" s="15" t="s">
        <v>51</v>
      </c>
      <c r="D896" s="16">
        <v>13</v>
      </c>
      <c r="E896" s="17">
        <v>59.58</v>
      </c>
      <c r="F896" s="16">
        <v>7.0000000000000007E-2</v>
      </c>
      <c r="G896" s="15" t="s">
        <v>32</v>
      </c>
      <c r="H896" s="18">
        <v>14.49</v>
      </c>
      <c r="I896" s="19">
        <v>4.76</v>
      </c>
      <c r="J896" s="19">
        <v>0.88</v>
      </c>
      <c r="K896" s="19" t="s">
        <v>97</v>
      </c>
      <c r="L896" s="19" t="s">
        <v>98</v>
      </c>
      <c r="M896" s="15" t="s">
        <v>1162</v>
      </c>
      <c r="N896" s="15" t="s">
        <v>36</v>
      </c>
      <c r="O896" s="15" t="s">
        <v>117</v>
      </c>
      <c r="P896" s="20" t="s">
        <v>599</v>
      </c>
      <c r="Q896" s="15" t="s">
        <v>79</v>
      </c>
      <c r="R896" s="4"/>
      <c r="S896" s="4"/>
    </row>
    <row r="897" spans="1:19" ht="21" customHeight="1" x14ac:dyDescent="0.25">
      <c r="A897" s="14">
        <f>DATE(2012,12,31)-960</f>
        <v>40314</v>
      </c>
      <c r="B897" s="15" t="s">
        <v>1170</v>
      </c>
      <c r="C897" s="15" t="s">
        <v>43</v>
      </c>
      <c r="D897" s="16">
        <v>7</v>
      </c>
      <c r="E897" s="17">
        <v>75.72</v>
      </c>
      <c r="F897" s="16">
        <v>0.02</v>
      </c>
      <c r="G897" s="15" t="s">
        <v>32</v>
      </c>
      <c r="H897" s="18">
        <v>20.29</v>
      </c>
      <c r="I897" s="19">
        <v>9.77</v>
      </c>
      <c r="J897" s="19">
        <v>6.02</v>
      </c>
      <c r="K897" s="19" t="s">
        <v>124</v>
      </c>
      <c r="L897" s="19" t="s">
        <v>160</v>
      </c>
      <c r="M897" s="15" t="s">
        <v>888</v>
      </c>
      <c r="N897" s="15" t="s">
        <v>54</v>
      </c>
      <c r="O897" s="15" t="s">
        <v>55</v>
      </c>
      <c r="P897" s="20" t="s">
        <v>1171</v>
      </c>
      <c r="Q897" s="15" t="s">
        <v>57</v>
      </c>
      <c r="R897" s="4"/>
      <c r="S897" s="4"/>
    </row>
    <row r="898" spans="1:19" ht="21" customHeight="1" x14ac:dyDescent="0.25">
      <c r="A898" s="14">
        <f>DATE(2012,12,31)-960</f>
        <v>40314</v>
      </c>
      <c r="B898" s="15" t="s">
        <v>1170</v>
      </c>
      <c r="C898" s="15" t="s">
        <v>43</v>
      </c>
      <c r="D898" s="16">
        <v>38</v>
      </c>
      <c r="E898" s="17">
        <v>225.21</v>
      </c>
      <c r="F898" s="16">
        <v>0.06</v>
      </c>
      <c r="G898" s="15" t="s">
        <v>32</v>
      </c>
      <c r="H898" s="18">
        <v>-66.16</v>
      </c>
      <c r="I898" s="19">
        <v>5.98</v>
      </c>
      <c r="J898" s="19">
        <v>5.2</v>
      </c>
      <c r="K898" s="19" t="s">
        <v>44</v>
      </c>
      <c r="L898" s="19" t="s">
        <v>80</v>
      </c>
      <c r="M898" s="15" t="s">
        <v>991</v>
      </c>
      <c r="N898" s="15" t="s">
        <v>36</v>
      </c>
      <c r="O898" s="15" t="s">
        <v>117</v>
      </c>
      <c r="P898" s="20" t="s">
        <v>874</v>
      </c>
      <c r="Q898" s="15" t="s">
        <v>83</v>
      </c>
      <c r="R898" s="4"/>
      <c r="S898" s="4"/>
    </row>
    <row r="899" spans="1:19" ht="21" customHeight="1" x14ac:dyDescent="0.25">
      <c r="A899" s="14">
        <f>DATE(2012,12,31)-1313</f>
        <v>39961</v>
      </c>
      <c r="B899" s="15" t="s">
        <v>1172</v>
      </c>
      <c r="C899" s="15" t="s">
        <v>85</v>
      </c>
      <c r="D899" s="16">
        <v>1</v>
      </c>
      <c r="E899" s="17">
        <v>57.84</v>
      </c>
      <c r="F899" s="16">
        <v>7.0000000000000007E-2</v>
      </c>
      <c r="G899" s="15" t="s">
        <v>32</v>
      </c>
      <c r="H899" s="18">
        <v>-41.77</v>
      </c>
      <c r="I899" s="19">
        <v>60.97</v>
      </c>
      <c r="J899" s="19">
        <v>4.5</v>
      </c>
      <c r="K899" s="19" t="s">
        <v>33</v>
      </c>
      <c r="L899" s="19" t="s">
        <v>145</v>
      </c>
      <c r="M899" s="15" t="s">
        <v>1083</v>
      </c>
      <c r="N899" s="15" t="s">
        <v>36</v>
      </c>
      <c r="O899" s="15" t="s">
        <v>176</v>
      </c>
      <c r="P899" s="20" t="s">
        <v>571</v>
      </c>
      <c r="Q899" s="15" t="s">
        <v>83</v>
      </c>
      <c r="R899" s="4"/>
      <c r="S899" s="4"/>
    </row>
    <row r="900" spans="1:19" ht="21" customHeight="1" x14ac:dyDescent="0.25">
      <c r="A900" s="14">
        <f>DATE(2012,12,31)-1313</f>
        <v>39961</v>
      </c>
      <c r="B900" s="15" t="s">
        <v>1172</v>
      </c>
      <c r="C900" s="15" t="s">
        <v>85</v>
      </c>
      <c r="D900" s="16">
        <v>42</v>
      </c>
      <c r="E900" s="17">
        <v>3991.99</v>
      </c>
      <c r="F900" s="16">
        <v>0</v>
      </c>
      <c r="G900" s="15" t="s">
        <v>32</v>
      </c>
      <c r="H900" s="18">
        <v>-1014.11</v>
      </c>
      <c r="I900" s="19">
        <v>90.98</v>
      </c>
      <c r="J900" s="19">
        <v>56.2</v>
      </c>
      <c r="K900" s="19" t="s">
        <v>44</v>
      </c>
      <c r="L900" s="19" t="s">
        <v>52</v>
      </c>
      <c r="M900" s="15" t="s">
        <v>1029</v>
      </c>
      <c r="N900" s="15" t="s">
        <v>54</v>
      </c>
      <c r="O900" s="15" t="s">
        <v>55</v>
      </c>
      <c r="P900" s="20" t="s">
        <v>1038</v>
      </c>
      <c r="Q900" s="15" t="s">
        <v>57</v>
      </c>
      <c r="R900" s="4"/>
      <c r="S900" s="4"/>
    </row>
    <row r="901" spans="1:19" ht="21" customHeight="1" x14ac:dyDescent="0.25">
      <c r="A901" s="14">
        <f>DATE(2012,12,31)-507</f>
        <v>40767</v>
      </c>
      <c r="B901" s="15" t="s">
        <v>1173</v>
      </c>
      <c r="C901" s="15" t="s">
        <v>31</v>
      </c>
      <c r="D901" s="16">
        <v>36</v>
      </c>
      <c r="E901" s="17">
        <v>240.14</v>
      </c>
      <c r="F901" s="16">
        <v>0.06</v>
      </c>
      <c r="G901" s="15" t="s">
        <v>101</v>
      </c>
      <c r="H901" s="18">
        <v>57.78</v>
      </c>
      <c r="I901" s="19">
        <v>6.88</v>
      </c>
      <c r="J901" s="19">
        <v>2</v>
      </c>
      <c r="K901" s="19" t="s">
        <v>33</v>
      </c>
      <c r="L901" s="19" t="s">
        <v>128</v>
      </c>
      <c r="M901" s="15" t="s">
        <v>129</v>
      </c>
      <c r="N901" s="15" t="s">
        <v>36</v>
      </c>
      <c r="O901" s="15" t="s">
        <v>117</v>
      </c>
      <c r="P901" s="20" t="s">
        <v>356</v>
      </c>
      <c r="Q901" s="15" t="s">
        <v>79</v>
      </c>
      <c r="R901" s="4"/>
      <c r="S901" s="4"/>
    </row>
    <row r="902" spans="1:19" ht="21" customHeight="1" x14ac:dyDescent="0.25">
      <c r="A902" s="14">
        <f>DATE(2012,12,31)-1385</f>
        <v>39889</v>
      </c>
      <c r="B902" s="15" t="s">
        <v>1174</v>
      </c>
      <c r="C902" s="15" t="s">
        <v>85</v>
      </c>
      <c r="D902" s="16">
        <v>38</v>
      </c>
      <c r="E902" s="17">
        <v>336.85</v>
      </c>
      <c r="F902" s="16">
        <v>0.01</v>
      </c>
      <c r="G902" s="15" t="s">
        <v>101</v>
      </c>
      <c r="H902" s="18">
        <v>-40.76</v>
      </c>
      <c r="I902" s="19">
        <v>8.1199999999999992</v>
      </c>
      <c r="J902" s="19">
        <v>2.83</v>
      </c>
      <c r="K902" s="19" t="s">
        <v>33</v>
      </c>
      <c r="L902" s="19" t="s">
        <v>145</v>
      </c>
      <c r="M902" s="15" t="s">
        <v>1083</v>
      </c>
      <c r="N902" s="15" t="s">
        <v>64</v>
      </c>
      <c r="O902" s="15" t="s">
        <v>72</v>
      </c>
      <c r="P902" s="20" t="s">
        <v>879</v>
      </c>
      <c r="Q902" s="15" t="s">
        <v>49</v>
      </c>
      <c r="R902" s="4"/>
      <c r="S902" s="4"/>
    </row>
    <row r="903" spans="1:19" ht="21" customHeight="1" x14ac:dyDescent="0.25">
      <c r="A903" s="14">
        <f>DATE(2012,12,31)-80</f>
        <v>41194</v>
      </c>
      <c r="B903" s="15" t="s">
        <v>233</v>
      </c>
      <c r="C903" s="15" t="s">
        <v>85</v>
      </c>
      <c r="D903" s="16">
        <v>15</v>
      </c>
      <c r="E903" s="17">
        <v>448.07</v>
      </c>
      <c r="F903" s="16">
        <v>0.1</v>
      </c>
      <c r="G903" s="15" t="s">
        <v>32</v>
      </c>
      <c r="H903" s="18">
        <v>-141.02000000000001</v>
      </c>
      <c r="I903" s="19">
        <v>30.42</v>
      </c>
      <c r="J903" s="19">
        <v>8.65</v>
      </c>
      <c r="K903" s="19" t="s">
        <v>97</v>
      </c>
      <c r="L903" s="19" t="s">
        <v>98</v>
      </c>
      <c r="M903" s="15" t="s">
        <v>1162</v>
      </c>
      <c r="N903" s="15" t="s">
        <v>64</v>
      </c>
      <c r="O903" s="15" t="s">
        <v>72</v>
      </c>
      <c r="P903" s="20" t="s">
        <v>1175</v>
      </c>
      <c r="Q903" s="15" t="s">
        <v>83</v>
      </c>
      <c r="R903" s="4"/>
      <c r="S903" s="4"/>
    </row>
    <row r="904" spans="1:19" ht="21" customHeight="1" x14ac:dyDescent="0.25">
      <c r="A904" s="14">
        <f>DATE(2012,12,31)-80</f>
        <v>41194</v>
      </c>
      <c r="B904" s="15" t="s">
        <v>233</v>
      </c>
      <c r="C904" s="15" t="s">
        <v>85</v>
      </c>
      <c r="D904" s="16">
        <v>20</v>
      </c>
      <c r="E904" s="17">
        <v>38.29</v>
      </c>
      <c r="F904" s="16">
        <v>0.06</v>
      </c>
      <c r="G904" s="15" t="s">
        <v>32</v>
      </c>
      <c r="H904" s="18">
        <v>-16.149999999999999</v>
      </c>
      <c r="I904" s="19">
        <v>1.95</v>
      </c>
      <c r="J904" s="19">
        <v>1.63</v>
      </c>
      <c r="K904" s="19" t="s">
        <v>124</v>
      </c>
      <c r="L904" s="19" t="s">
        <v>319</v>
      </c>
      <c r="M904" s="15" t="s">
        <v>320</v>
      </c>
      <c r="N904" s="15" t="s">
        <v>36</v>
      </c>
      <c r="O904" s="15" t="s">
        <v>77</v>
      </c>
      <c r="P904" s="20" t="s">
        <v>1176</v>
      </c>
      <c r="Q904" s="15" t="s">
        <v>79</v>
      </c>
      <c r="R904" s="4"/>
      <c r="S904" s="4"/>
    </row>
    <row r="905" spans="1:19" ht="21" customHeight="1" x14ac:dyDescent="0.25">
      <c r="A905" s="14">
        <f>DATE(2012,12,31)-353</f>
        <v>40921</v>
      </c>
      <c r="B905" s="15" t="s">
        <v>1128</v>
      </c>
      <c r="C905" s="15" t="s">
        <v>51</v>
      </c>
      <c r="D905" s="16">
        <v>35</v>
      </c>
      <c r="E905" s="17">
        <v>236.99</v>
      </c>
      <c r="F905" s="16">
        <v>0.06</v>
      </c>
      <c r="G905" s="15" t="s">
        <v>32</v>
      </c>
      <c r="H905" s="18">
        <v>-95.79</v>
      </c>
      <c r="I905" s="19">
        <v>6.48</v>
      </c>
      <c r="J905" s="19">
        <v>6.74</v>
      </c>
      <c r="K905" s="19" t="s">
        <v>33</v>
      </c>
      <c r="L905" s="19" t="s">
        <v>93</v>
      </c>
      <c r="M905" s="15" t="s">
        <v>94</v>
      </c>
      <c r="N905" s="15" t="s">
        <v>36</v>
      </c>
      <c r="O905" s="15" t="s">
        <v>117</v>
      </c>
      <c r="P905" s="20" t="s">
        <v>914</v>
      </c>
      <c r="Q905" s="15" t="s">
        <v>83</v>
      </c>
      <c r="R905" s="4"/>
      <c r="S905" s="4"/>
    </row>
    <row r="906" spans="1:19" ht="21" customHeight="1" x14ac:dyDescent="0.25">
      <c r="A906" s="14">
        <f>DATE(2012,12,31)-353</f>
        <v>40921</v>
      </c>
      <c r="B906" s="15" t="s">
        <v>1128</v>
      </c>
      <c r="C906" s="15" t="s">
        <v>51</v>
      </c>
      <c r="D906" s="16">
        <v>46</v>
      </c>
      <c r="E906" s="17">
        <v>4617.3359999999993</v>
      </c>
      <c r="F906" s="16">
        <v>0.09</v>
      </c>
      <c r="G906" s="15" t="s">
        <v>32</v>
      </c>
      <c r="H906" s="18">
        <v>978.35399999999993</v>
      </c>
      <c r="I906" s="19">
        <v>125.99</v>
      </c>
      <c r="J906" s="19">
        <v>7.69</v>
      </c>
      <c r="K906" s="19" t="s">
        <v>33</v>
      </c>
      <c r="L906" s="19" t="s">
        <v>59</v>
      </c>
      <c r="M906" s="15" t="s">
        <v>60</v>
      </c>
      <c r="N906" s="15" t="s">
        <v>64</v>
      </c>
      <c r="O906" s="15" t="s">
        <v>65</v>
      </c>
      <c r="P906" s="20" t="s">
        <v>860</v>
      </c>
      <c r="Q906" s="15" t="s">
        <v>83</v>
      </c>
      <c r="R906" s="4"/>
      <c r="S906" s="4"/>
    </row>
    <row r="907" spans="1:19" ht="21" customHeight="1" x14ac:dyDescent="0.25">
      <c r="A907" s="14">
        <f>DATE(2012,12,31)-499</f>
        <v>40775</v>
      </c>
      <c r="B907" s="15" t="s">
        <v>378</v>
      </c>
      <c r="C907" s="15" t="s">
        <v>85</v>
      </c>
      <c r="D907" s="16">
        <v>16</v>
      </c>
      <c r="E907" s="17">
        <v>116.11</v>
      </c>
      <c r="F907" s="16">
        <v>0.1</v>
      </c>
      <c r="G907" s="15" t="s">
        <v>101</v>
      </c>
      <c r="H907" s="18">
        <v>-36.46</v>
      </c>
      <c r="I907" s="19">
        <v>7.64</v>
      </c>
      <c r="J907" s="19">
        <v>5.83</v>
      </c>
      <c r="K907" s="19" t="s">
        <v>33</v>
      </c>
      <c r="L907" s="19" t="s">
        <v>34</v>
      </c>
      <c r="M907" s="15" t="s">
        <v>35</v>
      </c>
      <c r="N907" s="15" t="s">
        <v>36</v>
      </c>
      <c r="O907" s="15" t="s">
        <v>117</v>
      </c>
      <c r="P907" s="20" t="s">
        <v>188</v>
      </c>
      <c r="Q907" s="15" t="s">
        <v>79</v>
      </c>
      <c r="R907" s="4"/>
      <c r="S907" s="4"/>
    </row>
    <row r="908" spans="1:19" ht="21" customHeight="1" x14ac:dyDescent="0.25">
      <c r="A908" s="14">
        <f>DATE(2012,12,31)-499</f>
        <v>40775</v>
      </c>
      <c r="B908" s="15" t="s">
        <v>378</v>
      </c>
      <c r="C908" s="15" t="s">
        <v>85</v>
      </c>
      <c r="D908" s="16">
        <v>30</v>
      </c>
      <c r="E908" s="17">
        <v>306.92</v>
      </c>
      <c r="F908" s="16">
        <v>0.05</v>
      </c>
      <c r="G908" s="15" t="s">
        <v>32</v>
      </c>
      <c r="H908" s="18">
        <v>13.46</v>
      </c>
      <c r="I908" s="19">
        <v>9.99</v>
      </c>
      <c r="J908" s="19">
        <v>5.12</v>
      </c>
      <c r="K908" s="19" t="s">
        <v>33</v>
      </c>
      <c r="L908" s="19" t="s">
        <v>34</v>
      </c>
      <c r="M908" s="15" t="s">
        <v>35</v>
      </c>
      <c r="N908" s="15" t="s">
        <v>36</v>
      </c>
      <c r="O908" s="15" t="s">
        <v>117</v>
      </c>
      <c r="P908" s="20" t="s">
        <v>920</v>
      </c>
      <c r="Q908" s="15" t="s">
        <v>83</v>
      </c>
      <c r="R908" s="4"/>
      <c r="S908" s="4"/>
    </row>
    <row r="909" spans="1:19" ht="21" customHeight="1" x14ac:dyDescent="0.25">
      <c r="A909" s="14">
        <f>DATE(2012,12,31)-35</f>
        <v>41239</v>
      </c>
      <c r="B909" s="15" t="s">
        <v>1177</v>
      </c>
      <c r="C909" s="15" t="s">
        <v>85</v>
      </c>
      <c r="D909" s="16">
        <v>35</v>
      </c>
      <c r="E909" s="17">
        <v>89.71</v>
      </c>
      <c r="F909" s="16">
        <v>0.04</v>
      </c>
      <c r="G909" s="15" t="s">
        <v>32</v>
      </c>
      <c r="H909" s="18">
        <v>20.71</v>
      </c>
      <c r="I909" s="19">
        <v>2.62</v>
      </c>
      <c r="J909" s="19">
        <v>0.8</v>
      </c>
      <c r="K909" s="19" t="s">
        <v>33</v>
      </c>
      <c r="L909" s="19" t="s">
        <v>145</v>
      </c>
      <c r="M909" s="15" t="s">
        <v>1083</v>
      </c>
      <c r="N909" s="15" t="s">
        <v>36</v>
      </c>
      <c r="O909" s="15" t="s">
        <v>105</v>
      </c>
      <c r="P909" s="20" t="s">
        <v>915</v>
      </c>
      <c r="Q909" s="15" t="s">
        <v>79</v>
      </c>
      <c r="R909" s="4"/>
      <c r="S909" s="4"/>
    </row>
    <row r="910" spans="1:19" ht="21" customHeight="1" x14ac:dyDescent="0.25">
      <c r="A910" s="14">
        <f>DATE(2012,12,31)-898</f>
        <v>40376</v>
      </c>
      <c r="B910" s="15" t="s">
        <v>1178</v>
      </c>
      <c r="C910" s="15" t="s">
        <v>51</v>
      </c>
      <c r="D910" s="16">
        <v>42</v>
      </c>
      <c r="E910" s="17">
        <v>188.23</v>
      </c>
      <c r="F910" s="16">
        <v>0.05</v>
      </c>
      <c r="G910" s="15" t="s">
        <v>32</v>
      </c>
      <c r="H910" s="18">
        <v>-145.1</v>
      </c>
      <c r="I910" s="19">
        <v>4.37</v>
      </c>
      <c r="J910" s="19">
        <v>5.15</v>
      </c>
      <c r="K910" s="19" t="s">
        <v>33</v>
      </c>
      <c r="L910" s="19" t="s">
        <v>34</v>
      </c>
      <c r="M910" s="15" t="s">
        <v>35</v>
      </c>
      <c r="N910" s="15" t="s">
        <v>36</v>
      </c>
      <c r="O910" s="15" t="s">
        <v>176</v>
      </c>
      <c r="P910" s="20" t="s">
        <v>1179</v>
      </c>
      <c r="Q910" s="15" t="s">
        <v>83</v>
      </c>
      <c r="R910" s="4"/>
      <c r="S910" s="4"/>
    </row>
    <row r="911" spans="1:19" ht="21" customHeight="1" x14ac:dyDescent="0.25">
      <c r="A911" s="14">
        <f>DATE(2012,12,31)-898</f>
        <v>40376</v>
      </c>
      <c r="B911" s="15" t="s">
        <v>1178</v>
      </c>
      <c r="C911" s="15" t="s">
        <v>51</v>
      </c>
      <c r="D911" s="16">
        <v>28</v>
      </c>
      <c r="E911" s="17">
        <v>541.95000000000005</v>
      </c>
      <c r="F911" s="16">
        <v>0.06</v>
      </c>
      <c r="G911" s="15" t="s">
        <v>32</v>
      </c>
      <c r="H911" s="18">
        <v>143.04</v>
      </c>
      <c r="I911" s="19">
        <v>19.84</v>
      </c>
      <c r="J911" s="19">
        <v>4.0999999999999996</v>
      </c>
      <c r="K911" s="19" t="s">
        <v>33</v>
      </c>
      <c r="L911" s="19" t="s">
        <v>145</v>
      </c>
      <c r="M911" s="15" t="s">
        <v>1083</v>
      </c>
      <c r="N911" s="15" t="s">
        <v>36</v>
      </c>
      <c r="O911" s="15" t="s">
        <v>77</v>
      </c>
      <c r="P911" s="20" t="s">
        <v>162</v>
      </c>
      <c r="Q911" s="15" t="s">
        <v>79</v>
      </c>
      <c r="R911" s="4"/>
      <c r="S911" s="4"/>
    </row>
    <row r="912" spans="1:19" ht="21" customHeight="1" x14ac:dyDescent="0.25">
      <c r="A912" s="14">
        <f>DATE(2012,12,31)-202</f>
        <v>41072</v>
      </c>
      <c r="B912" s="15" t="s">
        <v>983</v>
      </c>
      <c r="C912" s="15" t="s">
        <v>85</v>
      </c>
      <c r="D912" s="16">
        <v>11</v>
      </c>
      <c r="E912" s="17">
        <v>312.36</v>
      </c>
      <c r="F912" s="16">
        <v>7.0000000000000007E-2</v>
      </c>
      <c r="G912" s="15" t="s">
        <v>101</v>
      </c>
      <c r="H912" s="18">
        <v>-19.329999999999998</v>
      </c>
      <c r="I912" s="19">
        <v>28.15</v>
      </c>
      <c r="J912" s="19">
        <v>8.99</v>
      </c>
      <c r="K912" s="19" t="s">
        <v>33</v>
      </c>
      <c r="L912" s="19" t="s">
        <v>145</v>
      </c>
      <c r="M912" s="15" t="s">
        <v>1083</v>
      </c>
      <c r="N912" s="15" t="s">
        <v>36</v>
      </c>
      <c r="O912" s="15" t="s">
        <v>77</v>
      </c>
      <c r="P912" s="20" t="s">
        <v>1180</v>
      </c>
      <c r="Q912" s="15" t="s">
        <v>49</v>
      </c>
      <c r="R912" s="4"/>
      <c r="S912" s="4"/>
    </row>
    <row r="913" spans="1:19" ht="21" customHeight="1" x14ac:dyDescent="0.25">
      <c r="A913" s="14">
        <f>DATE(2012,12,31)-727</f>
        <v>40547</v>
      </c>
      <c r="B913" s="15" t="s">
        <v>875</v>
      </c>
      <c r="C913" s="15" t="s">
        <v>31</v>
      </c>
      <c r="D913" s="16">
        <v>20</v>
      </c>
      <c r="E913" s="17">
        <v>169.18</v>
      </c>
      <c r="F913" s="16">
        <v>0.09</v>
      </c>
      <c r="G913" s="15" t="s">
        <v>32</v>
      </c>
      <c r="H913" s="18">
        <v>-18.73</v>
      </c>
      <c r="I913" s="19">
        <v>8.67</v>
      </c>
      <c r="J913" s="19">
        <v>3.5</v>
      </c>
      <c r="K913" s="19" t="s">
        <v>69</v>
      </c>
      <c r="L913" s="19" t="s">
        <v>70</v>
      </c>
      <c r="M913" s="15" t="s">
        <v>989</v>
      </c>
      <c r="N913" s="15" t="s">
        <v>36</v>
      </c>
      <c r="O913" s="15" t="s">
        <v>176</v>
      </c>
      <c r="P913" s="20" t="s">
        <v>841</v>
      </c>
      <c r="Q913" s="15" t="s">
        <v>83</v>
      </c>
      <c r="R913" s="4"/>
      <c r="S913" s="4"/>
    </row>
    <row r="914" spans="1:19" ht="21" customHeight="1" x14ac:dyDescent="0.25">
      <c r="A914" s="14">
        <f>DATE(2012,12,31)-727</f>
        <v>40547</v>
      </c>
      <c r="B914" s="15" t="s">
        <v>875</v>
      </c>
      <c r="C914" s="15" t="s">
        <v>31</v>
      </c>
      <c r="D914" s="16">
        <v>37</v>
      </c>
      <c r="E914" s="17">
        <v>8252.3919999999998</v>
      </c>
      <c r="F914" s="16">
        <v>0.04</v>
      </c>
      <c r="G914" s="15" t="s">
        <v>58</v>
      </c>
      <c r="H914" s="18">
        <v>1853.19</v>
      </c>
      <c r="I914" s="19">
        <v>280.98</v>
      </c>
      <c r="J914" s="19">
        <v>35.67</v>
      </c>
      <c r="K914" s="19" t="s">
        <v>69</v>
      </c>
      <c r="L914" s="19" t="s">
        <v>70</v>
      </c>
      <c r="M914" s="15" t="s">
        <v>989</v>
      </c>
      <c r="N914" s="15" t="s">
        <v>54</v>
      </c>
      <c r="O914" s="15" t="s">
        <v>61</v>
      </c>
      <c r="P914" s="20" t="s">
        <v>368</v>
      </c>
      <c r="Q914" s="15" t="s">
        <v>63</v>
      </c>
      <c r="R914" s="4"/>
      <c r="S914" s="4"/>
    </row>
    <row r="915" spans="1:19" ht="21" customHeight="1" x14ac:dyDescent="0.25">
      <c r="A915" s="14">
        <f>DATE(2012,12,31)-1107</f>
        <v>40167</v>
      </c>
      <c r="B915" s="15" t="s">
        <v>1048</v>
      </c>
      <c r="C915" s="15" t="s">
        <v>85</v>
      </c>
      <c r="D915" s="16">
        <v>12</v>
      </c>
      <c r="E915" s="17">
        <v>17274.87</v>
      </c>
      <c r="F915" s="16">
        <v>0.02</v>
      </c>
      <c r="G915" s="15" t="s">
        <v>58</v>
      </c>
      <c r="H915" s="18">
        <v>2028.12</v>
      </c>
      <c r="I915" s="19">
        <v>1360.14</v>
      </c>
      <c r="J915" s="19">
        <v>14.7</v>
      </c>
      <c r="K915" s="19" t="s">
        <v>69</v>
      </c>
      <c r="L915" s="19" t="s">
        <v>70</v>
      </c>
      <c r="M915" s="15" t="s">
        <v>989</v>
      </c>
      <c r="N915" s="15" t="s">
        <v>64</v>
      </c>
      <c r="O915" s="15" t="s">
        <v>122</v>
      </c>
      <c r="P915" s="20" t="s">
        <v>462</v>
      </c>
      <c r="Q915" s="15" t="s">
        <v>181</v>
      </c>
      <c r="R915" s="4"/>
      <c r="S915" s="4"/>
    </row>
    <row r="916" spans="1:19" ht="21" customHeight="1" x14ac:dyDescent="0.25">
      <c r="A916" s="14">
        <f>DATE(2012,12,31)-710</f>
        <v>40564</v>
      </c>
      <c r="B916" s="15" t="s">
        <v>1181</v>
      </c>
      <c r="C916" s="15" t="s">
        <v>31</v>
      </c>
      <c r="D916" s="16">
        <v>26</v>
      </c>
      <c r="E916" s="17">
        <v>448.23</v>
      </c>
      <c r="F916" s="16">
        <v>0.01</v>
      </c>
      <c r="G916" s="15" t="s">
        <v>32</v>
      </c>
      <c r="H916" s="18">
        <v>110.6</v>
      </c>
      <c r="I916" s="19">
        <v>15.98</v>
      </c>
      <c r="J916" s="19">
        <v>4</v>
      </c>
      <c r="K916" s="19" t="s">
        <v>69</v>
      </c>
      <c r="L916" s="19" t="s">
        <v>70</v>
      </c>
      <c r="M916" s="15" t="s">
        <v>989</v>
      </c>
      <c r="N916" s="15" t="s">
        <v>64</v>
      </c>
      <c r="O916" s="15" t="s">
        <v>72</v>
      </c>
      <c r="P916" s="20" t="s">
        <v>344</v>
      </c>
      <c r="Q916" s="15" t="s">
        <v>83</v>
      </c>
      <c r="R916" s="4"/>
      <c r="S916" s="4"/>
    </row>
    <row r="917" spans="1:19" ht="21" customHeight="1" x14ac:dyDescent="0.25">
      <c r="A917" s="14">
        <f>DATE(2012,12,31)-590</f>
        <v>40684</v>
      </c>
      <c r="B917" s="15" t="s">
        <v>541</v>
      </c>
      <c r="C917" s="15" t="s">
        <v>85</v>
      </c>
      <c r="D917" s="16">
        <v>21</v>
      </c>
      <c r="E917" s="17">
        <v>748.83</v>
      </c>
      <c r="F917" s="16">
        <v>0.01</v>
      </c>
      <c r="G917" s="15" t="s">
        <v>32</v>
      </c>
      <c r="H917" s="18">
        <v>250.01</v>
      </c>
      <c r="I917" s="19">
        <v>33.979999999999997</v>
      </c>
      <c r="J917" s="19">
        <v>1.99</v>
      </c>
      <c r="K917" s="19" t="s">
        <v>69</v>
      </c>
      <c r="L917" s="19" t="s">
        <v>215</v>
      </c>
      <c r="M917" s="15" t="s">
        <v>1133</v>
      </c>
      <c r="N917" s="15" t="s">
        <v>64</v>
      </c>
      <c r="O917" s="15" t="s">
        <v>72</v>
      </c>
      <c r="P917" s="20" t="s">
        <v>997</v>
      </c>
      <c r="Q917" s="15" t="s">
        <v>49</v>
      </c>
      <c r="R917" s="4"/>
      <c r="S917" s="4"/>
    </row>
    <row r="918" spans="1:19" ht="21" customHeight="1" x14ac:dyDescent="0.25">
      <c r="A918" s="14">
        <f>DATE(2012,12,31)-1126</f>
        <v>40148</v>
      </c>
      <c r="B918" s="15" t="s">
        <v>279</v>
      </c>
      <c r="C918" s="15" t="s">
        <v>31</v>
      </c>
      <c r="D918" s="16">
        <v>29</v>
      </c>
      <c r="E918" s="17">
        <v>194.29</v>
      </c>
      <c r="F918" s="16">
        <v>0.09</v>
      </c>
      <c r="G918" s="15" t="s">
        <v>32</v>
      </c>
      <c r="H918" s="18">
        <v>-177.17</v>
      </c>
      <c r="I918" s="19">
        <v>6.84</v>
      </c>
      <c r="J918" s="19">
        <v>8.3699999999999992</v>
      </c>
      <c r="K918" s="19" t="s">
        <v>69</v>
      </c>
      <c r="L918" s="19" t="s">
        <v>215</v>
      </c>
      <c r="M918" s="15" t="s">
        <v>1133</v>
      </c>
      <c r="N918" s="15" t="s">
        <v>36</v>
      </c>
      <c r="O918" s="15" t="s">
        <v>47</v>
      </c>
      <c r="P918" s="20" t="s">
        <v>1182</v>
      </c>
      <c r="Q918" s="15" t="s">
        <v>49</v>
      </c>
      <c r="R918" s="4"/>
      <c r="S918" s="4"/>
    </row>
    <row r="919" spans="1:19" ht="21" customHeight="1" x14ac:dyDescent="0.25">
      <c r="A919" s="14">
        <f>DATE(2012,12,31)-1126</f>
        <v>40148</v>
      </c>
      <c r="B919" s="15" t="s">
        <v>279</v>
      </c>
      <c r="C919" s="15" t="s">
        <v>31</v>
      </c>
      <c r="D919" s="16">
        <v>33</v>
      </c>
      <c r="E919" s="17">
        <v>1621.1</v>
      </c>
      <c r="F919" s="16">
        <v>7.0000000000000007E-2</v>
      </c>
      <c r="G919" s="15" t="s">
        <v>101</v>
      </c>
      <c r="H919" s="18">
        <v>-971.36</v>
      </c>
      <c r="I919" s="19">
        <v>48.91</v>
      </c>
      <c r="J919" s="19">
        <v>35</v>
      </c>
      <c r="K919" s="19" t="s">
        <v>111</v>
      </c>
      <c r="L919" s="19" t="s">
        <v>112</v>
      </c>
      <c r="M919" s="15" t="s">
        <v>1183</v>
      </c>
      <c r="N919" s="15" t="s">
        <v>36</v>
      </c>
      <c r="O919" s="15" t="s">
        <v>37</v>
      </c>
      <c r="P919" s="20" t="s">
        <v>1184</v>
      </c>
      <c r="Q919" s="15" t="s">
        <v>39</v>
      </c>
      <c r="R919" s="4"/>
      <c r="S919" s="4"/>
    </row>
    <row r="920" spans="1:19" ht="21" customHeight="1" x14ac:dyDescent="0.25">
      <c r="A920" s="14">
        <f>DATE(2012,12,31)-529</f>
        <v>40745</v>
      </c>
      <c r="B920" s="15" t="s">
        <v>1185</v>
      </c>
      <c r="C920" s="15" t="s">
        <v>31</v>
      </c>
      <c r="D920" s="16">
        <v>36</v>
      </c>
      <c r="E920" s="17">
        <v>18028.07</v>
      </c>
      <c r="F920" s="16">
        <v>0.02</v>
      </c>
      <c r="G920" s="15" t="s">
        <v>58</v>
      </c>
      <c r="H920" s="18">
        <v>8157.7</v>
      </c>
      <c r="I920" s="19">
        <v>500.98</v>
      </c>
      <c r="J920" s="19">
        <v>28.14</v>
      </c>
      <c r="K920" s="19" t="s">
        <v>44</v>
      </c>
      <c r="L920" s="19" t="s">
        <v>120</v>
      </c>
      <c r="M920" s="15" t="s">
        <v>121</v>
      </c>
      <c r="N920" s="15" t="s">
        <v>64</v>
      </c>
      <c r="O920" s="15" t="s">
        <v>122</v>
      </c>
      <c r="P920" s="20" t="s">
        <v>231</v>
      </c>
      <c r="Q920" s="15" t="s">
        <v>181</v>
      </c>
      <c r="R920" s="4"/>
      <c r="S920" s="4"/>
    </row>
    <row r="921" spans="1:19" ht="21" customHeight="1" x14ac:dyDescent="0.25">
      <c r="A921" s="14">
        <f>DATE(2012,12,31)-869</f>
        <v>40405</v>
      </c>
      <c r="B921" s="15" t="s">
        <v>820</v>
      </c>
      <c r="C921" s="15" t="s">
        <v>51</v>
      </c>
      <c r="D921" s="16">
        <v>23</v>
      </c>
      <c r="E921" s="17">
        <v>21062.91</v>
      </c>
      <c r="F921" s="16">
        <v>0.01</v>
      </c>
      <c r="G921" s="15" t="s">
        <v>58</v>
      </c>
      <c r="H921" s="18">
        <v>5713.53</v>
      </c>
      <c r="I921" s="19">
        <v>880.98</v>
      </c>
      <c r="J921" s="19">
        <v>44.55</v>
      </c>
      <c r="K921" s="19" t="s">
        <v>44</v>
      </c>
      <c r="L921" s="19" t="s">
        <v>89</v>
      </c>
      <c r="M921" s="15" t="s">
        <v>734</v>
      </c>
      <c r="N921" s="15" t="s">
        <v>54</v>
      </c>
      <c r="O921" s="15" t="s">
        <v>134</v>
      </c>
      <c r="P921" s="20" t="s">
        <v>668</v>
      </c>
      <c r="Q921" s="15" t="s">
        <v>63</v>
      </c>
      <c r="R921" s="4"/>
      <c r="S921" s="4"/>
    </row>
    <row r="922" spans="1:19" ht="21" customHeight="1" x14ac:dyDescent="0.25">
      <c r="A922" s="14">
        <f>DATE(2012,12,31)-1326</f>
        <v>39948</v>
      </c>
      <c r="B922" s="15" t="s">
        <v>961</v>
      </c>
      <c r="C922" s="15" t="s">
        <v>85</v>
      </c>
      <c r="D922" s="16">
        <v>45</v>
      </c>
      <c r="E922" s="17">
        <v>1802</v>
      </c>
      <c r="F922" s="16">
        <v>0.02</v>
      </c>
      <c r="G922" s="15" t="s">
        <v>32</v>
      </c>
      <c r="H922" s="18">
        <v>508.96299999999997</v>
      </c>
      <c r="I922" s="19">
        <v>39.06</v>
      </c>
      <c r="J922" s="19">
        <v>10.55</v>
      </c>
      <c r="K922" s="19" t="s">
        <v>44</v>
      </c>
      <c r="L922" s="19" t="s">
        <v>45</v>
      </c>
      <c r="M922" s="15" t="s">
        <v>46</v>
      </c>
      <c r="N922" s="15" t="s">
        <v>36</v>
      </c>
      <c r="O922" s="15" t="s">
        <v>170</v>
      </c>
      <c r="P922" s="20" t="s">
        <v>1186</v>
      </c>
      <c r="Q922" s="15" t="s">
        <v>83</v>
      </c>
      <c r="R922" s="4"/>
      <c r="S922" s="4"/>
    </row>
    <row r="923" spans="1:19" ht="21" customHeight="1" x14ac:dyDescent="0.25">
      <c r="A923" s="14">
        <f>DATE(2012,12,31)-1326</f>
        <v>39948</v>
      </c>
      <c r="B923" s="15" t="s">
        <v>961</v>
      </c>
      <c r="C923" s="15" t="s">
        <v>85</v>
      </c>
      <c r="D923" s="16">
        <v>50</v>
      </c>
      <c r="E923" s="17">
        <v>1832.22</v>
      </c>
      <c r="F923" s="16">
        <v>0.1</v>
      </c>
      <c r="G923" s="15" t="s">
        <v>32</v>
      </c>
      <c r="H923" s="18">
        <v>805.43450000000007</v>
      </c>
      <c r="I923" s="19">
        <v>37.700000000000003</v>
      </c>
      <c r="J923" s="19">
        <v>2.99</v>
      </c>
      <c r="K923" s="19" t="s">
        <v>44</v>
      </c>
      <c r="L923" s="19" t="s">
        <v>80</v>
      </c>
      <c r="M923" s="15" t="s">
        <v>991</v>
      </c>
      <c r="N923" s="15" t="s">
        <v>36</v>
      </c>
      <c r="O923" s="15" t="s">
        <v>170</v>
      </c>
      <c r="P923" s="20" t="s">
        <v>391</v>
      </c>
      <c r="Q923" s="15" t="s">
        <v>83</v>
      </c>
      <c r="R923" s="4"/>
      <c r="S923" s="4"/>
    </row>
    <row r="924" spans="1:19" ht="21" customHeight="1" x14ac:dyDescent="0.25">
      <c r="A924" s="14">
        <f>DATE(2012,12,31)-990</f>
        <v>40284</v>
      </c>
      <c r="B924" s="15" t="s">
        <v>970</v>
      </c>
      <c r="C924" s="15" t="s">
        <v>31</v>
      </c>
      <c r="D924" s="16">
        <v>47</v>
      </c>
      <c r="E924" s="17">
        <v>19224.919999999998</v>
      </c>
      <c r="F924" s="16">
        <v>0.1</v>
      </c>
      <c r="G924" s="15" t="s">
        <v>58</v>
      </c>
      <c r="H924" s="18">
        <v>6635.15</v>
      </c>
      <c r="I924" s="19">
        <v>449.99</v>
      </c>
      <c r="J924" s="19">
        <v>49</v>
      </c>
      <c r="K924" s="19" t="s">
        <v>44</v>
      </c>
      <c r="L924" s="19" t="s">
        <v>89</v>
      </c>
      <c r="M924" s="15" t="s">
        <v>734</v>
      </c>
      <c r="N924" s="15" t="s">
        <v>64</v>
      </c>
      <c r="O924" s="15" t="s">
        <v>460</v>
      </c>
      <c r="P924" s="20" t="s">
        <v>511</v>
      </c>
      <c r="Q924" s="15" t="s">
        <v>181</v>
      </c>
      <c r="R924" s="4"/>
      <c r="S924" s="4"/>
    </row>
    <row r="925" spans="1:19" ht="21" customHeight="1" x14ac:dyDescent="0.25">
      <c r="A925" s="14">
        <f>DATE(2012,12,31)-990</f>
        <v>40284</v>
      </c>
      <c r="B925" s="15" t="s">
        <v>970</v>
      </c>
      <c r="C925" s="15" t="s">
        <v>31</v>
      </c>
      <c r="D925" s="16">
        <v>39</v>
      </c>
      <c r="E925" s="17">
        <v>778.62</v>
      </c>
      <c r="F925" s="16">
        <v>0</v>
      </c>
      <c r="G925" s="15" t="s">
        <v>32</v>
      </c>
      <c r="H925" s="18">
        <v>247.24</v>
      </c>
      <c r="I925" s="19">
        <v>19.23</v>
      </c>
      <c r="J925" s="19">
        <v>6.15</v>
      </c>
      <c r="K925" s="19" t="s">
        <v>44</v>
      </c>
      <c r="L925" s="19" t="s">
        <v>120</v>
      </c>
      <c r="M925" s="15" t="s">
        <v>121</v>
      </c>
      <c r="N925" s="15" t="s">
        <v>54</v>
      </c>
      <c r="O925" s="15" t="s">
        <v>55</v>
      </c>
      <c r="P925" s="20" t="s">
        <v>1187</v>
      </c>
      <c r="Q925" s="15" t="s">
        <v>49</v>
      </c>
      <c r="R925" s="4"/>
      <c r="S925" s="4"/>
    </row>
    <row r="926" spans="1:19" ht="21" customHeight="1" x14ac:dyDescent="0.25">
      <c r="A926" s="14">
        <f>DATE(2012,12,31)-221</f>
        <v>41053</v>
      </c>
      <c r="B926" s="15" t="s">
        <v>1188</v>
      </c>
      <c r="C926" s="15" t="s">
        <v>85</v>
      </c>
      <c r="D926" s="16">
        <v>16</v>
      </c>
      <c r="E926" s="17">
        <v>40.85</v>
      </c>
      <c r="F926" s="16">
        <v>0.09</v>
      </c>
      <c r="G926" s="15" t="s">
        <v>32</v>
      </c>
      <c r="H926" s="18">
        <v>6.46</v>
      </c>
      <c r="I926" s="19">
        <v>2.62</v>
      </c>
      <c r="J926" s="19">
        <v>0.8</v>
      </c>
      <c r="K926" s="19" t="s">
        <v>44</v>
      </c>
      <c r="L926" s="19" t="s">
        <v>80</v>
      </c>
      <c r="M926" s="15" t="s">
        <v>991</v>
      </c>
      <c r="N926" s="15" t="s">
        <v>36</v>
      </c>
      <c r="O926" s="15" t="s">
        <v>105</v>
      </c>
      <c r="P926" s="20" t="s">
        <v>915</v>
      </c>
      <c r="Q926" s="15" t="s">
        <v>79</v>
      </c>
      <c r="R926" s="4"/>
      <c r="S926" s="4"/>
    </row>
    <row r="927" spans="1:19" ht="21" customHeight="1" x14ac:dyDescent="0.25">
      <c r="A927" s="14">
        <f>DATE(2012,12,31)-187</f>
        <v>41087</v>
      </c>
      <c r="B927" s="15" t="s">
        <v>1189</v>
      </c>
      <c r="C927" s="15" t="s">
        <v>31</v>
      </c>
      <c r="D927" s="16">
        <v>49</v>
      </c>
      <c r="E927" s="17">
        <v>295.24</v>
      </c>
      <c r="F927" s="16">
        <v>0.08</v>
      </c>
      <c r="G927" s="15" t="s">
        <v>101</v>
      </c>
      <c r="H927" s="18">
        <v>-279.93299999999999</v>
      </c>
      <c r="I927" s="19">
        <v>5.81</v>
      </c>
      <c r="J927" s="19">
        <v>8.49</v>
      </c>
      <c r="K927" s="19" t="s">
        <v>44</v>
      </c>
      <c r="L927" s="19" t="s">
        <v>89</v>
      </c>
      <c r="M927" s="15" t="s">
        <v>734</v>
      </c>
      <c r="N927" s="15" t="s">
        <v>36</v>
      </c>
      <c r="O927" s="15" t="s">
        <v>170</v>
      </c>
      <c r="P927" s="20" t="s">
        <v>1190</v>
      </c>
      <c r="Q927" s="15" t="s">
        <v>83</v>
      </c>
      <c r="R927" s="4"/>
      <c r="S927" s="4"/>
    </row>
    <row r="928" spans="1:19" ht="21" customHeight="1" x14ac:dyDescent="0.25">
      <c r="A928" s="14">
        <f>DATE(2012,12,31)-844</f>
        <v>40430</v>
      </c>
      <c r="B928" s="15" t="s">
        <v>823</v>
      </c>
      <c r="C928" s="15" t="s">
        <v>43</v>
      </c>
      <c r="D928" s="16">
        <v>31</v>
      </c>
      <c r="E928" s="17">
        <v>164.62</v>
      </c>
      <c r="F928" s="16">
        <v>0.03</v>
      </c>
      <c r="G928" s="15" t="s">
        <v>32</v>
      </c>
      <c r="H928" s="18">
        <v>-93.713499999999996</v>
      </c>
      <c r="I928" s="19">
        <v>5.18</v>
      </c>
      <c r="J928" s="19">
        <v>5.74</v>
      </c>
      <c r="K928" s="19" t="s">
        <v>44</v>
      </c>
      <c r="L928" s="19" t="s">
        <v>89</v>
      </c>
      <c r="M928" s="15" t="s">
        <v>734</v>
      </c>
      <c r="N928" s="15" t="s">
        <v>36</v>
      </c>
      <c r="O928" s="15" t="s">
        <v>170</v>
      </c>
      <c r="P928" s="20" t="s">
        <v>427</v>
      </c>
      <c r="Q928" s="15" t="s">
        <v>83</v>
      </c>
      <c r="R928" s="4"/>
      <c r="S928" s="4"/>
    </row>
    <row r="929" spans="1:19" ht="21" customHeight="1" x14ac:dyDescent="0.25">
      <c r="A929" s="14">
        <f>DATE(2012,12,31)-844</f>
        <v>40430</v>
      </c>
      <c r="B929" s="15" t="s">
        <v>823</v>
      </c>
      <c r="C929" s="15" t="s">
        <v>43</v>
      </c>
      <c r="D929" s="16">
        <v>36</v>
      </c>
      <c r="E929" s="17">
        <v>4225.7700000000004</v>
      </c>
      <c r="F929" s="16">
        <v>0.08</v>
      </c>
      <c r="G929" s="15" t="s">
        <v>58</v>
      </c>
      <c r="H929" s="18">
        <v>-1393.69</v>
      </c>
      <c r="I929" s="19">
        <v>120.98</v>
      </c>
      <c r="J929" s="19">
        <v>58.64</v>
      </c>
      <c r="K929" s="19" t="s">
        <v>44</v>
      </c>
      <c r="L929" s="19" t="s">
        <v>120</v>
      </c>
      <c r="M929" s="15" t="s">
        <v>121</v>
      </c>
      <c r="N929" s="15" t="s">
        <v>54</v>
      </c>
      <c r="O929" s="15" t="s">
        <v>134</v>
      </c>
      <c r="P929" s="20" t="s">
        <v>280</v>
      </c>
      <c r="Q929" s="15" t="s">
        <v>63</v>
      </c>
      <c r="R929" s="4"/>
      <c r="S929" s="4"/>
    </row>
    <row r="930" spans="1:19" ht="21" customHeight="1" x14ac:dyDescent="0.25">
      <c r="A930" s="14">
        <f>DATE(2012,12,31)-844</f>
        <v>40430</v>
      </c>
      <c r="B930" s="15" t="s">
        <v>823</v>
      </c>
      <c r="C930" s="15" t="s">
        <v>43</v>
      </c>
      <c r="D930" s="16">
        <v>8</v>
      </c>
      <c r="E930" s="17">
        <v>53.89</v>
      </c>
      <c r="F930" s="16">
        <v>0.01</v>
      </c>
      <c r="G930" s="15" t="s">
        <v>32</v>
      </c>
      <c r="H930" s="18">
        <v>17.63</v>
      </c>
      <c r="I930" s="19">
        <v>6.3</v>
      </c>
      <c r="J930" s="19">
        <v>0.5</v>
      </c>
      <c r="K930" s="19" t="s">
        <v>44</v>
      </c>
      <c r="L930" s="19" t="s">
        <v>120</v>
      </c>
      <c r="M930" s="15" t="s">
        <v>121</v>
      </c>
      <c r="N930" s="15" t="s">
        <v>36</v>
      </c>
      <c r="O930" s="15" t="s">
        <v>114</v>
      </c>
      <c r="P930" s="20" t="s">
        <v>703</v>
      </c>
      <c r="Q930" s="15" t="s">
        <v>83</v>
      </c>
      <c r="R930" s="4"/>
      <c r="S930" s="4"/>
    </row>
    <row r="931" spans="1:19" ht="21" customHeight="1" x14ac:dyDescent="0.25">
      <c r="A931" s="14">
        <f>DATE(2012,12,31)-1220</f>
        <v>40054</v>
      </c>
      <c r="B931" s="15" t="s">
        <v>1191</v>
      </c>
      <c r="C931" s="15" t="s">
        <v>31</v>
      </c>
      <c r="D931" s="16">
        <v>12</v>
      </c>
      <c r="E931" s="17">
        <v>33.43</v>
      </c>
      <c r="F931" s="16">
        <v>0.06</v>
      </c>
      <c r="G931" s="15" t="s">
        <v>32</v>
      </c>
      <c r="H931" s="18">
        <v>8.4700000000000006</v>
      </c>
      <c r="I931" s="19">
        <v>2.89</v>
      </c>
      <c r="J931" s="19">
        <v>0.5</v>
      </c>
      <c r="K931" s="19" t="s">
        <v>44</v>
      </c>
      <c r="L931" s="19" t="s">
        <v>89</v>
      </c>
      <c r="M931" s="15" t="s">
        <v>734</v>
      </c>
      <c r="N931" s="15" t="s">
        <v>36</v>
      </c>
      <c r="O931" s="15" t="s">
        <v>114</v>
      </c>
      <c r="P931" s="20" t="s">
        <v>115</v>
      </c>
      <c r="Q931" s="15" t="s">
        <v>83</v>
      </c>
      <c r="R931" s="4"/>
      <c r="S931" s="4"/>
    </row>
    <row r="932" spans="1:19" ht="21" customHeight="1" x14ac:dyDescent="0.25">
      <c r="A932" s="14">
        <f>DATE(2012,12,31)-827</f>
        <v>40447</v>
      </c>
      <c r="B932" s="15" t="s">
        <v>230</v>
      </c>
      <c r="C932" s="15" t="s">
        <v>31</v>
      </c>
      <c r="D932" s="16">
        <v>7</v>
      </c>
      <c r="E932" s="17">
        <v>53.14</v>
      </c>
      <c r="F932" s="16">
        <v>0.04</v>
      </c>
      <c r="G932" s="15" t="s">
        <v>32</v>
      </c>
      <c r="H932" s="18">
        <v>14.57</v>
      </c>
      <c r="I932" s="19">
        <v>6.64</v>
      </c>
      <c r="J932" s="19">
        <v>4.95</v>
      </c>
      <c r="K932" s="19" t="s">
        <v>33</v>
      </c>
      <c r="L932" s="19" t="s">
        <v>93</v>
      </c>
      <c r="M932" s="15" t="s">
        <v>94</v>
      </c>
      <c r="N932" s="15" t="s">
        <v>54</v>
      </c>
      <c r="O932" s="15" t="s">
        <v>55</v>
      </c>
      <c r="P932" s="20" t="s">
        <v>260</v>
      </c>
      <c r="Q932" s="15" t="s">
        <v>49</v>
      </c>
      <c r="R932" s="4"/>
      <c r="S932" s="4"/>
    </row>
    <row r="933" spans="1:19" ht="21" customHeight="1" x14ac:dyDescent="0.25">
      <c r="A933" s="14">
        <f>DATE(2012,12,31)-508</f>
        <v>40766</v>
      </c>
      <c r="B933" s="15" t="s">
        <v>1192</v>
      </c>
      <c r="C933" s="15" t="s">
        <v>51</v>
      </c>
      <c r="D933" s="16">
        <v>13</v>
      </c>
      <c r="E933" s="17">
        <v>2388.636</v>
      </c>
      <c r="F933" s="16">
        <v>0.01</v>
      </c>
      <c r="G933" s="15" t="s">
        <v>32</v>
      </c>
      <c r="H933" s="18">
        <v>190.99799999999999</v>
      </c>
      <c r="I933" s="19">
        <v>205.99</v>
      </c>
      <c r="J933" s="19">
        <v>5.26</v>
      </c>
      <c r="K933" s="19" t="s">
        <v>33</v>
      </c>
      <c r="L933" s="19" t="s">
        <v>93</v>
      </c>
      <c r="M933" s="15" t="s">
        <v>94</v>
      </c>
      <c r="N933" s="15" t="s">
        <v>64</v>
      </c>
      <c r="O933" s="15" t="s">
        <v>65</v>
      </c>
      <c r="P933" s="20" t="s">
        <v>650</v>
      </c>
      <c r="Q933" s="15" t="s">
        <v>83</v>
      </c>
      <c r="R933" s="4"/>
      <c r="S933" s="4"/>
    </row>
    <row r="934" spans="1:19" ht="21" customHeight="1" x14ac:dyDescent="0.25">
      <c r="A934" s="14">
        <f>DATE(2012,12,31)-610</f>
        <v>40664</v>
      </c>
      <c r="B934" s="15" t="s">
        <v>373</v>
      </c>
      <c r="C934" s="15" t="s">
        <v>51</v>
      </c>
      <c r="D934" s="16">
        <v>20</v>
      </c>
      <c r="E934" s="17">
        <v>156.47</v>
      </c>
      <c r="F934" s="16">
        <v>0.01</v>
      </c>
      <c r="G934" s="15" t="s">
        <v>32</v>
      </c>
      <c r="H934" s="18">
        <v>-39.226500000000001</v>
      </c>
      <c r="I934" s="19">
        <v>7.1</v>
      </c>
      <c r="J934" s="19">
        <v>6.05</v>
      </c>
      <c r="K934" s="19" t="s">
        <v>97</v>
      </c>
      <c r="L934" s="19" t="s">
        <v>195</v>
      </c>
      <c r="M934" s="15" t="s">
        <v>196</v>
      </c>
      <c r="N934" s="15" t="s">
        <v>36</v>
      </c>
      <c r="O934" s="15" t="s">
        <v>170</v>
      </c>
      <c r="P934" s="20" t="s">
        <v>913</v>
      </c>
      <c r="Q934" s="15" t="s">
        <v>83</v>
      </c>
      <c r="R934" s="4"/>
      <c r="S934" s="4"/>
    </row>
    <row r="935" spans="1:19" ht="21" customHeight="1" x14ac:dyDescent="0.25">
      <c r="A935" s="14">
        <f>DATE(2012,12,31)-334</f>
        <v>40940</v>
      </c>
      <c r="B935" s="15" t="s">
        <v>1193</v>
      </c>
      <c r="C935" s="15" t="s">
        <v>85</v>
      </c>
      <c r="D935" s="16">
        <v>27</v>
      </c>
      <c r="E935" s="17">
        <v>869.78</v>
      </c>
      <c r="F935" s="16">
        <v>0.1</v>
      </c>
      <c r="G935" s="15" t="s">
        <v>32</v>
      </c>
      <c r="H935" s="18">
        <v>43.36</v>
      </c>
      <c r="I935" s="19">
        <v>34.76</v>
      </c>
      <c r="J935" s="19">
        <v>8.2200000000000006</v>
      </c>
      <c r="K935" s="19" t="s">
        <v>124</v>
      </c>
      <c r="L935" s="19" t="s">
        <v>160</v>
      </c>
      <c r="M935" s="15" t="s">
        <v>888</v>
      </c>
      <c r="N935" s="15" t="s">
        <v>36</v>
      </c>
      <c r="O935" s="15" t="s">
        <v>37</v>
      </c>
      <c r="P935" s="20" t="s">
        <v>694</v>
      </c>
      <c r="Q935" s="15" t="s">
        <v>83</v>
      </c>
      <c r="R935" s="4"/>
      <c r="S935" s="4"/>
    </row>
    <row r="936" spans="1:19" ht="21" customHeight="1" x14ac:dyDescent="0.25">
      <c r="A936" s="14">
        <f>DATE(2012,12,31)-334</f>
        <v>40940</v>
      </c>
      <c r="B936" s="15" t="s">
        <v>1193</v>
      </c>
      <c r="C936" s="15" t="s">
        <v>85</v>
      </c>
      <c r="D936" s="16">
        <v>11</v>
      </c>
      <c r="E936" s="17">
        <v>2503.0080000000003</v>
      </c>
      <c r="F936" s="16">
        <v>0.1</v>
      </c>
      <c r="G936" s="15" t="s">
        <v>58</v>
      </c>
      <c r="H936" s="18">
        <v>-298.62</v>
      </c>
      <c r="I936" s="19">
        <v>286.85000000000002</v>
      </c>
      <c r="J936" s="19">
        <v>61.76</v>
      </c>
      <c r="K936" s="19" t="s">
        <v>124</v>
      </c>
      <c r="L936" s="19" t="s">
        <v>160</v>
      </c>
      <c r="M936" s="15" t="s">
        <v>888</v>
      </c>
      <c r="N936" s="15" t="s">
        <v>54</v>
      </c>
      <c r="O936" s="15" t="s">
        <v>61</v>
      </c>
      <c r="P936" s="20" t="s">
        <v>1194</v>
      </c>
      <c r="Q936" s="15" t="s">
        <v>63</v>
      </c>
      <c r="R936" s="4"/>
      <c r="S936" s="4"/>
    </row>
    <row r="937" spans="1:19" ht="21" customHeight="1" x14ac:dyDescent="0.25">
      <c r="A937" s="14">
        <f>DATE(2012,12,31)-239</f>
        <v>41035</v>
      </c>
      <c r="B937" s="15" t="s">
        <v>1166</v>
      </c>
      <c r="C937" s="15" t="s">
        <v>85</v>
      </c>
      <c r="D937" s="16">
        <v>7</v>
      </c>
      <c r="E937" s="17">
        <v>181.32</v>
      </c>
      <c r="F937" s="16">
        <v>0.03</v>
      </c>
      <c r="G937" s="15" t="s">
        <v>32</v>
      </c>
      <c r="H937" s="18">
        <v>80.319999999999993</v>
      </c>
      <c r="I937" s="19">
        <v>25.38</v>
      </c>
      <c r="J937" s="19">
        <v>8.99</v>
      </c>
      <c r="K937" s="19" t="s">
        <v>124</v>
      </c>
      <c r="L937" s="19" t="s">
        <v>160</v>
      </c>
      <c r="M937" s="15" t="s">
        <v>888</v>
      </c>
      <c r="N937" s="15" t="s">
        <v>54</v>
      </c>
      <c r="O937" s="15" t="s">
        <v>55</v>
      </c>
      <c r="P937" s="20" t="s">
        <v>947</v>
      </c>
      <c r="Q937" s="15" t="s">
        <v>49</v>
      </c>
      <c r="R937" s="4"/>
      <c r="S937" s="4"/>
    </row>
    <row r="938" spans="1:19" ht="21" customHeight="1" x14ac:dyDescent="0.25">
      <c r="A938" s="14">
        <f>DATE(2012,12,31)-515</f>
        <v>40759</v>
      </c>
      <c r="B938" s="15" t="s">
        <v>651</v>
      </c>
      <c r="C938" s="15" t="s">
        <v>43</v>
      </c>
      <c r="D938" s="16">
        <v>41</v>
      </c>
      <c r="E938" s="17">
        <v>127.84</v>
      </c>
      <c r="F938" s="16">
        <v>0.02</v>
      </c>
      <c r="G938" s="15" t="s">
        <v>101</v>
      </c>
      <c r="H938" s="18">
        <v>12.69</v>
      </c>
      <c r="I938" s="19">
        <v>2.94</v>
      </c>
      <c r="J938" s="19">
        <v>0.96</v>
      </c>
      <c r="K938" s="19" t="s">
        <v>124</v>
      </c>
      <c r="L938" s="19" t="s">
        <v>160</v>
      </c>
      <c r="M938" s="15" t="s">
        <v>888</v>
      </c>
      <c r="N938" s="15" t="s">
        <v>36</v>
      </c>
      <c r="O938" s="15" t="s">
        <v>77</v>
      </c>
      <c r="P938" s="20" t="s">
        <v>830</v>
      </c>
      <c r="Q938" s="15" t="s">
        <v>79</v>
      </c>
      <c r="R938" s="4"/>
      <c r="S938" s="4"/>
    </row>
    <row r="939" spans="1:19" ht="21" customHeight="1" x14ac:dyDescent="0.25">
      <c r="A939" s="14">
        <f>DATE(2012,12,31)-515</f>
        <v>40759</v>
      </c>
      <c r="B939" s="15" t="s">
        <v>651</v>
      </c>
      <c r="C939" s="15" t="s">
        <v>43</v>
      </c>
      <c r="D939" s="16">
        <v>6</v>
      </c>
      <c r="E939" s="17">
        <v>11.15</v>
      </c>
      <c r="F939" s="16">
        <v>7.0000000000000007E-2</v>
      </c>
      <c r="G939" s="15" t="s">
        <v>32</v>
      </c>
      <c r="H939" s="18">
        <v>-2.62</v>
      </c>
      <c r="I939" s="19">
        <v>1.81</v>
      </c>
      <c r="J939" s="19">
        <v>0.75</v>
      </c>
      <c r="K939" s="19" t="s">
        <v>124</v>
      </c>
      <c r="L939" s="19" t="s">
        <v>164</v>
      </c>
      <c r="M939" s="15" t="s">
        <v>754</v>
      </c>
      <c r="N939" s="15" t="s">
        <v>36</v>
      </c>
      <c r="O939" s="15" t="s">
        <v>105</v>
      </c>
      <c r="P939" s="20" t="s">
        <v>1195</v>
      </c>
      <c r="Q939" s="15" t="s">
        <v>79</v>
      </c>
      <c r="R939" s="4"/>
      <c r="S939" s="4"/>
    </row>
    <row r="940" spans="1:19" ht="21" customHeight="1" x14ac:dyDescent="0.25">
      <c r="A940" s="14">
        <f>DATE(2012,12,31)-699</f>
        <v>40575</v>
      </c>
      <c r="B940" s="15" t="s">
        <v>1196</v>
      </c>
      <c r="C940" s="15" t="s">
        <v>85</v>
      </c>
      <c r="D940" s="16">
        <v>14</v>
      </c>
      <c r="E940" s="17">
        <v>730.33</v>
      </c>
      <c r="F940" s="16">
        <v>0.1</v>
      </c>
      <c r="G940" s="15" t="s">
        <v>101</v>
      </c>
      <c r="H940" s="18">
        <v>110.77</v>
      </c>
      <c r="I940" s="19">
        <v>51.98</v>
      </c>
      <c r="J940" s="19">
        <v>10.17</v>
      </c>
      <c r="K940" s="19" t="s">
        <v>124</v>
      </c>
      <c r="L940" s="19" t="s">
        <v>168</v>
      </c>
      <c r="M940" s="15" t="s">
        <v>169</v>
      </c>
      <c r="N940" s="15" t="s">
        <v>64</v>
      </c>
      <c r="O940" s="15" t="s">
        <v>122</v>
      </c>
      <c r="P940" s="20" t="s">
        <v>1197</v>
      </c>
      <c r="Q940" s="15" t="s">
        <v>57</v>
      </c>
      <c r="R940" s="4"/>
      <c r="S940" s="4"/>
    </row>
    <row r="941" spans="1:19" ht="21" customHeight="1" x14ac:dyDescent="0.25">
      <c r="A941" s="14">
        <f>DATE(2012,12,31)-1259</f>
        <v>40015</v>
      </c>
      <c r="B941" s="15" t="s">
        <v>586</v>
      </c>
      <c r="C941" s="15" t="s">
        <v>43</v>
      </c>
      <c r="D941" s="16">
        <v>50</v>
      </c>
      <c r="E941" s="17">
        <v>1262.72</v>
      </c>
      <c r="F941" s="16">
        <v>0.01</v>
      </c>
      <c r="G941" s="15" t="s">
        <v>32</v>
      </c>
      <c r="H941" s="18">
        <v>490.28</v>
      </c>
      <c r="I941" s="19">
        <v>24.95</v>
      </c>
      <c r="J941" s="19">
        <v>2.99</v>
      </c>
      <c r="K941" s="19" t="s">
        <v>124</v>
      </c>
      <c r="L941" s="19" t="s">
        <v>164</v>
      </c>
      <c r="M941" s="15" t="s">
        <v>754</v>
      </c>
      <c r="N941" s="15" t="s">
        <v>36</v>
      </c>
      <c r="O941" s="15" t="s">
        <v>170</v>
      </c>
      <c r="P941" s="20" t="s">
        <v>609</v>
      </c>
      <c r="Q941" s="15" t="s">
        <v>83</v>
      </c>
      <c r="R941" s="4"/>
      <c r="S941" s="4"/>
    </row>
    <row r="942" spans="1:19" ht="21" customHeight="1" x14ac:dyDescent="0.25">
      <c r="A942" s="14">
        <f>DATE(2012,12,31)-1259</f>
        <v>40015</v>
      </c>
      <c r="B942" s="15" t="s">
        <v>586</v>
      </c>
      <c r="C942" s="15" t="s">
        <v>43</v>
      </c>
      <c r="D942" s="16">
        <v>31</v>
      </c>
      <c r="E942" s="17">
        <v>524.19000000000005</v>
      </c>
      <c r="F942" s="16">
        <v>0</v>
      </c>
      <c r="G942" s="15" t="s">
        <v>32</v>
      </c>
      <c r="H942" s="18">
        <v>-135.46</v>
      </c>
      <c r="I942" s="19">
        <v>15.98</v>
      </c>
      <c r="J942" s="19">
        <v>8.99</v>
      </c>
      <c r="K942" s="19" t="s">
        <v>124</v>
      </c>
      <c r="L942" s="19" t="s">
        <v>164</v>
      </c>
      <c r="M942" s="15" t="s">
        <v>754</v>
      </c>
      <c r="N942" s="15" t="s">
        <v>64</v>
      </c>
      <c r="O942" s="15" t="s">
        <v>72</v>
      </c>
      <c r="P942" s="20" t="s">
        <v>1198</v>
      </c>
      <c r="Q942" s="15" t="s">
        <v>49</v>
      </c>
      <c r="R942" s="4"/>
      <c r="S942" s="4"/>
    </row>
    <row r="943" spans="1:19" ht="21" customHeight="1" x14ac:dyDescent="0.25">
      <c r="A943" s="14">
        <f>DATE(2012,12,31)-840</f>
        <v>40434</v>
      </c>
      <c r="B943" s="15" t="s">
        <v>311</v>
      </c>
      <c r="C943" s="15" t="s">
        <v>51</v>
      </c>
      <c r="D943" s="16">
        <v>22</v>
      </c>
      <c r="E943" s="17">
        <v>116.84</v>
      </c>
      <c r="F943" s="16">
        <v>0.1</v>
      </c>
      <c r="G943" s="15" t="s">
        <v>32</v>
      </c>
      <c r="H943" s="18">
        <v>-125.44199999999999</v>
      </c>
      <c r="I943" s="19">
        <v>5.4</v>
      </c>
      <c r="J943" s="19">
        <v>7.78</v>
      </c>
      <c r="K943" s="19" t="s">
        <v>44</v>
      </c>
      <c r="L943" s="19" t="s">
        <v>52</v>
      </c>
      <c r="M943" s="15" t="s">
        <v>1029</v>
      </c>
      <c r="N943" s="15" t="s">
        <v>36</v>
      </c>
      <c r="O943" s="15" t="s">
        <v>170</v>
      </c>
      <c r="P943" s="20" t="s">
        <v>186</v>
      </c>
      <c r="Q943" s="15" t="s">
        <v>83</v>
      </c>
      <c r="R943" s="4"/>
      <c r="S943" s="4"/>
    </row>
    <row r="944" spans="1:19" ht="21" customHeight="1" x14ac:dyDescent="0.25">
      <c r="A944" s="14">
        <f>DATE(2012,12,31)-1054</f>
        <v>40220</v>
      </c>
      <c r="B944" s="15" t="s">
        <v>1199</v>
      </c>
      <c r="C944" s="15" t="s">
        <v>51</v>
      </c>
      <c r="D944" s="16">
        <v>8</v>
      </c>
      <c r="E944" s="17">
        <v>81.56</v>
      </c>
      <c r="F944" s="16">
        <v>0.08</v>
      </c>
      <c r="G944" s="15" t="s">
        <v>32</v>
      </c>
      <c r="H944" s="18">
        <v>-7.23</v>
      </c>
      <c r="I944" s="19">
        <v>10.01</v>
      </c>
      <c r="J944" s="19">
        <v>1.99</v>
      </c>
      <c r="K944" s="19" t="s">
        <v>44</v>
      </c>
      <c r="L944" s="19" t="s">
        <v>52</v>
      </c>
      <c r="M944" s="15" t="s">
        <v>1029</v>
      </c>
      <c r="N944" s="15" t="s">
        <v>64</v>
      </c>
      <c r="O944" s="15" t="s">
        <v>72</v>
      </c>
      <c r="P944" s="20" t="s">
        <v>471</v>
      </c>
      <c r="Q944" s="15" t="s">
        <v>49</v>
      </c>
      <c r="R944" s="4"/>
      <c r="S944" s="4"/>
    </row>
    <row r="945" spans="1:19" ht="21" customHeight="1" x14ac:dyDescent="0.25">
      <c r="A945" s="14">
        <f>DATE(2012,12,31)-1054</f>
        <v>40220</v>
      </c>
      <c r="B945" s="15" t="s">
        <v>1199</v>
      </c>
      <c r="C945" s="15" t="s">
        <v>51</v>
      </c>
      <c r="D945" s="16">
        <v>41</v>
      </c>
      <c r="E945" s="17">
        <v>2088.5</v>
      </c>
      <c r="F945" s="16">
        <v>0.08</v>
      </c>
      <c r="G945" s="15" t="s">
        <v>32</v>
      </c>
      <c r="H945" s="18">
        <v>675.07</v>
      </c>
      <c r="I945" s="19">
        <v>51.98</v>
      </c>
      <c r="J945" s="19">
        <v>10.17</v>
      </c>
      <c r="K945" s="19" t="s">
        <v>44</v>
      </c>
      <c r="L945" s="19" t="s">
        <v>80</v>
      </c>
      <c r="M945" s="15" t="s">
        <v>1200</v>
      </c>
      <c r="N945" s="15" t="s">
        <v>64</v>
      </c>
      <c r="O945" s="15" t="s">
        <v>122</v>
      </c>
      <c r="P945" s="20" t="s">
        <v>1197</v>
      </c>
      <c r="Q945" s="15" t="s">
        <v>57</v>
      </c>
      <c r="R945" s="4"/>
      <c r="S945" s="4"/>
    </row>
    <row r="946" spans="1:19" ht="21" customHeight="1" x14ac:dyDescent="0.25">
      <c r="A946" s="14">
        <f>DATE(2012,12,31)-1054</f>
        <v>40220</v>
      </c>
      <c r="B946" s="15" t="s">
        <v>1199</v>
      </c>
      <c r="C946" s="15" t="s">
        <v>51</v>
      </c>
      <c r="D946" s="16">
        <v>34</v>
      </c>
      <c r="E946" s="17">
        <v>2126.7199999999998</v>
      </c>
      <c r="F946" s="16">
        <v>0.05</v>
      </c>
      <c r="G946" s="15" t="s">
        <v>32</v>
      </c>
      <c r="H946" s="18">
        <v>150.04</v>
      </c>
      <c r="I946" s="19">
        <v>64.98</v>
      </c>
      <c r="J946" s="19">
        <v>6.88</v>
      </c>
      <c r="K946" s="19" t="s">
        <v>44</v>
      </c>
      <c r="L946" s="19" t="s">
        <v>52</v>
      </c>
      <c r="M946" s="15" t="s">
        <v>1029</v>
      </c>
      <c r="N946" s="15" t="s">
        <v>36</v>
      </c>
      <c r="O946" s="15" t="s">
        <v>37</v>
      </c>
      <c r="P946" s="20" t="s">
        <v>727</v>
      </c>
      <c r="Q946" s="15" t="s">
        <v>83</v>
      </c>
      <c r="R946" s="4"/>
      <c r="S946" s="4"/>
    </row>
    <row r="947" spans="1:19" ht="21" customHeight="1" x14ac:dyDescent="0.25">
      <c r="A947" s="14">
        <f>DATE(2012,12,31)-1054</f>
        <v>40220</v>
      </c>
      <c r="B947" s="15" t="s">
        <v>1199</v>
      </c>
      <c r="C947" s="15" t="s">
        <v>51</v>
      </c>
      <c r="D947" s="16">
        <v>26</v>
      </c>
      <c r="E947" s="17">
        <v>3753.72</v>
      </c>
      <c r="F947" s="16">
        <v>0.05</v>
      </c>
      <c r="G947" s="15" t="s">
        <v>58</v>
      </c>
      <c r="H947" s="18">
        <v>-556.25</v>
      </c>
      <c r="I947" s="19">
        <v>138.75</v>
      </c>
      <c r="J947" s="19">
        <v>52.42</v>
      </c>
      <c r="K947" s="19" t="s">
        <v>44</v>
      </c>
      <c r="L947" s="19" t="s">
        <v>52</v>
      </c>
      <c r="M947" s="15" t="s">
        <v>1029</v>
      </c>
      <c r="N947" s="15" t="s">
        <v>54</v>
      </c>
      <c r="O947" s="15" t="s">
        <v>61</v>
      </c>
      <c r="P947" s="20" t="s">
        <v>278</v>
      </c>
      <c r="Q947" s="15" t="s">
        <v>63</v>
      </c>
      <c r="R947" s="4"/>
      <c r="S947" s="4"/>
    </row>
    <row r="948" spans="1:19" ht="21" customHeight="1" x14ac:dyDescent="0.25">
      <c r="A948" s="14">
        <f>DATE(2012,12,31)-1455</f>
        <v>39819</v>
      </c>
      <c r="B948" s="15" t="s">
        <v>516</v>
      </c>
      <c r="C948" s="15" t="s">
        <v>85</v>
      </c>
      <c r="D948" s="16">
        <v>1</v>
      </c>
      <c r="E948" s="17">
        <v>22.13</v>
      </c>
      <c r="F948" s="16">
        <v>7.0000000000000007E-2</v>
      </c>
      <c r="G948" s="15" t="s">
        <v>101</v>
      </c>
      <c r="H948" s="18">
        <v>-2.3919999999999999</v>
      </c>
      <c r="I948" s="19">
        <v>7.68</v>
      </c>
      <c r="J948" s="19">
        <v>6.16</v>
      </c>
      <c r="K948" s="19" t="s">
        <v>69</v>
      </c>
      <c r="L948" s="19" t="s">
        <v>70</v>
      </c>
      <c r="M948" s="15" t="s">
        <v>989</v>
      </c>
      <c r="N948" s="15" t="s">
        <v>36</v>
      </c>
      <c r="O948" s="15" t="s">
        <v>170</v>
      </c>
      <c r="P948" s="20" t="s">
        <v>1201</v>
      </c>
      <c r="Q948" s="15" t="s">
        <v>83</v>
      </c>
      <c r="R948" s="4"/>
      <c r="S948" s="4"/>
    </row>
    <row r="949" spans="1:19" ht="21" customHeight="1" x14ac:dyDescent="0.25">
      <c r="A949" s="14">
        <f>DATE(2012,12,31)-1455</f>
        <v>39819</v>
      </c>
      <c r="B949" s="15" t="s">
        <v>516</v>
      </c>
      <c r="C949" s="15" t="s">
        <v>85</v>
      </c>
      <c r="D949" s="16">
        <v>19</v>
      </c>
      <c r="E949" s="17">
        <v>129.84</v>
      </c>
      <c r="F949" s="16">
        <v>0.05</v>
      </c>
      <c r="G949" s="15" t="s">
        <v>101</v>
      </c>
      <c r="H949" s="18">
        <v>2.39</v>
      </c>
      <c r="I949" s="19">
        <v>6.64</v>
      </c>
      <c r="J949" s="19">
        <v>4.95</v>
      </c>
      <c r="K949" s="19" t="s">
        <v>69</v>
      </c>
      <c r="L949" s="19" t="s">
        <v>75</v>
      </c>
      <c r="M949" s="15" t="s">
        <v>75</v>
      </c>
      <c r="N949" s="15" t="s">
        <v>54</v>
      </c>
      <c r="O949" s="15" t="s">
        <v>55</v>
      </c>
      <c r="P949" s="20" t="s">
        <v>260</v>
      </c>
      <c r="Q949" s="15" t="s">
        <v>49</v>
      </c>
      <c r="R949" s="4"/>
      <c r="S949" s="4"/>
    </row>
    <row r="950" spans="1:19" ht="21" customHeight="1" x14ac:dyDescent="0.25">
      <c r="A950" s="14">
        <f>DATE(2012,12,31)-1316</f>
        <v>39958</v>
      </c>
      <c r="B950" s="15" t="s">
        <v>1202</v>
      </c>
      <c r="C950" s="15" t="s">
        <v>85</v>
      </c>
      <c r="D950" s="16">
        <v>5</v>
      </c>
      <c r="E950" s="17">
        <v>235.49</v>
      </c>
      <c r="F950" s="16">
        <v>0.06</v>
      </c>
      <c r="G950" s="15" t="s">
        <v>32</v>
      </c>
      <c r="H950" s="18">
        <v>21.78</v>
      </c>
      <c r="I950" s="19">
        <v>47.9</v>
      </c>
      <c r="J950" s="19">
        <v>5.86</v>
      </c>
      <c r="K950" s="19" t="s">
        <v>33</v>
      </c>
      <c r="L950" s="19" t="s">
        <v>59</v>
      </c>
      <c r="M950" s="15" t="s">
        <v>60</v>
      </c>
      <c r="N950" s="15" t="s">
        <v>36</v>
      </c>
      <c r="O950" s="15" t="s">
        <v>117</v>
      </c>
      <c r="P950" s="20" t="s">
        <v>698</v>
      </c>
      <c r="Q950" s="15" t="s">
        <v>83</v>
      </c>
      <c r="R950" s="4"/>
      <c r="S950" s="4"/>
    </row>
    <row r="951" spans="1:19" ht="21" customHeight="1" x14ac:dyDescent="0.25">
      <c r="A951" s="14">
        <f>DATE(2012,12,31)-1446</f>
        <v>39828</v>
      </c>
      <c r="B951" s="15" t="s">
        <v>1123</v>
      </c>
      <c r="C951" s="15" t="s">
        <v>31</v>
      </c>
      <c r="D951" s="16">
        <v>41</v>
      </c>
      <c r="E951" s="17">
        <v>217</v>
      </c>
      <c r="F951" s="16">
        <v>0.01</v>
      </c>
      <c r="G951" s="15" t="s">
        <v>32</v>
      </c>
      <c r="H951" s="18">
        <v>-61.21</v>
      </c>
      <c r="I951" s="19">
        <v>4.9800000000000004</v>
      </c>
      <c r="J951" s="19">
        <v>4.75</v>
      </c>
      <c r="K951" s="19" t="s">
        <v>69</v>
      </c>
      <c r="L951" s="19" t="s">
        <v>75</v>
      </c>
      <c r="M951" s="15" t="s">
        <v>75</v>
      </c>
      <c r="N951" s="15" t="s">
        <v>36</v>
      </c>
      <c r="O951" s="15" t="s">
        <v>117</v>
      </c>
      <c r="P951" s="20" t="s">
        <v>528</v>
      </c>
      <c r="Q951" s="15" t="s">
        <v>83</v>
      </c>
      <c r="R951" s="4"/>
      <c r="S951" s="4"/>
    </row>
    <row r="952" spans="1:19" ht="21" customHeight="1" x14ac:dyDescent="0.25">
      <c r="A952" s="14">
        <f>DATE(2012,12,31)-1446</f>
        <v>39828</v>
      </c>
      <c r="B952" s="15" t="s">
        <v>1123</v>
      </c>
      <c r="C952" s="15" t="s">
        <v>31</v>
      </c>
      <c r="D952" s="16">
        <v>47</v>
      </c>
      <c r="E952" s="17">
        <v>296.13</v>
      </c>
      <c r="F952" s="16">
        <v>0.04</v>
      </c>
      <c r="G952" s="15" t="s">
        <v>32</v>
      </c>
      <c r="H952" s="18">
        <v>119.09</v>
      </c>
      <c r="I952" s="19">
        <v>6.35</v>
      </c>
      <c r="J952" s="19">
        <v>1.02</v>
      </c>
      <c r="K952" s="19" t="s">
        <v>111</v>
      </c>
      <c r="L952" s="19" t="s">
        <v>442</v>
      </c>
      <c r="M952" s="15" t="s">
        <v>443</v>
      </c>
      <c r="N952" s="15" t="s">
        <v>36</v>
      </c>
      <c r="O952" s="15" t="s">
        <v>117</v>
      </c>
      <c r="P952" s="20" t="s">
        <v>1203</v>
      </c>
      <c r="Q952" s="15" t="s">
        <v>79</v>
      </c>
      <c r="R952" s="4"/>
      <c r="S952" s="4"/>
    </row>
    <row r="953" spans="1:19" ht="21" customHeight="1" x14ac:dyDescent="0.25">
      <c r="A953" s="14">
        <f>DATE(2012,12,31)-195</f>
        <v>41079</v>
      </c>
      <c r="B953" s="15" t="s">
        <v>1204</v>
      </c>
      <c r="C953" s="15" t="s">
        <v>31</v>
      </c>
      <c r="D953" s="16">
        <v>4</v>
      </c>
      <c r="E953" s="17">
        <v>481.27</v>
      </c>
      <c r="F953" s="16">
        <v>0.02</v>
      </c>
      <c r="G953" s="15" t="s">
        <v>58</v>
      </c>
      <c r="H953" s="18">
        <v>-181.27</v>
      </c>
      <c r="I953" s="19">
        <v>113.98</v>
      </c>
      <c r="J953" s="19">
        <v>30</v>
      </c>
      <c r="K953" s="19" t="s">
        <v>44</v>
      </c>
      <c r="L953" s="19" t="s">
        <v>89</v>
      </c>
      <c r="M953" s="15" t="s">
        <v>734</v>
      </c>
      <c r="N953" s="15" t="s">
        <v>54</v>
      </c>
      <c r="O953" s="15" t="s">
        <v>252</v>
      </c>
      <c r="P953" s="20" t="s">
        <v>521</v>
      </c>
      <c r="Q953" s="15" t="s">
        <v>181</v>
      </c>
      <c r="R953" s="4"/>
      <c r="S953" s="4"/>
    </row>
    <row r="954" spans="1:19" ht="21" customHeight="1" x14ac:dyDescent="0.25">
      <c r="A954" s="14">
        <f>DATE(2012,12,31)-195</f>
        <v>41079</v>
      </c>
      <c r="B954" s="15" t="s">
        <v>1204</v>
      </c>
      <c r="C954" s="15" t="s">
        <v>31</v>
      </c>
      <c r="D954" s="16">
        <v>40</v>
      </c>
      <c r="E954" s="17">
        <v>879.54</v>
      </c>
      <c r="F954" s="16">
        <v>0.09</v>
      </c>
      <c r="G954" s="15" t="s">
        <v>32</v>
      </c>
      <c r="H954" s="18">
        <v>166.93</v>
      </c>
      <c r="I954" s="19">
        <v>23.99</v>
      </c>
      <c r="J954" s="19">
        <v>6.3</v>
      </c>
      <c r="K954" s="19" t="s">
        <v>44</v>
      </c>
      <c r="L954" s="19" t="s">
        <v>45</v>
      </c>
      <c r="M954" s="15" t="s">
        <v>46</v>
      </c>
      <c r="N954" s="15" t="s">
        <v>64</v>
      </c>
      <c r="O954" s="15" t="s">
        <v>122</v>
      </c>
      <c r="P954" s="20" t="s">
        <v>1205</v>
      </c>
      <c r="Q954" s="15" t="s">
        <v>57</v>
      </c>
      <c r="R954" s="4"/>
      <c r="S954" s="4"/>
    </row>
    <row r="955" spans="1:19" ht="21" customHeight="1" x14ac:dyDescent="0.25">
      <c r="A955" s="14">
        <f>DATE(2012,12,31)-347</f>
        <v>40927</v>
      </c>
      <c r="B955" s="15" t="s">
        <v>369</v>
      </c>
      <c r="C955" s="15" t="s">
        <v>51</v>
      </c>
      <c r="D955" s="16">
        <v>46</v>
      </c>
      <c r="E955" s="17">
        <v>8177.07</v>
      </c>
      <c r="F955" s="16">
        <v>0.08</v>
      </c>
      <c r="G955" s="15" t="s">
        <v>32</v>
      </c>
      <c r="H955" s="18">
        <v>2385.3000000000002</v>
      </c>
      <c r="I955" s="19">
        <v>178.47</v>
      </c>
      <c r="J955" s="19">
        <v>19.989999999999998</v>
      </c>
      <c r="K955" s="19" t="s">
        <v>44</v>
      </c>
      <c r="L955" s="19" t="s">
        <v>120</v>
      </c>
      <c r="M955" s="15" t="s">
        <v>121</v>
      </c>
      <c r="N955" s="15" t="s">
        <v>36</v>
      </c>
      <c r="O955" s="15" t="s">
        <v>37</v>
      </c>
      <c r="P955" s="20" t="s">
        <v>232</v>
      </c>
      <c r="Q955" s="15" t="s">
        <v>83</v>
      </c>
      <c r="R955" s="4"/>
      <c r="S955" s="4"/>
    </row>
    <row r="956" spans="1:19" ht="21" customHeight="1" x14ac:dyDescent="0.25">
      <c r="A956" s="14">
        <f>DATE(2012,12,31)-387</f>
        <v>40887</v>
      </c>
      <c r="B956" s="15" t="s">
        <v>1173</v>
      </c>
      <c r="C956" s="15" t="s">
        <v>43</v>
      </c>
      <c r="D956" s="16">
        <v>14</v>
      </c>
      <c r="E956" s="17">
        <v>294.52</v>
      </c>
      <c r="F956" s="16">
        <v>0.09</v>
      </c>
      <c r="G956" s="15" t="s">
        <v>32</v>
      </c>
      <c r="H956" s="18">
        <v>15.34</v>
      </c>
      <c r="I956" s="19">
        <v>21.78</v>
      </c>
      <c r="J956" s="19">
        <v>5.94</v>
      </c>
      <c r="K956" s="19" t="s">
        <v>44</v>
      </c>
      <c r="L956" s="19" t="s">
        <v>80</v>
      </c>
      <c r="M956" s="15" t="s">
        <v>1200</v>
      </c>
      <c r="N956" s="15" t="s">
        <v>36</v>
      </c>
      <c r="O956" s="15" t="s">
        <v>176</v>
      </c>
      <c r="P956" s="20" t="s">
        <v>257</v>
      </c>
      <c r="Q956" s="15" t="s">
        <v>57</v>
      </c>
      <c r="R956" s="4"/>
      <c r="S956" s="4"/>
    </row>
    <row r="957" spans="1:19" ht="21" customHeight="1" x14ac:dyDescent="0.25">
      <c r="A957" s="14">
        <f>DATE(2012,12,31)-941</f>
        <v>40333</v>
      </c>
      <c r="B957" s="15" t="s">
        <v>1206</v>
      </c>
      <c r="C957" s="15" t="s">
        <v>31</v>
      </c>
      <c r="D957" s="16">
        <v>40</v>
      </c>
      <c r="E957" s="17">
        <v>436.17</v>
      </c>
      <c r="F957" s="16">
        <v>0.08</v>
      </c>
      <c r="G957" s="15" t="s">
        <v>101</v>
      </c>
      <c r="H957" s="18">
        <v>-141.27000000000001</v>
      </c>
      <c r="I957" s="19">
        <v>10.9</v>
      </c>
      <c r="J957" s="19">
        <v>7.46</v>
      </c>
      <c r="K957" s="19" t="s">
        <v>44</v>
      </c>
      <c r="L957" s="19" t="s">
        <v>52</v>
      </c>
      <c r="M957" s="15" t="s">
        <v>1029</v>
      </c>
      <c r="N957" s="15" t="s">
        <v>36</v>
      </c>
      <c r="O957" s="15" t="s">
        <v>37</v>
      </c>
      <c r="P957" s="20" t="s">
        <v>940</v>
      </c>
      <c r="Q957" s="15" t="s">
        <v>83</v>
      </c>
      <c r="R957" s="4"/>
      <c r="S957" s="4"/>
    </row>
    <row r="958" spans="1:19" ht="21" customHeight="1" x14ac:dyDescent="0.25">
      <c r="A958" s="14">
        <f>DATE(2012,12,31)-549</f>
        <v>40725</v>
      </c>
      <c r="B958" s="15" t="s">
        <v>1207</v>
      </c>
      <c r="C958" s="15" t="s">
        <v>85</v>
      </c>
      <c r="D958" s="16">
        <v>38</v>
      </c>
      <c r="E958" s="17">
        <v>1559.5</v>
      </c>
      <c r="F958" s="16">
        <v>0.01</v>
      </c>
      <c r="G958" s="15" t="s">
        <v>32</v>
      </c>
      <c r="H958" s="18">
        <v>515.83000000000004</v>
      </c>
      <c r="I958" s="19">
        <v>39.479999999999997</v>
      </c>
      <c r="J958" s="19">
        <v>1.99</v>
      </c>
      <c r="K958" s="19" t="s">
        <v>69</v>
      </c>
      <c r="L958" s="19" t="s">
        <v>75</v>
      </c>
      <c r="M958" s="15" t="s">
        <v>75</v>
      </c>
      <c r="N958" s="15" t="s">
        <v>64</v>
      </c>
      <c r="O958" s="15" t="s">
        <v>72</v>
      </c>
      <c r="P958" s="20" t="s">
        <v>218</v>
      </c>
      <c r="Q958" s="15" t="s">
        <v>49</v>
      </c>
      <c r="R958" s="4"/>
      <c r="S958" s="4"/>
    </row>
    <row r="959" spans="1:19" ht="21" customHeight="1" x14ac:dyDescent="0.25">
      <c r="A959" s="14">
        <f>DATE(2012,12,31)-531</f>
        <v>40743</v>
      </c>
      <c r="B959" s="15" t="s">
        <v>1208</v>
      </c>
      <c r="C959" s="15" t="s">
        <v>85</v>
      </c>
      <c r="D959" s="16">
        <v>9</v>
      </c>
      <c r="E959" s="17">
        <v>520.49</v>
      </c>
      <c r="F959" s="16">
        <v>0</v>
      </c>
      <c r="G959" s="15" t="s">
        <v>32</v>
      </c>
      <c r="H959" s="18">
        <v>-51.01</v>
      </c>
      <c r="I959" s="19">
        <v>51.65</v>
      </c>
      <c r="J959" s="19">
        <v>18.45</v>
      </c>
      <c r="K959" s="19" t="s">
        <v>97</v>
      </c>
      <c r="L959" s="19" t="s">
        <v>98</v>
      </c>
      <c r="M959" s="15" t="s">
        <v>1162</v>
      </c>
      <c r="N959" s="15" t="s">
        <v>54</v>
      </c>
      <c r="O959" s="15" t="s">
        <v>55</v>
      </c>
      <c r="P959" s="20" t="s">
        <v>1209</v>
      </c>
      <c r="Q959" s="15" t="s">
        <v>57</v>
      </c>
      <c r="R959" s="4"/>
      <c r="S959" s="4"/>
    </row>
    <row r="960" spans="1:19" ht="21" customHeight="1" x14ac:dyDescent="0.25">
      <c r="A960" s="14">
        <f>DATE(2012,12,31)-753</f>
        <v>40521</v>
      </c>
      <c r="B960" s="15" t="s">
        <v>1210</v>
      </c>
      <c r="C960" s="15" t="s">
        <v>43</v>
      </c>
      <c r="D960" s="16">
        <v>15</v>
      </c>
      <c r="E960" s="17">
        <v>1143.8800000000001</v>
      </c>
      <c r="F960" s="16">
        <v>0.04</v>
      </c>
      <c r="G960" s="15" t="s">
        <v>32</v>
      </c>
      <c r="H960" s="18">
        <v>-88.7</v>
      </c>
      <c r="I960" s="19">
        <v>73.98</v>
      </c>
      <c r="J960" s="19">
        <v>4</v>
      </c>
      <c r="K960" s="19" t="s">
        <v>33</v>
      </c>
      <c r="L960" s="19" t="s">
        <v>145</v>
      </c>
      <c r="M960" s="15" t="s">
        <v>1083</v>
      </c>
      <c r="N960" s="15" t="s">
        <v>64</v>
      </c>
      <c r="O960" s="15" t="s">
        <v>72</v>
      </c>
      <c r="P960" s="20" t="s">
        <v>842</v>
      </c>
      <c r="Q960" s="15" t="s">
        <v>83</v>
      </c>
      <c r="R960" s="4"/>
      <c r="S960" s="4"/>
    </row>
    <row r="961" spans="1:19" ht="21" customHeight="1" x14ac:dyDescent="0.25">
      <c r="A961" s="14">
        <f>DATE(2012,12,31)-280</f>
        <v>40994</v>
      </c>
      <c r="B961" s="15" t="s">
        <v>1211</v>
      </c>
      <c r="C961" s="15" t="s">
        <v>31</v>
      </c>
      <c r="D961" s="16">
        <v>4</v>
      </c>
      <c r="E961" s="17">
        <v>187.39949999999999</v>
      </c>
      <c r="F961" s="16">
        <v>0.08</v>
      </c>
      <c r="G961" s="15" t="s">
        <v>32</v>
      </c>
      <c r="H961" s="18">
        <v>-225.30199999999999</v>
      </c>
      <c r="I961" s="19">
        <v>55.99</v>
      </c>
      <c r="J961" s="19">
        <v>3.3</v>
      </c>
      <c r="K961" s="19" t="s">
        <v>33</v>
      </c>
      <c r="L961" s="19" t="s">
        <v>34</v>
      </c>
      <c r="M961" s="15" t="s">
        <v>35</v>
      </c>
      <c r="N961" s="15" t="s">
        <v>64</v>
      </c>
      <c r="O961" s="15" t="s">
        <v>65</v>
      </c>
      <c r="P961" s="20" t="s">
        <v>1212</v>
      </c>
      <c r="Q961" s="15" t="s">
        <v>49</v>
      </c>
      <c r="R961" s="4"/>
      <c r="S961" s="4"/>
    </row>
    <row r="962" spans="1:19" ht="21" customHeight="1" x14ac:dyDescent="0.25">
      <c r="A962" s="14">
        <f>DATE(2012,12,31)-753</f>
        <v>40521</v>
      </c>
      <c r="B962" s="15" t="s">
        <v>245</v>
      </c>
      <c r="C962" s="15" t="s">
        <v>51</v>
      </c>
      <c r="D962" s="16">
        <v>47</v>
      </c>
      <c r="E962" s="17">
        <v>371.95</v>
      </c>
      <c r="F962" s="16">
        <v>7.0000000000000007E-2</v>
      </c>
      <c r="G962" s="15" t="s">
        <v>32</v>
      </c>
      <c r="H962" s="18">
        <v>-87.4</v>
      </c>
      <c r="I962" s="19">
        <v>8.1199999999999992</v>
      </c>
      <c r="J962" s="19">
        <v>2.83</v>
      </c>
      <c r="K962" s="19" t="s">
        <v>33</v>
      </c>
      <c r="L962" s="19" t="s">
        <v>59</v>
      </c>
      <c r="M962" s="15" t="s">
        <v>60</v>
      </c>
      <c r="N962" s="15" t="s">
        <v>64</v>
      </c>
      <c r="O962" s="15" t="s">
        <v>72</v>
      </c>
      <c r="P962" s="20" t="s">
        <v>879</v>
      </c>
      <c r="Q962" s="15" t="s">
        <v>49</v>
      </c>
      <c r="R962" s="4"/>
      <c r="S962" s="4"/>
    </row>
    <row r="963" spans="1:19" ht="21" customHeight="1" x14ac:dyDescent="0.25">
      <c r="A963" s="14">
        <f>DATE(2012,12,31)-1403</f>
        <v>39871</v>
      </c>
      <c r="B963" s="15" t="s">
        <v>108</v>
      </c>
      <c r="C963" s="15" t="s">
        <v>85</v>
      </c>
      <c r="D963" s="16">
        <v>28</v>
      </c>
      <c r="E963" s="17">
        <v>334.89</v>
      </c>
      <c r="F963" s="16">
        <v>0.03</v>
      </c>
      <c r="G963" s="15" t="s">
        <v>32</v>
      </c>
      <c r="H963" s="18">
        <v>-1.4355</v>
      </c>
      <c r="I963" s="19">
        <v>11.99</v>
      </c>
      <c r="J963" s="19">
        <v>5.99</v>
      </c>
      <c r="K963" s="19" t="s">
        <v>69</v>
      </c>
      <c r="L963" s="19" t="s">
        <v>70</v>
      </c>
      <c r="M963" s="15" t="s">
        <v>989</v>
      </c>
      <c r="N963" s="15" t="s">
        <v>64</v>
      </c>
      <c r="O963" s="15" t="s">
        <v>122</v>
      </c>
      <c r="P963" s="20" t="s">
        <v>1213</v>
      </c>
      <c r="Q963" s="15" t="s">
        <v>57</v>
      </c>
      <c r="R963" s="4"/>
      <c r="S963" s="4"/>
    </row>
    <row r="964" spans="1:19" ht="21" customHeight="1" x14ac:dyDescent="0.25">
      <c r="A964" s="14">
        <f>DATE(2012,12,31)-1047</f>
        <v>40227</v>
      </c>
      <c r="B964" s="15" t="s">
        <v>1214</v>
      </c>
      <c r="C964" s="15" t="s">
        <v>43</v>
      </c>
      <c r="D964" s="16">
        <v>18</v>
      </c>
      <c r="E964" s="17">
        <v>136.29</v>
      </c>
      <c r="F964" s="16">
        <v>0.05</v>
      </c>
      <c r="G964" s="15" t="s">
        <v>32</v>
      </c>
      <c r="H964" s="18">
        <v>-77.28</v>
      </c>
      <c r="I964" s="19">
        <v>7.3</v>
      </c>
      <c r="J964" s="19">
        <v>7.72</v>
      </c>
      <c r="K964" s="19" t="s">
        <v>69</v>
      </c>
      <c r="L964" s="19" t="s">
        <v>70</v>
      </c>
      <c r="M964" s="15" t="s">
        <v>989</v>
      </c>
      <c r="N964" s="15" t="s">
        <v>36</v>
      </c>
      <c r="O964" s="15" t="s">
        <v>170</v>
      </c>
      <c r="P964" s="20" t="s">
        <v>274</v>
      </c>
      <c r="Q964" s="15" t="s">
        <v>83</v>
      </c>
      <c r="R964" s="4"/>
      <c r="S964" s="4"/>
    </row>
    <row r="965" spans="1:19" ht="21" customHeight="1" x14ac:dyDescent="0.25">
      <c r="A965" s="14">
        <f>DATE(2012,12,31)-411</f>
        <v>40863</v>
      </c>
      <c r="B965" s="15" t="s">
        <v>895</v>
      </c>
      <c r="C965" s="15" t="s">
        <v>43</v>
      </c>
      <c r="D965" s="16">
        <v>32</v>
      </c>
      <c r="E965" s="17">
        <v>1311.25</v>
      </c>
      <c r="F965" s="16">
        <v>0</v>
      </c>
      <c r="G965" s="15" t="s">
        <v>101</v>
      </c>
      <c r="H965" s="18">
        <v>407.44</v>
      </c>
      <c r="I965" s="19">
        <v>39.479999999999997</v>
      </c>
      <c r="J965" s="19">
        <v>1.99</v>
      </c>
      <c r="K965" s="19" t="s">
        <v>69</v>
      </c>
      <c r="L965" s="19" t="s">
        <v>70</v>
      </c>
      <c r="M965" s="15" t="s">
        <v>989</v>
      </c>
      <c r="N965" s="15" t="s">
        <v>64</v>
      </c>
      <c r="O965" s="15" t="s">
        <v>72</v>
      </c>
      <c r="P965" s="20" t="s">
        <v>218</v>
      </c>
      <c r="Q965" s="15" t="s">
        <v>49</v>
      </c>
      <c r="R965" s="4"/>
      <c r="S965" s="4"/>
    </row>
    <row r="966" spans="1:19" ht="21" customHeight="1" x14ac:dyDescent="0.25">
      <c r="A966" s="14">
        <f>DATE(2012,12,31)-411</f>
        <v>40863</v>
      </c>
      <c r="B966" s="15" t="s">
        <v>895</v>
      </c>
      <c r="C966" s="15" t="s">
        <v>43</v>
      </c>
      <c r="D966" s="16">
        <v>5</v>
      </c>
      <c r="E966" s="17">
        <v>544.41</v>
      </c>
      <c r="F966" s="16">
        <v>0.09</v>
      </c>
      <c r="G966" s="15" t="s">
        <v>58</v>
      </c>
      <c r="H966" s="18">
        <v>-338.27</v>
      </c>
      <c r="I966" s="19">
        <v>100.98</v>
      </c>
      <c r="J966" s="19">
        <v>57.38</v>
      </c>
      <c r="K966" s="19" t="s">
        <v>69</v>
      </c>
      <c r="L966" s="19" t="s">
        <v>70</v>
      </c>
      <c r="M966" s="15" t="s">
        <v>1215</v>
      </c>
      <c r="N966" s="15" t="s">
        <v>54</v>
      </c>
      <c r="O966" s="15" t="s">
        <v>134</v>
      </c>
      <c r="P966" s="20" t="s">
        <v>624</v>
      </c>
      <c r="Q966" s="15" t="s">
        <v>63</v>
      </c>
      <c r="R966" s="4"/>
      <c r="S966" s="4"/>
    </row>
    <row r="967" spans="1:19" ht="21" customHeight="1" x14ac:dyDescent="0.25">
      <c r="A967" s="14">
        <f>DATE(2012,12,31)-411</f>
        <v>40863</v>
      </c>
      <c r="B967" s="15" t="s">
        <v>895</v>
      </c>
      <c r="C967" s="15" t="s">
        <v>43</v>
      </c>
      <c r="D967" s="16">
        <v>41</v>
      </c>
      <c r="E967" s="17">
        <v>844.09</v>
      </c>
      <c r="F967" s="16">
        <v>0.04</v>
      </c>
      <c r="G967" s="15" t="s">
        <v>32</v>
      </c>
      <c r="H967" s="18">
        <v>52.56</v>
      </c>
      <c r="I967" s="19">
        <v>19.98</v>
      </c>
      <c r="J967" s="19">
        <v>10.49</v>
      </c>
      <c r="K967" s="19" t="s">
        <v>69</v>
      </c>
      <c r="L967" s="19" t="s">
        <v>70</v>
      </c>
      <c r="M967" s="15" t="s">
        <v>1215</v>
      </c>
      <c r="N967" s="15" t="s">
        <v>54</v>
      </c>
      <c r="O967" s="15" t="s">
        <v>55</v>
      </c>
      <c r="P967" s="20" t="s">
        <v>889</v>
      </c>
      <c r="Q967" s="15" t="s">
        <v>83</v>
      </c>
      <c r="R967" s="4"/>
      <c r="S967" s="4"/>
    </row>
    <row r="968" spans="1:19" ht="21" customHeight="1" x14ac:dyDescent="0.25">
      <c r="A968" s="14">
        <f>DATE(2012,12,31)-811</f>
        <v>40463</v>
      </c>
      <c r="B968" s="15" t="s">
        <v>167</v>
      </c>
      <c r="C968" s="15" t="s">
        <v>43</v>
      </c>
      <c r="D968" s="16">
        <v>47</v>
      </c>
      <c r="E968" s="17">
        <v>1880.8</v>
      </c>
      <c r="F968" s="16">
        <v>7.0000000000000007E-2</v>
      </c>
      <c r="G968" s="15" t="s">
        <v>32</v>
      </c>
      <c r="H968" s="18">
        <v>775.88</v>
      </c>
      <c r="I968" s="19">
        <v>40.98</v>
      </c>
      <c r="J968" s="19">
        <v>1.99</v>
      </c>
      <c r="K968" s="19" t="s">
        <v>69</v>
      </c>
      <c r="L968" s="19" t="s">
        <v>70</v>
      </c>
      <c r="M968" s="15" t="s">
        <v>1215</v>
      </c>
      <c r="N968" s="15" t="s">
        <v>64</v>
      </c>
      <c r="O968" s="15" t="s">
        <v>72</v>
      </c>
      <c r="P968" s="20" t="s">
        <v>507</v>
      </c>
      <c r="Q968" s="15" t="s">
        <v>49</v>
      </c>
      <c r="R968" s="4"/>
      <c r="S968" s="4"/>
    </row>
    <row r="969" spans="1:19" ht="21" customHeight="1" x14ac:dyDescent="0.25">
      <c r="A969" s="14">
        <f>DATE(2012,12,31)-811</f>
        <v>40463</v>
      </c>
      <c r="B969" s="15" t="s">
        <v>167</v>
      </c>
      <c r="C969" s="15" t="s">
        <v>43</v>
      </c>
      <c r="D969" s="16">
        <v>42</v>
      </c>
      <c r="E969" s="17">
        <v>7143.9270000000006</v>
      </c>
      <c r="F969" s="16">
        <v>0.02</v>
      </c>
      <c r="G969" s="15" t="s">
        <v>101</v>
      </c>
      <c r="H969" s="18">
        <v>2374.7310000000002</v>
      </c>
      <c r="I969" s="19">
        <v>195.99</v>
      </c>
      <c r="J969" s="19">
        <v>4.2</v>
      </c>
      <c r="K969" s="19" t="s">
        <v>69</v>
      </c>
      <c r="L969" s="19" t="s">
        <v>215</v>
      </c>
      <c r="M969" s="15" t="s">
        <v>1133</v>
      </c>
      <c r="N969" s="15" t="s">
        <v>64</v>
      </c>
      <c r="O969" s="15" t="s">
        <v>65</v>
      </c>
      <c r="P969" s="20" t="s">
        <v>1216</v>
      </c>
      <c r="Q969" s="15" t="s">
        <v>83</v>
      </c>
      <c r="R969" s="4"/>
      <c r="S969" s="4"/>
    </row>
    <row r="970" spans="1:19" ht="21" customHeight="1" x14ac:dyDescent="0.25">
      <c r="A970" s="14">
        <f>DATE(2012,12,31)-358</f>
        <v>40916</v>
      </c>
      <c r="B970" s="15" t="s">
        <v>1217</v>
      </c>
      <c r="C970" s="15" t="s">
        <v>85</v>
      </c>
      <c r="D970" s="16">
        <v>4</v>
      </c>
      <c r="E970" s="17">
        <v>1187.864</v>
      </c>
      <c r="F970" s="16">
        <v>7.0000000000000007E-2</v>
      </c>
      <c r="G970" s="15" t="s">
        <v>58</v>
      </c>
      <c r="H970" s="18">
        <v>-347.16</v>
      </c>
      <c r="I970" s="19">
        <v>376.13</v>
      </c>
      <c r="J970" s="19">
        <v>85.63</v>
      </c>
      <c r="K970" s="19" t="s">
        <v>69</v>
      </c>
      <c r="L970" s="19" t="s">
        <v>215</v>
      </c>
      <c r="M970" s="15" t="s">
        <v>1133</v>
      </c>
      <c r="N970" s="15" t="s">
        <v>54</v>
      </c>
      <c r="O970" s="15" t="s">
        <v>61</v>
      </c>
      <c r="P970" s="20" t="s">
        <v>1159</v>
      </c>
      <c r="Q970" s="15" t="s">
        <v>63</v>
      </c>
      <c r="R970" s="4"/>
      <c r="S970" s="4"/>
    </row>
    <row r="971" spans="1:19" ht="21" customHeight="1" x14ac:dyDescent="0.25">
      <c r="A971" s="14">
        <f>DATE(2012,12,31)-1436</f>
        <v>39838</v>
      </c>
      <c r="B971" s="15" t="s">
        <v>1007</v>
      </c>
      <c r="C971" s="15" t="s">
        <v>85</v>
      </c>
      <c r="D971" s="16">
        <v>4</v>
      </c>
      <c r="E971" s="17">
        <v>11.08</v>
      </c>
      <c r="F971" s="16">
        <v>0.06</v>
      </c>
      <c r="G971" s="15" t="s">
        <v>32</v>
      </c>
      <c r="H971" s="18">
        <v>-8.93</v>
      </c>
      <c r="I971" s="19">
        <v>1.74</v>
      </c>
      <c r="J971" s="19">
        <v>4.08</v>
      </c>
      <c r="K971" s="19" t="s">
        <v>69</v>
      </c>
      <c r="L971" s="19" t="s">
        <v>75</v>
      </c>
      <c r="M971" s="15" t="s">
        <v>75</v>
      </c>
      <c r="N971" s="15" t="s">
        <v>54</v>
      </c>
      <c r="O971" s="15" t="s">
        <v>55</v>
      </c>
      <c r="P971" s="20" t="s">
        <v>935</v>
      </c>
      <c r="Q971" s="15" t="s">
        <v>49</v>
      </c>
      <c r="R971" s="4"/>
      <c r="S971" s="4"/>
    </row>
    <row r="972" spans="1:19" ht="21" customHeight="1" x14ac:dyDescent="0.25">
      <c r="A972" s="14">
        <f>DATE(2012,12,31)-331</f>
        <v>40943</v>
      </c>
      <c r="B972" s="15" t="s">
        <v>1132</v>
      </c>
      <c r="C972" s="15" t="s">
        <v>85</v>
      </c>
      <c r="D972" s="16">
        <v>29</v>
      </c>
      <c r="E972" s="17">
        <v>258.61</v>
      </c>
      <c r="F972" s="16">
        <v>7.0000000000000007E-2</v>
      </c>
      <c r="G972" s="15" t="s">
        <v>32</v>
      </c>
      <c r="H972" s="18">
        <v>-15.962</v>
      </c>
      <c r="I972" s="19">
        <v>8.85</v>
      </c>
      <c r="J972" s="19">
        <v>5.6</v>
      </c>
      <c r="K972" s="19" t="s">
        <v>111</v>
      </c>
      <c r="L972" s="19" t="s">
        <v>442</v>
      </c>
      <c r="M972" s="15" t="s">
        <v>443</v>
      </c>
      <c r="N972" s="15" t="s">
        <v>36</v>
      </c>
      <c r="O972" s="15" t="s">
        <v>170</v>
      </c>
      <c r="P972" s="20" t="s">
        <v>1218</v>
      </c>
      <c r="Q972" s="15" t="s">
        <v>83</v>
      </c>
      <c r="R972" s="4"/>
      <c r="S972" s="4"/>
    </row>
    <row r="973" spans="1:19" ht="21" customHeight="1" x14ac:dyDescent="0.25">
      <c r="A973" s="14">
        <f>DATE(2012,12,31)-448</f>
        <v>40826</v>
      </c>
      <c r="B973" s="15" t="s">
        <v>1096</v>
      </c>
      <c r="C973" s="15" t="s">
        <v>31</v>
      </c>
      <c r="D973" s="16">
        <v>15</v>
      </c>
      <c r="E973" s="17">
        <v>241.89</v>
      </c>
      <c r="F973" s="16">
        <v>0.02</v>
      </c>
      <c r="G973" s="15" t="s">
        <v>32</v>
      </c>
      <c r="H973" s="18">
        <v>-83.3</v>
      </c>
      <c r="I973" s="19">
        <v>15.42</v>
      </c>
      <c r="J973" s="19">
        <v>10.68</v>
      </c>
      <c r="K973" s="19" t="s">
        <v>111</v>
      </c>
      <c r="L973" s="19" t="s">
        <v>442</v>
      </c>
      <c r="M973" s="15" t="s">
        <v>443</v>
      </c>
      <c r="N973" s="15" t="s">
        <v>36</v>
      </c>
      <c r="O973" s="15" t="s">
        <v>37</v>
      </c>
      <c r="P973" s="20" t="s">
        <v>156</v>
      </c>
      <c r="Q973" s="15" t="s">
        <v>83</v>
      </c>
      <c r="R973" s="4"/>
      <c r="S973" s="4"/>
    </row>
    <row r="974" spans="1:19" ht="21" customHeight="1" x14ac:dyDescent="0.25">
      <c r="A974" s="14">
        <f>DATE(2012,12,31)-448</f>
        <v>40826</v>
      </c>
      <c r="B974" s="15" t="s">
        <v>1096</v>
      </c>
      <c r="C974" s="15" t="s">
        <v>31</v>
      </c>
      <c r="D974" s="16">
        <v>43</v>
      </c>
      <c r="E974" s="17">
        <v>83.34</v>
      </c>
      <c r="F974" s="16">
        <v>0.01</v>
      </c>
      <c r="G974" s="15" t="s">
        <v>32</v>
      </c>
      <c r="H974" s="18">
        <v>-93.18</v>
      </c>
      <c r="I974" s="19">
        <v>1.86</v>
      </c>
      <c r="J974" s="19">
        <v>2.58</v>
      </c>
      <c r="K974" s="19" t="s">
        <v>44</v>
      </c>
      <c r="L974" s="19" t="s">
        <v>120</v>
      </c>
      <c r="M974" s="15" t="s">
        <v>121</v>
      </c>
      <c r="N974" s="15" t="s">
        <v>36</v>
      </c>
      <c r="O974" s="15" t="s">
        <v>105</v>
      </c>
      <c r="P974" s="20" t="s">
        <v>106</v>
      </c>
      <c r="Q974" s="15" t="s">
        <v>79</v>
      </c>
      <c r="R974" s="4"/>
      <c r="S974" s="4"/>
    </row>
    <row r="975" spans="1:19" ht="21" customHeight="1" x14ac:dyDescent="0.25">
      <c r="A975" s="14">
        <f>DATE(2012,12,31)-376</f>
        <v>40898</v>
      </c>
      <c r="B975" s="15" t="s">
        <v>1219</v>
      </c>
      <c r="C975" s="15" t="s">
        <v>51</v>
      </c>
      <c r="D975" s="16">
        <v>14</v>
      </c>
      <c r="E975" s="17">
        <v>304.52</v>
      </c>
      <c r="F975" s="16">
        <v>0.04</v>
      </c>
      <c r="G975" s="15" t="s">
        <v>32</v>
      </c>
      <c r="H975" s="18">
        <v>25.34</v>
      </c>
      <c r="I975" s="19">
        <v>21.78</v>
      </c>
      <c r="J975" s="19">
        <v>5.94</v>
      </c>
      <c r="K975" s="19" t="s">
        <v>44</v>
      </c>
      <c r="L975" s="19" t="s">
        <v>120</v>
      </c>
      <c r="M975" s="15" t="s">
        <v>121</v>
      </c>
      <c r="N975" s="15" t="s">
        <v>36</v>
      </c>
      <c r="O975" s="15" t="s">
        <v>176</v>
      </c>
      <c r="P975" s="20" t="s">
        <v>257</v>
      </c>
      <c r="Q975" s="15" t="s">
        <v>57</v>
      </c>
      <c r="R975" s="4"/>
      <c r="S975" s="4"/>
    </row>
    <row r="976" spans="1:19" ht="21" customHeight="1" x14ac:dyDescent="0.25">
      <c r="A976" s="14">
        <f>DATE(2012,12,31)-995</f>
        <v>40279</v>
      </c>
      <c r="B976" s="15" t="s">
        <v>214</v>
      </c>
      <c r="C976" s="15" t="s">
        <v>51</v>
      </c>
      <c r="D976" s="16">
        <v>9</v>
      </c>
      <c r="E976" s="17">
        <v>112.12</v>
      </c>
      <c r="F976" s="16">
        <v>0.01</v>
      </c>
      <c r="G976" s="15" t="s">
        <v>32</v>
      </c>
      <c r="H976" s="18">
        <v>-8.4499999999999993</v>
      </c>
      <c r="I976" s="19">
        <v>11.33</v>
      </c>
      <c r="J976" s="19">
        <v>6.12</v>
      </c>
      <c r="K976" s="19" t="s">
        <v>44</v>
      </c>
      <c r="L976" s="19" t="s">
        <v>89</v>
      </c>
      <c r="M976" s="15" t="s">
        <v>734</v>
      </c>
      <c r="N976" s="15" t="s">
        <v>36</v>
      </c>
      <c r="O976" s="15" t="s">
        <v>176</v>
      </c>
      <c r="P976" s="20" t="s">
        <v>1042</v>
      </c>
      <c r="Q976" s="15" t="s">
        <v>57</v>
      </c>
      <c r="R976" s="4"/>
      <c r="S976" s="4"/>
    </row>
    <row r="977" spans="1:19" ht="21" customHeight="1" x14ac:dyDescent="0.25">
      <c r="A977" s="14">
        <f>DATE(2012,12,31)-995</f>
        <v>40279</v>
      </c>
      <c r="B977" s="15" t="s">
        <v>214</v>
      </c>
      <c r="C977" s="15" t="s">
        <v>51</v>
      </c>
      <c r="D977" s="16">
        <v>11</v>
      </c>
      <c r="E977" s="17">
        <v>49.58</v>
      </c>
      <c r="F977" s="16">
        <v>0.1</v>
      </c>
      <c r="G977" s="15" t="s">
        <v>101</v>
      </c>
      <c r="H977" s="18">
        <v>-47.023499999999999</v>
      </c>
      <c r="I977" s="19">
        <v>3.36</v>
      </c>
      <c r="J977" s="19">
        <v>6.27</v>
      </c>
      <c r="K977" s="19" t="s">
        <v>44</v>
      </c>
      <c r="L977" s="19" t="s">
        <v>89</v>
      </c>
      <c r="M977" s="15" t="s">
        <v>734</v>
      </c>
      <c r="N977" s="15" t="s">
        <v>36</v>
      </c>
      <c r="O977" s="15" t="s">
        <v>170</v>
      </c>
      <c r="P977" s="20" t="s">
        <v>652</v>
      </c>
      <c r="Q977" s="15" t="s">
        <v>83</v>
      </c>
      <c r="R977" s="4"/>
      <c r="S977" s="4"/>
    </row>
    <row r="978" spans="1:19" ht="21" customHeight="1" x14ac:dyDescent="0.25">
      <c r="A978" s="14">
        <f>DATE(2012,12,31)-995</f>
        <v>40279</v>
      </c>
      <c r="B978" s="15" t="s">
        <v>214</v>
      </c>
      <c r="C978" s="15" t="s">
        <v>51</v>
      </c>
      <c r="D978" s="16">
        <v>16</v>
      </c>
      <c r="E978" s="17">
        <v>1939.65</v>
      </c>
      <c r="F978" s="16">
        <v>0.05</v>
      </c>
      <c r="G978" s="15" t="s">
        <v>58</v>
      </c>
      <c r="H978" s="18">
        <v>-885.73</v>
      </c>
      <c r="I978" s="19">
        <v>122.99</v>
      </c>
      <c r="J978" s="19">
        <v>70.2</v>
      </c>
      <c r="K978" s="19" t="s">
        <v>44</v>
      </c>
      <c r="L978" s="19" t="s">
        <v>45</v>
      </c>
      <c r="M978" s="15" t="s">
        <v>46</v>
      </c>
      <c r="N978" s="15" t="s">
        <v>54</v>
      </c>
      <c r="O978" s="15" t="s">
        <v>252</v>
      </c>
      <c r="P978" s="20" t="s">
        <v>819</v>
      </c>
      <c r="Q978" s="15" t="s">
        <v>181</v>
      </c>
      <c r="R978" s="4"/>
      <c r="S978" s="4"/>
    </row>
    <row r="979" spans="1:19" ht="21" customHeight="1" x14ac:dyDescent="0.25">
      <c r="A979" s="14">
        <f>DATE(2012,12,31)-995</f>
        <v>40279</v>
      </c>
      <c r="B979" s="15" t="s">
        <v>214</v>
      </c>
      <c r="C979" s="15" t="s">
        <v>51</v>
      </c>
      <c r="D979" s="16">
        <v>29</v>
      </c>
      <c r="E979" s="17">
        <v>465.52</v>
      </c>
      <c r="F979" s="16">
        <v>0.02</v>
      </c>
      <c r="G979" s="15" t="s">
        <v>101</v>
      </c>
      <c r="H979" s="18">
        <v>65.349999999999994</v>
      </c>
      <c r="I979" s="19">
        <v>14.98</v>
      </c>
      <c r="J979" s="19">
        <v>8.99</v>
      </c>
      <c r="K979" s="19" t="s">
        <v>97</v>
      </c>
      <c r="L979" s="19" t="s">
        <v>195</v>
      </c>
      <c r="M979" s="15" t="s">
        <v>196</v>
      </c>
      <c r="N979" s="15" t="s">
        <v>54</v>
      </c>
      <c r="O979" s="15" t="s">
        <v>55</v>
      </c>
      <c r="P979" s="20" t="s">
        <v>719</v>
      </c>
      <c r="Q979" s="15" t="s">
        <v>49</v>
      </c>
      <c r="R979" s="4"/>
      <c r="S979" s="4"/>
    </row>
    <row r="980" spans="1:19" ht="21" customHeight="1" x14ac:dyDescent="0.25">
      <c r="A980" s="14">
        <f>DATE(2012,12,31)-1057</f>
        <v>40217</v>
      </c>
      <c r="B980" s="15" t="s">
        <v>663</v>
      </c>
      <c r="C980" s="15" t="s">
        <v>85</v>
      </c>
      <c r="D980" s="16">
        <v>44</v>
      </c>
      <c r="E980" s="17">
        <v>12296.49</v>
      </c>
      <c r="F980" s="16">
        <v>0.01</v>
      </c>
      <c r="G980" s="15" t="s">
        <v>58</v>
      </c>
      <c r="H980" s="18">
        <v>-416.7</v>
      </c>
      <c r="I980" s="19">
        <v>280.98</v>
      </c>
      <c r="J980" s="19">
        <v>57</v>
      </c>
      <c r="K980" s="19" t="s">
        <v>97</v>
      </c>
      <c r="L980" s="19" t="s">
        <v>195</v>
      </c>
      <c r="M980" s="15" t="s">
        <v>196</v>
      </c>
      <c r="N980" s="15" t="s">
        <v>54</v>
      </c>
      <c r="O980" s="15" t="s">
        <v>252</v>
      </c>
      <c r="P980" s="20" t="s">
        <v>1220</v>
      </c>
      <c r="Q980" s="15" t="s">
        <v>181</v>
      </c>
      <c r="R980" s="4"/>
      <c r="S980" s="4"/>
    </row>
    <row r="981" spans="1:19" ht="21" customHeight="1" x14ac:dyDescent="0.25">
      <c r="A981" s="14">
        <f>DATE(2012,12,31)-1057</f>
        <v>40217</v>
      </c>
      <c r="B981" s="15" t="s">
        <v>663</v>
      </c>
      <c r="C981" s="15" t="s">
        <v>85</v>
      </c>
      <c r="D981" s="16">
        <v>18</v>
      </c>
      <c r="E981" s="17">
        <v>128.13</v>
      </c>
      <c r="F981" s="16">
        <v>0.03</v>
      </c>
      <c r="G981" s="15" t="s">
        <v>32</v>
      </c>
      <c r="H981" s="18">
        <v>-34.909999999999997</v>
      </c>
      <c r="I981" s="19">
        <v>6.48</v>
      </c>
      <c r="J981" s="19">
        <v>5.94</v>
      </c>
      <c r="K981" s="19" t="s">
        <v>124</v>
      </c>
      <c r="L981" s="19" t="s">
        <v>160</v>
      </c>
      <c r="M981" s="15" t="s">
        <v>888</v>
      </c>
      <c r="N981" s="15" t="s">
        <v>36</v>
      </c>
      <c r="O981" s="15" t="s">
        <v>117</v>
      </c>
      <c r="P981" s="20" t="s">
        <v>1221</v>
      </c>
      <c r="Q981" s="15" t="s">
        <v>83</v>
      </c>
      <c r="R981" s="4"/>
      <c r="S981" s="4"/>
    </row>
    <row r="982" spans="1:19" ht="21" customHeight="1" x14ac:dyDescent="0.25">
      <c r="A982" s="14">
        <f>DATE(2012,12,31)-924</f>
        <v>40350</v>
      </c>
      <c r="B982" s="15" t="s">
        <v>550</v>
      </c>
      <c r="C982" s="15" t="s">
        <v>31</v>
      </c>
      <c r="D982" s="16">
        <v>17</v>
      </c>
      <c r="E982" s="17">
        <v>77.19</v>
      </c>
      <c r="F982" s="16">
        <v>0.03</v>
      </c>
      <c r="G982" s="15" t="s">
        <v>32</v>
      </c>
      <c r="H982" s="18">
        <v>-81.349999999999994</v>
      </c>
      <c r="I982" s="19">
        <v>4.0599999999999996</v>
      </c>
      <c r="J982" s="19">
        <v>6.89</v>
      </c>
      <c r="K982" s="19" t="s">
        <v>124</v>
      </c>
      <c r="L982" s="19" t="s">
        <v>160</v>
      </c>
      <c r="M982" s="15" t="s">
        <v>888</v>
      </c>
      <c r="N982" s="15" t="s">
        <v>36</v>
      </c>
      <c r="O982" s="15" t="s">
        <v>176</v>
      </c>
      <c r="P982" s="20" t="s">
        <v>1222</v>
      </c>
      <c r="Q982" s="15" t="s">
        <v>83</v>
      </c>
      <c r="R982" s="4"/>
      <c r="S982" s="4"/>
    </row>
    <row r="983" spans="1:19" ht="21" customHeight="1" x14ac:dyDescent="0.25">
      <c r="A983" s="14">
        <f>DATE(2012,12,31)-235</f>
        <v>41039</v>
      </c>
      <c r="B983" s="15" t="s">
        <v>1223</v>
      </c>
      <c r="C983" s="15" t="s">
        <v>31</v>
      </c>
      <c r="D983" s="16">
        <v>8</v>
      </c>
      <c r="E983" s="17">
        <v>118.98</v>
      </c>
      <c r="F983" s="16">
        <v>0.05</v>
      </c>
      <c r="G983" s="15" t="s">
        <v>32</v>
      </c>
      <c r="H983" s="18">
        <v>-12.765000000000001</v>
      </c>
      <c r="I983" s="19">
        <v>14.27</v>
      </c>
      <c r="J983" s="19">
        <v>7.27</v>
      </c>
      <c r="K983" s="19" t="s">
        <v>124</v>
      </c>
      <c r="L983" s="19" t="s">
        <v>493</v>
      </c>
      <c r="M983" s="15" t="s">
        <v>494</v>
      </c>
      <c r="N983" s="15" t="s">
        <v>36</v>
      </c>
      <c r="O983" s="15" t="s">
        <v>170</v>
      </c>
      <c r="P983" s="20" t="s">
        <v>1224</v>
      </c>
      <c r="Q983" s="15" t="s">
        <v>83</v>
      </c>
      <c r="R983" s="4"/>
      <c r="S983" s="4"/>
    </row>
    <row r="984" spans="1:19" ht="21" customHeight="1" x14ac:dyDescent="0.25">
      <c r="A984" s="14">
        <f>DATE(2012,12,31)-235</f>
        <v>41039</v>
      </c>
      <c r="B984" s="15" t="s">
        <v>1223</v>
      </c>
      <c r="C984" s="15" t="s">
        <v>31</v>
      </c>
      <c r="D984" s="16">
        <v>31</v>
      </c>
      <c r="E984" s="17">
        <v>4910.09</v>
      </c>
      <c r="F984" s="16">
        <v>0.01</v>
      </c>
      <c r="G984" s="15" t="s">
        <v>32</v>
      </c>
      <c r="H984" s="18">
        <v>1669.38</v>
      </c>
      <c r="I984" s="19">
        <v>159.99</v>
      </c>
      <c r="J984" s="19">
        <v>5.5</v>
      </c>
      <c r="K984" s="19" t="s">
        <v>124</v>
      </c>
      <c r="L984" s="19" t="s">
        <v>160</v>
      </c>
      <c r="M984" s="15" t="s">
        <v>888</v>
      </c>
      <c r="N984" s="15" t="s">
        <v>64</v>
      </c>
      <c r="O984" s="15" t="s">
        <v>72</v>
      </c>
      <c r="P984" s="20" t="s">
        <v>1225</v>
      </c>
      <c r="Q984" s="15" t="s">
        <v>83</v>
      </c>
      <c r="R984" s="4"/>
      <c r="S984" s="4"/>
    </row>
    <row r="985" spans="1:19" ht="21" customHeight="1" x14ac:dyDescent="0.25">
      <c r="A985" s="14">
        <f>DATE(2012,12,31)-235</f>
        <v>41039</v>
      </c>
      <c r="B985" s="15" t="s">
        <v>1223</v>
      </c>
      <c r="C985" s="15" t="s">
        <v>31</v>
      </c>
      <c r="D985" s="16">
        <v>36</v>
      </c>
      <c r="E985" s="17">
        <v>1058.45</v>
      </c>
      <c r="F985" s="16">
        <v>0.01</v>
      </c>
      <c r="G985" s="15" t="s">
        <v>32</v>
      </c>
      <c r="H985" s="18">
        <v>-386.02</v>
      </c>
      <c r="I985" s="19">
        <v>27.75</v>
      </c>
      <c r="J985" s="19">
        <v>19.989999999999998</v>
      </c>
      <c r="K985" s="19" t="s">
        <v>124</v>
      </c>
      <c r="L985" s="19" t="s">
        <v>493</v>
      </c>
      <c r="M985" s="15" t="s">
        <v>494</v>
      </c>
      <c r="N985" s="15" t="s">
        <v>36</v>
      </c>
      <c r="O985" s="15" t="s">
        <v>37</v>
      </c>
      <c r="P985" s="20" t="s">
        <v>1226</v>
      </c>
      <c r="Q985" s="15" t="s">
        <v>83</v>
      </c>
      <c r="R985" s="4"/>
      <c r="S985" s="4"/>
    </row>
    <row r="986" spans="1:19" ht="21" customHeight="1" x14ac:dyDescent="0.25">
      <c r="A986" s="14">
        <f>DATE(2012,12,31)-362</f>
        <v>40912</v>
      </c>
      <c r="B986" s="15" t="s">
        <v>1227</v>
      </c>
      <c r="C986" s="15" t="s">
        <v>43</v>
      </c>
      <c r="D986" s="16">
        <v>3</v>
      </c>
      <c r="E986" s="17">
        <v>172.04</v>
      </c>
      <c r="F986" s="16">
        <v>0.02</v>
      </c>
      <c r="G986" s="15" t="s">
        <v>32</v>
      </c>
      <c r="H986" s="18">
        <v>143.08000000000001</v>
      </c>
      <c r="I986" s="19">
        <v>54.2</v>
      </c>
      <c r="J986" s="19">
        <v>11.1</v>
      </c>
      <c r="K986" s="19" t="s">
        <v>124</v>
      </c>
      <c r="L986" s="19" t="s">
        <v>164</v>
      </c>
      <c r="M986" s="15" t="s">
        <v>1228</v>
      </c>
      <c r="N986" s="15" t="s">
        <v>54</v>
      </c>
      <c r="O986" s="15" t="s">
        <v>55</v>
      </c>
      <c r="P986" s="20" t="s">
        <v>1229</v>
      </c>
      <c r="Q986" s="15" t="s">
        <v>57</v>
      </c>
      <c r="R986" s="4"/>
      <c r="S986" s="4"/>
    </row>
    <row r="987" spans="1:19" ht="21" customHeight="1" x14ac:dyDescent="0.25">
      <c r="A987" s="14">
        <f>DATE(2012,12,31)-362</f>
        <v>40912</v>
      </c>
      <c r="B987" s="15" t="s">
        <v>1227</v>
      </c>
      <c r="C987" s="15" t="s">
        <v>43</v>
      </c>
      <c r="D987" s="16">
        <v>3</v>
      </c>
      <c r="E987" s="17">
        <v>113.14</v>
      </c>
      <c r="F987" s="16">
        <v>0.06</v>
      </c>
      <c r="G987" s="15" t="s">
        <v>32</v>
      </c>
      <c r="H987" s="18">
        <v>-21.23</v>
      </c>
      <c r="I987" s="19">
        <v>37.94</v>
      </c>
      <c r="J987" s="19">
        <v>5.08</v>
      </c>
      <c r="K987" s="19" t="s">
        <v>124</v>
      </c>
      <c r="L987" s="19" t="s">
        <v>168</v>
      </c>
      <c r="M987" s="15" t="s">
        <v>169</v>
      </c>
      <c r="N987" s="15" t="s">
        <v>36</v>
      </c>
      <c r="O987" s="15" t="s">
        <v>117</v>
      </c>
      <c r="P987" s="20" t="s">
        <v>902</v>
      </c>
      <c r="Q987" s="15" t="s">
        <v>79</v>
      </c>
      <c r="R987" s="4"/>
      <c r="S987" s="4"/>
    </row>
    <row r="988" spans="1:19" ht="21" customHeight="1" x14ac:dyDescent="0.25">
      <c r="A988" s="14">
        <f>DATE(2012,12,31)-362</f>
        <v>40912</v>
      </c>
      <c r="B988" s="15" t="s">
        <v>1227</v>
      </c>
      <c r="C988" s="15" t="s">
        <v>43</v>
      </c>
      <c r="D988" s="16">
        <v>32</v>
      </c>
      <c r="E988" s="17">
        <v>1724.82</v>
      </c>
      <c r="F988" s="16">
        <v>0.1</v>
      </c>
      <c r="G988" s="15" t="s">
        <v>32</v>
      </c>
      <c r="H988" s="18">
        <v>407.8</v>
      </c>
      <c r="I988" s="19">
        <v>55.29</v>
      </c>
      <c r="J988" s="19">
        <v>5.08</v>
      </c>
      <c r="K988" s="19" t="s">
        <v>124</v>
      </c>
      <c r="L988" s="19" t="s">
        <v>164</v>
      </c>
      <c r="M988" s="15" t="s">
        <v>1228</v>
      </c>
      <c r="N988" s="15" t="s">
        <v>36</v>
      </c>
      <c r="O988" s="15" t="s">
        <v>37</v>
      </c>
      <c r="P988" s="20" t="s">
        <v>1230</v>
      </c>
      <c r="Q988" s="15" t="s">
        <v>83</v>
      </c>
      <c r="R988" s="4"/>
      <c r="S988" s="4"/>
    </row>
    <row r="989" spans="1:19" ht="21" customHeight="1" x14ac:dyDescent="0.25">
      <c r="A989" s="14">
        <f>DATE(2012,12,31)-512</f>
        <v>40762</v>
      </c>
      <c r="B989" s="15" t="s">
        <v>616</v>
      </c>
      <c r="C989" s="15" t="s">
        <v>31</v>
      </c>
      <c r="D989" s="16">
        <v>22</v>
      </c>
      <c r="E989" s="17">
        <v>6396.2</v>
      </c>
      <c r="F989" s="16">
        <v>0.02</v>
      </c>
      <c r="G989" s="15" t="s">
        <v>32</v>
      </c>
      <c r="H989" s="18">
        <v>1902.24</v>
      </c>
      <c r="I989" s="19">
        <v>276.2</v>
      </c>
      <c r="J989" s="19">
        <v>24.49</v>
      </c>
      <c r="K989" s="19" t="s">
        <v>124</v>
      </c>
      <c r="L989" s="19" t="s">
        <v>164</v>
      </c>
      <c r="M989" s="15" t="s">
        <v>1228</v>
      </c>
      <c r="N989" s="15" t="s">
        <v>54</v>
      </c>
      <c r="O989" s="15" t="s">
        <v>252</v>
      </c>
      <c r="P989" s="20" t="s">
        <v>524</v>
      </c>
      <c r="Q989" s="15" t="s">
        <v>39</v>
      </c>
      <c r="R989" s="4"/>
      <c r="S989" s="4"/>
    </row>
    <row r="990" spans="1:19" ht="21" customHeight="1" x14ac:dyDescent="0.25">
      <c r="A990" s="14">
        <f>DATE(2012,12,31)-1380</f>
        <v>39894</v>
      </c>
      <c r="B990" s="15" t="s">
        <v>839</v>
      </c>
      <c r="C990" s="15" t="s">
        <v>51</v>
      </c>
      <c r="D990" s="16">
        <v>17</v>
      </c>
      <c r="E990" s="17">
        <v>642.9</v>
      </c>
      <c r="F990" s="16">
        <v>7.0000000000000007E-2</v>
      </c>
      <c r="G990" s="15" t="s">
        <v>32</v>
      </c>
      <c r="H990" s="18">
        <v>88.72</v>
      </c>
      <c r="I990" s="19">
        <v>39.479999999999997</v>
      </c>
      <c r="J990" s="19">
        <v>1.99</v>
      </c>
      <c r="K990" s="19" t="s">
        <v>124</v>
      </c>
      <c r="L990" s="19" t="s">
        <v>164</v>
      </c>
      <c r="M990" s="15" t="s">
        <v>1228</v>
      </c>
      <c r="N990" s="15" t="s">
        <v>64</v>
      </c>
      <c r="O990" s="15" t="s">
        <v>72</v>
      </c>
      <c r="P990" s="20" t="s">
        <v>218</v>
      </c>
      <c r="Q990" s="15" t="s">
        <v>49</v>
      </c>
      <c r="R990" s="4"/>
      <c r="S990" s="4"/>
    </row>
    <row r="991" spans="1:19" ht="21" customHeight="1" x14ac:dyDescent="0.25">
      <c r="A991" s="14">
        <f>DATE(2012,12,31)-1380</f>
        <v>39894</v>
      </c>
      <c r="B991" s="15" t="s">
        <v>839</v>
      </c>
      <c r="C991" s="15" t="s">
        <v>51</v>
      </c>
      <c r="D991" s="16">
        <v>9</v>
      </c>
      <c r="E991" s="17">
        <v>47.28</v>
      </c>
      <c r="F991" s="16">
        <v>0</v>
      </c>
      <c r="G991" s="15" t="s">
        <v>32</v>
      </c>
      <c r="H991" s="18">
        <v>17.05</v>
      </c>
      <c r="I991" s="19">
        <v>4.91</v>
      </c>
      <c r="J991" s="19">
        <v>0.5</v>
      </c>
      <c r="K991" s="19" t="s">
        <v>124</v>
      </c>
      <c r="L991" s="19" t="s">
        <v>164</v>
      </c>
      <c r="M991" s="15" t="s">
        <v>1228</v>
      </c>
      <c r="N991" s="15" t="s">
        <v>36</v>
      </c>
      <c r="O991" s="15" t="s">
        <v>114</v>
      </c>
      <c r="P991" s="20" t="s">
        <v>400</v>
      </c>
      <c r="Q991" s="15" t="s">
        <v>83</v>
      </c>
      <c r="R991" s="4"/>
      <c r="S991" s="4"/>
    </row>
    <row r="992" spans="1:19" ht="21" customHeight="1" x14ac:dyDescent="0.25">
      <c r="A992" s="14">
        <f>DATE(2012,12,31)-529</f>
        <v>40745</v>
      </c>
      <c r="B992" s="15" t="s">
        <v>219</v>
      </c>
      <c r="C992" s="15" t="s">
        <v>85</v>
      </c>
      <c r="D992" s="16">
        <v>36</v>
      </c>
      <c r="E992" s="17">
        <v>132.86000000000001</v>
      </c>
      <c r="F992" s="16">
        <v>0.06</v>
      </c>
      <c r="G992" s="15" t="s">
        <v>32</v>
      </c>
      <c r="H992" s="18">
        <v>57</v>
      </c>
      <c r="I992" s="19">
        <v>3.69</v>
      </c>
      <c r="J992" s="19">
        <v>0.5</v>
      </c>
      <c r="K992" s="19" t="s">
        <v>44</v>
      </c>
      <c r="L992" s="19" t="s">
        <v>52</v>
      </c>
      <c r="M992" s="15" t="s">
        <v>1029</v>
      </c>
      <c r="N992" s="15" t="s">
        <v>36</v>
      </c>
      <c r="O992" s="15" t="s">
        <v>114</v>
      </c>
      <c r="P992" s="20" t="s">
        <v>224</v>
      </c>
      <c r="Q992" s="15" t="s">
        <v>83</v>
      </c>
      <c r="R992" s="4"/>
      <c r="S992" s="4"/>
    </row>
    <row r="993" spans="1:19" ht="21" customHeight="1" x14ac:dyDescent="0.25">
      <c r="A993" s="14">
        <f>DATE(2012,12,31)-1011</f>
        <v>40263</v>
      </c>
      <c r="B993" s="15" t="s">
        <v>412</v>
      </c>
      <c r="C993" s="15" t="s">
        <v>85</v>
      </c>
      <c r="D993" s="16">
        <v>22</v>
      </c>
      <c r="E993" s="17">
        <v>446.72</v>
      </c>
      <c r="F993" s="16">
        <v>0.05</v>
      </c>
      <c r="G993" s="15" t="s">
        <v>32</v>
      </c>
      <c r="H993" s="18">
        <v>-39</v>
      </c>
      <c r="I993" s="19">
        <v>20.28</v>
      </c>
      <c r="J993" s="19">
        <v>14.39</v>
      </c>
      <c r="K993" s="19" t="s">
        <v>44</v>
      </c>
      <c r="L993" s="19" t="s">
        <v>52</v>
      </c>
      <c r="M993" s="15" t="s">
        <v>1029</v>
      </c>
      <c r="N993" s="15" t="s">
        <v>54</v>
      </c>
      <c r="O993" s="15" t="s">
        <v>55</v>
      </c>
      <c r="P993" s="20" t="s">
        <v>1231</v>
      </c>
      <c r="Q993" s="15" t="s">
        <v>83</v>
      </c>
      <c r="R993" s="4"/>
      <c r="S993" s="4"/>
    </row>
    <row r="994" spans="1:19" ht="21" customHeight="1" x14ac:dyDescent="0.25">
      <c r="A994" s="14">
        <f>DATE(2012,12,31)-1011</f>
        <v>40263</v>
      </c>
      <c r="B994" s="15" t="s">
        <v>412</v>
      </c>
      <c r="C994" s="15" t="s">
        <v>85</v>
      </c>
      <c r="D994" s="16">
        <v>30</v>
      </c>
      <c r="E994" s="17">
        <v>1580.6005</v>
      </c>
      <c r="F994" s="16">
        <v>7.0000000000000007E-2</v>
      </c>
      <c r="G994" s="15" t="s">
        <v>32</v>
      </c>
      <c r="H994" s="18">
        <v>303.52499999999998</v>
      </c>
      <c r="I994" s="19">
        <v>65.989999999999995</v>
      </c>
      <c r="J994" s="19">
        <v>2.79</v>
      </c>
      <c r="K994" s="19" t="s">
        <v>44</v>
      </c>
      <c r="L994" s="19" t="s">
        <v>52</v>
      </c>
      <c r="M994" s="15" t="s">
        <v>1029</v>
      </c>
      <c r="N994" s="15" t="s">
        <v>64</v>
      </c>
      <c r="O994" s="15" t="s">
        <v>65</v>
      </c>
      <c r="P994" s="20" t="s">
        <v>1232</v>
      </c>
      <c r="Q994" s="15" t="s">
        <v>83</v>
      </c>
      <c r="R994" s="4"/>
      <c r="S994" s="4"/>
    </row>
    <row r="995" spans="1:19" ht="21" customHeight="1" x14ac:dyDescent="0.25">
      <c r="A995" s="14">
        <f>DATE(2012,12,31)-687</f>
        <v>40587</v>
      </c>
      <c r="B995" s="15" t="s">
        <v>1233</v>
      </c>
      <c r="C995" s="15" t="s">
        <v>85</v>
      </c>
      <c r="D995" s="16">
        <v>28</v>
      </c>
      <c r="E995" s="17">
        <v>1703.8505</v>
      </c>
      <c r="F995" s="16">
        <v>0</v>
      </c>
      <c r="G995" s="15" t="s">
        <v>32</v>
      </c>
      <c r="H995" s="18">
        <v>316.06200000000001</v>
      </c>
      <c r="I995" s="19">
        <v>65.989999999999995</v>
      </c>
      <c r="J995" s="19">
        <v>8.99</v>
      </c>
      <c r="K995" s="19" t="s">
        <v>69</v>
      </c>
      <c r="L995" s="19" t="s">
        <v>70</v>
      </c>
      <c r="M995" s="15" t="s">
        <v>1215</v>
      </c>
      <c r="N995" s="15" t="s">
        <v>64</v>
      </c>
      <c r="O995" s="15" t="s">
        <v>65</v>
      </c>
      <c r="P995" s="20" t="s">
        <v>1234</v>
      </c>
      <c r="Q995" s="15" t="s">
        <v>83</v>
      </c>
      <c r="R995" s="4"/>
      <c r="S995" s="4"/>
    </row>
    <row r="996" spans="1:19" ht="21" customHeight="1" x14ac:dyDescent="0.25">
      <c r="A996" s="14">
        <f>DATE(2012,12,31)-687</f>
        <v>40587</v>
      </c>
      <c r="B996" s="15" t="s">
        <v>1233</v>
      </c>
      <c r="C996" s="15" t="s">
        <v>85</v>
      </c>
      <c r="D996" s="16">
        <v>17</v>
      </c>
      <c r="E996" s="17">
        <v>303.18649999999997</v>
      </c>
      <c r="F996" s="16">
        <v>0.02</v>
      </c>
      <c r="G996" s="15" t="s">
        <v>32</v>
      </c>
      <c r="H996" s="18">
        <v>92.591999999999999</v>
      </c>
      <c r="I996" s="19">
        <v>20.99</v>
      </c>
      <c r="J996" s="19">
        <v>0.99</v>
      </c>
      <c r="K996" s="19" t="s">
        <v>69</v>
      </c>
      <c r="L996" s="19" t="s">
        <v>215</v>
      </c>
      <c r="M996" s="15" t="s">
        <v>1133</v>
      </c>
      <c r="N996" s="15" t="s">
        <v>64</v>
      </c>
      <c r="O996" s="15" t="s">
        <v>65</v>
      </c>
      <c r="P996" s="20" t="s">
        <v>1101</v>
      </c>
      <c r="Q996" s="15" t="s">
        <v>79</v>
      </c>
      <c r="R996" s="4"/>
      <c r="S996" s="4"/>
    </row>
    <row r="997" spans="1:19" ht="21" customHeight="1" x14ac:dyDescent="0.25">
      <c r="A997" s="14">
        <f>DATE(2012,12,31)-296</f>
        <v>40978</v>
      </c>
      <c r="B997" s="15" t="s">
        <v>882</v>
      </c>
      <c r="C997" s="15" t="s">
        <v>43</v>
      </c>
      <c r="D997" s="16">
        <v>10</v>
      </c>
      <c r="E997" s="17">
        <v>141.91999999999999</v>
      </c>
      <c r="F997" s="16">
        <v>0.06</v>
      </c>
      <c r="G997" s="15" t="s">
        <v>32</v>
      </c>
      <c r="H997" s="18">
        <v>12.2</v>
      </c>
      <c r="I997" s="19">
        <v>13.73</v>
      </c>
      <c r="J997" s="19">
        <v>8.99</v>
      </c>
      <c r="K997" s="19" t="s">
        <v>33</v>
      </c>
      <c r="L997" s="19" t="s">
        <v>128</v>
      </c>
      <c r="M997" s="15" t="s">
        <v>129</v>
      </c>
      <c r="N997" s="15" t="s">
        <v>54</v>
      </c>
      <c r="O997" s="15" t="s">
        <v>55</v>
      </c>
      <c r="P997" s="20" t="s">
        <v>1235</v>
      </c>
      <c r="Q997" s="15" t="s">
        <v>49</v>
      </c>
      <c r="R997" s="4"/>
      <c r="S997" s="4"/>
    </row>
    <row r="998" spans="1:19" ht="21" customHeight="1" x14ac:dyDescent="0.25">
      <c r="A998" s="14">
        <f>DATE(2012,12,31)-1058</f>
        <v>40216</v>
      </c>
      <c r="B998" s="15" t="s">
        <v>759</v>
      </c>
      <c r="C998" s="15" t="s">
        <v>85</v>
      </c>
      <c r="D998" s="16">
        <v>10</v>
      </c>
      <c r="E998" s="17">
        <v>748.25</v>
      </c>
      <c r="F998" s="16">
        <v>0.05</v>
      </c>
      <c r="G998" s="15" t="s">
        <v>58</v>
      </c>
      <c r="H998" s="18">
        <v>-86.99</v>
      </c>
      <c r="I998" s="19">
        <v>70.98</v>
      </c>
      <c r="J998" s="19">
        <v>26.74</v>
      </c>
      <c r="K998" s="19" t="s">
        <v>124</v>
      </c>
      <c r="L998" s="19" t="s">
        <v>164</v>
      </c>
      <c r="M998" s="15" t="s">
        <v>1228</v>
      </c>
      <c r="N998" s="15" t="s">
        <v>54</v>
      </c>
      <c r="O998" s="15" t="s">
        <v>134</v>
      </c>
      <c r="P998" s="20" t="s">
        <v>1236</v>
      </c>
      <c r="Q998" s="15" t="s">
        <v>63</v>
      </c>
      <c r="R998" s="4"/>
      <c r="S998" s="4"/>
    </row>
    <row r="999" spans="1:19" ht="21" customHeight="1" x14ac:dyDescent="0.25">
      <c r="A999" s="14">
        <f>DATE(2012,12,31)-1453</f>
        <v>39821</v>
      </c>
      <c r="B999" s="15" t="s">
        <v>42</v>
      </c>
      <c r="C999" s="15" t="s">
        <v>51</v>
      </c>
      <c r="D999" s="16">
        <v>25</v>
      </c>
      <c r="E999" s="17">
        <v>21752.01</v>
      </c>
      <c r="F999" s="16">
        <v>0.03</v>
      </c>
      <c r="G999" s="15" t="s">
        <v>32</v>
      </c>
      <c r="H999" s="18">
        <v>9296.348</v>
      </c>
      <c r="I999" s="19">
        <v>896.99</v>
      </c>
      <c r="J999" s="19">
        <v>19.989999999999998</v>
      </c>
      <c r="K999" s="19" t="s">
        <v>33</v>
      </c>
      <c r="L999" s="19" t="s">
        <v>59</v>
      </c>
      <c r="M999" s="15" t="s">
        <v>60</v>
      </c>
      <c r="N999" s="15" t="s">
        <v>36</v>
      </c>
      <c r="O999" s="15" t="s">
        <v>170</v>
      </c>
      <c r="P999" s="20" t="s">
        <v>414</v>
      </c>
      <c r="Q999" s="15" t="s">
        <v>83</v>
      </c>
      <c r="R999" s="4"/>
      <c r="S999" s="4"/>
    </row>
    <row r="1000" spans="1:19" ht="21" customHeight="1" x14ac:dyDescent="0.25">
      <c r="A1000" s="14">
        <f>DATE(2012,12,31)-551</f>
        <v>40723</v>
      </c>
      <c r="B1000" s="15" t="s">
        <v>410</v>
      </c>
      <c r="C1000" s="15" t="s">
        <v>85</v>
      </c>
      <c r="D1000" s="16">
        <v>50</v>
      </c>
      <c r="E1000" s="17">
        <v>6206.16</v>
      </c>
      <c r="F1000" s="16">
        <v>0.03</v>
      </c>
      <c r="G1000" s="15" t="s">
        <v>32</v>
      </c>
      <c r="H1000" s="18">
        <v>1416.27</v>
      </c>
      <c r="I1000" s="19">
        <v>120.33</v>
      </c>
      <c r="J1000" s="19">
        <v>19.989999999999998</v>
      </c>
      <c r="K1000" s="19" t="s">
        <v>33</v>
      </c>
      <c r="L1000" s="19" t="s">
        <v>34</v>
      </c>
      <c r="M1000" s="15" t="s">
        <v>35</v>
      </c>
      <c r="N1000" s="15" t="s">
        <v>36</v>
      </c>
      <c r="O1000" s="15" t="s">
        <v>37</v>
      </c>
      <c r="P1000" s="20" t="s">
        <v>626</v>
      </c>
      <c r="Q1000" s="15" t="s">
        <v>83</v>
      </c>
      <c r="R1000" s="4"/>
      <c r="S1000" s="4"/>
    </row>
    <row r="1001" spans="1:19" ht="21" customHeight="1" x14ac:dyDescent="0.25">
      <c r="A1001" s="14">
        <f>DATE(2012,12,31)-125</f>
        <v>41149</v>
      </c>
      <c r="B1001" s="15" t="s">
        <v>392</v>
      </c>
      <c r="C1001" s="15" t="s">
        <v>51</v>
      </c>
      <c r="D1001" s="16">
        <v>19</v>
      </c>
      <c r="E1001" s="17">
        <v>262.32</v>
      </c>
      <c r="F1001" s="16">
        <v>7.0000000000000007E-2</v>
      </c>
      <c r="G1001" s="15" t="s">
        <v>32</v>
      </c>
      <c r="H1001" s="18">
        <v>5.1595000000000004</v>
      </c>
      <c r="I1001" s="19">
        <v>14.48</v>
      </c>
      <c r="J1001" s="19">
        <v>6.46</v>
      </c>
      <c r="K1001" s="19" t="s">
        <v>69</v>
      </c>
      <c r="L1001" s="19" t="s">
        <v>70</v>
      </c>
      <c r="M1001" s="15" t="s">
        <v>1215</v>
      </c>
      <c r="N1001" s="15" t="s">
        <v>36</v>
      </c>
      <c r="O1001" s="15" t="s">
        <v>170</v>
      </c>
      <c r="P1001" s="20" t="s">
        <v>646</v>
      </c>
      <c r="Q1001" s="15" t="s">
        <v>83</v>
      </c>
      <c r="R1001" s="4"/>
      <c r="S1001" s="4"/>
    </row>
    <row r="1002" spans="1:19" ht="21" customHeight="1" x14ac:dyDescent="0.25">
      <c r="A1002" s="14">
        <f>DATE(2012,12,31)-1204</f>
        <v>40070</v>
      </c>
      <c r="B1002" s="15" t="s">
        <v>392</v>
      </c>
      <c r="C1002" s="15" t="s">
        <v>85</v>
      </c>
      <c r="D1002" s="16">
        <v>29</v>
      </c>
      <c r="E1002" s="17">
        <v>1707.99</v>
      </c>
      <c r="F1002" s="16">
        <v>0</v>
      </c>
      <c r="G1002" s="15" t="s">
        <v>32</v>
      </c>
      <c r="H1002" s="18">
        <v>391.185</v>
      </c>
      <c r="I1002" s="19">
        <v>65.989999999999995</v>
      </c>
      <c r="J1002" s="19">
        <v>3.99</v>
      </c>
      <c r="K1002" s="19" t="s">
        <v>69</v>
      </c>
      <c r="L1002" s="19" t="s">
        <v>70</v>
      </c>
      <c r="M1002" s="15" t="s">
        <v>1215</v>
      </c>
      <c r="N1002" s="15" t="s">
        <v>64</v>
      </c>
      <c r="O1002" s="15" t="s">
        <v>65</v>
      </c>
      <c r="P1002" s="20" t="s">
        <v>689</v>
      </c>
      <c r="Q1002" s="15" t="s">
        <v>83</v>
      </c>
      <c r="R1002" s="4"/>
      <c r="S1002" s="4"/>
    </row>
    <row r="1003" spans="1:19" ht="21" customHeight="1" x14ac:dyDescent="0.25">
      <c r="A1003" s="14">
        <f>DATE(2012,12,31)-1204</f>
        <v>40070</v>
      </c>
      <c r="B1003" s="15" t="s">
        <v>1237</v>
      </c>
      <c r="C1003" s="15" t="s">
        <v>51</v>
      </c>
      <c r="D1003" s="16">
        <v>26</v>
      </c>
      <c r="E1003" s="17">
        <v>936.95</v>
      </c>
      <c r="F1003" s="16">
        <v>0.03</v>
      </c>
      <c r="G1003" s="15" t="s">
        <v>32</v>
      </c>
      <c r="H1003" s="18">
        <v>-0.74000000000000909</v>
      </c>
      <c r="I1003" s="19">
        <v>33.979999999999997</v>
      </c>
      <c r="J1003" s="19">
        <v>19.989999999999998</v>
      </c>
      <c r="K1003" s="19" t="s">
        <v>69</v>
      </c>
      <c r="L1003" s="19" t="s">
        <v>215</v>
      </c>
      <c r="M1003" s="15" t="s">
        <v>1133</v>
      </c>
      <c r="N1003" s="15" t="s">
        <v>54</v>
      </c>
      <c r="O1003" s="15" t="s">
        <v>55</v>
      </c>
      <c r="P1003" s="20" t="s">
        <v>1238</v>
      </c>
      <c r="Q1003" s="15" t="s">
        <v>83</v>
      </c>
      <c r="R1003" s="4"/>
      <c r="S1003" s="4"/>
    </row>
    <row r="1004" spans="1:19" ht="21" customHeight="1" x14ac:dyDescent="0.25">
      <c r="A1004" s="14">
        <f>DATE(2012,12,31)-1204</f>
        <v>40070</v>
      </c>
      <c r="B1004" s="15" t="s">
        <v>1237</v>
      </c>
      <c r="C1004" s="15" t="s">
        <v>51</v>
      </c>
      <c r="D1004" s="16">
        <v>7</v>
      </c>
      <c r="E1004" s="17">
        <v>296.83999999999997</v>
      </c>
      <c r="F1004" s="16">
        <v>0.08</v>
      </c>
      <c r="G1004" s="15" t="s">
        <v>32</v>
      </c>
      <c r="H1004" s="18">
        <v>-71.83</v>
      </c>
      <c r="I1004" s="19">
        <v>45.19</v>
      </c>
      <c r="J1004" s="19">
        <v>1.99</v>
      </c>
      <c r="K1004" s="19" t="s">
        <v>111</v>
      </c>
      <c r="L1004" s="19" t="s">
        <v>407</v>
      </c>
      <c r="M1004" s="15" t="s">
        <v>407</v>
      </c>
      <c r="N1004" s="15" t="s">
        <v>64</v>
      </c>
      <c r="O1004" s="15" t="s">
        <v>72</v>
      </c>
      <c r="P1004" s="20" t="s">
        <v>877</v>
      </c>
      <c r="Q1004" s="15" t="s">
        <v>49</v>
      </c>
      <c r="R1004" s="4"/>
      <c r="S1004" s="4"/>
    </row>
    <row r="1005" spans="1:19" ht="21" customHeight="1" x14ac:dyDescent="0.25">
      <c r="A1005" s="14">
        <f>DATE(2012,12,31)-1204</f>
        <v>40070</v>
      </c>
      <c r="B1005" s="15" t="s">
        <v>1237</v>
      </c>
      <c r="C1005" s="15" t="s">
        <v>51</v>
      </c>
      <c r="D1005" s="16">
        <v>4</v>
      </c>
      <c r="E1005" s="17">
        <v>1620.94</v>
      </c>
      <c r="F1005" s="16">
        <v>0.1</v>
      </c>
      <c r="G1005" s="15" t="s">
        <v>58</v>
      </c>
      <c r="H1005" s="18">
        <v>-969.0483660000001</v>
      </c>
      <c r="I1005" s="19">
        <v>400.98</v>
      </c>
      <c r="J1005" s="19">
        <v>76.37</v>
      </c>
      <c r="K1005" s="19" t="s">
        <v>44</v>
      </c>
      <c r="L1005" s="19" t="s">
        <v>120</v>
      </c>
      <c r="M1005" s="15" t="s">
        <v>121</v>
      </c>
      <c r="N1005" s="15" t="s">
        <v>54</v>
      </c>
      <c r="O1005" s="15" t="s">
        <v>61</v>
      </c>
      <c r="P1005" s="20" t="s">
        <v>1001</v>
      </c>
      <c r="Q1005" s="15" t="s">
        <v>63</v>
      </c>
      <c r="R1005" s="4"/>
      <c r="S1005" s="4"/>
    </row>
    <row r="1006" spans="1:19" ht="21" customHeight="1" x14ac:dyDescent="0.25">
      <c r="A1006" s="14">
        <f>DATE(2012,12,31)-734</f>
        <v>40540</v>
      </c>
      <c r="B1006" s="15" t="s">
        <v>185</v>
      </c>
      <c r="C1006" s="15" t="s">
        <v>31</v>
      </c>
      <c r="D1006" s="16">
        <v>17</v>
      </c>
      <c r="E1006" s="17">
        <v>959.08899999999994</v>
      </c>
      <c r="F1006" s="16">
        <v>0.06</v>
      </c>
      <c r="G1006" s="15" t="s">
        <v>32</v>
      </c>
      <c r="H1006" s="18">
        <v>124.99199999999999</v>
      </c>
      <c r="I1006" s="19">
        <v>65.989999999999995</v>
      </c>
      <c r="J1006" s="19">
        <v>2.5</v>
      </c>
      <c r="K1006" s="19" t="s">
        <v>44</v>
      </c>
      <c r="L1006" s="19" t="s">
        <v>52</v>
      </c>
      <c r="M1006" s="15" t="s">
        <v>1029</v>
      </c>
      <c r="N1006" s="15" t="s">
        <v>64</v>
      </c>
      <c r="O1006" s="15" t="s">
        <v>65</v>
      </c>
      <c r="P1006" s="20" t="s">
        <v>1239</v>
      </c>
      <c r="Q1006" s="15" t="s">
        <v>83</v>
      </c>
      <c r="R1006" s="4"/>
      <c r="S1006" s="4"/>
    </row>
    <row r="1007" spans="1:19" ht="21" customHeight="1" x14ac:dyDescent="0.25">
      <c r="A1007" s="14">
        <f>DATE(2012,12,31)-947</f>
        <v>40327</v>
      </c>
      <c r="B1007" s="15" t="s">
        <v>311</v>
      </c>
      <c r="C1007" s="15" t="s">
        <v>31</v>
      </c>
      <c r="D1007" s="16">
        <v>43</v>
      </c>
      <c r="E1007" s="17">
        <v>3681.7494999999999</v>
      </c>
      <c r="F1007" s="16">
        <v>0.01</v>
      </c>
      <c r="G1007" s="15" t="s">
        <v>32</v>
      </c>
      <c r="H1007" s="18">
        <v>1196.442</v>
      </c>
      <c r="I1007" s="19">
        <v>95.99</v>
      </c>
      <c r="J1007" s="19">
        <v>4.9000000000000004</v>
      </c>
      <c r="K1007" s="19" t="s">
        <v>124</v>
      </c>
      <c r="L1007" s="19" t="s">
        <v>160</v>
      </c>
      <c r="M1007" s="15" t="s">
        <v>888</v>
      </c>
      <c r="N1007" s="15" t="s">
        <v>64</v>
      </c>
      <c r="O1007" s="15" t="s">
        <v>65</v>
      </c>
      <c r="P1007" s="20" t="s">
        <v>477</v>
      </c>
      <c r="Q1007" s="15" t="s">
        <v>83</v>
      </c>
      <c r="R1007" s="4"/>
      <c r="S1007" s="4"/>
    </row>
    <row r="1008" spans="1:19" ht="21" customHeight="1" x14ac:dyDescent="0.25">
      <c r="A1008" s="14">
        <f>DATE(2012,12,31)-783</f>
        <v>40491</v>
      </c>
      <c r="B1008" s="15" t="s">
        <v>409</v>
      </c>
      <c r="C1008" s="15" t="s">
        <v>85</v>
      </c>
      <c r="D1008" s="16">
        <v>24</v>
      </c>
      <c r="E1008" s="17">
        <v>875.52</v>
      </c>
      <c r="F1008" s="16">
        <v>0.09</v>
      </c>
      <c r="G1008" s="15" t="s">
        <v>32</v>
      </c>
      <c r="H1008" s="18">
        <v>5.710000000000008</v>
      </c>
      <c r="I1008" s="19">
        <v>37.93</v>
      </c>
      <c r="J1008" s="19">
        <v>13.99</v>
      </c>
      <c r="K1008" s="19" t="s">
        <v>69</v>
      </c>
      <c r="L1008" s="19" t="s">
        <v>70</v>
      </c>
      <c r="M1008" s="15" t="s">
        <v>1215</v>
      </c>
      <c r="N1008" s="15" t="s">
        <v>54</v>
      </c>
      <c r="O1008" s="15" t="s">
        <v>55</v>
      </c>
      <c r="P1008" s="20" t="s">
        <v>1240</v>
      </c>
      <c r="Q1008" s="15" t="s">
        <v>79</v>
      </c>
      <c r="R1008" s="4"/>
      <c r="S1008" s="4"/>
    </row>
    <row r="1009" spans="1:19" ht="21" customHeight="1" x14ac:dyDescent="0.25">
      <c r="A1009" s="14">
        <f>DATE(2012,12,31)-1333</f>
        <v>39941</v>
      </c>
      <c r="B1009" s="15" t="s">
        <v>1241</v>
      </c>
      <c r="C1009" s="15" t="s">
        <v>51</v>
      </c>
      <c r="D1009" s="16">
        <v>15</v>
      </c>
      <c r="E1009" s="17">
        <v>260.39</v>
      </c>
      <c r="F1009" s="16">
        <v>0.09</v>
      </c>
      <c r="G1009" s="15" t="s">
        <v>32</v>
      </c>
      <c r="H1009" s="18">
        <v>-48.57</v>
      </c>
      <c r="I1009" s="19">
        <v>16.98</v>
      </c>
      <c r="J1009" s="19">
        <v>12.39</v>
      </c>
      <c r="K1009" s="19" t="s">
        <v>97</v>
      </c>
      <c r="L1009" s="19" t="s">
        <v>98</v>
      </c>
      <c r="M1009" s="15" t="s">
        <v>1162</v>
      </c>
      <c r="N1009" s="15" t="s">
        <v>36</v>
      </c>
      <c r="O1009" s="15" t="s">
        <v>189</v>
      </c>
      <c r="P1009" s="20" t="s">
        <v>1242</v>
      </c>
      <c r="Q1009" s="15" t="s">
        <v>83</v>
      </c>
      <c r="R1009" s="4"/>
      <c r="S1009" s="4"/>
    </row>
    <row r="1010" spans="1:19" ht="21" customHeight="1" x14ac:dyDescent="0.25">
      <c r="A1010" s="14">
        <f>DATE(2012,12,31)-575</f>
        <v>40699</v>
      </c>
      <c r="B1010" s="15" t="s">
        <v>1078</v>
      </c>
      <c r="C1010" s="15" t="s">
        <v>31</v>
      </c>
      <c r="D1010" s="16">
        <v>48</v>
      </c>
      <c r="E1010" s="17">
        <v>269.93</v>
      </c>
      <c r="F1010" s="16">
        <v>0.05</v>
      </c>
      <c r="G1010" s="15" t="s">
        <v>101</v>
      </c>
      <c r="H1010" s="18">
        <v>119.64</v>
      </c>
      <c r="I1010" s="19">
        <v>5.43</v>
      </c>
      <c r="J1010" s="19">
        <v>0.95</v>
      </c>
      <c r="K1010" s="19" t="s">
        <v>44</v>
      </c>
      <c r="L1010" s="19" t="s">
        <v>52</v>
      </c>
      <c r="M1010" s="15" t="s">
        <v>1029</v>
      </c>
      <c r="N1010" s="15" t="s">
        <v>36</v>
      </c>
      <c r="O1010" s="15" t="s">
        <v>117</v>
      </c>
      <c r="P1010" s="20" t="s">
        <v>1243</v>
      </c>
      <c r="Q1010" s="15" t="s">
        <v>79</v>
      </c>
      <c r="R1010" s="4"/>
      <c r="S1010" s="4"/>
    </row>
    <row r="1011" spans="1:19" ht="21" customHeight="1" x14ac:dyDescent="0.25">
      <c r="A1011" s="14">
        <f>DATE(2012,12,31)-575</f>
        <v>40699</v>
      </c>
      <c r="B1011" s="15" t="s">
        <v>1078</v>
      </c>
      <c r="C1011" s="15" t="s">
        <v>31</v>
      </c>
      <c r="D1011" s="16">
        <v>46</v>
      </c>
      <c r="E1011" s="17">
        <v>303.62</v>
      </c>
      <c r="F1011" s="16">
        <v>0.02</v>
      </c>
      <c r="G1011" s="15" t="s">
        <v>32</v>
      </c>
      <c r="H1011" s="18">
        <v>-59.98</v>
      </c>
      <c r="I1011" s="19">
        <v>6.48</v>
      </c>
      <c r="J1011" s="19">
        <v>2.74</v>
      </c>
      <c r="K1011" s="19" t="s">
        <v>33</v>
      </c>
      <c r="L1011" s="19" t="s">
        <v>34</v>
      </c>
      <c r="M1011" s="15" t="s">
        <v>35</v>
      </c>
      <c r="N1011" s="15" t="s">
        <v>64</v>
      </c>
      <c r="O1011" s="15" t="s">
        <v>72</v>
      </c>
      <c r="P1011" s="20" t="s">
        <v>1244</v>
      </c>
      <c r="Q1011" s="15" t="s">
        <v>49</v>
      </c>
      <c r="R1011" s="4"/>
      <c r="S1011" s="4"/>
    </row>
    <row r="1012" spans="1:19" ht="21" customHeight="1" x14ac:dyDescent="0.25">
      <c r="A1012" s="14">
        <f>DATE(2012,12,31)-1309</f>
        <v>39965</v>
      </c>
      <c r="B1012" s="15" t="s">
        <v>410</v>
      </c>
      <c r="C1012" s="15" t="s">
        <v>43</v>
      </c>
      <c r="D1012" s="16">
        <v>6</v>
      </c>
      <c r="E1012" s="17">
        <v>55.77</v>
      </c>
      <c r="F1012" s="16">
        <v>0.04</v>
      </c>
      <c r="G1012" s="15" t="s">
        <v>32</v>
      </c>
      <c r="H1012" s="18">
        <v>-4.37</v>
      </c>
      <c r="I1012" s="19">
        <v>9.11</v>
      </c>
      <c r="J1012" s="19">
        <v>2.25</v>
      </c>
      <c r="K1012" s="19" t="s">
        <v>69</v>
      </c>
      <c r="L1012" s="19" t="s">
        <v>70</v>
      </c>
      <c r="M1012" s="15" t="s">
        <v>1215</v>
      </c>
      <c r="N1012" s="15" t="s">
        <v>36</v>
      </c>
      <c r="O1012" s="15" t="s">
        <v>77</v>
      </c>
      <c r="P1012" s="20" t="s">
        <v>78</v>
      </c>
      <c r="Q1012" s="15" t="s">
        <v>79</v>
      </c>
      <c r="R1012" s="4"/>
      <c r="S1012" s="4"/>
    </row>
    <row r="1013" spans="1:19" ht="21" customHeight="1" x14ac:dyDescent="0.25">
      <c r="A1013" s="14">
        <f>DATE(2012,12,31)-1309</f>
        <v>39965</v>
      </c>
      <c r="B1013" s="15" t="s">
        <v>410</v>
      </c>
      <c r="C1013" s="15" t="s">
        <v>43</v>
      </c>
      <c r="D1013" s="16">
        <v>34</v>
      </c>
      <c r="E1013" s="17">
        <v>2181.44</v>
      </c>
      <c r="F1013" s="16">
        <v>7.0000000000000007E-2</v>
      </c>
      <c r="G1013" s="15" t="s">
        <v>32</v>
      </c>
      <c r="H1013" s="18">
        <v>-896.34</v>
      </c>
      <c r="I1013" s="19">
        <v>64.650000000000006</v>
      </c>
      <c r="J1013" s="19">
        <v>35</v>
      </c>
      <c r="K1013" s="19" t="s">
        <v>44</v>
      </c>
      <c r="L1013" s="19" t="s">
        <v>120</v>
      </c>
      <c r="M1013" s="15" t="s">
        <v>121</v>
      </c>
      <c r="N1013" s="15" t="s">
        <v>36</v>
      </c>
      <c r="O1013" s="15" t="s">
        <v>37</v>
      </c>
      <c r="P1013" s="20" t="s">
        <v>1245</v>
      </c>
      <c r="Q1013" s="15" t="s">
        <v>39</v>
      </c>
      <c r="R1013" s="4"/>
      <c r="S1013" s="4"/>
    </row>
    <row r="1014" spans="1:19" ht="21" customHeight="1" x14ac:dyDescent="0.25">
      <c r="A1014" s="14">
        <f>DATE(2012,12,31)-16</f>
        <v>41258</v>
      </c>
      <c r="B1014" s="15" t="s">
        <v>1163</v>
      </c>
      <c r="C1014" s="15" t="s">
        <v>43</v>
      </c>
      <c r="D1014" s="16">
        <v>47</v>
      </c>
      <c r="E1014" s="17">
        <v>16002.29</v>
      </c>
      <c r="F1014" s="16">
        <v>0.09</v>
      </c>
      <c r="G1014" s="15" t="s">
        <v>32</v>
      </c>
      <c r="H1014" s="18">
        <v>4604.79</v>
      </c>
      <c r="I1014" s="19">
        <v>363.25</v>
      </c>
      <c r="J1014" s="19">
        <v>19.989999999999998</v>
      </c>
      <c r="K1014" s="19" t="s">
        <v>44</v>
      </c>
      <c r="L1014" s="19" t="s">
        <v>89</v>
      </c>
      <c r="M1014" s="15" t="s">
        <v>734</v>
      </c>
      <c r="N1014" s="15" t="s">
        <v>36</v>
      </c>
      <c r="O1014" s="15" t="s">
        <v>176</v>
      </c>
      <c r="P1014" s="20" t="s">
        <v>177</v>
      </c>
      <c r="Q1014" s="15" t="s">
        <v>83</v>
      </c>
      <c r="R1014" s="4"/>
      <c r="S1014" s="4"/>
    </row>
    <row r="1015" spans="1:19" ht="21" customHeight="1" x14ac:dyDescent="0.25">
      <c r="A1015" s="14">
        <f>DATE(2012,12,31)-16</f>
        <v>41258</v>
      </c>
      <c r="B1015" s="15" t="s">
        <v>1163</v>
      </c>
      <c r="C1015" s="15" t="s">
        <v>43</v>
      </c>
      <c r="D1015" s="16">
        <v>9</v>
      </c>
      <c r="E1015" s="17">
        <v>182.26</v>
      </c>
      <c r="F1015" s="16">
        <v>0.01</v>
      </c>
      <c r="G1015" s="15" t="s">
        <v>32</v>
      </c>
      <c r="H1015" s="18">
        <v>60.613500000000002</v>
      </c>
      <c r="I1015" s="19">
        <v>18.940000000000001</v>
      </c>
      <c r="J1015" s="19">
        <v>1.49</v>
      </c>
      <c r="K1015" s="19" t="s">
        <v>33</v>
      </c>
      <c r="L1015" s="19" t="s">
        <v>145</v>
      </c>
      <c r="M1015" s="15" t="s">
        <v>1083</v>
      </c>
      <c r="N1015" s="15" t="s">
        <v>36</v>
      </c>
      <c r="O1015" s="15" t="s">
        <v>170</v>
      </c>
      <c r="P1015" s="20" t="s">
        <v>1246</v>
      </c>
      <c r="Q1015" s="15" t="s">
        <v>83</v>
      </c>
      <c r="R1015" s="4"/>
      <c r="S1015" s="4"/>
    </row>
    <row r="1016" spans="1:19" ht="21" customHeight="1" x14ac:dyDescent="0.25">
      <c r="A1016" s="14">
        <f>DATE(2012,12,31)-950</f>
        <v>40324</v>
      </c>
      <c r="B1016" s="15" t="s">
        <v>245</v>
      </c>
      <c r="C1016" s="15" t="s">
        <v>43</v>
      </c>
      <c r="D1016" s="16">
        <v>33</v>
      </c>
      <c r="E1016" s="17">
        <v>1379.34</v>
      </c>
      <c r="F1016" s="16">
        <v>0.04</v>
      </c>
      <c r="G1016" s="15" t="s">
        <v>32</v>
      </c>
      <c r="H1016" s="18">
        <v>-470.85</v>
      </c>
      <c r="I1016" s="19">
        <v>40.479999999999997</v>
      </c>
      <c r="J1016" s="19">
        <v>19.989999999999998</v>
      </c>
      <c r="K1016" s="19" t="s">
        <v>33</v>
      </c>
      <c r="L1016" s="19" t="s">
        <v>59</v>
      </c>
      <c r="M1016" s="15" t="s">
        <v>60</v>
      </c>
      <c r="N1016" s="15" t="s">
        <v>64</v>
      </c>
      <c r="O1016" s="15" t="s">
        <v>72</v>
      </c>
      <c r="P1016" s="20" t="s">
        <v>1247</v>
      </c>
      <c r="Q1016" s="15" t="s">
        <v>83</v>
      </c>
      <c r="R1016" s="4"/>
      <c r="S1016" s="4"/>
    </row>
    <row r="1017" spans="1:19" ht="21" customHeight="1" x14ac:dyDescent="0.25">
      <c r="A1017" s="14">
        <f>DATE(2012,12,31)-950</f>
        <v>40324</v>
      </c>
      <c r="B1017" s="15" t="s">
        <v>245</v>
      </c>
      <c r="C1017" s="15" t="s">
        <v>43</v>
      </c>
      <c r="D1017" s="16">
        <v>6</v>
      </c>
      <c r="E1017" s="17">
        <v>168.25</v>
      </c>
      <c r="F1017" s="16">
        <v>0.09</v>
      </c>
      <c r="G1017" s="15" t="s">
        <v>101</v>
      </c>
      <c r="H1017" s="18">
        <v>101.78</v>
      </c>
      <c r="I1017" s="19">
        <v>26.48</v>
      </c>
      <c r="J1017" s="19">
        <v>6.93</v>
      </c>
      <c r="K1017" s="19" t="s">
        <v>69</v>
      </c>
      <c r="L1017" s="19" t="s">
        <v>215</v>
      </c>
      <c r="M1017" s="15" t="s">
        <v>1133</v>
      </c>
      <c r="N1017" s="15" t="s">
        <v>54</v>
      </c>
      <c r="O1017" s="15" t="s">
        <v>55</v>
      </c>
      <c r="P1017" s="20" t="s">
        <v>1248</v>
      </c>
      <c r="Q1017" s="15" t="s">
        <v>83</v>
      </c>
      <c r="R1017" s="4"/>
      <c r="S1017" s="4"/>
    </row>
    <row r="1018" spans="1:19" ht="21" customHeight="1" x14ac:dyDescent="0.25">
      <c r="A1018" s="14">
        <f>DATE(2012,12,31)-937</f>
        <v>40337</v>
      </c>
      <c r="B1018" s="15" t="s">
        <v>1137</v>
      </c>
      <c r="C1018" s="15" t="s">
        <v>85</v>
      </c>
      <c r="D1018" s="16">
        <v>50</v>
      </c>
      <c r="E1018" s="17">
        <v>751.77</v>
      </c>
      <c r="F1018" s="16">
        <v>0.05</v>
      </c>
      <c r="G1018" s="15" t="s">
        <v>32</v>
      </c>
      <c r="H1018" s="18">
        <v>353.2</v>
      </c>
      <c r="I1018" s="19">
        <v>15.67</v>
      </c>
      <c r="J1018" s="19">
        <v>1.39</v>
      </c>
      <c r="K1018" s="19" t="s">
        <v>44</v>
      </c>
      <c r="L1018" s="19" t="s">
        <v>89</v>
      </c>
      <c r="M1018" s="15" t="s">
        <v>734</v>
      </c>
      <c r="N1018" s="15" t="s">
        <v>36</v>
      </c>
      <c r="O1018" s="15" t="s">
        <v>189</v>
      </c>
      <c r="P1018" s="20" t="s">
        <v>967</v>
      </c>
      <c r="Q1018" s="15" t="s">
        <v>83</v>
      </c>
      <c r="R1018" s="4"/>
      <c r="S1018" s="4"/>
    </row>
    <row r="1019" spans="1:19" ht="21" customHeight="1" x14ac:dyDescent="0.25">
      <c r="A1019" s="14">
        <f>DATE(2012,12,31)-1340</f>
        <v>39934</v>
      </c>
      <c r="B1019" s="15" t="s">
        <v>1219</v>
      </c>
      <c r="C1019" s="15" t="s">
        <v>85</v>
      </c>
      <c r="D1019" s="16">
        <v>33</v>
      </c>
      <c r="E1019" s="17">
        <v>78.81</v>
      </c>
      <c r="F1019" s="16">
        <v>0.03</v>
      </c>
      <c r="G1019" s="15" t="s">
        <v>32</v>
      </c>
      <c r="H1019" s="18">
        <v>-93.25</v>
      </c>
      <c r="I1019" s="19">
        <v>2.23</v>
      </c>
      <c r="J1019" s="19">
        <v>4.57</v>
      </c>
      <c r="K1019" s="19" t="s">
        <v>33</v>
      </c>
      <c r="L1019" s="19" t="s">
        <v>93</v>
      </c>
      <c r="M1019" s="15" t="s">
        <v>94</v>
      </c>
      <c r="N1019" s="15" t="s">
        <v>54</v>
      </c>
      <c r="O1019" s="15" t="s">
        <v>55</v>
      </c>
      <c r="P1019" s="20" t="s">
        <v>1249</v>
      </c>
      <c r="Q1019" s="15" t="s">
        <v>49</v>
      </c>
      <c r="R1019" s="4"/>
      <c r="S1019" s="4"/>
    </row>
    <row r="1020" spans="1:19" ht="21" customHeight="1" x14ac:dyDescent="0.25">
      <c r="A1020" s="14">
        <f>DATE(2012,12,31)-823</f>
        <v>40451</v>
      </c>
      <c r="B1020" s="15" t="s">
        <v>1250</v>
      </c>
      <c r="C1020" s="15" t="s">
        <v>43</v>
      </c>
      <c r="D1020" s="16">
        <v>36</v>
      </c>
      <c r="E1020" s="17">
        <v>2300.4499999999998</v>
      </c>
      <c r="F1020" s="16">
        <v>0.02</v>
      </c>
      <c r="G1020" s="15" t="s">
        <v>32</v>
      </c>
      <c r="H1020" s="18">
        <v>624.64</v>
      </c>
      <c r="I1020" s="19">
        <v>60.98</v>
      </c>
      <c r="J1020" s="19">
        <v>19.989999999999998</v>
      </c>
      <c r="K1020" s="19" t="s">
        <v>33</v>
      </c>
      <c r="L1020" s="19" t="s">
        <v>128</v>
      </c>
      <c r="M1020" s="15" t="s">
        <v>129</v>
      </c>
      <c r="N1020" s="15" t="s">
        <v>36</v>
      </c>
      <c r="O1020" s="15" t="s">
        <v>189</v>
      </c>
      <c r="P1020" s="20" t="s">
        <v>1251</v>
      </c>
      <c r="Q1020" s="15" t="s">
        <v>83</v>
      </c>
      <c r="R1020" s="4"/>
      <c r="S1020" s="4"/>
    </row>
    <row r="1021" spans="1:19" ht="21" customHeight="1" x14ac:dyDescent="0.25">
      <c r="A1021" s="14">
        <f>DATE(2012,12,31)-823</f>
        <v>40451</v>
      </c>
      <c r="B1021" s="15" t="s">
        <v>1250</v>
      </c>
      <c r="C1021" s="15" t="s">
        <v>43</v>
      </c>
      <c r="D1021" s="16">
        <v>46</v>
      </c>
      <c r="E1021" s="17">
        <v>548.11</v>
      </c>
      <c r="F1021" s="16">
        <v>0.04</v>
      </c>
      <c r="G1021" s="15" t="s">
        <v>32</v>
      </c>
      <c r="H1021" s="18">
        <v>124.24</v>
      </c>
      <c r="I1021" s="19">
        <v>11.55</v>
      </c>
      <c r="J1021" s="19">
        <v>2.36</v>
      </c>
      <c r="K1021" s="19" t="s">
        <v>44</v>
      </c>
      <c r="L1021" s="19" t="s">
        <v>52</v>
      </c>
      <c r="M1021" s="15" t="s">
        <v>1029</v>
      </c>
      <c r="N1021" s="15" t="s">
        <v>36</v>
      </c>
      <c r="O1021" s="15" t="s">
        <v>77</v>
      </c>
      <c r="P1021" s="20" t="s">
        <v>996</v>
      </c>
      <c r="Q1021" s="15" t="s">
        <v>79</v>
      </c>
      <c r="R1021" s="4"/>
      <c r="S1021" s="4"/>
    </row>
    <row r="1022" spans="1:19" ht="21" customHeight="1" x14ac:dyDescent="0.25">
      <c r="A1022" s="14">
        <f>DATE(2012,12,31)-271</f>
        <v>41003</v>
      </c>
      <c r="B1022" s="15" t="s">
        <v>346</v>
      </c>
      <c r="C1022" s="15" t="s">
        <v>85</v>
      </c>
      <c r="D1022" s="16">
        <v>16</v>
      </c>
      <c r="E1022" s="17">
        <v>226.81</v>
      </c>
      <c r="F1022" s="16">
        <v>0.05</v>
      </c>
      <c r="G1022" s="15" t="s">
        <v>32</v>
      </c>
      <c r="H1022" s="18">
        <v>-5.3704999999999998</v>
      </c>
      <c r="I1022" s="19">
        <v>14.45</v>
      </c>
      <c r="J1022" s="19">
        <v>7.17</v>
      </c>
      <c r="K1022" s="19" t="s">
        <v>33</v>
      </c>
      <c r="L1022" s="19" t="s">
        <v>128</v>
      </c>
      <c r="M1022" s="15" t="s">
        <v>129</v>
      </c>
      <c r="N1022" s="15" t="s">
        <v>36</v>
      </c>
      <c r="O1022" s="15" t="s">
        <v>170</v>
      </c>
      <c r="P1022" s="20" t="s">
        <v>1252</v>
      </c>
      <c r="Q1022" s="15" t="s">
        <v>83</v>
      </c>
      <c r="R1022" s="4"/>
      <c r="S1022" s="4"/>
    </row>
    <row r="1023" spans="1:19" ht="21" customHeight="1" x14ac:dyDescent="0.25">
      <c r="A1023" s="14">
        <f>DATE(2012,12,31)-271</f>
        <v>41003</v>
      </c>
      <c r="B1023" s="15" t="s">
        <v>346</v>
      </c>
      <c r="C1023" s="15" t="s">
        <v>85</v>
      </c>
      <c r="D1023" s="16">
        <v>46</v>
      </c>
      <c r="E1023" s="17">
        <v>511.07</v>
      </c>
      <c r="F1023" s="16">
        <v>0.01</v>
      </c>
      <c r="G1023" s="15" t="s">
        <v>32</v>
      </c>
      <c r="H1023" s="18">
        <v>-165.74</v>
      </c>
      <c r="I1023" s="19">
        <v>10.97</v>
      </c>
      <c r="J1023" s="19">
        <v>6.5</v>
      </c>
      <c r="K1023" s="19" t="s">
        <v>124</v>
      </c>
      <c r="L1023" s="19" t="s">
        <v>164</v>
      </c>
      <c r="M1023" s="15" t="s">
        <v>1228</v>
      </c>
      <c r="N1023" s="15" t="s">
        <v>64</v>
      </c>
      <c r="O1023" s="15" t="s">
        <v>72</v>
      </c>
      <c r="P1023" s="20" t="s">
        <v>354</v>
      </c>
      <c r="Q1023" s="15" t="s">
        <v>83</v>
      </c>
      <c r="R1023" s="4"/>
      <c r="S1023" s="4"/>
    </row>
    <row r="1024" spans="1:19" ht="21" customHeight="1" x14ac:dyDescent="0.25">
      <c r="A1024" s="14">
        <f>DATE(2012,12,31)-271</f>
        <v>41003</v>
      </c>
      <c r="B1024" s="15" t="s">
        <v>346</v>
      </c>
      <c r="C1024" s="15" t="s">
        <v>85</v>
      </c>
      <c r="D1024" s="16">
        <v>9</v>
      </c>
      <c r="E1024" s="17">
        <v>337.34</v>
      </c>
      <c r="F1024" s="16">
        <v>0.06</v>
      </c>
      <c r="G1024" s="15" t="s">
        <v>32</v>
      </c>
      <c r="H1024" s="18">
        <v>-69.84</v>
      </c>
      <c r="I1024" s="19">
        <v>39.479999999999997</v>
      </c>
      <c r="J1024" s="19">
        <v>1.99</v>
      </c>
      <c r="K1024" s="19" t="s">
        <v>33</v>
      </c>
      <c r="L1024" s="19" t="s">
        <v>93</v>
      </c>
      <c r="M1024" s="15" t="s">
        <v>94</v>
      </c>
      <c r="N1024" s="15" t="s">
        <v>64</v>
      </c>
      <c r="O1024" s="15" t="s">
        <v>72</v>
      </c>
      <c r="P1024" s="20" t="s">
        <v>218</v>
      </c>
      <c r="Q1024" s="15" t="s">
        <v>49</v>
      </c>
      <c r="R1024" s="4"/>
      <c r="S1024" s="4"/>
    </row>
    <row r="1025" spans="1:19" ht="21" customHeight="1" x14ac:dyDescent="0.25">
      <c r="A1025" s="14">
        <f>DATE(2012,12,31)-1449</f>
        <v>39825</v>
      </c>
      <c r="B1025" s="15" t="s">
        <v>1253</v>
      </c>
      <c r="C1025" s="15" t="s">
        <v>31</v>
      </c>
      <c r="D1025" s="16">
        <v>12</v>
      </c>
      <c r="E1025" s="17">
        <v>4080.3</v>
      </c>
      <c r="F1025" s="16">
        <v>0.05</v>
      </c>
      <c r="G1025" s="15" t="s">
        <v>58</v>
      </c>
      <c r="H1025" s="18">
        <v>593.79</v>
      </c>
      <c r="I1025" s="19">
        <v>350.99</v>
      </c>
      <c r="J1025" s="19">
        <v>39</v>
      </c>
      <c r="K1025" s="19" t="s">
        <v>33</v>
      </c>
      <c r="L1025" s="19" t="s">
        <v>59</v>
      </c>
      <c r="M1025" s="15" t="s">
        <v>60</v>
      </c>
      <c r="N1025" s="15" t="s">
        <v>54</v>
      </c>
      <c r="O1025" s="15" t="s">
        <v>252</v>
      </c>
      <c r="P1025" s="20" t="s">
        <v>1254</v>
      </c>
      <c r="Q1025" s="15" t="s">
        <v>181</v>
      </c>
      <c r="R1025" s="4"/>
      <c r="S1025" s="4"/>
    </row>
    <row r="1026" spans="1:19" ht="21" customHeight="1" x14ac:dyDescent="0.25">
      <c r="A1026" s="14">
        <f>DATE(2012,12,31)-1449</f>
        <v>39825</v>
      </c>
      <c r="B1026" s="15" t="s">
        <v>1253</v>
      </c>
      <c r="C1026" s="15" t="s">
        <v>31</v>
      </c>
      <c r="D1026" s="16">
        <v>28</v>
      </c>
      <c r="E1026" s="17">
        <v>260.79000000000002</v>
      </c>
      <c r="F1026" s="16">
        <v>0</v>
      </c>
      <c r="G1026" s="15" t="s">
        <v>32</v>
      </c>
      <c r="H1026" s="18">
        <v>111.4</v>
      </c>
      <c r="I1026" s="19">
        <v>8.74</v>
      </c>
      <c r="J1026" s="19">
        <v>1.39</v>
      </c>
      <c r="K1026" s="19" t="s">
        <v>33</v>
      </c>
      <c r="L1026" s="19" t="s">
        <v>59</v>
      </c>
      <c r="M1026" s="15" t="s">
        <v>60</v>
      </c>
      <c r="N1026" s="15" t="s">
        <v>36</v>
      </c>
      <c r="O1026" s="15" t="s">
        <v>189</v>
      </c>
      <c r="P1026" s="20" t="s">
        <v>581</v>
      </c>
      <c r="Q1026" s="15" t="s">
        <v>83</v>
      </c>
      <c r="R1026" s="4"/>
      <c r="S1026" s="4"/>
    </row>
    <row r="1027" spans="1:19" ht="21" customHeight="1" x14ac:dyDescent="0.25">
      <c r="A1027" s="14">
        <f>DATE(2012,12,31)-1449</f>
        <v>39825</v>
      </c>
      <c r="B1027" s="15" t="s">
        <v>1253</v>
      </c>
      <c r="C1027" s="15" t="s">
        <v>31</v>
      </c>
      <c r="D1027" s="16">
        <v>44</v>
      </c>
      <c r="E1027" s="17">
        <v>90.35</v>
      </c>
      <c r="F1027" s="16">
        <v>0.02</v>
      </c>
      <c r="G1027" s="15" t="s">
        <v>32</v>
      </c>
      <c r="H1027" s="18">
        <v>-16.72</v>
      </c>
      <c r="I1027" s="19">
        <v>1.98</v>
      </c>
      <c r="J1027" s="19">
        <v>0.7</v>
      </c>
      <c r="K1027" s="19" t="s">
        <v>33</v>
      </c>
      <c r="L1027" s="19" t="s">
        <v>59</v>
      </c>
      <c r="M1027" s="15" t="s">
        <v>60</v>
      </c>
      <c r="N1027" s="15" t="s">
        <v>36</v>
      </c>
      <c r="O1027" s="15" t="s">
        <v>105</v>
      </c>
      <c r="P1027" s="20" t="s">
        <v>1255</v>
      </c>
      <c r="Q1027" s="15" t="s">
        <v>79</v>
      </c>
      <c r="R1027" s="4"/>
      <c r="S1027" s="4"/>
    </row>
    <row r="1028" spans="1:19" ht="21" customHeight="1" x14ac:dyDescent="0.25">
      <c r="A1028" s="14">
        <f>DATE(2012,12,31)-680</f>
        <v>40594</v>
      </c>
      <c r="B1028" s="15" t="s">
        <v>485</v>
      </c>
      <c r="C1028" s="15" t="s">
        <v>51</v>
      </c>
      <c r="D1028" s="16">
        <v>3</v>
      </c>
      <c r="E1028" s="17">
        <v>72.63</v>
      </c>
      <c r="F1028" s="16">
        <v>7.0000000000000007E-2</v>
      </c>
      <c r="G1028" s="15" t="s">
        <v>101</v>
      </c>
      <c r="H1028" s="18">
        <v>-26.94</v>
      </c>
      <c r="I1028" s="19">
        <v>22.01</v>
      </c>
      <c r="J1028" s="19">
        <v>5.53</v>
      </c>
      <c r="K1028" s="19" t="s">
        <v>33</v>
      </c>
      <c r="L1028" s="19" t="s">
        <v>59</v>
      </c>
      <c r="M1028" s="15" t="s">
        <v>60</v>
      </c>
      <c r="N1028" s="15" t="s">
        <v>36</v>
      </c>
      <c r="O1028" s="15" t="s">
        <v>77</v>
      </c>
      <c r="P1028" s="20" t="s">
        <v>709</v>
      </c>
      <c r="Q1028" s="15" t="s">
        <v>49</v>
      </c>
      <c r="R1028" s="4"/>
      <c r="S1028" s="4"/>
    </row>
    <row r="1029" spans="1:19" ht="21" customHeight="1" x14ac:dyDescent="0.25">
      <c r="A1029" s="14">
        <f>DATE(2012,12,31)-242</f>
        <v>41032</v>
      </c>
      <c r="B1029" s="15" t="s">
        <v>1199</v>
      </c>
      <c r="C1029" s="15" t="s">
        <v>85</v>
      </c>
      <c r="D1029" s="16">
        <v>9</v>
      </c>
      <c r="E1029" s="17">
        <v>26.09</v>
      </c>
      <c r="F1029" s="16">
        <v>0.08</v>
      </c>
      <c r="G1029" s="15" t="s">
        <v>32</v>
      </c>
      <c r="H1029" s="18">
        <v>-1.76</v>
      </c>
      <c r="I1029" s="19">
        <v>2.84</v>
      </c>
      <c r="J1029" s="19">
        <v>0.93</v>
      </c>
      <c r="K1029" s="19" t="s">
        <v>33</v>
      </c>
      <c r="L1029" s="19" t="s">
        <v>145</v>
      </c>
      <c r="M1029" s="15" t="s">
        <v>1083</v>
      </c>
      <c r="N1029" s="15" t="s">
        <v>36</v>
      </c>
      <c r="O1029" s="15" t="s">
        <v>77</v>
      </c>
      <c r="P1029" s="20" t="s">
        <v>510</v>
      </c>
      <c r="Q1029" s="15" t="s">
        <v>79</v>
      </c>
      <c r="R1029" s="4"/>
      <c r="S1029" s="4"/>
    </row>
    <row r="1030" spans="1:19" ht="21" customHeight="1" x14ac:dyDescent="0.25">
      <c r="A1030" s="14">
        <f>DATE(2012,12,31)-823</f>
        <v>40451</v>
      </c>
      <c r="B1030" s="15" t="s">
        <v>1256</v>
      </c>
      <c r="C1030" s="15" t="s">
        <v>85</v>
      </c>
      <c r="D1030" s="16">
        <v>38</v>
      </c>
      <c r="E1030" s="17">
        <v>6900.13</v>
      </c>
      <c r="F1030" s="16">
        <v>0.01</v>
      </c>
      <c r="G1030" s="15" t="s">
        <v>58</v>
      </c>
      <c r="H1030" s="18">
        <v>552.97</v>
      </c>
      <c r="I1030" s="19">
        <v>180.98</v>
      </c>
      <c r="J1030" s="19">
        <v>23.58</v>
      </c>
      <c r="K1030" s="19" t="s">
        <v>33</v>
      </c>
      <c r="L1030" s="19" t="s">
        <v>59</v>
      </c>
      <c r="M1030" s="15" t="s">
        <v>60</v>
      </c>
      <c r="N1030" s="15" t="s">
        <v>54</v>
      </c>
      <c r="O1030" s="15" t="s">
        <v>134</v>
      </c>
      <c r="P1030" s="20" t="s">
        <v>1257</v>
      </c>
      <c r="Q1030" s="15" t="s">
        <v>63</v>
      </c>
      <c r="R1030" s="4"/>
      <c r="S1030" s="4"/>
    </row>
    <row r="1031" spans="1:19" ht="21" customHeight="1" x14ac:dyDescent="0.25">
      <c r="A1031" s="14">
        <f>DATE(2012,12,31)-673</f>
        <v>40601</v>
      </c>
      <c r="B1031" s="15" t="s">
        <v>1258</v>
      </c>
      <c r="C1031" s="15" t="s">
        <v>31</v>
      </c>
      <c r="D1031" s="16">
        <v>19</v>
      </c>
      <c r="E1031" s="17">
        <v>1942.1734999999999</v>
      </c>
      <c r="F1031" s="16">
        <v>0</v>
      </c>
      <c r="G1031" s="15" t="s">
        <v>101</v>
      </c>
      <c r="H1031" s="18">
        <v>400.82400000000001</v>
      </c>
      <c r="I1031" s="19">
        <v>115.99</v>
      </c>
      <c r="J1031" s="19">
        <v>2.5</v>
      </c>
      <c r="K1031" s="19" t="s">
        <v>69</v>
      </c>
      <c r="L1031" s="19" t="s">
        <v>70</v>
      </c>
      <c r="M1031" s="15" t="s">
        <v>1215</v>
      </c>
      <c r="N1031" s="15" t="s">
        <v>64</v>
      </c>
      <c r="O1031" s="15" t="s">
        <v>65</v>
      </c>
      <c r="P1031" s="20" t="s">
        <v>816</v>
      </c>
      <c r="Q1031" s="15" t="s">
        <v>83</v>
      </c>
      <c r="R1031" s="4"/>
      <c r="S1031" s="4"/>
    </row>
    <row r="1032" spans="1:19" ht="21" customHeight="1" x14ac:dyDescent="0.25">
      <c r="A1032" s="14">
        <f>DATE(2012,12,31)-1116</f>
        <v>40158</v>
      </c>
      <c r="B1032" s="15" t="s">
        <v>728</v>
      </c>
      <c r="C1032" s="15" t="s">
        <v>85</v>
      </c>
      <c r="D1032" s="16">
        <v>37</v>
      </c>
      <c r="E1032" s="17">
        <v>560.39</v>
      </c>
      <c r="F1032" s="16">
        <v>0.05</v>
      </c>
      <c r="G1032" s="15" t="s">
        <v>32</v>
      </c>
      <c r="H1032" s="18">
        <v>186.87</v>
      </c>
      <c r="I1032" s="19">
        <v>15.68</v>
      </c>
      <c r="J1032" s="19">
        <v>3.73</v>
      </c>
      <c r="K1032" s="19" t="s">
        <v>69</v>
      </c>
      <c r="L1032" s="19" t="s">
        <v>75</v>
      </c>
      <c r="M1032" s="15" t="s">
        <v>75</v>
      </c>
      <c r="N1032" s="15" t="s">
        <v>54</v>
      </c>
      <c r="O1032" s="15" t="s">
        <v>55</v>
      </c>
      <c r="P1032" s="20" t="s">
        <v>718</v>
      </c>
      <c r="Q1032" s="15" t="s">
        <v>49</v>
      </c>
      <c r="R1032" s="4"/>
      <c r="S1032" s="4"/>
    </row>
    <row r="1033" spans="1:19" ht="21" customHeight="1" x14ac:dyDescent="0.25">
      <c r="A1033" s="14">
        <f>DATE(2012,12,31)-1116</f>
        <v>40158</v>
      </c>
      <c r="B1033" s="15" t="s">
        <v>728</v>
      </c>
      <c r="C1033" s="15" t="s">
        <v>85</v>
      </c>
      <c r="D1033" s="16">
        <v>42</v>
      </c>
      <c r="E1033" s="17">
        <v>7062.6159999999991</v>
      </c>
      <c r="F1033" s="16">
        <v>0.02</v>
      </c>
      <c r="G1033" s="15" t="s">
        <v>32</v>
      </c>
      <c r="H1033" s="18">
        <v>2288.6369999999997</v>
      </c>
      <c r="I1033" s="19">
        <v>195.99</v>
      </c>
      <c r="J1033" s="19">
        <v>4.2</v>
      </c>
      <c r="K1033" s="19" t="s">
        <v>69</v>
      </c>
      <c r="L1033" s="19" t="s">
        <v>70</v>
      </c>
      <c r="M1033" s="15" t="s">
        <v>1215</v>
      </c>
      <c r="N1033" s="15" t="s">
        <v>64</v>
      </c>
      <c r="O1033" s="15" t="s">
        <v>65</v>
      </c>
      <c r="P1033" s="20" t="s">
        <v>1216</v>
      </c>
      <c r="Q1033" s="15" t="s">
        <v>83</v>
      </c>
      <c r="R1033" s="4"/>
      <c r="S1033" s="4"/>
    </row>
    <row r="1034" spans="1:19" ht="21" customHeight="1" x14ac:dyDescent="0.25">
      <c r="A1034" s="14">
        <f>DATE(2012,12,31)-112</f>
        <v>41162</v>
      </c>
      <c r="B1034" s="15" t="s">
        <v>1199</v>
      </c>
      <c r="C1034" s="15" t="s">
        <v>85</v>
      </c>
      <c r="D1034" s="16">
        <v>47</v>
      </c>
      <c r="E1034" s="17">
        <v>1406.49</v>
      </c>
      <c r="F1034" s="16">
        <v>0.02</v>
      </c>
      <c r="G1034" s="15" t="s">
        <v>32</v>
      </c>
      <c r="H1034" s="18">
        <v>332.52</v>
      </c>
      <c r="I1034" s="19">
        <v>28.15</v>
      </c>
      <c r="J1034" s="19">
        <v>6.17</v>
      </c>
      <c r="K1034" s="19" t="s">
        <v>69</v>
      </c>
      <c r="L1034" s="19" t="s">
        <v>70</v>
      </c>
      <c r="M1034" s="15" t="s">
        <v>1215</v>
      </c>
      <c r="N1034" s="15" t="s">
        <v>36</v>
      </c>
      <c r="O1034" s="15" t="s">
        <v>77</v>
      </c>
      <c r="P1034" s="20" t="s">
        <v>608</v>
      </c>
      <c r="Q1034" s="15" t="s">
        <v>49</v>
      </c>
      <c r="R1034" s="4"/>
      <c r="S1034" s="4"/>
    </row>
    <row r="1035" spans="1:19" ht="21" customHeight="1" x14ac:dyDescent="0.25">
      <c r="A1035" s="14">
        <f>DATE(2012,12,31)-112</f>
        <v>41162</v>
      </c>
      <c r="B1035" s="15" t="s">
        <v>1199</v>
      </c>
      <c r="C1035" s="15" t="s">
        <v>85</v>
      </c>
      <c r="D1035" s="16">
        <v>49</v>
      </c>
      <c r="E1035" s="17">
        <v>587.71</v>
      </c>
      <c r="F1035" s="16">
        <v>0.09</v>
      </c>
      <c r="G1035" s="15" t="s">
        <v>32</v>
      </c>
      <c r="H1035" s="18">
        <v>26.28</v>
      </c>
      <c r="I1035" s="19">
        <v>12.98</v>
      </c>
      <c r="J1035" s="19">
        <v>3.14</v>
      </c>
      <c r="K1035" s="19" t="s">
        <v>69</v>
      </c>
      <c r="L1035" s="19" t="s">
        <v>75</v>
      </c>
      <c r="M1035" s="15" t="s">
        <v>75</v>
      </c>
      <c r="N1035" s="15" t="s">
        <v>36</v>
      </c>
      <c r="O1035" s="15" t="s">
        <v>47</v>
      </c>
      <c r="P1035" s="20" t="s">
        <v>152</v>
      </c>
      <c r="Q1035" s="15" t="s">
        <v>49</v>
      </c>
      <c r="R1035" s="4"/>
      <c r="S1035" s="4"/>
    </row>
    <row r="1036" spans="1:19" ht="21" customHeight="1" x14ac:dyDescent="0.25">
      <c r="A1036" s="14">
        <f>DATE(2012,12,31)-969</f>
        <v>40305</v>
      </c>
      <c r="B1036" s="15" t="s">
        <v>233</v>
      </c>
      <c r="C1036" s="15" t="s">
        <v>85</v>
      </c>
      <c r="D1036" s="16">
        <v>12</v>
      </c>
      <c r="E1036" s="17">
        <v>1079.19</v>
      </c>
      <c r="F1036" s="16">
        <v>7.0000000000000007E-2</v>
      </c>
      <c r="G1036" s="15" t="s">
        <v>32</v>
      </c>
      <c r="H1036" s="18">
        <v>46.8</v>
      </c>
      <c r="I1036" s="19">
        <v>92.23</v>
      </c>
      <c r="J1036" s="19">
        <v>39.61</v>
      </c>
      <c r="K1036" s="19" t="s">
        <v>69</v>
      </c>
      <c r="L1036" s="19" t="s">
        <v>70</v>
      </c>
      <c r="M1036" s="15" t="s">
        <v>1215</v>
      </c>
      <c r="N1036" s="15" t="s">
        <v>54</v>
      </c>
      <c r="O1036" s="15" t="s">
        <v>55</v>
      </c>
      <c r="P1036" s="20" t="s">
        <v>1111</v>
      </c>
      <c r="Q1036" s="15" t="s">
        <v>57</v>
      </c>
      <c r="R1036" s="4"/>
      <c r="S1036" s="4"/>
    </row>
    <row r="1037" spans="1:19" ht="21" customHeight="1" x14ac:dyDescent="0.25">
      <c r="A1037" s="14">
        <f>DATE(2012,12,31)-969</f>
        <v>40305</v>
      </c>
      <c r="B1037" s="15" t="s">
        <v>233</v>
      </c>
      <c r="C1037" s="15" t="s">
        <v>85</v>
      </c>
      <c r="D1037" s="16">
        <v>3</v>
      </c>
      <c r="E1037" s="17">
        <v>19.05</v>
      </c>
      <c r="F1037" s="16">
        <v>0.04</v>
      </c>
      <c r="G1037" s="15" t="s">
        <v>32</v>
      </c>
      <c r="H1037" s="18">
        <v>-14.81</v>
      </c>
      <c r="I1037" s="19">
        <v>4.28</v>
      </c>
      <c r="J1037" s="19">
        <v>6.72</v>
      </c>
      <c r="K1037" s="19" t="s">
        <v>69</v>
      </c>
      <c r="L1037" s="19" t="s">
        <v>75</v>
      </c>
      <c r="M1037" s="15" t="s">
        <v>75</v>
      </c>
      <c r="N1037" s="15" t="s">
        <v>36</v>
      </c>
      <c r="O1037" s="15" t="s">
        <v>117</v>
      </c>
      <c r="P1037" s="20" t="s">
        <v>792</v>
      </c>
      <c r="Q1037" s="15" t="s">
        <v>83</v>
      </c>
      <c r="R1037" s="4"/>
      <c r="S1037" s="4"/>
    </row>
    <row r="1038" spans="1:19" ht="21" customHeight="1" x14ac:dyDescent="0.25">
      <c r="A1038" s="14">
        <f>DATE(2012,12,31)-811</f>
        <v>40463</v>
      </c>
      <c r="B1038" s="15" t="s">
        <v>674</v>
      </c>
      <c r="C1038" s="15" t="s">
        <v>85</v>
      </c>
      <c r="D1038" s="16">
        <v>9</v>
      </c>
      <c r="E1038" s="17">
        <v>90.37</v>
      </c>
      <c r="F1038" s="16">
        <v>0.05</v>
      </c>
      <c r="G1038" s="15" t="s">
        <v>32</v>
      </c>
      <c r="H1038" s="18">
        <v>-374.82</v>
      </c>
      <c r="I1038" s="19">
        <v>4.4800000000000004</v>
      </c>
      <c r="J1038" s="19">
        <v>49</v>
      </c>
      <c r="K1038" s="19" t="s">
        <v>69</v>
      </c>
      <c r="L1038" s="19" t="s">
        <v>70</v>
      </c>
      <c r="M1038" s="15" t="s">
        <v>1215</v>
      </c>
      <c r="N1038" s="15" t="s">
        <v>36</v>
      </c>
      <c r="O1038" s="15" t="s">
        <v>176</v>
      </c>
      <c r="P1038" s="20" t="s">
        <v>314</v>
      </c>
      <c r="Q1038" s="15" t="s">
        <v>39</v>
      </c>
      <c r="R1038" s="4"/>
      <c r="S1038" s="4"/>
    </row>
    <row r="1039" spans="1:19" ht="21" customHeight="1" x14ac:dyDescent="0.25">
      <c r="A1039" s="14">
        <f>DATE(2012,12,31)-811</f>
        <v>40463</v>
      </c>
      <c r="B1039" s="15" t="s">
        <v>674</v>
      </c>
      <c r="C1039" s="15" t="s">
        <v>85</v>
      </c>
      <c r="D1039" s="16">
        <v>39</v>
      </c>
      <c r="E1039" s="17">
        <v>806.05</v>
      </c>
      <c r="F1039" s="16">
        <v>0.04</v>
      </c>
      <c r="G1039" s="15" t="s">
        <v>32</v>
      </c>
      <c r="H1039" s="18">
        <v>-63.39</v>
      </c>
      <c r="I1039" s="19">
        <v>20.95</v>
      </c>
      <c r="J1039" s="19">
        <v>5.99</v>
      </c>
      <c r="K1039" s="19" t="s">
        <v>69</v>
      </c>
      <c r="L1039" s="19" t="s">
        <v>70</v>
      </c>
      <c r="M1039" s="15" t="s">
        <v>1215</v>
      </c>
      <c r="N1039" s="15" t="s">
        <v>64</v>
      </c>
      <c r="O1039" s="15" t="s">
        <v>72</v>
      </c>
      <c r="P1039" s="20" t="s">
        <v>1259</v>
      </c>
      <c r="Q1039" s="15" t="s">
        <v>83</v>
      </c>
      <c r="R1039" s="4"/>
      <c r="S1039" s="4"/>
    </row>
    <row r="1040" spans="1:19" ht="21" customHeight="1" x14ac:dyDescent="0.25">
      <c r="A1040" s="14">
        <f>DATE(2012,12,31)-592</f>
        <v>40682</v>
      </c>
      <c r="B1040" s="15" t="s">
        <v>1260</v>
      </c>
      <c r="C1040" s="15" t="s">
        <v>51</v>
      </c>
      <c r="D1040" s="16">
        <v>34</v>
      </c>
      <c r="E1040" s="17">
        <v>650.1395</v>
      </c>
      <c r="F1040" s="16">
        <v>0</v>
      </c>
      <c r="G1040" s="15" t="s">
        <v>32</v>
      </c>
      <c r="H1040" s="18">
        <v>22.571999999999999</v>
      </c>
      <c r="I1040" s="19">
        <v>20.99</v>
      </c>
      <c r="J1040" s="19">
        <v>1.25</v>
      </c>
      <c r="K1040" s="19" t="s">
        <v>69</v>
      </c>
      <c r="L1040" s="19" t="s">
        <v>215</v>
      </c>
      <c r="M1040" s="15" t="s">
        <v>1133</v>
      </c>
      <c r="N1040" s="15" t="s">
        <v>64</v>
      </c>
      <c r="O1040" s="15" t="s">
        <v>65</v>
      </c>
      <c r="P1040" s="20" t="s">
        <v>1261</v>
      </c>
      <c r="Q1040" s="15" t="s">
        <v>49</v>
      </c>
      <c r="R1040" s="4"/>
      <c r="S1040" s="4"/>
    </row>
    <row r="1041" spans="1:19" ht="21" customHeight="1" x14ac:dyDescent="0.25">
      <c r="A1041" s="14">
        <f>DATE(2012,12,31)-815</f>
        <v>40459</v>
      </c>
      <c r="B1041" s="15" t="s">
        <v>637</v>
      </c>
      <c r="C1041" s="15" t="s">
        <v>43</v>
      </c>
      <c r="D1041" s="16">
        <v>8</v>
      </c>
      <c r="E1041" s="17">
        <v>141.77000000000001</v>
      </c>
      <c r="F1041" s="16">
        <v>0.02</v>
      </c>
      <c r="G1041" s="15" t="s">
        <v>32</v>
      </c>
      <c r="H1041" s="18">
        <v>-24.48</v>
      </c>
      <c r="I1041" s="19">
        <v>17.48</v>
      </c>
      <c r="J1041" s="19">
        <v>1.99</v>
      </c>
      <c r="K1041" s="19" t="s">
        <v>69</v>
      </c>
      <c r="L1041" s="19" t="s">
        <v>75</v>
      </c>
      <c r="M1041" s="15" t="s">
        <v>75</v>
      </c>
      <c r="N1041" s="15" t="s">
        <v>64</v>
      </c>
      <c r="O1041" s="15" t="s">
        <v>72</v>
      </c>
      <c r="P1041" s="20" t="s">
        <v>1262</v>
      </c>
      <c r="Q1041" s="15" t="s">
        <v>49</v>
      </c>
      <c r="R1041" s="4"/>
      <c r="S1041" s="4"/>
    </row>
    <row r="1042" spans="1:19" ht="21" customHeight="1" x14ac:dyDescent="0.25">
      <c r="A1042" s="14">
        <f>DATE(2012,12,31)-1160</f>
        <v>40114</v>
      </c>
      <c r="B1042" s="15" t="s">
        <v>270</v>
      </c>
      <c r="C1042" s="15" t="s">
        <v>85</v>
      </c>
      <c r="D1042" s="16">
        <v>18</v>
      </c>
      <c r="E1042" s="17">
        <v>5459.32</v>
      </c>
      <c r="F1042" s="16">
        <v>0.03</v>
      </c>
      <c r="G1042" s="15" t="s">
        <v>32</v>
      </c>
      <c r="H1042" s="18">
        <v>1603.12</v>
      </c>
      <c r="I1042" s="19">
        <v>300.64999999999998</v>
      </c>
      <c r="J1042" s="19">
        <v>24.49</v>
      </c>
      <c r="K1042" s="19" t="s">
        <v>111</v>
      </c>
      <c r="L1042" s="19" t="s">
        <v>442</v>
      </c>
      <c r="M1042" s="15" t="s">
        <v>443</v>
      </c>
      <c r="N1042" s="15" t="s">
        <v>36</v>
      </c>
      <c r="O1042" s="15" t="s">
        <v>176</v>
      </c>
      <c r="P1042" s="20" t="s">
        <v>934</v>
      </c>
      <c r="Q1042" s="15" t="s">
        <v>39</v>
      </c>
      <c r="R1042" s="4"/>
      <c r="S1042" s="4"/>
    </row>
    <row r="1043" spans="1:19" ht="21" customHeight="1" x14ac:dyDescent="0.25">
      <c r="A1043" s="14">
        <f>DATE(2012,12,31)-1160</f>
        <v>40114</v>
      </c>
      <c r="B1043" s="15" t="s">
        <v>270</v>
      </c>
      <c r="C1043" s="15" t="s">
        <v>85</v>
      </c>
      <c r="D1043" s="16">
        <v>37</v>
      </c>
      <c r="E1043" s="17">
        <v>1793.42</v>
      </c>
      <c r="F1043" s="16">
        <v>0.06</v>
      </c>
      <c r="G1043" s="15" t="s">
        <v>32</v>
      </c>
      <c r="H1043" s="18">
        <v>21.5</v>
      </c>
      <c r="I1043" s="19">
        <v>49.99</v>
      </c>
      <c r="J1043" s="19">
        <v>19.989999999999998</v>
      </c>
      <c r="K1043" s="19" t="s">
        <v>44</v>
      </c>
      <c r="L1043" s="19" t="s">
        <v>120</v>
      </c>
      <c r="M1043" s="15" t="s">
        <v>121</v>
      </c>
      <c r="N1043" s="15" t="s">
        <v>64</v>
      </c>
      <c r="O1043" s="15" t="s">
        <v>72</v>
      </c>
      <c r="P1043" s="20" t="s">
        <v>1263</v>
      </c>
      <c r="Q1043" s="15" t="s">
        <v>83</v>
      </c>
      <c r="R1043" s="4"/>
      <c r="S1043" s="4"/>
    </row>
    <row r="1044" spans="1:19" ht="21" customHeight="1" x14ac:dyDescent="0.25">
      <c r="A1044" s="14">
        <f>DATE(2012,12,31)-1160</f>
        <v>40114</v>
      </c>
      <c r="B1044" s="15" t="s">
        <v>270</v>
      </c>
      <c r="C1044" s="15" t="s">
        <v>85</v>
      </c>
      <c r="D1044" s="16">
        <v>32</v>
      </c>
      <c r="E1044" s="17">
        <v>3080.07</v>
      </c>
      <c r="F1044" s="16">
        <v>0.1</v>
      </c>
      <c r="G1044" s="15" t="s">
        <v>32</v>
      </c>
      <c r="H1044" s="18">
        <v>1480.15</v>
      </c>
      <c r="I1044" s="19">
        <v>104.85</v>
      </c>
      <c r="J1044" s="19">
        <v>4.6500000000000004</v>
      </c>
      <c r="K1044" s="19" t="s">
        <v>44</v>
      </c>
      <c r="L1044" s="19" t="s">
        <v>45</v>
      </c>
      <c r="M1044" s="15" t="s">
        <v>1264</v>
      </c>
      <c r="N1044" s="15" t="s">
        <v>36</v>
      </c>
      <c r="O1044" s="15" t="s">
        <v>117</v>
      </c>
      <c r="P1044" s="20" t="s">
        <v>1265</v>
      </c>
      <c r="Q1044" s="15" t="s">
        <v>83</v>
      </c>
      <c r="R1044" s="4"/>
      <c r="S1044" s="4"/>
    </row>
    <row r="1045" spans="1:19" ht="21" customHeight="1" x14ac:dyDescent="0.25">
      <c r="A1045" s="14">
        <f>DATE(2012,12,31)-308</f>
        <v>40966</v>
      </c>
      <c r="B1045" s="15" t="s">
        <v>1266</v>
      </c>
      <c r="C1045" s="15" t="s">
        <v>85</v>
      </c>
      <c r="D1045" s="16">
        <v>32</v>
      </c>
      <c r="E1045" s="17">
        <v>1425.06</v>
      </c>
      <c r="F1045" s="16">
        <v>0.1</v>
      </c>
      <c r="G1045" s="15" t="s">
        <v>32</v>
      </c>
      <c r="H1045" s="18">
        <v>597.30999999999995</v>
      </c>
      <c r="I1045" s="19">
        <v>48.04</v>
      </c>
      <c r="J1045" s="19">
        <v>5.09</v>
      </c>
      <c r="K1045" s="19" t="s">
        <v>44</v>
      </c>
      <c r="L1045" s="19" t="s">
        <v>89</v>
      </c>
      <c r="M1045" s="15" t="s">
        <v>734</v>
      </c>
      <c r="N1045" s="15" t="s">
        <v>36</v>
      </c>
      <c r="O1045" s="15" t="s">
        <v>117</v>
      </c>
      <c r="P1045" s="20" t="s">
        <v>1267</v>
      </c>
      <c r="Q1045" s="15" t="s">
        <v>83</v>
      </c>
      <c r="R1045" s="4"/>
      <c r="S1045" s="4"/>
    </row>
    <row r="1046" spans="1:19" ht="21" customHeight="1" x14ac:dyDescent="0.25">
      <c r="A1046" s="14">
        <f>DATE(2012,12,31)-1055</f>
        <v>40219</v>
      </c>
      <c r="B1046" s="15" t="s">
        <v>1268</v>
      </c>
      <c r="C1046" s="15" t="s">
        <v>51</v>
      </c>
      <c r="D1046" s="16">
        <v>3</v>
      </c>
      <c r="E1046" s="17">
        <v>19.47</v>
      </c>
      <c r="F1046" s="16">
        <v>0.06</v>
      </c>
      <c r="G1046" s="15" t="s">
        <v>32</v>
      </c>
      <c r="H1046" s="18">
        <v>-14.29</v>
      </c>
      <c r="I1046" s="19">
        <v>4.13</v>
      </c>
      <c r="J1046" s="19">
        <v>6.89</v>
      </c>
      <c r="K1046" s="19" t="s">
        <v>44</v>
      </c>
      <c r="L1046" s="19" t="s">
        <v>120</v>
      </c>
      <c r="M1046" s="15" t="s">
        <v>121</v>
      </c>
      <c r="N1046" s="15" t="s">
        <v>36</v>
      </c>
      <c r="O1046" s="15" t="s">
        <v>114</v>
      </c>
      <c r="P1046" s="20" t="s">
        <v>1269</v>
      </c>
      <c r="Q1046" s="15" t="s">
        <v>83</v>
      </c>
      <c r="R1046" s="4"/>
      <c r="S1046" s="4"/>
    </row>
    <row r="1047" spans="1:19" ht="21" customHeight="1" x14ac:dyDescent="0.25">
      <c r="A1047" s="14">
        <f>DATE(2012,12,31)-633</f>
        <v>40641</v>
      </c>
      <c r="B1047" s="15" t="s">
        <v>1270</v>
      </c>
      <c r="C1047" s="15" t="s">
        <v>43</v>
      </c>
      <c r="D1047" s="16">
        <v>32</v>
      </c>
      <c r="E1047" s="17">
        <v>1141.3699999999999</v>
      </c>
      <c r="F1047" s="16">
        <v>0.04</v>
      </c>
      <c r="G1047" s="15" t="s">
        <v>32</v>
      </c>
      <c r="H1047" s="18">
        <v>-0.14000000000000057</v>
      </c>
      <c r="I1047" s="19">
        <v>35.44</v>
      </c>
      <c r="J1047" s="19">
        <v>19.989999999999998</v>
      </c>
      <c r="K1047" s="19" t="s">
        <v>44</v>
      </c>
      <c r="L1047" s="19" t="s">
        <v>89</v>
      </c>
      <c r="M1047" s="15" t="s">
        <v>734</v>
      </c>
      <c r="N1047" s="15" t="s">
        <v>36</v>
      </c>
      <c r="O1047" s="15" t="s">
        <v>117</v>
      </c>
      <c r="P1047" s="20" t="s">
        <v>1093</v>
      </c>
      <c r="Q1047" s="15" t="s">
        <v>83</v>
      </c>
      <c r="R1047" s="4"/>
      <c r="S1047" s="4"/>
    </row>
    <row r="1048" spans="1:19" ht="21" customHeight="1" x14ac:dyDescent="0.25">
      <c r="A1048" s="14">
        <f>DATE(2012,12,31)-1381</f>
        <v>39893</v>
      </c>
      <c r="B1048" s="15" t="s">
        <v>233</v>
      </c>
      <c r="C1048" s="15" t="s">
        <v>31</v>
      </c>
      <c r="D1048" s="16">
        <v>37</v>
      </c>
      <c r="E1048" s="17">
        <v>522.62</v>
      </c>
      <c r="F1048" s="16">
        <v>0.02</v>
      </c>
      <c r="G1048" s="15" t="s">
        <v>32</v>
      </c>
      <c r="H1048" s="18">
        <v>34.520000000000003</v>
      </c>
      <c r="I1048" s="19">
        <v>13.48</v>
      </c>
      <c r="J1048" s="19">
        <v>4.51</v>
      </c>
      <c r="K1048" s="19" t="s">
        <v>44</v>
      </c>
      <c r="L1048" s="19" t="s">
        <v>120</v>
      </c>
      <c r="M1048" s="15" t="s">
        <v>121</v>
      </c>
      <c r="N1048" s="15" t="s">
        <v>36</v>
      </c>
      <c r="O1048" s="15" t="s">
        <v>37</v>
      </c>
      <c r="P1048" s="20" t="s">
        <v>515</v>
      </c>
      <c r="Q1048" s="15" t="s">
        <v>83</v>
      </c>
      <c r="R1048" s="4"/>
      <c r="S1048" s="4"/>
    </row>
    <row r="1049" spans="1:19" ht="21" customHeight="1" x14ac:dyDescent="0.25">
      <c r="A1049" s="14">
        <f>DATE(2012,12,31)-1140</f>
        <v>40134</v>
      </c>
      <c r="B1049" s="15" t="s">
        <v>322</v>
      </c>
      <c r="C1049" s="15" t="s">
        <v>31</v>
      </c>
      <c r="D1049" s="16">
        <v>26</v>
      </c>
      <c r="E1049" s="17">
        <v>4286.55</v>
      </c>
      <c r="F1049" s="16">
        <v>7.0000000000000007E-2</v>
      </c>
      <c r="G1049" s="15" t="s">
        <v>32</v>
      </c>
      <c r="H1049" s="18">
        <v>1416.7035000000001</v>
      </c>
      <c r="I1049" s="19">
        <v>172.99</v>
      </c>
      <c r="J1049" s="19">
        <v>19.989999999999998</v>
      </c>
      <c r="K1049" s="19" t="s">
        <v>44</v>
      </c>
      <c r="L1049" s="19" t="s">
        <v>89</v>
      </c>
      <c r="M1049" s="15" t="s">
        <v>734</v>
      </c>
      <c r="N1049" s="15" t="s">
        <v>36</v>
      </c>
      <c r="O1049" s="15" t="s">
        <v>170</v>
      </c>
      <c r="P1049" s="20" t="s">
        <v>1271</v>
      </c>
      <c r="Q1049" s="15" t="s">
        <v>83</v>
      </c>
      <c r="R1049" s="4"/>
      <c r="S1049" s="4"/>
    </row>
    <row r="1050" spans="1:19" ht="21" customHeight="1" x14ac:dyDescent="0.25">
      <c r="A1050" s="14">
        <f>DATE(2012,12,31)-1140</f>
        <v>40134</v>
      </c>
      <c r="B1050" s="15" t="s">
        <v>322</v>
      </c>
      <c r="C1050" s="15" t="s">
        <v>31</v>
      </c>
      <c r="D1050" s="16">
        <v>1</v>
      </c>
      <c r="E1050" s="17">
        <v>8.34</v>
      </c>
      <c r="F1050" s="16">
        <v>0.09</v>
      </c>
      <c r="G1050" s="15" t="s">
        <v>32</v>
      </c>
      <c r="H1050" s="18">
        <v>-3.44</v>
      </c>
      <c r="I1050" s="19">
        <v>7.64</v>
      </c>
      <c r="J1050" s="19">
        <v>1.39</v>
      </c>
      <c r="K1050" s="19" t="s">
        <v>44</v>
      </c>
      <c r="L1050" s="19" t="s">
        <v>80</v>
      </c>
      <c r="M1050" s="15" t="s">
        <v>1200</v>
      </c>
      <c r="N1050" s="15" t="s">
        <v>36</v>
      </c>
      <c r="O1050" s="15" t="s">
        <v>189</v>
      </c>
      <c r="P1050" s="20" t="s">
        <v>1272</v>
      </c>
      <c r="Q1050" s="15" t="s">
        <v>83</v>
      </c>
      <c r="R1050" s="4"/>
      <c r="S1050" s="4"/>
    </row>
    <row r="1051" spans="1:19" ht="21" customHeight="1" x14ac:dyDescent="0.25">
      <c r="A1051" s="14">
        <f>DATE(2012,12,31)-757</f>
        <v>40517</v>
      </c>
      <c r="B1051" s="15" t="s">
        <v>1273</v>
      </c>
      <c r="C1051" s="15" t="s">
        <v>85</v>
      </c>
      <c r="D1051" s="16">
        <v>1</v>
      </c>
      <c r="E1051" s="17">
        <v>28.96</v>
      </c>
      <c r="F1051" s="16">
        <v>0.06</v>
      </c>
      <c r="G1051" s="15" t="s">
        <v>32</v>
      </c>
      <c r="H1051" s="18">
        <v>-27.07</v>
      </c>
      <c r="I1051" s="19">
        <v>19.98</v>
      </c>
      <c r="J1051" s="19">
        <v>8.68</v>
      </c>
      <c r="K1051" s="19" t="s">
        <v>44</v>
      </c>
      <c r="L1051" s="19" t="s">
        <v>45</v>
      </c>
      <c r="M1051" s="15" t="s">
        <v>1264</v>
      </c>
      <c r="N1051" s="15" t="s">
        <v>36</v>
      </c>
      <c r="O1051" s="15" t="s">
        <v>117</v>
      </c>
      <c r="P1051" s="20" t="s">
        <v>1274</v>
      </c>
      <c r="Q1051" s="15" t="s">
        <v>83</v>
      </c>
      <c r="R1051" s="4"/>
      <c r="S1051" s="4"/>
    </row>
    <row r="1052" spans="1:19" ht="21" customHeight="1" x14ac:dyDescent="0.25">
      <c r="A1052" s="14">
        <f>DATE(2012,12,31)-8</f>
        <v>41266</v>
      </c>
      <c r="B1052" s="15" t="s">
        <v>836</v>
      </c>
      <c r="C1052" s="15" t="s">
        <v>43</v>
      </c>
      <c r="D1052" s="16">
        <v>45</v>
      </c>
      <c r="E1052" s="17">
        <v>4547.8999999999996</v>
      </c>
      <c r="F1052" s="16">
        <v>0.01</v>
      </c>
      <c r="G1052" s="15" t="s">
        <v>58</v>
      </c>
      <c r="H1052" s="18">
        <v>-768.14</v>
      </c>
      <c r="I1052" s="19">
        <v>95.98</v>
      </c>
      <c r="J1052" s="19">
        <v>58.2</v>
      </c>
      <c r="K1052" s="19" t="s">
        <v>44</v>
      </c>
      <c r="L1052" s="19" t="s">
        <v>89</v>
      </c>
      <c r="M1052" s="15" t="s">
        <v>734</v>
      </c>
      <c r="N1052" s="15" t="s">
        <v>54</v>
      </c>
      <c r="O1052" s="15" t="s">
        <v>252</v>
      </c>
      <c r="P1052" s="20" t="s">
        <v>1275</v>
      </c>
      <c r="Q1052" s="15" t="s">
        <v>181</v>
      </c>
      <c r="R1052" s="4"/>
      <c r="S1052" s="4"/>
    </row>
    <row r="1053" spans="1:19" ht="21" customHeight="1" x14ac:dyDescent="0.25">
      <c r="A1053" s="14">
        <f>DATE(2012,12,31)-1388</f>
        <v>39886</v>
      </c>
      <c r="B1053" s="15" t="s">
        <v>1276</v>
      </c>
      <c r="C1053" s="15" t="s">
        <v>85</v>
      </c>
      <c r="D1053" s="16">
        <v>36</v>
      </c>
      <c r="E1053" s="17">
        <v>7223.59</v>
      </c>
      <c r="F1053" s="16">
        <v>7.0000000000000007E-2</v>
      </c>
      <c r="G1053" s="15" t="s">
        <v>58</v>
      </c>
      <c r="H1053" s="18">
        <v>1769.81</v>
      </c>
      <c r="I1053" s="19">
        <v>200.98</v>
      </c>
      <c r="J1053" s="19">
        <v>23.76</v>
      </c>
      <c r="K1053" s="19" t="s">
        <v>44</v>
      </c>
      <c r="L1053" s="19" t="s">
        <v>80</v>
      </c>
      <c r="M1053" s="15" t="s">
        <v>1200</v>
      </c>
      <c r="N1053" s="15" t="s">
        <v>54</v>
      </c>
      <c r="O1053" s="15" t="s">
        <v>252</v>
      </c>
      <c r="P1053" s="20" t="s">
        <v>1277</v>
      </c>
      <c r="Q1053" s="15" t="s">
        <v>181</v>
      </c>
      <c r="R1053" s="4"/>
      <c r="S1053" s="4"/>
    </row>
    <row r="1054" spans="1:19" ht="21" customHeight="1" x14ac:dyDescent="0.25">
      <c r="A1054" s="14">
        <f>DATE(2012,12,31)-1388</f>
        <v>39886</v>
      </c>
      <c r="B1054" s="15" t="s">
        <v>1276</v>
      </c>
      <c r="C1054" s="15" t="s">
        <v>85</v>
      </c>
      <c r="D1054" s="16">
        <v>6</v>
      </c>
      <c r="E1054" s="17">
        <v>934.21600000000001</v>
      </c>
      <c r="F1054" s="16">
        <v>0.02</v>
      </c>
      <c r="G1054" s="15" t="s">
        <v>58</v>
      </c>
      <c r="H1054" s="18">
        <v>-4.34</v>
      </c>
      <c r="I1054" s="19">
        <v>179.29</v>
      </c>
      <c r="J1054" s="19">
        <v>29.21</v>
      </c>
      <c r="K1054" s="19" t="s">
        <v>44</v>
      </c>
      <c r="L1054" s="19" t="s">
        <v>236</v>
      </c>
      <c r="M1054" s="15" t="s">
        <v>237</v>
      </c>
      <c r="N1054" s="15" t="s">
        <v>54</v>
      </c>
      <c r="O1054" s="15" t="s">
        <v>61</v>
      </c>
      <c r="P1054" s="20" t="s">
        <v>592</v>
      </c>
      <c r="Q1054" s="15" t="s">
        <v>63</v>
      </c>
      <c r="R1054" s="4"/>
      <c r="S1054" s="4"/>
    </row>
    <row r="1055" spans="1:19" ht="21" customHeight="1" x14ac:dyDescent="0.25">
      <c r="A1055" s="14">
        <f>DATE(2012,12,31)-1278</f>
        <v>39996</v>
      </c>
      <c r="B1055" s="15" t="s">
        <v>742</v>
      </c>
      <c r="C1055" s="15" t="s">
        <v>85</v>
      </c>
      <c r="D1055" s="16">
        <v>20</v>
      </c>
      <c r="E1055" s="17">
        <v>1205.73</v>
      </c>
      <c r="F1055" s="16">
        <v>7.0000000000000007E-2</v>
      </c>
      <c r="G1055" s="15" t="s">
        <v>101</v>
      </c>
      <c r="H1055" s="18">
        <v>310.93</v>
      </c>
      <c r="I1055" s="19">
        <v>60.97</v>
      </c>
      <c r="J1055" s="19">
        <v>4.5</v>
      </c>
      <c r="K1055" s="19" t="s">
        <v>33</v>
      </c>
      <c r="L1055" s="19" t="s">
        <v>128</v>
      </c>
      <c r="M1055" s="15" t="s">
        <v>129</v>
      </c>
      <c r="N1055" s="15" t="s">
        <v>36</v>
      </c>
      <c r="O1055" s="15" t="s">
        <v>176</v>
      </c>
      <c r="P1055" s="20" t="s">
        <v>571</v>
      </c>
      <c r="Q1055" s="15" t="s">
        <v>83</v>
      </c>
      <c r="R1055" s="4"/>
      <c r="S1055" s="4"/>
    </row>
    <row r="1056" spans="1:19" ht="21" customHeight="1" x14ac:dyDescent="0.25">
      <c r="A1056" s="14">
        <f>DATE(2012,12,31)-354</f>
        <v>40920</v>
      </c>
      <c r="B1056" s="15" t="s">
        <v>1278</v>
      </c>
      <c r="C1056" s="15" t="s">
        <v>85</v>
      </c>
      <c r="D1056" s="16">
        <v>3</v>
      </c>
      <c r="E1056" s="17">
        <v>31.35</v>
      </c>
      <c r="F1056" s="16">
        <v>0.03</v>
      </c>
      <c r="G1056" s="15" t="s">
        <v>32</v>
      </c>
      <c r="H1056" s="18">
        <v>-14.6165</v>
      </c>
      <c r="I1056" s="19">
        <v>8.85</v>
      </c>
      <c r="J1056" s="19">
        <v>5.6</v>
      </c>
      <c r="K1056" s="19" t="s">
        <v>33</v>
      </c>
      <c r="L1056" s="19" t="s">
        <v>93</v>
      </c>
      <c r="M1056" s="15" t="s">
        <v>94</v>
      </c>
      <c r="N1056" s="15" t="s">
        <v>36</v>
      </c>
      <c r="O1056" s="15" t="s">
        <v>170</v>
      </c>
      <c r="P1056" s="20" t="s">
        <v>1218</v>
      </c>
      <c r="Q1056" s="15" t="s">
        <v>83</v>
      </c>
      <c r="R1056" s="4"/>
      <c r="S1056" s="4"/>
    </row>
    <row r="1057" spans="1:19" ht="21" customHeight="1" x14ac:dyDescent="0.25">
      <c r="A1057" s="14">
        <f>DATE(2012,12,31)-621</f>
        <v>40653</v>
      </c>
      <c r="B1057" s="15" t="s">
        <v>406</v>
      </c>
      <c r="C1057" s="15" t="s">
        <v>31</v>
      </c>
      <c r="D1057" s="16">
        <v>17</v>
      </c>
      <c r="E1057" s="17">
        <v>475.9</v>
      </c>
      <c r="F1057" s="16">
        <v>0.04</v>
      </c>
      <c r="G1057" s="15" t="s">
        <v>32</v>
      </c>
      <c r="H1057" s="18">
        <v>-5.1799999999999926</v>
      </c>
      <c r="I1057" s="19">
        <v>27.42</v>
      </c>
      <c r="J1057" s="19">
        <v>19.46</v>
      </c>
      <c r="K1057" s="19" t="s">
        <v>33</v>
      </c>
      <c r="L1057" s="19" t="s">
        <v>128</v>
      </c>
      <c r="M1057" s="15" t="s">
        <v>129</v>
      </c>
      <c r="N1057" s="15" t="s">
        <v>54</v>
      </c>
      <c r="O1057" s="15" t="s">
        <v>55</v>
      </c>
      <c r="P1057" s="20" t="s">
        <v>1279</v>
      </c>
      <c r="Q1057" s="15" t="s">
        <v>83</v>
      </c>
      <c r="R1057" s="4"/>
      <c r="S1057" s="4"/>
    </row>
    <row r="1058" spans="1:19" ht="21" customHeight="1" x14ac:dyDescent="0.25">
      <c r="A1058" s="14">
        <f>DATE(2012,12,31)-621</f>
        <v>40653</v>
      </c>
      <c r="B1058" s="15" t="s">
        <v>406</v>
      </c>
      <c r="C1058" s="15" t="s">
        <v>31</v>
      </c>
      <c r="D1058" s="16">
        <v>12</v>
      </c>
      <c r="E1058" s="17">
        <v>3635.63</v>
      </c>
      <c r="F1058" s="16">
        <v>0.09</v>
      </c>
      <c r="G1058" s="15" t="s">
        <v>58</v>
      </c>
      <c r="H1058" s="18">
        <v>104.48</v>
      </c>
      <c r="I1058" s="19">
        <v>320.64</v>
      </c>
      <c r="J1058" s="19">
        <v>29.2</v>
      </c>
      <c r="K1058" s="19" t="s">
        <v>33</v>
      </c>
      <c r="L1058" s="19" t="s">
        <v>93</v>
      </c>
      <c r="M1058" s="15" t="s">
        <v>94</v>
      </c>
      <c r="N1058" s="15" t="s">
        <v>54</v>
      </c>
      <c r="O1058" s="15" t="s">
        <v>61</v>
      </c>
      <c r="P1058" s="20" t="s">
        <v>1280</v>
      </c>
      <c r="Q1058" s="15" t="s">
        <v>63</v>
      </c>
      <c r="R1058" s="4"/>
      <c r="S1058" s="4"/>
    </row>
    <row r="1059" spans="1:19" ht="21" customHeight="1" x14ac:dyDescent="0.25">
      <c r="A1059" s="14">
        <f>DATE(2012,12,31)-1439</f>
        <v>39835</v>
      </c>
      <c r="B1059" s="15" t="s">
        <v>1281</v>
      </c>
      <c r="C1059" s="15" t="s">
        <v>85</v>
      </c>
      <c r="D1059" s="16">
        <v>6</v>
      </c>
      <c r="E1059" s="17">
        <v>187.37</v>
      </c>
      <c r="F1059" s="16">
        <v>0.09</v>
      </c>
      <c r="G1059" s="15" t="s">
        <v>32</v>
      </c>
      <c r="H1059" s="18">
        <v>-125.96</v>
      </c>
      <c r="I1059" s="19">
        <v>32.979999999999997</v>
      </c>
      <c r="J1059" s="19">
        <v>5.5</v>
      </c>
      <c r="K1059" s="19" t="s">
        <v>33</v>
      </c>
      <c r="L1059" s="19" t="s">
        <v>93</v>
      </c>
      <c r="M1059" s="15" t="s">
        <v>94</v>
      </c>
      <c r="N1059" s="15" t="s">
        <v>64</v>
      </c>
      <c r="O1059" s="15" t="s">
        <v>72</v>
      </c>
      <c r="P1059" s="20" t="s">
        <v>993</v>
      </c>
      <c r="Q1059" s="15" t="s">
        <v>83</v>
      </c>
      <c r="R1059" s="4"/>
      <c r="S1059" s="4"/>
    </row>
    <row r="1060" spans="1:19" ht="21" customHeight="1" x14ac:dyDescent="0.25">
      <c r="A1060" s="14">
        <f>DATE(2012,12,31)-723</f>
        <v>40551</v>
      </c>
      <c r="B1060" s="15" t="s">
        <v>1202</v>
      </c>
      <c r="C1060" s="15" t="s">
        <v>31</v>
      </c>
      <c r="D1060" s="16">
        <v>34</v>
      </c>
      <c r="E1060" s="17">
        <v>157.56</v>
      </c>
      <c r="F1060" s="16">
        <v>0.1</v>
      </c>
      <c r="G1060" s="15" t="s">
        <v>32</v>
      </c>
      <c r="H1060" s="18">
        <v>-139.35</v>
      </c>
      <c r="I1060" s="19">
        <v>4.8899999999999997</v>
      </c>
      <c r="J1060" s="19">
        <v>4.93</v>
      </c>
      <c r="K1060" s="19" t="s">
        <v>33</v>
      </c>
      <c r="L1060" s="19" t="s">
        <v>128</v>
      </c>
      <c r="M1060" s="15" t="s">
        <v>129</v>
      </c>
      <c r="N1060" s="15" t="s">
        <v>64</v>
      </c>
      <c r="O1060" s="15" t="s">
        <v>72</v>
      </c>
      <c r="P1060" s="20" t="s">
        <v>480</v>
      </c>
      <c r="Q1060" s="15" t="s">
        <v>49</v>
      </c>
      <c r="R1060" s="4"/>
      <c r="S1060" s="4"/>
    </row>
    <row r="1061" spans="1:19" ht="21" customHeight="1" x14ac:dyDescent="0.25">
      <c r="A1061" s="14">
        <f>DATE(2012,12,31)-225</f>
        <v>41049</v>
      </c>
      <c r="B1061" s="15" t="s">
        <v>1282</v>
      </c>
      <c r="C1061" s="15" t="s">
        <v>43</v>
      </c>
      <c r="D1061" s="16">
        <v>21</v>
      </c>
      <c r="E1061" s="17">
        <v>1002.77</v>
      </c>
      <c r="F1061" s="16">
        <v>7.0000000000000007E-2</v>
      </c>
      <c r="G1061" s="15" t="s">
        <v>32</v>
      </c>
      <c r="H1061" s="18">
        <v>295.60000000000002</v>
      </c>
      <c r="I1061" s="19">
        <v>49.34</v>
      </c>
      <c r="J1061" s="19">
        <v>10.25</v>
      </c>
      <c r="K1061" s="19" t="s">
        <v>33</v>
      </c>
      <c r="L1061" s="19" t="s">
        <v>128</v>
      </c>
      <c r="M1061" s="15" t="s">
        <v>129</v>
      </c>
      <c r="N1061" s="15" t="s">
        <v>54</v>
      </c>
      <c r="O1061" s="15" t="s">
        <v>55</v>
      </c>
      <c r="P1061" s="20" t="s">
        <v>1283</v>
      </c>
      <c r="Q1061" s="15" t="s">
        <v>39</v>
      </c>
      <c r="R1061" s="4"/>
      <c r="S1061" s="4"/>
    </row>
    <row r="1062" spans="1:19" ht="21" customHeight="1" x14ac:dyDescent="0.25">
      <c r="A1062" s="14">
        <f>DATE(2012,12,31)-225</f>
        <v>41049</v>
      </c>
      <c r="B1062" s="15" t="s">
        <v>1282</v>
      </c>
      <c r="C1062" s="15" t="s">
        <v>43</v>
      </c>
      <c r="D1062" s="16">
        <v>17</v>
      </c>
      <c r="E1062" s="17">
        <v>178.14</v>
      </c>
      <c r="F1062" s="16">
        <v>0.01</v>
      </c>
      <c r="G1062" s="15" t="s">
        <v>32</v>
      </c>
      <c r="H1062" s="18">
        <v>56.3</v>
      </c>
      <c r="I1062" s="19">
        <v>10.06</v>
      </c>
      <c r="J1062" s="19">
        <v>2.06</v>
      </c>
      <c r="K1062" s="19" t="s">
        <v>97</v>
      </c>
      <c r="L1062" s="19" t="s">
        <v>98</v>
      </c>
      <c r="M1062" s="15" t="s">
        <v>1162</v>
      </c>
      <c r="N1062" s="15" t="s">
        <v>54</v>
      </c>
      <c r="O1062" s="15" t="s">
        <v>55</v>
      </c>
      <c r="P1062" s="20" t="s">
        <v>930</v>
      </c>
      <c r="Q1062" s="15" t="s">
        <v>79</v>
      </c>
      <c r="R1062" s="4"/>
      <c r="S1062" s="4"/>
    </row>
    <row r="1063" spans="1:19" ht="21" customHeight="1" x14ac:dyDescent="0.25">
      <c r="A1063" s="14">
        <f>DATE(2012,12,31)-1114</f>
        <v>40160</v>
      </c>
      <c r="B1063" s="15" t="s">
        <v>586</v>
      </c>
      <c r="C1063" s="15" t="s">
        <v>85</v>
      </c>
      <c r="D1063" s="16">
        <v>22</v>
      </c>
      <c r="E1063" s="17">
        <v>118.56</v>
      </c>
      <c r="F1063" s="16">
        <v>0.06</v>
      </c>
      <c r="G1063" s="15" t="s">
        <v>101</v>
      </c>
      <c r="H1063" s="18">
        <v>-63.3765</v>
      </c>
      <c r="I1063" s="19">
        <v>4.91</v>
      </c>
      <c r="J1063" s="19">
        <v>5.68</v>
      </c>
      <c r="K1063" s="19" t="s">
        <v>97</v>
      </c>
      <c r="L1063" s="19" t="s">
        <v>132</v>
      </c>
      <c r="M1063" s="15" t="s">
        <v>133</v>
      </c>
      <c r="N1063" s="15" t="s">
        <v>36</v>
      </c>
      <c r="O1063" s="15" t="s">
        <v>170</v>
      </c>
      <c r="P1063" s="20" t="s">
        <v>1284</v>
      </c>
      <c r="Q1063" s="15" t="s">
        <v>83</v>
      </c>
      <c r="R1063" s="4"/>
      <c r="S1063" s="4"/>
    </row>
    <row r="1064" spans="1:19" ht="21" customHeight="1" x14ac:dyDescent="0.25">
      <c r="A1064" s="14">
        <f>DATE(2012,12,31)-1114</f>
        <v>40160</v>
      </c>
      <c r="B1064" s="15" t="s">
        <v>586</v>
      </c>
      <c r="C1064" s="15" t="s">
        <v>85</v>
      </c>
      <c r="D1064" s="16">
        <v>45</v>
      </c>
      <c r="E1064" s="17">
        <v>2145.0500000000002</v>
      </c>
      <c r="F1064" s="16">
        <v>7.0000000000000007E-2</v>
      </c>
      <c r="G1064" s="15" t="s">
        <v>101</v>
      </c>
      <c r="H1064" s="18">
        <v>1012.67</v>
      </c>
      <c r="I1064" s="19">
        <v>48.94</v>
      </c>
      <c r="J1064" s="19">
        <v>5.86</v>
      </c>
      <c r="K1064" s="19" t="s">
        <v>97</v>
      </c>
      <c r="L1064" s="19" t="s">
        <v>195</v>
      </c>
      <c r="M1064" s="15" t="s">
        <v>196</v>
      </c>
      <c r="N1064" s="15" t="s">
        <v>36</v>
      </c>
      <c r="O1064" s="15" t="s">
        <v>117</v>
      </c>
      <c r="P1064" s="20" t="s">
        <v>1146</v>
      </c>
      <c r="Q1064" s="15" t="s">
        <v>83</v>
      </c>
      <c r="R1064" s="4"/>
      <c r="S1064" s="4"/>
    </row>
    <row r="1065" spans="1:19" ht="21" customHeight="1" x14ac:dyDescent="0.25">
      <c r="A1065" s="14">
        <f>DATE(2012,12,31)-555</f>
        <v>40719</v>
      </c>
      <c r="B1065" s="15" t="s">
        <v>276</v>
      </c>
      <c r="C1065" s="15" t="s">
        <v>31</v>
      </c>
      <c r="D1065" s="16">
        <v>47</v>
      </c>
      <c r="E1065" s="17">
        <v>2926.33</v>
      </c>
      <c r="F1065" s="16">
        <v>0.09</v>
      </c>
      <c r="G1065" s="15" t="s">
        <v>32</v>
      </c>
      <c r="H1065" s="18">
        <v>499.27300000000002</v>
      </c>
      <c r="I1065" s="19">
        <v>67.28</v>
      </c>
      <c r="J1065" s="19">
        <v>19.989999999999998</v>
      </c>
      <c r="K1065" s="19" t="s">
        <v>97</v>
      </c>
      <c r="L1065" s="19" t="s">
        <v>195</v>
      </c>
      <c r="M1065" s="15" t="s">
        <v>196</v>
      </c>
      <c r="N1065" s="15" t="s">
        <v>36</v>
      </c>
      <c r="O1065" s="15" t="s">
        <v>170</v>
      </c>
      <c r="P1065" s="20" t="s">
        <v>821</v>
      </c>
      <c r="Q1065" s="15" t="s">
        <v>83</v>
      </c>
      <c r="R1065" s="4"/>
      <c r="S1065" s="4"/>
    </row>
    <row r="1066" spans="1:19" ht="21" customHeight="1" x14ac:dyDescent="0.25">
      <c r="A1066" s="14">
        <f>DATE(2012,12,31)-555</f>
        <v>40719</v>
      </c>
      <c r="B1066" s="15" t="s">
        <v>276</v>
      </c>
      <c r="C1066" s="15" t="s">
        <v>31</v>
      </c>
      <c r="D1066" s="16">
        <v>20</v>
      </c>
      <c r="E1066" s="17">
        <v>40.049999999999997</v>
      </c>
      <c r="F1066" s="16">
        <v>0.1</v>
      </c>
      <c r="G1066" s="15" t="s">
        <v>32</v>
      </c>
      <c r="H1066" s="18">
        <v>-10.223500000000001</v>
      </c>
      <c r="I1066" s="19">
        <v>2.08</v>
      </c>
      <c r="J1066" s="19">
        <v>1.49</v>
      </c>
      <c r="K1066" s="19" t="s">
        <v>97</v>
      </c>
      <c r="L1066" s="19" t="s">
        <v>98</v>
      </c>
      <c r="M1066" s="15" t="s">
        <v>1162</v>
      </c>
      <c r="N1066" s="15" t="s">
        <v>36</v>
      </c>
      <c r="O1066" s="15" t="s">
        <v>170</v>
      </c>
      <c r="P1066" s="20" t="s">
        <v>1285</v>
      </c>
      <c r="Q1066" s="15" t="s">
        <v>83</v>
      </c>
      <c r="R1066" s="4"/>
      <c r="S1066" s="4"/>
    </row>
    <row r="1067" spans="1:19" ht="21" customHeight="1" x14ac:dyDescent="0.25">
      <c r="A1067" s="14">
        <f>DATE(2012,12,31)-555</f>
        <v>40719</v>
      </c>
      <c r="B1067" s="15" t="s">
        <v>276</v>
      </c>
      <c r="C1067" s="15" t="s">
        <v>31</v>
      </c>
      <c r="D1067" s="16">
        <v>20</v>
      </c>
      <c r="E1067" s="17">
        <v>552.87</v>
      </c>
      <c r="F1067" s="16">
        <v>0.01</v>
      </c>
      <c r="G1067" s="15" t="s">
        <v>32</v>
      </c>
      <c r="H1067" s="18">
        <v>-64.819999999999993</v>
      </c>
      <c r="I1067" s="19">
        <v>26.31</v>
      </c>
      <c r="J1067" s="19">
        <v>5.89</v>
      </c>
      <c r="K1067" s="19" t="s">
        <v>97</v>
      </c>
      <c r="L1067" s="19" t="s">
        <v>98</v>
      </c>
      <c r="M1067" s="15" t="s">
        <v>1162</v>
      </c>
      <c r="N1067" s="15" t="s">
        <v>64</v>
      </c>
      <c r="O1067" s="15" t="s">
        <v>72</v>
      </c>
      <c r="P1067" s="20" t="s">
        <v>1286</v>
      </c>
      <c r="Q1067" s="15" t="s">
        <v>83</v>
      </c>
      <c r="R1067" s="4"/>
      <c r="S1067" s="4"/>
    </row>
    <row r="1068" spans="1:19" ht="21" customHeight="1" x14ac:dyDescent="0.25">
      <c r="A1068" s="14">
        <f>DATE(2012,12,31)-555</f>
        <v>40719</v>
      </c>
      <c r="B1068" s="15" t="s">
        <v>276</v>
      </c>
      <c r="C1068" s="15" t="s">
        <v>31</v>
      </c>
      <c r="D1068" s="16">
        <v>12</v>
      </c>
      <c r="E1068" s="17">
        <v>26.33</v>
      </c>
      <c r="F1068" s="16">
        <v>0.05</v>
      </c>
      <c r="G1068" s="15" t="s">
        <v>32</v>
      </c>
      <c r="H1068" s="18">
        <v>-33.61</v>
      </c>
      <c r="I1068" s="19">
        <v>1.76</v>
      </c>
      <c r="J1068" s="19">
        <v>4.8600000000000003</v>
      </c>
      <c r="K1068" s="19" t="s">
        <v>97</v>
      </c>
      <c r="L1068" s="19" t="s">
        <v>195</v>
      </c>
      <c r="M1068" s="15" t="s">
        <v>196</v>
      </c>
      <c r="N1068" s="15" t="s">
        <v>54</v>
      </c>
      <c r="O1068" s="15" t="s">
        <v>55</v>
      </c>
      <c r="P1068" s="20" t="s">
        <v>1287</v>
      </c>
      <c r="Q1068" s="15" t="s">
        <v>83</v>
      </c>
      <c r="R1068" s="4"/>
      <c r="S1068" s="4"/>
    </row>
    <row r="1069" spans="1:19" ht="21" customHeight="1" x14ac:dyDescent="0.25">
      <c r="A1069" s="14">
        <f>DATE(2012,12,31)-610</f>
        <v>40664</v>
      </c>
      <c r="B1069" s="15" t="s">
        <v>348</v>
      </c>
      <c r="C1069" s="15" t="s">
        <v>85</v>
      </c>
      <c r="D1069" s="16">
        <v>50</v>
      </c>
      <c r="E1069" s="17">
        <v>3904.12</v>
      </c>
      <c r="F1069" s="16">
        <v>7.0000000000000007E-2</v>
      </c>
      <c r="G1069" s="15" t="s">
        <v>58</v>
      </c>
      <c r="H1069" s="18">
        <v>-1508.46</v>
      </c>
      <c r="I1069" s="19">
        <v>81.94</v>
      </c>
      <c r="J1069" s="19">
        <v>55.81</v>
      </c>
      <c r="K1069" s="19" t="s">
        <v>124</v>
      </c>
      <c r="L1069" s="19" t="s">
        <v>160</v>
      </c>
      <c r="M1069" s="15" t="s">
        <v>888</v>
      </c>
      <c r="N1069" s="15" t="s">
        <v>54</v>
      </c>
      <c r="O1069" s="15" t="s">
        <v>134</v>
      </c>
      <c r="P1069" s="20" t="s">
        <v>1288</v>
      </c>
      <c r="Q1069" s="15" t="s">
        <v>63</v>
      </c>
      <c r="R1069" s="4"/>
      <c r="S1069" s="4"/>
    </row>
    <row r="1070" spans="1:19" ht="21" customHeight="1" x14ac:dyDescent="0.25">
      <c r="A1070" s="14">
        <f>DATE(2012,12,31)-610</f>
        <v>40664</v>
      </c>
      <c r="B1070" s="15" t="s">
        <v>348</v>
      </c>
      <c r="C1070" s="15" t="s">
        <v>85</v>
      </c>
      <c r="D1070" s="16">
        <v>41</v>
      </c>
      <c r="E1070" s="17">
        <v>343.64</v>
      </c>
      <c r="F1070" s="16">
        <v>0.06</v>
      </c>
      <c r="G1070" s="15" t="s">
        <v>32</v>
      </c>
      <c r="H1070" s="18">
        <v>13.29</v>
      </c>
      <c r="I1070" s="19">
        <v>8.57</v>
      </c>
      <c r="J1070" s="19">
        <v>3.44</v>
      </c>
      <c r="K1070" s="19" t="s">
        <v>124</v>
      </c>
      <c r="L1070" s="19" t="s">
        <v>493</v>
      </c>
      <c r="M1070" s="15" t="s">
        <v>1289</v>
      </c>
      <c r="N1070" s="15" t="s">
        <v>54</v>
      </c>
      <c r="O1070" s="15" t="s">
        <v>55</v>
      </c>
      <c r="P1070" s="20" t="s">
        <v>1290</v>
      </c>
      <c r="Q1070" s="15" t="s">
        <v>49</v>
      </c>
      <c r="R1070" s="4"/>
      <c r="S1070" s="4"/>
    </row>
    <row r="1071" spans="1:19" ht="21" customHeight="1" x14ac:dyDescent="0.25">
      <c r="A1071" s="14">
        <f>DATE(2012,12,31)-610</f>
        <v>40664</v>
      </c>
      <c r="B1071" s="15" t="s">
        <v>348</v>
      </c>
      <c r="C1071" s="15" t="s">
        <v>31</v>
      </c>
      <c r="D1071" s="16">
        <v>42</v>
      </c>
      <c r="E1071" s="17">
        <v>256.64</v>
      </c>
      <c r="F1071" s="16">
        <v>0.03</v>
      </c>
      <c r="G1071" s="15" t="s">
        <v>32</v>
      </c>
      <c r="H1071" s="18">
        <v>-28.29</v>
      </c>
      <c r="I1071" s="19">
        <v>5.81</v>
      </c>
      <c r="J1071" s="19">
        <v>3.37</v>
      </c>
      <c r="K1071" s="19" t="s">
        <v>124</v>
      </c>
      <c r="L1071" s="19" t="s">
        <v>160</v>
      </c>
      <c r="M1071" s="15" t="s">
        <v>888</v>
      </c>
      <c r="N1071" s="15" t="s">
        <v>36</v>
      </c>
      <c r="O1071" s="15" t="s">
        <v>105</v>
      </c>
      <c r="P1071" s="20" t="s">
        <v>209</v>
      </c>
      <c r="Q1071" s="15" t="s">
        <v>79</v>
      </c>
      <c r="R1071" s="4"/>
      <c r="S1071" s="4"/>
    </row>
    <row r="1072" spans="1:19" ht="21" customHeight="1" x14ac:dyDescent="0.25">
      <c r="A1072" s="14">
        <f>DATE(2012,12,31)-949</f>
        <v>40325</v>
      </c>
      <c r="B1072" s="15" t="s">
        <v>1291</v>
      </c>
      <c r="C1072" s="15" t="s">
        <v>31</v>
      </c>
      <c r="D1072" s="16">
        <v>47</v>
      </c>
      <c r="E1072" s="17">
        <v>298.3</v>
      </c>
      <c r="F1072" s="16">
        <v>0.08</v>
      </c>
      <c r="G1072" s="15" t="s">
        <v>101</v>
      </c>
      <c r="H1072" s="18">
        <v>146.72</v>
      </c>
      <c r="I1072" s="19">
        <v>6.3</v>
      </c>
      <c r="J1072" s="19">
        <v>0.5</v>
      </c>
      <c r="K1072" s="19" t="s">
        <v>124</v>
      </c>
      <c r="L1072" s="19" t="s">
        <v>493</v>
      </c>
      <c r="M1072" s="15" t="s">
        <v>1289</v>
      </c>
      <c r="N1072" s="15" t="s">
        <v>36</v>
      </c>
      <c r="O1072" s="15" t="s">
        <v>114</v>
      </c>
      <c r="P1072" s="20" t="s">
        <v>916</v>
      </c>
      <c r="Q1072" s="15" t="s">
        <v>83</v>
      </c>
      <c r="R1072" s="4"/>
      <c r="S1072" s="4"/>
    </row>
    <row r="1073" spans="1:19" ht="21" customHeight="1" x14ac:dyDescent="0.25">
      <c r="A1073" s="14">
        <f>DATE(2012,12,31)-1307</f>
        <v>39967</v>
      </c>
      <c r="B1073" s="15" t="s">
        <v>1292</v>
      </c>
      <c r="C1073" s="15" t="s">
        <v>31</v>
      </c>
      <c r="D1073" s="16">
        <v>46</v>
      </c>
      <c r="E1073" s="17">
        <v>11057.6</v>
      </c>
      <c r="F1073" s="16">
        <v>0.08</v>
      </c>
      <c r="G1073" s="15" t="s">
        <v>58</v>
      </c>
      <c r="H1073" s="18">
        <v>183.9</v>
      </c>
      <c r="I1073" s="19">
        <v>259.70999999999998</v>
      </c>
      <c r="J1073" s="19">
        <v>66.67</v>
      </c>
      <c r="K1073" s="19" t="s">
        <v>124</v>
      </c>
      <c r="L1073" s="19" t="s">
        <v>160</v>
      </c>
      <c r="M1073" s="15" t="s">
        <v>888</v>
      </c>
      <c r="N1073" s="15" t="s">
        <v>54</v>
      </c>
      <c r="O1073" s="15" t="s">
        <v>61</v>
      </c>
      <c r="P1073" s="20" t="s">
        <v>1293</v>
      </c>
      <c r="Q1073" s="15" t="s">
        <v>63</v>
      </c>
      <c r="R1073" s="4"/>
      <c r="S1073" s="4"/>
    </row>
    <row r="1074" spans="1:19" ht="21" customHeight="1" x14ac:dyDescent="0.25">
      <c r="A1074" s="14">
        <f>DATE(2012,12,31)-1171</f>
        <v>40103</v>
      </c>
      <c r="B1074" s="15" t="s">
        <v>1294</v>
      </c>
      <c r="C1074" s="15" t="s">
        <v>85</v>
      </c>
      <c r="D1074" s="16">
        <v>37</v>
      </c>
      <c r="E1074" s="17">
        <v>1003.06</v>
      </c>
      <c r="F1074" s="16">
        <v>0.03</v>
      </c>
      <c r="G1074" s="15" t="s">
        <v>32</v>
      </c>
      <c r="H1074" s="18">
        <v>271.77999999999997</v>
      </c>
      <c r="I1074" s="19">
        <v>25.98</v>
      </c>
      <c r="J1074" s="19">
        <v>5.37</v>
      </c>
      <c r="K1074" s="19" t="s">
        <v>124</v>
      </c>
      <c r="L1074" s="19" t="s">
        <v>160</v>
      </c>
      <c r="M1074" s="15" t="s">
        <v>888</v>
      </c>
      <c r="N1074" s="15" t="s">
        <v>36</v>
      </c>
      <c r="O1074" s="15" t="s">
        <v>176</v>
      </c>
      <c r="P1074" s="20" t="s">
        <v>1120</v>
      </c>
      <c r="Q1074" s="15" t="s">
        <v>57</v>
      </c>
      <c r="R1074" s="4"/>
      <c r="S1074" s="4"/>
    </row>
    <row r="1075" spans="1:19" ht="21" customHeight="1" x14ac:dyDescent="0.25">
      <c r="A1075" s="14">
        <f>DATE(2012,12,31)-1458</f>
        <v>39816</v>
      </c>
      <c r="B1075" s="15" t="s">
        <v>1295</v>
      </c>
      <c r="C1075" s="15" t="s">
        <v>51</v>
      </c>
      <c r="D1075" s="16">
        <v>29</v>
      </c>
      <c r="E1075" s="17">
        <v>122.23</v>
      </c>
      <c r="F1075" s="16">
        <v>0.03</v>
      </c>
      <c r="G1075" s="15" t="s">
        <v>32</v>
      </c>
      <c r="H1075" s="18">
        <v>24.55</v>
      </c>
      <c r="I1075" s="19">
        <v>4.26</v>
      </c>
      <c r="J1075" s="19">
        <v>1.2</v>
      </c>
      <c r="K1075" s="19" t="s">
        <v>124</v>
      </c>
      <c r="L1075" s="19" t="s">
        <v>160</v>
      </c>
      <c r="M1075" s="15" t="s">
        <v>888</v>
      </c>
      <c r="N1075" s="15" t="s">
        <v>36</v>
      </c>
      <c r="O1075" s="15" t="s">
        <v>77</v>
      </c>
      <c r="P1075" s="20" t="s">
        <v>317</v>
      </c>
      <c r="Q1075" s="15" t="s">
        <v>79</v>
      </c>
      <c r="R1075" s="4"/>
      <c r="S1075" s="4"/>
    </row>
    <row r="1076" spans="1:19" ht="21" customHeight="1" x14ac:dyDescent="0.25">
      <c r="A1076" s="14">
        <f>DATE(2012,12,31)-986</f>
        <v>40288</v>
      </c>
      <c r="B1076" s="15" t="s">
        <v>311</v>
      </c>
      <c r="C1076" s="15" t="s">
        <v>85</v>
      </c>
      <c r="D1076" s="16">
        <v>41</v>
      </c>
      <c r="E1076" s="17">
        <v>1871.13</v>
      </c>
      <c r="F1076" s="16">
        <v>0.01</v>
      </c>
      <c r="G1076" s="15" t="s">
        <v>32</v>
      </c>
      <c r="H1076" s="18">
        <v>346.43</v>
      </c>
      <c r="I1076" s="19">
        <v>45.98</v>
      </c>
      <c r="J1076" s="19">
        <v>4.8</v>
      </c>
      <c r="K1076" s="19" t="s">
        <v>124</v>
      </c>
      <c r="L1076" s="19" t="s">
        <v>168</v>
      </c>
      <c r="M1076" s="15" t="s">
        <v>169</v>
      </c>
      <c r="N1076" s="15" t="s">
        <v>54</v>
      </c>
      <c r="O1076" s="15" t="s">
        <v>55</v>
      </c>
      <c r="P1076" s="20" t="s">
        <v>1296</v>
      </c>
      <c r="Q1076" s="15" t="s">
        <v>79</v>
      </c>
      <c r="R1076" s="4"/>
      <c r="S1076" s="4"/>
    </row>
    <row r="1077" spans="1:19" ht="21" customHeight="1" x14ac:dyDescent="0.25">
      <c r="A1077" s="14">
        <f>DATE(2012,12,31)-986</f>
        <v>40288</v>
      </c>
      <c r="B1077" s="15" t="s">
        <v>311</v>
      </c>
      <c r="C1077" s="15" t="s">
        <v>85</v>
      </c>
      <c r="D1077" s="16">
        <v>22</v>
      </c>
      <c r="E1077" s="17">
        <v>729.57</v>
      </c>
      <c r="F1077" s="16">
        <v>0.08</v>
      </c>
      <c r="G1077" s="15" t="s">
        <v>32</v>
      </c>
      <c r="H1077" s="18">
        <v>250.43</v>
      </c>
      <c r="I1077" s="19">
        <v>35.44</v>
      </c>
      <c r="J1077" s="19">
        <v>5.09</v>
      </c>
      <c r="K1077" s="19" t="s">
        <v>124</v>
      </c>
      <c r="L1077" s="19" t="s">
        <v>125</v>
      </c>
      <c r="M1077" s="15" t="s">
        <v>1297</v>
      </c>
      <c r="N1077" s="15" t="s">
        <v>36</v>
      </c>
      <c r="O1077" s="15" t="s">
        <v>117</v>
      </c>
      <c r="P1077" s="20" t="s">
        <v>1298</v>
      </c>
      <c r="Q1077" s="15" t="s">
        <v>83</v>
      </c>
      <c r="R1077" s="4"/>
      <c r="S1077" s="4"/>
    </row>
    <row r="1078" spans="1:19" ht="21" customHeight="1" x14ac:dyDescent="0.25">
      <c r="A1078" s="14">
        <f>DATE(2012,12,31)-1001</f>
        <v>40273</v>
      </c>
      <c r="B1078" s="15" t="s">
        <v>1028</v>
      </c>
      <c r="C1078" s="15" t="s">
        <v>31</v>
      </c>
      <c r="D1078" s="16">
        <v>50</v>
      </c>
      <c r="E1078" s="17">
        <v>2851.17</v>
      </c>
      <c r="F1078" s="16">
        <v>0.06</v>
      </c>
      <c r="G1078" s="15" t="s">
        <v>58</v>
      </c>
      <c r="H1078" s="18">
        <v>-868.88</v>
      </c>
      <c r="I1078" s="19">
        <v>58.14</v>
      </c>
      <c r="J1078" s="19">
        <v>36.61</v>
      </c>
      <c r="K1078" s="19" t="s">
        <v>124</v>
      </c>
      <c r="L1078" s="19" t="s">
        <v>164</v>
      </c>
      <c r="M1078" s="15" t="s">
        <v>1228</v>
      </c>
      <c r="N1078" s="15" t="s">
        <v>54</v>
      </c>
      <c r="O1078" s="15" t="s">
        <v>134</v>
      </c>
      <c r="P1078" s="20" t="s">
        <v>1299</v>
      </c>
      <c r="Q1078" s="15" t="s">
        <v>63</v>
      </c>
      <c r="R1078" s="4"/>
      <c r="S1078" s="4"/>
    </row>
    <row r="1079" spans="1:19" ht="21" customHeight="1" x14ac:dyDescent="0.25">
      <c r="A1079" s="14">
        <f>DATE(2012,12,31)-1001</f>
        <v>40273</v>
      </c>
      <c r="B1079" s="15" t="s">
        <v>1028</v>
      </c>
      <c r="C1079" s="15" t="s">
        <v>31</v>
      </c>
      <c r="D1079" s="16">
        <v>15</v>
      </c>
      <c r="E1079" s="17">
        <v>183.43</v>
      </c>
      <c r="F1079" s="16">
        <v>0.06</v>
      </c>
      <c r="G1079" s="15" t="s">
        <v>32</v>
      </c>
      <c r="H1079" s="18">
        <v>-41.86</v>
      </c>
      <c r="I1079" s="19">
        <v>12.44</v>
      </c>
      <c r="J1079" s="19">
        <v>6.27</v>
      </c>
      <c r="K1079" s="19" t="s">
        <v>124</v>
      </c>
      <c r="L1079" s="19" t="s">
        <v>319</v>
      </c>
      <c r="M1079" s="15" t="s">
        <v>320</v>
      </c>
      <c r="N1079" s="15" t="s">
        <v>36</v>
      </c>
      <c r="O1079" s="15" t="s">
        <v>37</v>
      </c>
      <c r="P1079" s="20" t="s">
        <v>143</v>
      </c>
      <c r="Q1079" s="15" t="s">
        <v>57</v>
      </c>
      <c r="R1079" s="4"/>
      <c r="S1079" s="4"/>
    </row>
    <row r="1080" spans="1:19" ht="21" customHeight="1" x14ac:dyDescent="0.25">
      <c r="A1080" s="14">
        <f>DATE(2012,12,31)-1024</f>
        <v>40250</v>
      </c>
      <c r="B1080" s="15" t="s">
        <v>974</v>
      </c>
      <c r="C1080" s="15" t="s">
        <v>85</v>
      </c>
      <c r="D1080" s="16">
        <v>34</v>
      </c>
      <c r="E1080" s="17">
        <v>334.66</v>
      </c>
      <c r="F1080" s="16">
        <v>0.05</v>
      </c>
      <c r="G1080" s="15" t="s">
        <v>32</v>
      </c>
      <c r="H1080" s="18">
        <v>132.56</v>
      </c>
      <c r="I1080" s="19">
        <v>9.93</v>
      </c>
      <c r="J1080" s="19">
        <v>1.0900000000000001</v>
      </c>
      <c r="K1080" s="19" t="s">
        <v>44</v>
      </c>
      <c r="L1080" s="19" t="s">
        <v>52</v>
      </c>
      <c r="M1080" s="15" t="s">
        <v>1300</v>
      </c>
      <c r="N1080" s="15" t="s">
        <v>36</v>
      </c>
      <c r="O1080" s="15" t="s">
        <v>77</v>
      </c>
      <c r="P1080" s="20" t="s">
        <v>366</v>
      </c>
      <c r="Q1080" s="15" t="s">
        <v>79</v>
      </c>
      <c r="R1080" s="4"/>
      <c r="S1080" s="4"/>
    </row>
    <row r="1081" spans="1:19" ht="21" customHeight="1" x14ac:dyDescent="0.25">
      <c r="A1081" s="14">
        <f>DATE(2012,12,31)-1024</f>
        <v>40250</v>
      </c>
      <c r="B1081" s="15" t="s">
        <v>974</v>
      </c>
      <c r="C1081" s="15" t="s">
        <v>85</v>
      </c>
      <c r="D1081" s="16">
        <v>23</v>
      </c>
      <c r="E1081" s="17">
        <v>139.19</v>
      </c>
      <c r="F1081" s="16">
        <v>0.04</v>
      </c>
      <c r="G1081" s="15" t="s">
        <v>32</v>
      </c>
      <c r="H1081" s="18">
        <v>-86.73</v>
      </c>
      <c r="I1081" s="19">
        <v>5.98</v>
      </c>
      <c r="J1081" s="19">
        <v>7.15</v>
      </c>
      <c r="K1081" s="19" t="s">
        <v>44</v>
      </c>
      <c r="L1081" s="19" t="s">
        <v>52</v>
      </c>
      <c r="M1081" s="15" t="s">
        <v>1300</v>
      </c>
      <c r="N1081" s="15" t="s">
        <v>36</v>
      </c>
      <c r="O1081" s="15" t="s">
        <v>117</v>
      </c>
      <c r="P1081" s="20" t="s">
        <v>603</v>
      </c>
      <c r="Q1081" s="15" t="s">
        <v>83</v>
      </c>
      <c r="R1081" s="4"/>
      <c r="S1081" s="4"/>
    </row>
    <row r="1082" spans="1:19" ht="21" customHeight="1" x14ac:dyDescent="0.25">
      <c r="A1082" s="14">
        <f>DATE(2012,12,31)-1024</f>
        <v>40250</v>
      </c>
      <c r="B1082" s="15" t="s">
        <v>974</v>
      </c>
      <c r="C1082" s="15" t="s">
        <v>85</v>
      </c>
      <c r="D1082" s="16">
        <v>16</v>
      </c>
      <c r="E1082" s="17">
        <v>2026.05</v>
      </c>
      <c r="F1082" s="16">
        <v>0.1</v>
      </c>
      <c r="G1082" s="15" t="s">
        <v>58</v>
      </c>
      <c r="H1082" s="18">
        <v>-357.65</v>
      </c>
      <c r="I1082" s="19">
        <v>135.99</v>
      </c>
      <c r="J1082" s="19">
        <v>28.63</v>
      </c>
      <c r="K1082" s="19" t="s">
        <v>44</v>
      </c>
      <c r="L1082" s="19" t="s">
        <v>52</v>
      </c>
      <c r="M1082" s="15" t="s">
        <v>1300</v>
      </c>
      <c r="N1082" s="15" t="s">
        <v>54</v>
      </c>
      <c r="O1082" s="15" t="s">
        <v>252</v>
      </c>
      <c r="P1082" s="20" t="s">
        <v>1301</v>
      </c>
      <c r="Q1082" s="15" t="s">
        <v>181</v>
      </c>
      <c r="R1082" s="4"/>
      <c r="S1082" s="4"/>
    </row>
    <row r="1083" spans="1:19" ht="21" customHeight="1" x14ac:dyDescent="0.25">
      <c r="A1083" s="14">
        <f>DATE(2012,12,31)-283</f>
        <v>40991</v>
      </c>
      <c r="B1083" s="15" t="s">
        <v>785</v>
      </c>
      <c r="C1083" s="15" t="s">
        <v>31</v>
      </c>
      <c r="D1083" s="16">
        <v>50</v>
      </c>
      <c r="E1083" s="17">
        <v>2796.67</v>
      </c>
      <c r="F1083" s="16">
        <v>0.01</v>
      </c>
      <c r="G1083" s="15" t="s">
        <v>32</v>
      </c>
      <c r="H1083" s="18">
        <v>801.04</v>
      </c>
      <c r="I1083" s="19">
        <v>55.29</v>
      </c>
      <c r="J1083" s="19">
        <v>5.08</v>
      </c>
      <c r="K1083" s="19" t="s">
        <v>44</v>
      </c>
      <c r="L1083" s="19" t="s">
        <v>52</v>
      </c>
      <c r="M1083" s="15" t="s">
        <v>1300</v>
      </c>
      <c r="N1083" s="15" t="s">
        <v>36</v>
      </c>
      <c r="O1083" s="15" t="s">
        <v>37</v>
      </c>
      <c r="P1083" s="20" t="s">
        <v>1230</v>
      </c>
      <c r="Q1083" s="15" t="s">
        <v>83</v>
      </c>
      <c r="R1083" s="4"/>
      <c r="S1083" s="4"/>
    </row>
    <row r="1084" spans="1:19" ht="21" customHeight="1" x14ac:dyDescent="0.25">
      <c r="A1084" s="14">
        <f>DATE(2012,12,31)-838</f>
        <v>40436</v>
      </c>
      <c r="B1084" s="15" t="s">
        <v>1302</v>
      </c>
      <c r="C1084" s="15" t="s">
        <v>31</v>
      </c>
      <c r="D1084" s="16">
        <v>10</v>
      </c>
      <c r="E1084" s="17">
        <v>1449.21</v>
      </c>
      <c r="F1084" s="16">
        <v>0.06</v>
      </c>
      <c r="G1084" s="15" t="s">
        <v>58</v>
      </c>
      <c r="H1084" s="18">
        <v>-270</v>
      </c>
      <c r="I1084" s="19">
        <v>150.97999999999999</v>
      </c>
      <c r="J1084" s="19">
        <v>30</v>
      </c>
      <c r="K1084" s="19" t="s">
        <v>44</v>
      </c>
      <c r="L1084" s="19" t="s">
        <v>52</v>
      </c>
      <c r="M1084" s="15" t="s">
        <v>1300</v>
      </c>
      <c r="N1084" s="15" t="s">
        <v>54</v>
      </c>
      <c r="O1084" s="15" t="s">
        <v>252</v>
      </c>
      <c r="P1084" s="20" t="s">
        <v>1303</v>
      </c>
      <c r="Q1084" s="15" t="s">
        <v>181</v>
      </c>
      <c r="R1084" s="4"/>
      <c r="S1084" s="4"/>
    </row>
    <row r="1085" spans="1:19" ht="21" customHeight="1" x14ac:dyDescent="0.25">
      <c r="A1085" s="14">
        <f>DATE(2012,12,31)-834</f>
        <v>40440</v>
      </c>
      <c r="B1085" s="15" t="s">
        <v>884</v>
      </c>
      <c r="C1085" s="15" t="s">
        <v>31</v>
      </c>
      <c r="D1085" s="16">
        <v>10</v>
      </c>
      <c r="E1085" s="17">
        <v>149.25</v>
      </c>
      <c r="F1085" s="16">
        <v>0.08</v>
      </c>
      <c r="G1085" s="15" t="s">
        <v>32</v>
      </c>
      <c r="H1085" s="18">
        <v>-26.8065</v>
      </c>
      <c r="I1085" s="19">
        <v>15.01</v>
      </c>
      <c r="J1085" s="19">
        <v>8.4</v>
      </c>
      <c r="K1085" s="19" t="s">
        <v>44</v>
      </c>
      <c r="L1085" s="19" t="s">
        <v>52</v>
      </c>
      <c r="M1085" s="15" t="s">
        <v>1300</v>
      </c>
      <c r="N1085" s="15" t="s">
        <v>36</v>
      </c>
      <c r="O1085" s="15" t="s">
        <v>170</v>
      </c>
      <c r="P1085" s="20" t="s">
        <v>1304</v>
      </c>
      <c r="Q1085" s="15" t="s">
        <v>83</v>
      </c>
      <c r="R1085" s="4"/>
      <c r="S1085" s="4"/>
    </row>
    <row r="1086" spans="1:19" ht="21" customHeight="1" x14ac:dyDescent="0.25">
      <c r="A1086" s="14">
        <f>DATE(2012,12,31)-834</f>
        <v>40440</v>
      </c>
      <c r="B1086" s="15" t="s">
        <v>884</v>
      </c>
      <c r="C1086" s="15" t="s">
        <v>31</v>
      </c>
      <c r="D1086" s="16">
        <v>1</v>
      </c>
      <c r="E1086" s="17">
        <v>10.14</v>
      </c>
      <c r="F1086" s="16">
        <v>0.04</v>
      </c>
      <c r="G1086" s="15" t="s">
        <v>32</v>
      </c>
      <c r="H1086" s="18">
        <v>-7.6130000000000004</v>
      </c>
      <c r="I1086" s="19">
        <v>4.82</v>
      </c>
      <c r="J1086" s="19">
        <v>5.24</v>
      </c>
      <c r="K1086" s="19" t="s">
        <v>44</v>
      </c>
      <c r="L1086" s="19" t="s">
        <v>52</v>
      </c>
      <c r="M1086" s="15" t="s">
        <v>1300</v>
      </c>
      <c r="N1086" s="15" t="s">
        <v>36</v>
      </c>
      <c r="O1086" s="15" t="s">
        <v>170</v>
      </c>
      <c r="P1086" s="20" t="s">
        <v>1305</v>
      </c>
      <c r="Q1086" s="15" t="s">
        <v>83</v>
      </c>
      <c r="R1086" s="4"/>
      <c r="S1086" s="4"/>
    </row>
    <row r="1087" spans="1:19" ht="21" customHeight="1" x14ac:dyDescent="0.25">
      <c r="A1087" s="14">
        <f>DATE(2012,12,31)-773</f>
        <v>40501</v>
      </c>
      <c r="B1087" s="15" t="s">
        <v>741</v>
      </c>
      <c r="C1087" s="15" t="s">
        <v>51</v>
      </c>
      <c r="D1087" s="16">
        <v>15</v>
      </c>
      <c r="E1087" s="17">
        <v>37.700000000000003</v>
      </c>
      <c r="F1087" s="16">
        <v>0.1</v>
      </c>
      <c r="G1087" s="15" t="s">
        <v>32</v>
      </c>
      <c r="H1087" s="18">
        <v>-81.08</v>
      </c>
      <c r="I1087" s="19">
        <v>2.1800000000000002</v>
      </c>
      <c r="J1087" s="19">
        <v>7.09</v>
      </c>
      <c r="K1087" s="19" t="s">
        <v>44</v>
      </c>
      <c r="L1087" s="19" t="s">
        <v>52</v>
      </c>
      <c r="M1087" s="15" t="s">
        <v>1300</v>
      </c>
      <c r="N1087" s="15" t="s">
        <v>36</v>
      </c>
      <c r="O1087" s="15" t="s">
        <v>117</v>
      </c>
      <c r="P1087" s="20" t="s">
        <v>1044</v>
      </c>
      <c r="Q1087" s="15" t="s">
        <v>79</v>
      </c>
      <c r="R1087" s="4"/>
      <c r="S1087" s="4"/>
    </row>
    <row r="1088" spans="1:19" ht="21" customHeight="1" x14ac:dyDescent="0.25">
      <c r="A1088" s="14">
        <f>DATE(2012,12,31)-773</f>
        <v>40501</v>
      </c>
      <c r="B1088" s="15" t="s">
        <v>741</v>
      </c>
      <c r="C1088" s="15" t="s">
        <v>51</v>
      </c>
      <c r="D1088" s="16">
        <v>47</v>
      </c>
      <c r="E1088" s="17">
        <v>1059.72</v>
      </c>
      <c r="F1088" s="16">
        <v>0.01</v>
      </c>
      <c r="G1088" s="15" t="s">
        <v>32</v>
      </c>
      <c r="H1088" s="18">
        <v>112.22</v>
      </c>
      <c r="I1088" s="19">
        <v>20.98</v>
      </c>
      <c r="J1088" s="19">
        <v>5.42</v>
      </c>
      <c r="K1088" s="19" t="s">
        <v>44</v>
      </c>
      <c r="L1088" s="19" t="s">
        <v>236</v>
      </c>
      <c r="M1088" s="15" t="s">
        <v>237</v>
      </c>
      <c r="N1088" s="15" t="s">
        <v>36</v>
      </c>
      <c r="O1088" s="15" t="s">
        <v>37</v>
      </c>
      <c r="P1088" s="20" t="s">
        <v>622</v>
      </c>
      <c r="Q1088" s="15" t="s">
        <v>83</v>
      </c>
      <c r="R1088" s="4"/>
      <c r="S1088" s="4"/>
    </row>
    <row r="1089" spans="1:19" ht="21" customHeight="1" x14ac:dyDescent="0.25">
      <c r="A1089" s="14">
        <f>DATE(2012,12,31)-270</f>
        <v>41004</v>
      </c>
      <c r="B1089" s="15" t="s">
        <v>410</v>
      </c>
      <c r="C1089" s="15" t="s">
        <v>85</v>
      </c>
      <c r="D1089" s="16">
        <v>24</v>
      </c>
      <c r="E1089" s="17">
        <v>790.63</v>
      </c>
      <c r="F1089" s="16">
        <v>0.1</v>
      </c>
      <c r="G1089" s="15" t="s">
        <v>32</v>
      </c>
      <c r="H1089" s="18">
        <v>52.317500000000003</v>
      </c>
      <c r="I1089" s="19">
        <v>34.54</v>
      </c>
      <c r="J1089" s="19">
        <v>14.72</v>
      </c>
      <c r="K1089" s="19" t="s">
        <v>44</v>
      </c>
      <c r="L1089" s="19" t="s">
        <v>52</v>
      </c>
      <c r="M1089" s="15" t="s">
        <v>1300</v>
      </c>
      <c r="N1089" s="15" t="s">
        <v>36</v>
      </c>
      <c r="O1089" s="15" t="s">
        <v>170</v>
      </c>
      <c r="P1089" s="20" t="s">
        <v>1306</v>
      </c>
      <c r="Q1089" s="15" t="s">
        <v>83</v>
      </c>
      <c r="R1089" s="4"/>
      <c r="S1089" s="4"/>
    </row>
    <row r="1090" spans="1:19" ht="21" customHeight="1" x14ac:dyDescent="0.25">
      <c r="A1090" s="14">
        <f>DATE(2012,12,31)-577</f>
        <v>40697</v>
      </c>
      <c r="B1090" s="15" t="s">
        <v>228</v>
      </c>
      <c r="C1090" s="15" t="s">
        <v>85</v>
      </c>
      <c r="D1090" s="16">
        <v>27</v>
      </c>
      <c r="E1090" s="17">
        <v>197.15</v>
      </c>
      <c r="F1090" s="16">
        <v>0</v>
      </c>
      <c r="G1090" s="15" t="s">
        <v>101</v>
      </c>
      <c r="H1090" s="18">
        <v>-23.34</v>
      </c>
      <c r="I1090" s="19">
        <v>6.68</v>
      </c>
      <c r="J1090" s="19">
        <v>5.2</v>
      </c>
      <c r="K1090" s="19" t="s">
        <v>44</v>
      </c>
      <c r="L1090" s="19" t="s">
        <v>52</v>
      </c>
      <c r="M1090" s="15" t="s">
        <v>1300</v>
      </c>
      <c r="N1090" s="15" t="s">
        <v>36</v>
      </c>
      <c r="O1090" s="15" t="s">
        <v>117</v>
      </c>
      <c r="P1090" s="20" t="s">
        <v>1307</v>
      </c>
      <c r="Q1090" s="15" t="s">
        <v>83</v>
      </c>
      <c r="R1090" s="4"/>
      <c r="S1090" s="4"/>
    </row>
    <row r="1091" spans="1:19" ht="21" customHeight="1" x14ac:dyDescent="0.25">
      <c r="A1091" s="14">
        <f>DATE(2012,12,31)-324</f>
        <v>40950</v>
      </c>
      <c r="B1091" s="15" t="s">
        <v>1308</v>
      </c>
      <c r="C1091" s="15" t="s">
        <v>31</v>
      </c>
      <c r="D1091" s="16">
        <v>5</v>
      </c>
      <c r="E1091" s="17">
        <v>820.56449999999995</v>
      </c>
      <c r="F1091" s="16">
        <v>0.09</v>
      </c>
      <c r="G1091" s="15" t="s">
        <v>32</v>
      </c>
      <c r="H1091" s="18">
        <v>-800.25</v>
      </c>
      <c r="I1091" s="19">
        <v>205.99</v>
      </c>
      <c r="J1091" s="19">
        <v>8.99</v>
      </c>
      <c r="K1091" s="19" t="s">
        <v>44</v>
      </c>
      <c r="L1091" s="19" t="s">
        <v>52</v>
      </c>
      <c r="M1091" s="15" t="s">
        <v>1300</v>
      </c>
      <c r="N1091" s="15" t="s">
        <v>64</v>
      </c>
      <c r="O1091" s="15" t="s">
        <v>65</v>
      </c>
      <c r="P1091" s="20" t="s">
        <v>886</v>
      </c>
      <c r="Q1091" s="15" t="s">
        <v>83</v>
      </c>
      <c r="R1091" s="4"/>
      <c r="S1091" s="4"/>
    </row>
    <row r="1092" spans="1:19" ht="21" customHeight="1" x14ac:dyDescent="0.25">
      <c r="A1092" s="14">
        <f>DATE(2012,12,31)-324</f>
        <v>40950</v>
      </c>
      <c r="B1092" s="15" t="s">
        <v>1308</v>
      </c>
      <c r="C1092" s="15" t="s">
        <v>31</v>
      </c>
      <c r="D1092" s="16">
        <v>35</v>
      </c>
      <c r="E1092" s="17">
        <v>3332.06</v>
      </c>
      <c r="F1092" s="16">
        <v>0.09</v>
      </c>
      <c r="G1092" s="15" t="s">
        <v>32</v>
      </c>
      <c r="H1092" s="18">
        <v>412.63</v>
      </c>
      <c r="I1092" s="19">
        <v>99.99</v>
      </c>
      <c r="J1092" s="19">
        <v>19.989999999999998</v>
      </c>
      <c r="K1092" s="19" t="s">
        <v>44</v>
      </c>
      <c r="L1092" s="19" t="s">
        <v>52</v>
      </c>
      <c r="M1092" s="15" t="s">
        <v>1300</v>
      </c>
      <c r="N1092" s="15" t="s">
        <v>64</v>
      </c>
      <c r="O1092" s="15" t="s">
        <v>122</v>
      </c>
      <c r="P1092" s="20" t="s">
        <v>1309</v>
      </c>
      <c r="Q1092" s="15" t="s">
        <v>83</v>
      </c>
      <c r="R1092" s="4"/>
      <c r="S1092" s="4"/>
    </row>
    <row r="1093" spans="1:19" ht="21" customHeight="1" x14ac:dyDescent="0.25">
      <c r="A1093" s="14">
        <f>DATE(2012,12,31)-251</f>
        <v>41023</v>
      </c>
      <c r="B1093" s="15" t="s">
        <v>1310</v>
      </c>
      <c r="C1093" s="15" t="s">
        <v>51</v>
      </c>
      <c r="D1093" s="16">
        <v>27</v>
      </c>
      <c r="E1093" s="17">
        <v>118.18</v>
      </c>
      <c r="F1093" s="16">
        <v>0.06</v>
      </c>
      <c r="G1093" s="15" t="s">
        <v>32</v>
      </c>
      <c r="H1093" s="18">
        <v>-133.62</v>
      </c>
      <c r="I1093" s="19">
        <v>4.0599999999999996</v>
      </c>
      <c r="J1093" s="19">
        <v>6.89</v>
      </c>
      <c r="K1093" s="19" t="s">
        <v>124</v>
      </c>
      <c r="L1093" s="19" t="s">
        <v>160</v>
      </c>
      <c r="M1093" s="15" t="s">
        <v>888</v>
      </c>
      <c r="N1093" s="15" t="s">
        <v>36</v>
      </c>
      <c r="O1093" s="15" t="s">
        <v>176</v>
      </c>
      <c r="P1093" s="20" t="s">
        <v>1222</v>
      </c>
      <c r="Q1093" s="15" t="s">
        <v>83</v>
      </c>
      <c r="R1093" s="4"/>
      <c r="S1093" s="4"/>
    </row>
    <row r="1094" spans="1:19" ht="21" customHeight="1" x14ac:dyDescent="0.25">
      <c r="A1094" s="14">
        <f>DATE(2012,12,31)-347</f>
        <v>40927</v>
      </c>
      <c r="B1094" s="15" t="s">
        <v>1311</v>
      </c>
      <c r="C1094" s="15" t="s">
        <v>51</v>
      </c>
      <c r="D1094" s="16">
        <v>31</v>
      </c>
      <c r="E1094" s="17">
        <v>354.45</v>
      </c>
      <c r="F1094" s="16">
        <v>0.01</v>
      </c>
      <c r="G1094" s="15" t="s">
        <v>32</v>
      </c>
      <c r="H1094" s="18">
        <v>11.38</v>
      </c>
      <c r="I1094" s="19">
        <v>10.98</v>
      </c>
      <c r="J1094" s="19">
        <v>3.99</v>
      </c>
      <c r="K1094" s="19" t="s">
        <v>69</v>
      </c>
      <c r="L1094" s="19" t="s">
        <v>70</v>
      </c>
      <c r="M1094" s="15" t="s">
        <v>1215</v>
      </c>
      <c r="N1094" s="15" t="s">
        <v>36</v>
      </c>
      <c r="O1094" s="15" t="s">
        <v>176</v>
      </c>
      <c r="P1094" s="20" t="s">
        <v>1312</v>
      </c>
      <c r="Q1094" s="15" t="s">
        <v>83</v>
      </c>
      <c r="R1094" s="4"/>
      <c r="S1094" s="4"/>
    </row>
    <row r="1095" spans="1:19" ht="21" customHeight="1" x14ac:dyDescent="0.25">
      <c r="A1095" s="14">
        <f>DATE(2012,12,31)-347</f>
        <v>40927</v>
      </c>
      <c r="B1095" s="15" t="s">
        <v>1311</v>
      </c>
      <c r="C1095" s="15" t="s">
        <v>51</v>
      </c>
      <c r="D1095" s="16">
        <v>13</v>
      </c>
      <c r="E1095" s="17">
        <v>238.43</v>
      </c>
      <c r="F1095" s="16">
        <v>0.02</v>
      </c>
      <c r="G1095" s="15" t="s">
        <v>32</v>
      </c>
      <c r="H1095" s="18">
        <v>-36.11</v>
      </c>
      <c r="I1095" s="19">
        <v>16.989999999999998</v>
      </c>
      <c r="J1095" s="19">
        <v>8.99</v>
      </c>
      <c r="K1095" s="19" t="s">
        <v>44</v>
      </c>
      <c r="L1095" s="19" t="s">
        <v>89</v>
      </c>
      <c r="M1095" s="15" t="s">
        <v>734</v>
      </c>
      <c r="N1095" s="15" t="s">
        <v>36</v>
      </c>
      <c r="O1095" s="15" t="s">
        <v>77</v>
      </c>
      <c r="P1095" s="20" t="s">
        <v>1313</v>
      </c>
      <c r="Q1095" s="15" t="s">
        <v>49</v>
      </c>
      <c r="R1095" s="4"/>
      <c r="S1095" s="4"/>
    </row>
    <row r="1096" spans="1:19" ht="21" customHeight="1" x14ac:dyDescent="0.25">
      <c r="A1096" s="14">
        <f>DATE(2012,12,31)-347</f>
        <v>40927</v>
      </c>
      <c r="B1096" s="15" t="s">
        <v>1311</v>
      </c>
      <c r="C1096" s="15" t="s">
        <v>51</v>
      </c>
      <c r="D1096" s="16">
        <v>36</v>
      </c>
      <c r="E1096" s="17">
        <v>1606.4</v>
      </c>
      <c r="F1096" s="16">
        <v>0.08</v>
      </c>
      <c r="G1096" s="15" t="s">
        <v>58</v>
      </c>
      <c r="H1096" s="18">
        <v>-1231.3499999999999</v>
      </c>
      <c r="I1096" s="19">
        <v>44.43</v>
      </c>
      <c r="J1096" s="19">
        <v>46.59</v>
      </c>
      <c r="K1096" s="19" t="s">
        <v>44</v>
      </c>
      <c r="L1096" s="19" t="s">
        <v>120</v>
      </c>
      <c r="M1096" s="15" t="s">
        <v>121</v>
      </c>
      <c r="N1096" s="15" t="s">
        <v>54</v>
      </c>
      <c r="O1096" s="15" t="s">
        <v>61</v>
      </c>
      <c r="P1096" s="20" t="s">
        <v>1314</v>
      </c>
      <c r="Q1096" s="15" t="s">
        <v>63</v>
      </c>
      <c r="R1096" s="4"/>
      <c r="S1096" s="4"/>
    </row>
    <row r="1097" spans="1:19" ht="21" customHeight="1" x14ac:dyDescent="0.25">
      <c r="A1097" s="14">
        <f>DATE(2012,12,31)-305</f>
        <v>40969</v>
      </c>
      <c r="B1097" s="15" t="s">
        <v>423</v>
      </c>
      <c r="C1097" s="15" t="s">
        <v>85</v>
      </c>
      <c r="D1097" s="16">
        <v>7</v>
      </c>
      <c r="E1097" s="17">
        <v>104.38</v>
      </c>
      <c r="F1097" s="16">
        <v>7.0000000000000007E-2</v>
      </c>
      <c r="G1097" s="15" t="s">
        <v>32</v>
      </c>
      <c r="H1097" s="18">
        <v>-24.2</v>
      </c>
      <c r="I1097" s="19">
        <v>14.42</v>
      </c>
      <c r="J1097" s="19">
        <v>6.75</v>
      </c>
      <c r="K1097" s="19" t="s">
        <v>124</v>
      </c>
      <c r="L1097" s="19" t="s">
        <v>493</v>
      </c>
      <c r="M1097" s="15" t="s">
        <v>1289</v>
      </c>
      <c r="N1097" s="15" t="s">
        <v>36</v>
      </c>
      <c r="O1097" s="15" t="s">
        <v>176</v>
      </c>
      <c r="P1097" s="20" t="s">
        <v>411</v>
      </c>
      <c r="Q1097" s="15" t="s">
        <v>57</v>
      </c>
      <c r="R1097" s="4"/>
      <c r="S1097" s="4"/>
    </row>
    <row r="1098" spans="1:19" ht="21" customHeight="1" x14ac:dyDescent="0.25">
      <c r="A1098" s="14">
        <f>DATE(2012,12,31)-130</f>
        <v>41144</v>
      </c>
      <c r="B1098" s="15" t="s">
        <v>1129</v>
      </c>
      <c r="C1098" s="15" t="s">
        <v>85</v>
      </c>
      <c r="D1098" s="16">
        <v>37</v>
      </c>
      <c r="E1098" s="17">
        <v>1199.7</v>
      </c>
      <c r="F1098" s="16">
        <v>0.01</v>
      </c>
      <c r="G1098" s="15" t="s">
        <v>32</v>
      </c>
      <c r="H1098" s="18">
        <v>3.22</v>
      </c>
      <c r="I1098" s="19">
        <v>30.98</v>
      </c>
      <c r="J1098" s="19">
        <v>19.510000000000002</v>
      </c>
      <c r="K1098" s="19" t="s">
        <v>33</v>
      </c>
      <c r="L1098" s="19" t="s">
        <v>145</v>
      </c>
      <c r="M1098" s="15" t="s">
        <v>1083</v>
      </c>
      <c r="N1098" s="15" t="s">
        <v>36</v>
      </c>
      <c r="O1098" s="15" t="s">
        <v>189</v>
      </c>
      <c r="P1098" s="20" t="s">
        <v>1315</v>
      </c>
      <c r="Q1098" s="15" t="s">
        <v>83</v>
      </c>
      <c r="R1098" s="4"/>
      <c r="S1098" s="4"/>
    </row>
    <row r="1099" spans="1:19" ht="21" customHeight="1" x14ac:dyDescent="0.25">
      <c r="A1099" s="14">
        <f>DATE(2012,12,31)-599</f>
        <v>40675</v>
      </c>
      <c r="B1099" s="15" t="s">
        <v>810</v>
      </c>
      <c r="C1099" s="15" t="s">
        <v>51</v>
      </c>
      <c r="D1099" s="16">
        <v>44</v>
      </c>
      <c r="E1099" s="17">
        <v>10445.950000000001</v>
      </c>
      <c r="F1099" s="16">
        <v>7.0000000000000007E-2</v>
      </c>
      <c r="G1099" s="15" t="s">
        <v>58</v>
      </c>
      <c r="H1099" s="18">
        <v>1069.6099999999999</v>
      </c>
      <c r="I1099" s="19">
        <v>243.98</v>
      </c>
      <c r="J1099" s="19">
        <v>62.94</v>
      </c>
      <c r="K1099" s="19" t="s">
        <v>33</v>
      </c>
      <c r="L1099" s="19" t="s">
        <v>59</v>
      </c>
      <c r="M1099" s="15" t="s">
        <v>60</v>
      </c>
      <c r="N1099" s="15" t="s">
        <v>54</v>
      </c>
      <c r="O1099" s="15" t="s">
        <v>252</v>
      </c>
      <c r="P1099" s="20" t="s">
        <v>1316</v>
      </c>
      <c r="Q1099" s="15" t="s">
        <v>181</v>
      </c>
      <c r="R1099" s="4"/>
      <c r="S1099" s="4"/>
    </row>
    <row r="1100" spans="1:19" ht="21" customHeight="1" x14ac:dyDescent="0.25">
      <c r="A1100" s="14">
        <f>DATE(2012,12,31)-71</f>
        <v>41203</v>
      </c>
      <c r="B1100" s="15" t="s">
        <v>1237</v>
      </c>
      <c r="C1100" s="15" t="s">
        <v>85</v>
      </c>
      <c r="D1100" s="16">
        <v>17</v>
      </c>
      <c r="E1100" s="17">
        <v>1125.76</v>
      </c>
      <c r="F1100" s="16">
        <v>0</v>
      </c>
      <c r="G1100" s="15" t="s">
        <v>32</v>
      </c>
      <c r="H1100" s="18">
        <v>379.28</v>
      </c>
      <c r="I1100" s="19">
        <v>60.65</v>
      </c>
      <c r="J1100" s="19">
        <v>12.23</v>
      </c>
      <c r="K1100" s="19" t="s">
        <v>33</v>
      </c>
      <c r="L1100" s="19" t="s">
        <v>59</v>
      </c>
      <c r="M1100" s="15" t="s">
        <v>60</v>
      </c>
      <c r="N1100" s="15" t="s">
        <v>54</v>
      </c>
      <c r="O1100" s="15" t="s">
        <v>55</v>
      </c>
      <c r="P1100" s="20" t="s">
        <v>1317</v>
      </c>
      <c r="Q1100" s="15" t="s">
        <v>57</v>
      </c>
      <c r="R1100" s="4"/>
      <c r="S1100" s="4"/>
    </row>
    <row r="1101" spans="1:19" ht="21" customHeight="1" x14ac:dyDescent="0.25">
      <c r="A1101" s="14">
        <f>DATE(2012,12,31)-338</f>
        <v>40936</v>
      </c>
      <c r="B1101" s="15" t="s">
        <v>1070</v>
      </c>
      <c r="C1101" s="15" t="s">
        <v>85</v>
      </c>
      <c r="D1101" s="16">
        <v>14</v>
      </c>
      <c r="E1101" s="17">
        <v>622.72</v>
      </c>
      <c r="F1101" s="16">
        <v>0</v>
      </c>
      <c r="G1101" s="15" t="s">
        <v>32</v>
      </c>
      <c r="H1101" s="18">
        <v>76.510000000000005</v>
      </c>
      <c r="I1101" s="19">
        <v>40.97</v>
      </c>
      <c r="J1101" s="19">
        <v>8.99</v>
      </c>
      <c r="K1101" s="19" t="s">
        <v>33</v>
      </c>
      <c r="L1101" s="19" t="s">
        <v>34</v>
      </c>
      <c r="M1101" s="15" t="s">
        <v>35</v>
      </c>
      <c r="N1101" s="15" t="s">
        <v>36</v>
      </c>
      <c r="O1101" s="15" t="s">
        <v>77</v>
      </c>
      <c r="P1101" s="20" t="s">
        <v>938</v>
      </c>
      <c r="Q1101" s="15" t="s">
        <v>49</v>
      </c>
      <c r="R1101" s="4"/>
      <c r="S1101" s="4"/>
    </row>
    <row r="1102" spans="1:19" ht="21" customHeight="1" x14ac:dyDescent="0.25">
      <c r="A1102" s="14">
        <f>DATE(2012,12,31)-753</f>
        <v>40521</v>
      </c>
      <c r="B1102" s="15" t="s">
        <v>1318</v>
      </c>
      <c r="C1102" s="15" t="s">
        <v>85</v>
      </c>
      <c r="D1102" s="16">
        <v>48</v>
      </c>
      <c r="E1102" s="17">
        <v>7522.8</v>
      </c>
      <c r="F1102" s="16">
        <v>0.04</v>
      </c>
      <c r="G1102" s="15" t="s">
        <v>101</v>
      </c>
      <c r="H1102" s="18">
        <v>3187.37</v>
      </c>
      <c r="I1102" s="19">
        <v>162.93</v>
      </c>
      <c r="J1102" s="19">
        <v>19.989999999999998</v>
      </c>
      <c r="K1102" s="19" t="s">
        <v>33</v>
      </c>
      <c r="L1102" s="19" t="s">
        <v>59</v>
      </c>
      <c r="M1102" s="15" t="s">
        <v>60</v>
      </c>
      <c r="N1102" s="15" t="s">
        <v>36</v>
      </c>
      <c r="O1102" s="15" t="s">
        <v>189</v>
      </c>
      <c r="P1102" s="20" t="s">
        <v>739</v>
      </c>
      <c r="Q1102" s="15" t="s">
        <v>83</v>
      </c>
      <c r="R1102" s="4"/>
      <c r="S1102" s="4"/>
    </row>
    <row r="1103" spans="1:19" ht="21" customHeight="1" x14ac:dyDescent="0.25">
      <c r="A1103" s="14">
        <f>DATE(2012,12,31)-1033</f>
        <v>40241</v>
      </c>
      <c r="B1103" s="15" t="s">
        <v>369</v>
      </c>
      <c r="C1103" s="15" t="s">
        <v>85</v>
      </c>
      <c r="D1103" s="16">
        <v>35</v>
      </c>
      <c r="E1103" s="17">
        <v>3491.71</v>
      </c>
      <c r="F1103" s="16">
        <v>0.04</v>
      </c>
      <c r="G1103" s="15" t="s">
        <v>58</v>
      </c>
      <c r="H1103" s="18">
        <v>-1216.6400000000001</v>
      </c>
      <c r="I1103" s="19">
        <v>95.95</v>
      </c>
      <c r="J1103" s="19">
        <v>74.349999999999994</v>
      </c>
      <c r="K1103" s="19" t="s">
        <v>33</v>
      </c>
      <c r="L1103" s="19" t="s">
        <v>34</v>
      </c>
      <c r="M1103" s="15" t="s">
        <v>35</v>
      </c>
      <c r="N1103" s="15" t="s">
        <v>54</v>
      </c>
      <c r="O1103" s="15" t="s">
        <v>252</v>
      </c>
      <c r="P1103" s="20" t="s">
        <v>540</v>
      </c>
      <c r="Q1103" s="15" t="s">
        <v>181</v>
      </c>
      <c r="R1103" s="4"/>
      <c r="S1103" s="4"/>
    </row>
    <row r="1104" spans="1:19" ht="21" customHeight="1" x14ac:dyDescent="0.25">
      <c r="A1104" s="14">
        <f>DATE(2012,12,31)-1033</f>
        <v>40241</v>
      </c>
      <c r="B1104" s="15" t="s">
        <v>369</v>
      </c>
      <c r="C1104" s="15" t="s">
        <v>85</v>
      </c>
      <c r="D1104" s="16">
        <v>15</v>
      </c>
      <c r="E1104" s="17">
        <v>485.16</v>
      </c>
      <c r="F1104" s="16">
        <v>0.1</v>
      </c>
      <c r="G1104" s="15" t="s">
        <v>32</v>
      </c>
      <c r="H1104" s="18">
        <v>-9.3199999999999932</v>
      </c>
      <c r="I1104" s="19">
        <v>34.58</v>
      </c>
      <c r="J1104" s="19">
        <v>8.99</v>
      </c>
      <c r="K1104" s="19" t="s">
        <v>69</v>
      </c>
      <c r="L1104" s="19" t="s">
        <v>75</v>
      </c>
      <c r="M1104" s="15" t="s">
        <v>75</v>
      </c>
      <c r="N1104" s="15" t="s">
        <v>36</v>
      </c>
      <c r="O1104" s="15" t="s">
        <v>77</v>
      </c>
      <c r="P1104" s="20" t="s">
        <v>241</v>
      </c>
      <c r="Q1104" s="15" t="s">
        <v>49</v>
      </c>
      <c r="R1104" s="4"/>
      <c r="S1104" s="4"/>
    </row>
    <row r="1105" spans="1:19" ht="21" customHeight="1" x14ac:dyDescent="0.25">
      <c r="A1105" s="14">
        <f>DATE(2012,12,31)-1155</f>
        <v>40119</v>
      </c>
      <c r="B1105" s="15" t="s">
        <v>1319</v>
      </c>
      <c r="C1105" s="15" t="s">
        <v>31</v>
      </c>
      <c r="D1105" s="16">
        <v>16</v>
      </c>
      <c r="E1105" s="17">
        <v>457.68</v>
      </c>
      <c r="F1105" s="16">
        <v>7.0000000000000007E-2</v>
      </c>
      <c r="G1105" s="15" t="s">
        <v>32</v>
      </c>
      <c r="H1105" s="18">
        <v>107.3805</v>
      </c>
      <c r="I1105" s="19">
        <v>29.17</v>
      </c>
      <c r="J1105" s="19">
        <v>6.27</v>
      </c>
      <c r="K1105" s="19" t="s">
        <v>69</v>
      </c>
      <c r="L1105" s="19" t="s">
        <v>70</v>
      </c>
      <c r="M1105" s="15" t="s">
        <v>1215</v>
      </c>
      <c r="N1105" s="15" t="s">
        <v>36</v>
      </c>
      <c r="O1105" s="15" t="s">
        <v>170</v>
      </c>
      <c r="P1105" s="20" t="s">
        <v>1063</v>
      </c>
      <c r="Q1105" s="15" t="s">
        <v>83</v>
      </c>
      <c r="R1105" s="4"/>
      <c r="S1105" s="4"/>
    </row>
    <row r="1106" spans="1:19" ht="21" customHeight="1" x14ac:dyDescent="0.25">
      <c r="A1106" s="14">
        <f>DATE(2012,12,31)-232</f>
        <v>41042</v>
      </c>
      <c r="B1106" s="15" t="s">
        <v>1320</v>
      </c>
      <c r="C1106" s="15" t="s">
        <v>85</v>
      </c>
      <c r="D1106" s="16">
        <v>15</v>
      </c>
      <c r="E1106" s="17">
        <v>66.33</v>
      </c>
      <c r="F1106" s="16">
        <v>0.03</v>
      </c>
      <c r="G1106" s="15" t="s">
        <v>32</v>
      </c>
      <c r="H1106" s="18">
        <v>-47.230499999999999</v>
      </c>
      <c r="I1106" s="19">
        <v>4.13</v>
      </c>
      <c r="J1106" s="19">
        <v>5.04</v>
      </c>
      <c r="K1106" s="19" t="s">
        <v>69</v>
      </c>
      <c r="L1106" s="19" t="s">
        <v>70</v>
      </c>
      <c r="M1106" s="15" t="s">
        <v>1215</v>
      </c>
      <c r="N1106" s="15" t="s">
        <v>36</v>
      </c>
      <c r="O1106" s="15" t="s">
        <v>170</v>
      </c>
      <c r="P1106" s="20" t="s">
        <v>519</v>
      </c>
      <c r="Q1106" s="15" t="s">
        <v>83</v>
      </c>
      <c r="R1106" s="4"/>
      <c r="S1106" s="4"/>
    </row>
    <row r="1107" spans="1:19" ht="21" customHeight="1" x14ac:dyDescent="0.25">
      <c r="A1107" s="14">
        <f>DATE(2012,12,31)-973</f>
        <v>40301</v>
      </c>
      <c r="B1107" s="15" t="s">
        <v>311</v>
      </c>
      <c r="C1107" s="15" t="s">
        <v>85</v>
      </c>
      <c r="D1107" s="16">
        <v>24</v>
      </c>
      <c r="E1107" s="17">
        <v>717.29</v>
      </c>
      <c r="F1107" s="16">
        <v>0.01</v>
      </c>
      <c r="G1107" s="15" t="s">
        <v>32</v>
      </c>
      <c r="H1107" s="18">
        <v>191.29</v>
      </c>
      <c r="I1107" s="19">
        <v>29.89</v>
      </c>
      <c r="J1107" s="19">
        <v>1.99</v>
      </c>
      <c r="K1107" s="19" t="s">
        <v>69</v>
      </c>
      <c r="L1107" s="19" t="s">
        <v>70</v>
      </c>
      <c r="M1107" s="15" t="s">
        <v>1215</v>
      </c>
      <c r="N1107" s="15" t="s">
        <v>64</v>
      </c>
      <c r="O1107" s="15" t="s">
        <v>72</v>
      </c>
      <c r="P1107" s="20" t="s">
        <v>825</v>
      </c>
      <c r="Q1107" s="15" t="s">
        <v>49</v>
      </c>
      <c r="R1107" s="4"/>
      <c r="S1107" s="4"/>
    </row>
    <row r="1108" spans="1:19" ht="21" customHeight="1" x14ac:dyDescent="0.25">
      <c r="A1108" s="14">
        <f>DATE(2012,12,31)-1327</f>
        <v>39947</v>
      </c>
      <c r="B1108" s="15" t="s">
        <v>1321</v>
      </c>
      <c r="C1108" s="15" t="s">
        <v>31</v>
      </c>
      <c r="D1108" s="16">
        <v>46</v>
      </c>
      <c r="E1108" s="17">
        <v>229.35</v>
      </c>
      <c r="F1108" s="16">
        <v>0.08</v>
      </c>
      <c r="G1108" s="15" t="s">
        <v>101</v>
      </c>
      <c r="H1108" s="18">
        <v>-165.45</v>
      </c>
      <c r="I1108" s="19">
        <v>4.8899999999999997</v>
      </c>
      <c r="J1108" s="19">
        <v>4.93</v>
      </c>
      <c r="K1108" s="19" t="s">
        <v>69</v>
      </c>
      <c r="L1108" s="19" t="s">
        <v>75</v>
      </c>
      <c r="M1108" s="15" t="s">
        <v>75</v>
      </c>
      <c r="N1108" s="15" t="s">
        <v>64</v>
      </c>
      <c r="O1108" s="15" t="s">
        <v>72</v>
      </c>
      <c r="P1108" s="20" t="s">
        <v>480</v>
      </c>
      <c r="Q1108" s="15" t="s">
        <v>49</v>
      </c>
      <c r="R1108" s="4"/>
      <c r="S1108" s="4"/>
    </row>
    <row r="1109" spans="1:19" ht="21" customHeight="1" x14ac:dyDescent="0.25">
      <c r="A1109" s="14">
        <f>DATE(2012,12,31)-1327</f>
        <v>39947</v>
      </c>
      <c r="B1109" s="15" t="s">
        <v>1321</v>
      </c>
      <c r="C1109" s="15" t="s">
        <v>31</v>
      </c>
      <c r="D1109" s="16">
        <v>45</v>
      </c>
      <c r="E1109" s="17">
        <v>294.86</v>
      </c>
      <c r="F1109" s="16">
        <v>7.0000000000000007E-2</v>
      </c>
      <c r="G1109" s="15" t="s">
        <v>32</v>
      </c>
      <c r="H1109" s="18">
        <v>-141.12</v>
      </c>
      <c r="I1109" s="19">
        <v>6.68</v>
      </c>
      <c r="J1109" s="19">
        <v>6.92</v>
      </c>
      <c r="K1109" s="19" t="s">
        <v>44</v>
      </c>
      <c r="L1109" s="19" t="s">
        <v>120</v>
      </c>
      <c r="M1109" s="15" t="s">
        <v>121</v>
      </c>
      <c r="N1109" s="15" t="s">
        <v>36</v>
      </c>
      <c r="O1109" s="15" t="s">
        <v>117</v>
      </c>
      <c r="P1109" s="20" t="s">
        <v>878</v>
      </c>
      <c r="Q1109" s="15" t="s">
        <v>83</v>
      </c>
      <c r="R1109" s="4"/>
      <c r="S1109" s="4"/>
    </row>
    <row r="1110" spans="1:19" ht="21" customHeight="1" x14ac:dyDescent="0.25">
      <c r="A1110" s="14">
        <f>DATE(2012,12,31)-674</f>
        <v>40600</v>
      </c>
      <c r="B1110" s="15" t="s">
        <v>1002</v>
      </c>
      <c r="C1110" s="15" t="s">
        <v>85</v>
      </c>
      <c r="D1110" s="16">
        <v>11</v>
      </c>
      <c r="E1110" s="17">
        <v>405.53</v>
      </c>
      <c r="F1110" s="16">
        <v>0.04</v>
      </c>
      <c r="G1110" s="15" t="s">
        <v>32</v>
      </c>
      <c r="H1110" s="18">
        <v>130.52000000000001</v>
      </c>
      <c r="I1110" s="19">
        <v>35.44</v>
      </c>
      <c r="J1110" s="19">
        <v>5.09</v>
      </c>
      <c r="K1110" s="19" t="s">
        <v>44</v>
      </c>
      <c r="L1110" s="19" t="s">
        <v>89</v>
      </c>
      <c r="M1110" s="15" t="s">
        <v>734</v>
      </c>
      <c r="N1110" s="15" t="s">
        <v>36</v>
      </c>
      <c r="O1110" s="15" t="s">
        <v>117</v>
      </c>
      <c r="P1110" s="20" t="s">
        <v>1298</v>
      </c>
      <c r="Q1110" s="15" t="s">
        <v>83</v>
      </c>
      <c r="R1110" s="4"/>
      <c r="S1110" s="4"/>
    </row>
    <row r="1111" spans="1:19" ht="21" customHeight="1" x14ac:dyDescent="0.25">
      <c r="A1111" s="14">
        <f>DATE(2012,12,31)-554</f>
        <v>40720</v>
      </c>
      <c r="B1111" s="15" t="s">
        <v>491</v>
      </c>
      <c r="C1111" s="15" t="s">
        <v>43</v>
      </c>
      <c r="D1111" s="16">
        <v>16</v>
      </c>
      <c r="E1111" s="17">
        <v>772.41200000000003</v>
      </c>
      <c r="F1111" s="16">
        <v>0.03</v>
      </c>
      <c r="G1111" s="15" t="s">
        <v>32</v>
      </c>
      <c r="H1111" s="18">
        <v>-184.69</v>
      </c>
      <c r="I1111" s="19">
        <v>55.99</v>
      </c>
      <c r="J1111" s="19">
        <v>5</v>
      </c>
      <c r="K1111" s="19" t="s">
        <v>44</v>
      </c>
      <c r="L1111" s="19" t="s">
        <v>120</v>
      </c>
      <c r="M1111" s="15" t="s">
        <v>121</v>
      </c>
      <c r="N1111" s="15" t="s">
        <v>64</v>
      </c>
      <c r="O1111" s="15" t="s">
        <v>65</v>
      </c>
      <c r="P1111" s="20" t="s">
        <v>975</v>
      </c>
      <c r="Q1111" s="15" t="s">
        <v>49</v>
      </c>
      <c r="R1111" s="4"/>
      <c r="S1111" s="4"/>
    </row>
    <row r="1112" spans="1:19" ht="21" customHeight="1" x14ac:dyDescent="0.25">
      <c r="A1112" s="14">
        <f>DATE(2012,12,31)-1307</f>
        <v>39967</v>
      </c>
      <c r="B1112" s="15" t="s">
        <v>1007</v>
      </c>
      <c r="C1112" s="15" t="s">
        <v>51</v>
      </c>
      <c r="D1112" s="16">
        <v>45</v>
      </c>
      <c r="E1112" s="17">
        <v>112.72</v>
      </c>
      <c r="F1112" s="16">
        <v>0.09</v>
      </c>
      <c r="G1112" s="15" t="s">
        <v>32</v>
      </c>
      <c r="H1112" s="18">
        <v>39.19</v>
      </c>
      <c r="I1112" s="19">
        <v>2.61</v>
      </c>
      <c r="J1112" s="19">
        <v>0.5</v>
      </c>
      <c r="K1112" s="19" t="s">
        <v>44</v>
      </c>
      <c r="L1112" s="19" t="s">
        <v>89</v>
      </c>
      <c r="M1112" s="15" t="s">
        <v>734</v>
      </c>
      <c r="N1112" s="15" t="s">
        <v>36</v>
      </c>
      <c r="O1112" s="15" t="s">
        <v>114</v>
      </c>
      <c r="P1112" s="20" t="s">
        <v>593</v>
      </c>
      <c r="Q1112" s="15" t="s">
        <v>83</v>
      </c>
      <c r="R1112" s="4"/>
      <c r="S1112" s="4"/>
    </row>
    <row r="1113" spans="1:19" ht="21" customHeight="1" x14ac:dyDescent="0.25">
      <c r="A1113" s="14">
        <f>DATE(2012,12,31)-1181</f>
        <v>40093</v>
      </c>
      <c r="B1113" s="15" t="s">
        <v>1142</v>
      </c>
      <c r="C1113" s="15" t="s">
        <v>85</v>
      </c>
      <c r="D1113" s="16">
        <v>25</v>
      </c>
      <c r="E1113" s="17">
        <v>670.39</v>
      </c>
      <c r="F1113" s="16">
        <v>0.03</v>
      </c>
      <c r="G1113" s="15" t="s">
        <v>32</v>
      </c>
      <c r="H1113" s="18">
        <v>-82.26</v>
      </c>
      <c r="I1113" s="19">
        <v>27.48</v>
      </c>
      <c r="J1113" s="19">
        <v>4</v>
      </c>
      <c r="K1113" s="19" t="s">
        <v>44</v>
      </c>
      <c r="L1113" s="19" t="s">
        <v>89</v>
      </c>
      <c r="M1113" s="15" t="s">
        <v>734</v>
      </c>
      <c r="N1113" s="15" t="s">
        <v>64</v>
      </c>
      <c r="O1113" s="15" t="s">
        <v>72</v>
      </c>
      <c r="P1113" s="20" t="s">
        <v>1322</v>
      </c>
      <c r="Q1113" s="15" t="s">
        <v>83</v>
      </c>
      <c r="R1113" s="4"/>
      <c r="S1113" s="4"/>
    </row>
    <row r="1114" spans="1:19" ht="21" customHeight="1" x14ac:dyDescent="0.25">
      <c r="A1114" s="14">
        <f>DATE(2012,12,31)-1181</f>
        <v>40093</v>
      </c>
      <c r="B1114" s="15" t="s">
        <v>1142</v>
      </c>
      <c r="C1114" s="15" t="s">
        <v>85</v>
      </c>
      <c r="D1114" s="16">
        <v>32</v>
      </c>
      <c r="E1114" s="17">
        <v>5618.4</v>
      </c>
      <c r="F1114" s="16">
        <v>0.1</v>
      </c>
      <c r="G1114" s="15" t="s">
        <v>32</v>
      </c>
      <c r="H1114" s="18">
        <v>1314.12</v>
      </c>
      <c r="I1114" s="19">
        <v>179.99</v>
      </c>
      <c r="J1114" s="19">
        <v>19.989999999999998</v>
      </c>
      <c r="K1114" s="19" t="s">
        <v>44</v>
      </c>
      <c r="L1114" s="19" t="s">
        <v>120</v>
      </c>
      <c r="M1114" s="15" t="s">
        <v>121</v>
      </c>
      <c r="N1114" s="15" t="s">
        <v>64</v>
      </c>
      <c r="O1114" s="15" t="s">
        <v>72</v>
      </c>
      <c r="P1114" s="20" t="s">
        <v>763</v>
      </c>
      <c r="Q1114" s="15" t="s">
        <v>83</v>
      </c>
      <c r="R1114" s="4"/>
      <c r="S1114" s="4"/>
    </row>
    <row r="1115" spans="1:19" ht="21" customHeight="1" x14ac:dyDescent="0.25">
      <c r="A1115" s="14">
        <f>DATE(2012,12,31)-1181</f>
        <v>40093</v>
      </c>
      <c r="B1115" s="15" t="s">
        <v>1142</v>
      </c>
      <c r="C1115" s="15" t="s">
        <v>85</v>
      </c>
      <c r="D1115" s="16">
        <v>42</v>
      </c>
      <c r="E1115" s="17">
        <v>5450.6</v>
      </c>
      <c r="F1115" s="16">
        <v>0.1</v>
      </c>
      <c r="G1115" s="15" t="s">
        <v>32</v>
      </c>
      <c r="H1115" s="18">
        <v>10.86</v>
      </c>
      <c r="I1115" s="19">
        <v>140.85</v>
      </c>
      <c r="J1115" s="19">
        <v>19.989999999999998</v>
      </c>
      <c r="K1115" s="19" t="s">
        <v>33</v>
      </c>
      <c r="L1115" s="19" t="s">
        <v>128</v>
      </c>
      <c r="M1115" s="15" t="s">
        <v>129</v>
      </c>
      <c r="N1115" s="15" t="s">
        <v>36</v>
      </c>
      <c r="O1115" s="15" t="s">
        <v>37</v>
      </c>
      <c r="P1115" s="20" t="s">
        <v>634</v>
      </c>
      <c r="Q1115" s="15" t="s">
        <v>83</v>
      </c>
      <c r="R1115" s="4"/>
      <c r="S1115" s="4"/>
    </row>
    <row r="1116" spans="1:19" ht="21" customHeight="1" x14ac:dyDescent="0.25">
      <c r="A1116" s="14">
        <f>DATE(2012,12,31)-1173</f>
        <v>40101</v>
      </c>
      <c r="B1116" s="15" t="s">
        <v>219</v>
      </c>
      <c r="C1116" s="15" t="s">
        <v>31</v>
      </c>
      <c r="D1116" s="16">
        <v>35</v>
      </c>
      <c r="E1116" s="17">
        <v>183.45</v>
      </c>
      <c r="F1116" s="16">
        <v>0.01</v>
      </c>
      <c r="G1116" s="15" t="s">
        <v>32</v>
      </c>
      <c r="H1116" s="18">
        <v>-149.66</v>
      </c>
      <c r="I1116" s="19">
        <v>4.9800000000000004</v>
      </c>
      <c r="J1116" s="19">
        <v>7.44</v>
      </c>
      <c r="K1116" s="19" t="s">
        <v>33</v>
      </c>
      <c r="L1116" s="19" t="s">
        <v>128</v>
      </c>
      <c r="M1116" s="15" t="s">
        <v>129</v>
      </c>
      <c r="N1116" s="15" t="s">
        <v>36</v>
      </c>
      <c r="O1116" s="15" t="s">
        <v>117</v>
      </c>
      <c r="P1116" s="20" t="s">
        <v>266</v>
      </c>
      <c r="Q1116" s="15" t="s">
        <v>83</v>
      </c>
      <c r="R1116" s="4"/>
      <c r="S1116" s="4"/>
    </row>
    <row r="1117" spans="1:19" ht="21" customHeight="1" x14ac:dyDescent="0.25">
      <c r="A1117" s="14">
        <f>DATE(2012,12,31)-149</f>
        <v>41125</v>
      </c>
      <c r="B1117" s="15" t="s">
        <v>1270</v>
      </c>
      <c r="C1117" s="15" t="s">
        <v>85</v>
      </c>
      <c r="D1117" s="16">
        <v>4</v>
      </c>
      <c r="E1117" s="17">
        <v>30.95</v>
      </c>
      <c r="F1117" s="16">
        <v>0.1</v>
      </c>
      <c r="G1117" s="15" t="s">
        <v>32</v>
      </c>
      <c r="H1117" s="18">
        <v>-16.48</v>
      </c>
      <c r="I1117" s="19">
        <v>6.48</v>
      </c>
      <c r="J1117" s="19">
        <v>6.22</v>
      </c>
      <c r="K1117" s="19" t="s">
        <v>97</v>
      </c>
      <c r="L1117" s="19" t="s">
        <v>98</v>
      </c>
      <c r="M1117" s="15" t="s">
        <v>1162</v>
      </c>
      <c r="N1117" s="15" t="s">
        <v>36</v>
      </c>
      <c r="O1117" s="15" t="s">
        <v>117</v>
      </c>
      <c r="P1117" s="20" t="s">
        <v>1323</v>
      </c>
      <c r="Q1117" s="15" t="s">
        <v>83</v>
      </c>
      <c r="R1117" s="4"/>
      <c r="S1117" s="4"/>
    </row>
    <row r="1118" spans="1:19" ht="21" customHeight="1" x14ac:dyDescent="0.25">
      <c r="A1118" s="14">
        <f>DATE(2012,12,31)-149</f>
        <v>41125</v>
      </c>
      <c r="B1118" s="15" t="s">
        <v>1270</v>
      </c>
      <c r="C1118" s="15" t="s">
        <v>85</v>
      </c>
      <c r="D1118" s="16">
        <v>48</v>
      </c>
      <c r="E1118" s="17">
        <v>1449.3009999999999</v>
      </c>
      <c r="F1118" s="16">
        <v>0.06</v>
      </c>
      <c r="G1118" s="15" t="s">
        <v>32</v>
      </c>
      <c r="H1118" s="18">
        <v>432.37800000000004</v>
      </c>
      <c r="I1118" s="19">
        <v>35.99</v>
      </c>
      <c r="J1118" s="19">
        <v>1.25</v>
      </c>
      <c r="K1118" s="19" t="s">
        <v>97</v>
      </c>
      <c r="L1118" s="19" t="s">
        <v>98</v>
      </c>
      <c r="M1118" s="15" t="s">
        <v>1162</v>
      </c>
      <c r="N1118" s="15" t="s">
        <v>64</v>
      </c>
      <c r="O1118" s="15" t="s">
        <v>65</v>
      </c>
      <c r="P1118" s="20" t="s">
        <v>680</v>
      </c>
      <c r="Q1118" s="15" t="s">
        <v>49</v>
      </c>
      <c r="R1118" s="4"/>
      <c r="S1118" s="4"/>
    </row>
    <row r="1119" spans="1:19" ht="21" customHeight="1" x14ac:dyDescent="0.25">
      <c r="A1119" s="14">
        <f>DATE(2012,12,31)-725</f>
        <v>40549</v>
      </c>
      <c r="B1119" s="15" t="s">
        <v>1172</v>
      </c>
      <c r="C1119" s="15" t="s">
        <v>85</v>
      </c>
      <c r="D1119" s="16">
        <v>5</v>
      </c>
      <c r="E1119" s="17">
        <v>51.3</v>
      </c>
      <c r="F1119" s="16">
        <v>0.05</v>
      </c>
      <c r="G1119" s="15" t="s">
        <v>101</v>
      </c>
      <c r="H1119" s="18">
        <v>-32.479999999999997</v>
      </c>
      <c r="I1119" s="19">
        <v>7.28</v>
      </c>
      <c r="J1119" s="19">
        <v>11.15</v>
      </c>
      <c r="K1119" s="19" t="s">
        <v>97</v>
      </c>
      <c r="L1119" s="19" t="s">
        <v>132</v>
      </c>
      <c r="M1119" s="15" t="s">
        <v>133</v>
      </c>
      <c r="N1119" s="15" t="s">
        <v>36</v>
      </c>
      <c r="O1119" s="15" t="s">
        <v>117</v>
      </c>
      <c r="P1119" s="20" t="s">
        <v>1324</v>
      </c>
      <c r="Q1119" s="15" t="s">
        <v>83</v>
      </c>
      <c r="R1119" s="4"/>
      <c r="S1119" s="4"/>
    </row>
    <row r="1120" spans="1:19" ht="21" customHeight="1" x14ac:dyDescent="0.25">
      <c r="A1120" s="14">
        <f>DATE(2012,12,31)-725</f>
        <v>40549</v>
      </c>
      <c r="B1120" s="15" t="s">
        <v>1172</v>
      </c>
      <c r="C1120" s="15" t="s">
        <v>85</v>
      </c>
      <c r="D1120" s="16">
        <v>1</v>
      </c>
      <c r="E1120" s="17">
        <v>8.48</v>
      </c>
      <c r="F1120" s="16">
        <v>0.1</v>
      </c>
      <c r="G1120" s="15" t="s">
        <v>32</v>
      </c>
      <c r="H1120" s="18">
        <v>-7.9</v>
      </c>
      <c r="I1120" s="19">
        <v>5.08</v>
      </c>
      <c r="J1120" s="19">
        <v>3.63</v>
      </c>
      <c r="K1120" s="19" t="s">
        <v>124</v>
      </c>
      <c r="L1120" s="19" t="s">
        <v>160</v>
      </c>
      <c r="M1120" s="15" t="s">
        <v>888</v>
      </c>
      <c r="N1120" s="15" t="s">
        <v>54</v>
      </c>
      <c r="O1120" s="15" t="s">
        <v>55</v>
      </c>
      <c r="P1120" s="20" t="s">
        <v>1325</v>
      </c>
      <c r="Q1120" s="15" t="s">
        <v>79</v>
      </c>
      <c r="R1120" s="4"/>
      <c r="S1120" s="4"/>
    </row>
    <row r="1121" spans="1:19" ht="21" customHeight="1" x14ac:dyDescent="0.25">
      <c r="A1121" s="14">
        <f>DATE(2012,12,31)-725</f>
        <v>40549</v>
      </c>
      <c r="B1121" s="15" t="s">
        <v>1172</v>
      </c>
      <c r="C1121" s="15" t="s">
        <v>85</v>
      </c>
      <c r="D1121" s="16">
        <v>26</v>
      </c>
      <c r="E1121" s="17">
        <v>87.52</v>
      </c>
      <c r="F1121" s="16">
        <v>0.03</v>
      </c>
      <c r="G1121" s="15" t="s">
        <v>32</v>
      </c>
      <c r="H1121" s="18">
        <v>-70.02</v>
      </c>
      <c r="I1121" s="19">
        <v>3.28</v>
      </c>
      <c r="J1121" s="19">
        <v>3.97</v>
      </c>
      <c r="K1121" s="19" t="s">
        <v>44</v>
      </c>
      <c r="L1121" s="19" t="s">
        <v>52</v>
      </c>
      <c r="M1121" s="15" t="s">
        <v>1300</v>
      </c>
      <c r="N1121" s="15" t="s">
        <v>36</v>
      </c>
      <c r="O1121" s="15" t="s">
        <v>77</v>
      </c>
      <c r="P1121" s="20" t="s">
        <v>1326</v>
      </c>
      <c r="Q1121" s="15" t="s">
        <v>79</v>
      </c>
      <c r="R1121" s="4"/>
      <c r="S1121" s="4"/>
    </row>
    <row r="1122" spans="1:19" ht="21" customHeight="1" x14ac:dyDescent="0.25">
      <c r="A1122" s="14">
        <f>DATE(2012,12,31)-328</f>
        <v>40946</v>
      </c>
      <c r="B1122" s="15" t="s">
        <v>1327</v>
      </c>
      <c r="C1122" s="15" t="s">
        <v>43</v>
      </c>
      <c r="D1122" s="16">
        <v>41</v>
      </c>
      <c r="E1122" s="17">
        <v>89.77</v>
      </c>
      <c r="F1122" s="16">
        <v>0.03</v>
      </c>
      <c r="G1122" s="15" t="s">
        <v>32</v>
      </c>
      <c r="H1122" s="18">
        <v>9.92</v>
      </c>
      <c r="I1122" s="19">
        <v>2.21</v>
      </c>
      <c r="J1122" s="19">
        <v>1</v>
      </c>
      <c r="K1122" s="19" t="s">
        <v>44</v>
      </c>
      <c r="L1122" s="19" t="s">
        <v>52</v>
      </c>
      <c r="M1122" s="15" t="s">
        <v>1300</v>
      </c>
      <c r="N1122" s="15" t="s">
        <v>36</v>
      </c>
      <c r="O1122" s="15" t="s">
        <v>77</v>
      </c>
      <c r="P1122" s="20" t="s">
        <v>211</v>
      </c>
      <c r="Q1122" s="15" t="s">
        <v>79</v>
      </c>
      <c r="R1122" s="4"/>
      <c r="S1122" s="4"/>
    </row>
    <row r="1123" spans="1:19" ht="21" customHeight="1" x14ac:dyDescent="0.25">
      <c r="A1123" s="14">
        <f>DATE(2012,12,31)-1086</f>
        <v>40188</v>
      </c>
      <c r="B1123" s="15" t="s">
        <v>794</v>
      </c>
      <c r="C1123" s="15" t="s">
        <v>43</v>
      </c>
      <c r="D1123" s="16">
        <v>32</v>
      </c>
      <c r="E1123" s="17">
        <v>162.25</v>
      </c>
      <c r="F1123" s="16">
        <v>0.05</v>
      </c>
      <c r="G1123" s="15" t="s">
        <v>101</v>
      </c>
      <c r="H1123" s="18">
        <v>-43.21</v>
      </c>
      <c r="I1123" s="19">
        <v>4.7699999999999996</v>
      </c>
      <c r="J1123" s="19">
        <v>2.39</v>
      </c>
      <c r="K1123" s="19" t="s">
        <v>44</v>
      </c>
      <c r="L1123" s="19" t="s">
        <v>52</v>
      </c>
      <c r="M1123" s="15" t="s">
        <v>1300</v>
      </c>
      <c r="N1123" s="15" t="s">
        <v>64</v>
      </c>
      <c r="O1123" s="15" t="s">
        <v>72</v>
      </c>
      <c r="P1123" s="20" t="s">
        <v>1328</v>
      </c>
      <c r="Q1123" s="15" t="s">
        <v>49</v>
      </c>
      <c r="R1123" s="4"/>
      <c r="S1123" s="4"/>
    </row>
    <row r="1124" spans="1:19" ht="21" customHeight="1" x14ac:dyDescent="0.25">
      <c r="A1124" s="14">
        <f>DATE(2012,12,31)-1120</f>
        <v>40154</v>
      </c>
      <c r="B1124" s="15" t="s">
        <v>1329</v>
      </c>
      <c r="C1124" s="15" t="s">
        <v>85</v>
      </c>
      <c r="D1124" s="16">
        <v>7</v>
      </c>
      <c r="E1124" s="17">
        <v>3565.27</v>
      </c>
      <c r="F1124" s="16">
        <v>0.04</v>
      </c>
      <c r="G1124" s="15" t="s">
        <v>58</v>
      </c>
      <c r="H1124" s="18">
        <v>-502.80780000000004</v>
      </c>
      <c r="I1124" s="19">
        <v>510.14</v>
      </c>
      <c r="J1124" s="19">
        <v>14.7</v>
      </c>
      <c r="K1124" s="19" t="s">
        <v>44</v>
      </c>
      <c r="L1124" s="19" t="s">
        <v>80</v>
      </c>
      <c r="M1124" s="15" t="s">
        <v>1200</v>
      </c>
      <c r="N1124" s="15" t="s">
        <v>64</v>
      </c>
      <c r="O1124" s="15" t="s">
        <v>122</v>
      </c>
      <c r="P1124" s="20" t="s">
        <v>1330</v>
      </c>
      <c r="Q1124" s="15" t="s">
        <v>181</v>
      </c>
      <c r="R1124" s="4"/>
      <c r="S1124" s="4"/>
    </row>
    <row r="1125" spans="1:19" ht="21" customHeight="1" x14ac:dyDescent="0.25">
      <c r="A1125" s="14">
        <f>DATE(2012,12,31)-1120</f>
        <v>40154</v>
      </c>
      <c r="B1125" s="15" t="s">
        <v>1329</v>
      </c>
      <c r="C1125" s="15" t="s">
        <v>85</v>
      </c>
      <c r="D1125" s="16">
        <v>50</v>
      </c>
      <c r="E1125" s="17">
        <v>241.01</v>
      </c>
      <c r="F1125" s="16">
        <v>0</v>
      </c>
      <c r="G1125" s="15" t="s">
        <v>32</v>
      </c>
      <c r="H1125" s="18">
        <v>-4.6900000000000004</v>
      </c>
      <c r="I1125" s="19">
        <v>4.76</v>
      </c>
      <c r="J1125" s="19">
        <v>3.01</v>
      </c>
      <c r="K1125" s="19" t="s">
        <v>44</v>
      </c>
      <c r="L1125" s="19" t="s">
        <v>52</v>
      </c>
      <c r="M1125" s="15" t="s">
        <v>1300</v>
      </c>
      <c r="N1125" s="15" t="s">
        <v>36</v>
      </c>
      <c r="O1125" s="15" t="s">
        <v>117</v>
      </c>
      <c r="P1125" s="20" t="s">
        <v>1331</v>
      </c>
      <c r="Q1125" s="15" t="s">
        <v>79</v>
      </c>
      <c r="R1125" s="4"/>
      <c r="S1125" s="4"/>
    </row>
    <row r="1126" spans="1:19" ht="21" customHeight="1" x14ac:dyDescent="0.25">
      <c r="A1126" s="14">
        <f>DATE(2012,12,31)-74</f>
        <v>41200</v>
      </c>
      <c r="B1126" s="15" t="s">
        <v>116</v>
      </c>
      <c r="C1126" s="15" t="s">
        <v>85</v>
      </c>
      <c r="D1126" s="16">
        <v>27</v>
      </c>
      <c r="E1126" s="17">
        <v>79.44</v>
      </c>
      <c r="F1126" s="16">
        <v>0.06</v>
      </c>
      <c r="G1126" s="15" t="s">
        <v>32</v>
      </c>
      <c r="H1126" s="18">
        <v>29.85</v>
      </c>
      <c r="I1126" s="19">
        <v>2.88</v>
      </c>
      <c r="J1126" s="19">
        <v>0.5</v>
      </c>
      <c r="K1126" s="19" t="s">
        <v>44</v>
      </c>
      <c r="L1126" s="19" t="s">
        <v>236</v>
      </c>
      <c r="M1126" s="15" t="s">
        <v>237</v>
      </c>
      <c r="N1126" s="15" t="s">
        <v>36</v>
      </c>
      <c r="O1126" s="15" t="s">
        <v>114</v>
      </c>
      <c r="P1126" s="20" t="s">
        <v>1140</v>
      </c>
      <c r="Q1126" s="15" t="s">
        <v>83</v>
      </c>
      <c r="R1126" s="4"/>
      <c r="S1126" s="4"/>
    </row>
    <row r="1127" spans="1:19" ht="21" customHeight="1" x14ac:dyDescent="0.25">
      <c r="A1127" s="14">
        <f>DATE(2012,12,31)-74</f>
        <v>41200</v>
      </c>
      <c r="B1127" s="15" t="s">
        <v>116</v>
      </c>
      <c r="C1127" s="15" t="s">
        <v>85</v>
      </c>
      <c r="D1127" s="16">
        <v>5</v>
      </c>
      <c r="E1127" s="17">
        <v>110.03</v>
      </c>
      <c r="F1127" s="16">
        <v>0.06</v>
      </c>
      <c r="G1127" s="15" t="s">
        <v>32</v>
      </c>
      <c r="H1127" s="18">
        <v>-31.33</v>
      </c>
      <c r="I1127" s="19">
        <v>19.98</v>
      </c>
      <c r="J1127" s="19">
        <v>10.49</v>
      </c>
      <c r="K1127" s="19" t="s">
        <v>44</v>
      </c>
      <c r="L1127" s="19" t="s">
        <v>52</v>
      </c>
      <c r="M1127" s="15" t="s">
        <v>1300</v>
      </c>
      <c r="N1127" s="15" t="s">
        <v>54</v>
      </c>
      <c r="O1127" s="15" t="s">
        <v>55</v>
      </c>
      <c r="P1127" s="20" t="s">
        <v>889</v>
      </c>
      <c r="Q1127" s="15" t="s">
        <v>83</v>
      </c>
      <c r="R1127" s="4"/>
      <c r="S1127" s="4"/>
    </row>
    <row r="1128" spans="1:19" ht="21" customHeight="1" x14ac:dyDescent="0.25">
      <c r="A1128" s="14">
        <f>DATE(2012,12,31)-1380</f>
        <v>39894</v>
      </c>
      <c r="B1128" s="15" t="s">
        <v>1100</v>
      </c>
      <c r="C1128" s="15" t="s">
        <v>31</v>
      </c>
      <c r="D1128" s="16">
        <v>5</v>
      </c>
      <c r="E1128" s="17">
        <v>7486.09</v>
      </c>
      <c r="F1128" s="16">
        <v>0.05</v>
      </c>
      <c r="G1128" s="15" t="s">
        <v>58</v>
      </c>
      <c r="H1128" s="18">
        <v>-2561.3235</v>
      </c>
      <c r="I1128" s="19">
        <v>1500.97</v>
      </c>
      <c r="J1128" s="19">
        <v>29.7</v>
      </c>
      <c r="K1128" s="19" t="s">
        <v>44</v>
      </c>
      <c r="L1128" s="19" t="s">
        <v>52</v>
      </c>
      <c r="M1128" s="15" t="s">
        <v>1300</v>
      </c>
      <c r="N1128" s="15" t="s">
        <v>64</v>
      </c>
      <c r="O1128" s="15" t="s">
        <v>122</v>
      </c>
      <c r="P1128" s="20" t="s">
        <v>1332</v>
      </c>
      <c r="Q1128" s="15" t="s">
        <v>181</v>
      </c>
      <c r="R1128" s="4"/>
      <c r="S1128" s="4"/>
    </row>
    <row r="1129" spans="1:19" ht="21" customHeight="1" x14ac:dyDescent="0.25">
      <c r="A1129" s="14">
        <f>DATE(2012,12,31)-1380</f>
        <v>39894</v>
      </c>
      <c r="B1129" s="15" t="s">
        <v>1100</v>
      </c>
      <c r="C1129" s="15" t="s">
        <v>31</v>
      </c>
      <c r="D1129" s="16">
        <v>18</v>
      </c>
      <c r="E1129" s="17">
        <v>881.32</v>
      </c>
      <c r="F1129" s="16">
        <v>0.02</v>
      </c>
      <c r="G1129" s="15" t="s">
        <v>32</v>
      </c>
      <c r="H1129" s="18">
        <v>373.67</v>
      </c>
      <c r="I1129" s="19">
        <v>48.04</v>
      </c>
      <c r="J1129" s="19">
        <v>5.09</v>
      </c>
      <c r="K1129" s="19" t="s">
        <v>44</v>
      </c>
      <c r="L1129" s="19" t="s">
        <v>52</v>
      </c>
      <c r="M1129" s="15" t="s">
        <v>1300</v>
      </c>
      <c r="N1129" s="15" t="s">
        <v>36</v>
      </c>
      <c r="O1129" s="15" t="s">
        <v>117</v>
      </c>
      <c r="P1129" s="20" t="s">
        <v>1267</v>
      </c>
      <c r="Q1129" s="15" t="s">
        <v>83</v>
      </c>
      <c r="R1129" s="4"/>
      <c r="S1129" s="4"/>
    </row>
    <row r="1130" spans="1:19" ht="21" customHeight="1" x14ac:dyDescent="0.25">
      <c r="A1130" s="14">
        <f>DATE(2012,12,31)-1380</f>
        <v>39894</v>
      </c>
      <c r="B1130" s="15" t="s">
        <v>1100</v>
      </c>
      <c r="C1130" s="15" t="s">
        <v>31</v>
      </c>
      <c r="D1130" s="16">
        <v>5</v>
      </c>
      <c r="E1130" s="17">
        <v>22.77</v>
      </c>
      <c r="F1130" s="16">
        <v>0.03</v>
      </c>
      <c r="G1130" s="15" t="s">
        <v>32</v>
      </c>
      <c r="H1130" s="18">
        <v>-6.2</v>
      </c>
      <c r="I1130" s="19">
        <v>4.28</v>
      </c>
      <c r="J1130" s="19">
        <v>1.6</v>
      </c>
      <c r="K1130" s="19" t="s">
        <v>44</v>
      </c>
      <c r="L1130" s="19" t="s">
        <v>52</v>
      </c>
      <c r="M1130" s="15" t="s">
        <v>1300</v>
      </c>
      <c r="N1130" s="15" t="s">
        <v>36</v>
      </c>
      <c r="O1130" s="15" t="s">
        <v>77</v>
      </c>
      <c r="P1130" s="20" t="s">
        <v>1333</v>
      </c>
      <c r="Q1130" s="15" t="s">
        <v>79</v>
      </c>
      <c r="R1130" s="4"/>
      <c r="S1130" s="4"/>
    </row>
    <row r="1131" spans="1:19" ht="21" customHeight="1" x14ac:dyDescent="0.25">
      <c r="A1131" s="14">
        <f>DATE(2012,12,31)-1401</f>
        <v>39873</v>
      </c>
      <c r="B1131" s="15" t="s">
        <v>777</v>
      </c>
      <c r="C1131" s="15" t="s">
        <v>51</v>
      </c>
      <c r="D1131" s="16">
        <v>37</v>
      </c>
      <c r="E1131" s="17">
        <v>434.77</v>
      </c>
      <c r="F1131" s="16">
        <v>0.02</v>
      </c>
      <c r="G1131" s="15" t="s">
        <v>32</v>
      </c>
      <c r="H1131" s="18">
        <v>-155.21</v>
      </c>
      <c r="I1131" s="19">
        <v>11.34</v>
      </c>
      <c r="J1131" s="19">
        <v>11.25</v>
      </c>
      <c r="K1131" s="19" t="s">
        <v>44</v>
      </c>
      <c r="L1131" s="19" t="s">
        <v>45</v>
      </c>
      <c r="M1131" s="15" t="s">
        <v>1264</v>
      </c>
      <c r="N1131" s="15" t="s">
        <v>36</v>
      </c>
      <c r="O1131" s="15" t="s">
        <v>117</v>
      </c>
      <c r="P1131" s="20" t="s">
        <v>661</v>
      </c>
      <c r="Q1131" s="15" t="s">
        <v>83</v>
      </c>
      <c r="R1131" s="4"/>
      <c r="S1131" s="4"/>
    </row>
    <row r="1132" spans="1:19" ht="21" customHeight="1" x14ac:dyDescent="0.25">
      <c r="A1132" s="14">
        <f>DATE(2012,12,31)-1353</f>
        <v>39921</v>
      </c>
      <c r="B1132" s="15" t="s">
        <v>163</v>
      </c>
      <c r="C1132" s="15" t="s">
        <v>85</v>
      </c>
      <c r="D1132" s="16">
        <v>25</v>
      </c>
      <c r="E1132" s="17">
        <v>2130.2199999999998</v>
      </c>
      <c r="F1132" s="16">
        <v>0.09</v>
      </c>
      <c r="G1132" s="15" t="s">
        <v>58</v>
      </c>
      <c r="H1132" s="18">
        <v>-584.6</v>
      </c>
      <c r="I1132" s="19">
        <v>89.99</v>
      </c>
      <c r="J1132" s="19">
        <v>42</v>
      </c>
      <c r="K1132" s="19" t="s">
        <v>44</v>
      </c>
      <c r="L1132" s="19" t="s">
        <v>52</v>
      </c>
      <c r="M1132" s="15" t="s">
        <v>1300</v>
      </c>
      <c r="N1132" s="15" t="s">
        <v>54</v>
      </c>
      <c r="O1132" s="15" t="s">
        <v>252</v>
      </c>
      <c r="P1132" s="20" t="s">
        <v>848</v>
      </c>
      <c r="Q1132" s="15" t="s">
        <v>181</v>
      </c>
      <c r="R1132" s="4"/>
      <c r="S1132" s="4"/>
    </row>
    <row r="1133" spans="1:19" ht="21" customHeight="1" x14ac:dyDescent="0.25">
      <c r="A1133" s="14">
        <f>DATE(2012,12,31)-602</f>
        <v>40672</v>
      </c>
      <c r="B1133" s="15" t="s">
        <v>1334</v>
      </c>
      <c r="C1133" s="15" t="s">
        <v>85</v>
      </c>
      <c r="D1133" s="16">
        <v>22</v>
      </c>
      <c r="E1133" s="17">
        <v>1337.81</v>
      </c>
      <c r="F1133" s="16">
        <v>0.02</v>
      </c>
      <c r="G1133" s="15" t="s">
        <v>32</v>
      </c>
      <c r="H1133" s="18">
        <v>407.11599999999999</v>
      </c>
      <c r="I1133" s="19">
        <v>59.78</v>
      </c>
      <c r="J1133" s="19">
        <v>10.29</v>
      </c>
      <c r="K1133" s="19" t="s">
        <v>69</v>
      </c>
      <c r="L1133" s="19" t="s">
        <v>70</v>
      </c>
      <c r="M1133" s="15" t="s">
        <v>1215</v>
      </c>
      <c r="N1133" s="15" t="s">
        <v>36</v>
      </c>
      <c r="O1133" s="15" t="s">
        <v>170</v>
      </c>
      <c r="P1133" s="20" t="s">
        <v>1335</v>
      </c>
      <c r="Q1133" s="15" t="s">
        <v>83</v>
      </c>
      <c r="R1133" s="4"/>
      <c r="S1133" s="4"/>
    </row>
    <row r="1134" spans="1:19" ht="21" customHeight="1" x14ac:dyDescent="0.25">
      <c r="A1134" s="14">
        <f>DATE(2012,12,31)-64</f>
        <v>41210</v>
      </c>
      <c r="B1134" s="15" t="s">
        <v>1260</v>
      </c>
      <c r="C1134" s="15" t="s">
        <v>31</v>
      </c>
      <c r="D1134" s="16">
        <v>38</v>
      </c>
      <c r="E1134" s="17">
        <v>572.74</v>
      </c>
      <c r="F1134" s="16">
        <v>0</v>
      </c>
      <c r="G1134" s="15" t="s">
        <v>32</v>
      </c>
      <c r="H1134" s="18">
        <v>53.311999999999998</v>
      </c>
      <c r="I1134" s="19">
        <v>14.45</v>
      </c>
      <c r="J1134" s="19">
        <v>7.17</v>
      </c>
      <c r="K1134" s="19" t="s">
        <v>44</v>
      </c>
      <c r="L1134" s="19" t="s">
        <v>52</v>
      </c>
      <c r="M1134" s="15" t="s">
        <v>1300</v>
      </c>
      <c r="N1134" s="15" t="s">
        <v>36</v>
      </c>
      <c r="O1134" s="15" t="s">
        <v>170</v>
      </c>
      <c r="P1134" s="20" t="s">
        <v>1252</v>
      </c>
      <c r="Q1134" s="15" t="s">
        <v>83</v>
      </c>
      <c r="R1134" s="4"/>
      <c r="S1134" s="4"/>
    </row>
    <row r="1135" spans="1:19" ht="21" customHeight="1" x14ac:dyDescent="0.25">
      <c r="A1135" s="14">
        <f>DATE(2012,12,31)-1118</f>
        <v>40156</v>
      </c>
      <c r="B1135" s="15" t="s">
        <v>1329</v>
      </c>
      <c r="C1135" s="15" t="s">
        <v>85</v>
      </c>
      <c r="D1135" s="16">
        <v>32</v>
      </c>
      <c r="E1135" s="17">
        <v>209.02</v>
      </c>
      <c r="F1135" s="16">
        <v>0.04</v>
      </c>
      <c r="G1135" s="15" t="s">
        <v>32</v>
      </c>
      <c r="H1135" s="18">
        <v>101.8</v>
      </c>
      <c r="I1135" s="19">
        <v>6.3</v>
      </c>
      <c r="J1135" s="19">
        <v>0.5</v>
      </c>
      <c r="K1135" s="19" t="s">
        <v>69</v>
      </c>
      <c r="L1135" s="19" t="s">
        <v>70</v>
      </c>
      <c r="M1135" s="15" t="s">
        <v>1215</v>
      </c>
      <c r="N1135" s="15" t="s">
        <v>36</v>
      </c>
      <c r="O1135" s="15" t="s">
        <v>114</v>
      </c>
      <c r="P1135" s="20" t="s">
        <v>703</v>
      </c>
      <c r="Q1135" s="15" t="s">
        <v>83</v>
      </c>
      <c r="R1135" s="4"/>
      <c r="S1135" s="4"/>
    </row>
    <row r="1136" spans="1:19" ht="21" customHeight="1" x14ac:dyDescent="0.25">
      <c r="A1136" s="14">
        <f>DATE(2012,12,31)-1064</f>
        <v>40210</v>
      </c>
      <c r="B1136" s="15" t="s">
        <v>1119</v>
      </c>
      <c r="C1136" s="15" t="s">
        <v>43</v>
      </c>
      <c r="D1136" s="16">
        <v>18</v>
      </c>
      <c r="E1136" s="17">
        <v>299.87</v>
      </c>
      <c r="F1136" s="16">
        <v>0.02</v>
      </c>
      <c r="G1136" s="15" t="s">
        <v>32</v>
      </c>
      <c r="H1136" s="18">
        <v>130.04</v>
      </c>
      <c r="I1136" s="19">
        <v>15.74</v>
      </c>
      <c r="J1136" s="19">
        <v>1.39</v>
      </c>
      <c r="K1136" s="19" t="s">
        <v>97</v>
      </c>
      <c r="L1136" s="19" t="s">
        <v>98</v>
      </c>
      <c r="M1136" s="15" t="s">
        <v>1162</v>
      </c>
      <c r="N1136" s="15" t="s">
        <v>36</v>
      </c>
      <c r="O1136" s="15" t="s">
        <v>189</v>
      </c>
      <c r="P1136" s="20" t="s">
        <v>377</v>
      </c>
      <c r="Q1136" s="15" t="s">
        <v>83</v>
      </c>
      <c r="R1136" s="4"/>
      <c r="S1136" s="4"/>
    </row>
    <row r="1137" spans="1:19" ht="21" customHeight="1" x14ac:dyDescent="0.25">
      <c r="A1137" s="14">
        <f>DATE(2012,12,31)-143</f>
        <v>41131</v>
      </c>
      <c r="B1137" s="15" t="s">
        <v>1336</v>
      </c>
      <c r="C1137" s="15" t="s">
        <v>31</v>
      </c>
      <c r="D1137" s="16">
        <v>22</v>
      </c>
      <c r="E1137" s="17">
        <v>75.03</v>
      </c>
      <c r="F1137" s="16">
        <v>0.02</v>
      </c>
      <c r="G1137" s="15" t="s">
        <v>32</v>
      </c>
      <c r="H1137" s="18">
        <v>-31.52</v>
      </c>
      <c r="I1137" s="19">
        <v>3.14</v>
      </c>
      <c r="J1137" s="19">
        <v>1.92</v>
      </c>
      <c r="K1137" s="19" t="s">
        <v>44</v>
      </c>
      <c r="L1137" s="19" t="s">
        <v>52</v>
      </c>
      <c r="M1137" s="15" t="s">
        <v>1300</v>
      </c>
      <c r="N1137" s="15" t="s">
        <v>36</v>
      </c>
      <c r="O1137" s="15" t="s">
        <v>47</v>
      </c>
      <c r="P1137" s="20" t="s">
        <v>148</v>
      </c>
      <c r="Q1137" s="15" t="s">
        <v>79</v>
      </c>
      <c r="R1137" s="4"/>
      <c r="S1137" s="4"/>
    </row>
    <row r="1138" spans="1:19" ht="21" customHeight="1" x14ac:dyDescent="0.25">
      <c r="A1138" s="14">
        <f>DATE(2012,12,31)-143</f>
        <v>41131</v>
      </c>
      <c r="B1138" s="15" t="s">
        <v>1336</v>
      </c>
      <c r="C1138" s="15" t="s">
        <v>31</v>
      </c>
      <c r="D1138" s="16">
        <v>50</v>
      </c>
      <c r="E1138" s="17">
        <v>1497.7594999999999</v>
      </c>
      <c r="F1138" s="16">
        <v>0.04</v>
      </c>
      <c r="G1138" s="15" t="s">
        <v>32</v>
      </c>
      <c r="H1138" s="18">
        <v>483.66</v>
      </c>
      <c r="I1138" s="19">
        <v>35.99</v>
      </c>
      <c r="J1138" s="19">
        <v>1.1000000000000001</v>
      </c>
      <c r="K1138" s="19" t="s">
        <v>69</v>
      </c>
      <c r="L1138" s="19" t="s">
        <v>70</v>
      </c>
      <c r="M1138" s="15" t="s">
        <v>1337</v>
      </c>
      <c r="N1138" s="15" t="s">
        <v>64</v>
      </c>
      <c r="O1138" s="15" t="s">
        <v>65</v>
      </c>
      <c r="P1138" s="20" t="s">
        <v>501</v>
      </c>
      <c r="Q1138" s="15" t="s">
        <v>83</v>
      </c>
      <c r="R1138" s="4"/>
      <c r="S1138" s="4"/>
    </row>
    <row r="1139" spans="1:19" ht="21" customHeight="1" x14ac:dyDescent="0.25">
      <c r="A1139" s="14">
        <f>DATE(2012,12,31)-194</f>
        <v>41080</v>
      </c>
      <c r="B1139" s="15" t="s">
        <v>1338</v>
      </c>
      <c r="C1139" s="15" t="s">
        <v>85</v>
      </c>
      <c r="D1139" s="16">
        <v>28</v>
      </c>
      <c r="E1139" s="17">
        <v>197.57399999999998</v>
      </c>
      <c r="F1139" s="16">
        <v>0.05</v>
      </c>
      <c r="G1139" s="15" t="s">
        <v>32</v>
      </c>
      <c r="H1139" s="18">
        <v>-90.837999999999994</v>
      </c>
      <c r="I1139" s="19">
        <v>7.99</v>
      </c>
      <c r="J1139" s="19">
        <v>5.03</v>
      </c>
      <c r="K1139" s="19" t="s">
        <v>69</v>
      </c>
      <c r="L1139" s="19" t="s">
        <v>70</v>
      </c>
      <c r="M1139" s="15" t="s">
        <v>1337</v>
      </c>
      <c r="N1139" s="15" t="s">
        <v>64</v>
      </c>
      <c r="O1139" s="15" t="s">
        <v>65</v>
      </c>
      <c r="P1139" s="20" t="s">
        <v>66</v>
      </c>
      <c r="Q1139" s="15" t="s">
        <v>57</v>
      </c>
      <c r="R1139" s="4"/>
      <c r="S1139" s="4"/>
    </row>
    <row r="1140" spans="1:19" ht="21" customHeight="1" x14ac:dyDescent="0.25">
      <c r="A1140" s="14">
        <f>DATE(2012,12,31)-1370</f>
        <v>39904</v>
      </c>
      <c r="B1140" s="15" t="s">
        <v>1339</v>
      </c>
      <c r="C1140" s="15" t="s">
        <v>51</v>
      </c>
      <c r="D1140" s="16">
        <v>30</v>
      </c>
      <c r="E1140" s="17">
        <v>835.15049999999997</v>
      </c>
      <c r="F1140" s="16">
        <v>0.09</v>
      </c>
      <c r="G1140" s="15" t="s">
        <v>32</v>
      </c>
      <c r="H1140" s="18">
        <v>158.17500000000001</v>
      </c>
      <c r="I1140" s="19">
        <v>35.99</v>
      </c>
      <c r="J1140" s="19">
        <v>1.1000000000000001</v>
      </c>
      <c r="K1140" s="19" t="s">
        <v>69</v>
      </c>
      <c r="L1140" s="19" t="s">
        <v>215</v>
      </c>
      <c r="M1140" s="15" t="s">
        <v>1133</v>
      </c>
      <c r="N1140" s="15" t="s">
        <v>64</v>
      </c>
      <c r="O1140" s="15" t="s">
        <v>65</v>
      </c>
      <c r="P1140" s="20" t="s">
        <v>501</v>
      </c>
      <c r="Q1140" s="15" t="s">
        <v>83</v>
      </c>
      <c r="R1140" s="4"/>
      <c r="S1140" s="4"/>
    </row>
    <row r="1141" spans="1:19" ht="21" customHeight="1" x14ac:dyDescent="0.25">
      <c r="A1141" s="14">
        <f>DATE(2012,12,31)-1370</f>
        <v>39904</v>
      </c>
      <c r="B1141" s="15" t="s">
        <v>1339</v>
      </c>
      <c r="C1141" s="15" t="s">
        <v>51</v>
      </c>
      <c r="D1141" s="16">
        <v>7</v>
      </c>
      <c r="E1141" s="17">
        <v>771.83399999999995</v>
      </c>
      <c r="F1141" s="16">
        <v>0.01</v>
      </c>
      <c r="G1141" s="15" t="s">
        <v>32</v>
      </c>
      <c r="H1141" s="18">
        <v>-295.42700000000002</v>
      </c>
      <c r="I1141" s="19">
        <v>125.99</v>
      </c>
      <c r="J1141" s="19">
        <v>2.5</v>
      </c>
      <c r="K1141" s="19" t="s">
        <v>44</v>
      </c>
      <c r="L1141" s="19" t="s">
        <v>120</v>
      </c>
      <c r="M1141" s="15" t="s">
        <v>121</v>
      </c>
      <c r="N1141" s="15" t="s">
        <v>64</v>
      </c>
      <c r="O1141" s="15" t="s">
        <v>65</v>
      </c>
      <c r="P1141" s="20" t="s">
        <v>1340</v>
      </c>
      <c r="Q1141" s="15" t="s">
        <v>83</v>
      </c>
      <c r="R1141" s="4"/>
      <c r="S1141" s="4"/>
    </row>
    <row r="1142" spans="1:19" ht="21" customHeight="1" x14ac:dyDescent="0.25">
      <c r="A1142" s="14">
        <f>DATE(2012,12,31)-1199</f>
        <v>40075</v>
      </c>
      <c r="B1142" s="15" t="s">
        <v>406</v>
      </c>
      <c r="C1142" s="15" t="s">
        <v>43</v>
      </c>
      <c r="D1142" s="16">
        <v>22</v>
      </c>
      <c r="E1142" s="17">
        <v>150.34</v>
      </c>
      <c r="F1142" s="16">
        <v>0.06</v>
      </c>
      <c r="G1142" s="15" t="s">
        <v>101</v>
      </c>
      <c r="H1142" s="18">
        <v>-28.45</v>
      </c>
      <c r="I1142" s="19">
        <v>6.48</v>
      </c>
      <c r="J1142" s="19">
        <v>5.14</v>
      </c>
      <c r="K1142" s="19" t="s">
        <v>44</v>
      </c>
      <c r="L1142" s="19" t="s">
        <v>89</v>
      </c>
      <c r="M1142" s="15" t="s">
        <v>1341</v>
      </c>
      <c r="N1142" s="15" t="s">
        <v>36</v>
      </c>
      <c r="O1142" s="15" t="s">
        <v>117</v>
      </c>
      <c r="P1142" s="20" t="s">
        <v>302</v>
      </c>
      <c r="Q1142" s="15" t="s">
        <v>83</v>
      </c>
      <c r="R1142" s="4"/>
      <c r="S1142" s="4"/>
    </row>
    <row r="1143" spans="1:19" ht="21" customHeight="1" x14ac:dyDescent="0.25">
      <c r="A1143" s="14">
        <f>DATE(2012,12,31)-1199</f>
        <v>40075</v>
      </c>
      <c r="B1143" s="15" t="s">
        <v>406</v>
      </c>
      <c r="C1143" s="15" t="s">
        <v>43</v>
      </c>
      <c r="D1143" s="16">
        <v>35</v>
      </c>
      <c r="E1143" s="17">
        <v>1142.3599999999999</v>
      </c>
      <c r="F1143" s="16">
        <v>0.02</v>
      </c>
      <c r="G1143" s="15" t="s">
        <v>32</v>
      </c>
      <c r="H1143" s="18">
        <v>72.78</v>
      </c>
      <c r="I1143" s="19">
        <v>30.73</v>
      </c>
      <c r="J1143" s="19">
        <v>4</v>
      </c>
      <c r="K1143" s="19" t="s">
        <v>124</v>
      </c>
      <c r="L1143" s="19" t="s">
        <v>164</v>
      </c>
      <c r="M1143" s="15" t="s">
        <v>1228</v>
      </c>
      <c r="N1143" s="15" t="s">
        <v>64</v>
      </c>
      <c r="O1143" s="15" t="s">
        <v>72</v>
      </c>
      <c r="P1143" s="20" t="s">
        <v>971</v>
      </c>
      <c r="Q1143" s="15" t="s">
        <v>83</v>
      </c>
      <c r="R1143" s="4"/>
      <c r="S1143" s="4"/>
    </row>
    <row r="1144" spans="1:19" ht="21" customHeight="1" x14ac:dyDescent="0.25">
      <c r="A1144" s="14">
        <f>DATE(2012,12,31)-482</f>
        <v>40792</v>
      </c>
      <c r="B1144" s="15" t="s">
        <v>367</v>
      </c>
      <c r="C1144" s="15" t="s">
        <v>51</v>
      </c>
      <c r="D1144" s="16">
        <v>45</v>
      </c>
      <c r="E1144" s="17">
        <v>766.96349999999995</v>
      </c>
      <c r="F1144" s="16">
        <v>0.05</v>
      </c>
      <c r="G1144" s="15" t="s">
        <v>101</v>
      </c>
      <c r="H1144" s="18">
        <v>-88.253</v>
      </c>
      <c r="I1144" s="19">
        <v>20.99</v>
      </c>
      <c r="J1144" s="19">
        <v>2.5</v>
      </c>
      <c r="K1144" s="19" t="s">
        <v>44</v>
      </c>
      <c r="L1144" s="19" t="s">
        <v>52</v>
      </c>
      <c r="M1144" s="15" t="s">
        <v>1300</v>
      </c>
      <c r="N1144" s="15" t="s">
        <v>64</v>
      </c>
      <c r="O1144" s="15" t="s">
        <v>65</v>
      </c>
      <c r="P1144" s="20" t="s">
        <v>445</v>
      </c>
      <c r="Q1144" s="15" t="s">
        <v>79</v>
      </c>
      <c r="R1144" s="4"/>
      <c r="S1144" s="4"/>
    </row>
    <row r="1145" spans="1:19" ht="21" customHeight="1" x14ac:dyDescent="0.25">
      <c r="A1145" s="14">
        <f>DATE(2012,12,31)-1447</f>
        <v>39827</v>
      </c>
      <c r="B1145" s="15" t="s">
        <v>1342</v>
      </c>
      <c r="C1145" s="15" t="s">
        <v>85</v>
      </c>
      <c r="D1145" s="16">
        <v>21</v>
      </c>
      <c r="E1145" s="17">
        <v>2364.29</v>
      </c>
      <c r="F1145" s="16">
        <v>0.08</v>
      </c>
      <c r="G1145" s="15" t="s">
        <v>58</v>
      </c>
      <c r="H1145" s="18">
        <v>-220.04910000000001</v>
      </c>
      <c r="I1145" s="19">
        <v>115.99</v>
      </c>
      <c r="J1145" s="19">
        <v>56.14</v>
      </c>
      <c r="K1145" s="19" t="s">
        <v>33</v>
      </c>
      <c r="L1145" s="19" t="s">
        <v>59</v>
      </c>
      <c r="M1145" s="15" t="s">
        <v>60</v>
      </c>
      <c r="N1145" s="15" t="s">
        <v>64</v>
      </c>
      <c r="O1145" s="15" t="s">
        <v>122</v>
      </c>
      <c r="P1145" s="20" t="s">
        <v>306</v>
      </c>
      <c r="Q1145" s="15" t="s">
        <v>181</v>
      </c>
      <c r="R1145" s="4"/>
      <c r="S1145" s="4"/>
    </row>
    <row r="1146" spans="1:19" ht="21" customHeight="1" x14ac:dyDescent="0.25">
      <c r="A1146" s="14">
        <f>DATE(2012,12,31)-1447</f>
        <v>39827</v>
      </c>
      <c r="B1146" s="15" t="s">
        <v>1342</v>
      </c>
      <c r="C1146" s="15" t="s">
        <v>85</v>
      </c>
      <c r="D1146" s="16">
        <v>27</v>
      </c>
      <c r="E1146" s="17">
        <v>112.57</v>
      </c>
      <c r="F1146" s="16">
        <v>0.08</v>
      </c>
      <c r="G1146" s="15" t="s">
        <v>32</v>
      </c>
      <c r="H1146" s="18">
        <v>13.92</v>
      </c>
      <c r="I1146" s="19">
        <v>4.28</v>
      </c>
      <c r="J1146" s="19">
        <v>0.94</v>
      </c>
      <c r="K1146" s="19" t="s">
        <v>33</v>
      </c>
      <c r="L1146" s="19" t="s">
        <v>59</v>
      </c>
      <c r="M1146" s="15" t="s">
        <v>60</v>
      </c>
      <c r="N1146" s="15" t="s">
        <v>36</v>
      </c>
      <c r="O1146" s="15" t="s">
        <v>77</v>
      </c>
      <c r="P1146" s="20" t="s">
        <v>600</v>
      </c>
      <c r="Q1146" s="15" t="s">
        <v>79</v>
      </c>
      <c r="R1146" s="4"/>
      <c r="S1146" s="4"/>
    </row>
    <row r="1147" spans="1:19" ht="21" customHeight="1" x14ac:dyDescent="0.25">
      <c r="A1147" s="14">
        <f>DATE(2012,12,31)-1326</f>
        <v>39948</v>
      </c>
      <c r="B1147" s="15" t="s">
        <v>1048</v>
      </c>
      <c r="C1147" s="15" t="s">
        <v>85</v>
      </c>
      <c r="D1147" s="16">
        <v>34</v>
      </c>
      <c r="E1147" s="17">
        <v>286.89999999999998</v>
      </c>
      <c r="F1147" s="16">
        <v>0.06</v>
      </c>
      <c r="G1147" s="15" t="s">
        <v>32</v>
      </c>
      <c r="H1147" s="18">
        <v>-36.630000000000003</v>
      </c>
      <c r="I1147" s="19">
        <v>8.32</v>
      </c>
      <c r="J1147" s="19">
        <v>2.38</v>
      </c>
      <c r="K1147" s="19" t="s">
        <v>124</v>
      </c>
      <c r="L1147" s="19" t="s">
        <v>164</v>
      </c>
      <c r="M1147" s="15" t="s">
        <v>1228</v>
      </c>
      <c r="N1147" s="15" t="s">
        <v>64</v>
      </c>
      <c r="O1147" s="15" t="s">
        <v>72</v>
      </c>
      <c r="P1147" s="20" t="s">
        <v>876</v>
      </c>
      <c r="Q1147" s="15" t="s">
        <v>49</v>
      </c>
      <c r="R1147" s="4"/>
      <c r="S1147" s="4"/>
    </row>
    <row r="1148" spans="1:19" ht="21" customHeight="1" x14ac:dyDescent="0.25">
      <c r="A1148" s="14">
        <f>DATE(2012,12,31)-1326</f>
        <v>39948</v>
      </c>
      <c r="B1148" s="15" t="s">
        <v>1048</v>
      </c>
      <c r="C1148" s="15" t="s">
        <v>85</v>
      </c>
      <c r="D1148" s="16">
        <v>16</v>
      </c>
      <c r="E1148" s="17">
        <v>46.4</v>
      </c>
      <c r="F1148" s="16">
        <v>0.08</v>
      </c>
      <c r="G1148" s="15" t="s">
        <v>32</v>
      </c>
      <c r="H1148" s="18">
        <v>-2.12</v>
      </c>
      <c r="I1148" s="19">
        <v>2.94</v>
      </c>
      <c r="J1148" s="19">
        <v>0.96</v>
      </c>
      <c r="K1148" s="19" t="s">
        <v>124</v>
      </c>
      <c r="L1148" s="19" t="s">
        <v>160</v>
      </c>
      <c r="M1148" s="15" t="s">
        <v>888</v>
      </c>
      <c r="N1148" s="15" t="s">
        <v>36</v>
      </c>
      <c r="O1148" s="15" t="s">
        <v>77</v>
      </c>
      <c r="P1148" s="20" t="s">
        <v>830</v>
      </c>
      <c r="Q1148" s="15" t="s">
        <v>79</v>
      </c>
      <c r="R1148" s="4"/>
      <c r="S1148" s="4"/>
    </row>
    <row r="1149" spans="1:19" ht="21" customHeight="1" x14ac:dyDescent="0.25">
      <c r="A1149" s="14">
        <f>DATE(2012,12,31)-971</f>
        <v>40303</v>
      </c>
      <c r="B1149" s="15" t="s">
        <v>1292</v>
      </c>
      <c r="C1149" s="15" t="s">
        <v>51</v>
      </c>
      <c r="D1149" s="16">
        <v>37</v>
      </c>
      <c r="E1149" s="17">
        <v>4935.72</v>
      </c>
      <c r="F1149" s="16">
        <v>7.0000000000000007E-2</v>
      </c>
      <c r="G1149" s="15" t="s">
        <v>58</v>
      </c>
      <c r="H1149" s="18">
        <v>-698.09</v>
      </c>
      <c r="I1149" s="19">
        <v>140.97999999999999</v>
      </c>
      <c r="J1149" s="19">
        <v>36.090000000000003</v>
      </c>
      <c r="K1149" s="19" t="s">
        <v>44</v>
      </c>
      <c r="L1149" s="19" t="s">
        <v>52</v>
      </c>
      <c r="M1149" s="15" t="s">
        <v>1300</v>
      </c>
      <c r="N1149" s="15" t="s">
        <v>54</v>
      </c>
      <c r="O1149" s="15" t="s">
        <v>134</v>
      </c>
      <c r="P1149" s="20" t="s">
        <v>1039</v>
      </c>
      <c r="Q1149" s="15" t="s">
        <v>63</v>
      </c>
      <c r="R1149" s="4"/>
      <c r="S1149" s="4"/>
    </row>
    <row r="1150" spans="1:19" ht="21" customHeight="1" x14ac:dyDescent="0.25">
      <c r="A1150" s="14">
        <f>DATE(2012,12,31)-1017</f>
        <v>40257</v>
      </c>
      <c r="B1150" s="15" t="s">
        <v>1343</v>
      </c>
      <c r="C1150" s="15" t="s">
        <v>43</v>
      </c>
      <c r="D1150" s="16">
        <v>35</v>
      </c>
      <c r="E1150" s="17">
        <v>1133.96</v>
      </c>
      <c r="F1150" s="16">
        <v>0.02</v>
      </c>
      <c r="G1150" s="15" t="s">
        <v>32</v>
      </c>
      <c r="H1150" s="18">
        <v>185.08750000000001</v>
      </c>
      <c r="I1150" s="19">
        <v>31.74</v>
      </c>
      <c r="J1150" s="19">
        <v>12.62</v>
      </c>
      <c r="K1150" s="19" t="s">
        <v>33</v>
      </c>
      <c r="L1150" s="19" t="s">
        <v>145</v>
      </c>
      <c r="M1150" s="15" t="s">
        <v>1083</v>
      </c>
      <c r="N1150" s="15" t="s">
        <v>36</v>
      </c>
      <c r="O1150" s="15" t="s">
        <v>170</v>
      </c>
      <c r="P1150" s="20" t="s">
        <v>1344</v>
      </c>
      <c r="Q1150" s="15" t="s">
        <v>83</v>
      </c>
      <c r="R1150" s="4"/>
      <c r="S1150" s="4"/>
    </row>
    <row r="1151" spans="1:19" ht="21" customHeight="1" x14ac:dyDescent="0.25">
      <c r="A1151" s="14">
        <f>DATE(2012,12,31)-312</f>
        <v>40962</v>
      </c>
      <c r="B1151" s="15" t="s">
        <v>331</v>
      </c>
      <c r="C1151" s="15" t="s">
        <v>31</v>
      </c>
      <c r="D1151" s="16">
        <v>39</v>
      </c>
      <c r="E1151" s="17">
        <v>290.3</v>
      </c>
      <c r="F1151" s="16">
        <v>7.0000000000000007E-2</v>
      </c>
      <c r="G1151" s="15" t="s">
        <v>32</v>
      </c>
      <c r="H1151" s="18">
        <v>25.16</v>
      </c>
      <c r="I1151" s="19">
        <v>7.59</v>
      </c>
      <c r="J1151" s="19">
        <v>4</v>
      </c>
      <c r="K1151" s="19" t="s">
        <v>69</v>
      </c>
      <c r="L1151" s="19" t="s">
        <v>75</v>
      </c>
      <c r="M1151" s="15" t="s">
        <v>75</v>
      </c>
      <c r="N1151" s="15" t="s">
        <v>54</v>
      </c>
      <c r="O1151" s="15" t="s">
        <v>55</v>
      </c>
      <c r="P1151" s="20" t="s">
        <v>951</v>
      </c>
      <c r="Q1151" s="15" t="s">
        <v>79</v>
      </c>
      <c r="R1151" s="4"/>
      <c r="S1151" s="4"/>
    </row>
    <row r="1152" spans="1:19" ht="21" customHeight="1" x14ac:dyDescent="0.25">
      <c r="A1152" s="14">
        <f>DATE(2012,12,31)-312</f>
        <v>40962</v>
      </c>
      <c r="B1152" s="15" t="s">
        <v>331</v>
      </c>
      <c r="C1152" s="15" t="s">
        <v>31</v>
      </c>
      <c r="D1152" s="16">
        <v>37</v>
      </c>
      <c r="E1152" s="17">
        <v>434.11</v>
      </c>
      <c r="F1152" s="16">
        <v>0.02</v>
      </c>
      <c r="G1152" s="15" t="s">
        <v>32</v>
      </c>
      <c r="H1152" s="18">
        <v>24.853999999999999</v>
      </c>
      <c r="I1152" s="19">
        <v>11.7</v>
      </c>
      <c r="J1152" s="19">
        <v>5.63</v>
      </c>
      <c r="K1152" s="19" t="s">
        <v>69</v>
      </c>
      <c r="L1152" s="19" t="s">
        <v>215</v>
      </c>
      <c r="M1152" s="15" t="s">
        <v>1133</v>
      </c>
      <c r="N1152" s="15" t="s">
        <v>36</v>
      </c>
      <c r="O1152" s="15" t="s">
        <v>170</v>
      </c>
      <c r="P1152" s="20" t="s">
        <v>323</v>
      </c>
      <c r="Q1152" s="15" t="s">
        <v>83</v>
      </c>
      <c r="R1152" s="4"/>
      <c r="S1152" s="4"/>
    </row>
    <row r="1153" spans="1:19" ht="21" customHeight="1" x14ac:dyDescent="0.25">
      <c r="A1153" s="14">
        <f>DATE(2012,12,31)-312</f>
        <v>40962</v>
      </c>
      <c r="B1153" s="15" t="s">
        <v>331</v>
      </c>
      <c r="C1153" s="15" t="s">
        <v>31</v>
      </c>
      <c r="D1153" s="16">
        <v>42</v>
      </c>
      <c r="E1153" s="17">
        <v>288.89999999999998</v>
      </c>
      <c r="F1153" s="16">
        <v>0.02</v>
      </c>
      <c r="G1153" s="15" t="s">
        <v>32</v>
      </c>
      <c r="H1153" s="18">
        <v>96.34</v>
      </c>
      <c r="I1153" s="19">
        <v>6.98</v>
      </c>
      <c r="J1153" s="19">
        <v>1.6</v>
      </c>
      <c r="K1153" s="19" t="s">
        <v>111</v>
      </c>
      <c r="L1153" s="19" t="s">
        <v>112</v>
      </c>
      <c r="M1153" s="15" t="s">
        <v>1183</v>
      </c>
      <c r="N1153" s="15" t="s">
        <v>36</v>
      </c>
      <c r="O1153" s="15" t="s">
        <v>117</v>
      </c>
      <c r="P1153" s="20" t="s">
        <v>1345</v>
      </c>
      <c r="Q1153" s="15" t="s">
        <v>79</v>
      </c>
      <c r="R1153" s="4"/>
      <c r="S1153" s="4"/>
    </row>
    <row r="1154" spans="1:19" ht="21" customHeight="1" x14ac:dyDescent="0.25">
      <c r="A1154" s="14">
        <f>DATE(2012,12,31)-254</f>
        <v>41020</v>
      </c>
      <c r="B1154" s="15" t="s">
        <v>420</v>
      </c>
      <c r="C1154" s="15" t="s">
        <v>85</v>
      </c>
      <c r="D1154" s="16">
        <v>24</v>
      </c>
      <c r="E1154" s="17">
        <v>715.4</v>
      </c>
      <c r="F1154" s="16">
        <v>0.08</v>
      </c>
      <c r="G1154" s="15" t="s">
        <v>32</v>
      </c>
      <c r="H1154" s="18">
        <v>-99.34</v>
      </c>
      <c r="I1154" s="19">
        <v>30.98</v>
      </c>
      <c r="J1154" s="19">
        <v>4</v>
      </c>
      <c r="K1154" s="19" t="s">
        <v>44</v>
      </c>
      <c r="L1154" s="19" t="s">
        <v>89</v>
      </c>
      <c r="M1154" s="15" t="s">
        <v>1341</v>
      </c>
      <c r="N1154" s="15" t="s">
        <v>64</v>
      </c>
      <c r="O1154" s="15" t="s">
        <v>72</v>
      </c>
      <c r="P1154" s="20" t="s">
        <v>1346</v>
      </c>
      <c r="Q1154" s="15" t="s">
        <v>83</v>
      </c>
      <c r="R1154" s="4"/>
      <c r="S1154" s="4"/>
    </row>
    <row r="1155" spans="1:19" ht="21" customHeight="1" x14ac:dyDescent="0.25">
      <c r="A1155" s="14">
        <f>DATE(2012,12,31)-491</f>
        <v>40783</v>
      </c>
      <c r="B1155" s="15" t="s">
        <v>398</v>
      </c>
      <c r="C1155" s="15" t="s">
        <v>51</v>
      </c>
      <c r="D1155" s="16">
        <v>4</v>
      </c>
      <c r="E1155" s="17">
        <v>1266.72</v>
      </c>
      <c r="F1155" s="16">
        <v>0.04</v>
      </c>
      <c r="G1155" s="15" t="s">
        <v>58</v>
      </c>
      <c r="H1155" s="18">
        <v>-268.36</v>
      </c>
      <c r="I1155" s="19">
        <v>300.98</v>
      </c>
      <c r="J1155" s="19">
        <v>64.73</v>
      </c>
      <c r="K1155" s="19" t="s">
        <v>44</v>
      </c>
      <c r="L1155" s="19" t="s">
        <v>89</v>
      </c>
      <c r="M1155" s="15" t="s">
        <v>1341</v>
      </c>
      <c r="N1155" s="15" t="s">
        <v>54</v>
      </c>
      <c r="O1155" s="15" t="s">
        <v>252</v>
      </c>
      <c r="P1155" s="20" t="s">
        <v>1015</v>
      </c>
      <c r="Q1155" s="15" t="s">
        <v>181</v>
      </c>
      <c r="R1155" s="4"/>
      <c r="S1155" s="4"/>
    </row>
    <row r="1156" spans="1:19" ht="21" customHeight="1" x14ac:dyDescent="0.25">
      <c r="A1156" s="14">
        <f>DATE(2012,12,31)-878</f>
        <v>40396</v>
      </c>
      <c r="B1156" s="15" t="s">
        <v>311</v>
      </c>
      <c r="C1156" s="15" t="s">
        <v>31</v>
      </c>
      <c r="D1156" s="16">
        <v>2</v>
      </c>
      <c r="E1156" s="17">
        <v>22.07</v>
      </c>
      <c r="F1156" s="16">
        <v>7.0000000000000007E-2</v>
      </c>
      <c r="G1156" s="15" t="s">
        <v>32</v>
      </c>
      <c r="H1156" s="18">
        <v>-15.45</v>
      </c>
      <c r="I1156" s="19">
        <v>5.98</v>
      </c>
      <c r="J1156" s="19">
        <v>10.39</v>
      </c>
      <c r="K1156" s="19" t="s">
        <v>33</v>
      </c>
      <c r="L1156" s="19" t="s">
        <v>128</v>
      </c>
      <c r="M1156" s="15" t="s">
        <v>129</v>
      </c>
      <c r="N1156" s="15" t="s">
        <v>36</v>
      </c>
      <c r="O1156" s="15" t="s">
        <v>117</v>
      </c>
      <c r="P1156" s="20" t="s">
        <v>1071</v>
      </c>
      <c r="Q1156" s="15" t="s">
        <v>83</v>
      </c>
      <c r="R1156" s="4"/>
      <c r="S1156" s="4"/>
    </row>
    <row r="1157" spans="1:19" ht="21" customHeight="1" x14ac:dyDescent="0.25">
      <c r="A1157" s="14">
        <f>DATE(2012,12,31)-459</f>
        <v>40815</v>
      </c>
      <c r="B1157" s="15" t="s">
        <v>826</v>
      </c>
      <c r="C1157" s="15" t="s">
        <v>85</v>
      </c>
      <c r="D1157" s="16">
        <v>19</v>
      </c>
      <c r="E1157" s="17">
        <v>368.04</v>
      </c>
      <c r="F1157" s="16">
        <v>7.0000000000000007E-2</v>
      </c>
      <c r="G1157" s="15" t="s">
        <v>101</v>
      </c>
      <c r="H1157" s="18">
        <v>70.39</v>
      </c>
      <c r="I1157" s="19">
        <v>19.98</v>
      </c>
      <c r="J1157" s="19">
        <v>5.97</v>
      </c>
      <c r="K1157" s="19" t="s">
        <v>97</v>
      </c>
      <c r="L1157" s="19" t="s">
        <v>98</v>
      </c>
      <c r="M1157" s="15" t="s">
        <v>1162</v>
      </c>
      <c r="N1157" s="15" t="s">
        <v>36</v>
      </c>
      <c r="O1157" s="15" t="s">
        <v>117</v>
      </c>
      <c r="P1157" s="20" t="s">
        <v>1347</v>
      </c>
      <c r="Q1157" s="15" t="s">
        <v>83</v>
      </c>
      <c r="R1157" s="4"/>
      <c r="S1157" s="4"/>
    </row>
    <row r="1158" spans="1:19" ht="21" customHeight="1" x14ac:dyDescent="0.25">
      <c r="A1158" s="14">
        <f>DATE(2012,12,31)-459</f>
        <v>40815</v>
      </c>
      <c r="B1158" s="15" t="s">
        <v>826</v>
      </c>
      <c r="C1158" s="15" t="s">
        <v>85</v>
      </c>
      <c r="D1158" s="16">
        <v>24</v>
      </c>
      <c r="E1158" s="17">
        <v>152.6</v>
      </c>
      <c r="F1158" s="16">
        <v>0.1</v>
      </c>
      <c r="G1158" s="15" t="s">
        <v>32</v>
      </c>
      <c r="H1158" s="18">
        <v>-86.62</v>
      </c>
      <c r="I1158" s="19">
        <v>6.48</v>
      </c>
      <c r="J1158" s="19">
        <v>7.03</v>
      </c>
      <c r="K1158" s="19" t="s">
        <v>97</v>
      </c>
      <c r="L1158" s="19" t="s">
        <v>98</v>
      </c>
      <c r="M1158" s="15" t="s">
        <v>1162</v>
      </c>
      <c r="N1158" s="15" t="s">
        <v>36</v>
      </c>
      <c r="O1158" s="15" t="s">
        <v>117</v>
      </c>
      <c r="P1158" s="20" t="s">
        <v>1348</v>
      </c>
      <c r="Q1158" s="15" t="s">
        <v>83</v>
      </c>
      <c r="R1158" s="4"/>
      <c r="S1158" s="4"/>
    </row>
    <row r="1159" spans="1:19" ht="21" customHeight="1" x14ac:dyDescent="0.25">
      <c r="A1159" s="14">
        <f>DATE(2012,12,31)-1357</f>
        <v>39917</v>
      </c>
      <c r="B1159" s="15" t="s">
        <v>1349</v>
      </c>
      <c r="C1159" s="15" t="s">
        <v>85</v>
      </c>
      <c r="D1159" s="16">
        <v>33</v>
      </c>
      <c r="E1159" s="17">
        <v>1003.71</v>
      </c>
      <c r="F1159" s="16">
        <v>0.01</v>
      </c>
      <c r="G1159" s="15" t="s">
        <v>101</v>
      </c>
      <c r="H1159" s="18">
        <v>-22.82</v>
      </c>
      <c r="I1159" s="19">
        <v>29.1</v>
      </c>
      <c r="J1159" s="19">
        <v>4</v>
      </c>
      <c r="K1159" s="19" t="s">
        <v>124</v>
      </c>
      <c r="L1159" s="19" t="s">
        <v>160</v>
      </c>
      <c r="M1159" s="15" t="s">
        <v>888</v>
      </c>
      <c r="N1159" s="15" t="s">
        <v>64</v>
      </c>
      <c r="O1159" s="15" t="s">
        <v>72</v>
      </c>
      <c r="P1159" s="20" t="s">
        <v>1350</v>
      </c>
      <c r="Q1159" s="15" t="s">
        <v>83</v>
      </c>
      <c r="R1159" s="4"/>
      <c r="S1159" s="4"/>
    </row>
    <row r="1160" spans="1:19" ht="21" customHeight="1" x14ac:dyDescent="0.25">
      <c r="A1160" s="14">
        <f>DATE(2012,12,31)-1357</f>
        <v>39917</v>
      </c>
      <c r="B1160" s="15" t="s">
        <v>1349</v>
      </c>
      <c r="C1160" s="15" t="s">
        <v>85</v>
      </c>
      <c r="D1160" s="16">
        <v>18</v>
      </c>
      <c r="E1160" s="17">
        <v>4212.7519999999995</v>
      </c>
      <c r="F1160" s="16">
        <v>0.06</v>
      </c>
      <c r="G1160" s="15" t="s">
        <v>58</v>
      </c>
      <c r="H1160" s="18">
        <v>-715.7782060000003</v>
      </c>
      <c r="I1160" s="19">
        <v>296.18</v>
      </c>
      <c r="J1160" s="19">
        <v>54.12</v>
      </c>
      <c r="K1160" s="19" t="s">
        <v>124</v>
      </c>
      <c r="L1160" s="19" t="s">
        <v>160</v>
      </c>
      <c r="M1160" s="15" t="s">
        <v>888</v>
      </c>
      <c r="N1160" s="15" t="s">
        <v>54</v>
      </c>
      <c r="O1160" s="15" t="s">
        <v>61</v>
      </c>
      <c r="P1160" s="20" t="s">
        <v>345</v>
      </c>
      <c r="Q1160" s="15" t="s">
        <v>63</v>
      </c>
      <c r="R1160" s="4"/>
      <c r="S1160" s="4"/>
    </row>
    <row r="1161" spans="1:19" ht="21" customHeight="1" x14ac:dyDescent="0.25">
      <c r="A1161" s="14">
        <f>DATE(2012,12,31)-262</f>
        <v>41012</v>
      </c>
      <c r="B1161" s="15" t="s">
        <v>1351</v>
      </c>
      <c r="C1161" s="15" t="s">
        <v>43</v>
      </c>
      <c r="D1161" s="16">
        <v>24</v>
      </c>
      <c r="E1161" s="17">
        <v>1307</v>
      </c>
      <c r="F1161" s="16">
        <v>0.02</v>
      </c>
      <c r="G1161" s="15" t="s">
        <v>32</v>
      </c>
      <c r="H1161" s="18">
        <v>428.99</v>
      </c>
      <c r="I1161" s="19">
        <v>54.48</v>
      </c>
      <c r="J1161" s="19">
        <v>0.99</v>
      </c>
      <c r="K1161" s="19" t="s">
        <v>124</v>
      </c>
      <c r="L1161" s="19" t="s">
        <v>158</v>
      </c>
      <c r="M1161" s="15" t="s">
        <v>158</v>
      </c>
      <c r="N1161" s="15" t="s">
        <v>36</v>
      </c>
      <c r="O1161" s="15" t="s">
        <v>176</v>
      </c>
      <c r="P1161" s="20" t="s">
        <v>1352</v>
      </c>
      <c r="Q1161" s="15" t="s">
        <v>83</v>
      </c>
      <c r="R1161" s="4"/>
      <c r="S1161" s="4"/>
    </row>
    <row r="1162" spans="1:19" ht="21" customHeight="1" x14ac:dyDescent="0.25">
      <c r="A1162" s="14">
        <f>DATE(2012,12,31)-262</f>
        <v>41012</v>
      </c>
      <c r="B1162" s="15" t="s">
        <v>1351</v>
      </c>
      <c r="C1162" s="15" t="s">
        <v>43</v>
      </c>
      <c r="D1162" s="16">
        <v>22</v>
      </c>
      <c r="E1162" s="17">
        <v>41.39</v>
      </c>
      <c r="F1162" s="16">
        <v>0.09</v>
      </c>
      <c r="G1162" s="15" t="s">
        <v>32</v>
      </c>
      <c r="H1162" s="18">
        <v>-12.0175</v>
      </c>
      <c r="I1162" s="19">
        <v>1.88</v>
      </c>
      <c r="J1162" s="19">
        <v>1.49</v>
      </c>
      <c r="K1162" s="19" t="s">
        <v>124</v>
      </c>
      <c r="L1162" s="19" t="s">
        <v>125</v>
      </c>
      <c r="M1162" s="15" t="s">
        <v>1297</v>
      </c>
      <c r="N1162" s="15" t="s">
        <v>36</v>
      </c>
      <c r="O1162" s="15" t="s">
        <v>170</v>
      </c>
      <c r="P1162" s="20" t="s">
        <v>1353</v>
      </c>
      <c r="Q1162" s="15" t="s">
        <v>83</v>
      </c>
      <c r="R1162" s="4"/>
      <c r="S1162" s="4"/>
    </row>
    <row r="1163" spans="1:19" ht="21" customHeight="1" x14ac:dyDescent="0.25">
      <c r="A1163" s="14">
        <f>DATE(2012,12,31)-138</f>
        <v>41136</v>
      </c>
      <c r="B1163" s="15" t="s">
        <v>1354</v>
      </c>
      <c r="C1163" s="15" t="s">
        <v>85</v>
      </c>
      <c r="D1163" s="16">
        <v>38</v>
      </c>
      <c r="E1163" s="17">
        <v>218.77</v>
      </c>
      <c r="F1163" s="16">
        <v>0.03</v>
      </c>
      <c r="G1163" s="15" t="s">
        <v>32</v>
      </c>
      <c r="H1163" s="18">
        <v>-188.1285</v>
      </c>
      <c r="I1163" s="19">
        <v>5.4</v>
      </c>
      <c r="J1163" s="19">
        <v>7.78</v>
      </c>
      <c r="K1163" s="19" t="s">
        <v>124</v>
      </c>
      <c r="L1163" s="19" t="s">
        <v>319</v>
      </c>
      <c r="M1163" s="15" t="s">
        <v>320</v>
      </c>
      <c r="N1163" s="15" t="s">
        <v>36</v>
      </c>
      <c r="O1163" s="15" t="s">
        <v>170</v>
      </c>
      <c r="P1163" s="20" t="s">
        <v>186</v>
      </c>
      <c r="Q1163" s="15" t="s">
        <v>83</v>
      </c>
      <c r="R1163" s="4"/>
      <c r="S1163" s="4"/>
    </row>
    <row r="1164" spans="1:19" ht="21" customHeight="1" x14ac:dyDescent="0.25">
      <c r="A1164" s="14">
        <f>DATE(2012,12,31)-702</f>
        <v>40572</v>
      </c>
      <c r="B1164" s="15" t="s">
        <v>1355</v>
      </c>
      <c r="C1164" s="15" t="s">
        <v>51</v>
      </c>
      <c r="D1164" s="16">
        <v>11</v>
      </c>
      <c r="E1164" s="17">
        <v>76.36</v>
      </c>
      <c r="F1164" s="16">
        <v>7.0000000000000007E-2</v>
      </c>
      <c r="G1164" s="15" t="s">
        <v>32</v>
      </c>
      <c r="H1164" s="18">
        <v>-58.4</v>
      </c>
      <c r="I1164" s="19">
        <v>6.48</v>
      </c>
      <c r="J1164" s="19">
        <v>8.74</v>
      </c>
      <c r="K1164" s="19" t="s">
        <v>44</v>
      </c>
      <c r="L1164" s="19" t="s">
        <v>52</v>
      </c>
      <c r="M1164" s="15" t="s">
        <v>1300</v>
      </c>
      <c r="N1164" s="15" t="s">
        <v>36</v>
      </c>
      <c r="O1164" s="15" t="s">
        <v>117</v>
      </c>
      <c r="P1164" s="20" t="s">
        <v>179</v>
      </c>
      <c r="Q1164" s="15" t="s">
        <v>83</v>
      </c>
      <c r="R1164" s="4"/>
      <c r="S1164" s="4"/>
    </row>
    <row r="1165" spans="1:19" ht="21" customHeight="1" x14ac:dyDescent="0.25">
      <c r="A1165" s="14">
        <f>DATE(2012,12,31)-702</f>
        <v>40572</v>
      </c>
      <c r="B1165" s="15" t="s">
        <v>1355</v>
      </c>
      <c r="C1165" s="15" t="s">
        <v>51</v>
      </c>
      <c r="D1165" s="16">
        <v>3</v>
      </c>
      <c r="E1165" s="17">
        <v>309.9015</v>
      </c>
      <c r="F1165" s="16">
        <v>0.09</v>
      </c>
      <c r="G1165" s="15" t="s">
        <v>32</v>
      </c>
      <c r="H1165" s="18">
        <v>-558.41499999999996</v>
      </c>
      <c r="I1165" s="19">
        <v>125.99</v>
      </c>
      <c r="J1165" s="19">
        <v>7.69</v>
      </c>
      <c r="K1165" s="19" t="s">
        <v>44</v>
      </c>
      <c r="L1165" s="19" t="s">
        <v>52</v>
      </c>
      <c r="M1165" s="15" t="s">
        <v>1300</v>
      </c>
      <c r="N1165" s="15" t="s">
        <v>64</v>
      </c>
      <c r="O1165" s="15" t="s">
        <v>65</v>
      </c>
      <c r="P1165" s="20" t="s">
        <v>860</v>
      </c>
      <c r="Q1165" s="15" t="s">
        <v>83</v>
      </c>
      <c r="R1165" s="4"/>
      <c r="S1165" s="4"/>
    </row>
    <row r="1166" spans="1:19" ht="21" customHeight="1" x14ac:dyDescent="0.25">
      <c r="A1166" s="14">
        <f>DATE(2012,12,31)-535</f>
        <v>40739</v>
      </c>
      <c r="B1166" s="15" t="s">
        <v>1356</v>
      </c>
      <c r="C1166" s="15" t="s">
        <v>31</v>
      </c>
      <c r="D1166" s="16">
        <v>9</v>
      </c>
      <c r="E1166" s="17">
        <v>163.78</v>
      </c>
      <c r="F1166" s="16">
        <v>0.05</v>
      </c>
      <c r="G1166" s="15" t="s">
        <v>32</v>
      </c>
      <c r="H1166" s="18">
        <v>-43.030200000000001</v>
      </c>
      <c r="I1166" s="19">
        <v>17.98</v>
      </c>
      <c r="J1166" s="19">
        <v>8.51</v>
      </c>
      <c r="K1166" s="19" t="s">
        <v>33</v>
      </c>
      <c r="L1166" s="19" t="s">
        <v>145</v>
      </c>
      <c r="M1166" s="15" t="s">
        <v>1083</v>
      </c>
      <c r="N1166" s="15" t="s">
        <v>64</v>
      </c>
      <c r="O1166" s="15" t="s">
        <v>122</v>
      </c>
      <c r="P1166" s="20" t="s">
        <v>1357</v>
      </c>
      <c r="Q1166" s="15" t="s">
        <v>57</v>
      </c>
      <c r="R1166" s="4"/>
      <c r="S1166" s="4"/>
    </row>
    <row r="1167" spans="1:19" ht="21" customHeight="1" x14ac:dyDescent="0.25">
      <c r="A1167" s="14">
        <f>DATE(2012,12,31)-535</f>
        <v>40739</v>
      </c>
      <c r="B1167" s="15" t="s">
        <v>1356</v>
      </c>
      <c r="C1167" s="15" t="s">
        <v>31</v>
      </c>
      <c r="D1167" s="16">
        <v>8</v>
      </c>
      <c r="E1167" s="17">
        <v>84.64</v>
      </c>
      <c r="F1167" s="16">
        <v>0</v>
      </c>
      <c r="G1167" s="15" t="s">
        <v>101</v>
      </c>
      <c r="H1167" s="18">
        <v>-9.2899999999999991</v>
      </c>
      <c r="I1167" s="19">
        <v>8.6199999999999992</v>
      </c>
      <c r="J1167" s="19">
        <v>4.5</v>
      </c>
      <c r="K1167" s="19" t="s">
        <v>33</v>
      </c>
      <c r="L1167" s="19" t="s">
        <v>59</v>
      </c>
      <c r="M1167" s="15" t="s">
        <v>60</v>
      </c>
      <c r="N1167" s="15" t="s">
        <v>36</v>
      </c>
      <c r="O1167" s="15" t="s">
        <v>176</v>
      </c>
      <c r="P1167" s="20" t="s">
        <v>1358</v>
      </c>
      <c r="Q1167" s="15" t="s">
        <v>83</v>
      </c>
      <c r="R1167" s="4"/>
      <c r="S1167" s="4"/>
    </row>
    <row r="1168" spans="1:19" ht="21" customHeight="1" x14ac:dyDescent="0.25">
      <c r="A1168" s="14">
        <f>DATE(2012,12,31)-741</f>
        <v>40533</v>
      </c>
      <c r="B1168" s="15" t="s">
        <v>520</v>
      </c>
      <c r="C1168" s="15" t="s">
        <v>85</v>
      </c>
      <c r="D1168" s="16">
        <v>33</v>
      </c>
      <c r="E1168" s="17">
        <v>729.92</v>
      </c>
      <c r="F1168" s="16">
        <v>0</v>
      </c>
      <c r="G1168" s="15" t="s">
        <v>32</v>
      </c>
      <c r="H1168" s="18">
        <v>99.31</v>
      </c>
      <c r="I1168" s="19">
        <v>20.95</v>
      </c>
      <c r="J1168" s="19">
        <v>4</v>
      </c>
      <c r="K1168" s="19" t="s">
        <v>33</v>
      </c>
      <c r="L1168" s="19" t="s">
        <v>34</v>
      </c>
      <c r="M1168" s="15" t="s">
        <v>1359</v>
      </c>
      <c r="N1168" s="15" t="s">
        <v>64</v>
      </c>
      <c r="O1168" s="15" t="s">
        <v>72</v>
      </c>
      <c r="P1168" s="20" t="s">
        <v>1259</v>
      </c>
      <c r="Q1168" s="15" t="s">
        <v>83</v>
      </c>
      <c r="R1168" s="4"/>
      <c r="S1168" s="4"/>
    </row>
    <row r="1169" spans="1:19" ht="21" customHeight="1" x14ac:dyDescent="0.25">
      <c r="A1169" s="14">
        <f>DATE(2012,12,31)-1293</f>
        <v>39981</v>
      </c>
      <c r="B1169" s="15" t="s">
        <v>1360</v>
      </c>
      <c r="C1169" s="15" t="s">
        <v>31</v>
      </c>
      <c r="D1169" s="16">
        <v>25</v>
      </c>
      <c r="E1169" s="17">
        <v>113.75</v>
      </c>
      <c r="F1169" s="16">
        <v>0</v>
      </c>
      <c r="G1169" s="15" t="s">
        <v>32</v>
      </c>
      <c r="H1169" s="18">
        <v>-77.337500000000006</v>
      </c>
      <c r="I1169" s="19">
        <v>4.13</v>
      </c>
      <c r="J1169" s="19">
        <v>5.34</v>
      </c>
      <c r="K1169" s="19" t="s">
        <v>33</v>
      </c>
      <c r="L1169" s="19" t="s">
        <v>59</v>
      </c>
      <c r="M1169" s="15" t="s">
        <v>1361</v>
      </c>
      <c r="N1169" s="15" t="s">
        <v>36</v>
      </c>
      <c r="O1169" s="15" t="s">
        <v>170</v>
      </c>
      <c r="P1169" s="20" t="s">
        <v>575</v>
      </c>
      <c r="Q1169" s="15" t="s">
        <v>83</v>
      </c>
      <c r="R1169" s="4"/>
      <c r="S1169" s="4"/>
    </row>
    <row r="1170" spans="1:19" ht="21" customHeight="1" x14ac:dyDescent="0.25">
      <c r="A1170" s="14">
        <f>DATE(2012,12,31)-1293</f>
        <v>39981</v>
      </c>
      <c r="B1170" s="15" t="s">
        <v>1360</v>
      </c>
      <c r="C1170" s="15" t="s">
        <v>31</v>
      </c>
      <c r="D1170" s="16">
        <v>24</v>
      </c>
      <c r="E1170" s="17">
        <v>3081.95</v>
      </c>
      <c r="F1170" s="16">
        <v>0.1</v>
      </c>
      <c r="G1170" s="15" t="s">
        <v>58</v>
      </c>
      <c r="H1170" s="18">
        <v>-662.8</v>
      </c>
      <c r="I1170" s="19">
        <v>130.97999999999999</v>
      </c>
      <c r="J1170" s="19">
        <v>54.74</v>
      </c>
      <c r="K1170" s="19" t="s">
        <v>33</v>
      </c>
      <c r="L1170" s="19" t="s">
        <v>59</v>
      </c>
      <c r="M1170" s="15" t="s">
        <v>1361</v>
      </c>
      <c r="N1170" s="15" t="s">
        <v>54</v>
      </c>
      <c r="O1170" s="15" t="s">
        <v>134</v>
      </c>
      <c r="P1170" s="20" t="s">
        <v>135</v>
      </c>
      <c r="Q1170" s="15" t="s">
        <v>63</v>
      </c>
      <c r="R1170" s="4"/>
      <c r="S1170" s="4"/>
    </row>
    <row r="1171" spans="1:19" ht="21" customHeight="1" x14ac:dyDescent="0.25">
      <c r="A1171" s="14">
        <f>DATE(2012,12,31)-274</f>
        <v>41000</v>
      </c>
      <c r="B1171" s="15" t="s">
        <v>728</v>
      </c>
      <c r="C1171" s="15" t="s">
        <v>51</v>
      </c>
      <c r="D1171" s="16">
        <v>4</v>
      </c>
      <c r="E1171" s="17">
        <v>51.94</v>
      </c>
      <c r="F1171" s="16">
        <v>0.03</v>
      </c>
      <c r="G1171" s="15" t="s">
        <v>101</v>
      </c>
      <c r="H1171" s="18">
        <v>-12.48</v>
      </c>
      <c r="I1171" s="19">
        <v>10.01</v>
      </c>
      <c r="J1171" s="19">
        <v>1.99</v>
      </c>
      <c r="K1171" s="19" t="s">
        <v>33</v>
      </c>
      <c r="L1171" s="19" t="s">
        <v>59</v>
      </c>
      <c r="M1171" s="15" t="s">
        <v>1361</v>
      </c>
      <c r="N1171" s="15" t="s">
        <v>64</v>
      </c>
      <c r="O1171" s="15" t="s">
        <v>72</v>
      </c>
      <c r="P1171" s="20" t="s">
        <v>471</v>
      </c>
      <c r="Q1171" s="15" t="s">
        <v>49</v>
      </c>
      <c r="R1171" s="4"/>
      <c r="S1171" s="4"/>
    </row>
    <row r="1172" spans="1:19" ht="21" customHeight="1" x14ac:dyDescent="0.25">
      <c r="A1172" s="14">
        <f>DATE(2012,12,31)-1251</f>
        <v>40023</v>
      </c>
      <c r="B1172" s="15" t="s">
        <v>348</v>
      </c>
      <c r="C1172" s="15" t="s">
        <v>85</v>
      </c>
      <c r="D1172" s="16">
        <v>25</v>
      </c>
      <c r="E1172" s="17">
        <v>185.64</v>
      </c>
      <c r="F1172" s="16">
        <v>0.1</v>
      </c>
      <c r="G1172" s="15" t="s">
        <v>32</v>
      </c>
      <c r="H1172" s="18">
        <v>-69.873999999999995</v>
      </c>
      <c r="I1172" s="19">
        <v>7.45</v>
      </c>
      <c r="J1172" s="19">
        <v>6.28</v>
      </c>
      <c r="K1172" s="19" t="s">
        <v>69</v>
      </c>
      <c r="L1172" s="19" t="s">
        <v>75</v>
      </c>
      <c r="M1172" s="15" t="s">
        <v>75</v>
      </c>
      <c r="N1172" s="15" t="s">
        <v>36</v>
      </c>
      <c r="O1172" s="15" t="s">
        <v>170</v>
      </c>
      <c r="P1172" s="20" t="s">
        <v>628</v>
      </c>
      <c r="Q1172" s="15" t="s">
        <v>83</v>
      </c>
      <c r="R1172" s="4"/>
      <c r="S1172" s="4"/>
    </row>
    <row r="1173" spans="1:19" ht="21" customHeight="1" x14ac:dyDescent="0.25">
      <c r="A1173" s="14">
        <f>DATE(2012,12,31)-1251</f>
        <v>40023</v>
      </c>
      <c r="B1173" s="15" t="s">
        <v>348</v>
      </c>
      <c r="C1173" s="15" t="s">
        <v>85</v>
      </c>
      <c r="D1173" s="16">
        <v>34</v>
      </c>
      <c r="E1173" s="17">
        <v>225.98</v>
      </c>
      <c r="F1173" s="16">
        <v>0.01</v>
      </c>
      <c r="G1173" s="15" t="s">
        <v>32</v>
      </c>
      <c r="H1173" s="18">
        <v>-135.74</v>
      </c>
      <c r="I1173" s="19">
        <v>6.48</v>
      </c>
      <c r="J1173" s="19">
        <v>7.86</v>
      </c>
      <c r="K1173" s="19" t="s">
        <v>69</v>
      </c>
      <c r="L1173" s="19" t="s">
        <v>75</v>
      </c>
      <c r="M1173" s="15" t="s">
        <v>75</v>
      </c>
      <c r="N1173" s="15" t="s">
        <v>36</v>
      </c>
      <c r="O1173" s="15" t="s">
        <v>117</v>
      </c>
      <c r="P1173" s="20" t="s">
        <v>912</v>
      </c>
      <c r="Q1173" s="15" t="s">
        <v>83</v>
      </c>
      <c r="R1173" s="4"/>
      <c r="S1173" s="4"/>
    </row>
    <row r="1174" spans="1:19" ht="21" customHeight="1" x14ac:dyDescent="0.25">
      <c r="A1174" s="14">
        <f>DATE(2012,12,31)-1452</f>
        <v>39822</v>
      </c>
      <c r="B1174" s="15" t="s">
        <v>1362</v>
      </c>
      <c r="C1174" s="15" t="s">
        <v>51</v>
      </c>
      <c r="D1174" s="16">
        <v>43</v>
      </c>
      <c r="E1174" s="17">
        <v>541.45000000000005</v>
      </c>
      <c r="F1174" s="16">
        <v>0</v>
      </c>
      <c r="G1174" s="15" t="s">
        <v>101</v>
      </c>
      <c r="H1174" s="18">
        <v>-164.25</v>
      </c>
      <c r="I1174" s="19">
        <v>11.66</v>
      </c>
      <c r="J1174" s="19">
        <v>8.99</v>
      </c>
      <c r="K1174" s="19" t="s">
        <v>69</v>
      </c>
      <c r="L1174" s="19" t="s">
        <v>75</v>
      </c>
      <c r="M1174" s="15" t="s">
        <v>75</v>
      </c>
      <c r="N1174" s="15" t="s">
        <v>36</v>
      </c>
      <c r="O1174" s="15" t="s">
        <v>77</v>
      </c>
      <c r="P1174" s="20" t="s">
        <v>918</v>
      </c>
      <c r="Q1174" s="15" t="s">
        <v>49</v>
      </c>
      <c r="R1174" s="4"/>
      <c r="S1174" s="4"/>
    </row>
    <row r="1175" spans="1:19" ht="21" customHeight="1" x14ac:dyDescent="0.25">
      <c r="A1175" s="14">
        <f>DATE(2012,12,31)-486</f>
        <v>40788</v>
      </c>
      <c r="B1175" s="15" t="s">
        <v>808</v>
      </c>
      <c r="C1175" s="15" t="s">
        <v>51</v>
      </c>
      <c r="D1175" s="16">
        <v>40</v>
      </c>
      <c r="E1175" s="17">
        <v>366.87</v>
      </c>
      <c r="F1175" s="16">
        <v>0.1</v>
      </c>
      <c r="G1175" s="15" t="s">
        <v>32</v>
      </c>
      <c r="H1175" s="18">
        <v>-1.79</v>
      </c>
      <c r="I1175" s="19">
        <v>9.74</v>
      </c>
      <c r="J1175" s="19">
        <v>5.71</v>
      </c>
      <c r="K1175" s="19" t="s">
        <v>69</v>
      </c>
      <c r="L1175" s="19" t="s">
        <v>70</v>
      </c>
      <c r="M1175" s="15" t="s">
        <v>1337</v>
      </c>
      <c r="N1175" s="15" t="s">
        <v>54</v>
      </c>
      <c r="O1175" s="15" t="s">
        <v>55</v>
      </c>
      <c r="P1175" s="20" t="s">
        <v>1363</v>
      </c>
      <c r="Q1175" s="15" t="s">
        <v>83</v>
      </c>
      <c r="R1175" s="4"/>
      <c r="S1175" s="4"/>
    </row>
    <row r="1176" spans="1:19" ht="21" customHeight="1" x14ac:dyDescent="0.25">
      <c r="A1176" s="14">
        <f>DATE(2012,12,31)-650</f>
        <v>40624</v>
      </c>
      <c r="B1176" s="15" t="s">
        <v>1364</v>
      </c>
      <c r="C1176" s="15" t="s">
        <v>51</v>
      </c>
      <c r="D1176" s="16">
        <v>12</v>
      </c>
      <c r="E1176" s="17">
        <v>151.49</v>
      </c>
      <c r="F1176" s="16">
        <v>0</v>
      </c>
      <c r="G1176" s="15" t="s">
        <v>32</v>
      </c>
      <c r="H1176" s="18">
        <v>-3.95</v>
      </c>
      <c r="I1176" s="19">
        <v>11.58</v>
      </c>
      <c r="J1176" s="19">
        <v>6.97</v>
      </c>
      <c r="K1176" s="19" t="s">
        <v>69</v>
      </c>
      <c r="L1176" s="19" t="s">
        <v>70</v>
      </c>
      <c r="M1176" s="15" t="s">
        <v>1337</v>
      </c>
      <c r="N1176" s="15" t="s">
        <v>36</v>
      </c>
      <c r="O1176" s="15" t="s">
        <v>189</v>
      </c>
      <c r="P1176" s="20" t="s">
        <v>977</v>
      </c>
      <c r="Q1176" s="15" t="s">
        <v>83</v>
      </c>
      <c r="R1176" s="4"/>
      <c r="S1176" s="4"/>
    </row>
    <row r="1177" spans="1:19" ht="21" customHeight="1" x14ac:dyDescent="0.25">
      <c r="A1177" s="14">
        <f>DATE(2012,12,31)-650</f>
        <v>40624</v>
      </c>
      <c r="B1177" s="15" t="s">
        <v>1364</v>
      </c>
      <c r="C1177" s="15" t="s">
        <v>51</v>
      </c>
      <c r="D1177" s="16">
        <v>37</v>
      </c>
      <c r="E1177" s="17">
        <v>308.22000000000003</v>
      </c>
      <c r="F1177" s="16">
        <v>0</v>
      </c>
      <c r="G1177" s="15" t="s">
        <v>32</v>
      </c>
      <c r="H1177" s="18">
        <v>-215.57</v>
      </c>
      <c r="I1177" s="19">
        <v>7.77</v>
      </c>
      <c r="J1177" s="19">
        <v>9.23</v>
      </c>
      <c r="K1177" s="19" t="s">
        <v>69</v>
      </c>
      <c r="L1177" s="19" t="s">
        <v>215</v>
      </c>
      <c r="M1177" s="15" t="s">
        <v>1133</v>
      </c>
      <c r="N1177" s="15" t="s">
        <v>36</v>
      </c>
      <c r="O1177" s="15" t="s">
        <v>176</v>
      </c>
      <c r="P1177" s="20" t="s">
        <v>1365</v>
      </c>
      <c r="Q1177" s="15" t="s">
        <v>83</v>
      </c>
      <c r="R1177" s="4"/>
      <c r="S1177" s="4"/>
    </row>
    <row r="1178" spans="1:19" ht="21" customHeight="1" x14ac:dyDescent="0.25">
      <c r="A1178" s="14">
        <f>DATE(2012,12,31)-772</f>
        <v>40502</v>
      </c>
      <c r="B1178" s="15" t="s">
        <v>340</v>
      </c>
      <c r="C1178" s="15" t="s">
        <v>31</v>
      </c>
      <c r="D1178" s="16">
        <v>15</v>
      </c>
      <c r="E1178" s="17">
        <v>1556.55</v>
      </c>
      <c r="F1178" s="16">
        <v>0.04</v>
      </c>
      <c r="G1178" s="15" t="s">
        <v>32</v>
      </c>
      <c r="H1178" s="18">
        <v>436.02</v>
      </c>
      <c r="I1178" s="19">
        <v>105.34</v>
      </c>
      <c r="J1178" s="19">
        <v>24.49</v>
      </c>
      <c r="K1178" s="19" t="s">
        <v>69</v>
      </c>
      <c r="L1178" s="19" t="s">
        <v>215</v>
      </c>
      <c r="M1178" s="15" t="s">
        <v>1133</v>
      </c>
      <c r="N1178" s="15" t="s">
        <v>54</v>
      </c>
      <c r="O1178" s="15" t="s">
        <v>55</v>
      </c>
      <c r="P1178" s="20" t="s">
        <v>1366</v>
      </c>
      <c r="Q1178" s="15" t="s">
        <v>39</v>
      </c>
      <c r="R1178" s="4"/>
      <c r="S1178" s="4"/>
    </row>
    <row r="1179" spans="1:19" ht="21" customHeight="1" x14ac:dyDescent="0.25">
      <c r="A1179" s="14">
        <f>DATE(2012,12,31)-261</f>
        <v>41013</v>
      </c>
      <c r="B1179" s="15" t="s">
        <v>537</v>
      </c>
      <c r="C1179" s="15" t="s">
        <v>85</v>
      </c>
      <c r="D1179" s="16">
        <v>4</v>
      </c>
      <c r="E1179" s="17">
        <v>72.003499999999988</v>
      </c>
      <c r="F1179" s="16">
        <v>0.04</v>
      </c>
      <c r="G1179" s="15" t="s">
        <v>32</v>
      </c>
      <c r="H1179" s="18">
        <v>-108.075</v>
      </c>
      <c r="I1179" s="19">
        <v>20.99</v>
      </c>
      <c r="J1179" s="19">
        <v>2.5</v>
      </c>
      <c r="K1179" s="19" t="s">
        <v>69</v>
      </c>
      <c r="L1179" s="19" t="s">
        <v>215</v>
      </c>
      <c r="M1179" s="15" t="s">
        <v>1133</v>
      </c>
      <c r="N1179" s="15" t="s">
        <v>64</v>
      </c>
      <c r="O1179" s="15" t="s">
        <v>65</v>
      </c>
      <c r="P1179" s="20" t="s">
        <v>445</v>
      </c>
      <c r="Q1179" s="15" t="s">
        <v>79</v>
      </c>
      <c r="R1179" s="4"/>
      <c r="S1179" s="4"/>
    </row>
    <row r="1180" spans="1:19" ht="21" customHeight="1" x14ac:dyDescent="0.25">
      <c r="A1180" s="14">
        <f>DATE(2012,12,31)-1306</f>
        <v>39968</v>
      </c>
      <c r="B1180" s="15" t="s">
        <v>1291</v>
      </c>
      <c r="C1180" s="15" t="s">
        <v>31</v>
      </c>
      <c r="D1180" s="16">
        <v>13</v>
      </c>
      <c r="E1180" s="17">
        <v>1289.127</v>
      </c>
      <c r="F1180" s="16">
        <v>0.06</v>
      </c>
      <c r="G1180" s="15" t="s">
        <v>32</v>
      </c>
      <c r="H1180" s="18">
        <v>-16.335000000000001</v>
      </c>
      <c r="I1180" s="19">
        <v>115.99</v>
      </c>
      <c r="J1180" s="19">
        <v>5.92</v>
      </c>
      <c r="K1180" s="19" t="s">
        <v>111</v>
      </c>
      <c r="L1180" s="19" t="s">
        <v>112</v>
      </c>
      <c r="M1180" s="15" t="s">
        <v>1183</v>
      </c>
      <c r="N1180" s="15" t="s">
        <v>64</v>
      </c>
      <c r="O1180" s="15" t="s">
        <v>65</v>
      </c>
      <c r="P1180" s="20" t="s">
        <v>1053</v>
      </c>
      <c r="Q1180" s="15" t="s">
        <v>83</v>
      </c>
      <c r="R1180" s="4"/>
      <c r="S1180" s="4"/>
    </row>
    <row r="1181" spans="1:19" ht="21" customHeight="1" x14ac:dyDescent="0.25">
      <c r="A1181" s="14">
        <f>DATE(2012,12,31)-1080</f>
        <v>40194</v>
      </c>
      <c r="B1181" s="15" t="s">
        <v>674</v>
      </c>
      <c r="C1181" s="15" t="s">
        <v>51</v>
      </c>
      <c r="D1181" s="16">
        <v>26</v>
      </c>
      <c r="E1181" s="17">
        <v>151.05000000000001</v>
      </c>
      <c r="F1181" s="16">
        <v>0.09</v>
      </c>
      <c r="G1181" s="15" t="s">
        <v>32</v>
      </c>
      <c r="H1181" s="18">
        <v>-76.141499999999994</v>
      </c>
      <c r="I1181" s="19">
        <v>5.8</v>
      </c>
      <c r="J1181" s="19">
        <v>5.59</v>
      </c>
      <c r="K1181" s="19" t="s">
        <v>44</v>
      </c>
      <c r="L1181" s="19" t="s">
        <v>89</v>
      </c>
      <c r="M1181" s="15" t="s">
        <v>1341</v>
      </c>
      <c r="N1181" s="15" t="s">
        <v>36</v>
      </c>
      <c r="O1181" s="15" t="s">
        <v>170</v>
      </c>
      <c r="P1181" s="20" t="s">
        <v>1006</v>
      </c>
      <c r="Q1181" s="15" t="s">
        <v>83</v>
      </c>
      <c r="R1181" s="4"/>
      <c r="S1181" s="4"/>
    </row>
    <row r="1182" spans="1:19" ht="21" customHeight="1" x14ac:dyDescent="0.25">
      <c r="A1182" s="14">
        <f>DATE(2012,12,31)-1080</f>
        <v>40194</v>
      </c>
      <c r="B1182" s="15" t="s">
        <v>674</v>
      </c>
      <c r="C1182" s="15" t="s">
        <v>51</v>
      </c>
      <c r="D1182" s="16">
        <v>13</v>
      </c>
      <c r="E1182" s="17">
        <v>133.04</v>
      </c>
      <c r="F1182" s="16">
        <v>0.04</v>
      </c>
      <c r="G1182" s="15" t="s">
        <v>32</v>
      </c>
      <c r="H1182" s="18">
        <v>49.69</v>
      </c>
      <c r="I1182" s="19">
        <v>10.35</v>
      </c>
      <c r="J1182" s="19">
        <v>0.99</v>
      </c>
      <c r="K1182" s="19" t="s">
        <v>44</v>
      </c>
      <c r="L1182" s="19" t="s">
        <v>89</v>
      </c>
      <c r="M1182" s="15" t="s">
        <v>1341</v>
      </c>
      <c r="N1182" s="15" t="s">
        <v>36</v>
      </c>
      <c r="O1182" s="15" t="s">
        <v>114</v>
      </c>
      <c r="P1182" s="20" t="s">
        <v>1367</v>
      </c>
      <c r="Q1182" s="15" t="s">
        <v>83</v>
      </c>
      <c r="R1182" s="4"/>
      <c r="S1182" s="4"/>
    </row>
    <row r="1183" spans="1:19" ht="21" customHeight="1" x14ac:dyDescent="0.25">
      <c r="A1183" s="14">
        <f>DATE(2012,12,31)-1362</f>
        <v>39912</v>
      </c>
      <c r="B1183" s="15" t="s">
        <v>1368</v>
      </c>
      <c r="C1183" s="15" t="s">
        <v>51</v>
      </c>
      <c r="D1183" s="16">
        <v>8</v>
      </c>
      <c r="E1183" s="17">
        <v>85.85</v>
      </c>
      <c r="F1183" s="16">
        <v>0.03</v>
      </c>
      <c r="G1183" s="15" t="s">
        <v>32</v>
      </c>
      <c r="H1183" s="18">
        <v>-327.64999999999998</v>
      </c>
      <c r="I1183" s="19">
        <v>4.4800000000000004</v>
      </c>
      <c r="J1183" s="19">
        <v>49</v>
      </c>
      <c r="K1183" s="19" t="s">
        <v>44</v>
      </c>
      <c r="L1183" s="19" t="s">
        <v>89</v>
      </c>
      <c r="M1183" s="15" t="s">
        <v>1341</v>
      </c>
      <c r="N1183" s="15" t="s">
        <v>36</v>
      </c>
      <c r="O1183" s="15" t="s">
        <v>176</v>
      </c>
      <c r="P1183" s="20" t="s">
        <v>314</v>
      </c>
      <c r="Q1183" s="15" t="s">
        <v>39</v>
      </c>
      <c r="R1183" s="4"/>
      <c r="S1183" s="4"/>
    </row>
    <row r="1184" spans="1:19" ht="21" customHeight="1" x14ac:dyDescent="0.25">
      <c r="A1184" s="14">
        <f>DATE(2012,12,31)-1362</f>
        <v>39912</v>
      </c>
      <c r="B1184" s="15" t="s">
        <v>1368</v>
      </c>
      <c r="C1184" s="15" t="s">
        <v>51</v>
      </c>
      <c r="D1184" s="16">
        <v>41</v>
      </c>
      <c r="E1184" s="17">
        <v>14377.78</v>
      </c>
      <c r="F1184" s="16">
        <v>0.06</v>
      </c>
      <c r="G1184" s="15" t="s">
        <v>58</v>
      </c>
      <c r="H1184" s="18">
        <v>4161.9799999999996</v>
      </c>
      <c r="I1184" s="19">
        <v>350.99</v>
      </c>
      <c r="J1184" s="19">
        <v>39</v>
      </c>
      <c r="K1184" s="19" t="s">
        <v>44</v>
      </c>
      <c r="L1184" s="19" t="s">
        <v>89</v>
      </c>
      <c r="M1184" s="15" t="s">
        <v>1341</v>
      </c>
      <c r="N1184" s="15" t="s">
        <v>54</v>
      </c>
      <c r="O1184" s="15" t="s">
        <v>252</v>
      </c>
      <c r="P1184" s="20" t="s">
        <v>1254</v>
      </c>
      <c r="Q1184" s="15" t="s">
        <v>181</v>
      </c>
      <c r="R1184" s="4"/>
      <c r="S1184" s="4"/>
    </row>
    <row r="1185" spans="1:19" ht="21" customHeight="1" x14ac:dyDescent="0.25">
      <c r="A1185" s="14">
        <f>DATE(2012,12,31)-1362</f>
        <v>39912</v>
      </c>
      <c r="B1185" s="15" t="s">
        <v>1368</v>
      </c>
      <c r="C1185" s="15" t="s">
        <v>51</v>
      </c>
      <c r="D1185" s="16">
        <v>26</v>
      </c>
      <c r="E1185" s="17">
        <v>994.27</v>
      </c>
      <c r="F1185" s="16">
        <v>0.09</v>
      </c>
      <c r="G1185" s="15" t="s">
        <v>101</v>
      </c>
      <c r="H1185" s="18">
        <v>-127.11</v>
      </c>
      <c r="I1185" s="19">
        <v>40.98</v>
      </c>
      <c r="J1185" s="19">
        <v>6.5</v>
      </c>
      <c r="K1185" s="19" t="s">
        <v>124</v>
      </c>
      <c r="L1185" s="19" t="s">
        <v>125</v>
      </c>
      <c r="M1185" s="15" t="s">
        <v>1297</v>
      </c>
      <c r="N1185" s="15" t="s">
        <v>64</v>
      </c>
      <c r="O1185" s="15" t="s">
        <v>72</v>
      </c>
      <c r="P1185" s="20" t="s">
        <v>1369</v>
      </c>
      <c r="Q1185" s="15" t="s">
        <v>83</v>
      </c>
      <c r="R1185" s="4"/>
      <c r="S1185" s="4"/>
    </row>
    <row r="1186" spans="1:19" ht="21" customHeight="1" x14ac:dyDescent="0.25">
      <c r="A1186" s="14">
        <f>DATE(2012,12,31)-1362</f>
        <v>39912</v>
      </c>
      <c r="B1186" s="15" t="s">
        <v>1368</v>
      </c>
      <c r="C1186" s="15" t="s">
        <v>51</v>
      </c>
      <c r="D1186" s="16">
        <v>29</v>
      </c>
      <c r="E1186" s="17">
        <v>9558.65</v>
      </c>
      <c r="F1186" s="16">
        <v>0.09</v>
      </c>
      <c r="G1186" s="15" t="s">
        <v>58</v>
      </c>
      <c r="H1186" s="18">
        <v>2154.0700000000002</v>
      </c>
      <c r="I1186" s="19">
        <v>349.45</v>
      </c>
      <c r="J1186" s="19">
        <v>60</v>
      </c>
      <c r="K1186" s="19" t="s">
        <v>33</v>
      </c>
      <c r="L1186" s="19" t="s">
        <v>93</v>
      </c>
      <c r="M1186" s="15" t="s">
        <v>94</v>
      </c>
      <c r="N1186" s="15" t="s">
        <v>54</v>
      </c>
      <c r="O1186" s="15" t="s">
        <v>61</v>
      </c>
      <c r="P1186" s="20" t="s">
        <v>1031</v>
      </c>
      <c r="Q1186" s="15" t="s">
        <v>181</v>
      </c>
      <c r="R1186" s="4"/>
      <c r="S1186" s="4"/>
    </row>
    <row r="1187" spans="1:19" ht="21" customHeight="1" x14ac:dyDescent="0.25">
      <c r="A1187" s="14">
        <f>DATE(2012,12,31)-85</f>
        <v>41189</v>
      </c>
      <c r="B1187" s="15" t="s">
        <v>1370</v>
      </c>
      <c r="C1187" s="15" t="s">
        <v>51</v>
      </c>
      <c r="D1187" s="16">
        <v>38</v>
      </c>
      <c r="E1187" s="17">
        <v>1610.76</v>
      </c>
      <c r="F1187" s="16">
        <v>0.1</v>
      </c>
      <c r="G1187" s="15" t="s">
        <v>32</v>
      </c>
      <c r="H1187" s="18">
        <v>-8.67</v>
      </c>
      <c r="I1187" s="19">
        <v>43.57</v>
      </c>
      <c r="J1187" s="19">
        <v>16.36</v>
      </c>
      <c r="K1187" s="19" t="s">
        <v>33</v>
      </c>
      <c r="L1187" s="19" t="s">
        <v>93</v>
      </c>
      <c r="M1187" s="15" t="s">
        <v>94</v>
      </c>
      <c r="N1187" s="15" t="s">
        <v>36</v>
      </c>
      <c r="O1187" s="15" t="s">
        <v>37</v>
      </c>
      <c r="P1187" s="20" t="s">
        <v>1371</v>
      </c>
      <c r="Q1187" s="15" t="s">
        <v>83</v>
      </c>
      <c r="R1187" s="4"/>
      <c r="S1187" s="4"/>
    </row>
    <row r="1188" spans="1:19" ht="21" customHeight="1" x14ac:dyDescent="0.25">
      <c r="A1188" s="14">
        <f>DATE(2012,12,31)-92</f>
        <v>41182</v>
      </c>
      <c r="B1188" s="15" t="s">
        <v>872</v>
      </c>
      <c r="C1188" s="15" t="s">
        <v>31</v>
      </c>
      <c r="D1188" s="16">
        <v>31</v>
      </c>
      <c r="E1188" s="17">
        <v>937.8</v>
      </c>
      <c r="F1188" s="16">
        <v>0</v>
      </c>
      <c r="G1188" s="15" t="s">
        <v>32</v>
      </c>
      <c r="H1188" s="18">
        <v>27.12</v>
      </c>
      <c r="I1188" s="19">
        <v>29.74</v>
      </c>
      <c r="J1188" s="19">
        <v>6.64</v>
      </c>
      <c r="K1188" s="19" t="s">
        <v>97</v>
      </c>
      <c r="L1188" s="19" t="s">
        <v>283</v>
      </c>
      <c r="M1188" s="15" t="s">
        <v>284</v>
      </c>
      <c r="N1188" s="15" t="s">
        <v>36</v>
      </c>
      <c r="O1188" s="15" t="s">
        <v>37</v>
      </c>
      <c r="P1188" s="20" t="s">
        <v>1372</v>
      </c>
      <c r="Q1188" s="15" t="s">
        <v>83</v>
      </c>
      <c r="R1188" s="4"/>
      <c r="S1188" s="4"/>
    </row>
    <row r="1189" spans="1:19" ht="21" customHeight="1" x14ac:dyDescent="0.25">
      <c r="A1189" s="14">
        <f>DATE(2012,12,31)-239</f>
        <v>41035</v>
      </c>
      <c r="B1189" s="15" t="s">
        <v>1373</v>
      </c>
      <c r="C1189" s="15" t="s">
        <v>85</v>
      </c>
      <c r="D1189" s="16">
        <v>46</v>
      </c>
      <c r="E1189" s="17">
        <v>446.06</v>
      </c>
      <c r="F1189" s="16">
        <v>0.01</v>
      </c>
      <c r="G1189" s="15" t="s">
        <v>32</v>
      </c>
      <c r="H1189" s="18">
        <v>161.32</v>
      </c>
      <c r="I1189" s="19">
        <v>9.11</v>
      </c>
      <c r="J1189" s="19">
        <v>2.15</v>
      </c>
      <c r="K1189" s="19" t="s">
        <v>124</v>
      </c>
      <c r="L1189" s="19" t="s">
        <v>493</v>
      </c>
      <c r="M1189" s="15" t="s">
        <v>1289</v>
      </c>
      <c r="N1189" s="15" t="s">
        <v>36</v>
      </c>
      <c r="O1189" s="15" t="s">
        <v>117</v>
      </c>
      <c r="P1189" s="20" t="s">
        <v>1374</v>
      </c>
      <c r="Q1189" s="15" t="s">
        <v>79</v>
      </c>
      <c r="R1189" s="4"/>
      <c r="S1189" s="4"/>
    </row>
    <row r="1190" spans="1:19" ht="21" customHeight="1" x14ac:dyDescent="0.25">
      <c r="A1190" s="14">
        <f>DATE(2012,12,31)-550</f>
        <v>40724</v>
      </c>
      <c r="B1190" s="15" t="s">
        <v>648</v>
      </c>
      <c r="C1190" s="15" t="s">
        <v>85</v>
      </c>
      <c r="D1190" s="16">
        <v>43</v>
      </c>
      <c r="E1190" s="17">
        <v>449.17</v>
      </c>
      <c r="F1190" s="16">
        <v>0.01</v>
      </c>
      <c r="G1190" s="15" t="s">
        <v>32</v>
      </c>
      <c r="H1190" s="18">
        <v>198.83</v>
      </c>
      <c r="I1190" s="19">
        <v>9.93</v>
      </c>
      <c r="J1190" s="19">
        <v>1.0900000000000001</v>
      </c>
      <c r="K1190" s="19" t="s">
        <v>124</v>
      </c>
      <c r="L1190" s="19" t="s">
        <v>160</v>
      </c>
      <c r="M1190" s="15" t="s">
        <v>888</v>
      </c>
      <c r="N1190" s="15" t="s">
        <v>36</v>
      </c>
      <c r="O1190" s="15" t="s">
        <v>77</v>
      </c>
      <c r="P1190" s="20" t="s">
        <v>366</v>
      </c>
      <c r="Q1190" s="15" t="s">
        <v>79</v>
      </c>
      <c r="R1190" s="4"/>
      <c r="S1190" s="4"/>
    </row>
    <row r="1191" spans="1:19" ht="21" customHeight="1" x14ac:dyDescent="0.25">
      <c r="A1191" s="14">
        <f>DATE(2012,12,31)-550</f>
        <v>40724</v>
      </c>
      <c r="B1191" s="15" t="s">
        <v>648</v>
      </c>
      <c r="C1191" s="15" t="s">
        <v>85</v>
      </c>
      <c r="D1191" s="16">
        <v>38</v>
      </c>
      <c r="E1191" s="17">
        <v>79.81</v>
      </c>
      <c r="F1191" s="16">
        <v>0.08</v>
      </c>
      <c r="G1191" s="15" t="s">
        <v>32</v>
      </c>
      <c r="H1191" s="18">
        <v>5.48</v>
      </c>
      <c r="I1191" s="19">
        <v>2.21</v>
      </c>
      <c r="J1191" s="19">
        <v>1</v>
      </c>
      <c r="K1191" s="19" t="s">
        <v>124</v>
      </c>
      <c r="L1191" s="19" t="s">
        <v>160</v>
      </c>
      <c r="M1191" s="15" t="s">
        <v>888</v>
      </c>
      <c r="N1191" s="15" t="s">
        <v>36</v>
      </c>
      <c r="O1191" s="15" t="s">
        <v>77</v>
      </c>
      <c r="P1191" s="20" t="s">
        <v>211</v>
      </c>
      <c r="Q1191" s="15" t="s">
        <v>79</v>
      </c>
      <c r="R1191" s="4"/>
      <c r="S1191" s="4"/>
    </row>
    <row r="1192" spans="1:19" ht="21" customHeight="1" x14ac:dyDescent="0.25">
      <c r="A1192" s="14">
        <f>DATE(2012,12,31)-1394</f>
        <v>39880</v>
      </c>
      <c r="B1192" s="15" t="s">
        <v>961</v>
      </c>
      <c r="C1192" s="15" t="s">
        <v>51</v>
      </c>
      <c r="D1192" s="16">
        <v>50</v>
      </c>
      <c r="E1192" s="17">
        <v>2451.41</v>
      </c>
      <c r="F1192" s="16">
        <v>7.0000000000000007E-2</v>
      </c>
      <c r="G1192" s="15" t="s">
        <v>32</v>
      </c>
      <c r="H1192" s="18">
        <v>773.36</v>
      </c>
      <c r="I1192" s="19">
        <v>51.98</v>
      </c>
      <c r="J1192" s="19">
        <v>10.17</v>
      </c>
      <c r="K1192" s="19" t="s">
        <v>124</v>
      </c>
      <c r="L1192" s="19" t="s">
        <v>493</v>
      </c>
      <c r="M1192" s="15" t="s">
        <v>1289</v>
      </c>
      <c r="N1192" s="15" t="s">
        <v>64</v>
      </c>
      <c r="O1192" s="15" t="s">
        <v>122</v>
      </c>
      <c r="P1192" s="20" t="s">
        <v>1197</v>
      </c>
      <c r="Q1192" s="15" t="s">
        <v>57</v>
      </c>
      <c r="R1192" s="4"/>
      <c r="S1192" s="4"/>
    </row>
    <row r="1193" spans="1:19" ht="21" customHeight="1" x14ac:dyDescent="0.25">
      <c r="A1193" s="14">
        <f>DATE(2012,12,31)-1394</f>
        <v>39880</v>
      </c>
      <c r="B1193" s="15" t="s">
        <v>961</v>
      </c>
      <c r="C1193" s="15" t="s">
        <v>51</v>
      </c>
      <c r="D1193" s="16">
        <v>11</v>
      </c>
      <c r="E1193" s="17">
        <v>851.24</v>
      </c>
      <c r="F1193" s="16">
        <v>0.1</v>
      </c>
      <c r="G1193" s="15" t="s">
        <v>58</v>
      </c>
      <c r="H1193" s="18">
        <v>-149.4573</v>
      </c>
      <c r="I1193" s="19">
        <v>80.97</v>
      </c>
      <c r="J1193" s="19">
        <v>33.6</v>
      </c>
      <c r="K1193" s="19" t="s">
        <v>124</v>
      </c>
      <c r="L1193" s="19" t="s">
        <v>160</v>
      </c>
      <c r="M1193" s="15" t="s">
        <v>888</v>
      </c>
      <c r="N1193" s="15" t="s">
        <v>64</v>
      </c>
      <c r="O1193" s="15" t="s">
        <v>122</v>
      </c>
      <c r="P1193" s="20" t="s">
        <v>1130</v>
      </c>
      <c r="Q1193" s="15" t="s">
        <v>181</v>
      </c>
      <c r="R1193" s="4"/>
      <c r="S1193" s="4"/>
    </row>
    <row r="1194" spans="1:19" ht="21" customHeight="1" x14ac:dyDescent="0.25">
      <c r="A1194" s="14">
        <f>DATE(2012,12,31)-1457</f>
        <v>39817</v>
      </c>
      <c r="B1194" s="15" t="s">
        <v>88</v>
      </c>
      <c r="C1194" s="15" t="s">
        <v>85</v>
      </c>
      <c r="D1194" s="16">
        <v>17</v>
      </c>
      <c r="E1194" s="17">
        <v>63.34</v>
      </c>
      <c r="F1194" s="16">
        <v>0.03</v>
      </c>
      <c r="G1194" s="15" t="s">
        <v>32</v>
      </c>
      <c r="H1194" s="18">
        <v>-76.015000000000001</v>
      </c>
      <c r="I1194" s="19">
        <v>3.36</v>
      </c>
      <c r="J1194" s="19">
        <v>6.27</v>
      </c>
      <c r="K1194" s="19" t="s">
        <v>124</v>
      </c>
      <c r="L1194" s="19" t="s">
        <v>160</v>
      </c>
      <c r="M1194" s="15" t="s">
        <v>888</v>
      </c>
      <c r="N1194" s="15" t="s">
        <v>36</v>
      </c>
      <c r="O1194" s="15" t="s">
        <v>170</v>
      </c>
      <c r="P1194" s="20" t="s">
        <v>652</v>
      </c>
      <c r="Q1194" s="15" t="s">
        <v>83</v>
      </c>
      <c r="R1194" s="4"/>
      <c r="S1194" s="4"/>
    </row>
    <row r="1195" spans="1:19" ht="21" customHeight="1" x14ac:dyDescent="0.25">
      <c r="A1195" s="14">
        <f>DATE(2012,12,31)-1457</f>
        <v>39817</v>
      </c>
      <c r="B1195" s="15" t="s">
        <v>88</v>
      </c>
      <c r="C1195" s="15" t="s">
        <v>85</v>
      </c>
      <c r="D1195" s="16">
        <v>42</v>
      </c>
      <c r="E1195" s="17">
        <v>151.35</v>
      </c>
      <c r="F1195" s="16">
        <v>7.0000000000000007E-2</v>
      </c>
      <c r="G1195" s="15" t="s">
        <v>101</v>
      </c>
      <c r="H1195" s="18">
        <v>8.33</v>
      </c>
      <c r="I1195" s="19">
        <v>3.71</v>
      </c>
      <c r="J1195" s="19">
        <v>1.93</v>
      </c>
      <c r="K1195" s="19" t="s">
        <v>124</v>
      </c>
      <c r="L1195" s="19" t="s">
        <v>493</v>
      </c>
      <c r="M1195" s="15" t="s">
        <v>1289</v>
      </c>
      <c r="N1195" s="15" t="s">
        <v>36</v>
      </c>
      <c r="O1195" s="15" t="s">
        <v>117</v>
      </c>
      <c r="P1195" s="20" t="s">
        <v>1375</v>
      </c>
      <c r="Q1195" s="15" t="s">
        <v>79</v>
      </c>
      <c r="R1195" s="4"/>
      <c r="S1195" s="4"/>
    </row>
    <row r="1196" spans="1:19" ht="21" customHeight="1" x14ac:dyDescent="0.25">
      <c r="A1196" s="14">
        <f>DATE(2012,12,31)-501</f>
        <v>40773</v>
      </c>
      <c r="B1196" s="15" t="s">
        <v>1268</v>
      </c>
      <c r="C1196" s="15" t="s">
        <v>51</v>
      </c>
      <c r="D1196" s="16">
        <v>44</v>
      </c>
      <c r="E1196" s="17">
        <v>2422.4404999999997</v>
      </c>
      <c r="F1196" s="16">
        <v>0.03</v>
      </c>
      <c r="G1196" s="15" t="s">
        <v>32</v>
      </c>
      <c r="H1196" s="18">
        <v>568.17899999999997</v>
      </c>
      <c r="I1196" s="19">
        <v>65.989999999999995</v>
      </c>
      <c r="J1196" s="19">
        <v>5.31</v>
      </c>
      <c r="K1196" s="19" t="s">
        <v>124</v>
      </c>
      <c r="L1196" s="19" t="s">
        <v>160</v>
      </c>
      <c r="M1196" s="15" t="s">
        <v>888</v>
      </c>
      <c r="N1196" s="15" t="s">
        <v>64</v>
      </c>
      <c r="O1196" s="15" t="s">
        <v>65</v>
      </c>
      <c r="P1196" s="20" t="s">
        <v>1376</v>
      </c>
      <c r="Q1196" s="15" t="s">
        <v>83</v>
      </c>
      <c r="R1196" s="4"/>
      <c r="S1196" s="4"/>
    </row>
    <row r="1197" spans="1:19" ht="21" customHeight="1" x14ac:dyDescent="0.25">
      <c r="A1197" s="14">
        <f>DATE(2012,12,31)-436</f>
        <v>40838</v>
      </c>
      <c r="B1197" s="15" t="s">
        <v>431</v>
      </c>
      <c r="C1197" s="15" t="s">
        <v>85</v>
      </c>
      <c r="D1197" s="16">
        <v>5</v>
      </c>
      <c r="E1197" s="17">
        <v>220.78749999999999</v>
      </c>
      <c r="F1197" s="16">
        <v>0.09</v>
      </c>
      <c r="G1197" s="15" t="s">
        <v>32</v>
      </c>
      <c r="H1197" s="18">
        <v>-305.31600000000003</v>
      </c>
      <c r="I1197" s="19">
        <v>55.99</v>
      </c>
      <c r="J1197" s="19">
        <v>5</v>
      </c>
      <c r="K1197" s="19" t="s">
        <v>124</v>
      </c>
      <c r="L1197" s="19" t="s">
        <v>160</v>
      </c>
      <c r="M1197" s="15" t="s">
        <v>888</v>
      </c>
      <c r="N1197" s="15" t="s">
        <v>64</v>
      </c>
      <c r="O1197" s="15" t="s">
        <v>65</v>
      </c>
      <c r="P1197" s="20" t="s">
        <v>1377</v>
      </c>
      <c r="Q1197" s="15" t="s">
        <v>49</v>
      </c>
      <c r="R1197" s="4"/>
      <c r="S1197" s="4"/>
    </row>
    <row r="1198" spans="1:19" ht="21" customHeight="1" x14ac:dyDescent="0.25">
      <c r="A1198" s="14">
        <f>DATE(2012,12,31)-143</f>
        <v>41131</v>
      </c>
      <c r="B1198" s="15" t="s">
        <v>1378</v>
      </c>
      <c r="C1198" s="15" t="s">
        <v>31</v>
      </c>
      <c r="D1198" s="16">
        <v>32</v>
      </c>
      <c r="E1198" s="17">
        <v>2593.08</v>
      </c>
      <c r="F1198" s="16">
        <v>0</v>
      </c>
      <c r="G1198" s="15" t="s">
        <v>101</v>
      </c>
      <c r="H1198" s="18">
        <v>-673.31</v>
      </c>
      <c r="I1198" s="19">
        <v>79.52</v>
      </c>
      <c r="J1198" s="19">
        <v>48.2</v>
      </c>
      <c r="K1198" s="19" t="s">
        <v>124</v>
      </c>
      <c r="L1198" s="19" t="s">
        <v>164</v>
      </c>
      <c r="M1198" s="15" t="s">
        <v>1228</v>
      </c>
      <c r="N1198" s="15" t="s">
        <v>54</v>
      </c>
      <c r="O1198" s="15" t="s">
        <v>55</v>
      </c>
      <c r="P1198" s="20" t="s">
        <v>909</v>
      </c>
      <c r="Q1198" s="15" t="s">
        <v>57</v>
      </c>
      <c r="R1198" s="4"/>
      <c r="S1198" s="4"/>
    </row>
    <row r="1199" spans="1:19" ht="21" customHeight="1" x14ac:dyDescent="0.25">
      <c r="A1199" s="14">
        <f>DATE(2012,12,31)-143</f>
        <v>41131</v>
      </c>
      <c r="B1199" s="15" t="s">
        <v>1378</v>
      </c>
      <c r="C1199" s="15" t="s">
        <v>31</v>
      </c>
      <c r="D1199" s="16">
        <v>25</v>
      </c>
      <c r="E1199" s="17">
        <v>2529.3960000000002</v>
      </c>
      <c r="F1199" s="16">
        <v>0.06</v>
      </c>
      <c r="G1199" s="15" t="s">
        <v>101</v>
      </c>
      <c r="H1199" s="18">
        <v>371.214</v>
      </c>
      <c r="I1199" s="19">
        <v>125.99</v>
      </c>
      <c r="J1199" s="19">
        <v>3</v>
      </c>
      <c r="K1199" s="19" t="s">
        <v>124</v>
      </c>
      <c r="L1199" s="19" t="s">
        <v>168</v>
      </c>
      <c r="M1199" s="15" t="s">
        <v>169</v>
      </c>
      <c r="N1199" s="15" t="s">
        <v>64</v>
      </c>
      <c r="O1199" s="15" t="s">
        <v>65</v>
      </c>
      <c r="P1199" s="20" t="s">
        <v>601</v>
      </c>
      <c r="Q1199" s="15" t="s">
        <v>83</v>
      </c>
      <c r="R1199" s="4"/>
      <c r="S1199" s="4"/>
    </row>
    <row r="1200" spans="1:19" ht="21" customHeight="1" x14ac:dyDescent="0.25">
      <c r="A1200" s="14">
        <f>DATE(2012,12,31)-700</f>
        <v>40574</v>
      </c>
      <c r="B1200" s="15" t="s">
        <v>1379</v>
      </c>
      <c r="C1200" s="15" t="s">
        <v>85</v>
      </c>
      <c r="D1200" s="16">
        <v>15</v>
      </c>
      <c r="E1200" s="17">
        <v>1866.12</v>
      </c>
      <c r="F1200" s="16">
        <v>7.0000000000000007E-2</v>
      </c>
      <c r="G1200" s="15" t="s">
        <v>32</v>
      </c>
      <c r="H1200" s="18">
        <v>400.69</v>
      </c>
      <c r="I1200" s="19">
        <v>123.38</v>
      </c>
      <c r="J1200" s="19">
        <v>24.49</v>
      </c>
      <c r="K1200" s="19" t="s">
        <v>124</v>
      </c>
      <c r="L1200" s="19" t="s">
        <v>125</v>
      </c>
      <c r="M1200" s="15" t="s">
        <v>1297</v>
      </c>
      <c r="N1200" s="15" t="s">
        <v>36</v>
      </c>
      <c r="O1200" s="15" t="s">
        <v>176</v>
      </c>
      <c r="P1200" s="20" t="s">
        <v>1380</v>
      </c>
      <c r="Q1200" s="15" t="s">
        <v>39</v>
      </c>
      <c r="R1200" s="4"/>
      <c r="S1200" s="4"/>
    </row>
    <row r="1201" spans="1:19" ht="21" customHeight="1" x14ac:dyDescent="0.25">
      <c r="A1201" s="14">
        <f>DATE(2012,12,31)-11</f>
        <v>41263</v>
      </c>
      <c r="B1201" s="15" t="s">
        <v>282</v>
      </c>
      <c r="C1201" s="15" t="s">
        <v>43</v>
      </c>
      <c r="D1201" s="16">
        <v>6</v>
      </c>
      <c r="E1201" s="17">
        <v>1184.1099999999999</v>
      </c>
      <c r="F1201" s="16">
        <v>7.0000000000000007E-2</v>
      </c>
      <c r="G1201" s="15" t="s">
        <v>32</v>
      </c>
      <c r="H1201" s="18">
        <v>-145.07</v>
      </c>
      <c r="I1201" s="19">
        <v>193.17</v>
      </c>
      <c r="J1201" s="19">
        <v>19.989999999999998</v>
      </c>
      <c r="K1201" s="19" t="s">
        <v>124</v>
      </c>
      <c r="L1201" s="19" t="s">
        <v>319</v>
      </c>
      <c r="M1201" s="15" t="s">
        <v>320</v>
      </c>
      <c r="N1201" s="15" t="s">
        <v>36</v>
      </c>
      <c r="O1201" s="15" t="s">
        <v>37</v>
      </c>
      <c r="P1201" s="20" t="s">
        <v>197</v>
      </c>
      <c r="Q1201" s="15" t="s">
        <v>83</v>
      </c>
      <c r="R1201" s="4"/>
      <c r="S1201" s="4"/>
    </row>
    <row r="1202" spans="1:19" ht="21" customHeight="1" x14ac:dyDescent="0.25">
      <c r="A1202" s="14">
        <f>DATE(2012,12,31)-11</f>
        <v>41263</v>
      </c>
      <c r="B1202" s="15" t="s">
        <v>282</v>
      </c>
      <c r="C1202" s="15" t="s">
        <v>43</v>
      </c>
      <c r="D1202" s="16">
        <v>17</v>
      </c>
      <c r="E1202" s="17">
        <v>514.22</v>
      </c>
      <c r="F1202" s="16">
        <v>0.02</v>
      </c>
      <c r="G1202" s="15" t="s">
        <v>32</v>
      </c>
      <c r="H1202" s="18">
        <v>187.374</v>
      </c>
      <c r="I1202" s="19">
        <v>30.56</v>
      </c>
      <c r="J1202" s="19">
        <v>2.99</v>
      </c>
      <c r="K1202" s="19" t="s">
        <v>44</v>
      </c>
      <c r="L1202" s="19" t="s">
        <v>52</v>
      </c>
      <c r="M1202" s="15" t="s">
        <v>1300</v>
      </c>
      <c r="N1202" s="15" t="s">
        <v>36</v>
      </c>
      <c r="O1202" s="15" t="s">
        <v>170</v>
      </c>
      <c r="P1202" s="20" t="s">
        <v>1381</v>
      </c>
      <c r="Q1202" s="15" t="s">
        <v>83</v>
      </c>
      <c r="R1202" s="4"/>
      <c r="S1202" s="4"/>
    </row>
    <row r="1203" spans="1:19" ht="21" customHeight="1" x14ac:dyDescent="0.25">
      <c r="A1203" s="14">
        <f>DATE(2012,12,31)-1040</f>
        <v>40234</v>
      </c>
      <c r="B1203" s="15" t="s">
        <v>1189</v>
      </c>
      <c r="C1203" s="15" t="s">
        <v>31</v>
      </c>
      <c r="D1203" s="16">
        <v>19</v>
      </c>
      <c r="E1203" s="17">
        <v>428.14</v>
      </c>
      <c r="F1203" s="16">
        <v>0.04</v>
      </c>
      <c r="G1203" s="15" t="s">
        <v>32</v>
      </c>
      <c r="H1203" s="18">
        <v>-6.04</v>
      </c>
      <c r="I1203" s="19">
        <v>22.84</v>
      </c>
      <c r="J1203" s="19">
        <v>11.54</v>
      </c>
      <c r="K1203" s="19" t="s">
        <v>44</v>
      </c>
      <c r="L1203" s="19" t="s">
        <v>52</v>
      </c>
      <c r="M1203" s="15" t="s">
        <v>1300</v>
      </c>
      <c r="N1203" s="15" t="s">
        <v>36</v>
      </c>
      <c r="O1203" s="15" t="s">
        <v>117</v>
      </c>
      <c r="P1203" s="20" t="s">
        <v>203</v>
      </c>
      <c r="Q1203" s="15" t="s">
        <v>83</v>
      </c>
      <c r="R1203" s="4"/>
      <c r="S1203" s="4"/>
    </row>
    <row r="1204" spans="1:19" ht="21" customHeight="1" x14ac:dyDescent="0.25">
      <c r="A1204" s="14">
        <f>DATE(2012,12,31)-1040</f>
        <v>40234</v>
      </c>
      <c r="B1204" s="15" t="s">
        <v>1189</v>
      </c>
      <c r="C1204" s="15" t="s">
        <v>31</v>
      </c>
      <c r="D1204" s="16">
        <v>14</v>
      </c>
      <c r="E1204" s="17">
        <v>1379.3374999999999</v>
      </c>
      <c r="F1204" s="16">
        <v>0.08</v>
      </c>
      <c r="G1204" s="15" t="s">
        <v>32</v>
      </c>
      <c r="H1204" s="18">
        <v>-78.540000000000063</v>
      </c>
      <c r="I1204" s="19">
        <v>125.99</v>
      </c>
      <c r="J1204" s="19">
        <v>4.2</v>
      </c>
      <c r="K1204" s="19" t="s">
        <v>44</v>
      </c>
      <c r="L1204" s="19" t="s">
        <v>45</v>
      </c>
      <c r="M1204" s="15" t="s">
        <v>1264</v>
      </c>
      <c r="N1204" s="15" t="s">
        <v>64</v>
      </c>
      <c r="O1204" s="15" t="s">
        <v>65</v>
      </c>
      <c r="P1204" s="20" t="s">
        <v>1382</v>
      </c>
      <c r="Q1204" s="15" t="s">
        <v>83</v>
      </c>
      <c r="R1204" s="4"/>
      <c r="S1204" s="4"/>
    </row>
    <row r="1205" spans="1:19" ht="21" customHeight="1" x14ac:dyDescent="0.25">
      <c r="A1205" s="14">
        <f>DATE(2012,12,31)-333</f>
        <v>40941</v>
      </c>
      <c r="B1205" s="15" t="s">
        <v>1007</v>
      </c>
      <c r="C1205" s="15" t="s">
        <v>31</v>
      </c>
      <c r="D1205" s="16">
        <v>39</v>
      </c>
      <c r="E1205" s="17">
        <v>647.80999999999995</v>
      </c>
      <c r="F1205" s="16">
        <v>0.1</v>
      </c>
      <c r="G1205" s="15" t="s">
        <v>32</v>
      </c>
      <c r="H1205" s="18">
        <v>8.6500000000000057</v>
      </c>
      <c r="I1205" s="19">
        <v>17.670000000000002</v>
      </c>
      <c r="J1205" s="19">
        <v>8.99</v>
      </c>
      <c r="K1205" s="19" t="s">
        <v>44</v>
      </c>
      <c r="L1205" s="19" t="s">
        <v>52</v>
      </c>
      <c r="M1205" s="15" t="s">
        <v>1300</v>
      </c>
      <c r="N1205" s="15" t="s">
        <v>54</v>
      </c>
      <c r="O1205" s="15" t="s">
        <v>55</v>
      </c>
      <c r="P1205" s="20" t="s">
        <v>458</v>
      </c>
      <c r="Q1205" s="15" t="s">
        <v>49</v>
      </c>
      <c r="R1205" s="4"/>
      <c r="S1205" s="4"/>
    </row>
    <row r="1206" spans="1:19" ht="21" customHeight="1" x14ac:dyDescent="0.25">
      <c r="A1206" s="14">
        <f>DATE(2012,12,31)-241</f>
        <v>41033</v>
      </c>
      <c r="B1206" s="15" t="s">
        <v>826</v>
      </c>
      <c r="C1206" s="15" t="s">
        <v>31</v>
      </c>
      <c r="D1206" s="16">
        <v>40</v>
      </c>
      <c r="E1206" s="17">
        <v>3338.98</v>
      </c>
      <c r="F1206" s="16">
        <v>0</v>
      </c>
      <c r="G1206" s="15" t="s">
        <v>32</v>
      </c>
      <c r="H1206" s="18">
        <v>-846.73</v>
      </c>
      <c r="I1206" s="19">
        <v>80.98</v>
      </c>
      <c r="J1206" s="19">
        <v>35</v>
      </c>
      <c r="K1206" s="19" t="s">
        <v>44</v>
      </c>
      <c r="L1206" s="19" t="s">
        <v>52</v>
      </c>
      <c r="M1206" s="15" t="s">
        <v>1300</v>
      </c>
      <c r="N1206" s="15" t="s">
        <v>36</v>
      </c>
      <c r="O1206" s="15" t="s">
        <v>37</v>
      </c>
      <c r="P1206" s="20" t="s">
        <v>1383</v>
      </c>
      <c r="Q1206" s="15" t="s">
        <v>39</v>
      </c>
      <c r="R1206" s="4"/>
      <c r="S1206" s="4"/>
    </row>
    <row r="1207" spans="1:19" ht="21" customHeight="1" x14ac:dyDescent="0.25">
      <c r="A1207" s="14">
        <f>DATE(2012,12,31)-784</f>
        <v>40490</v>
      </c>
      <c r="B1207" s="15" t="s">
        <v>576</v>
      </c>
      <c r="C1207" s="15" t="s">
        <v>51</v>
      </c>
      <c r="D1207" s="16">
        <v>45</v>
      </c>
      <c r="E1207" s="17">
        <v>6688.11</v>
      </c>
      <c r="F1207" s="16">
        <v>0.08</v>
      </c>
      <c r="G1207" s="15" t="s">
        <v>32</v>
      </c>
      <c r="H1207" s="18">
        <v>2872.88</v>
      </c>
      <c r="I1207" s="19">
        <v>150.97999999999999</v>
      </c>
      <c r="J1207" s="19">
        <v>13.99</v>
      </c>
      <c r="K1207" s="19" t="s">
        <v>44</v>
      </c>
      <c r="L1207" s="19" t="s">
        <v>80</v>
      </c>
      <c r="M1207" s="15" t="s">
        <v>1200</v>
      </c>
      <c r="N1207" s="15" t="s">
        <v>64</v>
      </c>
      <c r="O1207" s="15" t="s">
        <v>122</v>
      </c>
      <c r="P1207" s="20" t="s">
        <v>123</v>
      </c>
      <c r="Q1207" s="15" t="s">
        <v>57</v>
      </c>
      <c r="R1207" s="4"/>
      <c r="S1207" s="4"/>
    </row>
    <row r="1208" spans="1:19" ht="21" customHeight="1" x14ac:dyDescent="0.25">
      <c r="A1208" s="14">
        <f>DATE(2012,12,31)-784</f>
        <v>40490</v>
      </c>
      <c r="B1208" s="15" t="s">
        <v>576</v>
      </c>
      <c r="C1208" s="15" t="s">
        <v>51</v>
      </c>
      <c r="D1208" s="16">
        <v>1</v>
      </c>
      <c r="E1208" s="17">
        <v>16.73</v>
      </c>
      <c r="F1208" s="16">
        <v>0.08</v>
      </c>
      <c r="G1208" s="15" t="s">
        <v>32</v>
      </c>
      <c r="H1208" s="18">
        <v>-6.96</v>
      </c>
      <c r="I1208" s="19">
        <v>12.64</v>
      </c>
      <c r="J1208" s="19">
        <v>4.9800000000000004</v>
      </c>
      <c r="K1208" s="19" t="s">
        <v>44</v>
      </c>
      <c r="L1208" s="19" t="s">
        <v>52</v>
      </c>
      <c r="M1208" s="15" t="s">
        <v>1300</v>
      </c>
      <c r="N1208" s="15" t="s">
        <v>54</v>
      </c>
      <c r="O1208" s="15" t="s">
        <v>55</v>
      </c>
      <c r="P1208" s="20" t="s">
        <v>166</v>
      </c>
      <c r="Q1208" s="15" t="s">
        <v>49</v>
      </c>
      <c r="R1208" s="4"/>
      <c r="S1208" s="4"/>
    </row>
    <row r="1209" spans="1:19" ht="21" customHeight="1" x14ac:dyDescent="0.25">
      <c r="A1209" s="14">
        <f>DATE(2012,12,31)-1175</f>
        <v>40099</v>
      </c>
      <c r="B1209" s="15" t="s">
        <v>777</v>
      </c>
      <c r="C1209" s="15" t="s">
        <v>85</v>
      </c>
      <c r="D1209" s="16">
        <v>12</v>
      </c>
      <c r="E1209" s="17">
        <v>153.44</v>
      </c>
      <c r="F1209" s="16">
        <v>0.05</v>
      </c>
      <c r="G1209" s="15" t="s">
        <v>32</v>
      </c>
      <c r="H1209" s="18">
        <v>-6.15</v>
      </c>
      <c r="I1209" s="19">
        <v>12.2</v>
      </c>
      <c r="J1209" s="19">
        <v>6.02</v>
      </c>
      <c r="K1209" s="19" t="s">
        <v>124</v>
      </c>
      <c r="L1209" s="19" t="s">
        <v>158</v>
      </c>
      <c r="M1209" s="15" t="s">
        <v>158</v>
      </c>
      <c r="N1209" s="15" t="s">
        <v>54</v>
      </c>
      <c r="O1209" s="15" t="s">
        <v>55</v>
      </c>
      <c r="P1209" s="20" t="s">
        <v>1384</v>
      </c>
      <c r="Q1209" s="15" t="s">
        <v>49</v>
      </c>
      <c r="R1209" s="4"/>
      <c r="S1209" s="4"/>
    </row>
    <row r="1210" spans="1:19" ht="21" customHeight="1" x14ac:dyDescent="0.25">
      <c r="A1210" s="14">
        <f>DATE(2012,12,31)-1433</f>
        <v>39841</v>
      </c>
      <c r="B1210" s="15" t="s">
        <v>659</v>
      </c>
      <c r="C1210" s="15" t="s">
        <v>31</v>
      </c>
      <c r="D1210" s="16">
        <v>3</v>
      </c>
      <c r="E1210" s="17">
        <v>190.45</v>
      </c>
      <c r="F1210" s="16">
        <v>0.02</v>
      </c>
      <c r="G1210" s="15" t="s">
        <v>32</v>
      </c>
      <c r="H1210" s="18">
        <v>-44.05</v>
      </c>
      <c r="I1210" s="19">
        <v>59.98</v>
      </c>
      <c r="J1210" s="19">
        <v>3.99</v>
      </c>
      <c r="K1210" s="19" t="s">
        <v>44</v>
      </c>
      <c r="L1210" s="19" t="s">
        <v>120</v>
      </c>
      <c r="M1210" s="15" t="s">
        <v>121</v>
      </c>
      <c r="N1210" s="15" t="s">
        <v>36</v>
      </c>
      <c r="O1210" s="15" t="s">
        <v>176</v>
      </c>
      <c r="P1210" s="20" t="s">
        <v>351</v>
      </c>
      <c r="Q1210" s="15" t="s">
        <v>83</v>
      </c>
      <c r="R1210" s="4"/>
      <c r="S1210" s="4"/>
    </row>
    <row r="1211" spans="1:19" ht="21" customHeight="1" x14ac:dyDescent="0.25">
      <c r="A1211" s="14">
        <f>DATE(2012,12,31)-1433</f>
        <v>39841</v>
      </c>
      <c r="B1211" s="15" t="s">
        <v>659</v>
      </c>
      <c r="C1211" s="15" t="s">
        <v>31</v>
      </c>
      <c r="D1211" s="16">
        <v>34</v>
      </c>
      <c r="E1211" s="17">
        <v>179.99</v>
      </c>
      <c r="F1211" s="16">
        <v>0.03</v>
      </c>
      <c r="G1211" s="15" t="s">
        <v>32</v>
      </c>
      <c r="H1211" s="18">
        <v>-102.26950000000001</v>
      </c>
      <c r="I1211" s="19">
        <v>5.18</v>
      </c>
      <c r="J1211" s="19">
        <v>5.74</v>
      </c>
      <c r="K1211" s="19" t="s">
        <v>33</v>
      </c>
      <c r="L1211" s="19" t="s">
        <v>93</v>
      </c>
      <c r="M1211" s="15" t="s">
        <v>94</v>
      </c>
      <c r="N1211" s="15" t="s">
        <v>36</v>
      </c>
      <c r="O1211" s="15" t="s">
        <v>170</v>
      </c>
      <c r="P1211" s="20" t="s">
        <v>427</v>
      </c>
      <c r="Q1211" s="15" t="s">
        <v>83</v>
      </c>
      <c r="R1211" s="4"/>
      <c r="S1211" s="4"/>
    </row>
    <row r="1212" spans="1:19" ht="21" customHeight="1" x14ac:dyDescent="0.25">
      <c r="A1212" s="14">
        <f>DATE(2012,12,31)-1032</f>
        <v>40242</v>
      </c>
      <c r="B1212" s="15" t="s">
        <v>1142</v>
      </c>
      <c r="C1212" s="15" t="s">
        <v>43</v>
      </c>
      <c r="D1212" s="16">
        <v>15</v>
      </c>
      <c r="E1212" s="17">
        <v>441.58</v>
      </c>
      <c r="F1212" s="16">
        <v>7.0000000000000007E-2</v>
      </c>
      <c r="G1212" s="15" t="s">
        <v>32</v>
      </c>
      <c r="H1212" s="18">
        <v>117.39</v>
      </c>
      <c r="I1212" s="19">
        <v>30.98</v>
      </c>
      <c r="J1212" s="19">
        <v>5.09</v>
      </c>
      <c r="K1212" s="19" t="s">
        <v>33</v>
      </c>
      <c r="L1212" s="19" t="s">
        <v>59</v>
      </c>
      <c r="M1212" s="15" t="s">
        <v>1361</v>
      </c>
      <c r="N1212" s="15" t="s">
        <v>36</v>
      </c>
      <c r="O1212" s="15" t="s">
        <v>117</v>
      </c>
      <c r="P1212" s="20" t="s">
        <v>1385</v>
      </c>
      <c r="Q1212" s="15" t="s">
        <v>83</v>
      </c>
      <c r="R1212" s="4"/>
      <c r="S1212" s="4"/>
    </row>
    <row r="1213" spans="1:19" ht="21" customHeight="1" x14ac:dyDescent="0.25">
      <c r="A1213" s="14">
        <f>DATE(2012,12,31)-499</f>
        <v>40775</v>
      </c>
      <c r="B1213" s="15" t="s">
        <v>1386</v>
      </c>
      <c r="C1213" s="15" t="s">
        <v>31</v>
      </c>
      <c r="D1213" s="16">
        <v>15</v>
      </c>
      <c r="E1213" s="17">
        <v>168.9</v>
      </c>
      <c r="F1213" s="16">
        <v>0.09</v>
      </c>
      <c r="G1213" s="15" t="s">
        <v>101</v>
      </c>
      <c r="H1213" s="18">
        <v>-16.1907</v>
      </c>
      <c r="I1213" s="19">
        <v>9.99</v>
      </c>
      <c r="J1213" s="19">
        <v>6.24</v>
      </c>
      <c r="K1213" s="19" t="s">
        <v>69</v>
      </c>
      <c r="L1213" s="19" t="s">
        <v>215</v>
      </c>
      <c r="M1213" s="15" t="s">
        <v>1133</v>
      </c>
      <c r="N1213" s="15" t="s">
        <v>64</v>
      </c>
      <c r="O1213" s="15" t="s">
        <v>122</v>
      </c>
      <c r="P1213" s="20" t="s">
        <v>1387</v>
      </c>
      <c r="Q1213" s="15" t="s">
        <v>57</v>
      </c>
      <c r="R1213" s="4"/>
      <c r="S1213" s="4"/>
    </row>
    <row r="1214" spans="1:19" ht="21" customHeight="1" x14ac:dyDescent="0.25">
      <c r="A1214" s="14">
        <f>DATE(2012,12,31)-561</f>
        <v>40713</v>
      </c>
      <c r="B1214" s="15" t="s">
        <v>1219</v>
      </c>
      <c r="C1214" s="15" t="s">
        <v>51</v>
      </c>
      <c r="D1214" s="16">
        <v>27</v>
      </c>
      <c r="E1214" s="17">
        <v>180.46</v>
      </c>
      <c r="F1214" s="16">
        <v>0.05</v>
      </c>
      <c r="G1214" s="15" t="s">
        <v>32</v>
      </c>
      <c r="H1214" s="18">
        <v>-57.62</v>
      </c>
      <c r="I1214" s="19">
        <v>6.48</v>
      </c>
      <c r="J1214" s="19">
        <v>5.94</v>
      </c>
      <c r="K1214" s="19" t="s">
        <v>69</v>
      </c>
      <c r="L1214" s="19" t="s">
        <v>215</v>
      </c>
      <c r="M1214" s="15" t="s">
        <v>1388</v>
      </c>
      <c r="N1214" s="15" t="s">
        <v>36</v>
      </c>
      <c r="O1214" s="15" t="s">
        <v>117</v>
      </c>
      <c r="P1214" s="20" t="s">
        <v>1221</v>
      </c>
      <c r="Q1214" s="15" t="s">
        <v>83</v>
      </c>
      <c r="R1214" s="4"/>
      <c r="S1214" s="4"/>
    </row>
    <row r="1215" spans="1:19" ht="21" customHeight="1" x14ac:dyDescent="0.25">
      <c r="A1215" s="14">
        <f>DATE(2012,12,31)-1322</f>
        <v>39952</v>
      </c>
      <c r="B1215" s="15" t="s">
        <v>1389</v>
      </c>
      <c r="C1215" s="15" t="s">
        <v>85</v>
      </c>
      <c r="D1215" s="16">
        <v>14</v>
      </c>
      <c r="E1215" s="17">
        <v>145.86000000000001</v>
      </c>
      <c r="F1215" s="16">
        <v>0.04</v>
      </c>
      <c r="G1215" s="15" t="s">
        <v>32</v>
      </c>
      <c r="H1215" s="18">
        <v>-92.32</v>
      </c>
      <c r="I1215" s="19">
        <v>9.99</v>
      </c>
      <c r="J1215" s="19">
        <v>11.59</v>
      </c>
      <c r="K1215" s="19" t="s">
        <v>44</v>
      </c>
      <c r="L1215" s="19" t="s">
        <v>120</v>
      </c>
      <c r="M1215" s="15" t="s">
        <v>121</v>
      </c>
      <c r="N1215" s="15" t="s">
        <v>36</v>
      </c>
      <c r="O1215" s="15" t="s">
        <v>117</v>
      </c>
      <c r="P1215" s="20" t="s">
        <v>1390</v>
      </c>
      <c r="Q1215" s="15" t="s">
        <v>83</v>
      </c>
      <c r="R1215" s="4"/>
      <c r="S1215" s="4"/>
    </row>
    <row r="1216" spans="1:19" ht="21" customHeight="1" x14ac:dyDescent="0.25">
      <c r="A1216" s="14">
        <f>DATE(2012,12,31)-816</f>
        <v>40458</v>
      </c>
      <c r="B1216" s="15" t="s">
        <v>589</v>
      </c>
      <c r="C1216" s="15" t="s">
        <v>51</v>
      </c>
      <c r="D1216" s="16">
        <v>37</v>
      </c>
      <c r="E1216" s="17">
        <v>1520.26</v>
      </c>
      <c r="F1216" s="16">
        <v>0.04</v>
      </c>
      <c r="G1216" s="15" t="s">
        <v>32</v>
      </c>
      <c r="H1216" s="18">
        <v>640.84050000000002</v>
      </c>
      <c r="I1216" s="19">
        <v>42.8</v>
      </c>
      <c r="J1216" s="19">
        <v>2.99</v>
      </c>
      <c r="K1216" s="19" t="s">
        <v>44</v>
      </c>
      <c r="L1216" s="19" t="s">
        <v>89</v>
      </c>
      <c r="M1216" s="15" t="s">
        <v>1341</v>
      </c>
      <c r="N1216" s="15" t="s">
        <v>36</v>
      </c>
      <c r="O1216" s="15" t="s">
        <v>170</v>
      </c>
      <c r="P1216" s="20" t="s">
        <v>1391</v>
      </c>
      <c r="Q1216" s="15" t="s">
        <v>83</v>
      </c>
      <c r="R1216" s="4"/>
      <c r="S1216" s="4"/>
    </row>
    <row r="1217" spans="1:19" ht="21" customHeight="1" x14ac:dyDescent="0.25">
      <c r="A1217" s="14">
        <f>DATE(2012,12,31)-816</f>
        <v>40458</v>
      </c>
      <c r="B1217" s="15" t="s">
        <v>589</v>
      </c>
      <c r="C1217" s="15" t="s">
        <v>51</v>
      </c>
      <c r="D1217" s="16">
        <v>30</v>
      </c>
      <c r="E1217" s="17">
        <v>688.02</v>
      </c>
      <c r="F1217" s="16">
        <v>0.06</v>
      </c>
      <c r="G1217" s="15" t="s">
        <v>32</v>
      </c>
      <c r="H1217" s="18">
        <v>154.99</v>
      </c>
      <c r="I1217" s="19">
        <v>22.98</v>
      </c>
      <c r="J1217" s="19">
        <v>7.58</v>
      </c>
      <c r="K1217" s="19" t="s">
        <v>44</v>
      </c>
      <c r="L1217" s="19" t="s">
        <v>89</v>
      </c>
      <c r="M1217" s="15" t="s">
        <v>1341</v>
      </c>
      <c r="N1217" s="15" t="s">
        <v>54</v>
      </c>
      <c r="O1217" s="15" t="s">
        <v>55</v>
      </c>
      <c r="P1217" s="20" t="s">
        <v>579</v>
      </c>
      <c r="Q1217" s="15" t="s">
        <v>83</v>
      </c>
      <c r="R1217" s="4"/>
      <c r="S1217" s="4"/>
    </row>
    <row r="1218" spans="1:19" ht="21" customHeight="1" x14ac:dyDescent="0.25">
      <c r="A1218" s="14">
        <f>DATE(2012,12,31)-940</f>
        <v>40334</v>
      </c>
      <c r="B1218" s="15" t="s">
        <v>1354</v>
      </c>
      <c r="C1218" s="15" t="s">
        <v>85</v>
      </c>
      <c r="D1218" s="16">
        <v>46</v>
      </c>
      <c r="E1218" s="17">
        <v>4335.34</v>
      </c>
      <c r="F1218" s="16">
        <v>7.0000000000000007E-2</v>
      </c>
      <c r="G1218" s="15" t="s">
        <v>101</v>
      </c>
      <c r="H1218" s="18">
        <v>524.09</v>
      </c>
      <c r="I1218" s="19">
        <v>99.99</v>
      </c>
      <c r="J1218" s="19">
        <v>19.989999999999998</v>
      </c>
      <c r="K1218" s="19" t="s">
        <v>97</v>
      </c>
      <c r="L1218" s="19" t="s">
        <v>98</v>
      </c>
      <c r="M1218" s="15" t="s">
        <v>1162</v>
      </c>
      <c r="N1218" s="15" t="s">
        <v>64</v>
      </c>
      <c r="O1218" s="15" t="s">
        <v>72</v>
      </c>
      <c r="P1218" s="20" t="s">
        <v>496</v>
      </c>
      <c r="Q1218" s="15" t="s">
        <v>83</v>
      </c>
      <c r="R1218" s="4"/>
      <c r="S1218" s="4"/>
    </row>
    <row r="1219" spans="1:19" ht="21" customHeight="1" x14ac:dyDescent="0.25">
      <c r="A1219" s="14">
        <f>DATE(2012,12,31)-940</f>
        <v>40334</v>
      </c>
      <c r="B1219" s="15" t="s">
        <v>1354</v>
      </c>
      <c r="C1219" s="15" t="s">
        <v>85</v>
      </c>
      <c r="D1219" s="16">
        <v>15</v>
      </c>
      <c r="E1219" s="17">
        <v>1150.5345</v>
      </c>
      <c r="F1219" s="16">
        <v>0.01</v>
      </c>
      <c r="G1219" s="15" t="s">
        <v>32</v>
      </c>
      <c r="H1219" s="18">
        <v>361.64699999999999</v>
      </c>
      <c r="I1219" s="19">
        <v>85.99</v>
      </c>
      <c r="J1219" s="19">
        <v>1.25</v>
      </c>
      <c r="K1219" s="19" t="s">
        <v>124</v>
      </c>
      <c r="L1219" s="19" t="s">
        <v>160</v>
      </c>
      <c r="M1219" s="15" t="s">
        <v>888</v>
      </c>
      <c r="N1219" s="15" t="s">
        <v>64</v>
      </c>
      <c r="O1219" s="15" t="s">
        <v>65</v>
      </c>
      <c r="P1219" s="20" t="s">
        <v>685</v>
      </c>
      <c r="Q1219" s="15" t="s">
        <v>49</v>
      </c>
      <c r="R1219" s="4"/>
      <c r="S1219" s="4"/>
    </row>
    <row r="1220" spans="1:19" ht="21" customHeight="1" x14ac:dyDescent="0.25">
      <c r="A1220" s="14">
        <f>DATE(2012,12,31)-552</f>
        <v>40722</v>
      </c>
      <c r="B1220" s="15" t="s">
        <v>1094</v>
      </c>
      <c r="C1220" s="15" t="s">
        <v>31</v>
      </c>
      <c r="D1220" s="16">
        <v>48</v>
      </c>
      <c r="E1220" s="17">
        <v>4644.87</v>
      </c>
      <c r="F1220" s="16">
        <v>0.08</v>
      </c>
      <c r="G1220" s="15" t="s">
        <v>58</v>
      </c>
      <c r="H1220" s="18">
        <v>-1291.3900000000001</v>
      </c>
      <c r="I1220" s="19">
        <v>100.8</v>
      </c>
      <c r="J1220" s="19">
        <v>60</v>
      </c>
      <c r="K1220" s="19" t="s">
        <v>44</v>
      </c>
      <c r="L1220" s="19" t="s">
        <v>52</v>
      </c>
      <c r="M1220" s="15" t="s">
        <v>1300</v>
      </c>
      <c r="N1220" s="15" t="s">
        <v>54</v>
      </c>
      <c r="O1220" s="15" t="s">
        <v>61</v>
      </c>
      <c r="P1220" s="20" t="s">
        <v>408</v>
      </c>
      <c r="Q1220" s="15" t="s">
        <v>181</v>
      </c>
      <c r="R1220" s="4"/>
      <c r="S1220" s="4"/>
    </row>
    <row r="1221" spans="1:19" ht="21" customHeight="1" x14ac:dyDescent="0.25">
      <c r="A1221" s="14">
        <f>DATE(2012,12,31)-552</f>
        <v>40722</v>
      </c>
      <c r="B1221" s="15" t="s">
        <v>1094</v>
      </c>
      <c r="C1221" s="15" t="s">
        <v>31</v>
      </c>
      <c r="D1221" s="16">
        <v>15</v>
      </c>
      <c r="E1221" s="17">
        <v>627.69000000000005</v>
      </c>
      <c r="F1221" s="16">
        <v>0</v>
      </c>
      <c r="G1221" s="15" t="s">
        <v>32</v>
      </c>
      <c r="H1221" s="18">
        <v>-12.02</v>
      </c>
      <c r="I1221" s="19">
        <v>39.979999999999997</v>
      </c>
      <c r="J1221" s="19">
        <v>4</v>
      </c>
      <c r="K1221" s="19" t="s">
        <v>33</v>
      </c>
      <c r="L1221" s="19" t="s">
        <v>93</v>
      </c>
      <c r="M1221" s="15" t="s">
        <v>94</v>
      </c>
      <c r="N1221" s="15" t="s">
        <v>64</v>
      </c>
      <c r="O1221" s="15" t="s">
        <v>72</v>
      </c>
      <c r="P1221" s="20" t="s">
        <v>733</v>
      </c>
      <c r="Q1221" s="15" t="s">
        <v>83</v>
      </c>
      <c r="R1221" s="4"/>
      <c r="S1221" s="4"/>
    </row>
    <row r="1222" spans="1:19" ht="21" customHeight="1" x14ac:dyDescent="0.25">
      <c r="A1222" s="14">
        <f>DATE(2012,12,31)-780</f>
        <v>40494</v>
      </c>
      <c r="B1222" s="15" t="s">
        <v>465</v>
      </c>
      <c r="C1222" s="15" t="s">
        <v>51</v>
      </c>
      <c r="D1222" s="16">
        <v>3</v>
      </c>
      <c r="E1222" s="17">
        <v>441.43</v>
      </c>
      <c r="F1222" s="16">
        <v>0.06</v>
      </c>
      <c r="G1222" s="15" t="s">
        <v>32</v>
      </c>
      <c r="H1222" s="18">
        <v>-154.44999999999999</v>
      </c>
      <c r="I1222" s="19">
        <v>140.81</v>
      </c>
      <c r="J1222" s="19">
        <v>24.49</v>
      </c>
      <c r="K1222" s="19" t="s">
        <v>44</v>
      </c>
      <c r="L1222" s="19" t="s">
        <v>52</v>
      </c>
      <c r="M1222" s="15" t="s">
        <v>1300</v>
      </c>
      <c r="N1222" s="15" t="s">
        <v>54</v>
      </c>
      <c r="O1222" s="15" t="s">
        <v>252</v>
      </c>
      <c r="P1222" s="20" t="s">
        <v>1392</v>
      </c>
      <c r="Q1222" s="15" t="s">
        <v>39</v>
      </c>
      <c r="R1222" s="4"/>
      <c r="S1222" s="4"/>
    </row>
    <row r="1223" spans="1:19" ht="21" customHeight="1" x14ac:dyDescent="0.25">
      <c r="A1223" s="14">
        <f>DATE(2012,12,31)-780</f>
        <v>40494</v>
      </c>
      <c r="B1223" s="15" t="s">
        <v>465</v>
      </c>
      <c r="C1223" s="15" t="s">
        <v>51</v>
      </c>
      <c r="D1223" s="16">
        <v>14</v>
      </c>
      <c r="E1223" s="17">
        <v>2145.6974999999998</v>
      </c>
      <c r="F1223" s="16">
        <v>0.08</v>
      </c>
      <c r="G1223" s="15" t="s">
        <v>32</v>
      </c>
      <c r="H1223" s="18">
        <v>-176.792</v>
      </c>
      <c r="I1223" s="19">
        <v>195.99</v>
      </c>
      <c r="J1223" s="19">
        <v>4.2</v>
      </c>
      <c r="K1223" s="19" t="s">
        <v>69</v>
      </c>
      <c r="L1223" s="19" t="s">
        <v>70</v>
      </c>
      <c r="M1223" s="15" t="s">
        <v>1337</v>
      </c>
      <c r="N1223" s="15" t="s">
        <v>64</v>
      </c>
      <c r="O1223" s="15" t="s">
        <v>65</v>
      </c>
      <c r="P1223" s="20" t="s">
        <v>1393</v>
      </c>
      <c r="Q1223" s="15" t="s">
        <v>83</v>
      </c>
      <c r="R1223" s="4"/>
      <c r="S1223" s="4"/>
    </row>
    <row r="1224" spans="1:19" ht="21" customHeight="1" x14ac:dyDescent="0.25">
      <c r="A1224" s="14">
        <f>DATE(2012,12,31)-780</f>
        <v>40494</v>
      </c>
      <c r="B1224" s="15" t="s">
        <v>465</v>
      </c>
      <c r="C1224" s="15" t="s">
        <v>51</v>
      </c>
      <c r="D1224" s="16">
        <v>18</v>
      </c>
      <c r="E1224" s="17">
        <v>1341.963</v>
      </c>
      <c r="F1224" s="16">
        <v>0</v>
      </c>
      <c r="G1224" s="15" t="s">
        <v>32</v>
      </c>
      <c r="H1224" s="18">
        <v>180.78300000000002</v>
      </c>
      <c r="I1224" s="19">
        <v>85.99</v>
      </c>
      <c r="J1224" s="19">
        <v>2.79</v>
      </c>
      <c r="K1224" s="19" t="s">
        <v>44</v>
      </c>
      <c r="L1224" s="19" t="s">
        <v>89</v>
      </c>
      <c r="M1224" s="15" t="s">
        <v>1341</v>
      </c>
      <c r="N1224" s="15" t="s">
        <v>64</v>
      </c>
      <c r="O1224" s="15" t="s">
        <v>65</v>
      </c>
      <c r="P1224" s="20" t="s">
        <v>1394</v>
      </c>
      <c r="Q1224" s="15" t="s">
        <v>83</v>
      </c>
      <c r="R1224" s="4"/>
      <c r="S1224" s="4"/>
    </row>
    <row r="1225" spans="1:19" ht="21" customHeight="1" x14ac:dyDescent="0.25">
      <c r="A1225" s="14">
        <f>DATE(2012,12,31)-583</f>
        <v>40691</v>
      </c>
      <c r="B1225" s="15" t="s">
        <v>1395</v>
      </c>
      <c r="C1225" s="15" t="s">
        <v>85</v>
      </c>
      <c r="D1225" s="16">
        <v>41</v>
      </c>
      <c r="E1225" s="17">
        <v>172.15</v>
      </c>
      <c r="F1225" s="16">
        <v>0.02</v>
      </c>
      <c r="G1225" s="15" t="s">
        <v>101</v>
      </c>
      <c r="H1225" s="18">
        <v>86.78</v>
      </c>
      <c r="I1225" s="19">
        <v>3.69</v>
      </c>
      <c r="J1225" s="19">
        <v>0.5</v>
      </c>
      <c r="K1225" s="19" t="s">
        <v>33</v>
      </c>
      <c r="L1225" s="19" t="s">
        <v>93</v>
      </c>
      <c r="M1225" s="15" t="s">
        <v>94</v>
      </c>
      <c r="N1225" s="15" t="s">
        <v>36</v>
      </c>
      <c r="O1225" s="15" t="s">
        <v>114</v>
      </c>
      <c r="P1225" s="20" t="s">
        <v>453</v>
      </c>
      <c r="Q1225" s="15" t="s">
        <v>83</v>
      </c>
      <c r="R1225" s="4"/>
      <c r="S1225" s="4"/>
    </row>
    <row r="1226" spans="1:19" ht="21" customHeight="1" x14ac:dyDescent="0.25">
      <c r="A1226" s="14">
        <f>DATE(2012,12,31)-1364</f>
        <v>39910</v>
      </c>
      <c r="B1226" s="15" t="s">
        <v>1396</v>
      </c>
      <c r="C1226" s="15" t="s">
        <v>31</v>
      </c>
      <c r="D1226" s="16">
        <v>36</v>
      </c>
      <c r="E1226" s="17">
        <v>1423.35</v>
      </c>
      <c r="F1226" s="16">
        <v>0.1</v>
      </c>
      <c r="G1226" s="15" t="s">
        <v>32</v>
      </c>
      <c r="H1226" s="18">
        <v>-580.32000000000005</v>
      </c>
      <c r="I1226" s="19">
        <v>40.479999999999997</v>
      </c>
      <c r="J1226" s="19">
        <v>19.989999999999998</v>
      </c>
      <c r="K1226" s="19" t="s">
        <v>124</v>
      </c>
      <c r="L1226" s="19" t="s">
        <v>164</v>
      </c>
      <c r="M1226" s="15" t="s">
        <v>1228</v>
      </c>
      <c r="N1226" s="15" t="s">
        <v>64</v>
      </c>
      <c r="O1226" s="15" t="s">
        <v>72</v>
      </c>
      <c r="P1226" s="20" t="s">
        <v>1247</v>
      </c>
      <c r="Q1226" s="15" t="s">
        <v>83</v>
      </c>
      <c r="R1226" s="4"/>
      <c r="S1226" s="4"/>
    </row>
    <row r="1227" spans="1:19" ht="21" customHeight="1" x14ac:dyDescent="0.25">
      <c r="A1227" s="14">
        <f>DATE(2012,12,31)-594</f>
        <v>40680</v>
      </c>
      <c r="B1227" s="15" t="s">
        <v>1294</v>
      </c>
      <c r="C1227" s="15" t="s">
        <v>51</v>
      </c>
      <c r="D1227" s="16">
        <v>5</v>
      </c>
      <c r="E1227" s="17">
        <v>24.16</v>
      </c>
      <c r="F1227" s="16">
        <v>0.08</v>
      </c>
      <c r="G1227" s="15" t="s">
        <v>101</v>
      </c>
      <c r="H1227" s="18">
        <v>8.0495000000000001</v>
      </c>
      <c r="I1227" s="19">
        <v>1.88</v>
      </c>
      <c r="J1227" s="19">
        <v>1.49</v>
      </c>
      <c r="K1227" s="19" t="s">
        <v>44</v>
      </c>
      <c r="L1227" s="19" t="s">
        <v>52</v>
      </c>
      <c r="M1227" s="15" t="s">
        <v>1300</v>
      </c>
      <c r="N1227" s="15" t="s">
        <v>36</v>
      </c>
      <c r="O1227" s="15" t="s">
        <v>170</v>
      </c>
      <c r="P1227" s="20" t="s">
        <v>1353</v>
      </c>
      <c r="Q1227" s="15" t="s">
        <v>83</v>
      </c>
      <c r="R1227" s="4"/>
      <c r="S1227" s="4"/>
    </row>
    <row r="1228" spans="1:19" ht="21" customHeight="1" x14ac:dyDescent="0.25">
      <c r="A1228" s="14">
        <f>DATE(2012,12,31)-594</f>
        <v>40680</v>
      </c>
      <c r="B1228" s="15" t="s">
        <v>1294</v>
      </c>
      <c r="C1228" s="15" t="s">
        <v>51</v>
      </c>
      <c r="D1228" s="16">
        <v>41</v>
      </c>
      <c r="E1228" s="17">
        <v>270.83999999999997</v>
      </c>
      <c r="F1228" s="16">
        <v>0.1</v>
      </c>
      <c r="G1228" s="15" t="s">
        <v>101</v>
      </c>
      <c r="H1228" s="18">
        <v>-78.02</v>
      </c>
      <c r="I1228" s="19">
        <v>6.48</v>
      </c>
      <c r="J1228" s="19">
        <v>5.86</v>
      </c>
      <c r="K1228" s="19" t="s">
        <v>33</v>
      </c>
      <c r="L1228" s="19" t="s">
        <v>145</v>
      </c>
      <c r="M1228" s="15" t="s">
        <v>1397</v>
      </c>
      <c r="N1228" s="15" t="s">
        <v>36</v>
      </c>
      <c r="O1228" s="15" t="s">
        <v>117</v>
      </c>
      <c r="P1228" s="20" t="s">
        <v>700</v>
      </c>
      <c r="Q1228" s="15" t="s">
        <v>83</v>
      </c>
      <c r="R1228" s="4"/>
      <c r="S1228" s="4"/>
    </row>
    <row r="1229" spans="1:19" ht="21" customHeight="1" x14ac:dyDescent="0.25">
      <c r="A1229" s="14">
        <f>DATE(2012,12,31)-594</f>
        <v>40680</v>
      </c>
      <c r="B1229" s="15" t="s">
        <v>1294</v>
      </c>
      <c r="C1229" s="15" t="s">
        <v>51</v>
      </c>
      <c r="D1229" s="16">
        <v>35</v>
      </c>
      <c r="E1229" s="17">
        <v>3389.93</v>
      </c>
      <c r="F1229" s="16">
        <v>0.08</v>
      </c>
      <c r="G1229" s="15" t="s">
        <v>101</v>
      </c>
      <c r="H1229" s="18">
        <v>737.94</v>
      </c>
      <c r="I1229" s="19">
        <v>102.3</v>
      </c>
      <c r="J1229" s="19">
        <v>21.26</v>
      </c>
      <c r="K1229" s="19" t="s">
        <v>33</v>
      </c>
      <c r="L1229" s="19" t="s">
        <v>145</v>
      </c>
      <c r="M1229" s="15" t="s">
        <v>1397</v>
      </c>
      <c r="N1229" s="15" t="s">
        <v>54</v>
      </c>
      <c r="O1229" s="15" t="s">
        <v>55</v>
      </c>
      <c r="P1229" s="20" t="s">
        <v>1398</v>
      </c>
      <c r="Q1229" s="15" t="s">
        <v>39</v>
      </c>
      <c r="R1229" s="4"/>
      <c r="S1229" s="4"/>
    </row>
    <row r="1230" spans="1:19" ht="21" customHeight="1" x14ac:dyDescent="0.25">
      <c r="A1230" s="14">
        <f>DATE(2012,12,31)-594</f>
        <v>40680</v>
      </c>
      <c r="B1230" s="15" t="s">
        <v>1294</v>
      </c>
      <c r="C1230" s="15" t="s">
        <v>51</v>
      </c>
      <c r="D1230" s="16">
        <v>42</v>
      </c>
      <c r="E1230" s="17">
        <v>266.36</v>
      </c>
      <c r="F1230" s="16">
        <v>7.0000000000000007E-2</v>
      </c>
      <c r="G1230" s="15" t="s">
        <v>32</v>
      </c>
      <c r="H1230" s="18">
        <v>-191.28</v>
      </c>
      <c r="I1230" s="19">
        <v>6.48</v>
      </c>
      <c r="J1230" s="19">
        <v>8.19</v>
      </c>
      <c r="K1230" s="19" t="s">
        <v>69</v>
      </c>
      <c r="L1230" s="19" t="s">
        <v>75</v>
      </c>
      <c r="M1230" s="15" t="s">
        <v>75</v>
      </c>
      <c r="N1230" s="15" t="s">
        <v>36</v>
      </c>
      <c r="O1230" s="15" t="s">
        <v>117</v>
      </c>
      <c r="P1230" s="20" t="s">
        <v>118</v>
      </c>
      <c r="Q1230" s="15" t="s">
        <v>83</v>
      </c>
      <c r="R1230" s="4"/>
      <c r="S1230" s="4"/>
    </row>
    <row r="1231" spans="1:19" ht="21" customHeight="1" x14ac:dyDescent="0.25">
      <c r="A1231" s="14">
        <f>DATE(2012,12,31)-594</f>
        <v>40680</v>
      </c>
      <c r="B1231" s="15" t="s">
        <v>1294</v>
      </c>
      <c r="C1231" s="15" t="s">
        <v>51</v>
      </c>
      <c r="D1231" s="16">
        <v>46</v>
      </c>
      <c r="E1231" s="17">
        <v>89.41</v>
      </c>
      <c r="F1231" s="16">
        <v>0.01</v>
      </c>
      <c r="G1231" s="15" t="s">
        <v>32</v>
      </c>
      <c r="H1231" s="18">
        <v>-21.49</v>
      </c>
      <c r="I1231" s="19">
        <v>1.89</v>
      </c>
      <c r="J1231" s="19">
        <v>0.76</v>
      </c>
      <c r="K1231" s="19" t="s">
        <v>69</v>
      </c>
      <c r="L1231" s="19" t="s">
        <v>70</v>
      </c>
      <c r="M1231" s="15" t="s">
        <v>1337</v>
      </c>
      <c r="N1231" s="15" t="s">
        <v>36</v>
      </c>
      <c r="O1231" s="15" t="s">
        <v>105</v>
      </c>
      <c r="P1231" s="20" t="s">
        <v>1399</v>
      </c>
      <c r="Q1231" s="15" t="s">
        <v>79</v>
      </c>
      <c r="R1231" s="4"/>
      <c r="S1231" s="4"/>
    </row>
    <row r="1232" spans="1:19" ht="21" customHeight="1" x14ac:dyDescent="0.25">
      <c r="A1232" s="14">
        <f>DATE(2012,12,31)-578</f>
        <v>40696</v>
      </c>
      <c r="B1232" s="15" t="s">
        <v>418</v>
      </c>
      <c r="C1232" s="15" t="s">
        <v>31</v>
      </c>
      <c r="D1232" s="16">
        <v>13</v>
      </c>
      <c r="E1232" s="17">
        <v>772.26750000000004</v>
      </c>
      <c r="F1232" s="16">
        <v>0.02</v>
      </c>
      <c r="G1232" s="15" t="s">
        <v>32</v>
      </c>
      <c r="H1232" s="18">
        <v>-48.850999999999999</v>
      </c>
      <c r="I1232" s="19">
        <v>65.989999999999995</v>
      </c>
      <c r="J1232" s="19">
        <v>8.99</v>
      </c>
      <c r="K1232" s="19" t="s">
        <v>69</v>
      </c>
      <c r="L1232" s="19" t="s">
        <v>75</v>
      </c>
      <c r="M1232" s="15" t="s">
        <v>75</v>
      </c>
      <c r="N1232" s="15" t="s">
        <v>64</v>
      </c>
      <c r="O1232" s="15" t="s">
        <v>65</v>
      </c>
      <c r="P1232" s="20" t="s">
        <v>469</v>
      </c>
      <c r="Q1232" s="15" t="s">
        <v>83</v>
      </c>
      <c r="R1232" s="4"/>
      <c r="S1232" s="4"/>
    </row>
    <row r="1233" spans="1:19" ht="21" customHeight="1" x14ac:dyDescent="0.25">
      <c r="A1233" s="14">
        <f>DATE(2012,12,31)-1279</f>
        <v>39995</v>
      </c>
      <c r="B1233" s="15" t="s">
        <v>233</v>
      </c>
      <c r="C1233" s="15" t="s">
        <v>31</v>
      </c>
      <c r="D1233" s="16">
        <v>40</v>
      </c>
      <c r="E1233" s="17">
        <v>17279.62</v>
      </c>
      <c r="F1233" s="16">
        <v>0.04</v>
      </c>
      <c r="G1233" s="15" t="s">
        <v>32</v>
      </c>
      <c r="H1233" s="18">
        <v>4176.2530000000006</v>
      </c>
      <c r="I1233" s="19">
        <v>449.99</v>
      </c>
      <c r="J1233" s="19">
        <v>24.49</v>
      </c>
      <c r="K1233" s="19" t="s">
        <v>69</v>
      </c>
      <c r="L1233" s="19" t="s">
        <v>70</v>
      </c>
      <c r="M1233" s="15" t="s">
        <v>1337</v>
      </c>
      <c r="N1233" s="15" t="s">
        <v>64</v>
      </c>
      <c r="O1233" s="15" t="s">
        <v>460</v>
      </c>
      <c r="P1233" s="20" t="s">
        <v>511</v>
      </c>
      <c r="Q1233" s="15" t="s">
        <v>39</v>
      </c>
      <c r="R1233" s="4"/>
      <c r="S1233" s="4"/>
    </row>
    <row r="1234" spans="1:19" ht="21" customHeight="1" x14ac:dyDescent="0.25">
      <c r="A1234" s="14">
        <f>DATE(2012,12,31)-1279</f>
        <v>39995</v>
      </c>
      <c r="B1234" s="15" t="s">
        <v>233</v>
      </c>
      <c r="C1234" s="15" t="s">
        <v>31</v>
      </c>
      <c r="D1234" s="16">
        <v>20</v>
      </c>
      <c r="E1234" s="17">
        <v>120.3</v>
      </c>
      <c r="F1234" s="16">
        <v>0.01</v>
      </c>
      <c r="G1234" s="15" t="s">
        <v>32</v>
      </c>
      <c r="H1234" s="18">
        <v>20.38</v>
      </c>
      <c r="I1234" s="19">
        <v>5.84</v>
      </c>
      <c r="J1234" s="19">
        <v>1.2</v>
      </c>
      <c r="K1234" s="19" t="s">
        <v>69</v>
      </c>
      <c r="L1234" s="19" t="s">
        <v>70</v>
      </c>
      <c r="M1234" s="15" t="s">
        <v>1337</v>
      </c>
      <c r="N1234" s="15" t="s">
        <v>36</v>
      </c>
      <c r="O1234" s="15" t="s">
        <v>77</v>
      </c>
      <c r="P1234" s="20" t="s">
        <v>1400</v>
      </c>
      <c r="Q1234" s="15" t="s">
        <v>79</v>
      </c>
      <c r="R1234" s="4"/>
      <c r="S1234" s="4"/>
    </row>
    <row r="1235" spans="1:19" ht="21" customHeight="1" x14ac:dyDescent="0.25">
      <c r="A1235" s="14">
        <f>DATE(2012,12,31)-1093</f>
        <v>40181</v>
      </c>
      <c r="B1235" s="15" t="s">
        <v>292</v>
      </c>
      <c r="C1235" s="15" t="s">
        <v>31</v>
      </c>
      <c r="D1235" s="16">
        <v>37</v>
      </c>
      <c r="E1235" s="17">
        <v>1767.88</v>
      </c>
      <c r="F1235" s="16">
        <v>7.0000000000000007E-2</v>
      </c>
      <c r="G1235" s="15" t="s">
        <v>32</v>
      </c>
      <c r="H1235" s="18">
        <v>66.47</v>
      </c>
      <c r="I1235" s="19">
        <v>50.98</v>
      </c>
      <c r="J1235" s="19">
        <v>13.66</v>
      </c>
      <c r="K1235" s="19" t="s">
        <v>69</v>
      </c>
      <c r="L1235" s="19" t="s">
        <v>70</v>
      </c>
      <c r="M1235" s="15" t="s">
        <v>1337</v>
      </c>
      <c r="N1235" s="15" t="s">
        <v>36</v>
      </c>
      <c r="O1235" s="15" t="s">
        <v>176</v>
      </c>
      <c r="P1235" s="20" t="s">
        <v>1098</v>
      </c>
      <c r="Q1235" s="15" t="s">
        <v>83</v>
      </c>
      <c r="R1235" s="4"/>
      <c r="S1235" s="4"/>
    </row>
    <row r="1236" spans="1:19" ht="21" customHeight="1" x14ac:dyDescent="0.25">
      <c r="A1236" s="14">
        <f>DATE(2012,12,31)-1093</f>
        <v>40181</v>
      </c>
      <c r="B1236" s="15" t="s">
        <v>292</v>
      </c>
      <c r="C1236" s="15" t="s">
        <v>31</v>
      </c>
      <c r="D1236" s="16">
        <v>12</v>
      </c>
      <c r="E1236" s="17">
        <v>277.42</v>
      </c>
      <c r="F1236" s="16">
        <v>0.01</v>
      </c>
      <c r="G1236" s="15" t="s">
        <v>32</v>
      </c>
      <c r="H1236" s="18">
        <v>49.82</v>
      </c>
      <c r="I1236" s="19">
        <v>22.24</v>
      </c>
      <c r="J1236" s="19">
        <v>1.99</v>
      </c>
      <c r="K1236" s="19" t="s">
        <v>69</v>
      </c>
      <c r="L1236" s="19" t="s">
        <v>215</v>
      </c>
      <c r="M1236" s="15" t="s">
        <v>1388</v>
      </c>
      <c r="N1236" s="15" t="s">
        <v>64</v>
      </c>
      <c r="O1236" s="15" t="s">
        <v>72</v>
      </c>
      <c r="P1236" s="20" t="s">
        <v>1401</v>
      </c>
      <c r="Q1236" s="15" t="s">
        <v>49</v>
      </c>
      <c r="R1236" s="4"/>
      <c r="S1236" s="4"/>
    </row>
    <row r="1237" spans="1:19" ht="21" customHeight="1" x14ac:dyDescent="0.25">
      <c r="A1237" s="14">
        <f>DATE(2012,12,31)-1093</f>
        <v>40181</v>
      </c>
      <c r="B1237" s="15" t="s">
        <v>292</v>
      </c>
      <c r="C1237" s="15" t="s">
        <v>31</v>
      </c>
      <c r="D1237" s="16">
        <v>13</v>
      </c>
      <c r="E1237" s="17">
        <v>178.13</v>
      </c>
      <c r="F1237" s="16">
        <v>0.04</v>
      </c>
      <c r="G1237" s="15" t="s">
        <v>32</v>
      </c>
      <c r="H1237" s="18">
        <v>-19.75</v>
      </c>
      <c r="I1237" s="19">
        <v>13.43</v>
      </c>
      <c r="J1237" s="19">
        <v>5.5</v>
      </c>
      <c r="K1237" s="19" t="s">
        <v>111</v>
      </c>
      <c r="L1237" s="19" t="s">
        <v>112</v>
      </c>
      <c r="M1237" s="15" t="s">
        <v>1183</v>
      </c>
      <c r="N1237" s="15" t="s">
        <v>36</v>
      </c>
      <c r="O1237" s="15" t="s">
        <v>37</v>
      </c>
      <c r="P1237" s="20" t="s">
        <v>1109</v>
      </c>
      <c r="Q1237" s="15" t="s">
        <v>83</v>
      </c>
      <c r="R1237" s="4"/>
      <c r="S1237" s="4"/>
    </row>
    <row r="1238" spans="1:19" ht="21" customHeight="1" x14ac:dyDescent="0.25">
      <c r="A1238" s="14">
        <f>DATE(2012,12,31)-1298</f>
        <v>39976</v>
      </c>
      <c r="B1238" s="15" t="s">
        <v>1402</v>
      </c>
      <c r="C1238" s="15" t="s">
        <v>51</v>
      </c>
      <c r="D1238" s="16">
        <v>28</v>
      </c>
      <c r="E1238" s="17">
        <v>1676.48</v>
      </c>
      <c r="F1238" s="16">
        <v>0</v>
      </c>
      <c r="G1238" s="15" t="s">
        <v>32</v>
      </c>
      <c r="H1238" s="18">
        <v>590.35</v>
      </c>
      <c r="I1238" s="19">
        <v>55.48</v>
      </c>
      <c r="J1238" s="19">
        <v>14.3</v>
      </c>
      <c r="K1238" s="19" t="s">
        <v>111</v>
      </c>
      <c r="L1238" s="19" t="s">
        <v>442</v>
      </c>
      <c r="M1238" s="15" t="s">
        <v>443</v>
      </c>
      <c r="N1238" s="15" t="s">
        <v>36</v>
      </c>
      <c r="O1238" s="15" t="s">
        <v>117</v>
      </c>
      <c r="P1238" s="20" t="s">
        <v>402</v>
      </c>
      <c r="Q1238" s="15" t="s">
        <v>83</v>
      </c>
      <c r="R1238" s="4"/>
      <c r="S1238" s="4"/>
    </row>
    <row r="1239" spans="1:19" ht="21" customHeight="1" x14ac:dyDescent="0.25">
      <c r="A1239" s="14">
        <f>DATE(2012,12,31)-212</f>
        <v>41062</v>
      </c>
      <c r="B1239" s="15" t="s">
        <v>555</v>
      </c>
      <c r="C1239" s="15" t="s">
        <v>85</v>
      </c>
      <c r="D1239" s="16">
        <v>2</v>
      </c>
      <c r="E1239" s="17">
        <v>12.12</v>
      </c>
      <c r="F1239" s="16">
        <v>0.03</v>
      </c>
      <c r="G1239" s="15" t="s">
        <v>32</v>
      </c>
      <c r="H1239" s="18">
        <v>-4.55</v>
      </c>
      <c r="I1239" s="19">
        <v>5.43</v>
      </c>
      <c r="J1239" s="19">
        <v>0.95</v>
      </c>
      <c r="K1239" s="19" t="s">
        <v>111</v>
      </c>
      <c r="L1239" s="19" t="s">
        <v>112</v>
      </c>
      <c r="M1239" s="15" t="s">
        <v>1009</v>
      </c>
      <c r="N1239" s="15" t="s">
        <v>36</v>
      </c>
      <c r="O1239" s="15" t="s">
        <v>117</v>
      </c>
      <c r="P1239" s="20" t="s">
        <v>1243</v>
      </c>
      <c r="Q1239" s="15" t="s">
        <v>79</v>
      </c>
      <c r="R1239" s="4"/>
      <c r="S1239" s="4"/>
    </row>
    <row r="1240" spans="1:19" ht="21" customHeight="1" x14ac:dyDescent="0.25">
      <c r="A1240" s="14">
        <f>DATE(2012,12,31)-212</f>
        <v>41062</v>
      </c>
      <c r="B1240" s="15" t="s">
        <v>555</v>
      </c>
      <c r="C1240" s="15" t="s">
        <v>85</v>
      </c>
      <c r="D1240" s="16">
        <v>44</v>
      </c>
      <c r="E1240" s="17">
        <v>2318.2134999999998</v>
      </c>
      <c r="F1240" s="16">
        <v>7.0000000000000007E-2</v>
      </c>
      <c r="G1240" s="15" t="s">
        <v>32</v>
      </c>
      <c r="H1240" s="18">
        <v>583.74900000000002</v>
      </c>
      <c r="I1240" s="19">
        <v>65.989999999999995</v>
      </c>
      <c r="J1240" s="19">
        <v>2.79</v>
      </c>
      <c r="K1240" s="19" t="s">
        <v>111</v>
      </c>
      <c r="L1240" s="19" t="s">
        <v>407</v>
      </c>
      <c r="M1240" s="15" t="s">
        <v>407</v>
      </c>
      <c r="N1240" s="15" t="s">
        <v>64</v>
      </c>
      <c r="O1240" s="15" t="s">
        <v>65</v>
      </c>
      <c r="P1240" s="20" t="s">
        <v>1232</v>
      </c>
      <c r="Q1240" s="15" t="s">
        <v>83</v>
      </c>
      <c r="R1240" s="4"/>
      <c r="S1240" s="4"/>
    </row>
    <row r="1241" spans="1:19" ht="21" customHeight="1" x14ac:dyDescent="0.25">
      <c r="A1241" s="14">
        <f>DATE(2012,12,31)-212</f>
        <v>41062</v>
      </c>
      <c r="B1241" s="15" t="s">
        <v>555</v>
      </c>
      <c r="C1241" s="15" t="s">
        <v>85</v>
      </c>
      <c r="D1241" s="16">
        <v>30</v>
      </c>
      <c r="E1241" s="17">
        <v>1136.44</v>
      </c>
      <c r="F1241" s="16">
        <v>0.09</v>
      </c>
      <c r="G1241" s="15" t="s">
        <v>32</v>
      </c>
      <c r="H1241" s="18">
        <v>-9.2999999999999687</v>
      </c>
      <c r="I1241" s="19">
        <v>40.98</v>
      </c>
      <c r="J1241" s="19">
        <v>6.5</v>
      </c>
      <c r="K1241" s="19" t="s">
        <v>44</v>
      </c>
      <c r="L1241" s="19" t="s">
        <v>89</v>
      </c>
      <c r="M1241" s="15" t="s">
        <v>1341</v>
      </c>
      <c r="N1241" s="15" t="s">
        <v>64</v>
      </c>
      <c r="O1241" s="15" t="s">
        <v>72</v>
      </c>
      <c r="P1241" s="20" t="s">
        <v>1403</v>
      </c>
      <c r="Q1241" s="15" t="s">
        <v>83</v>
      </c>
      <c r="R1241" s="4"/>
      <c r="S1241" s="4"/>
    </row>
    <row r="1242" spans="1:19" ht="21" customHeight="1" x14ac:dyDescent="0.25">
      <c r="A1242" s="14">
        <f>DATE(2012,12,31)-486</f>
        <v>40788</v>
      </c>
      <c r="B1242" s="15" t="s">
        <v>305</v>
      </c>
      <c r="C1242" s="15" t="s">
        <v>31</v>
      </c>
      <c r="D1242" s="16">
        <v>30</v>
      </c>
      <c r="E1242" s="17">
        <v>932.89199999999994</v>
      </c>
      <c r="F1242" s="16">
        <v>0.05</v>
      </c>
      <c r="G1242" s="15" t="s">
        <v>32</v>
      </c>
      <c r="H1242" s="18">
        <v>458.98200000000003</v>
      </c>
      <c r="I1242" s="19">
        <v>35.99</v>
      </c>
      <c r="J1242" s="19">
        <v>0.99</v>
      </c>
      <c r="K1242" s="19" t="s">
        <v>44</v>
      </c>
      <c r="L1242" s="19" t="s">
        <v>45</v>
      </c>
      <c r="M1242" s="15" t="s">
        <v>1264</v>
      </c>
      <c r="N1242" s="15" t="s">
        <v>64</v>
      </c>
      <c r="O1242" s="15" t="s">
        <v>65</v>
      </c>
      <c r="P1242" s="20" t="s">
        <v>647</v>
      </c>
      <c r="Q1242" s="15" t="s">
        <v>49</v>
      </c>
      <c r="R1242" s="4"/>
      <c r="S1242" s="4"/>
    </row>
    <row r="1243" spans="1:19" ht="21" customHeight="1" x14ac:dyDescent="0.25">
      <c r="A1243" s="14">
        <f>DATE(2012,12,31)-741</f>
        <v>40533</v>
      </c>
      <c r="B1243" s="15" t="s">
        <v>1404</v>
      </c>
      <c r="C1243" s="15" t="s">
        <v>31</v>
      </c>
      <c r="D1243" s="16">
        <v>48</v>
      </c>
      <c r="E1243" s="17">
        <v>14556.67</v>
      </c>
      <c r="F1243" s="16">
        <v>0.04</v>
      </c>
      <c r="G1243" s="15" t="s">
        <v>58</v>
      </c>
      <c r="H1243" s="18">
        <v>3829.63</v>
      </c>
      <c r="I1243" s="19">
        <v>306.14</v>
      </c>
      <c r="J1243" s="19">
        <v>26.53</v>
      </c>
      <c r="K1243" s="19" t="s">
        <v>44</v>
      </c>
      <c r="L1243" s="19" t="s">
        <v>45</v>
      </c>
      <c r="M1243" s="15" t="s">
        <v>1264</v>
      </c>
      <c r="N1243" s="15" t="s">
        <v>64</v>
      </c>
      <c r="O1243" s="15" t="s">
        <v>122</v>
      </c>
      <c r="P1243" s="20" t="s">
        <v>1405</v>
      </c>
      <c r="Q1243" s="15" t="s">
        <v>181</v>
      </c>
      <c r="R1243" s="4"/>
      <c r="S1243" s="4"/>
    </row>
    <row r="1244" spans="1:19" ht="21" customHeight="1" x14ac:dyDescent="0.25">
      <c r="A1244" s="14">
        <f>DATE(2012,12,31)-1153</f>
        <v>40121</v>
      </c>
      <c r="B1244" s="15" t="s">
        <v>791</v>
      </c>
      <c r="C1244" s="15" t="s">
        <v>85</v>
      </c>
      <c r="D1244" s="16">
        <v>20</v>
      </c>
      <c r="E1244" s="17">
        <v>160.29</v>
      </c>
      <c r="F1244" s="16">
        <v>0.01</v>
      </c>
      <c r="G1244" s="15" t="s">
        <v>32</v>
      </c>
      <c r="H1244" s="18">
        <v>1.35</v>
      </c>
      <c r="I1244" s="19">
        <v>7.59</v>
      </c>
      <c r="J1244" s="19">
        <v>4</v>
      </c>
      <c r="K1244" s="19" t="s">
        <v>44</v>
      </c>
      <c r="L1244" s="19" t="s">
        <v>89</v>
      </c>
      <c r="M1244" s="15" t="s">
        <v>1341</v>
      </c>
      <c r="N1244" s="15" t="s">
        <v>54</v>
      </c>
      <c r="O1244" s="15" t="s">
        <v>55</v>
      </c>
      <c r="P1244" s="20" t="s">
        <v>951</v>
      </c>
      <c r="Q1244" s="15" t="s">
        <v>79</v>
      </c>
      <c r="R1244" s="4"/>
      <c r="S1244" s="4"/>
    </row>
    <row r="1245" spans="1:19" ht="21" customHeight="1" x14ac:dyDescent="0.25">
      <c r="A1245" s="14">
        <f>DATE(2012,12,31)-652</f>
        <v>40622</v>
      </c>
      <c r="B1245" s="15" t="s">
        <v>630</v>
      </c>
      <c r="C1245" s="15" t="s">
        <v>51</v>
      </c>
      <c r="D1245" s="16">
        <v>32</v>
      </c>
      <c r="E1245" s="17">
        <v>119.2</v>
      </c>
      <c r="F1245" s="16">
        <v>0.06</v>
      </c>
      <c r="G1245" s="15" t="s">
        <v>32</v>
      </c>
      <c r="H1245" s="18">
        <v>30.61</v>
      </c>
      <c r="I1245" s="19">
        <v>3.93</v>
      </c>
      <c r="J1245" s="19">
        <v>0.99</v>
      </c>
      <c r="K1245" s="19" t="s">
        <v>44</v>
      </c>
      <c r="L1245" s="19" t="s">
        <v>120</v>
      </c>
      <c r="M1245" s="15" t="s">
        <v>121</v>
      </c>
      <c r="N1245" s="15" t="s">
        <v>36</v>
      </c>
      <c r="O1245" s="15" t="s">
        <v>105</v>
      </c>
      <c r="P1245" s="20" t="s">
        <v>1149</v>
      </c>
      <c r="Q1245" s="15" t="s">
        <v>79</v>
      </c>
      <c r="R1245" s="4"/>
      <c r="S1245" s="4"/>
    </row>
    <row r="1246" spans="1:19" ht="21" customHeight="1" x14ac:dyDescent="0.25">
      <c r="A1246" s="14">
        <f>DATE(2012,12,31)-652</f>
        <v>40622</v>
      </c>
      <c r="B1246" s="15" t="s">
        <v>630</v>
      </c>
      <c r="C1246" s="15" t="s">
        <v>51</v>
      </c>
      <c r="D1246" s="16">
        <v>19</v>
      </c>
      <c r="E1246" s="17">
        <v>1825.42</v>
      </c>
      <c r="F1246" s="16">
        <v>0.06</v>
      </c>
      <c r="G1246" s="15" t="s">
        <v>32</v>
      </c>
      <c r="H1246" s="18">
        <v>1193.19</v>
      </c>
      <c r="I1246" s="19">
        <v>99.23</v>
      </c>
      <c r="J1246" s="19">
        <v>8.99</v>
      </c>
      <c r="K1246" s="19" t="s">
        <v>33</v>
      </c>
      <c r="L1246" s="19" t="s">
        <v>128</v>
      </c>
      <c r="M1246" s="15" t="s">
        <v>129</v>
      </c>
      <c r="N1246" s="15" t="s">
        <v>54</v>
      </c>
      <c r="O1246" s="15" t="s">
        <v>55</v>
      </c>
      <c r="P1246" s="20" t="s">
        <v>1406</v>
      </c>
      <c r="Q1246" s="15" t="s">
        <v>49</v>
      </c>
      <c r="R1246" s="4"/>
      <c r="S1246" s="4"/>
    </row>
    <row r="1247" spans="1:19" ht="21" customHeight="1" x14ac:dyDescent="0.25">
      <c r="A1247" s="14">
        <f>DATE(2012,12,31)-1288</f>
        <v>39986</v>
      </c>
      <c r="B1247" s="15" t="s">
        <v>1407</v>
      </c>
      <c r="C1247" s="15" t="s">
        <v>85</v>
      </c>
      <c r="D1247" s="16">
        <v>50</v>
      </c>
      <c r="E1247" s="17">
        <v>15383.7</v>
      </c>
      <c r="F1247" s="16">
        <v>0.03</v>
      </c>
      <c r="G1247" s="15" t="s">
        <v>32</v>
      </c>
      <c r="H1247" s="18">
        <v>6523.2569999999996</v>
      </c>
      <c r="I1247" s="19">
        <v>304.99</v>
      </c>
      <c r="J1247" s="19">
        <v>19.989999999999998</v>
      </c>
      <c r="K1247" s="19" t="s">
        <v>33</v>
      </c>
      <c r="L1247" s="19" t="s">
        <v>93</v>
      </c>
      <c r="M1247" s="15" t="s">
        <v>94</v>
      </c>
      <c r="N1247" s="15" t="s">
        <v>36</v>
      </c>
      <c r="O1247" s="15" t="s">
        <v>170</v>
      </c>
      <c r="P1247" s="20" t="s">
        <v>743</v>
      </c>
      <c r="Q1247" s="15" t="s">
        <v>83</v>
      </c>
      <c r="R1247" s="4"/>
      <c r="S1247" s="4"/>
    </row>
    <row r="1248" spans="1:19" ht="21" customHeight="1" x14ac:dyDescent="0.25">
      <c r="A1248" s="14">
        <f>DATE(2012,12,31)-1288</f>
        <v>39986</v>
      </c>
      <c r="B1248" s="15" t="s">
        <v>1407</v>
      </c>
      <c r="C1248" s="15" t="s">
        <v>85</v>
      </c>
      <c r="D1248" s="16">
        <v>31</v>
      </c>
      <c r="E1248" s="17">
        <v>1637.4570000000001</v>
      </c>
      <c r="F1248" s="16">
        <v>0.09</v>
      </c>
      <c r="G1248" s="15" t="s">
        <v>32</v>
      </c>
      <c r="H1248" s="18">
        <v>118.152</v>
      </c>
      <c r="I1248" s="19">
        <v>65.989999999999995</v>
      </c>
      <c r="J1248" s="19">
        <v>8.99</v>
      </c>
      <c r="K1248" s="19" t="s">
        <v>33</v>
      </c>
      <c r="L1248" s="19" t="s">
        <v>128</v>
      </c>
      <c r="M1248" s="15" t="s">
        <v>129</v>
      </c>
      <c r="N1248" s="15" t="s">
        <v>64</v>
      </c>
      <c r="O1248" s="15" t="s">
        <v>65</v>
      </c>
      <c r="P1248" s="20" t="s">
        <v>1408</v>
      </c>
      <c r="Q1248" s="15" t="s">
        <v>83</v>
      </c>
      <c r="R1248" s="4"/>
      <c r="S1248" s="4"/>
    </row>
    <row r="1249" spans="1:19" ht="21" customHeight="1" x14ac:dyDescent="0.25">
      <c r="A1249" s="14">
        <f>DATE(2012,12,31)-953</f>
        <v>40321</v>
      </c>
      <c r="B1249" s="15" t="s">
        <v>1409</v>
      </c>
      <c r="C1249" s="15" t="s">
        <v>85</v>
      </c>
      <c r="D1249" s="16">
        <v>8</v>
      </c>
      <c r="E1249" s="17">
        <v>822.34950000000003</v>
      </c>
      <c r="F1249" s="16">
        <v>0.1</v>
      </c>
      <c r="G1249" s="15" t="s">
        <v>101</v>
      </c>
      <c r="H1249" s="18">
        <v>-360.30500000000001</v>
      </c>
      <c r="I1249" s="19">
        <v>125.99</v>
      </c>
      <c r="J1249" s="19">
        <v>8.8000000000000007</v>
      </c>
      <c r="K1249" s="19" t="s">
        <v>33</v>
      </c>
      <c r="L1249" s="19" t="s">
        <v>93</v>
      </c>
      <c r="M1249" s="15" t="s">
        <v>94</v>
      </c>
      <c r="N1249" s="15" t="s">
        <v>64</v>
      </c>
      <c r="O1249" s="15" t="s">
        <v>65</v>
      </c>
      <c r="P1249" s="20" t="s">
        <v>536</v>
      </c>
      <c r="Q1249" s="15" t="s">
        <v>83</v>
      </c>
      <c r="R1249" s="4"/>
      <c r="S1249" s="4"/>
    </row>
    <row r="1250" spans="1:19" ht="21" customHeight="1" x14ac:dyDescent="0.25">
      <c r="A1250" s="14">
        <f>DATE(2012,12,31)-781</f>
        <v>40493</v>
      </c>
      <c r="B1250" s="15" t="s">
        <v>643</v>
      </c>
      <c r="C1250" s="15" t="s">
        <v>51</v>
      </c>
      <c r="D1250" s="16">
        <v>42</v>
      </c>
      <c r="E1250" s="17">
        <v>605.77</v>
      </c>
      <c r="F1250" s="16">
        <v>0.05</v>
      </c>
      <c r="G1250" s="15" t="s">
        <v>32</v>
      </c>
      <c r="H1250" s="18">
        <v>129.33000000000001</v>
      </c>
      <c r="I1250" s="19">
        <v>14.34</v>
      </c>
      <c r="J1250" s="19">
        <v>5</v>
      </c>
      <c r="K1250" s="19" t="s">
        <v>97</v>
      </c>
      <c r="L1250" s="19" t="s">
        <v>98</v>
      </c>
      <c r="M1250" s="15" t="s">
        <v>1162</v>
      </c>
      <c r="N1250" s="15" t="s">
        <v>54</v>
      </c>
      <c r="O1250" s="15" t="s">
        <v>55</v>
      </c>
      <c r="P1250" s="20" t="s">
        <v>277</v>
      </c>
      <c r="Q1250" s="15" t="s">
        <v>49</v>
      </c>
      <c r="R1250" s="4"/>
      <c r="S1250" s="4"/>
    </row>
    <row r="1251" spans="1:19" ht="21" customHeight="1" x14ac:dyDescent="0.25">
      <c r="A1251" s="14">
        <f>DATE(2012,12,31)-781</f>
        <v>40493</v>
      </c>
      <c r="B1251" s="15" t="s">
        <v>643</v>
      </c>
      <c r="C1251" s="15" t="s">
        <v>51</v>
      </c>
      <c r="D1251" s="16">
        <v>44</v>
      </c>
      <c r="E1251" s="17">
        <v>1480.91</v>
      </c>
      <c r="F1251" s="16">
        <v>0</v>
      </c>
      <c r="G1251" s="15" t="s">
        <v>32</v>
      </c>
      <c r="H1251" s="18">
        <v>489.14</v>
      </c>
      <c r="I1251" s="19">
        <v>30.98</v>
      </c>
      <c r="J1251" s="19">
        <v>8.74</v>
      </c>
      <c r="K1251" s="19" t="s">
        <v>97</v>
      </c>
      <c r="L1251" s="19" t="s">
        <v>98</v>
      </c>
      <c r="M1251" s="15" t="s">
        <v>1162</v>
      </c>
      <c r="N1251" s="15" t="s">
        <v>36</v>
      </c>
      <c r="O1251" s="15" t="s">
        <v>117</v>
      </c>
      <c r="P1251" s="20" t="s">
        <v>464</v>
      </c>
      <c r="Q1251" s="15" t="s">
        <v>83</v>
      </c>
      <c r="R1251" s="4"/>
      <c r="S1251" s="4"/>
    </row>
    <row r="1252" spans="1:19" ht="21" customHeight="1" x14ac:dyDescent="0.25">
      <c r="A1252" s="14">
        <f>DATE(2012,12,31)-1256</f>
        <v>40018</v>
      </c>
      <c r="B1252" s="15" t="s">
        <v>1410</v>
      </c>
      <c r="C1252" s="15" t="s">
        <v>43</v>
      </c>
      <c r="D1252" s="16">
        <v>33</v>
      </c>
      <c r="E1252" s="17">
        <v>3644.24</v>
      </c>
      <c r="F1252" s="16">
        <v>0</v>
      </c>
      <c r="G1252" s="15" t="s">
        <v>101</v>
      </c>
      <c r="H1252" s="18">
        <v>-457.73</v>
      </c>
      <c r="I1252" s="19">
        <v>101.41</v>
      </c>
      <c r="J1252" s="19">
        <v>35</v>
      </c>
      <c r="K1252" s="19" t="s">
        <v>97</v>
      </c>
      <c r="L1252" s="19" t="s">
        <v>98</v>
      </c>
      <c r="M1252" s="15" t="s">
        <v>1162</v>
      </c>
      <c r="N1252" s="15" t="s">
        <v>36</v>
      </c>
      <c r="O1252" s="15" t="s">
        <v>37</v>
      </c>
      <c r="P1252" s="20" t="s">
        <v>1411</v>
      </c>
      <c r="Q1252" s="15" t="s">
        <v>39</v>
      </c>
      <c r="R1252" s="4"/>
      <c r="S1252" s="4"/>
    </row>
    <row r="1253" spans="1:19" ht="21" customHeight="1" x14ac:dyDescent="0.25">
      <c r="A1253" s="14">
        <f>DATE(2012,12,31)-1256</f>
        <v>40018</v>
      </c>
      <c r="B1253" s="15" t="s">
        <v>1410</v>
      </c>
      <c r="C1253" s="15" t="s">
        <v>43</v>
      </c>
      <c r="D1253" s="16">
        <v>8</v>
      </c>
      <c r="E1253" s="17">
        <v>599.20749999999998</v>
      </c>
      <c r="F1253" s="16">
        <v>0.1</v>
      </c>
      <c r="G1253" s="15" t="s">
        <v>32</v>
      </c>
      <c r="H1253" s="18">
        <v>-268.66399999999999</v>
      </c>
      <c r="I1253" s="19">
        <v>95.99</v>
      </c>
      <c r="J1253" s="19">
        <v>4.9000000000000004</v>
      </c>
      <c r="K1253" s="19" t="s">
        <v>97</v>
      </c>
      <c r="L1253" s="19" t="s">
        <v>98</v>
      </c>
      <c r="M1253" s="15" t="s">
        <v>1162</v>
      </c>
      <c r="N1253" s="15" t="s">
        <v>64</v>
      </c>
      <c r="O1253" s="15" t="s">
        <v>65</v>
      </c>
      <c r="P1253" s="20" t="s">
        <v>477</v>
      </c>
      <c r="Q1253" s="15" t="s">
        <v>83</v>
      </c>
      <c r="R1253" s="4"/>
      <c r="S1253" s="4"/>
    </row>
    <row r="1254" spans="1:19" ht="21" customHeight="1" x14ac:dyDescent="0.25">
      <c r="A1254" s="14">
        <f>DATE(2012,12,31)-388</f>
        <v>40886</v>
      </c>
      <c r="B1254" s="15" t="s">
        <v>1412</v>
      </c>
      <c r="C1254" s="15" t="s">
        <v>85</v>
      </c>
      <c r="D1254" s="16">
        <v>36</v>
      </c>
      <c r="E1254" s="17">
        <v>268.55</v>
      </c>
      <c r="F1254" s="16">
        <v>0.1</v>
      </c>
      <c r="G1254" s="15" t="s">
        <v>32</v>
      </c>
      <c r="H1254" s="18">
        <v>-99.02</v>
      </c>
      <c r="I1254" s="19">
        <v>8.1199999999999992</v>
      </c>
      <c r="J1254" s="19">
        <v>2.83</v>
      </c>
      <c r="K1254" s="19" t="s">
        <v>97</v>
      </c>
      <c r="L1254" s="19" t="s">
        <v>195</v>
      </c>
      <c r="M1254" s="15" t="s">
        <v>1413</v>
      </c>
      <c r="N1254" s="15" t="s">
        <v>64</v>
      </c>
      <c r="O1254" s="15" t="s">
        <v>72</v>
      </c>
      <c r="P1254" s="20" t="s">
        <v>879</v>
      </c>
      <c r="Q1254" s="15" t="s">
        <v>49</v>
      </c>
      <c r="R1254" s="4"/>
      <c r="S1254" s="4"/>
    </row>
    <row r="1255" spans="1:19" ht="21" customHeight="1" x14ac:dyDescent="0.25">
      <c r="A1255" s="14">
        <f>DATE(2012,12,31)-570</f>
        <v>40704</v>
      </c>
      <c r="B1255" s="15" t="s">
        <v>1414</v>
      </c>
      <c r="C1255" s="15" t="s">
        <v>51</v>
      </c>
      <c r="D1255" s="16">
        <v>23</v>
      </c>
      <c r="E1255" s="17">
        <v>294.91000000000003</v>
      </c>
      <c r="F1255" s="16">
        <v>0.03</v>
      </c>
      <c r="G1255" s="15" t="s">
        <v>32</v>
      </c>
      <c r="H1255" s="18">
        <v>-37.270000000000003</v>
      </c>
      <c r="I1255" s="19">
        <v>12.44</v>
      </c>
      <c r="J1255" s="19">
        <v>6.27</v>
      </c>
      <c r="K1255" s="19" t="s">
        <v>97</v>
      </c>
      <c r="L1255" s="19" t="s">
        <v>98</v>
      </c>
      <c r="M1255" s="15" t="s">
        <v>1162</v>
      </c>
      <c r="N1255" s="15" t="s">
        <v>36</v>
      </c>
      <c r="O1255" s="15" t="s">
        <v>37</v>
      </c>
      <c r="P1255" s="20" t="s">
        <v>143</v>
      </c>
      <c r="Q1255" s="15" t="s">
        <v>57</v>
      </c>
      <c r="R1255" s="4"/>
      <c r="S1255" s="4"/>
    </row>
    <row r="1256" spans="1:19" ht="21" customHeight="1" x14ac:dyDescent="0.25">
      <c r="A1256" s="14">
        <f>DATE(2012,12,31)-919</f>
        <v>40355</v>
      </c>
      <c r="B1256" s="15" t="s">
        <v>240</v>
      </c>
      <c r="C1256" s="15" t="s">
        <v>85</v>
      </c>
      <c r="D1256" s="16">
        <v>27</v>
      </c>
      <c r="E1256" s="17">
        <v>384.9</v>
      </c>
      <c r="F1256" s="16">
        <v>7.0000000000000007E-2</v>
      </c>
      <c r="G1256" s="15" t="s">
        <v>101</v>
      </c>
      <c r="H1256" s="18">
        <v>-108.28</v>
      </c>
      <c r="I1256" s="19">
        <v>14.03</v>
      </c>
      <c r="J1256" s="19">
        <v>9.3699999999999992</v>
      </c>
      <c r="K1256" s="19" t="s">
        <v>124</v>
      </c>
      <c r="L1256" s="19" t="s">
        <v>160</v>
      </c>
      <c r="M1256" s="15" t="s">
        <v>888</v>
      </c>
      <c r="N1256" s="15" t="s">
        <v>36</v>
      </c>
      <c r="O1256" s="15" t="s">
        <v>37</v>
      </c>
      <c r="P1256" s="20" t="s">
        <v>969</v>
      </c>
      <c r="Q1256" s="15" t="s">
        <v>83</v>
      </c>
      <c r="R1256" s="4"/>
      <c r="S1256" s="4"/>
    </row>
    <row r="1257" spans="1:19" ht="21" customHeight="1" x14ac:dyDescent="0.25">
      <c r="A1257" s="14">
        <f>DATE(2012,12,31)-442</f>
        <v>40832</v>
      </c>
      <c r="B1257" s="15" t="s">
        <v>1147</v>
      </c>
      <c r="C1257" s="15" t="s">
        <v>31</v>
      </c>
      <c r="D1257" s="16">
        <v>17</v>
      </c>
      <c r="E1257" s="17">
        <v>2637.78</v>
      </c>
      <c r="F1257" s="16">
        <v>0.04</v>
      </c>
      <c r="G1257" s="15" t="s">
        <v>32</v>
      </c>
      <c r="H1257" s="18">
        <v>-0.83999999999997499</v>
      </c>
      <c r="I1257" s="19">
        <v>152.47999999999999</v>
      </c>
      <c r="J1257" s="19">
        <v>6.5</v>
      </c>
      <c r="K1257" s="19" t="s">
        <v>124</v>
      </c>
      <c r="L1257" s="19" t="s">
        <v>493</v>
      </c>
      <c r="M1257" s="15" t="s">
        <v>1289</v>
      </c>
      <c r="N1257" s="15" t="s">
        <v>64</v>
      </c>
      <c r="O1257" s="15" t="s">
        <v>72</v>
      </c>
      <c r="P1257" s="20" t="s">
        <v>473</v>
      </c>
      <c r="Q1257" s="15" t="s">
        <v>83</v>
      </c>
      <c r="R1257" s="4"/>
      <c r="S1257" s="4"/>
    </row>
    <row r="1258" spans="1:19" ht="21" customHeight="1" x14ac:dyDescent="0.25">
      <c r="A1258" s="14">
        <f>DATE(2012,12,31)-442</f>
        <v>40832</v>
      </c>
      <c r="B1258" s="15" t="s">
        <v>1147</v>
      </c>
      <c r="C1258" s="15" t="s">
        <v>31</v>
      </c>
      <c r="D1258" s="16">
        <v>29</v>
      </c>
      <c r="E1258" s="17">
        <v>157.4</v>
      </c>
      <c r="F1258" s="16">
        <v>0.01</v>
      </c>
      <c r="G1258" s="15" t="s">
        <v>32</v>
      </c>
      <c r="H1258" s="18">
        <v>-118.56</v>
      </c>
      <c r="I1258" s="19">
        <v>4.9800000000000004</v>
      </c>
      <c r="J1258" s="19">
        <v>7.28</v>
      </c>
      <c r="K1258" s="19" t="s">
        <v>124</v>
      </c>
      <c r="L1258" s="19" t="s">
        <v>160</v>
      </c>
      <c r="M1258" s="15" t="s">
        <v>888</v>
      </c>
      <c r="N1258" s="15" t="s">
        <v>36</v>
      </c>
      <c r="O1258" s="15" t="s">
        <v>117</v>
      </c>
      <c r="P1258" s="20" t="s">
        <v>1415</v>
      </c>
      <c r="Q1258" s="15" t="s">
        <v>83</v>
      </c>
      <c r="R1258" s="4"/>
      <c r="S1258" s="4"/>
    </row>
    <row r="1259" spans="1:19" ht="21" customHeight="1" x14ac:dyDescent="0.25">
      <c r="A1259" s="14">
        <f>DATE(2012,12,31)-1140</f>
        <v>40134</v>
      </c>
      <c r="B1259" s="15" t="s">
        <v>398</v>
      </c>
      <c r="C1259" s="15" t="s">
        <v>85</v>
      </c>
      <c r="D1259" s="16">
        <v>47</v>
      </c>
      <c r="E1259" s="17">
        <v>2799.7</v>
      </c>
      <c r="F1259" s="16">
        <v>0.04</v>
      </c>
      <c r="G1259" s="15" t="s">
        <v>32</v>
      </c>
      <c r="H1259" s="18">
        <v>884.08</v>
      </c>
      <c r="I1259" s="19">
        <v>62.05</v>
      </c>
      <c r="J1259" s="19">
        <v>3.99</v>
      </c>
      <c r="K1259" s="19" t="s">
        <v>124</v>
      </c>
      <c r="L1259" s="19" t="s">
        <v>160</v>
      </c>
      <c r="M1259" s="15" t="s">
        <v>888</v>
      </c>
      <c r="N1259" s="15" t="s">
        <v>36</v>
      </c>
      <c r="O1259" s="15" t="s">
        <v>176</v>
      </c>
      <c r="P1259" s="20" t="s">
        <v>1416</v>
      </c>
      <c r="Q1259" s="15" t="s">
        <v>83</v>
      </c>
      <c r="R1259" s="4"/>
      <c r="S1259" s="4"/>
    </row>
    <row r="1260" spans="1:19" ht="21" customHeight="1" x14ac:dyDescent="0.25">
      <c r="A1260" s="14">
        <f>DATE(2012,12,31)-448</f>
        <v>40826</v>
      </c>
      <c r="B1260" s="15" t="s">
        <v>1417</v>
      </c>
      <c r="C1260" s="15" t="s">
        <v>43</v>
      </c>
      <c r="D1260" s="16">
        <v>7</v>
      </c>
      <c r="E1260" s="17">
        <v>2039.56</v>
      </c>
      <c r="F1260" s="16">
        <v>0.04</v>
      </c>
      <c r="G1260" s="15" t="s">
        <v>101</v>
      </c>
      <c r="H1260" s="18">
        <v>-329.49</v>
      </c>
      <c r="I1260" s="19">
        <v>279.48</v>
      </c>
      <c r="J1260" s="19">
        <v>35</v>
      </c>
      <c r="K1260" s="19" t="s">
        <v>124</v>
      </c>
      <c r="L1260" s="19" t="s">
        <v>158</v>
      </c>
      <c r="M1260" s="15" t="s">
        <v>158</v>
      </c>
      <c r="N1260" s="15" t="s">
        <v>36</v>
      </c>
      <c r="O1260" s="15" t="s">
        <v>37</v>
      </c>
      <c r="P1260" s="20" t="s">
        <v>905</v>
      </c>
      <c r="Q1260" s="15" t="s">
        <v>39</v>
      </c>
      <c r="R1260" s="4"/>
      <c r="S1260" s="4"/>
    </row>
    <row r="1261" spans="1:19" ht="21" customHeight="1" x14ac:dyDescent="0.25">
      <c r="A1261" s="14">
        <f>DATE(2012,12,31)-864</f>
        <v>40410</v>
      </c>
      <c r="B1261" s="15" t="s">
        <v>1418</v>
      </c>
      <c r="C1261" s="15" t="s">
        <v>43</v>
      </c>
      <c r="D1261" s="16">
        <v>43</v>
      </c>
      <c r="E1261" s="17">
        <v>292.80799999999999</v>
      </c>
      <c r="F1261" s="16">
        <v>0.05</v>
      </c>
      <c r="G1261" s="15" t="s">
        <v>32</v>
      </c>
      <c r="H1261" s="18">
        <v>-129.69</v>
      </c>
      <c r="I1261" s="19">
        <v>7.99</v>
      </c>
      <c r="J1261" s="19">
        <v>5.03</v>
      </c>
      <c r="K1261" s="19" t="s">
        <v>124</v>
      </c>
      <c r="L1261" s="19" t="s">
        <v>164</v>
      </c>
      <c r="M1261" s="15" t="s">
        <v>1228</v>
      </c>
      <c r="N1261" s="15" t="s">
        <v>64</v>
      </c>
      <c r="O1261" s="15" t="s">
        <v>65</v>
      </c>
      <c r="P1261" s="20" t="s">
        <v>66</v>
      </c>
      <c r="Q1261" s="15" t="s">
        <v>57</v>
      </c>
      <c r="R1261" s="4"/>
      <c r="S1261" s="4"/>
    </row>
    <row r="1262" spans="1:19" ht="21" customHeight="1" x14ac:dyDescent="0.25">
      <c r="A1262" s="14">
        <f>DATE(2012,12,31)-123</f>
        <v>41151</v>
      </c>
      <c r="B1262" s="15" t="s">
        <v>576</v>
      </c>
      <c r="C1262" s="15" t="s">
        <v>85</v>
      </c>
      <c r="D1262" s="16">
        <v>17</v>
      </c>
      <c r="E1262" s="17">
        <v>518.79999999999995</v>
      </c>
      <c r="F1262" s="16">
        <v>0.1</v>
      </c>
      <c r="G1262" s="15" t="s">
        <v>32</v>
      </c>
      <c r="H1262" s="18">
        <v>54.629499999999993</v>
      </c>
      <c r="I1262" s="19">
        <v>30.98</v>
      </c>
      <c r="J1262" s="19">
        <v>11.63</v>
      </c>
      <c r="K1262" s="19" t="s">
        <v>124</v>
      </c>
      <c r="L1262" s="19" t="s">
        <v>158</v>
      </c>
      <c r="M1262" s="15" t="s">
        <v>158</v>
      </c>
      <c r="N1262" s="15" t="s">
        <v>36</v>
      </c>
      <c r="O1262" s="15" t="s">
        <v>170</v>
      </c>
      <c r="P1262" s="20" t="s">
        <v>1419</v>
      </c>
      <c r="Q1262" s="15" t="s">
        <v>83</v>
      </c>
      <c r="R1262" s="4"/>
      <c r="S1262" s="4"/>
    </row>
    <row r="1263" spans="1:19" ht="21" customHeight="1" x14ac:dyDescent="0.25">
      <c r="A1263" s="14">
        <f>DATE(2012,12,31)-1228</f>
        <v>40046</v>
      </c>
      <c r="B1263" s="15" t="s">
        <v>1092</v>
      </c>
      <c r="C1263" s="15" t="s">
        <v>51</v>
      </c>
      <c r="D1263" s="16">
        <v>40</v>
      </c>
      <c r="E1263" s="17">
        <v>174.64</v>
      </c>
      <c r="F1263" s="16">
        <v>0.04</v>
      </c>
      <c r="G1263" s="15" t="s">
        <v>32</v>
      </c>
      <c r="H1263" s="18">
        <v>-143.22999999999999</v>
      </c>
      <c r="I1263" s="19">
        <v>4.37</v>
      </c>
      <c r="J1263" s="19">
        <v>5.15</v>
      </c>
      <c r="K1263" s="19" t="s">
        <v>124</v>
      </c>
      <c r="L1263" s="19" t="s">
        <v>164</v>
      </c>
      <c r="M1263" s="15" t="s">
        <v>1228</v>
      </c>
      <c r="N1263" s="15" t="s">
        <v>36</v>
      </c>
      <c r="O1263" s="15" t="s">
        <v>176</v>
      </c>
      <c r="P1263" s="20" t="s">
        <v>1179</v>
      </c>
      <c r="Q1263" s="15" t="s">
        <v>83</v>
      </c>
      <c r="R1263" s="4"/>
      <c r="S1263" s="4"/>
    </row>
    <row r="1264" spans="1:19" ht="21" customHeight="1" x14ac:dyDescent="0.25">
      <c r="A1264" s="14">
        <f>DATE(2012,12,31)-1228</f>
        <v>40046</v>
      </c>
      <c r="B1264" s="15" t="s">
        <v>1092</v>
      </c>
      <c r="C1264" s="15" t="s">
        <v>51</v>
      </c>
      <c r="D1264" s="16">
        <v>8</v>
      </c>
      <c r="E1264" s="17">
        <v>994.22800000000007</v>
      </c>
      <c r="F1264" s="16">
        <v>0.09</v>
      </c>
      <c r="G1264" s="15" t="s">
        <v>32</v>
      </c>
      <c r="H1264" s="18">
        <v>-446.57800000000003</v>
      </c>
      <c r="I1264" s="19">
        <v>155.99</v>
      </c>
      <c r="J1264" s="19">
        <v>8.99</v>
      </c>
      <c r="K1264" s="19" t="s">
        <v>44</v>
      </c>
      <c r="L1264" s="19" t="s">
        <v>236</v>
      </c>
      <c r="M1264" s="15" t="s">
        <v>237</v>
      </c>
      <c r="N1264" s="15" t="s">
        <v>64</v>
      </c>
      <c r="O1264" s="15" t="s">
        <v>65</v>
      </c>
      <c r="P1264" s="20" t="s">
        <v>82</v>
      </c>
      <c r="Q1264" s="15" t="s">
        <v>83</v>
      </c>
      <c r="R1264" s="4"/>
      <c r="S1264" s="4"/>
    </row>
    <row r="1265" spans="1:19" ht="21" customHeight="1" x14ac:dyDescent="0.25">
      <c r="A1265" s="14">
        <f>DATE(2012,12,31)-627</f>
        <v>40647</v>
      </c>
      <c r="B1265" s="15" t="s">
        <v>305</v>
      </c>
      <c r="C1265" s="15" t="s">
        <v>85</v>
      </c>
      <c r="D1265" s="16">
        <v>36</v>
      </c>
      <c r="E1265" s="17">
        <v>5977.63</v>
      </c>
      <c r="F1265" s="16">
        <v>0.1</v>
      </c>
      <c r="G1265" s="15" t="s">
        <v>58</v>
      </c>
      <c r="H1265" s="18">
        <v>-86.68</v>
      </c>
      <c r="I1265" s="19">
        <v>180.98</v>
      </c>
      <c r="J1265" s="19">
        <v>55.24</v>
      </c>
      <c r="K1265" s="19" t="s">
        <v>44</v>
      </c>
      <c r="L1265" s="19" t="s">
        <v>52</v>
      </c>
      <c r="M1265" s="15" t="s">
        <v>1300</v>
      </c>
      <c r="N1265" s="15" t="s">
        <v>36</v>
      </c>
      <c r="O1265" s="15" t="s">
        <v>176</v>
      </c>
      <c r="P1265" s="20" t="s">
        <v>1420</v>
      </c>
      <c r="Q1265" s="15" t="s">
        <v>181</v>
      </c>
      <c r="R1265" s="4"/>
      <c r="S1265" s="4"/>
    </row>
    <row r="1266" spans="1:19" ht="21" customHeight="1" x14ac:dyDescent="0.25">
      <c r="A1266" s="14">
        <f>DATE(2012,12,31)-1190</f>
        <v>40084</v>
      </c>
      <c r="B1266" s="15" t="s">
        <v>1421</v>
      </c>
      <c r="C1266" s="15" t="s">
        <v>31</v>
      </c>
      <c r="D1266" s="16">
        <v>24</v>
      </c>
      <c r="E1266" s="17">
        <v>1239.81</v>
      </c>
      <c r="F1266" s="16">
        <v>0.04</v>
      </c>
      <c r="G1266" s="15" t="s">
        <v>32</v>
      </c>
      <c r="H1266" s="18">
        <v>-13.28</v>
      </c>
      <c r="I1266" s="19">
        <v>50.98</v>
      </c>
      <c r="J1266" s="19">
        <v>6.5</v>
      </c>
      <c r="K1266" s="19" t="s">
        <v>44</v>
      </c>
      <c r="L1266" s="19" t="s">
        <v>52</v>
      </c>
      <c r="M1266" s="15" t="s">
        <v>1300</v>
      </c>
      <c r="N1266" s="15" t="s">
        <v>64</v>
      </c>
      <c r="O1266" s="15" t="s">
        <v>72</v>
      </c>
      <c r="P1266" s="20" t="s">
        <v>1422</v>
      </c>
      <c r="Q1266" s="15" t="s">
        <v>83</v>
      </c>
      <c r="R1266" s="4"/>
      <c r="S1266" s="4"/>
    </row>
    <row r="1267" spans="1:19" ht="21" customHeight="1" x14ac:dyDescent="0.25">
      <c r="A1267" s="14">
        <f>DATE(2012,12,31)-1190</f>
        <v>40084</v>
      </c>
      <c r="B1267" s="15" t="s">
        <v>1421</v>
      </c>
      <c r="C1267" s="15" t="s">
        <v>31</v>
      </c>
      <c r="D1267" s="16">
        <v>41</v>
      </c>
      <c r="E1267" s="17">
        <v>273.32</v>
      </c>
      <c r="F1267" s="16">
        <v>0.02</v>
      </c>
      <c r="G1267" s="15" t="s">
        <v>32</v>
      </c>
      <c r="H1267" s="18">
        <v>-48.68</v>
      </c>
      <c r="I1267" s="19">
        <v>6.48</v>
      </c>
      <c r="J1267" s="19">
        <v>5.14</v>
      </c>
      <c r="K1267" s="19" t="s">
        <v>33</v>
      </c>
      <c r="L1267" s="19" t="s">
        <v>59</v>
      </c>
      <c r="M1267" s="15" t="s">
        <v>1361</v>
      </c>
      <c r="N1267" s="15" t="s">
        <v>36</v>
      </c>
      <c r="O1267" s="15" t="s">
        <v>117</v>
      </c>
      <c r="P1267" s="20" t="s">
        <v>302</v>
      </c>
      <c r="Q1267" s="15" t="s">
        <v>83</v>
      </c>
      <c r="R1267" s="4"/>
      <c r="S1267" s="4"/>
    </row>
    <row r="1268" spans="1:19" ht="21" customHeight="1" x14ac:dyDescent="0.25">
      <c r="A1268" s="14">
        <f>DATE(2012,12,31)-728</f>
        <v>40546</v>
      </c>
      <c r="B1268" s="15" t="s">
        <v>1423</v>
      </c>
      <c r="C1268" s="15" t="s">
        <v>31</v>
      </c>
      <c r="D1268" s="16">
        <v>9</v>
      </c>
      <c r="E1268" s="17">
        <v>79.64</v>
      </c>
      <c r="F1268" s="16">
        <v>0.03</v>
      </c>
      <c r="G1268" s="15" t="s">
        <v>32</v>
      </c>
      <c r="H1268" s="18">
        <v>-377.74</v>
      </c>
      <c r="I1268" s="19">
        <v>3.25</v>
      </c>
      <c r="J1268" s="19">
        <v>49</v>
      </c>
      <c r="K1268" s="19" t="s">
        <v>69</v>
      </c>
      <c r="L1268" s="19" t="s">
        <v>70</v>
      </c>
      <c r="M1268" s="15" t="s">
        <v>1337</v>
      </c>
      <c r="N1268" s="15" t="s">
        <v>36</v>
      </c>
      <c r="O1268" s="15" t="s">
        <v>176</v>
      </c>
      <c r="P1268" s="20" t="s">
        <v>1424</v>
      </c>
      <c r="Q1268" s="15" t="s">
        <v>39</v>
      </c>
      <c r="R1268" s="4"/>
      <c r="S1268" s="4"/>
    </row>
    <row r="1269" spans="1:19" ht="21" customHeight="1" x14ac:dyDescent="0.25">
      <c r="A1269" s="14">
        <f>DATE(2012,12,31)-728</f>
        <v>40546</v>
      </c>
      <c r="B1269" s="15" t="s">
        <v>1423</v>
      </c>
      <c r="C1269" s="15" t="s">
        <v>31</v>
      </c>
      <c r="D1269" s="16">
        <v>25</v>
      </c>
      <c r="E1269" s="17">
        <v>1527.42</v>
      </c>
      <c r="F1269" s="16">
        <v>0.04</v>
      </c>
      <c r="G1269" s="15" t="s">
        <v>32</v>
      </c>
      <c r="H1269" s="18">
        <v>326.39999999999998</v>
      </c>
      <c r="I1269" s="19">
        <v>60.98</v>
      </c>
      <c r="J1269" s="19">
        <v>19.989999999999998</v>
      </c>
      <c r="K1269" s="19" t="s">
        <v>69</v>
      </c>
      <c r="L1269" s="19" t="s">
        <v>215</v>
      </c>
      <c r="M1269" s="15" t="s">
        <v>1388</v>
      </c>
      <c r="N1269" s="15" t="s">
        <v>36</v>
      </c>
      <c r="O1269" s="15" t="s">
        <v>189</v>
      </c>
      <c r="P1269" s="20" t="s">
        <v>1251</v>
      </c>
      <c r="Q1269" s="15" t="s">
        <v>83</v>
      </c>
      <c r="R1269" s="4"/>
      <c r="S1269" s="4"/>
    </row>
    <row r="1270" spans="1:19" ht="21" customHeight="1" x14ac:dyDescent="0.25">
      <c r="A1270" s="14">
        <f>DATE(2012,12,31)-1420</f>
        <v>39854</v>
      </c>
      <c r="B1270" s="15" t="s">
        <v>401</v>
      </c>
      <c r="C1270" s="15" t="s">
        <v>51</v>
      </c>
      <c r="D1270" s="16">
        <v>41</v>
      </c>
      <c r="E1270" s="17">
        <v>473.67</v>
      </c>
      <c r="F1270" s="16">
        <v>0.04</v>
      </c>
      <c r="G1270" s="15" t="s">
        <v>32</v>
      </c>
      <c r="H1270" s="18">
        <v>78.2</v>
      </c>
      <c r="I1270" s="19">
        <v>11.34</v>
      </c>
      <c r="J1270" s="19">
        <v>5.01</v>
      </c>
      <c r="K1270" s="19" t="s">
        <v>124</v>
      </c>
      <c r="L1270" s="19" t="s">
        <v>493</v>
      </c>
      <c r="M1270" s="15" t="s">
        <v>1289</v>
      </c>
      <c r="N1270" s="15" t="s">
        <v>36</v>
      </c>
      <c r="O1270" s="15" t="s">
        <v>117</v>
      </c>
      <c r="P1270" s="20" t="s">
        <v>1425</v>
      </c>
      <c r="Q1270" s="15" t="s">
        <v>83</v>
      </c>
      <c r="R1270" s="4"/>
      <c r="S1270" s="4"/>
    </row>
    <row r="1271" spans="1:19" ht="21" customHeight="1" x14ac:dyDescent="0.25">
      <c r="A1271" s="14">
        <f>DATE(2012,12,31)-1104</f>
        <v>40170</v>
      </c>
      <c r="B1271" s="15" t="s">
        <v>1407</v>
      </c>
      <c r="C1271" s="15" t="s">
        <v>43</v>
      </c>
      <c r="D1271" s="16">
        <v>41</v>
      </c>
      <c r="E1271" s="17">
        <v>2811.7</v>
      </c>
      <c r="F1271" s="16">
        <v>0.09</v>
      </c>
      <c r="G1271" s="15" t="s">
        <v>32</v>
      </c>
      <c r="H1271" s="18">
        <v>-3074.2712000000006</v>
      </c>
      <c r="I1271" s="19">
        <v>71.37</v>
      </c>
      <c r="J1271" s="19">
        <v>69</v>
      </c>
      <c r="K1271" s="19" t="s">
        <v>44</v>
      </c>
      <c r="L1271" s="19" t="s">
        <v>52</v>
      </c>
      <c r="M1271" s="15" t="s">
        <v>1300</v>
      </c>
      <c r="N1271" s="15" t="s">
        <v>54</v>
      </c>
      <c r="O1271" s="15" t="s">
        <v>61</v>
      </c>
      <c r="P1271" s="20" t="s">
        <v>399</v>
      </c>
      <c r="Q1271" s="15" t="s">
        <v>39</v>
      </c>
      <c r="R1271" s="4"/>
      <c r="S1271" s="4"/>
    </row>
    <row r="1272" spans="1:19" ht="21" customHeight="1" x14ac:dyDescent="0.25">
      <c r="A1272" s="14">
        <f>DATE(2012,12,31)-957</f>
        <v>40317</v>
      </c>
      <c r="B1272" s="15" t="s">
        <v>1426</v>
      </c>
      <c r="C1272" s="15" t="s">
        <v>51</v>
      </c>
      <c r="D1272" s="16">
        <v>46</v>
      </c>
      <c r="E1272" s="17">
        <v>176.5</v>
      </c>
      <c r="F1272" s="16">
        <v>0.01</v>
      </c>
      <c r="G1272" s="15" t="s">
        <v>32</v>
      </c>
      <c r="H1272" s="18">
        <v>-119.35</v>
      </c>
      <c r="I1272" s="19">
        <v>3.57</v>
      </c>
      <c r="J1272" s="19">
        <v>4.17</v>
      </c>
      <c r="K1272" s="19" t="s">
        <v>44</v>
      </c>
      <c r="L1272" s="19" t="s">
        <v>120</v>
      </c>
      <c r="M1272" s="15" t="s">
        <v>121</v>
      </c>
      <c r="N1272" s="15" t="s">
        <v>36</v>
      </c>
      <c r="O1272" s="15" t="s">
        <v>77</v>
      </c>
      <c r="P1272" s="20" t="s">
        <v>604</v>
      </c>
      <c r="Q1272" s="15" t="s">
        <v>49</v>
      </c>
      <c r="R1272" s="4"/>
      <c r="S1272" s="4"/>
    </row>
    <row r="1273" spans="1:19" ht="21" customHeight="1" x14ac:dyDescent="0.25">
      <c r="A1273" s="14">
        <f>DATE(2012,12,31)-957</f>
        <v>40317</v>
      </c>
      <c r="B1273" s="15" t="s">
        <v>1426</v>
      </c>
      <c r="C1273" s="15" t="s">
        <v>51</v>
      </c>
      <c r="D1273" s="16">
        <v>42</v>
      </c>
      <c r="E1273" s="17">
        <v>1546.8</v>
      </c>
      <c r="F1273" s="16">
        <v>7.0000000000000007E-2</v>
      </c>
      <c r="G1273" s="15" t="s">
        <v>32</v>
      </c>
      <c r="H1273" s="18">
        <v>25.51</v>
      </c>
      <c r="I1273" s="19">
        <v>37.76</v>
      </c>
      <c r="J1273" s="19">
        <v>12.9</v>
      </c>
      <c r="K1273" s="19" t="s">
        <v>44</v>
      </c>
      <c r="L1273" s="19" t="s">
        <v>89</v>
      </c>
      <c r="M1273" s="15" t="s">
        <v>1341</v>
      </c>
      <c r="N1273" s="15" t="s">
        <v>36</v>
      </c>
      <c r="O1273" s="15" t="s">
        <v>37</v>
      </c>
      <c r="P1273" s="20" t="s">
        <v>1427</v>
      </c>
      <c r="Q1273" s="15" t="s">
        <v>83</v>
      </c>
      <c r="R1273" s="4"/>
      <c r="S1273" s="4"/>
    </row>
    <row r="1274" spans="1:19" ht="21" customHeight="1" x14ac:dyDescent="0.25">
      <c r="A1274" s="14">
        <f>DATE(2012,12,31)-957</f>
        <v>40317</v>
      </c>
      <c r="B1274" s="15" t="s">
        <v>1426</v>
      </c>
      <c r="C1274" s="15" t="s">
        <v>51</v>
      </c>
      <c r="D1274" s="16">
        <v>35</v>
      </c>
      <c r="E1274" s="17">
        <v>3457.56</v>
      </c>
      <c r="F1274" s="16">
        <v>0.02</v>
      </c>
      <c r="G1274" s="15" t="s">
        <v>58</v>
      </c>
      <c r="H1274" s="18">
        <v>-365.44</v>
      </c>
      <c r="I1274" s="19">
        <v>124.49</v>
      </c>
      <c r="J1274" s="19">
        <v>51.94</v>
      </c>
      <c r="K1274" s="19" t="s">
        <v>97</v>
      </c>
      <c r="L1274" s="19" t="s">
        <v>283</v>
      </c>
      <c r="M1274" s="15" t="s">
        <v>284</v>
      </c>
      <c r="N1274" s="15" t="s">
        <v>54</v>
      </c>
      <c r="O1274" s="15" t="s">
        <v>61</v>
      </c>
      <c r="P1274" s="20" t="s">
        <v>220</v>
      </c>
      <c r="Q1274" s="15" t="s">
        <v>63</v>
      </c>
      <c r="R1274" s="4"/>
      <c r="S1274" s="4"/>
    </row>
    <row r="1275" spans="1:19" ht="21" customHeight="1" x14ac:dyDescent="0.25">
      <c r="A1275" s="14">
        <f>DATE(2012,12,31)-855</f>
        <v>40419</v>
      </c>
      <c r="B1275" s="15" t="s">
        <v>1007</v>
      </c>
      <c r="C1275" s="15" t="s">
        <v>85</v>
      </c>
      <c r="D1275" s="16">
        <v>38</v>
      </c>
      <c r="E1275" s="17">
        <v>3632.6</v>
      </c>
      <c r="F1275" s="16">
        <v>0</v>
      </c>
      <c r="G1275" s="15" t="s">
        <v>58</v>
      </c>
      <c r="H1275" s="18">
        <v>-400.33</v>
      </c>
      <c r="I1275" s="19">
        <v>89.99</v>
      </c>
      <c r="J1275" s="19">
        <v>42</v>
      </c>
      <c r="K1275" s="19" t="s">
        <v>69</v>
      </c>
      <c r="L1275" s="19" t="s">
        <v>70</v>
      </c>
      <c r="M1275" s="15" t="s">
        <v>1337</v>
      </c>
      <c r="N1275" s="15" t="s">
        <v>54</v>
      </c>
      <c r="O1275" s="15" t="s">
        <v>252</v>
      </c>
      <c r="P1275" s="20" t="s">
        <v>848</v>
      </c>
      <c r="Q1275" s="15" t="s">
        <v>181</v>
      </c>
      <c r="R1275" s="4"/>
      <c r="S1275" s="4"/>
    </row>
    <row r="1276" spans="1:19" ht="21" customHeight="1" x14ac:dyDescent="0.25">
      <c r="A1276" s="14">
        <f>DATE(2012,12,31)-336</f>
        <v>40938</v>
      </c>
      <c r="B1276" s="15" t="s">
        <v>1092</v>
      </c>
      <c r="C1276" s="15" t="s">
        <v>85</v>
      </c>
      <c r="D1276" s="16">
        <v>36</v>
      </c>
      <c r="E1276" s="17">
        <v>1644.22</v>
      </c>
      <c r="F1276" s="16">
        <v>0.05</v>
      </c>
      <c r="G1276" s="15" t="s">
        <v>32</v>
      </c>
      <c r="H1276" s="18">
        <v>563.09</v>
      </c>
      <c r="I1276" s="19">
        <v>46.94</v>
      </c>
      <c r="J1276" s="19">
        <v>6.77</v>
      </c>
      <c r="K1276" s="19" t="s">
        <v>69</v>
      </c>
      <c r="L1276" s="19" t="s">
        <v>75</v>
      </c>
      <c r="M1276" s="15" t="s">
        <v>75</v>
      </c>
      <c r="N1276" s="15" t="s">
        <v>54</v>
      </c>
      <c r="O1276" s="15" t="s">
        <v>55</v>
      </c>
      <c r="P1276" s="20" t="s">
        <v>1428</v>
      </c>
      <c r="Q1276" s="15" t="s">
        <v>83</v>
      </c>
      <c r="R1276" s="4"/>
      <c r="S1276" s="4"/>
    </row>
    <row r="1277" spans="1:19" ht="21" customHeight="1" x14ac:dyDescent="0.25">
      <c r="A1277" s="14">
        <f>DATE(2012,12,31)-962</f>
        <v>40312</v>
      </c>
      <c r="B1277" s="15" t="s">
        <v>1421</v>
      </c>
      <c r="C1277" s="15" t="s">
        <v>85</v>
      </c>
      <c r="D1277" s="16">
        <v>24</v>
      </c>
      <c r="E1277" s="17">
        <v>131.65</v>
      </c>
      <c r="F1277" s="16">
        <v>0.01</v>
      </c>
      <c r="G1277" s="15" t="s">
        <v>101</v>
      </c>
      <c r="H1277" s="18">
        <v>67.41</v>
      </c>
      <c r="I1277" s="19">
        <v>4.91</v>
      </c>
      <c r="J1277" s="19">
        <v>0.5</v>
      </c>
      <c r="K1277" s="19" t="s">
        <v>44</v>
      </c>
      <c r="L1277" s="19" t="s">
        <v>89</v>
      </c>
      <c r="M1277" s="15" t="s">
        <v>1341</v>
      </c>
      <c r="N1277" s="15" t="s">
        <v>36</v>
      </c>
      <c r="O1277" s="15" t="s">
        <v>114</v>
      </c>
      <c r="P1277" s="20" t="s">
        <v>1429</v>
      </c>
      <c r="Q1277" s="15" t="s">
        <v>83</v>
      </c>
      <c r="R1277" s="4"/>
      <c r="S1277" s="4"/>
    </row>
    <row r="1278" spans="1:19" ht="21" customHeight="1" x14ac:dyDescent="0.25">
      <c r="A1278" s="14">
        <f>DATE(2012,12,31)-312</f>
        <v>40962</v>
      </c>
      <c r="B1278" s="15" t="s">
        <v>564</v>
      </c>
      <c r="C1278" s="15" t="s">
        <v>85</v>
      </c>
      <c r="D1278" s="16">
        <v>31</v>
      </c>
      <c r="E1278" s="17">
        <v>199.8</v>
      </c>
      <c r="F1278" s="16">
        <v>0.08</v>
      </c>
      <c r="G1278" s="15" t="s">
        <v>101</v>
      </c>
      <c r="H1278" s="18">
        <v>-96.59</v>
      </c>
      <c r="I1278" s="19">
        <v>6.48</v>
      </c>
      <c r="J1278" s="19">
        <v>6.81</v>
      </c>
      <c r="K1278" s="19" t="s">
        <v>44</v>
      </c>
      <c r="L1278" s="19" t="s">
        <v>89</v>
      </c>
      <c r="M1278" s="15" t="s">
        <v>1341</v>
      </c>
      <c r="N1278" s="15" t="s">
        <v>36</v>
      </c>
      <c r="O1278" s="15" t="s">
        <v>117</v>
      </c>
      <c r="P1278" s="20" t="s">
        <v>735</v>
      </c>
      <c r="Q1278" s="15" t="s">
        <v>83</v>
      </c>
      <c r="R1278" s="4"/>
      <c r="S1278" s="4"/>
    </row>
    <row r="1279" spans="1:19" ht="21" customHeight="1" x14ac:dyDescent="0.25">
      <c r="A1279" s="14">
        <f>DATE(2012,12,31)-312</f>
        <v>40962</v>
      </c>
      <c r="B1279" s="15" t="s">
        <v>564</v>
      </c>
      <c r="C1279" s="15" t="s">
        <v>85</v>
      </c>
      <c r="D1279" s="16">
        <v>24</v>
      </c>
      <c r="E1279" s="17">
        <v>68.97</v>
      </c>
      <c r="F1279" s="16">
        <v>0.02</v>
      </c>
      <c r="G1279" s="15" t="s">
        <v>32</v>
      </c>
      <c r="H1279" s="18">
        <v>0.77</v>
      </c>
      <c r="I1279" s="19">
        <v>2.78</v>
      </c>
      <c r="J1279" s="19">
        <v>0.97</v>
      </c>
      <c r="K1279" s="19" t="s">
        <v>33</v>
      </c>
      <c r="L1279" s="19" t="s">
        <v>128</v>
      </c>
      <c r="M1279" s="15" t="s">
        <v>129</v>
      </c>
      <c r="N1279" s="15" t="s">
        <v>36</v>
      </c>
      <c r="O1279" s="15" t="s">
        <v>77</v>
      </c>
      <c r="P1279" s="20" t="s">
        <v>1430</v>
      </c>
      <c r="Q1279" s="15" t="s">
        <v>79</v>
      </c>
      <c r="R1279" s="4"/>
      <c r="S1279" s="4"/>
    </row>
    <row r="1280" spans="1:19" ht="21" customHeight="1" x14ac:dyDescent="0.25">
      <c r="A1280" s="14">
        <f>DATE(2012,12,31)-1459</f>
        <v>39815</v>
      </c>
      <c r="B1280" s="15" t="s">
        <v>1100</v>
      </c>
      <c r="C1280" s="15" t="s">
        <v>85</v>
      </c>
      <c r="D1280" s="16">
        <v>3</v>
      </c>
      <c r="E1280" s="17">
        <v>124.81</v>
      </c>
      <c r="F1280" s="16">
        <v>0.06</v>
      </c>
      <c r="G1280" s="15" t="s">
        <v>32</v>
      </c>
      <c r="H1280" s="18">
        <v>-11.937000000000001</v>
      </c>
      <c r="I1280" s="19">
        <v>40.98</v>
      </c>
      <c r="J1280" s="19">
        <v>2.99</v>
      </c>
      <c r="K1280" s="19" t="s">
        <v>97</v>
      </c>
      <c r="L1280" s="19" t="s">
        <v>132</v>
      </c>
      <c r="M1280" s="15" t="s">
        <v>133</v>
      </c>
      <c r="N1280" s="15" t="s">
        <v>36</v>
      </c>
      <c r="O1280" s="15" t="s">
        <v>170</v>
      </c>
      <c r="P1280" s="20" t="s">
        <v>347</v>
      </c>
      <c r="Q1280" s="15" t="s">
        <v>83</v>
      </c>
      <c r="R1280" s="4"/>
      <c r="S1280" s="4"/>
    </row>
    <row r="1281" spans="1:19" ht="21" customHeight="1" x14ac:dyDescent="0.25">
      <c r="A1281" s="14">
        <f>DATE(2012,12,31)-638</f>
        <v>40636</v>
      </c>
      <c r="B1281" s="15" t="s">
        <v>932</v>
      </c>
      <c r="C1281" s="15" t="s">
        <v>85</v>
      </c>
      <c r="D1281" s="16">
        <v>26</v>
      </c>
      <c r="E1281" s="17">
        <v>123.16</v>
      </c>
      <c r="F1281" s="16">
        <v>0.1</v>
      </c>
      <c r="G1281" s="15" t="s">
        <v>32</v>
      </c>
      <c r="H1281" s="18">
        <v>45.79</v>
      </c>
      <c r="I1281" s="19">
        <v>4.9800000000000004</v>
      </c>
      <c r="J1281" s="19">
        <v>0.8</v>
      </c>
      <c r="K1281" s="19" t="s">
        <v>124</v>
      </c>
      <c r="L1281" s="19" t="s">
        <v>493</v>
      </c>
      <c r="M1281" s="15" t="s">
        <v>1289</v>
      </c>
      <c r="N1281" s="15" t="s">
        <v>36</v>
      </c>
      <c r="O1281" s="15" t="s">
        <v>117</v>
      </c>
      <c r="P1281" s="20" t="s">
        <v>487</v>
      </c>
      <c r="Q1281" s="15" t="s">
        <v>79</v>
      </c>
      <c r="R1281" s="4"/>
      <c r="S1281" s="4"/>
    </row>
    <row r="1282" spans="1:19" ht="21" customHeight="1" x14ac:dyDescent="0.25">
      <c r="A1282" s="14">
        <f>DATE(2012,12,31)-227</f>
        <v>41047</v>
      </c>
      <c r="B1282" s="15" t="s">
        <v>1418</v>
      </c>
      <c r="C1282" s="15" t="s">
        <v>43</v>
      </c>
      <c r="D1282" s="16">
        <v>43</v>
      </c>
      <c r="E1282" s="17">
        <v>1160.55</v>
      </c>
      <c r="F1282" s="16">
        <v>0.05</v>
      </c>
      <c r="G1282" s="15" t="s">
        <v>58</v>
      </c>
      <c r="H1282" s="18">
        <v>-179.17</v>
      </c>
      <c r="I1282" s="19">
        <v>25.98</v>
      </c>
      <c r="J1282" s="19">
        <v>14.36</v>
      </c>
      <c r="K1282" s="19" t="s">
        <v>44</v>
      </c>
      <c r="L1282" s="19" t="s">
        <v>52</v>
      </c>
      <c r="M1282" s="15" t="s">
        <v>1300</v>
      </c>
      <c r="N1282" s="15" t="s">
        <v>54</v>
      </c>
      <c r="O1282" s="15" t="s">
        <v>252</v>
      </c>
      <c r="P1282" s="20" t="s">
        <v>1431</v>
      </c>
      <c r="Q1282" s="15" t="s">
        <v>181</v>
      </c>
      <c r="R1282" s="4"/>
      <c r="S1282" s="4"/>
    </row>
    <row r="1283" spans="1:19" ht="21" customHeight="1" x14ac:dyDescent="0.25">
      <c r="A1283" s="14">
        <f>DATE(2012,12,31)-391</f>
        <v>40883</v>
      </c>
      <c r="B1283" s="15" t="s">
        <v>746</v>
      </c>
      <c r="C1283" s="15" t="s">
        <v>31</v>
      </c>
      <c r="D1283" s="16">
        <v>18</v>
      </c>
      <c r="E1283" s="17">
        <v>1733.1</v>
      </c>
      <c r="F1283" s="16">
        <v>0.09</v>
      </c>
      <c r="G1283" s="15" t="s">
        <v>32</v>
      </c>
      <c r="H1283" s="18">
        <v>-505.69</v>
      </c>
      <c r="I1283" s="19">
        <v>95.99</v>
      </c>
      <c r="J1283" s="19">
        <v>35</v>
      </c>
      <c r="K1283" s="19" t="s">
        <v>44</v>
      </c>
      <c r="L1283" s="19" t="s">
        <v>120</v>
      </c>
      <c r="M1283" s="15" t="s">
        <v>121</v>
      </c>
      <c r="N1283" s="15" t="s">
        <v>36</v>
      </c>
      <c r="O1283" s="15" t="s">
        <v>37</v>
      </c>
      <c r="P1283" s="20" t="s">
        <v>137</v>
      </c>
      <c r="Q1283" s="15" t="s">
        <v>39</v>
      </c>
      <c r="R1283" s="4"/>
      <c r="S1283" s="4"/>
    </row>
    <row r="1284" spans="1:19" ht="21" customHeight="1" x14ac:dyDescent="0.25">
      <c r="A1284" s="14">
        <f>DATE(2012,12,31)-391</f>
        <v>40883</v>
      </c>
      <c r="B1284" s="15" t="s">
        <v>746</v>
      </c>
      <c r="C1284" s="15" t="s">
        <v>31</v>
      </c>
      <c r="D1284" s="16">
        <v>31</v>
      </c>
      <c r="E1284" s="17">
        <v>3448.6455000000001</v>
      </c>
      <c r="F1284" s="16">
        <v>0.02</v>
      </c>
      <c r="G1284" s="15" t="s">
        <v>32</v>
      </c>
      <c r="H1284" s="18">
        <v>900.41399999999999</v>
      </c>
      <c r="I1284" s="19">
        <v>125.99</v>
      </c>
      <c r="J1284" s="19">
        <v>8.99</v>
      </c>
      <c r="K1284" s="19" t="s">
        <v>33</v>
      </c>
      <c r="L1284" s="19" t="s">
        <v>59</v>
      </c>
      <c r="M1284" s="15" t="s">
        <v>1361</v>
      </c>
      <c r="N1284" s="15" t="s">
        <v>64</v>
      </c>
      <c r="O1284" s="15" t="s">
        <v>65</v>
      </c>
      <c r="P1284" s="20" t="s">
        <v>109</v>
      </c>
      <c r="Q1284" s="15" t="s">
        <v>83</v>
      </c>
      <c r="R1284" s="4"/>
      <c r="S1284" s="4"/>
    </row>
    <row r="1285" spans="1:19" ht="21" customHeight="1" x14ac:dyDescent="0.25">
      <c r="A1285" s="14">
        <f>DATE(2012,12,31)-144</f>
        <v>41130</v>
      </c>
      <c r="B1285" s="15" t="s">
        <v>207</v>
      </c>
      <c r="C1285" s="15" t="s">
        <v>31</v>
      </c>
      <c r="D1285" s="16">
        <v>31</v>
      </c>
      <c r="E1285" s="17">
        <v>131.19999999999999</v>
      </c>
      <c r="F1285" s="16">
        <v>0.01</v>
      </c>
      <c r="G1285" s="15" t="s">
        <v>32</v>
      </c>
      <c r="H1285" s="18">
        <v>-107.98</v>
      </c>
      <c r="I1285" s="19">
        <v>3.95</v>
      </c>
      <c r="J1285" s="19">
        <v>5.13</v>
      </c>
      <c r="K1285" s="19" t="s">
        <v>33</v>
      </c>
      <c r="L1285" s="19" t="s">
        <v>34</v>
      </c>
      <c r="M1285" s="15" t="s">
        <v>1359</v>
      </c>
      <c r="N1285" s="15" t="s">
        <v>36</v>
      </c>
      <c r="O1285" s="15" t="s">
        <v>176</v>
      </c>
      <c r="P1285" s="20" t="s">
        <v>565</v>
      </c>
      <c r="Q1285" s="15" t="s">
        <v>83</v>
      </c>
      <c r="R1285" s="4"/>
      <c r="S1285" s="4"/>
    </row>
    <row r="1286" spans="1:19" ht="21" customHeight="1" x14ac:dyDescent="0.25">
      <c r="A1286" s="14">
        <f>DATE(2012,12,31)-61</f>
        <v>41213</v>
      </c>
      <c r="B1286" s="15" t="s">
        <v>1282</v>
      </c>
      <c r="C1286" s="15" t="s">
        <v>85</v>
      </c>
      <c r="D1286" s="16">
        <v>13</v>
      </c>
      <c r="E1286" s="17">
        <v>1735.94</v>
      </c>
      <c r="F1286" s="16">
        <v>0.1</v>
      </c>
      <c r="G1286" s="15" t="s">
        <v>58</v>
      </c>
      <c r="H1286" s="18">
        <v>-432.54</v>
      </c>
      <c r="I1286" s="19">
        <v>140.97999999999999</v>
      </c>
      <c r="J1286" s="19">
        <v>53.48</v>
      </c>
      <c r="K1286" s="19" t="s">
        <v>33</v>
      </c>
      <c r="L1286" s="19" t="s">
        <v>145</v>
      </c>
      <c r="M1286" s="15" t="s">
        <v>1397</v>
      </c>
      <c r="N1286" s="15" t="s">
        <v>54</v>
      </c>
      <c r="O1286" s="15" t="s">
        <v>134</v>
      </c>
      <c r="P1286" s="20" t="s">
        <v>1035</v>
      </c>
      <c r="Q1286" s="15" t="s">
        <v>63</v>
      </c>
      <c r="R1286" s="4"/>
      <c r="S1286" s="4"/>
    </row>
    <row r="1287" spans="1:19" ht="21" customHeight="1" x14ac:dyDescent="0.25">
      <c r="A1287" s="14">
        <f>DATE(2012,12,31)-61</f>
        <v>41213</v>
      </c>
      <c r="B1287" s="15" t="s">
        <v>1282</v>
      </c>
      <c r="C1287" s="15" t="s">
        <v>85</v>
      </c>
      <c r="D1287" s="16">
        <v>2</v>
      </c>
      <c r="E1287" s="17">
        <v>337.6</v>
      </c>
      <c r="F1287" s="16">
        <v>0.1</v>
      </c>
      <c r="G1287" s="15" t="s">
        <v>32</v>
      </c>
      <c r="H1287" s="18">
        <v>-210.7835</v>
      </c>
      <c r="I1287" s="19">
        <v>172.99</v>
      </c>
      <c r="J1287" s="19">
        <v>19.989999999999998</v>
      </c>
      <c r="K1287" s="19" t="s">
        <v>69</v>
      </c>
      <c r="L1287" s="19" t="s">
        <v>75</v>
      </c>
      <c r="M1287" s="15" t="s">
        <v>75</v>
      </c>
      <c r="N1287" s="15" t="s">
        <v>54</v>
      </c>
      <c r="O1287" s="15" t="s">
        <v>55</v>
      </c>
      <c r="P1287" s="20" t="s">
        <v>1317</v>
      </c>
      <c r="Q1287" s="15" t="s">
        <v>57</v>
      </c>
      <c r="R1287" s="4"/>
      <c r="S1287" s="4"/>
    </row>
    <row r="1288" spans="1:19" ht="21" customHeight="1" x14ac:dyDescent="0.25">
      <c r="A1288" s="14">
        <f>DATE(2012,12,31)-1386</f>
        <v>39888</v>
      </c>
      <c r="B1288" s="15" t="s">
        <v>665</v>
      </c>
      <c r="C1288" s="15" t="s">
        <v>43</v>
      </c>
      <c r="D1288" s="16">
        <v>11</v>
      </c>
      <c r="E1288" s="17">
        <v>82.42</v>
      </c>
      <c r="F1288" s="16">
        <v>7.0000000000000007E-2</v>
      </c>
      <c r="G1288" s="15" t="s">
        <v>32</v>
      </c>
      <c r="H1288" s="18">
        <v>18.53</v>
      </c>
      <c r="I1288" s="19">
        <v>7.59</v>
      </c>
      <c r="J1288" s="19">
        <v>4</v>
      </c>
      <c r="K1288" s="19" t="s">
        <v>69</v>
      </c>
      <c r="L1288" s="19" t="s">
        <v>70</v>
      </c>
      <c r="M1288" s="15" t="s">
        <v>1337</v>
      </c>
      <c r="N1288" s="15" t="s">
        <v>54</v>
      </c>
      <c r="O1288" s="15" t="s">
        <v>55</v>
      </c>
      <c r="P1288" s="20" t="s">
        <v>951</v>
      </c>
      <c r="Q1288" s="15" t="s">
        <v>79</v>
      </c>
      <c r="R1288" s="4"/>
      <c r="S1288" s="4"/>
    </row>
    <row r="1289" spans="1:19" ht="21" customHeight="1" x14ac:dyDescent="0.25">
      <c r="A1289" s="14">
        <f>DATE(2012,12,31)-240</f>
        <v>41034</v>
      </c>
      <c r="B1289" s="15" t="s">
        <v>1432</v>
      </c>
      <c r="C1289" s="15" t="s">
        <v>85</v>
      </c>
      <c r="D1289" s="16">
        <v>12</v>
      </c>
      <c r="E1289" s="17">
        <v>1712.66</v>
      </c>
      <c r="F1289" s="16">
        <v>0.1</v>
      </c>
      <c r="G1289" s="15" t="s">
        <v>32</v>
      </c>
      <c r="H1289" s="18">
        <v>-390.77</v>
      </c>
      <c r="I1289" s="19">
        <v>152.47999999999999</v>
      </c>
      <c r="J1289" s="19">
        <v>4</v>
      </c>
      <c r="K1289" s="19" t="s">
        <v>69</v>
      </c>
      <c r="L1289" s="19" t="s">
        <v>70</v>
      </c>
      <c r="M1289" s="15" t="s">
        <v>1337</v>
      </c>
      <c r="N1289" s="15" t="s">
        <v>64</v>
      </c>
      <c r="O1289" s="15" t="s">
        <v>72</v>
      </c>
      <c r="P1289" s="20" t="s">
        <v>473</v>
      </c>
      <c r="Q1289" s="15" t="s">
        <v>83</v>
      </c>
      <c r="R1289" s="4"/>
      <c r="S1289" s="4"/>
    </row>
    <row r="1290" spans="1:19" ht="21" customHeight="1" x14ac:dyDescent="0.25">
      <c r="A1290" s="14">
        <f>DATE(2012,12,31)-564</f>
        <v>40710</v>
      </c>
      <c r="B1290" s="15" t="s">
        <v>1433</v>
      </c>
      <c r="C1290" s="15" t="s">
        <v>85</v>
      </c>
      <c r="D1290" s="16">
        <v>17</v>
      </c>
      <c r="E1290" s="17">
        <v>53.91</v>
      </c>
      <c r="F1290" s="16">
        <v>0.05</v>
      </c>
      <c r="G1290" s="15" t="s">
        <v>32</v>
      </c>
      <c r="H1290" s="18">
        <v>19.47</v>
      </c>
      <c r="I1290" s="19">
        <v>3.15</v>
      </c>
      <c r="J1290" s="19">
        <v>0.49</v>
      </c>
      <c r="K1290" s="19" t="s">
        <v>69</v>
      </c>
      <c r="L1290" s="19" t="s">
        <v>75</v>
      </c>
      <c r="M1290" s="15" t="s">
        <v>75</v>
      </c>
      <c r="N1290" s="15" t="s">
        <v>36</v>
      </c>
      <c r="O1290" s="15" t="s">
        <v>114</v>
      </c>
      <c r="P1290" s="20" t="s">
        <v>845</v>
      </c>
      <c r="Q1290" s="15" t="s">
        <v>83</v>
      </c>
      <c r="R1290" s="4"/>
      <c r="S1290" s="4"/>
    </row>
    <row r="1291" spans="1:19" ht="21" customHeight="1" x14ac:dyDescent="0.25">
      <c r="A1291" s="14">
        <f>DATE(2012,12,31)-81</f>
        <v>41193</v>
      </c>
      <c r="B1291" s="15" t="s">
        <v>96</v>
      </c>
      <c r="C1291" s="15" t="s">
        <v>43</v>
      </c>
      <c r="D1291" s="16">
        <v>3</v>
      </c>
      <c r="E1291" s="17">
        <v>31.95</v>
      </c>
      <c r="F1291" s="16">
        <v>0.1</v>
      </c>
      <c r="G1291" s="15" t="s">
        <v>32</v>
      </c>
      <c r="H1291" s="18">
        <v>-23.69</v>
      </c>
      <c r="I1291" s="19">
        <v>8.0399999999999991</v>
      </c>
      <c r="J1291" s="19">
        <v>8.94</v>
      </c>
      <c r="K1291" s="19" t="s">
        <v>69</v>
      </c>
      <c r="L1291" s="19" t="s">
        <v>70</v>
      </c>
      <c r="M1291" s="15" t="s">
        <v>1337</v>
      </c>
      <c r="N1291" s="15" t="s">
        <v>36</v>
      </c>
      <c r="O1291" s="15" t="s">
        <v>170</v>
      </c>
      <c r="P1291" s="20" t="s">
        <v>995</v>
      </c>
      <c r="Q1291" s="15" t="s">
        <v>83</v>
      </c>
      <c r="R1291" s="4"/>
      <c r="S1291" s="4"/>
    </row>
    <row r="1292" spans="1:19" ht="21" customHeight="1" x14ac:dyDescent="0.25">
      <c r="A1292" s="14">
        <f>DATE(2012,12,31)-81</f>
        <v>41193</v>
      </c>
      <c r="B1292" s="15" t="s">
        <v>96</v>
      </c>
      <c r="C1292" s="15" t="s">
        <v>43</v>
      </c>
      <c r="D1292" s="16">
        <v>34</v>
      </c>
      <c r="E1292" s="17">
        <v>563.82000000000005</v>
      </c>
      <c r="F1292" s="16">
        <v>0.03</v>
      </c>
      <c r="G1292" s="15" t="s">
        <v>32</v>
      </c>
      <c r="H1292" s="18">
        <v>188.22399999999999</v>
      </c>
      <c r="I1292" s="19">
        <v>16.510000000000002</v>
      </c>
      <c r="J1292" s="19">
        <v>2.99</v>
      </c>
      <c r="K1292" s="19" t="s">
        <v>69</v>
      </c>
      <c r="L1292" s="19" t="s">
        <v>75</v>
      </c>
      <c r="M1292" s="15" t="s">
        <v>75</v>
      </c>
      <c r="N1292" s="15" t="s">
        <v>36</v>
      </c>
      <c r="O1292" s="15" t="s">
        <v>170</v>
      </c>
      <c r="P1292" s="20" t="s">
        <v>1082</v>
      </c>
      <c r="Q1292" s="15" t="s">
        <v>83</v>
      </c>
      <c r="R1292" s="4"/>
      <c r="S1292" s="4"/>
    </row>
    <row r="1293" spans="1:19" ht="21" customHeight="1" x14ac:dyDescent="0.25">
      <c r="A1293" s="14">
        <f>DATE(2012,12,31)-81</f>
        <v>41193</v>
      </c>
      <c r="B1293" s="15" t="s">
        <v>96</v>
      </c>
      <c r="C1293" s="15" t="s">
        <v>43</v>
      </c>
      <c r="D1293" s="16">
        <v>31</v>
      </c>
      <c r="E1293" s="17">
        <v>502.44</v>
      </c>
      <c r="F1293" s="16">
        <v>0.04</v>
      </c>
      <c r="G1293" s="15" t="s">
        <v>32</v>
      </c>
      <c r="H1293" s="18">
        <v>-363.44</v>
      </c>
      <c r="I1293" s="19">
        <v>15.51</v>
      </c>
      <c r="J1293" s="19">
        <v>17.78</v>
      </c>
      <c r="K1293" s="19" t="s">
        <v>69</v>
      </c>
      <c r="L1293" s="19" t="s">
        <v>215</v>
      </c>
      <c r="M1293" s="15" t="s">
        <v>1388</v>
      </c>
      <c r="N1293" s="15" t="s">
        <v>36</v>
      </c>
      <c r="O1293" s="15" t="s">
        <v>37</v>
      </c>
      <c r="P1293" s="20" t="s">
        <v>1434</v>
      </c>
      <c r="Q1293" s="15" t="s">
        <v>83</v>
      </c>
      <c r="R1293" s="4"/>
      <c r="S1293" s="4"/>
    </row>
    <row r="1294" spans="1:19" ht="21" customHeight="1" x14ac:dyDescent="0.25">
      <c r="A1294" s="14">
        <f>DATE(2012,12,31)-1316</f>
        <v>39958</v>
      </c>
      <c r="B1294" s="15" t="s">
        <v>42</v>
      </c>
      <c r="C1294" s="15" t="s">
        <v>43</v>
      </c>
      <c r="D1294" s="16">
        <v>10</v>
      </c>
      <c r="E1294" s="17">
        <v>165.04</v>
      </c>
      <c r="F1294" s="16">
        <v>0.08</v>
      </c>
      <c r="G1294" s="15" t="s">
        <v>101</v>
      </c>
      <c r="H1294" s="18">
        <v>-66.584999999999994</v>
      </c>
      <c r="I1294" s="19">
        <v>15.99</v>
      </c>
      <c r="J1294" s="19">
        <v>13.18</v>
      </c>
      <c r="K1294" s="19" t="s">
        <v>44</v>
      </c>
      <c r="L1294" s="19" t="s">
        <v>45</v>
      </c>
      <c r="M1294" s="15" t="s">
        <v>1264</v>
      </c>
      <c r="N1294" s="15" t="s">
        <v>36</v>
      </c>
      <c r="O1294" s="15" t="s">
        <v>170</v>
      </c>
      <c r="P1294" s="20" t="s">
        <v>479</v>
      </c>
      <c r="Q1294" s="15" t="s">
        <v>83</v>
      </c>
      <c r="R1294" s="4"/>
      <c r="S1294" s="4"/>
    </row>
    <row r="1295" spans="1:19" ht="21" customHeight="1" x14ac:dyDescent="0.25">
      <c r="A1295" s="14">
        <f>DATE(2012,12,31)-1374</f>
        <v>39900</v>
      </c>
      <c r="B1295" s="15" t="s">
        <v>696</v>
      </c>
      <c r="C1295" s="15" t="s">
        <v>51</v>
      </c>
      <c r="D1295" s="16">
        <v>48</v>
      </c>
      <c r="E1295" s="17">
        <v>522.97</v>
      </c>
      <c r="F1295" s="16">
        <v>0.04</v>
      </c>
      <c r="G1295" s="15" t="s">
        <v>32</v>
      </c>
      <c r="H1295" s="18">
        <v>29.98</v>
      </c>
      <c r="I1295" s="19">
        <v>10.4</v>
      </c>
      <c r="J1295" s="19">
        <v>5.4</v>
      </c>
      <c r="K1295" s="19" t="s">
        <v>44</v>
      </c>
      <c r="L1295" s="19" t="s">
        <v>120</v>
      </c>
      <c r="M1295" s="15" t="s">
        <v>121</v>
      </c>
      <c r="N1295" s="15" t="s">
        <v>54</v>
      </c>
      <c r="O1295" s="15" t="s">
        <v>55</v>
      </c>
      <c r="P1295" s="20" t="s">
        <v>1435</v>
      </c>
      <c r="Q1295" s="15" t="s">
        <v>49</v>
      </c>
      <c r="R1295" s="4"/>
      <c r="S1295" s="4"/>
    </row>
    <row r="1296" spans="1:19" ht="21" customHeight="1" x14ac:dyDescent="0.25">
      <c r="A1296" s="14">
        <f>DATE(2012,12,31)-1374</f>
        <v>39900</v>
      </c>
      <c r="B1296" s="15" t="s">
        <v>696</v>
      </c>
      <c r="C1296" s="15" t="s">
        <v>51</v>
      </c>
      <c r="D1296" s="16">
        <v>48</v>
      </c>
      <c r="E1296" s="17">
        <v>199.46</v>
      </c>
      <c r="F1296" s="16">
        <v>0.08</v>
      </c>
      <c r="G1296" s="15" t="s">
        <v>32</v>
      </c>
      <c r="H1296" s="18">
        <v>-121.2</v>
      </c>
      <c r="I1296" s="19">
        <v>4.28</v>
      </c>
      <c r="J1296" s="19">
        <v>4.79</v>
      </c>
      <c r="K1296" s="19" t="s">
        <v>44</v>
      </c>
      <c r="L1296" s="19" t="s">
        <v>45</v>
      </c>
      <c r="M1296" s="15" t="s">
        <v>1264</v>
      </c>
      <c r="N1296" s="15" t="s">
        <v>36</v>
      </c>
      <c r="O1296" s="15" t="s">
        <v>117</v>
      </c>
      <c r="P1296" s="20" t="s">
        <v>1436</v>
      </c>
      <c r="Q1296" s="15" t="s">
        <v>83</v>
      </c>
      <c r="R1296" s="4"/>
      <c r="S1296" s="4"/>
    </row>
    <row r="1297" spans="1:19" ht="21" customHeight="1" x14ac:dyDescent="0.25">
      <c r="A1297" s="14">
        <f>DATE(2012,12,31)-36</f>
        <v>41238</v>
      </c>
      <c r="B1297" s="15" t="s">
        <v>539</v>
      </c>
      <c r="C1297" s="15" t="s">
        <v>85</v>
      </c>
      <c r="D1297" s="16">
        <v>17</v>
      </c>
      <c r="E1297" s="17">
        <v>1954.796</v>
      </c>
      <c r="F1297" s="16">
        <v>0.05</v>
      </c>
      <c r="G1297" s="15" t="s">
        <v>32</v>
      </c>
      <c r="H1297" s="18">
        <v>98.352000000000004</v>
      </c>
      <c r="I1297" s="19">
        <v>140.99</v>
      </c>
      <c r="J1297" s="19">
        <v>4.2</v>
      </c>
      <c r="K1297" s="19" t="s">
        <v>44</v>
      </c>
      <c r="L1297" s="19" t="s">
        <v>80</v>
      </c>
      <c r="M1297" s="15" t="s">
        <v>1200</v>
      </c>
      <c r="N1297" s="15" t="s">
        <v>64</v>
      </c>
      <c r="O1297" s="15" t="s">
        <v>65</v>
      </c>
      <c r="P1297" s="20" t="s">
        <v>184</v>
      </c>
      <c r="Q1297" s="15" t="s">
        <v>83</v>
      </c>
      <c r="R1297" s="4"/>
      <c r="S1297" s="4"/>
    </row>
    <row r="1298" spans="1:19" ht="21" customHeight="1" x14ac:dyDescent="0.25">
      <c r="A1298" s="14">
        <f>DATE(2012,12,31)-207</f>
        <v>41067</v>
      </c>
      <c r="B1298" s="15" t="s">
        <v>623</v>
      </c>
      <c r="C1298" s="15" t="s">
        <v>51</v>
      </c>
      <c r="D1298" s="16">
        <v>2</v>
      </c>
      <c r="E1298" s="17">
        <v>316.52</v>
      </c>
      <c r="F1298" s="16">
        <v>0.03</v>
      </c>
      <c r="G1298" s="15" t="s">
        <v>32</v>
      </c>
      <c r="H1298" s="18">
        <v>-542.32000000000005</v>
      </c>
      <c r="I1298" s="19">
        <v>152.47999999999999</v>
      </c>
      <c r="J1298" s="19">
        <v>4</v>
      </c>
      <c r="K1298" s="19" t="s">
        <v>44</v>
      </c>
      <c r="L1298" s="19" t="s">
        <v>89</v>
      </c>
      <c r="M1298" s="15" t="s">
        <v>1341</v>
      </c>
      <c r="N1298" s="15" t="s">
        <v>64</v>
      </c>
      <c r="O1298" s="15" t="s">
        <v>72</v>
      </c>
      <c r="P1298" s="20" t="s">
        <v>473</v>
      </c>
      <c r="Q1298" s="15" t="s">
        <v>83</v>
      </c>
      <c r="R1298" s="4"/>
      <c r="S1298" s="4"/>
    </row>
    <row r="1299" spans="1:19" ht="21" customHeight="1" x14ac:dyDescent="0.25">
      <c r="A1299" s="14">
        <f>DATE(2012,12,31)-207</f>
        <v>41067</v>
      </c>
      <c r="B1299" s="15" t="s">
        <v>623</v>
      </c>
      <c r="C1299" s="15" t="s">
        <v>51</v>
      </c>
      <c r="D1299" s="16">
        <v>5</v>
      </c>
      <c r="E1299" s="17">
        <v>155.38999999999999</v>
      </c>
      <c r="F1299" s="16">
        <v>0.1</v>
      </c>
      <c r="G1299" s="15" t="s">
        <v>32</v>
      </c>
      <c r="H1299" s="18">
        <v>-127.7</v>
      </c>
      <c r="I1299" s="19">
        <v>32.979999999999997</v>
      </c>
      <c r="J1299" s="19">
        <v>5.5</v>
      </c>
      <c r="K1299" s="19" t="s">
        <v>44</v>
      </c>
      <c r="L1299" s="19" t="s">
        <v>89</v>
      </c>
      <c r="M1299" s="15" t="s">
        <v>1341</v>
      </c>
      <c r="N1299" s="15" t="s">
        <v>64</v>
      </c>
      <c r="O1299" s="15" t="s">
        <v>72</v>
      </c>
      <c r="P1299" s="20" t="s">
        <v>993</v>
      </c>
      <c r="Q1299" s="15" t="s">
        <v>83</v>
      </c>
      <c r="R1299" s="4"/>
      <c r="S1299" s="4"/>
    </row>
    <row r="1300" spans="1:19" ht="21" customHeight="1" x14ac:dyDescent="0.25">
      <c r="A1300" s="14">
        <f>DATE(2012,12,31)-85</f>
        <v>41189</v>
      </c>
      <c r="B1300" s="15" t="s">
        <v>1110</v>
      </c>
      <c r="C1300" s="15" t="s">
        <v>43</v>
      </c>
      <c r="D1300" s="16">
        <v>36</v>
      </c>
      <c r="E1300" s="17">
        <v>12175.82</v>
      </c>
      <c r="F1300" s="16">
        <v>0.02</v>
      </c>
      <c r="G1300" s="15" t="s">
        <v>58</v>
      </c>
      <c r="H1300" s="18">
        <v>2825.15</v>
      </c>
      <c r="I1300" s="19">
        <v>320.98</v>
      </c>
      <c r="J1300" s="19">
        <v>58.95</v>
      </c>
      <c r="K1300" s="19" t="s">
        <v>44</v>
      </c>
      <c r="L1300" s="19" t="s">
        <v>45</v>
      </c>
      <c r="M1300" s="15" t="s">
        <v>1264</v>
      </c>
      <c r="N1300" s="15" t="s">
        <v>54</v>
      </c>
      <c r="O1300" s="15" t="s">
        <v>252</v>
      </c>
      <c r="P1300" s="20" t="s">
        <v>287</v>
      </c>
      <c r="Q1300" s="15" t="s">
        <v>181</v>
      </c>
      <c r="R1300" s="4"/>
      <c r="S1300" s="4"/>
    </row>
    <row r="1301" spans="1:19" ht="21" customHeight="1" x14ac:dyDescent="0.25">
      <c r="A1301" s="14">
        <f>DATE(2012,12,31)-85</f>
        <v>41189</v>
      </c>
      <c r="B1301" s="15" t="s">
        <v>1110</v>
      </c>
      <c r="C1301" s="15" t="s">
        <v>43</v>
      </c>
      <c r="D1301" s="16">
        <v>5</v>
      </c>
      <c r="E1301" s="17">
        <v>101.21</v>
      </c>
      <c r="F1301" s="16">
        <v>0.1</v>
      </c>
      <c r="G1301" s="15" t="s">
        <v>101</v>
      </c>
      <c r="H1301" s="18">
        <v>2.13</v>
      </c>
      <c r="I1301" s="19">
        <v>18.97</v>
      </c>
      <c r="J1301" s="19">
        <v>5.21</v>
      </c>
      <c r="K1301" s="19" t="s">
        <v>44</v>
      </c>
      <c r="L1301" s="19" t="s">
        <v>45</v>
      </c>
      <c r="M1301" s="15" t="s">
        <v>1264</v>
      </c>
      <c r="N1301" s="15" t="s">
        <v>36</v>
      </c>
      <c r="O1301" s="15" t="s">
        <v>117</v>
      </c>
      <c r="P1301" s="20" t="s">
        <v>1437</v>
      </c>
      <c r="Q1301" s="15" t="s">
        <v>83</v>
      </c>
      <c r="R1301" s="4"/>
      <c r="S1301" s="4"/>
    </row>
    <row r="1302" spans="1:19" ht="21" customHeight="1" x14ac:dyDescent="0.25">
      <c r="A1302" s="14">
        <f>DATE(2012,12,31)-85</f>
        <v>41189</v>
      </c>
      <c r="B1302" s="15" t="s">
        <v>1110</v>
      </c>
      <c r="C1302" s="15" t="s">
        <v>43</v>
      </c>
      <c r="D1302" s="16">
        <v>32</v>
      </c>
      <c r="E1302" s="17">
        <v>1585.64</v>
      </c>
      <c r="F1302" s="16">
        <v>0.02</v>
      </c>
      <c r="G1302" s="15" t="s">
        <v>32</v>
      </c>
      <c r="H1302" s="18">
        <v>707.15</v>
      </c>
      <c r="I1302" s="19">
        <v>48.91</v>
      </c>
      <c r="J1302" s="19">
        <v>5.81</v>
      </c>
      <c r="K1302" s="19" t="s">
        <v>33</v>
      </c>
      <c r="L1302" s="19" t="s">
        <v>93</v>
      </c>
      <c r="M1302" s="15" t="s">
        <v>94</v>
      </c>
      <c r="N1302" s="15" t="s">
        <v>36</v>
      </c>
      <c r="O1302" s="15" t="s">
        <v>117</v>
      </c>
      <c r="P1302" s="20" t="s">
        <v>662</v>
      </c>
      <c r="Q1302" s="15" t="s">
        <v>83</v>
      </c>
      <c r="R1302" s="4"/>
      <c r="S1302" s="4"/>
    </row>
    <row r="1303" spans="1:19" ht="21" customHeight="1" x14ac:dyDescent="0.25">
      <c r="A1303" s="14">
        <f>DATE(2012,12,31)-687</f>
        <v>40587</v>
      </c>
      <c r="B1303" s="15" t="s">
        <v>633</v>
      </c>
      <c r="C1303" s="15" t="s">
        <v>43</v>
      </c>
      <c r="D1303" s="16">
        <v>6</v>
      </c>
      <c r="E1303" s="17">
        <v>906.02</v>
      </c>
      <c r="F1303" s="16">
        <v>0.1</v>
      </c>
      <c r="G1303" s="15" t="s">
        <v>58</v>
      </c>
      <c r="H1303" s="18">
        <v>-382.38</v>
      </c>
      <c r="I1303" s="19">
        <v>150.97999999999999</v>
      </c>
      <c r="J1303" s="19">
        <v>66.27</v>
      </c>
      <c r="K1303" s="19" t="s">
        <v>33</v>
      </c>
      <c r="L1303" s="19" t="s">
        <v>128</v>
      </c>
      <c r="M1303" s="15" t="s">
        <v>129</v>
      </c>
      <c r="N1303" s="15" t="s">
        <v>54</v>
      </c>
      <c r="O1303" s="15" t="s">
        <v>134</v>
      </c>
      <c r="P1303" s="20" t="s">
        <v>1113</v>
      </c>
      <c r="Q1303" s="15" t="s">
        <v>63</v>
      </c>
      <c r="R1303" s="4"/>
      <c r="S1303" s="4"/>
    </row>
    <row r="1304" spans="1:19" ht="21" customHeight="1" x14ac:dyDescent="0.25">
      <c r="A1304" s="14">
        <f>DATE(2012,12,31)-687</f>
        <v>40587</v>
      </c>
      <c r="B1304" s="15" t="s">
        <v>633</v>
      </c>
      <c r="C1304" s="15" t="s">
        <v>43</v>
      </c>
      <c r="D1304" s="16">
        <v>43</v>
      </c>
      <c r="E1304" s="17">
        <v>170.88</v>
      </c>
      <c r="F1304" s="16">
        <v>0.01</v>
      </c>
      <c r="G1304" s="15" t="s">
        <v>32</v>
      </c>
      <c r="H1304" s="18">
        <v>-149.08599999999998</v>
      </c>
      <c r="I1304" s="19">
        <v>3.81</v>
      </c>
      <c r="J1304" s="19">
        <v>5.44</v>
      </c>
      <c r="K1304" s="19" t="s">
        <v>33</v>
      </c>
      <c r="L1304" s="19" t="s">
        <v>93</v>
      </c>
      <c r="M1304" s="15" t="s">
        <v>94</v>
      </c>
      <c r="N1304" s="15" t="s">
        <v>36</v>
      </c>
      <c r="O1304" s="15" t="s">
        <v>170</v>
      </c>
      <c r="P1304" s="20" t="s">
        <v>835</v>
      </c>
      <c r="Q1304" s="15" t="s">
        <v>83</v>
      </c>
      <c r="R1304" s="4"/>
      <c r="S1304" s="4"/>
    </row>
    <row r="1305" spans="1:19" ht="21" customHeight="1" x14ac:dyDescent="0.25">
      <c r="A1305" s="14">
        <f>DATE(2012,12,31)-1030</f>
        <v>40244</v>
      </c>
      <c r="B1305" s="15" t="s">
        <v>500</v>
      </c>
      <c r="C1305" s="15" t="s">
        <v>43</v>
      </c>
      <c r="D1305" s="16">
        <v>46</v>
      </c>
      <c r="E1305" s="17">
        <v>3725.53</v>
      </c>
      <c r="F1305" s="16">
        <v>0</v>
      </c>
      <c r="G1305" s="15" t="s">
        <v>32</v>
      </c>
      <c r="H1305" s="18">
        <v>748.67</v>
      </c>
      <c r="I1305" s="19">
        <v>76.72</v>
      </c>
      <c r="J1305" s="19">
        <v>19.95</v>
      </c>
      <c r="K1305" s="19" t="s">
        <v>33</v>
      </c>
      <c r="L1305" s="19" t="s">
        <v>93</v>
      </c>
      <c r="M1305" s="15" t="s">
        <v>94</v>
      </c>
      <c r="N1305" s="15" t="s">
        <v>36</v>
      </c>
      <c r="O1305" s="15" t="s">
        <v>176</v>
      </c>
      <c r="P1305" s="20" t="s">
        <v>1016</v>
      </c>
      <c r="Q1305" s="15" t="s">
        <v>39</v>
      </c>
      <c r="R1305" s="4"/>
      <c r="S1305" s="4"/>
    </row>
    <row r="1306" spans="1:19" ht="21" customHeight="1" x14ac:dyDescent="0.25">
      <c r="A1306" s="14">
        <f>DATE(2012,12,31)-201</f>
        <v>41073</v>
      </c>
      <c r="B1306" s="15" t="s">
        <v>420</v>
      </c>
      <c r="C1306" s="15" t="s">
        <v>85</v>
      </c>
      <c r="D1306" s="16">
        <v>41</v>
      </c>
      <c r="E1306" s="17">
        <v>133.22999999999999</v>
      </c>
      <c r="F1306" s="16">
        <v>0</v>
      </c>
      <c r="G1306" s="15" t="s">
        <v>32</v>
      </c>
      <c r="H1306" s="18">
        <v>-59.91</v>
      </c>
      <c r="I1306" s="19">
        <v>3.14</v>
      </c>
      <c r="J1306" s="19">
        <v>1.92</v>
      </c>
      <c r="K1306" s="19" t="s">
        <v>97</v>
      </c>
      <c r="L1306" s="19" t="s">
        <v>98</v>
      </c>
      <c r="M1306" s="15" t="s">
        <v>1162</v>
      </c>
      <c r="N1306" s="15" t="s">
        <v>36</v>
      </c>
      <c r="O1306" s="15" t="s">
        <v>47</v>
      </c>
      <c r="P1306" s="20" t="s">
        <v>148</v>
      </c>
      <c r="Q1306" s="15" t="s">
        <v>79</v>
      </c>
      <c r="R1306" s="4"/>
      <c r="S1306" s="4"/>
    </row>
    <row r="1307" spans="1:19" ht="21" customHeight="1" x14ac:dyDescent="0.25">
      <c r="A1307" s="14">
        <f>DATE(2012,12,31)-201</f>
        <v>41073</v>
      </c>
      <c r="B1307" s="15" t="s">
        <v>420</v>
      </c>
      <c r="C1307" s="15" t="s">
        <v>85</v>
      </c>
      <c r="D1307" s="16">
        <v>21</v>
      </c>
      <c r="E1307" s="17">
        <v>146.25</v>
      </c>
      <c r="F1307" s="16">
        <v>0.01</v>
      </c>
      <c r="G1307" s="15" t="s">
        <v>101</v>
      </c>
      <c r="H1307" s="18">
        <v>60.12</v>
      </c>
      <c r="I1307" s="19">
        <v>6.35</v>
      </c>
      <c r="J1307" s="19">
        <v>1.02</v>
      </c>
      <c r="K1307" s="19" t="s">
        <v>97</v>
      </c>
      <c r="L1307" s="19" t="s">
        <v>195</v>
      </c>
      <c r="M1307" s="15" t="s">
        <v>1413</v>
      </c>
      <c r="N1307" s="15" t="s">
        <v>36</v>
      </c>
      <c r="O1307" s="15" t="s">
        <v>117</v>
      </c>
      <c r="P1307" s="20" t="s">
        <v>1203</v>
      </c>
      <c r="Q1307" s="15" t="s">
        <v>79</v>
      </c>
      <c r="R1307" s="4"/>
      <c r="S1307" s="4"/>
    </row>
    <row r="1308" spans="1:19" ht="21" customHeight="1" x14ac:dyDescent="0.25">
      <c r="A1308" s="14">
        <f>DATE(2012,12,31)-520</f>
        <v>40754</v>
      </c>
      <c r="B1308" s="15" t="s">
        <v>1438</v>
      </c>
      <c r="C1308" s="15" t="s">
        <v>85</v>
      </c>
      <c r="D1308" s="16">
        <v>40</v>
      </c>
      <c r="E1308" s="17">
        <v>434.62</v>
      </c>
      <c r="F1308" s="16">
        <v>0.08</v>
      </c>
      <c r="G1308" s="15" t="s">
        <v>32</v>
      </c>
      <c r="H1308" s="18">
        <v>-68.977000000000004</v>
      </c>
      <c r="I1308" s="19">
        <v>11.5</v>
      </c>
      <c r="J1308" s="19">
        <v>7.19</v>
      </c>
      <c r="K1308" s="19" t="s">
        <v>97</v>
      </c>
      <c r="L1308" s="19" t="s">
        <v>195</v>
      </c>
      <c r="M1308" s="15" t="s">
        <v>1413</v>
      </c>
      <c r="N1308" s="15" t="s">
        <v>36</v>
      </c>
      <c r="O1308" s="15" t="s">
        <v>170</v>
      </c>
      <c r="P1308" s="20" t="s">
        <v>596</v>
      </c>
      <c r="Q1308" s="15" t="s">
        <v>83</v>
      </c>
      <c r="R1308" s="4"/>
      <c r="S1308" s="4"/>
    </row>
    <row r="1309" spans="1:19" ht="21" customHeight="1" x14ac:dyDescent="0.25">
      <c r="A1309" s="14">
        <f>DATE(2012,12,31)-51</f>
        <v>41223</v>
      </c>
      <c r="B1309" s="15" t="s">
        <v>1439</v>
      </c>
      <c r="C1309" s="15" t="s">
        <v>85</v>
      </c>
      <c r="D1309" s="16">
        <v>27</v>
      </c>
      <c r="E1309" s="17">
        <v>2654.16</v>
      </c>
      <c r="F1309" s="16">
        <v>0.01</v>
      </c>
      <c r="G1309" s="15" t="s">
        <v>58</v>
      </c>
      <c r="H1309" s="18">
        <v>600.92999999999995</v>
      </c>
      <c r="I1309" s="19">
        <v>90.97</v>
      </c>
      <c r="J1309" s="19">
        <v>28</v>
      </c>
      <c r="K1309" s="19" t="s">
        <v>97</v>
      </c>
      <c r="L1309" s="19" t="s">
        <v>132</v>
      </c>
      <c r="M1309" s="15" t="s">
        <v>133</v>
      </c>
      <c r="N1309" s="15" t="s">
        <v>64</v>
      </c>
      <c r="O1309" s="15" t="s">
        <v>122</v>
      </c>
      <c r="P1309" s="20" t="s">
        <v>1440</v>
      </c>
      <c r="Q1309" s="15" t="s">
        <v>181</v>
      </c>
      <c r="R1309" s="4"/>
      <c r="S1309" s="4"/>
    </row>
    <row r="1310" spans="1:19" ht="21" customHeight="1" x14ac:dyDescent="0.25">
      <c r="A1310" s="14">
        <f>DATE(2012,12,31)-51</f>
        <v>41223</v>
      </c>
      <c r="B1310" s="15" t="s">
        <v>1439</v>
      </c>
      <c r="C1310" s="15" t="s">
        <v>85</v>
      </c>
      <c r="D1310" s="16">
        <v>16</v>
      </c>
      <c r="E1310" s="17">
        <v>36.229999999999997</v>
      </c>
      <c r="F1310" s="16">
        <v>0.02</v>
      </c>
      <c r="G1310" s="15" t="s">
        <v>32</v>
      </c>
      <c r="H1310" s="18">
        <v>-24.87</v>
      </c>
      <c r="I1310" s="19">
        <v>2.12</v>
      </c>
      <c r="J1310" s="19">
        <v>1.99</v>
      </c>
      <c r="K1310" s="19" t="s">
        <v>97</v>
      </c>
      <c r="L1310" s="19" t="s">
        <v>195</v>
      </c>
      <c r="M1310" s="15" t="s">
        <v>1413</v>
      </c>
      <c r="N1310" s="15" t="s">
        <v>64</v>
      </c>
      <c r="O1310" s="15" t="s">
        <v>72</v>
      </c>
      <c r="P1310" s="20" t="s">
        <v>660</v>
      </c>
      <c r="Q1310" s="15" t="s">
        <v>49</v>
      </c>
      <c r="R1310" s="4"/>
      <c r="S1310" s="4"/>
    </row>
    <row r="1311" spans="1:19" ht="21" customHeight="1" x14ac:dyDescent="0.25">
      <c r="A1311" s="14">
        <f>DATE(2012,12,31)-51</f>
        <v>41223</v>
      </c>
      <c r="B1311" s="15" t="s">
        <v>1439</v>
      </c>
      <c r="C1311" s="15" t="s">
        <v>85</v>
      </c>
      <c r="D1311" s="16">
        <v>15</v>
      </c>
      <c r="E1311" s="17">
        <v>1722.65</v>
      </c>
      <c r="F1311" s="16">
        <v>0.05</v>
      </c>
      <c r="G1311" s="15" t="s">
        <v>58</v>
      </c>
      <c r="H1311" s="18">
        <v>-399.67</v>
      </c>
      <c r="I1311" s="19">
        <v>114.98</v>
      </c>
      <c r="J1311" s="19">
        <v>51.42</v>
      </c>
      <c r="K1311" s="19" t="s">
        <v>97</v>
      </c>
      <c r="L1311" s="19" t="s">
        <v>98</v>
      </c>
      <c r="M1311" s="15" t="s">
        <v>1162</v>
      </c>
      <c r="N1311" s="15" t="s">
        <v>54</v>
      </c>
      <c r="O1311" s="15" t="s">
        <v>134</v>
      </c>
      <c r="P1311" s="20" t="s">
        <v>1441</v>
      </c>
      <c r="Q1311" s="15" t="s">
        <v>63</v>
      </c>
      <c r="R1311" s="4"/>
      <c r="S1311" s="4"/>
    </row>
    <row r="1312" spans="1:19" ht="21" customHeight="1" x14ac:dyDescent="0.25">
      <c r="A1312" s="14">
        <f>DATE(2012,12,31)-1253</f>
        <v>40021</v>
      </c>
      <c r="B1312" s="15" t="s">
        <v>243</v>
      </c>
      <c r="C1312" s="15" t="s">
        <v>43</v>
      </c>
      <c r="D1312" s="16">
        <v>39</v>
      </c>
      <c r="E1312" s="17">
        <v>493.26</v>
      </c>
      <c r="F1312" s="16">
        <v>0.02</v>
      </c>
      <c r="G1312" s="15" t="s">
        <v>32</v>
      </c>
      <c r="H1312" s="18">
        <v>263.39999999999998</v>
      </c>
      <c r="I1312" s="19">
        <v>12.53</v>
      </c>
      <c r="J1312" s="19">
        <v>0.49</v>
      </c>
      <c r="K1312" s="19" t="s">
        <v>97</v>
      </c>
      <c r="L1312" s="19" t="s">
        <v>98</v>
      </c>
      <c r="M1312" s="15" t="s">
        <v>1162</v>
      </c>
      <c r="N1312" s="15" t="s">
        <v>36</v>
      </c>
      <c r="O1312" s="15" t="s">
        <v>114</v>
      </c>
      <c r="P1312" s="20" t="s">
        <v>1442</v>
      </c>
      <c r="Q1312" s="15" t="s">
        <v>83</v>
      </c>
      <c r="R1312" s="4"/>
      <c r="S1312" s="4"/>
    </row>
    <row r="1313" spans="1:19" ht="21" customHeight="1" x14ac:dyDescent="0.25">
      <c r="A1313" s="14">
        <f>DATE(2012,12,31)-1253</f>
        <v>40021</v>
      </c>
      <c r="B1313" s="15" t="s">
        <v>243</v>
      </c>
      <c r="C1313" s="15" t="s">
        <v>43</v>
      </c>
      <c r="D1313" s="16">
        <v>37</v>
      </c>
      <c r="E1313" s="17">
        <v>192.15</v>
      </c>
      <c r="F1313" s="16">
        <v>7.0000000000000007E-2</v>
      </c>
      <c r="G1313" s="15" t="s">
        <v>101</v>
      </c>
      <c r="H1313" s="18">
        <v>37.31</v>
      </c>
      <c r="I1313" s="19">
        <v>5.18</v>
      </c>
      <c r="J1313" s="19">
        <v>2.04</v>
      </c>
      <c r="K1313" s="19" t="s">
        <v>124</v>
      </c>
      <c r="L1313" s="19" t="s">
        <v>493</v>
      </c>
      <c r="M1313" s="15" t="s">
        <v>1289</v>
      </c>
      <c r="N1313" s="15" t="s">
        <v>36</v>
      </c>
      <c r="O1313" s="15" t="s">
        <v>117</v>
      </c>
      <c r="P1313" s="20" t="s">
        <v>1443</v>
      </c>
      <c r="Q1313" s="15" t="s">
        <v>79</v>
      </c>
      <c r="R1313" s="4"/>
      <c r="S1313" s="4"/>
    </row>
    <row r="1314" spans="1:19" ht="21" customHeight="1" x14ac:dyDescent="0.25">
      <c r="A1314" s="14">
        <f>DATE(2012,12,31)-350</f>
        <v>40924</v>
      </c>
      <c r="B1314" s="15" t="s">
        <v>1444</v>
      </c>
      <c r="C1314" s="15" t="s">
        <v>31</v>
      </c>
      <c r="D1314" s="16">
        <v>33</v>
      </c>
      <c r="E1314" s="17">
        <v>3633.03</v>
      </c>
      <c r="F1314" s="16">
        <v>0.09</v>
      </c>
      <c r="G1314" s="15" t="s">
        <v>32</v>
      </c>
      <c r="H1314" s="18">
        <v>1440.2740000000001</v>
      </c>
      <c r="I1314" s="19">
        <v>120.98</v>
      </c>
      <c r="J1314" s="19">
        <v>9.07</v>
      </c>
      <c r="K1314" s="19" t="s">
        <v>124</v>
      </c>
      <c r="L1314" s="19" t="s">
        <v>160</v>
      </c>
      <c r="M1314" s="15" t="s">
        <v>888</v>
      </c>
      <c r="N1314" s="15" t="s">
        <v>36</v>
      </c>
      <c r="O1314" s="15" t="s">
        <v>170</v>
      </c>
      <c r="P1314" s="20" t="s">
        <v>1445</v>
      </c>
      <c r="Q1314" s="15" t="s">
        <v>83</v>
      </c>
      <c r="R1314" s="4"/>
      <c r="S1314" s="4"/>
    </row>
    <row r="1315" spans="1:19" ht="21" customHeight="1" x14ac:dyDescent="0.25">
      <c r="A1315" s="14">
        <f>DATE(2012,12,31)-1358</f>
        <v>39916</v>
      </c>
      <c r="B1315" s="15" t="s">
        <v>582</v>
      </c>
      <c r="C1315" s="15" t="s">
        <v>85</v>
      </c>
      <c r="D1315" s="16">
        <v>1</v>
      </c>
      <c r="E1315" s="17">
        <v>3.42</v>
      </c>
      <c r="F1315" s="16">
        <v>0.05</v>
      </c>
      <c r="G1315" s="15" t="s">
        <v>32</v>
      </c>
      <c r="H1315" s="18">
        <v>-2.9094999999999995</v>
      </c>
      <c r="I1315" s="19">
        <v>1.88</v>
      </c>
      <c r="J1315" s="19">
        <v>1.49</v>
      </c>
      <c r="K1315" s="19" t="s">
        <v>124</v>
      </c>
      <c r="L1315" s="19" t="s">
        <v>160</v>
      </c>
      <c r="M1315" s="15" t="s">
        <v>888</v>
      </c>
      <c r="N1315" s="15" t="s">
        <v>36</v>
      </c>
      <c r="O1315" s="15" t="s">
        <v>170</v>
      </c>
      <c r="P1315" s="20" t="s">
        <v>1353</v>
      </c>
      <c r="Q1315" s="15" t="s">
        <v>83</v>
      </c>
      <c r="R1315" s="4"/>
      <c r="S1315" s="4"/>
    </row>
    <row r="1316" spans="1:19" ht="21" customHeight="1" x14ac:dyDescent="0.25">
      <c r="A1316" s="14">
        <f>DATE(2012,12,31)-1458</f>
        <v>39816</v>
      </c>
      <c r="B1316" s="15" t="s">
        <v>582</v>
      </c>
      <c r="C1316" s="15" t="s">
        <v>31</v>
      </c>
      <c r="D1316" s="16">
        <v>12</v>
      </c>
      <c r="E1316" s="17">
        <v>522.49</v>
      </c>
      <c r="F1316" s="16">
        <v>0.08</v>
      </c>
      <c r="G1316" s="15" t="s">
        <v>32</v>
      </c>
      <c r="H1316" s="18">
        <v>-236.43</v>
      </c>
      <c r="I1316" s="19">
        <v>43.22</v>
      </c>
      <c r="J1316" s="19">
        <v>16.71</v>
      </c>
      <c r="K1316" s="19" t="s">
        <v>124</v>
      </c>
      <c r="L1316" s="19" t="s">
        <v>160</v>
      </c>
      <c r="M1316" s="15" t="s">
        <v>888</v>
      </c>
      <c r="N1316" s="15" t="s">
        <v>64</v>
      </c>
      <c r="O1316" s="15" t="s">
        <v>72</v>
      </c>
      <c r="P1316" s="20" t="s">
        <v>1446</v>
      </c>
      <c r="Q1316" s="15" t="s">
        <v>83</v>
      </c>
      <c r="R1316" s="4"/>
      <c r="S1316" s="4"/>
    </row>
    <row r="1317" spans="1:19" ht="21" customHeight="1" x14ac:dyDescent="0.25">
      <c r="A1317" s="14">
        <f>DATE(2012,12,31)-1458</f>
        <v>39816</v>
      </c>
      <c r="B1317" s="15" t="s">
        <v>582</v>
      </c>
      <c r="C1317" s="15" t="s">
        <v>31</v>
      </c>
      <c r="D1317" s="16">
        <v>49</v>
      </c>
      <c r="E1317" s="17">
        <v>28359.4</v>
      </c>
      <c r="F1317" s="16">
        <v>0.05</v>
      </c>
      <c r="G1317" s="15" t="s">
        <v>32</v>
      </c>
      <c r="H1317" s="18">
        <v>14440.39</v>
      </c>
      <c r="I1317" s="19">
        <v>574.74</v>
      </c>
      <c r="J1317" s="19">
        <v>24.49</v>
      </c>
      <c r="K1317" s="19" t="s">
        <v>124</v>
      </c>
      <c r="L1317" s="19" t="s">
        <v>160</v>
      </c>
      <c r="M1317" s="15" t="s">
        <v>888</v>
      </c>
      <c r="N1317" s="15" t="s">
        <v>64</v>
      </c>
      <c r="O1317" s="15" t="s">
        <v>122</v>
      </c>
      <c r="P1317" s="20" t="s">
        <v>1447</v>
      </c>
      <c r="Q1317" s="15" t="s">
        <v>39</v>
      </c>
      <c r="R1317" s="4"/>
      <c r="S1317" s="4"/>
    </row>
    <row r="1318" spans="1:19" ht="21" customHeight="1" x14ac:dyDescent="0.25">
      <c r="A1318" s="14">
        <f>DATE(2012,12,31)-1458</f>
        <v>39816</v>
      </c>
      <c r="B1318" s="15" t="s">
        <v>582</v>
      </c>
      <c r="C1318" s="15" t="s">
        <v>31</v>
      </c>
      <c r="D1318" s="16">
        <v>12</v>
      </c>
      <c r="E1318" s="17">
        <v>123.76</v>
      </c>
      <c r="F1318" s="16">
        <v>0.04</v>
      </c>
      <c r="G1318" s="15" t="s">
        <v>32</v>
      </c>
      <c r="H1318" s="18">
        <v>32.44</v>
      </c>
      <c r="I1318" s="19">
        <v>10.14</v>
      </c>
      <c r="J1318" s="19">
        <v>2.27</v>
      </c>
      <c r="K1318" s="19" t="s">
        <v>124</v>
      </c>
      <c r="L1318" s="19" t="s">
        <v>164</v>
      </c>
      <c r="M1318" s="15" t="s">
        <v>1228</v>
      </c>
      <c r="N1318" s="15" t="s">
        <v>36</v>
      </c>
      <c r="O1318" s="15" t="s">
        <v>117</v>
      </c>
      <c r="P1318" s="20" t="s">
        <v>1448</v>
      </c>
      <c r="Q1318" s="15" t="s">
        <v>79</v>
      </c>
      <c r="R1318" s="4"/>
      <c r="S1318" s="4"/>
    </row>
    <row r="1319" spans="1:19" ht="21" customHeight="1" x14ac:dyDescent="0.25">
      <c r="A1319" s="14">
        <f>DATE(2012,12,31)-848</f>
        <v>40426</v>
      </c>
      <c r="B1319" s="15" t="s">
        <v>523</v>
      </c>
      <c r="C1319" s="15" t="s">
        <v>43</v>
      </c>
      <c r="D1319" s="16">
        <v>47</v>
      </c>
      <c r="E1319" s="17">
        <v>1124.3</v>
      </c>
      <c r="F1319" s="16">
        <v>0.1</v>
      </c>
      <c r="G1319" s="15" t="s">
        <v>58</v>
      </c>
      <c r="H1319" s="18">
        <v>-335.22</v>
      </c>
      <c r="I1319" s="19">
        <v>25.98</v>
      </c>
      <c r="J1319" s="19">
        <v>14.36</v>
      </c>
      <c r="K1319" s="19" t="s">
        <v>124</v>
      </c>
      <c r="L1319" s="19" t="s">
        <v>319</v>
      </c>
      <c r="M1319" s="15" t="s">
        <v>320</v>
      </c>
      <c r="N1319" s="15" t="s">
        <v>54</v>
      </c>
      <c r="O1319" s="15" t="s">
        <v>252</v>
      </c>
      <c r="P1319" s="20" t="s">
        <v>1431</v>
      </c>
      <c r="Q1319" s="15" t="s">
        <v>181</v>
      </c>
      <c r="R1319" s="4"/>
      <c r="S1319" s="4"/>
    </row>
    <row r="1320" spans="1:19" ht="21" customHeight="1" x14ac:dyDescent="0.25">
      <c r="A1320" s="14">
        <f>DATE(2012,12,31)-848</f>
        <v>40426</v>
      </c>
      <c r="B1320" s="15" t="s">
        <v>523</v>
      </c>
      <c r="C1320" s="15" t="s">
        <v>43</v>
      </c>
      <c r="D1320" s="16">
        <v>11</v>
      </c>
      <c r="E1320" s="17">
        <v>43.57</v>
      </c>
      <c r="F1320" s="16">
        <v>0.09</v>
      </c>
      <c r="G1320" s="15" t="s">
        <v>32</v>
      </c>
      <c r="H1320" s="18">
        <v>6.7</v>
      </c>
      <c r="I1320" s="19">
        <v>4.13</v>
      </c>
      <c r="J1320" s="19">
        <v>0.99</v>
      </c>
      <c r="K1320" s="19" t="s">
        <v>44</v>
      </c>
      <c r="L1320" s="19" t="s">
        <v>52</v>
      </c>
      <c r="M1320" s="15" t="s">
        <v>1300</v>
      </c>
      <c r="N1320" s="15" t="s">
        <v>36</v>
      </c>
      <c r="O1320" s="15" t="s">
        <v>114</v>
      </c>
      <c r="P1320" s="20" t="s">
        <v>926</v>
      </c>
      <c r="Q1320" s="15" t="s">
        <v>83</v>
      </c>
      <c r="R1320" s="4"/>
      <c r="S1320" s="4"/>
    </row>
    <row r="1321" spans="1:19" ht="21" customHeight="1" x14ac:dyDescent="0.25">
      <c r="A1321" s="14">
        <f>DATE(2012,12,31)-848</f>
        <v>40426</v>
      </c>
      <c r="B1321" s="15" t="s">
        <v>523</v>
      </c>
      <c r="C1321" s="15" t="s">
        <v>43</v>
      </c>
      <c r="D1321" s="16">
        <v>23</v>
      </c>
      <c r="E1321" s="17">
        <v>2610.8939999999998</v>
      </c>
      <c r="F1321" s="16">
        <v>0</v>
      </c>
      <c r="G1321" s="15" t="s">
        <v>32</v>
      </c>
      <c r="H1321" s="18">
        <v>516.18599999999992</v>
      </c>
      <c r="I1321" s="19">
        <v>125.99</v>
      </c>
      <c r="J1321" s="19">
        <v>5.63</v>
      </c>
      <c r="K1321" s="19" t="s">
        <v>44</v>
      </c>
      <c r="L1321" s="19" t="s">
        <v>52</v>
      </c>
      <c r="M1321" s="15" t="s">
        <v>1300</v>
      </c>
      <c r="N1321" s="15" t="s">
        <v>64</v>
      </c>
      <c r="O1321" s="15" t="s">
        <v>65</v>
      </c>
      <c r="P1321" s="20" t="s">
        <v>1064</v>
      </c>
      <c r="Q1321" s="15" t="s">
        <v>83</v>
      </c>
      <c r="R1321" s="4"/>
      <c r="S1321" s="4"/>
    </row>
    <row r="1322" spans="1:19" ht="21" customHeight="1" x14ac:dyDescent="0.25">
      <c r="A1322" s="14">
        <f>DATE(2012,12,31)-999</f>
        <v>40275</v>
      </c>
      <c r="B1322" s="15" t="s">
        <v>1449</v>
      </c>
      <c r="C1322" s="15" t="s">
        <v>51</v>
      </c>
      <c r="D1322" s="16">
        <v>13</v>
      </c>
      <c r="E1322" s="17">
        <v>88.38</v>
      </c>
      <c r="F1322" s="16">
        <v>0.06</v>
      </c>
      <c r="G1322" s="15" t="s">
        <v>32</v>
      </c>
      <c r="H1322" s="18">
        <v>-64.95</v>
      </c>
      <c r="I1322" s="19">
        <v>6.48</v>
      </c>
      <c r="J1322" s="19">
        <v>8.4</v>
      </c>
      <c r="K1322" s="19" t="s">
        <v>44</v>
      </c>
      <c r="L1322" s="19" t="s">
        <v>236</v>
      </c>
      <c r="M1322" s="15" t="s">
        <v>237</v>
      </c>
      <c r="N1322" s="15" t="s">
        <v>36</v>
      </c>
      <c r="O1322" s="15" t="s">
        <v>117</v>
      </c>
      <c r="P1322" s="20" t="s">
        <v>729</v>
      </c>
      <c r="Q1322" s="15" t="s">
        <v>83</v>
      </c>
      <c r="R1322" s="4"/>
      <c r="S1322" s="4"/>
    </row>
    <row r="1323" spans="1:19" ht="21" customHeight="1" x14ac:dyDescent="0.25">
      <c r="A1323" s="14">
        <f>DATE(2012,12,31)-1348</f>
        <v>39926</v>
      </c>
      <c r="B1323" s="15" t="s">
        <v>1450</v>
      </c>
      <c r="C1323" s="15" t="s">
        <v>31</v>
      </c>
      <c r="D1323" s="16">
        <v>50</v>
      </c>
      <c r="E1323" s="17">
        <v>2348.66</v>
      </c>
      <c r="F1323" s="16">
        <v>0.02</v>
      </c>
      <c r="G1323" s="15" t="s">
        <v>32</v>
      </c>
      <c r="H1323" s="18">
        <v>921.41</v>
      </c>
      <c r="I1323" s="19">
        <v>46.89</v>
      </c>
      <c r="J1323" s="19">
        <v>5.0999999999999996</v>
      </c>
      <c r="K1323" s="19" t="s">
        <v>44</v>
      </c>
      <c r="L1323" s="19" t="s">
        <v>236</v>
      </c>
      <c r="M1323" s="15" t="s">
        <v>237</v>
      </c>
      <c r="N1323" s="15" t="s">
        <v>36</v>
      </c>
      <c r="O1323" s="15" t="s">
        <v>176</v>
      </c>
      <c r="P1323" s="20" t="s">
        <v>1451</v>
      </c>
      <c r="Q1323" s="15" t="s">
        <v>57</v>
      </c>
      <c r="R1323" s="4"/>
      <c r="S1323" s="4"/>
    </row>
    <row r="1324" spans="1:19" ht="21" customHeight="1" x14ac:dyDescent="0.25">
      <c r="A1324" s="14">
        <f>DATE(2012,12,31)-1348</f>
        <v>39926</v>
      </c>
      <c r="B1324" s="15" t="s">
        <v>1450</v>
      </c>
      <c r="C1324" s="15" t="s">
        <v>31</v>
      </c>
      <c r="D1324" s="16">
        <v>19</v>
      </c>
      <c r="E1324" s="17">
        <v>2657.12</v>
      </c>
      <c r="F1324" s="16">
        <v>0.05</v>
      </c>
      <c r="G1324" s="15" t="s">
        <v>58</v>
      </c>
      <c r="H1324" s="18">
        <v>-373.09</v>
      </c>
      <c r="I1324" s="19">
        <v>140.97999999999999</v>
      </c>
      <c r="J1324" s="19">
        <v>36.090000000000003</v>
      </c>
      <c r="K1324" s="19" t="s">
        <v>44</v>
      </c>
      <c r="L1324" s="19" t="s">
        <v>45</v>
      </c>
      <c r="M1324" s="15" t="s">
        <v>1264</v>
      </c>
      <c r="N1324" s="15" t="s">
        <v>54</v>
      </c>
      <c r="O1324" s="15" t="s">
        <v>134</v>
      </c>
      <c r="P1324" s="20" t="s">
        <v>1039</v>
      </c>
      <c r="Q1324" s="15" t="s">
        <v>63</v>
      </c>
      <c r="R1324" s="4"/>
      <c r="S1324" s="4"/>
    </row>
    <row r="1325" spans="1:19" ht="21" customHeight="1" x14ac:dyDescent="0.25">
      <c r="A1325" s="14">
        <f>DATE(2012,12,31)-1348</f>
        <v>39926</v>
      </c>
      <c r="B1325" s="15" t="s">
        <v>1450</v>
      </c>
      <c r="C1325" s="15" t="s">
        <v>31</v>
      </c>
      <c r="D1325" s="16">
        <v>49</v>
      </c>
      <c r="E1325" s="17">
        <v>9579.6200000000008</v>
      </c>
      <c r="F1325" s="16">
        <v>0.1</v>
      </c>
      <c r="G1325" s="15" t="s">
        <v>58</v>
      </c>
      <c r="H1325" s="18">
        <v>-3465.0720000000001</v>
      </c>
      <c r="I1325" s="19">
        <v>212.6</v>
      </c>
      <c r="J1325" s="19">
        <v>110.2</v>
      </c>
      <c r="K1325" s="19" t="s">
        <v>44</v>
      </c>
      <c r="L1325" s="19" t="s">
        <v>52</v>
      </c>
      <c r="M1325" s="15" t="s">
        <v>1300</v>
      </c>
      <c r="N1325" s="15" t="s">
        <v>54</v>
      </c>
      <c r="O1325" s="15" t="s">
        <v>61</v>
      </c>
      <c r="P1325" s="20" t="s">
        <v>615</v>
      </c>
      <c r="Q1325" s="15" t="s">
        <v>63</v>
      </c>
      <c r="R1325" s="4"/>
      <c r="S1325" s="4"/>
    </row>
    <row r="1326" spans="1:19" ht="21" customHeight="1" x14ac:dyDescent="0.25">
      <c r="A1326" s="14">
        <f>DATE(2012,12,31)-1212</f>
        <v>40062</v>
      </c>
      <c r="B1326" s="15" t="s">
        <v>908</v>
      </c>
      <c r="C1326" s="15" t="s">
        <v>31</v>
      </c>
      <c r="D1326" s="16">
        <v>10</v>
      </c>
      <c r="E1326" s="17">
        <v>42.67</v>
      </c>
      <c r="F1326" s="16">
        <v>0.06</v>
      </c>
      <c r="G1326" s="15" t="s">
        <v>32</v>
      </c>
      <c r="H1326" s="18">
        <v>-12.719000000000001</v>
      </c>
      <c r="I1326" s="19">
        <v>4.18</v>
      </c>
      <c r="J1326" s="19">
        <v>2.99</v>
      </c>
      <c r="K1326" s="19" t="s">
        <v>44</v>
      </c>
      <c r="L1326" s="19" t="s">
        <v>52</v>
      </c>
      <c r="M1326" s="15" t="s">
        <v>1300</v>
      </c>
      <c r="N1326" s="15" t="s">
        <v>36</v>
      </c>
      <c r="O1326" s="15" t="s">
        <v>170</v>
      </c>
      <c r="P1326" s="20" t="s">
        <v>1452</v>
      </c>
      <c r="Q1326" s="15" t="s">
        <v>83</v>
      </c>
      <c r="R1326" s="4"/>
      <c r="S1326" s="4"/>
    </row>
    <row r="1327" spans="1:19" ht="21" customHeight="1" x14ac:dyDescent="0.25">
      <c r="A1327" s="14">
        <f>DATE(2012,12,31)-1349</f>
        <v>39925</v>
      </c>
      <c r="B1327" s="15" t="s">
        <v>1043</v>
      </c>
      <c r="C1327" s="15" t="s">
        <v>85</v>
      </c>
      <c r="D1327" s="16">
        <v>18</v>
      </c>
      <c r="E1327" s="17">
        <v>292.11</v>
      </c>
      <c r="F1327" s="16">
        <v>0.04</v>
      </c>
      <c r="G1327" s="15" t="s">
        <v>101</v>
      </c>
      <c r="H1327" s="18">
        <v>-91.95</v>
      </c>
      <c r="I1327" s="19">
        <v>15.42</v>
      </c>
      <c r="J1327" s="19">
        <v>10.68</v>
      </c>
      <c r="K1327" s="19" t="s">
        <v>44</v>
      </c>
      <c r="L1327" s="19" t="s">
        <v>52</v>
      </c>
      <c r="M1327" s="15" t="s">
        <v>1300</v>
      </c>
      <c r="N1327" s="15" t="s">
        <v>36</v>
      </c>
      <c r="O1327" s="15" t="s">
        <v>37</v>
      </c>
      <c r="P1327" s="20" t="s">
        <v>156</v>
      </c>
      <c r="Q1327" s="15" t="s">
        <v>83</v>
      </c>
      <c r="R1327" s="4"/>
      <c r="S1327" s="4"/>
    </row>
    <row r="1328" spans="1:19" ht="21" customHeight="1" x14ac:dyDescent="0.25">
      <c r="A1328" s="14">
        <f>DATE(2012,12,31)-476</f>
        <v>40798</v>
      </c>
      <c r="B1328" s="15" t="s">
        <v>409</v>
      </c>
      <c r="C1328" s="15" t="s">
        <v>51</v>
      </c>
      <c r="D1328" s="16">
        <v>6</v>
      </c>
      <c r="E1328" s="17">
        <v>12.61</v>
      </c>
      <c r="F1328" s="16">
        <v>7.0000000000000007E-2</v>
      </c>
      <c r="G1328" s="15" t="s">
        <v>32</v>
      </c>
      <c r="H1328" s="18">
        <v>-4.899</v>
      </c>
      <c r="I1328" s="19">
        <v>1.88</v>
      </c>
      <c r="J1328" s="19">
        <v>1.49</v>
      </c>
      <c r="K1328" s="19" t="s">
        <v>44</v>
      </c>
      <c r="L1328" s="19" t="s">
        <v>236</v>
      </c>
      <c r="M1328" s="15" t="s">
        <v>237</v>
      </c>
      <c r="N1328" s="15" t="s">
        <v>36</v>
      </c>
      <c r="O1328" s="15" t="s">
        <v>170</v>
      </c>
      <c r="P1328" s="20" t="s">
        <v>1353</v>
      </c>
      <c r="Q1328" s="15" t="s">
        <v>83</v>
      </c>
      <c r="R1328" s="4"/>
      <c r="S1328" s="4"/>
    </row>
    <row r="1329" spans="1:19" ht="21" customHeight="1" x14ac:dyDescent="0.25">
      <c r="A1329" s="14">
        <f>DATE(2012,12,31)-681</f>
        <v>40593</v>
      </c>
      <c r="B1329" s="15" t="s">
        <v>390</v>
      </c>
      <c r="C1329" s="15" t="s">
        <v>43</v>
      </c>
      <c r="D1329" s="16">
        <v>15</v>
      </c>
      <c r="E1329" s="17">
        <v>110.15</v>
      </c>
      <c r="F1329" s="16">
        <v>0.02</v>
      </c>
      <c r="G1329" s="15" t="s">
        <v>32</v>
      </c>
      <c r="H1329" s="18">
        <v>13.905999999999999</v>
      </c>
      <c r="I1329" s="19">
        <v>6.75</v>
      </c>
      <c r="J1329" s="19">
        <v>2.99</v>
      </c>
      <c r="K1329" s="19" t="s">
        <v>44</v>
      </c>
      <c r="L1329" s="19" t="s">
        <v>52</v>
      </c>
      <c r="M1329" s="15" t="s">
        <v>1300</v>
      </c>
      <c r="N1329" s="15" t="s">
        <v>36</v>
      </c>
      <c r="O1329" s="15" t="s">
        <v>170</v>
      </c>
      <c r="P1329" s="20" t="s">
        <v>1453</v>
      </c>
      <c r="Q1329" s="15" t="s">
        <v>83</v>
      </c>
      <c r="R1329" s="4"/>
      <c r="S1329" s="4"/>
    </row>
    <row r="1330" spans="1:19" ht="21" customHeight="1" x14ac:dyDescent="0.25">
      <c r="A1330" s="14">
        <f>DATE(2012,12,31)-681</f>
        <v>40593</v>
      </c>
      <c r="B1330" s="15" t="s">
        <v>390</v>
      </c>
      <c r="C1330" s="15" t="s">
        <v>43</v>
      </c>
      <c r="D1330" s="16">
        <v>13</v>
      </c>
      <c r="E1330" s="17">
        <v>3335.27</v>
      </c>
      <c r="F1330" s="16">
        <v>0.03</v>
      </c>
      <c r="G1330" s="15" t="s">
        <v>58</v>
      </c>
      <c r="H1330" s="18">
        <v>539.69000000000005</v>
      </c>
      <c r="I1330" s="19">
        <v>243.98</v>
      </c>
      <c r="J1330" s="19">
        <v>43.32</v>
      </c>
      <c r="K1330" s="19" t="s">
        <v>44</v>
      </c>
      <c r="L1330" s="19" t="s">
        <v>52</v>
      </c>
      <c r="M1330" s="15" t="s">
        <v>1300</v>
      </c>
      <c r="N1330" s="15" t="s">
        <v>54</v>
      </c>
      <c r="O1330" s="15" t="s">
        <v>252</v>
      </c>
      <c r="P1330" s="20" t="s">
        <v>666</v>
      </c>
      <c r="Q1330" s="15" t="s">
        <v>181</v>
      </c>
      <c r="R1330" s="4"/>
      <c r="S1330" s="4"/>
    </row>
    <row r="1331" spans="1:19" ht="21" customHeight="1" x14ac:dyDescent="0.25">
      <c r="A1331" s="14">
        <f>DATE(2012,12,31)-511</f>
        <v>40763</v>
      </c>
      <c r="B1331" s="15" t="s">
        <v>1454</v>
      </c>
      <c r="C1331" s="15" t="s">
        <v>85</v>
      </c>
      <c r="D1331" s="16">
        <v>35</v>
      </c>
      <c r="E1331" s="17">
        <v>106.06</v>
      </c>
      <c r="F1331" s="16">
        <v>0.08</v>
      </c>
      <c r="G1331" s="15" t="s">
        <v>32</v>
      </c>
      <c r="H1331" s="18">
        <v>-59.74</v>
      </c>
      <c r="I1331" s="19">
        <v>3.14</v>
      </c>
      <c r="J1331" s="19">
        <v>1.92</v>
      </c>
      <c r="K1331" s="19" t="s">
        <v>44</v>
      </c>
      <c r="L1331" s="19" t="s">
        <v>89</v>
      </c>
      <c r="M1331" s="15" t="s">
        <v>1341</v>
      </c>
      <c r="N1331" s="15" t="s">
        <v>36</v>
      </c>
      <c r="O1331" s="15" t="s">
        <v>47</v>
      </c>
      <c r="P1331" s="20" t="s">
        <v>148</v>
      </c>
      <c r="Q1331" s="15" t="s">
        <v>79</v>
      </c>
      <c r="R1331" s="4"/>
      <c r="S1331" s="4"/>
    </row>
    <row r="1332" spans="1:19" ht="21" customHeight="1" x14ac:dyDescent="0.25">
      <c r="A1332" s="14">
        <f>DATE(2012,12,31)-1038</f>
        <v>40236</v>
      </c>
      <c r="B1332" s="15" t="s">
        <v>846</v>
      </c>
      <c r="C1332" s="15" t="s">
        <v>31</v>
      </c>
      <c r="D1332" s="16">
        <v>8</v>
      </c>
      <c r="E1332" s="17">
        <v>103.75</v>
      </c>
      <c r="F1332" s="16">
        <v>0.01</v>
      </c>
      <c r="G1332" s="15" t="s">
        <v>32</v>
      </c>
      <c r="H1332" s="18">
        <v>25.134499999999999</v>
      </c>
      <c r="I1332" s="19">
        <v>12.97</v>
      </c>
      <c r="J1332" s="19">
        <v>1.49</v>
      </c>
      <c r="K1332" s="19" t="s">
        <v>44</v>
      </c>
      <c r="L1332" s="19" t="s">
        <v>52</v>
      </c>
      <c r="M1332" s="15" t="s">
        <v>1300</v>
      </c>
      <c r="N1332" s="15" t="s">
        <v>36</v>
      </c>
      <c r="O1332" s="15" t="s">
        <v>170</v>
      </c>
      <c r="P1332" s="20" t="s">
        <v>873</v>
      </c>
      <c r="Q1332" s="15" t="s">
        <v>83</v>
      </c>
      <c r="R1332" s="4"/>
      <c r="S1332" s="4"/>
    </row>
    <row r="1333" spans="1:19" ht="21" customHeight="1" x14ac:dyDescent="0.25">
      <c r="A1333" s="14">
        <f>DATE(2012,12,31)-1038</f>
        <v>40236</v>
      </c>
      <c r="B1333" s="15" t="s">
        <v>846</v>
      </c>
      <c r="C1333" s="15" t="s">
        <v>31</v>
      </c>
      <c r="D1333" s="16">
        <v>9</v>
      </c>
      <c r="E1333" s="17">
        <v>855.86500000000001</v>
      </c>
      <c r="F1333" s="16">
        <v>0.04</v>
      </c>
      <c r="G1333" s="15" t="s">
        <v>32</v>
      </c>
      <c r="H1333" s="18">
        <v>-153.923</v>
      </c>
      <c r="I1333" s="19">
        <v>110.99</v>
      </c>
      <c r="J1333" s="19">
        <v>2.5</v>
      </c>
      <c r="K1333" s="19" t="s">
        <v>33</v>
      </c>
      <c r="L1333" s="19" t="s">
        <v>145</v>
      </c>
      <c r="M1333" s="15" t="s">
        <v>1397</v>
      </c>
      <c r="N1333" s="15" t="s">
        <v>64</v>
      </c>
      <c r="O1333" s="15" t="s">
        <v>65</v>
      </c>
      <c r="P1333" s="20" t="s">
        <v>1010</v>
      </c>
      <c r="Q1333" s="15" t="s">
        <v>83</v>
      </c>
      <c r="R1333" s="4"/>
      <c r="S1333" s="4"/>
    </row>
    <row r="1334" spans="1:19" ht="21" customHeight="1" x14ac:dyDescent="0.25">
      <c r="A1334" s="14">
        <f>DATE(2012,12,31)-1385</f>
        <v>39889</v>
      </c>
      <c r="B1334" s="15" t="s">
        <v>1455</v>
      </c>
      <c r="C1334" s="15" t="s">
        <v>43</v>
      </c>
      <c r="D1334" s="16">
        <v>39</v>
      </c>
      <c r="E1334" s="17">
        <v>223.64</v>
      </c>
      <c r="F1334" s="16">
        <v>0.1</v>
      </c>
      <c r="G1334" s="15" t="s">
        <v>32</v>
      </c>
      <c r="H1334" s="18">
        <v>-90.26</v>
      </c>
      <c r="I1334" s="19">
        <v>5.98</v>
      </c>
      <c r="J1334" s="19">
        <v>5.35</v>
      </c>
      <c r="K1334" s="19" t="s">
        <v>44</v>
      </c>
      <c r="L1334" s="19" t="s">
        <v>120</v>
      </c>
      <c r="M1334" s="15" t="s">
        <v>121</v>
      </c>
      <c r="N1334" s="15" t="s">
        <v>36</v>
      </c>
      <c r="O1334" s="15" t="s">
        <v>117</v>
      </c>
      <c r="P1334" s="20" t="s">
        <v>933</v>
      </c>
      <c r="Q1334" s="15" t="s">
        <v>83</v>
      </c>
      <c r="R1334" s="4"/>
      <c r="S1334" s="4"/>
    </row>
    <row r="1335" spans="1:19" ht="21" customHeight="1" x14ac:dyDescent="0.25">
      <c r="A1335" s="14">
        <f>DATE(2012,12,31)-344</f>
        <v>40930</v>
      </c>
      <c r="B1335" s="15" t="s">
        <v>586</v>
      </c>
      <c r="C1335" s="15" t="s">
        <v>43</v>
      </c>
      <c r="D1335" s="16">
        <v>2</v>
      </c>
      <c r="E1335" s="17">
        <v>202.64</v>
      </c>
      <c r="F1335" s="16">
        <v>0.04</v>
      </c>
      <c r="G1335" s="15" t="s">
        <v>58</v>
      </c>
      <c r="H1335" s="18">
        <v>-221.62380000000002</v>
      </c>
      <c r="I1335" s="19">
        <v>90.97</v>
      </c>
      <c r="J1335" s="19">
        <v>14</v>
      </c>
      <c r="K1335" s="19" t="s">
        <v>44</v>
      </c>
      <c r="L1335" s="19" t="s">
        <v>45</v>
      </c>
      <c r="M1335" s="15" t="s">
        <v>1264</v>
      </c>
      <c r="N1335" s="15" t="s">
        <v>64</v>
      </c>
      <c r="O1335" s="15" t="s">
        <v>122</v>
      </c>
      <c r="P1335" s="20" t="s">
        <v>843</v>
      </c>
      <c r="Q1335" s="15" t="s">
        <v>181</v>
      </c>
      <c r="R1335" s="4"/>
      <c r="S1335" s="4"/>
    </row>
    <row r="1336" spans="1:19" ht="21" customHeight="1" x14ac:dyDescent="0.25">
      <c r="A1336" s="14">
        <f>DATE(2012,12,31)-344</f>
        <v>40930</v>
      </c>
      <c r="B1336" s="15" t="s">
        <v>586</v>
      </c>
      <c r="C1336" s="15" t="s">
        <v>43</v>
      </c>
      <c r="D1336" s="16">
        <v>23</v>
      </c>
      <c r="E1336" s="17">
        <v>133.69</v>
      </c>
      <c r="F1336" s="16">
        <v>0.08</v>
      </c>
      <c r="G1336" s="15" t="s">
        <v>32</v>
      </c>
      <c r="H1336" s="18">
        <v>-92.23</v>
      </c>
      <c r="I1336" s="19">
        <v>5.98</v>
      </c>
      <c r="J1336" s="19">
        <v>7.15</v>
      </c>
      <c r="K1336" s="19" t="s">
        <v>44</v>
      </c>
      <c r="L1336" s="19" t="s">
        <v>120</v>
      </c>
      <c r="M1336" s="15" t="s">
        <v>121</v>
      </c>
      <c r="N1336" s="15" t="s">
        <v>36</v>
      </c>
      <c r="O1336" s="15" t="s">
        <v>117</v>
      </c>
      <c r="P1336" s="20" t="s">
        <v>603</v>
      </c>
      <c r="Q1336" s="15" t="s">
        <v>83</v>
      </c>
      <c r="R1336" s="4"/>
      <c r="S1336" s="4"/>
    </row>
    <row r="1337" spans="1:19" ht="21" customHeight="1" x14ac:dyDescent="0.25">
      <c r="A1337" s="14">
        <f>DATE(2012,12,31)-1458</f>
        <v>39816</v>
      </c>
      <c r="B1337" s="15" t="s">
        <v>1456</v>
      </c>
      <c r="C1337" s="15" t="s">
        <v>51</v>
      </c>
      <c r="D1337" s="16">
        <v>12</v>
      </c>
      <c r="E1337" s="17">
        <v>262.76</v>
      </c>
      <c r="F1337" s="16">
        <v>0.05</v>
      </c>
      <c r="G1337" s="15" t="s">
        <v>32</v>
      </c>
      <c r="H1337" s="18">
        <v>-146.05000000000001</v>
      </c>
      <c r="I1337" s="19">
        <v>20.98</v>
      </c>
      <c r="J1337" s="19">
        <v>21.2</v>
      </c>
      <c r="K1337" s="19" t="s">
        <v>44</v>
      </c>
      <c r="L1337" s="19" t="s">
        <v>80</v>
      </c>
      <c r="M1337" s="15" t="s">
        <v>1200</v>
      </c>
      <c r="N1337" s="15" t="s">
        <v>54</v>
      </c>
      <c r="O1337" s="15" t="s">
        <v>55</v>
      </c>
      <c r="P1337" s="20" t="s">
        <v>1457</v>
      </c>
      <c r="Q1337" s="15" t="s">
        <v>57</v>
      </c>
      <c r="R1337" s="4"/>
      <c r="S1337" s="4"/>
    </row>
    <row r="1338" spans="1:19" ht="21" customHeight="1" x14ac:dyDescent="0.25">
      <c r="A1338" s="14">
        <f>DATE(2012,12,31)-506</f>
        <v>40768</v>
      </c>
      <c r="B1338" s="15" t="s">
        <v>655</v>
      </c>
      <c r="C1338" s="15" t="s">
        <v>85</v>
      </c>
      <c r="D1338" s="16">
        <v>44</v>
      </c>
      <c r="E1338" s="17">
        <v>176.26</v>
      </c>
      <c r="F1338" s="16">
        <v>7.0000000000000007E-2</v>
      </c>
      <c r="G1338" s="15" t="s">
        <v>32</v>
      </c>
      <c r="H1338" s="18">
        <v>75.13</v>
      </c>
      <c r="I1338" s="19">
        <v>4.13</v>
      </c>
      <c r="J1338" s="19">
        <v>0.5</v>
      </c>
      <c r="K1338" s="19" t="s">
        <v>44</v>
      </c>
      <c r="L1338" s="19" t="s">
        <v>52</v>
      </c>
      <c r="M1338" s="15" t="s">
        <v>1300</v>
      </c>
      <c r="N1338" s="15" t="s">
        <v>36</v>
      </c>
      <c r="O1338" s="15" t="s">
        <v>114</v>
      </c>
      <c r="P1338" s="20" t="s">
        <v>653</v>
      </c>
      <c r="Q1338" s="15" t="s">
        <v>83</v>
      </c>
      <c r="R1338" s="4"/>
      <c r="S1338" s="4"/>
    </row>
    <row r="1339" spans="1:19" ht="21" customHeight="1" x14ac:dyDescent="0.25">
      <c r="A1339" s="14">
        <f>DATE(2012,12,31)-80</f>
        <v>41194</v>
      </c>
      <c r="B1339" s="15" t="s">
        <v>961</v>
      </c>
      <c r="C1339" s="15" t="s">
        <v>31</v>
      </c>
      <c r="D1339" s="16">
        <v>26</v>
      </c>
      <c r="E1339" s="17">
        <v>3505.6</v>
      </c>
      <c r="F1339" s="16">
        <v>0.03</v>
      </c>
      <c r="G1339" s="15" t="s">
        <v>32</v>
      </c>
      <c r="H1339" s="18">
        <v>1019.7</v>
      </c>
      <c r="I1339" s="19">
        <v>128.24</v>
      </c>
      <c r="J1339" s="19">
        <v>12.65</v>
      </c>
      <c r="K1339" s="19" t="s">
        <v>33</v>
      </c>
      <c r="L1339" s="19" t="s">
        <v>145</v>
      </c>
      <c r="M1339" s="15" t="s">
        <v>1397</v>
      </c>
      <c r="N1339" s="15" t="s">
        <v>54</v>
      </c>
      <c r="O1339" s="15" t="s">
        <v>252</v>
      </c>
      <c r="P1339" s="20" t="s">
        <v>585</v>
      </c>
      <c r="Q1339" s="15" t="s">
        <v>57</v>
      </c>
      <c r="R1339" s="4"/>
      <c r="S1339" s="4"/>
    </row>
    <row r="1340" spans="1:19" ht="21" customHeight="1" x14ac:dyDescent="0.25">
      <c r="A1340" s="14">
        <f>DATE(2012,12,31)-527</f>
        <v>40747</v>
      </c>
      <c r="B1340" s="15" t="s">
        <v>1458</v>
      </c>
      <c r="C1340" s="15" t="s">
        <v>31</v>
      </c>
      <c r="D1340" s="16">
        <v>14</v>
      </c>
      <c r="E1340" s="17">
        <v>84.09</v>
      </c>
      <c r="F1340" s="16">
        <v>0.02</v>
      </c>
      <c r="G1340" s="15" t="s">
        <v>32</v>
      </c>
      <c r="H1340" s="18">
        <v>-73.14</v>
      </c>
      <c r="I1340" s="19">
        <v>5.4</v>
      </c>
      <c r="J1340" s="19">
        <v>7.78</v>
      </c>
      <c r="K1340" s="19" t="s">
        <v>44</v>
      </c>
      <c r="L1340" s="19" t="s">
        <v>89</v>
      </c>
      <c r="M1340" s="15" t="s">
        <v>1341</v>
      </c>
      <c r="N1340" s="15" t="s">
        <v>36</v>
      </c>
      <c r="O1340" s="15" t="s">
        <v>170</v>
      </c>
      <c r="P1340" s="20" t="s">
        <v>186</v>
      </c>
      <c r="Q1340" s="15" t="s">
        <v>83</v>
      </c>
      <c r="R1340" s="4"/>
      <c r="S1340" s="4"/>
    </row>
    <row r="1341" spans="1:19" ht="21" customHeight="1" x14ac:dyDescent="0.25">
      <c r="A1341" s="14">
        <f>DATE(2012,12,31)-282</f>
        <v>40992</v>
      </c>
      <c r="B1341" s="15" t="s">
        <v>946</v>
      </c>
      <c r="C1341" s="15" t="s">
        <v>43</v>
      </c>
      <c r="D1341" s="16">
        <v>25</v>
      </c>
      <c r="E1341" s="17">
        <v>135.22999999999999</v>
      </c>
      <c r="F1341" s="16">
        <v>0.1</v>
      </c>
      <c r="G1341" s="15" t="s">
        <v>32</v>
      </c>
      <c r="H1341" s="18">
        <v>-45.65</v>
      </c>
      <c r="I1341" s="19">
        <v>5.68</v>
      </c>
      <c r="J1341" s="19">
        <v>3.6</v>
      </c>
      <c r="K1341" s="19" t="s">
        <v>69</v>
      </c>
      <c r="L1341" s="19" t="s">
        <v>70</v>
      </c>
      <c r="M1341" s="15" t="s">
        <v>1337</v>
      </c>
      <c r="N1341" s="15" t="s">
        <v>36</v>
      </c>
      <c r="O1341" s="15" t="s">
        <v>47</v>
      </c>
      <c r="P1341" s="20" t="s">
        <v>1459</v>
      </c>
      <c r="Q1341" s="15" t="s">
        <v>49</v>
      </c>
      <c r="R1341" s="4"/>
      <c r="S1341" s="4"/>
    </row>
    <row r="1342" spans="1:19" ht="21" customHeight="1" x14ac:dyDescent="0.25">
      <c r="A1342" s="14">
        <f>DATE(2012,12,31)-843</f>
        <v>40431</v>
      </c>
      <c r="B1342" s="15" t="s">
        <v>869</v>
      </c>
      <c r="C1342" s="15" t="s">
        <v>85</v>
      </c>
      <c r="D1342" s="16">
        <v>29</v>
      </c>
      <c r="E1342" s="17">
        <v>1222.5899999999999</v>
      </c>
      <c r="F1342" s="16">
        <v>0.02</v>
      </c>
      <c r="G1342" s="15" t="s">
        <v>32</v>
      </c>
      <c r="H1342" s="18">
        <v>501.99</v>
      </c>
      <c r="I1342" s="19">
        <v>40.97</v>
      </c>
      <c r="J1342" s="19">
        <v>1.99</v>
      </c>
      <c r="K1342" s="19" t="s">
        <v>33</v>
      </c>
      <c r="L1342" s="19" t="s">
        <v>93</v>
      </c>
      <c r="M1342" s="15" t="s">
        <v>94</v>
      </c>
      <c r="N1342" s="15" t="s">
        <v>64</v>
      </c>
      <c r="O1342" s="15" t="s">
        <v>72</v>
      </c>
      <c r="P1342" s="20" t="s">
        <v>691</v>
      </c>
      <c r="Q1342" s="15" t="s">
        <v>49</v>
      </c>
      <c r="R1342" s="4"/>
      <c r="S1342" s="4"/>
    </row>
    <row r="1343" spans="1:19" ht="21" customHeight="1" x14ac:dyDescent="0.25">
      <c r="A1343" s="14">
        <f>DATE(2012,12,31)-709</f>
        <v>40565</v>
      </c>
      <c r="B1343" s="15" t="s">
        <v>882</v>
      </c>
      <c r="C1343" s="15" t="s">
        <v>85</v>
      </c>
      <c r="D1343" s="16">
        <v>39</v>
      </c>
      <c r="E1343" s="17">
        <v>1939.66</v>
      </c>
      <c r="F1343" s="16">
        <v>0.03</v>
      </c>
      <c r="G1343" s="15" t="s">
        <v>101</v>
      </c>
      <c r="H1343" s="18">
        <v>540.66999999999996</v>
      </c>
      <c r="I1343" s="19">
        <v>48.92</v>
      </c>
      <c r="J1343" s="19">
        <v>4.5</v>
      </c>
      <c r="K1343" s="19" t="s">
        <v>33</v>
      </c>
      <c r="L1343" s="19" t="s">
        <v>145</v>
      </c>
      <c r="M1343" s="15" t="s">
        <v>1397</v>
      </c>
      <c r="N1343" s="15" t="s">
        <v>36</v>
      </c>
      <c r="O1343" s="15" t="s">
        <v>176</v>
      </c>
      <c r="P1343" s="20" t="s">
        <v>1460</v>
      </c>
      <c r="Q1343" s="15" t="s">
        <v>83</v>
      </c>
      <c r="R1343" s="4"/>
      <c r="S1343" s="4"/>
    </row>
    <row r="1344" spans="1:19" ht="21" customHeight="1" x14ac:dyDescent="0.25">
      <c r="A1344" s="14">
        <f>DATE(2012,12,31)-709</f>
        <v>40565</v>
      </c>
      <c r="B1344" s="15" t="s">
        <v>882</v>
      </c>
      <c r="C1344" s="15" t="s">
        <v>85</v>
      </c>
      <c r="D1344" s="16">
        <v>5</v>
      </c>
      <c r="E1344" s="17">
        <v>21.56</v>
      </c>
      <c r="F1344" s="16">
        <v>0</v>
      </c>
      <c r="G1344" s="15" t="s">
        <v>32</v>
      </c>
      <c r="H1344" s="18">
        <v>2.75</v>
      </c>
      <c r="I1344" s="19">
        <v>4.13</v>
      </c>
      <c r="J1344" s="19">
        <v>0.5</v>
      </c>
      <c r="K1344" s="19" t="s">
        <v>33</v>
      </c>
      <c r="L1344" s="19" t="s">
        <v>59</v>
      </c>
      <c r="M1344" s="15" t="s">
        <v>1361</v>
      </c>
      <c r="N1344" s="15" t="s">
        <v>36</v>
      </c>
      <c r="O1344" s="15" t="s">
        <v>114</v>
      </c>
      <c r="P1344" s="20" t="s">
        <v>653</v>
      </c>
      <c r="Q1344" s="15" t="s">
        <v>83</v>
      </c>
      <c r="R1344" s="4"/>
      <c r="S1344" s="4"/>
    </row>
    <row r="1345" spans="1:19" ht="21" customHeight="1" x14ac:dyDescent="0.25">
      <c r="A1345" s="14">
        <f>DATE(2012,12,31)-709</f>
        <v>40565</v>
      </c>
      <c r="B1345" s="15" t="s">
        <v>882</v>
      </c>
      <c r="C1345" s="15" t="s">
        <v>85</v>
      </c>
      <c r="D1345" s="16">
        <v>43</v>
      </c>
      <c r="E1345" s="17">
        <v>115.81</v>
      </c>
      <c r="F1345" s="16">
        <v>0.1</v>
      </c>
      <c r="G1345" s="15" t="s">
        <v>32</v>
      </c>
      <c r="H1345" s="18">
        <v>-1.49</v>
      </c>
      <c r="I1345" s="19">
        <v>2.88</v>
      </c>
      <c r="J1345" s="19">
        <v>1.01</v>
      </c>
      <c r="K1345" s="19" t="s">
        <v>33</v>
      </c>
      <c r="L1345" s="19" t="s">
        <v>145</v>
      </c>
      <c r="M1345" s="15" t="s">
        <v>1397</v>
      </c>
      <c r="N1345" s="15" t="s">
        <v>36</v>
      </c>
      <c r="O1345" s="15" t="s">
        <v>77</v>
      </c>
      <c r="P1345" s="20" t="s">
        <v>1461</v>
      </c>
      <c r="Q1345" s="15" t="s">
        <v>79</v>
      </c>
      <c r="R1345" s="4"/>
      <c r="S1345" s="4"/>
    </row>
    <row r="1346" spans="1:19" ht="21" customHeight="1" x14ac:dyDescent="0.25">
      <c r="A1346" s="14">
        <f>DATE(2012,12,31)-284</f>
        <v>40990</v>
      </c>
      <c r="B1346" s="15" t="s">
        <v>1033</v>
      </c>
      <c r="C1346" s="15" t="s">
        <v>85</v>
      </c>
      <c r="D1346" s="16">
        <v>7</v>
      </c>
      <c r="E1346" s="17">
        <v>131.61000000000001</v>
      </c>
      <c r="F1346" s="16">
        <v>0.01</v>
      </c>
      <c r="G1346" s="15" t="s">
        <v>32</v>
      </c>
      <c r="H1346" s="18">
        <v>-7.3</v>
      </c>
      <c r="I1346" s="19">
        <v>17.48</v>
      </c>
      <c r="J1346" s="19">
        <v>1.99</v>
      </c>
      <c r="K1346" s="19" t="s">
        <v>33</v>
      </c>
      <c r="L1346" s="19" t="s">
        <v>34</v>
      </c>
      <c r="M1346" s="15" t="s">
        <v>1359</v>
      </c>
      <c r="N1346" s="15" t="s">
        <v>64</v>
      </c>
      <c r="O1346" s="15" t="s">
        <v>72</v>
      </c>
      <c r="P1346" s="20" t="s">
        <v>1262</v>
      </c>
      <c r="Q1346" s="15" t="s">
        <v>49</v>
      </c>
      <c r="R1346" s="4"/>
      <c r="S1346" s="4"/>
    </row>
    <row r="1347" spans="1:19" ht="21" customHeight="1" x14ac:dyDescent="0.25">
      <c r="A1347" s="14">
        <f>DATE(2012,12,31)-389</f>
        <v>40885</v>
      </c>
      <c r="B1347" s="15" t="s">
        <v>140</v>
      </c>
      <c r="C1347" s="15" t="s">
        <v>85</v>
      </c>
      <c r="D1347" s="16">
        <v>23</v>
      </c>
      <c r="E1347" s="17">
        <v>750.39</v>
      </c>
      <c r="F1347" s="16">
        <v>0.04</v>
      </c>
      <c r="G1347" s="15" t="s">
        <v>32</v>
      </c>
      <c r="H1347" s="18">
        <v>133.70500000000001</v>
      </c>
      <c r="I1347" s="19">
        <v>30.98</v>
      </c>
      <c r="J1347" s="19">
        <v>11.63</v>
      </c>
      <c r="K1347" s="19" t="s">
        <v>33</v>
      </c>
      <c r="L1347" s="19" t="s">
        <v>59</v>
      </c>
      <c r="M1347" s="15" t="s">
        <v>1361</v>
      </c>
      <c r="N1347" s="15" t="s">
        <v>36</v>
      </c>
      <c r="O1347" s="15" t="s">
        <v>170</v>
      </c>
      <c r="P1347" s="20" t="s">
        <v>1419</v>
      </c>
      <c r="Q1347" s="15" t="s">
        <v>83</v>
      </c>
      <c r="R1347" s="4"/>
      <c r="S1347" s="4"/>
    </row>
    <row r="1348" spans="1:19" ht="21" customHeight="1" x14ac:dyDescent="0.25">
      <c r="A1348" s="14">
        <f>DATE(2012,12,31)-389</f>
        <v>40885</v>
      </c>
      <c r="B1348" s="15" t="s">
        <v>140</v>
      </c>
      <c r="C1348" s="15" t="s">
        <v>85</v>
      </c>
      <c r="D1348" s="16">
        <v>4</v>
      </c>
      <c r="E1348" s="17">
        <v>18.46</v>
      </c>
      <c r="F1348" s="16">
        <v>0.06</v>
      </c>
      <c r="G1348" s="15" t="s">
        <v>32</v>
      </c>
      <c r="H1348" s="18">
        <v>-0.43</v>
      </c>
      <c r="I1348" s="19">
        <v>4.91</v>
      </c>
      <c r="J1348" s="19">
        <v>0.5</v>
      </c>
      <c r="K1348" s="19" t="s">
        <v>33</v>
      </c>
      <c r="L1348" s="19" t="s">
        <v>59</v>
      </c>
      <c r="M1348" s="15" t="s">
        <v>1361</v>
      </c>
      <c r="N1348" s="15" t="s">
        <v>36</v>
      </c>
      <c r="O1348" s="15" t="s">
        <v>114</v>
      </c>
      <c r="P1348" s="20" t="s">
        <v>786</v>
      </c>
      <c r="Q1348" s="15" t="s">
        <v>83</v>
      </c>
      <c r="R1348" s="4"/>
      <c r="S1348" s="4"/>
    </row>
    <row r="1349" spans="1:19" ht="21" customHeight="1" x14ac:dyDescent="0.25">
      <c r="A1349" s="14">
        <f>DATE(2012,12,31)-965</f>
        <v>40309</v>
      </c>
      <c r="B1349" s="15" t="s">
        <v>1462</v>
      </c>
      <c r="C1349" s="15" t="s">
        <v>51</v>
      </c>
      <c r="D1349" s="16">
        <v>16</v>
      </c>
      <c r="E1349" s="17">
        <v>2366.1799999999998</v>
      </c>
      <c r="F1349" s="16">
        <v>0.1</v>
      </c>
      <c r="G1349" s="15" t="s">
        <v>32</v>
      </c>
      <c r="H1349" s="18">
        <v>703.8</v>
      </c>
      <c r="I1349" s="19">
        <v>162.93</v>
      </c>
      <c r="J1349" s="19">
        <v>19.989999999999998</v>
      </c>
      <c r="K1349" s="19" t="s">
        <v>33</v>
      </c>
      <c r="L1349" s="19" t="s">
        <v>145</v>
      </c>
      <c r="M1349" s="15" t="s">
        <v>1397</v>
      </c>
      <c r="N1349" s="15" t="s">
        <v>36</v>
      </c>
      <c r="O1349" s="15" t="s">
        <v>189</v>
      </c>
      <c r="P1349" s="20" t="s">
        <v>739</v>
      </c>
      <c r="Q1349" s="15" t="s">
        <v>83</v>
      </c>
      <c r="R1349" s="4"/>
      <c r="S1349" s="4"/>
    </row>
    <row r="1350" spans="1:19" ht="21" customHeight="1" x14ac:dyDescent="0.25">
      <c r="A1350" s="14">
        <f>DATE(2012,12,31)-965</f>
        <v>40309</v>
      </c>
      <c r="B1350" s="15" t="s">
        <v>1462</v>
      </c>
      <c r="C1350" s="15" t="s">
        <v>51</v>
      </c>
      <c r="D1350" s="16">
        <v>49</v>
      </c>
      <c r="E1350" s="17">
        <v>675.71</v>
      </c>
      <c r="F1350" s="16">
        <v>0.06</v>
      </c>
      <c r="G1350" s="15" t="s">
        <v>32</v>
      </c>
      <c r="H1350" s="18">
        <v>-17.489999999999998</v>
      </c>
      <c r="I1350" s="19">
        <v>13.79</v>
      </c>
      <c r="J1350" s="19">
        <v>8.7799999999999994</v>
      </c>
      <c r="K1350" s="19" t="s">
        <v>69</v>
      </c>
      <c r="L1350" s="19" t="s">
        <v>70</v>
      </c>
      <c r="M1350" s="15" t="s">
        <v>1337</v>
      </c>
      <c r="N1350" s="15" t="s">
        <v>54</v>
      </c>
      <c r="O1350" s="15" t="s">
        <v>55</v>
      </c>
      <c r="P1350" s="20" t="s">
        <v>1463</v>
      </c>
      <c r="Q1350" s="15" t="s">
        <v>83</v>
      </c>
      <c r="R1350" s="4"/>
      <c r="S1350" s="4"/>
    </row>
    <row r="1351" spans="1:19" ht="21" customHeight="1" x14ac:dyDescent="0.25">
      <c r="A1351" s="14">
        <f>DATE(2012,12,31)-965</f>
        <v>40309</v>
      </c>
      <c r="B1351" s="15" t="s">
        <v>1462</v>
      </c>
      <c r="C1351" s="15" t="s">
        <v>51</v>
      </c>
      <c r="D1351" s="16">
        <v>16</v>
      </c>
      <c r="E1351" s="17">
        <v>292.97800000000001</v>
      </c>
      <c r="F1351" s="16">
        <v>0.05</v>
      </c>
      <c r="G1351" s="15" t="s">
        <v>32</v>
      </c>
      <c r="H1351" s="18">
        <v>-93.61</v>
      </c>
      <c r="I1351" s="19">
        <v>20.99</v>
      </c>
      <c r="J1351" s="19">
        <v>3.3</v>
      </c>
      <c r="K1351" s="19" t="s">
        <v>69</v>
      </c>
      <c r="L1351" s="19" t="s">
        <v>75</v>
      </c>
      <c r="M1351" s="15" t="s">
        <v>75</v>
      </c>
      <c r="N1351" s="15" t="s">
        <v>64</v>
      </c>
      <c r="O1351" s="15" t="s">
        <v>65</v>
      </c>
      <c r="P1351" s="20" t="s">
        <v>769</v>
      </c>
      <c r="Q1351" s="15" t="s">
        <v>49</v>
      </c>
      <c r="R1351" s="4"/>
      <c r="S1351" s="4"/>
    </row>
    <row r="1352" spans="1:19" ht="21" customHeight="1" x14ac:dyDescent="0.25">
      <c r="A1352" s="14">
        <f>DATE(2012,12,31)-965</f>
        <v>40309</v>
      </c>
      <c r="B1352" s="15" t="s">
        <v>1462</v>
      </c>
      <c r="C1352" s="15" t="s">
        <v>51</v>
      </c>
      <c r="D1352" s="16">
        <v>50</v>
      </c>
      <c r="E1352" s="17">
        <v>3615.8405000000002</v>
      </c>
      <c r="F1352" s="16">
        <v>0.03</v>
      </c>
      <c r="G1352" s="15" t="s">
        <v>32</v>
      </c>
      <c r="H1352" s="18">
        <v>1861.3530000000001</v>
      </c>
      <c r="I1352" s="19">
        <v>85.99</v>
      </c>
      <c r="J1352" s="19">
        <v>3.3</v>
      </c>
      <c r="K1352" s="19" t="s">
        <v>69</v>
      </c>
      <c r="L1352" s="19" t="s">
        <v>70</v>
      </c>
      <c r="M1352" s="15" t="s">
        <v>1337</v>
      </c>
      <c r="N1352" s="15" t="s">
        <v>64</v>
      </c>
      <c r="O1352" s="15" t="s">
        <v>65</v>
      </c>
      <c r="P1352" s="20" t="s">
        <v>428</v>
      </c>
      <c r="Q1352" s="15" t="s">
        <v>49</v>
      </c>
      <c r="R1352" s="4"/>
      <c r="S1352" s="4"/>
    </row>
    <row r="1353" spans="1:19" ht="21" customHeight="1" x14ac:dyDescent="0.25">
      <c r="A1353" s="14">
        <f>DATE(2012,12,31)-813</f>
        <v>40461</v>
      </c>
      <c r="B1353" s="15" t="s">
        <v>1256</v>
      </c>
      <c r="C1353" s="15" t="s">
        <v>85</v>
      </c>
      <c r="D1353" s="16">
        <v>43</v>
      </c>
      <c r="E1353" s="17">
        <v>319.69</v>
      </c>
      <c r="F1353" s="16">
        <v>0</v>
      </c>
      <c r="G1353" s="15" t="s">
        <v>32</v>
      </c>
      <c r="H1353" s="18">
        <v>-73.66</v>
      </c>
      <c r="I1353" s="19">
        <v>7.28</v>
      </c>
      <c r="J1353" s="19">
        <v>3.52</v>
      </c>
      <c r="K1353" s="19" t="s">
        <v>69</v>
      </c>
      <c r="L1353" s="19" t="s">
        <v>70</v>
      </c>
      <c r="M1353" s="15" t="s">
        <v>1337</v>
      </c>
      <c r="N1353" s="15" t="s">
        <v>64</v>
      </c>
      <c r="O1353" s="15" t="s">
        <v>72</v>
      </c>
      <c r="P1353" s="20" t="s">
        <v>968</v>
      </c>
      <c r="Q1353" s="15" t="s">
        <v>49</v>
      </c>
      <c r="R1353" s="4"/>
      <c r="S1353" s="4"/>
    </row>
    <row r="1354" spans="1:19" ht="21" customHeight="1" x14ac:dyDescent="0.25">
      <c r="A1354" s="14">
        <f>DATE(2012,12,31)-64</f>
        <v>41210</v>
      </c>
      <c r="B1354" s="15" t="s">
        <v>1185</v>
      </c>
      <c r="C1354" s="15" t="s">
        <v>31</v>
      </c>
      <c r="D1354" s="16">
        <v>47</v>
      </c>
      <c r="E1354" s="17">
        <v>706.68</v>
      </c>
      <c r="F1354" s="16">
        <v>0.1</v>
      </c>
      <c r="G1354" s="15" t="s">
        <v>32</v>
      </c>
      <c r="H1354" s="18">
        <v>6.6</v>
      </c>
      <c r="I1354" s="19">
        <v>15.94</v>
      </c>
      <c r="J1354" s="19">
        <v>5.45</v>
      </c>
      <c r="K1354" s="19" t="s">
        <v>69</v>
      </c>
      <c r="L1354" s="19" t="s">
        <v>70</v>
      </c>
      <c r="M1354" s="15" t="s">
        <v>1337</v>
      </c>
      <c r="N1354" s="15" t="s">
        <v>36</v>
      </c>
      <c r="O1354" s="15" t="s">
        <v>77</v>
      </c>
      <c r="P1354" s="20" t="s">
        <v>755</v>
      </c>
      <c r="Q1354" s="15" t="s">
        <v>49</v>
      </c>
      <c r="R1354" s="4"/>
      <c r="S1354" s="4"/>
    </row>
    <row r="1355" spans="1:19" ht="21" customHeight="1" x14ac:dyDescent="0.25">
      <c r="A1355" s="14">
        <f>DATE(2012,12,31)-484</f>
        <v>40790</v>
      </c>
      <c r="B1355" s="15" t="s">
        <v>498</v>
      </c>
      <c r="C1355" s="15" t="s">
        <v>85</v>
      </c>
      <c r="D1355" s="16">
        <v>18</v>
      </c>
      <c r="E1355" s="17">
        <v>33.96</v>
      </c>
      <c r="F1355" s="16">
        <v>0</v>
      </c>
      <c r="G1355" s="15" t="s">
        <v>32</v>
      </c>
      <c r="H1355" s="18">
        <v>0.1</v>
      </c>
      <c r="I1355" s="19">
        <v>1.76</v>
      </c>
      <c r="J1355" s="19">
        <v>0.7</v>
      </c>
      <c r="K1355" s="19" t="s">
        <v>69</v>
      </c>
      <c r="L1355" s="19" t="s">
        <v>70</v>
      </c>
      <c r="M1355" s="15" t="s">
        <v>1337</v>
      </c>
      <c r="N1355" s="15" t="s">
        <v>36</v>
      </c>
      <c r="O1355" s="15" t="s">
        <v>77</v>
      </c>
      <c r="P1355" s="20" t="s">
        <v>526</v>
      </c>
      <c r="Q1355" s="15" t="s">
        <v>79</v>
      </c>
      <c r="R1355" s="4"/>
      <c r="S1355" s="4"/>
    </row>
    <row r="1356" spans="1:19" ht="21" customHeight="1" x14ac:dyDescent="0.25">
      <c r="A1356" s="14">
        <f>DATE(2012,12,31)-1206</f>
        <v>40068</v>
      </c>
      <c r="B1356" s="15" t="s">
        <v>1152</v>
      </c>
      <c r="C1356" s="15" t="s">
        <v>31</v>
      </c>
      <c r="D1356" s="16">
        <v>48</v>
      </c>
      <c r="E1356" s="17">
        <v>8374.1319999999996</v>
      </c>
      <c r="F1356" s="16">
        <v>0.06</v>
      </c>
      <c r="G1356" s="15" t="s">
        <v>32</v>
      </c>
      <c r="H1356" s="18">
        <v>2568.096</v>
      </c>
      <c r="I1356" s="19">
        <v>205.99</v>
      </c>
      <c r="J1356" s="19">
        <v>8.99</v>
      </c>
      <c r="K1356" s="19" t="s">
        <v>69</v>
      </c>
      <c r="L1356" s="19" t="s">
        <v>75</v>
      </c>
      <c r="M1356" s="15" t="s">
        <v>75</v>
      </c>
      <c r="N1356" s="15" t="s">
        <v>64</v>
      </c>
      <c r="O1356" s="15" t="s">
        <v>65</v>
      </c>
      <c r="P1356" s="20" t="s">
        <v>1464</v>
      </c>
      <c r="Q1356" s="15" t="s">
        <v>83</v>
      </c>
      <c r="R1356" s="4"/>
      <c r="S1356" s="4"/>
    </row>
    <row r="1357" spans="1:19" ht="21" customHeight="1" x14ac:dyDescent="0.25">
      <c r="A1357" s="14">
        <f>DATE(2012,12,31)-168</f>
        <v>41106</v>
      </c>
      <c r="B1357" s="15" t="s">
        <v>1040</v>
      </c>
      <c r="C1357" s="15" t="s">
        <v>85</v>
      </c>
      <c r="D1357" s="16">
        <v>50</v>
      </c>
      <c r="E1357" s="17">
        <v>1406.64</v>
      </c>
      <c r="F1357" s="16">
        <v>0.02</v>
      </c>
      <c r="G1357" s="15" t="s">
        <v>32</v>
      </c>
      <c r="H1357" s="18">
        <v>424.36</v>
      </c>
      <c r="I1357" s="19">
        <v>27.18</v>
      </c>
      <c r="J1357" s="19">
        <v>8.23</v>
      </c>
      <c r="K1357" s="19" t="s">
        <v>69</v>
      </c>
      <c r="L1357" s="19" t="s">
        <v>215</v>
      </c>
      <c r="M1357" s="15" t="s">
        <v>1388</v>
      </c>
      <c r="N1357" s="15" t="s">
        <v>36</v>
      </c>
      <c r="O1357" s="15" t="s">
        <v>189</v>
      </c>
      <c r="P1357" s="20" t="s">
        <v>1465</v>
      </c>
      <c r="Q1357" s="15" t="s">
        <v>83</v>
      </c>
      <c r="R1357" s="4"/>
      <c r="S1357" s="4"/>
    </row>
    <row r="1358" spans="1:19" ht="21" customHeight="1" x14ac:dyDescent="0.25">
      <c r="A1358" s="14">
        <f>DATE(2012,12,31)-1233</f>
        <v>40041</v>
      </c>
      <c r="B1358" s="15" t="s">
        <v>342</v>
      </c>
      <c r="C1358" s="15" t="s">
        <v>85</v>
      </c>
      <c r="D1358" s="16">
        <v>1</v>
      </c>
      <c r="E1358" s="17">
        <v>192.49</v>
      </c>
      <c r="F1358" s="16">
        <v>0.02</v>
      </c>
      <c r="G1358" s="15" t="s">
        <v>58</v>
      </c>
      <c r="H1358" s="18">
        <v>-98.3</v>
      </c>
      <c r="I1358" s="19">
        <v>160.97999999999999</v>
      </c>
      <c r="J1358" s="19">
        <v>30</v>
      </c>
      <c r="K1358" s="19" t="s">
        <v>111</v>
      </c>
      <c r="L1358" s="19" t="s">
        <v>442</v>
      </c>
      <c r="M1358" s="15" t="s">
        <v>443</v>
      </c>
      <c r="N1358" s="15" t="s">
        <v>54</v>
      </c>
      <c r="O1358" s="15" t="s">
        <v>252</v>
      </c>
      <c r="P1358" s="20" t="s">
        <v>726</v>
      </c>
      <c r="Q1358" s="15" t="s">
        <v>181</v>
      </c>
      <c r="R1358" s="4"/>
      <c r="S1358" s="4"/>
    </row>
    <row r="1359" spans="1:19" ht="21" customHeight="1" x14ac:dyDescent="0.25">
      <c r="A1359" s="14">
        <f>DATE(2012,12,31)-1384</f>
        <v>39890</v>
      </c>
      <c r="B1359" s="15" t="s">
        <v>630</v>
      </c>
      <c r="C1359" s="15" t="s">
        <v>51</v>
      </c>
      <c r="D1359" s="16">
        <v>16</v>
      </c>
      <c r="E1359" s="17">
        <v>5403.75</v>
      </c>
      <c r="F1359" s="16">
        <v>0.08</v>
      </c>
      <c r="G1359" s="15" t="s">
        <v>58</v>
      </c>
      <c r="H1359" s="18">
        <v>103.83</v>
      </c>
      <c r="I1359" s="19">
        <v>355.98</v>
      </c>
      <c r="J1359" s="19">
        <v>58.92</v>
      </c>
      <c r="K1359" s="19" t="s">
        <v>111</v>
      </c>
      <c r="L1359" s="19" t="s">
        <v>407</v>
      </c>
      <c r="M1359" s="15" t="s">
        <v>407</v>
      </c>
      <c r="N1359" s="15" t="s">
        <v>54</v>
      </c>
      <c r="O1359" s="15" t="s">
        <v>252</v>
      </c>
      <c r="P1359" s="20" t="s">
        <v>1466</v>
      </c>
      <c r="Q1359" s="15" t="s">
        <v>181</v>
      </c>
      <c r="R1359" s="4"/>
      <c r="S1359" s="4"/>
    </row>
    <row r="1360" spans="1:19" ht="21" customHeight="1" x14ac:dyDescent="0.25">
      <c r="A1360" s="14">
        <f>DATE(2012,12,31)-986</f>
        <v>40288</v>
      </c>
      <c r="B1360" s="15" t="s">
        <v>1467</v>
      </c>
      <c r="C1360" s="15" t="s">
        <v>31</v>
      </c>
      <c r="D1360" s="16">
        <v>9</v>
      </c>
      <c r="E1360" s="17">
        <v>54.79</v>
      </c>
      <c r="F1360" s="16">
        <v>0.05</v>
      </c>
      <c r="G1360" s="15" t="s">
        <v>32</v>
      </c>
      <c r="H1360" s="18">
        <v>-6.82</v>
      </c>
      <c r="I1360" s="19">
        <v>5.85</v>
      </c>
      <c r="J1360" s="19">
        <v>2.27</v>
      </c>
      <c r="K1360" s="19" t="s">
        <v>44</v>
      </c>
      <c r="L1360" s="19" t="s">
        <v>80</v>
      </c>
      <c r="M1360" s="15" t="s">
        <v>1200</v>
      </c>
      <c r="N1360" s="15" t="s">
        <v>36</v>
      </c>
      <c r="O1360" s="15" t="s">
        <v>77</v>
      </c>
      <c r="P1360" s="20" t="s">
        <v>793</v>
      </c>
      <c r="Q1360" s="15" t="s">
        <v>79</v>
      </c>
      <c r="R1360" s="4"/>
      <c r="S1360" s="4"/>
    </row>
    <row r="1361" spans="1:19" ht="21" customHeight="1" x14ac:dyDescent="0.25">
      <c r="A1361" s="14">
        <f>DATE(2012,12,31)-597</f>
        <v>40677</v>
      </c>
      <c r="B1361" s="15" t="s">
        <v>1281</v>
      </c>
      <c r="C1361" s="15" t="s">
        <v>31</v>
      </c>
      <c r="D1361" s="16">
        <v>23</v>
      </c>
      <c r="E1361" s="17">
        <v>356.09</v>
      </c>
      <c r="F1361" s="16">
        <v>0.05</v>
      </c>
      <c r="G1361" s="15" t="s">
        <v>32</v>
      </c>
      <c r="H1361" s="18">
        <v>155.82</v>
      </c>
      <c r="I1361" s="19">
        <v>15.67</v>
      </c>
      <c r="J1361" s="19">
        <v>1.39</v>
      </c>
      <c r="K1361" s="19" t="s">
        <v>44</v>
      </c>
      <c r="L1361" s="19" t="s">
        <v>120</v>
      </c>
      <c r="M1361" s="15" t="s">
        <v>121</v>
      </c>
      <c r="N1361" s="15" t="s">
        <v>36</v>
      </c>
      <c r="O1361" s="15" t="s">
        <v>189</v>
      </c>
      <c r="P1361" s="20" t="s">
        <v>967</v>
      </c>
      <c r="Q1361" s="15" t="s">
        <v>83</v>
      </c>
      <c r="R1361" s="4"/>
      <c r="S1361" s="4"/>
    </row>
    <row r="1362" spans="1:19" ht="21" customHeight="1" x14ac:dyDescent="0.25">
      <c r="A1362" s="14">
        <f>DATE(2012,12,31)-638</f>
        <v>40636</v>
      </c>
      <c r="B1362" s="15" t="s">
        <v>595</v>
      </c>
      <c r="C1362" s="15" t="s">
        <v>43</v>
      </c>
      <c r="D1362" s="16">
        <v>26</v>
      </c>
      <c r="E1362" s="17">
        <v>1075.9100000000001</v>
      </c>
      <c r="F1362" s="16">
        <v>0.03</v>
      </c>
      <c r="G1362" s="15" t="s">
        <v>32</v>
      </c>
      <c r="H1362" s="18">
        <v>34.42</v>
      </c>
      <c r="I1362" s="19">
        <v>39.979999999999997</v>
      </c>
      <c r="J1362" s="19">
        <v>7.12</v>
      </c>
      <c r="K1362" s="19" t="s">
        <v>44</v>
      </c>
      <c r="L1362" s="19" t="s">
        <v>45</v>
      </c>
      <c r="M1362" s="15" t="s">
        <v>1264</v>
      </c>
      <c r="N1362" s="15" t="s">
        <v>64</v>
      </c>
      <c r="O1362" s="15" t="s">
        <v>72</v>
      </c>
      <c r="P1362" s="20" t="s">
        <v>1468</v>
      </c>
      <c r="Q1362" s="15" t="s">
        <v>83</v>
      </c>
      <c r="R1362" s="4"/>
      <c r="S1362" s="4"/>
    </row>
    <row r="1363" spans="1:19" ht="21" customHeight="1" x14ac:dyDescent="0.25">
      <c r="A1363" s="14">
        <f>DATE(2012,12,31)-638</f>
        <v>40636</v>
      </c>
      <c r="B1363" s="15" t="s">
        <v>595</v>
      </c>
      <c r="C1363" s="15" t="s">
        <v>43</v>
      </c>
      <c r="D1363" s="16">
        <v>21</v>
      </c>
      <c r="E1363" s="17">
        <v>1176.8589999999999</v>
      </c>
      <c r="F1363" s="16">
        <v>0.03</v>
      </c>
      <c r="G1363" s="15" t="s">
        <v>32</v>
      </c>
      <c r="H1363" s="18">
        <v>137.86199999999999</v>
      </c>
      <c r="I1363" s="19">
        <v>65.989999999999995</v>
      </c>
      <c r="J1363" s="19">
        <v>3.99</v>
      </c>
      <c r="K1363" s="19" t="s">
        <v>44</v>
      </c>
      <c r="L1363" s="19" t="s">
        <v>89</v>
      </c>
      <c r="M1363" s="15" t="s">
        <v>1341</v>
      </c>
      <c r="N1363" s="15" t="s">
        <v>64</v>
      </c>
      <c r="O1363" s="15" t="s">
        <v>65</v>
      </c>
      <c r="P1363" s="20" t="s">
        <v>689</v>
      </c>
      <c r="Q1363" s="15" t="s">
        <v>83</v>
      </c>
      <c r="R1363" s="4"/>
      <c r="S1363" s="4"/>
    </row>
    <row r="1364" spans="1:19" ht="21" customHeight="1" x14ac:dyDescent="0.25">
      <c r="A1364" s="14">
        <f>DATE(2012,12,31)-638</f>
        <v>40636</v>
      </c>
      <c r="B1364" s="15" t="s">
        <v>595</v>
      </c>
      <c r="C1364" s="15" t="s">
        <v>43</v>
      </c>
      <c r="D1364" s="16">
        <v>24</v>
      </c>
      <c r="E1364" s="17">
        <v>6408.3</v>
      </c>
      <c r="F1364" s="16">
        <v>0.1</v>
      </c>
      <c r="G1364" s="15" t="s">
        <v>58</v>
      </c>
      <c r="H1364" s="18">
        <v>539.54</v>
      </c>
      <c r="I1364" s="19">
        <v>280.98</v>
      </c>
      <c r="J1364" s="19">
        <v>35.67</v>
      </c>
      <c r="K1364" s="19" t="s">
        <v>44</v>
      </c>
      <c r="L1364" s="19" t="s">
        <v>80</v>
      </c>
      <c r="M1364" s="15" t="s">
        <v>1200</v>
      </c>
      <c r="N1364" s="15" t="s">
        <v>54</v>
      </c>
      <c r="O1364" s="15" t="s">
        <v>61</v>
      </c>
      <c r="P1364" s="20" t="s">
        <v>368</v>
      </c>
      <c r="Q1364" s="15" t="s">
        <v>63</v>
      </c>
      <c r="R1364" s="4"/>
      <c r="S1364" s="4"/>
    </row>
    <row r="1365" spans="1:19" ht="21" customHeight="1" x14ac:dyDescent="0.25">
      <c r="A1365" s="14">
        <f>DATE(2012,12,31)-1183</f>
        <v>40091</v>
      </c>
      <c r="B1365" s="15" t="s">
        <v>1185</v>
      </c>
      <c r="C1365" s="15" t="s">
        <v>51</v>
      </c>
      <c r="D1365" s="16">
        <v>27</v>
      </c>
      <c r="E1365" s="17">
        <v>63.71</v>
      </c>
      <c r="F1365" s="16">
        <v>0.01</v>
      </c>
      <c r="G1365" s="15" t="s">
        <v>32</v>
      </c>
      <c r="H1365" s="18">
        <v>-96.03</v>
      </c>
      <c r="I1365" s="19">
        <v>2.08</v>
      </c>
      <c r="J1365" s="19">
        <v>5.33</v>
      </c>
      <c r="K1365" s="19" t="s">
        <v>44</v>
      </c>
      <c r="L1365" s="19" t="s">
        <v>89</v>
      </c>
      <c r="M1365" s="15" t="s">
        <v>1341</v>
      </c>
      <c r="N1365" s="15" t="s">
        <v>54</v>
      </c>
      <c r="O1365" s="15" t="s">
        <v>55</v>
      </c>
      <c r="P1365" s="20" t="s">
        <v>858</v>
      </c>
      <c r="Q1365" s="15" t="s">
        <v>83</v>
      </c>
      <c r="R1365" s="4"/>
      <c r="S1365" s="4"/>
    </row>
    <row r="1366" spans="1:19" ht="21" customHeight="1" x14ac:dyDescent="0.25">
      <c r="A1366" s="14">
        <f>DATE(2012,12,31)-1183</f>
        <v>40091</v>
      </c>
      <c r="B1366" s="15" t="s">
        <v>1185</v>
      </c>
      <c r="C1366" s="15" t="s">
        <v>51</v>
      </c>
      <c r="D1366" s="16">
        <v>14</v>
      </c>
      <c r="E1366" s="17">
        <v>5388.8</v>
      </c>
      <c r="F1366" s="16">
        <v>0.03</v>
      </c>
      <c r="G1366" s="15" t="s">
        <v>58</v>
      </c>
      <c r="H1366" s="18">
        <v>-115.08</v>
      </c>
      <c r="I1366" s="19">
        <v>370.98</v>
      </c>
      <c r="J1366" s="19">
        <v>99</v>
      </c>
      <c r="K1366" s="19" t="s">
        <v>44</v>
      </c>
      <c r="L1366" s="19" t="s">
        <v>120</v>
      </c>
      <c r="M1366" s="15" t="s">
        <v>121</v>
      </c>
      <c r="N1366" s="15" t="s">
        <v>36</v>
      </c>
      <c r="O1366" s="15" t="s">
        <v>37</v>
      </c>
      <c r="P1366" s="20" t="s">
        <v>532</v>
      </c>
      <c r="Q1366" s="15" t="s">
        <v>181</v>
      </c>
      <c r="R1366" s="4"/>
      <c r="S1366" s="4"/>
    </row>
    <row r="1367" spans="1:19" ht="21" customHeight="1" x14ac:dyDescent="0.25">
      <c r="A1367" s="14">
        <f>DATE(2012,12,31)-336</f>
        <v>40938</v>
      </c>
      <c r="B1367" s="15" t="s">
        <v>1185</v>
      </c>
      <c r="C1367" s="15" t="s">
        <v>85</v>
      </c>
      <c r="D1367" s="16">
        <v>43</v>
      </c>
      <c r="E1367" s="17">
        <v>1751.68</v>
      </c>
      <c r="F1367" s="16">
        <v>0.1</v>
      </c>
      <c r="G1367" s="15" t="s">
        <v>101</v>
      </c>
      <c r="H1367" s="18">
        <v>771.82549999999992</v>
      </c>
      <c r="I1367" s="19">
        <v>41.94</v>
      </c>
      <c r="J1367" s="19">
        <v>2.99</v>
      </c>
      <c r="K1367" s="19" t="s">
        <v>33</v>
      </c>
      <c r="L1367" s="19" t="s">
        <v>93</v>
      </c>
      <c r="M1367" s="15" t="s">
        <v>94</v>
      </c>
      <c r="N1367" s="15" t="s">
        <v>36</v>
      </c>
      <c r="O1367" s="15" t="s">
        <v>170</v>
      </c>
      <c r="P1367" s="20" t="s">
        <v>1469</v>
      </c>
      <c r="Q1367" s="15" t="s">
        <v>83</v>
      </c>
      <c r="R1367" s="4"/>
      <c r="S1367" s="4"/>
    </row>
    <row r="1368" spans="1:19" ht="21" customHeight="1" x14ac:dyDescent="0.25">
      <c r="A1368" s="14">
        <f>DATE(2012,12,31)-336</f>
        <v>40938</v>
      </c>
      <c r="B1368" s="15" t="s">
        <v>1185</v>
      </c>
      <c r="C1368" s="15" t="s">
        <v>85</v>
      </c>
      <c r="D1368" s="16">
        <v>17</v>
      </c>
      <c r="E1368" s="17">
        <v>86.47</v>
      </c>
      <c r="F1368" s="16">
        <v>7.0000000000000007E-2</v>
      </c>
      <c r="G1368" s="15" t="s">
        <v>32</v>
      </c>
      <c r="H1368" s="18">
        <v>-9.3495000000000008</v>
      </c>
      <c r="I1368" s="19">
        <v>5.28</v>
      </c>
      <c r="J1368" s="19">
        <v>2.99</v>
      </c>
      <c r="K1368" s="19" t="s">
        <v>33</v>
      </c>
      <c r="L1368" s="19" t="s">
        <v>59</v>
      </c>
      <c r="M1368" s="15" t="s">
        <v>1361</v>
      </c>
      <c r="N1368" s="15" t="s">
        <v>36</v>
      </c>
      <c r="O1368" s="15" t="s">
        <v>170</v>
      </c>
      <c r="P1368" s="20" t="s">
        <v>358</v>
      </c>
      <c r="Q1368" s="15" t="s">
        <v>83</v>
      </c>
      <c r="R1368" s="4"/>
      <c r="S1368" s="4"/>
    </row>
    <row r="1369" spans="1:19" ht="21" customHeight="1" x14ac:dyDescent="0.25">
      <c r="A1369" s="14">
        <f>DATE(2012,12,31)-336</f>
        <v>40938</v>
      </c>
      <c r="B1369" s="15" t="s">
        <v>1185</v>
      </c>
      <c r="C1369" s="15" t="s">
        <v>85</v>
      </c>
      <c r="D1369" s="16">
        <v>31</v>
      </c>
      <c r="E1369" s="17">
        <v>684.5</v>
      </c>
      <c r="F1369" s="16">
        <v>0.02</v>
      </c>
      <c r="G1369" s="15" t="s">
        <v>32</v>
      </c>
      <c r="H1369" s="18">
        <v>-27.99</v>
      </c>
      <c r="I1369" s="19">
        <v>21.38</v>
      </c>
      <c r="J1369" s="19">
        <v>8.99</v>
      </c>
      <c r="K1369" s="19" t="s">
        <v>33</v>
      </c>
      <c r="L1369" s="19" t="s">
        <v>128</v>
      </c>
      <c r="M1369" s="15" t="s">
        <v>129</v>
      </c>
      <c r="N1369" s="15" t="s">
        <v>36</v>
      </c>
      <c r="O1369" s="15" t="s">
        <v>77</v>
      </c>
      <c r="P1369" s="20" t="s">
        <v>948</v>
      </c>
      <c r="Q1369" s="15" t="s">
        <v>49</v>
      </c>
      <c r="R1369" s="4"/>
      <c r="S1369" s="4"/>
    </row>
    <row r="1370" spans="1:19" ht="21" customHeight="1" x14ac:dyDescent="0.25">
      <c r="A1370" s="14">
        <f>DATE(2012,12,31)-1177</f>
        <v>40097</v>
      </c>
      <c r="B1370" s="15" t="s">
        <v>1470</v>
      </c>
      <c r="C1370" s="15" t="s">
        <v>51</v>
      </c>
      <c r="D1370" s="16">
        <v>25</v>
      </c>
      <c r="E1370" s="17">
        <v>158.83000000000001</v>
      </c>
      <c r="F1370" s="16">
        <v>0</v>
      </c>
      <c r="G1370" s="15" t="s">
        <v>32</v>
      </c>
      <c r="H1370" s="18">
        <v>-56.97</v>
      </c>
      <c r="I1370" s="19">
        <v>5.77</v>
      </c>
      <c r="J1370" s="19">
        <v>5.92</v>
      </c>
      <c r="K1370" s="19" t="s">
        <v>33</v>
      </c>
      <c r="L1370" s="19" t="s">
        <v>93</v>
      </c>
      <c r="M1370" s="15" t="s">
        <v>94</v>
      </c>
      <c r="N1370" s="15" t="s">
        <v>54</v>
      </c>
      <c r="O1370" s="15" t="s">
        <v>55</v>
      </c>
      <c r="P1370" s="20" t="s">
        <v>1076</v>
      </c>
      <c r="Q1370" s="15" t="s">
        <v>57</v>
      </c>
      <c r="R1370" s="4"/>
      <c r="S1370" s="4"/>
    </row>
    <row r="1371" spans="1:19" ht="21" customHeight="1" x14ac:dyDescent="0.25">
      <c r="A1371" s="14">
        <f>DATE(2012,12,31)-503</f>
        <v>40771</v>
      </c>
      <c r="B1371" s="15" t="s">
        <v>616</v>
      </c>
      <c r="C1371" s="15" t="s">
        <v>51</v>
      </c>
      <c r="D1371" s="16">
        <v>32</v>
      </c>
      <c r="E1371" s="17">
        <v>4655.07</v>
      </c>
      <c r="F1371" s="16">
        <v>0</v>
      </c>
      <c r="G1371" s="15" t="s">
        <v>58</v>
      </c>
      <c r="H1371" s="18">
        <v>-270.63</v>
      </c>
      <c r="I1371" s="19">
        <v>140.97999999999999</v>
      </c>
      <c r="J1371" s="19">
        <v>53.48</v>
      </c>
      <c r="K1371" s="19" t="s">
        <v>33</v>
      </c>
      <c r="L1371" s="19" t="s">
        <v>93</v>
      </c>
      <c r="M1371" s="15" t="s">
        <v>94</v>
      </c>
      <c r="N1371" s="15" t="s">
        <v>54</v>
      </c>
      <c r="O1371" s="15" t="s">
        <v>134</v>
      </c>
      <c r="P1371" s="20" t="s">
        <v>1035</v>
      </c>
      <c r="Q1371" s="15" t="s">
        <v>63</v>
      </c>
      <c r="R1371" s="4"/>
      <c r="S1371" s="4"/>
    </row>
    <row r="1372" spans="1:19" ht="21" customHeight="1" x14ac:dyDescent="0.25">
      <c r="A1372" s="14">
        <f>DATE(2012,12,31)-503</f>
        <v>40771</v>
      </c>
      <c r="B1372" s="15" t="s">
        <v>616</v>
      </c>
      <c r="C1372" s="15" t="s">
        <v>51</v>
      </c>
      <c r="D1372" s="16">
        <v>44</v>
      </c>
      <c r="E1372" s="17">
        <v>10087.6</v>
      </c>
      <c r="F1372" s="16">
        <v>0.01</v>
      </c>
      <c r="G1372" s="15" t="s">
        <v>32</v>
      </c>
      <c r="H1372" s="18">
        <v>3387.35</v>
      </c>
      <c r="I1372" s="19">
        <v>218.08</v>
      </c>
      <c r="J1372" s="19">
        <v>18.059999999999999</v>
      </c>
      <c r="K1372" s="19" t="s">
        <v>97</v>
      </c>
      <c r="L1372" s="19" t="s">
        <v>283</v>
      </c>
      <c r="M1372" s="15" t="s">
        <v>1471</v>
      </c>
      <c r="N1372" s="15" t="s">
        <v>54</v>
      </c>
      <c r="O1372" s="15" t="s">
        <v>252</v>
      </c>
      <c r="P1372" s="20" t="s">
        <v>253</v>
      </c>
      <c r="Q1372" s="15" t="s">
        <v>39</v>
      </c>
      <c r="R1372" s="4"/>
      <c r="S1372" s="4"/>
    </row>
    <row r="1373" spans="1:19" ht="21" customHeight="1" x14ac:dyDescent="0.25">
      <c r="A1373" s="14">
        <f>DATE(2012,12,31)-503</f>
        <v>40771</v>
      </c>
      <c r="B1373" s="15" t="s">
        <v>616</v>
      </c>
      <c r="C1373" s="15" t="s">
        <v>51</v>
      </c>
      <c r="D1373" s="16">
        <v>34</v>
      </c>
      <c r="E1373" s="17">
        <v>1608.08</v>
      </c>
      <c r="F1373" s="16">
        <v>0.09</v>
      </c>
      <c r="G1373" s="15" t="s">
        <v>101</v>
      </c>
      <c r="H1373" s="18">
        <v>-82.16</v>
      </c>
      <c r="I1373" s="19">
        <v>50.98</v>
      </c>
      <c r="J1373" s="19">
        <v>6.5</v>
      </c>
      <c r="K1373" s="19" t="s">
        <v>97</v>
      </c>
      <c r="L1373" s="19" t="s">
        <v>98</v>
      </c>
      <c r="M1373" s="15" t="s">
        <v>1162</v>
      </c>
      <c r="N1373" s="15" t="s">
        <v>64</v>
      </c>
      <c r="O1373" s="15" t="s">
        <v>72</v>
      </c>
      <c r="P1373" s="20" t="s">
        <v>1422</v>
      </c>
      <c r="Q1373" s="15" t="s">
        <v>83</v>
      </c>
      <c r="R1373" s="4"/>
      <c r="S1373" s="4"/>
    </row>
    <row r="1374" spans="1:19" ht="21" customHeight="1" x14ac:dyDescent="0.25">
      <c r="A1374" s="14">
        <f>DATE(2012,12,31)-244</f>
        <v>41030</v>
      </c>
      <c r="B1374" s="15" t="s">
        <v>623</v>
      </c>
      <c r="C1374" s="15" t="s">
        <v>51</v>
      </c>
      <c r="D1374" s="16">
        <v>47</v>
      </c>
      <c r="E1374" s="17">
        <v>7890.89</v>
      </c>
      <c r="F1374" s="16">
        <v>0.01</v>
      </c>
      <c r="G1374" s="15" t="s">
        <v>101</v>
      </c>
      <c r="H1374" s="18">
        <v>-771.09</v>
      </c>
      <c r="I1374" s="19">
        <v>167.27</v>
      </c>
      <c r="J1374" s="19">
        <v>35</v>
      </c>
      <c r="K1374" s="19" t="s">
        <v>124</v>
      </c>
      <c r="L1374" s="19" t="s">
        <v>160</v>
      </c>
      <c r="M1374" s="15" t="s">
        <v>888</v>
      </c>
      <c r="N1374" s="15" t="s">
        <v>36</v>
      </c>
      <c r="O1374" s="15" t="s">
        <v>37</v>
      </c>
      <c r="P1374" s="20" t="s">
        <v>1472</v>
      </c>
      <c r="Q1374" s="15" t="s">
        <v>39</v>
      </c>
      <c r="R1374" s="4"/>
      <c r="S1374" s="4"/>
    </row>
    <row r="1375" spans="1:19" ht="21" customHeight="1" x14ac:dyDescent="0.25">
      <c r="A1375" s="14">
        <f>DATE(2012,12,31)-1291</f>
        <v>39983</v>
      </c>
      <c r="B1375" s="15" t="s">
        <v>318</v>
      </c>
      <c r="C1375" s="15" t="s">
        <v>43</v>
      </c>
      <c r="D1375" s="16">
        <v>36</v>
      </c>
      <c r="E1375" s="17">
        <v>10122.719999999999</v>
      </c>
      <c r="F1375" s="16">
        <v>7.0000000000000007E-2</v>
      </c>
      <c r="G1375" s="15" t="s">
        <v>58</v>
      </c>
      <c r="H1375" s="18">
        <v>-381.16</v>
      </c>
      <c r="I1375" s="19">
        <v>280.98</v>
      </c>
      <c r="J1375" s="19">
        <v>57</v>
      </c>
      <c r="K1375" s="19" t="s">
        <v>124</v>
      </c>
      <c r="L1375" s="19" t="s">
        <v>160</v>
      </c>
      <c r="M1375" s="15" t="s">
        <v>888</v>
      </c>
      <c r="N1375" s="15" t="s">
        <v>54</v>
      </c>
      <c r="O1375" s="15" t="s">
        <v>252</v>
      </c>
      <c r="P1375" s="20" t="s">
        <v>1220</v>
      </c>
      <c r="Q1375" s="15" t="s">
        <v>181</v>
      </c>
      <c r="R1375" s="4"/>
      <c r="S1375" s="4"/>
    </row>
    <row r="1376" spans="1:19" ht="21" customHeight="1" x14ac:dyDescent="0.25">
      <c r="A1376" s="14">
        <f>DATE(2012,12,31)-1291</f>
        <v>39983</v>
      </c>
      <c r="B1376" s="15" t="s">
        <v>318</v>
      </c>
      <c r="C1376" s="15" t="s">
        <v>43</v>
      </c>
      <c r="D1376" s="16">
        <v>39</v>
      </c>
      <c r="E1376" s="17">
        <v>203.6</v>
      </c>
      <c r="F1376" s="16">
        <v>0</v>
      </c>
      <c r="G1376" s="15" t="s">
        <v>32</v>
      </c>
      <c r="H1376" s="18">
        <v>-166.44</v>
      </c>
      <c r="I1376" s="19">
        <v>4.9800000000000004</v>
      </c>
      <c r="J1376" s="19">
        <v>7.44</v>
      </c>
      <c r="K1376" s="19" t="s">
        <v>124</v>
      </c>
      <c r="L1376" s="19" t="s">
        <v>493</v>
      </c>
      <c r="M1376" s="15" t="s">
        <v>1289</v>
      </c>
      <c r="N1376" s="15" t="s">
        <v>36</v>
      </c>
      <c r="O1376" s="15" t="s">
        <v>117</v>
      </c>
      <c r="P1376" s="20" t="s">
        <v>266</v>
      </c>
      <c r="Q1376" s="15" t="s">
        <v>83</v>
      </c>
      <c r="R1376" s="4"/>
      <c r="S1376" s="4"/>
    </row>
    <row r="1377" spans="1:19" ht="21" customHeight="1" x14ac:dyDescent="0.25">
      <c r="A1377" s="14">
        <f>DATE(2012,12,31)-1291</f>
        <v>39983</v>
      </c>
      <c r="B1377" s="15" t="s">
        <v>318</v>
      </c>
      <c r="C1377" s="15" t="s">
        <v>43</v>
      </c>
      <c r="D1377" s="16">
        <v>30</v>
      </c>
      <c r="E1377" s="17">
        <v>115.81</v>
      </c>
      <c r="F1377" s="16">
        <v>0.1</v>
      </c>
      <c r="G1377" s="15" t="s">
        <v>32</v>
      </c>
      <c r="H1377" s="18">
        <v>22.06</v>
      </c>
      <c r="I1377" s="19">
        <v>3.98</v>
      </c>
      <c r="J1377" s="19">
        <v>0.83</v>
      </c>
      <c r="K1377" s="19" t="s">
        <v>124</v>
      </c>
      <c r="L1377" s="19" t="s">
        <v>160</v>
      </c>
      <c r="M1377" s="15" t="s">
        <v>888</v>
      </c>
      <c r="N1377" s="15" t="s">
        <v>36</v>
      </c>
      <c r="O1377" s="15" t="s">
        <v>77</v>
      </c>
      <c r="P1377" s="20" t="s">
        <v>1473</v>
      </c>
      <c r="Q1377" s="15" t="s">
        <v>79</v>
      </c>
      <c r="R1377" s="4"/>
      <c r="S1377" s="4"/>
    </row>
    <row r="1378" spans="1:19" ht="21" customHeight="1" x14ac:dyDescent="0.25">
      <c r="A1378" s="14">
        <f>DATE(2012,12,31)-484</f>
        <v>40790</v>
      </c>
      <c r="B1378" s="15" t="s">
        <v>50</v>
      </c>
      <c r="C1378" s="15" t="s">
        <v>85</v>
      </c>
      <c r="D1378" s="16">
        <v>37</v>
      </c>
      <c r="E1378" s="17">
        <v>2912.0149999999999</v>
      </c>
      <c r="F1378" s="16">
        <v>0.09</v>
      </c>
      <c r="G1378" s="15" t="s">
        <v>32</v>
      </c>
      <c r="H1378" s="18">
        <v>698.16599999999994</v>
      </c>
      <c r="I1378" s="19">
        <v>95.99</v>
      </c>
      <c r="J1378" s="19">
        <v>4.9000000000000004</v>
      </c>
      <c r="K1378" s="19" t="s">
        <v>124</v>
      </c>
      <c r="L1378" s="19" t="s">
        <v>160</v>
      </c>
      <c r="M1378" s="15" t="s">
        <v>888</v>
      </c>
      <c r="N1378" s="15" t="s">
        <v>64</v>
      </c>
      <c r="O1378" s="15" t="s">
        <v>65</v>
      </c>
      <c r="P1378" s="20" t="s">
        <v>477</v>
      </c>
      <c r="Q1378" s="15" t="s">
        <v>83</v>
      </c>
      <c r="R1378" s="4"/>
      <c r="S1378" s="4"/>
    </row>
    <row r="1379" spans="1:19" ht="21" customHeight="1" x14ac:dyDescent="0.25">
      <c r="A1379" s="14">
        <f>DATE(2012,12,31)-762</f>
        <v>40512</v>
      </c>
      <c r="B1379" s="15" t="s">
        <v>1379</v>
      </c>
      <c r="C1379" s="15" t="s">
        <v>43</v>
      </c>
      <c r="D1379" s="16">
        <v>31</v>
      </c>
      <c r="E1379" s="17">
        <v>74.75</v>
      </c>
      <c r="F1379" s="16">
        <v>0.06</v>
      </c>
      <c r="G1379" s="15" t="s">
        <v>101</v>
      </c>
      <c r="H1379" s="18">
        <v>-115.43</v>
      </c>
      <c r="I1379" s="19">
        <v>2.2799999999999998</v>
      </c>
      <c r="J1379" s="19">
        <v>5.2</v>
      </c>
      <c r="K1379" s="19" t="s">
        <v>124</v>
      </c>
      <c r="L1379" s="19" t="s">
        <v>160</v>
      </c>
      <c r="M1379" s="15" t="s">
        <v>888</v>
      </c>
      <c r="N1379" s="15" t="s">
        <v>36</v>
      </c>
      <c r="O1379" s="15" t="s">
        <v>77</v>
      </c>
      <c r="P1379" s="20" t="s">
        <v>1474</v>
      </c>
      <c r="Q1379" s="15" t="s">
        <v>79</v>
      </c>
      <c r="R1379" s="4"/>
      <c r="S1379" s="4"/>
    </row>
    <row r="1380" spans="1:19" ht="21" customHeight="1" x14ac:dyDescent="0.25">
      <c r="A1380" s="14">
        <f>DATE(2012,12,31)-877</f>
        <v>40397</v>
      </c>
      <c r="B1380" s="15" t="s">
        <v>782</v>
      </c>
      <c r="C1380" s="15" t="s">
        <v>31</v>
      </c>
      <c r="D1380" s="16">
        <v>12</v>
      </c>
      <c r="E1380" s="17">
        <v>81.900000000000006</v>
      </c>
      <c r="F1380" s="16">
        <v>0.08</v>
      </c>
      <c r="G1380" s="15" t="s">
        <v>32</v>
      </c>
      <c r="H1380" s="18">
        <v>-23.52</v>
      </c>
      <c r="I1380" s="19">
        <v>6.68</v>
      </c>
      <c r="J1380" s="19">
        <v>5.2</v>
      </c>
      <c r="K1380" s="19" t="s">
        <v>124</v>
      </c>
      <c r="L1380" s="19" t="s">
        <v>160</v>
      </c>
      <c r="M1380" s="15" t="s">
        <v>888</v>
      </c>
      <c r="N1380" s="15" t="s">
        <v>36</v>
      </c>
      <c r="O1380" s="15" t="s">
        <v>117</v>
      </c>
      <c r="P1380" s="20" t="s">
        <v>1307</v>
      </c>
      <c r="Q1380" s="15" t="s">
        <v>83</v>
      </c>
      <c r="R1380" s="4"/>
      <c r="S1380" s="4"/>
    </row>
    <row r="1381" spans="1:19" ht="21" customHeight="1" x14ac:dyDescent="0.25">
      <c r="A1381" s="14">
        <f>DATE(2012,12,31)-1398</f>
        <v>39876</v>
      </c>
      <c r="B1381" s="15" t="s">
        <v>1475</v>
      </c>
      <c r="C1381" s="15" t="s">
        <v>31</v>
      </c>
      <c r="D1381" s="16">
        <v>1</v>
      </c>
      <c r="E1381" s="17">
        <v>12.18</v>
      </c>
      <c r="F1381" s="16">
        <v>0.06</v>
      </c>
      <c r="G1381" s="15" t="s">
        <v>32</v>
      </c>
      <c r="H1381" s="18">
        <v>-3.88</v>
      </c>
      <c r="I1381" s="19">
        <v>10.14</v>
      </c>
      <c r="J1381" s="19">
        <v>2.27</v>
      </c>
      <c r="K1381" s="19" t="s">
        <v>124</v>
      </c>
      <c r="L1381" s="19" t="s">
        <v>164</v>
      </c>
      <c r="M1381" s="15" t="s">
        <v>1228</v>
      </c>
      <c r="N1381" s="15" t="s">
        <v>36</v>
      </c>
      <c r="O1381" s="15" t="s">
        <v>117</v>
      </c>
      <c r="P1381" s="20" t="s">
        <v>1448</v>
      </c>
      <c r="Q1381" s="15" t="s">
        <v>79</v>
      </c>
      <c r="R1381" s="4"/>
      <c r="S1381" s="4"/>
    </row>
    <row r="1382" spans="1:19" ht="21" customHeight="1" x14ac:dyDescent="0.25">
      <c r="A1382" s="14">
        <f>DATE(2012,12,31)-1326</f>
        <v>39948</v>
      </c>
      <c r="B1382" s="15" t="s">
        <v>183</v>
      </c>
      <c r="C1382" s="15" t="s">
        <v>43</v>
      </c>
      <c r="D1382" s="16">
        <v>46</v>
      </c>
      <c r="E1382" s="17">
        <v>3197.45</v>
      </c>
      <c r="F1382" s="16">
        <v>0.08</v>
      </c>
      <c r="G1382" s="15" t="s">
        <v>32</v>
      </c>
      <c r="H1382" s="18">
        <v>97.159999999999926</v>
      </c>
      <c r="I1382" s="19">
        <v>73.98</v>
      </c>
      <c r="J1382" s="19">
        <v>4</v>
      </c>
      <c r="K1382" s="19" t="s">
        <v>124</v>
      </c>
      <c r="L1382" s="19" t="s">
        <v>168</v>
      </c>
      <c r="M1382" s="15" t="s">
        <v>169</v>
      </c>
      <c r="N1382" s="15" t="s">
        <v>64</v>
      </c>
      <c r="O1382" s="15" t="s">
        <v>72</v>
      </c>
      <c r="P1382" s="20" t="s">
        <v>566</v>
      </c>
      <c r="Q1382" s="15" t="s">
        <v>83</v>
      </c>
      <c r="R1382" s="4"/>
      <c r="S1382" s="4"/>
    </row>
    <row r="1383" spans="1:19" ht="21" customHeight="1" x14ac:dyDescent="0.25">
      <c r="A1383" s="14">
        <f>DATE(2012,12,31)-1326</f>
        <v>39948</v>
      </c>
      <c r="B1383" s="15" t="s">
        <v>183</v>
      </c>
      <c r="C1383" s="15" t="s">
        <v>43</v>
      </c>
      <c r="D1383" s="16">
        <v>21</v>
      </c>
      <c r="E1383" s="17">
        <v>78.569999999999993</v>
      </c>
      <c r="F1383" s="16">
        <v>0.02</v>
      </c>
      <c r="G1383" s="15" t="s">
        <v>32</v>
      </c>
      <c r="H1383" s="18">
        <v>-20.65</v>
      </c>
      <c r="I1383" s="19">
        <v>3.68</v>
      </c>
      <c r="J1383" s="19">
        <v>1.32</v>
      </c>
      <c r="K1383" s="19" t="s">
        <v>124</v>
      </c>
      <c r="L1383" s="19" t="s">
        <v>164</v>
      </c>
      <c r="M1383" s="15" t="s">
        <v>1228</v>
      </c>
      <c r="N1383" s="15" t="s">
        <v>36</v>
      </c>
      <c r="O1383" s="15" t="s">
        <v>47</v>
      </c>
      <c r="P1383" s="20" t="s">
        <v>1013</v>
      </c>
      <c r="Q1383" s="15" t="s">
        <v>79</v>
      </c>
      <c r="R1383" s="4"/>
      <c r="S1383" s="4"/>
    </row>
    <row r="1384" spans="1:19" ht="21" customHeight="1" x14ac:dyDescent="0.25">
      <c r="A1384" s="14">
        <f>DATE(2012,12,31)-1211</f>
        <v>40063</v>
      </c>
      <c r="B1384" s="15" t="s">
        <v>937</v>
      </c>
      <c r="C1384" s="15" t="s">
        <v>43</v>
      </c>
      <c r="D1384" s="16">
        <v>16</v>
      </c>
      <c r="E1384" s="17">
        <v>95.9</v>
      </c>
      <c r="F1384" s="16">
        <v>7.0000000000000007E-2</v>
      </c>
      <c r="G1384" s="15" t="s">
        <v>32</v>
      </c>
      <c r="H1384" s="18">
        <v>19.57</v>
      </c>
      <c r="I1384" s="19">
        <v>6.08</v>
      </c>
      <c r="J1384" s="19">
        <v>0.91</v>
      </c>
      <c r="K1384" s="19" t="s">
        <v>124</v>
      </c>
      <c r="L1384" s="19" t="s">
        <v>158</v>
      </c>
      <c r="M1384" s="15" t="s">
        <v>158</v>
      </c>
      <c r="N1384" s="15" t="s">
        <v>36</v>
      </c>
      <c r="O1384" s="15" t="s">
        <v>77</v>
      </c>
      <c r="P1384" s="20" t="s">
        <v>1476</v>
      </c>
      <c r="Q1384" s="15" t="s">
        <v>79</v>
      </c>
      <c r="R1384" s="4"/>
      <c r="S1384" s="4"/>
    </row>
    <row r="1385" spans="1:19" ht="21" customHeight="1" x14ac:dyDescent="0.25">
      <c r="A1385" s="14">
        <f>DATE(2012,12,31)-1211</f>
        <v>40063</v>
      </c>
      <c r="B1385" s="15" t="s">
        <v>937</v>
      </c>
      <c r="C1385" s="15" t="s">
        <v>43</v>
      </c>
      <c r="D1385" s="16">
        <v>28</v>
      </c>
      <c r="E1385" s="17">
        <v>517.91</v>
      </c>
      <c r="F1385" s="16">
        <v>0.08</v>
      </c>
      <c r="G1385" s="15" t="s">
        <v>32</v>
      </c>
      <c r="H1385" s="18">
        <v>107.11</v>
      </c>
      <c r="I1385" s="19">
        <v>19.899999999999999</v>
      </c>
      <c r="J1385" s="19">
        <v>5.29</v>
      </c>
      <c r="K1385" s="19" t="s">
        <v>124</v>
      </c>
      <c r="L1385" s="19" t="s">
        <v>319</v>
      </c>
      <c r="M1385" s="15" t="s">
        <v>320</v>
      </c>
      <c r="N1385" s="15" t="s">
        <v>36</v>
      </c>
      <c r="O1385" s="15" t="s">
        <v>176</v>
      </c>
      <c r="P1385" s="20" t="s">
        <v>1477</v>
      </c>
      <c r="Q1385" s="15" t="s">
        <v>57</v>
      </c>
      <c r="R1385" s="4"/>
      <c r="S1385" s="4"/>
    </row>
    <row r="1386" spans="1:19" ht="21" customHeight="1" x14ac:dyDescent="0.25">
      <c r="A1386" s="14">
        <f>DATE(2012,12,31)-1211</f>
        <v>40063</v>
      </c>
      <c r="B1386" s="15" t="s">
        <v>937</v>
      </c>
      <c r="C1386" s="15" t="s">
        <v>43</v>
      </c>
      <c r="D1386" s="16">
        <v>46</v>
      </c>
      <c r="E1386" s="17">
        <v>162.28</v>
      </c>
      <c r="F1386" s="16">
        <v>0.02</v>
      </c>
      <c r="G1386" s="15" t="s">
        <v>32</v>
      </c>
      <c r="H1386" s="18">
        <v>-216.154</v>
      </c>
      <c r="I1386" s="19">
        <v>3.36</v>
      </c>
      <c r="J1386" s="19">
        <v>6.27</v>
      </c>
      <c r="K1386" s="19" t="s">
        <v>44</v>
      </c>
      <c r="L1386" s="19" t="s">
        <v>52</v>
      </c>
      <c r="M1386" s="15" t="s">
        <v>1300</v>
      </c>
      <c r="N1386" s="15" t="s">
        <v>36</v>
      </c>
      <c r="O1386" s="15" t="s">
        <v>170</v>
      </c>
      <c r="P1386" s="20" t="s">
        <v>652</v>
      </c>
      <c r="Q1386" s="15" t="s">
        <v>83</v>
      </c>
      <c r="R1386" s="4"/>
      <c r="S1386" s="4"/>
    </row>
    <row r="1387" spans="1:19" ht="21" customHeight="1" x14ac:dyDescent="0.25">
      <c r="A1387" s="14">
        <f>DATE(2012,12,31)-356</f>
        <v>40918</v>
      </c>
      <c r="B1387" s="15" t="s">
        <v>1478</v>
      </c>
      <c r="C1387" s="15" t="s">
        <v>51</v>
      </c>
      <c r="D1387" s="16">
        <v>31</v>
      </c>
      <c r="E1387" s="17">
        <v>162.58000000000001</v>
      </c>
      <c r="F1387" s="16">
        <v>0</v>
      </c>
      <c r="G1387" s="15" t="s">
        <v>32</v>
      </c>
      <c r="H1387" s="18">
        <v>-109.86</v>
      </c>
      <c r="I1387" s="19">
        <v>4.8899999999999997</v>
      </c>
      <c r="J1387" s="19">
        <v>4.93</v>
      </c>
      <c r="K1387" s="19" t="s">
        <v>44</v>
      </c>
      <c r="L1387" s="19" t="s">
        <v>52</v>
      </c>
      <c r="M1387" s="15" t="s">
        <v>1300</v>
      </c>
      <c r="N1387" s="15" t="s">
        <v>64</v>
      </c>
      <c r="O1387" s="15" t="s">
        <v>72</v>
      </c>
      <c r="P1387" s="20" t="s">
        <v>480</v>
      </c>
      <c r="Q1387" s="15" t="s">
        <v>49</v>
      </c>
      <c r="R1387" s="4"/>
      <c r="S1387" s="4"/>
    </row>
    <row r="1388" spans="1:19" ht="21" customHeight="1" x14ac:dyDescent="0.25">
      <c r="A1388" s="14">
        <f>DATE(2012,12,31)-356</f>
        <v>40918</v>
      </c>
      <c r="B1388" s="15" t="s">
        <v>1478</v>
      </c>
      <c r="C1388" s="15" t="s">
        <v>51</v>
      </c>
      <c r="D1388" s="16">
        <v>44</v>
      </c>
      <c r="E1388" s="17">
        <v>6815.23</v>
      </c>
      <c r="F1388" s="16">
        <v>0</v>
      </c>
      <c r="G1388" s="15" t="s">
        <v>58</v>
      </c>
      <c r="H1388" s="18">
        <v>-196.07</v>
      </c>
      <c r="I1388" s="19">
        <v>150.97999999999999</v>
      </c>
      <c r="J1388" s="19">
        <v>39.25</v>
      </c>
      <c r="K1388" s="19" t="s">
        <v>44</v>
      </c>
      <c r="L1388" s="19" t="s">
        <v>52</v>
      </c>
      <c r="M1388" s="15" t="s">
        <v>1300</v>
      </c>
      <c r="N1388" s="15" t="s">
        <v>54</v>
      </c>
      <c r="O1388" s="15" t="s">
        <v>61</v>
      </c>
      <c r="P1388" s="20" t="s">
        <v>941</v>
      </c>
      <c r="Q1388" s="15" t="s">
        <v>63</v>
      </c>
      <c r="R1388" s="4"/>
      <c r="S1388" s="4"/>
    </row>
    <row r="1389" spans="1:19" ht="21" customHeight="1" x14ac:dyDescent="0.25">
      <c r="A1389" s="14">
        <f>DATE(2012,12,31)-613</f>
        <v>40661</v>
      </c>
      <c r="B1389" s="15" t="s">
        <v>104</v>
      </c>
      <c r="C1389" s="15" t="s">
        <v>51</v>
      </c>
      <c r="D1389" s="16">
        <v>2</v>
      </c>
      <c r="E1389" s="17">
        <v>203.3</v>
      </c>
      <c r="F1389" s="16">
        <v>0.08</v>
      </c>
      <c r="G1389" s="15" t="s">
        <v>32</v>
      </c>
      <c r="H1389" s="18">
        <v>148.25</v>
      </c>
      <c r="I1389" s="19">
        <v>79.52</v>
      </c>
      <c r="J1389" s="19">
        <v>48.2</v>
      </c>
      <c r="K1389" s="19" t="s">
        <v>44</v>
      </c>
      <c r="L1389" s="19" t="s">
        <v>52</v>
      </c>
      <c r="M1389" s="15" t="s">
        <v>1300</v>
      </c>
      <c r="N1389" s="15" t="s">
        <v>54</v>
      </c>
      <c r="O1389" s="15" t="s">
        <v>55</v>
      </c>
      <c r="P1389" s="20" t="s">
        <v>909</v>
      </c>
      <c r="Q1389" s="15" t="s">
        <v>57</v>
      </c>
      <c r="R1389" s="4"/>
      <c r="S1389" s="4"/>
    </row>
    <row r="1390" spans="1:19" ht="21" customHeight="1" x14ac:dyDescent="0.25">
      <c r="A1390" s="14">
        <f>DATE(2012,12,31)-613</f>
        <v>40661</v>
      </c>
      <c r="B1390" s="15" t="s">
        <v>104</v>
      </c>
      <c r="C1390" s="15" t="s">
        <v>51</v>
      </c>
      <c r="D1390" s="16">
        <v>2</v>
      </c>
      <c r="E1390" s="17">
        <v>196.85149999999999</v>
      </c>
      <c r="F1390" s="16">
        <v>0.09</v>
      </c>
      <c r="G1390" s="15" t="s">
        <v>32</v>
      </c>
      <c r="H1390" s="18">
        <v>-606.59500000000003</v>
      </c>
      <c r="I1390" s="19">
        <v>125.99</v>
      </c>
      <c r="J1390" s="19">
        <v>5.99</v>
      </c>
      <c r="K1390" s="19" t="s">
        <v>44</v>
      </c>
      <c r="L1390" s="19" t="s">
        <v>52</v>
      </c>
      <c r="M1390" s="15" t="s">
        <v>1300</v>
      </c>
      <c r="N1390" s="15" t="s">
        <v>64</v>
      </c>
      <c r="O1390" s="15" t="s">
        <v>65</v>
      </c>
      <c r="P1390" s="20" t="s">
        <v>1005</v>
      </c>
      <c r="Q1390" s="15" t="s">
        <v>83</v>
      </c>
      <c r="R1390" s="4"/>
      <c r="S1390" s="4"/>
    </row>
    <row r="1391" spans="1:19" ht="21" customHeight="1" x14ac:dyDescent="0.25">
      <c r="A1391" s="14">
        <f>DATE(2012,12,31)-1053</f>
        <v>40221</v>
      </c>
      <c r="B1391" s="15" t="s">
        <v>474</v>
      </c>
      <c r="C1391" s="15" t="s">
        <v>31</v>
      </c>
      <c r="D1391" s="16">
        <v>20</v>
      </c>
      <c r="E1391" s="17">
        <v>637.04</v>
      </c>
      <c r="F1391" s="16">
        <v>0</v>
      </c>
      <c r="G1391" s="15" t="s">
        <v>32</v>
      </c>
      <c r="H1391" s="18">
        <v>-26.83</v>
      </c>
      <c r="I1391" s="19">
        <v>30.73</v>
      </c>
      <c r="J1391" s="19">
        <v>4</v>
      </c>
      <c r="K1391" s="19" t="s">
        <v>44</v>
      </c>
      <c r="L1391" s="19" t="s">
        <v>52</v>
      </c>
      <c r="M1391" s="15" t="s">
        <v>1300</v>
      </c>
      <c r="N1391" s="15" t="s">
        <v>64</v>
      </c>
      <c r="O1391" s="15" t="s">
        <v>72</v>
      </c>
      <c r="P1391" s="20" t="s">
        <v>971</v>
      </c>
      <c r="Q1391" s="15" t="s">
        <v>83</v>
      </c>
      <c r="R1391" s="4"/>
      <c r="S1391" s="4"/>
    </row>
    <row r="1392" spans="1:19" ht="21" customHeight="1" x14ac:dyDescent="0.25">
      <c r="A1392" s="14">
        <f>DATE(2012,12,31)-877</f>
        <v>40397</v>
      </c>
      <c r="B1392" s="15" t="s">
        <v>1479</v>
      </c>
      <c r="C1392" s="15" t="s">
        <v>43</v>
      </c>
      <c r="D1392" s="16">
        <v>49</v>
      </c>
      <c r="E1392" s="17">
        <v>1058.43</v>
      </c>
      <c r="F1392" s="16">
        <v>0.02</v>
      </c>
      <c r="G1392" s="15" t="s">
        <v>32</v>
      </c>
      <c r="H1392" s="18">
        <v>245</v>
      </c>
      <c r="I1392" s="19">
        <v>20.28</v>
      </c>
      <c r="J1392" s="19">
        <v>6.68</v>
      </c>
      <c r="K1392" s="19" t="s">
        <v>69</v>
      </c>
      <c r="L1392" s="19" t="s">
        <v>75</v>
      </c>
      <c r="M1392" s="15" t="s">
        <v>75</v>
      </c>
      <c r="N1392" s="15" t="s">
        <v>54</v>
      </c>
      <c r="O1392" s="15" t="s">
        <v>55</v>
      </c>
      <c r="P1392" s="20" t="s">
        <v>1143</v>
      </c>
      <c r="Q1392" s="15" t="s">
        <v>83</v>
      </c>
      <c r="R1392" s="4"/>
      <c r="S1392" s="4"/>
    </row>
    <row r="1393" spans="1:19" ht="21" customHeight="1" x14ac:dyDescent="0.25">
      <c r="A1393" s="14">
        <f>DATE(2012,12,31)-1057</f>
        <v>40217</v>
      </c>
      <c r="B1393" s="15" t="s">
        <v>950</v>
      </c>
      <c r="C1393" s="15" t="s">
        <v>85</v>
      </c>
      <c r="D1393" s="16">
        <v>39</v>
      </c>
      <c r="E1393" s="17">
        <v>147.88</v>
      </c>
      <c r="F1393" s="16">
        <v>0</v>
      </c>
      <c r="G1393" s="15" t="s">
        <v>32</v>
      </c>
      <c r="H1393" s="18">
        <v>-142.91049999999998</v>
      </c>
      <c r="I1393" s="19">
        <v>3.58</v>
      </c>
      <c r="J1393" s="19">
        <v>5.47</v>
      </c>
      <c r="K1393" s="19" t="s">
        <v>97</v>
      </c>
      <c r="L1393" s="19" t="s">
        <v>98</v>
      </c>
      <c r="M1393" s="15" t="s">
        <v>1162</v>
      </c>
      <c r="N1393" s="15" t="s">
        <v>36</v>
      </c>
      <c r="O1393" s="15" t="s">
        <v>170</v>
      </c>
      <c r="P1393" s="20" t="s">
        <v>297</v>
      </c>
      <c r="Q1393" s="15" t="s">
        <v>83</v>
      </c>
      <c r="R1393" s="4"/>
      <c r="S1393" s="4"/>
    </row>
    <row r="1394" spans="1:19" ht="21" customHeight="1" x14ac:dyDescent="0.25">
      <c r="A1394" s="14">
        <f>DATE(2012,12,31)-776</f>
        <v>40498</v>
      </c>
      <c r="B1394" s="15" t="s">
        <v>1480</v>
      </c>
      <c r="C1394" s="15" t="s">
        <v>85</v>
      </c>
      <c r="D1394" s="16">
        <v>6</v>
      </c>
      <c r="E1394" s="17">
        <v>64.37</v>
      </c>
      <c r="F1394" s="16">
        <v>7.0000000000000007E-2</v>
      </c>
      <c r="G1394" s="15" t="s">
        <v>101</v>
      </c>
      <c r="H1394" s="18">
        <v>-6.9574999999999996</v>
      </c>
      <c r="I1394" s="19">
        <v>8.85</v>
      </c>
      <c r="J1394" s="19">
        <v>5.6</v>
      </c>
      <c r="K1394" s="19" t="s">
        <v>124</v>
      </c>
      <c r="L1394" s="19" t="s">
        <v>158</v>
      </c>
      <c r="M1394" s="15" t="s">
        <v>158</v>
      </c>
      <c r="N1394" s="15" t="s">
        <v>36</v>
      </c>
      <c r="O1394" s="15" t="s">
        <v>170</v>
      </c>
      <c r="P1394" s="20" t="s">
        <v>1218</v>
      </c>
      <c r="Q1394" s="15" t="s">
        <v>83</v>
      </c>
      <c r="R1394" s="4"/>
      <c r="S1394" s="4"/>
    </row>
    <row r="1395" spans="1:19" ht="21" customHeight="1" x14ac:dyDescent="0.25">
      <c r="A1395" s="14">
        <f>DATE(2012,12,31)-776</f>
        <v>40498</v>
      </c>
      <c r="B1395" s="15" t="s">
        <v>1480</v>
      </c>
      <c r="C1395" s="15" t="s">
        <v>85</v>
      </c>
      <c r="D1395" s="16">
        <v>10</v>
      </c>
      <c r="E1395" s="17">
        <v>4588.55</v>
      </c>
      <c r="F1395" s="16">
        <v>0.01</v>
      </c>
      <c r="G1395" s="15" t="s">
        <v>32</v>
      </c>
      <c r="H1395" s="18">
        <v>-266.62400000000002</v>
      </c>
      <c r="I1395" s="19">
        <v>449.99</v>
      </c>
      <c r="J1395" s="19">
        <v>24.49</v>
      </c>
      <c r="K1395" s="19" t="s">
        <v>97</v>
      </c>
      <c r="L1395" s="19" t="s">
        <v>283</v>
      </c>
      <c r="M1395" s="15" t="s">
        <v>1471</v>
      </c>
      <c r="N1395" s="15" t="s">
        <v>64</v>
      </c>
      <c r="O1395" s="15" t="s">
        <v>460</v>
      </c>
      <c r="P1395" s="20" t="s">
        <v>511</v>
      </c>
      <c r="Q1395" s="15" t="s">
        <v>39</v>
      </c>
      <c r="R1395" s="4"/>
      <c r="S1395" s="4"/>
    </row>
    <row r="1396" spans="1:19" ht="21" customHeight="1" x14ac:dyDescent="0.25">
      <c r="A1396" s="14">
        <f>DATE(2012,12,31)-729</f>
        <v>40545</v>
      </c>
      <c r="B1396" s="15" t="s">
        <v>183</v>
      </c>
      <c r="C1396" s="15" t="s">
        <v>85</v>
      </c>
      <c r="D1396" s="16">
        <v>16</v>
      </c>
      <c r="E1396" s="17">
        <v>5403.75</v>
      </c>
      <c r="F1396" s="16">
        <v>0.08</v>
      </c>
      <c r="G1396" s="15" t="s">
        <v>58</v>
      </c>
      <c r="H1396" s="18">
        <v>103.83</v>
      </c>
      <c r="I1396" s="19">
        <v>355.98</v>
      </c>
      <c r="J1396" s="19">
        <v>58.92</v>
      </c>
      <c r="K1396" s="19" t="s">
        <v>69</v>
      </c>
      <c r="L1396" s="19" t="s">
        <v>70</v>
      </c>
      <c r="M1396" s="15" t="s">
        <v>1337</v>
      </c>
      <c r="N1396" s="15" t="s">
        <v>54</v>
      </c>
      <c r="O1396" s="15" t="s">
        <v>252</v>
      </c>
      <c r="P1396" s="20" t="s">
        <v>1466</v>
      </c>
      <c r="Q1396" s="15" t="s">
        <v>181</v>
      </c>
      <c r="R1396" s="4"/>
      <c r="S1396" s="4"/>
    </row>
    <row r="1397" spans="1:19" ht="21" customHeight="1" x14ac:dyDescent="0.25">
      <c r="A1397" s="14">
        <f>DATE(2012,12,31)-729</f>
        <v>40545</v>
      </c>
      <c r="B1397" s="15" t="s">
        <v>183</v>
      </c>
      <c r="C1397" s="15" t="s">
        <v>85</v>
      </c>
      <c r="D1397" s="16">
        <v>1</v>
      </c>
      <c r="E1397" s="17">
        <v>192.49</v>
      </c>
      <c r="F1397" s="16">
        <v>0.02</v>
      </c>
      <c r="G1397" s="15" t="s">
        <v>58</v>
      </c>
      <c r="H1397" s="18">
        <v>-98.3</v>
      </c>
      <c r="I1397" s="19">
        <v>160.97999999999999</v>
      </c>
      <c r="J1397" s="19">
        <v>30</v>
      </c>
      <c r="K1397" s="19" t="s">
        <v>44</v>
      </c>
      <c r="L1397" s="19" t="s">
        <v>89</v>
      </c>
      <c r="M1397" s="15" t="s">
        <v>1341</v>
      </c>
      <c r="N1397" s="15" t="s">
        <v>54</v>
      </c>
      <c r="O1397" s="15" t="s">
        <v>252</v>
      </c>
      <c r="P1397" s="20" t="s">
        <v>726</v>
      </c>
      <c r="Q1397" s="15" t="s">
        <v>181</v>
      </c>
      <c r="R1397" s="4"/>
      <c r="S1397" s="4"/>
    </row>
    <row r="1398" spans="1:19" ht="21" customHeight="1" x14ac:dyDescent="0.25">
      <c r="A1398" s="14">
        <f>DATE(2012,12,31)-729</f>
        <v>40545</v>
      </c>
      <c r="B1398" s="15" t="s">
        <v>183</v>
      </c>
      <c r="C1398" s="15" t="s">
        <v>85</v>
      </c>
      <c r="D1398" s="16">
        <v>24</v>
      </c>
      <c r="E1398" s="17">
        <v>6408.3</v>
      </c>
      <c r="F1398" s="16">
        <v>0.1</v>
      </c>
      <c r="G1398" s="15" t="s">
        <v>58</v>
      </c>
      <c r="H1398" s="18">
        <v>539.54</v>
      </c>
      <c r="I1398" s="19">
        <v>280.98</v>
      </c>
      <c r="J1398" s="19">
        <v>35.67</v>
      </c>
      <c r="K1398" s="19" t="s">
        <v>124</v>
      </c>
      <c r="L1398" s="19" t="s">
        <v>160</v>
      </c>
      <c r="M1398" s="15" t="s">
        <v>888</v>
      </c>
      <c r="N1398" s="15" t="s">
        <v>54</v>
      </c>
      <c r="O1398" s="15" t="s">
        <v>61</v>
      </c>
      <c r="P1398" s="20" t="s">
        <v>368</v>
      </c>
      <c r="Q1398" s="15" t="s">
        <v>63</v>
      </c>
      <c r="R1398" s="4"/>
      <c r="S1398" s="4"/>
    </row>
    <row r="1399" spans="1:19" ht="21" customHeight="1" x14ac:dyDescent="0.25">
      <c r="A1399" s="14">
        <f>DATE(2012,12,31)-1340</f>
        <v>39934</v>
      </c>
      <c r="B1399" s="15" t="s">
        <v>861</v>
      </c>
      <c r="C1399" s="15" t="s">
        <v>31</v>
      </c>
      <c r="D1399" s="16">
        <v>19</v>
      </c>
      <c r="E1399" s="17">
        <v>596.21</v>
      </c>
      <c r="F1399" s="16">
        <v>0.1</v>
      </c>
      <c r="G1399" s="15" t="s">
        <v>32</v>
      </c>
      <c r="H1399" s="18">
        <v>211.59</v>
      </c>
      <c r="I1399" s="19">
        <v>34.229999999999997</v>
      </c>
      <c r="J1399" s="19">
        <v>5.0199999999999996</v>
      </c>
      <c r="K1399" s="19" t="s">
        <v>44</v>
      </c>
      <c r="L1399" s="19" t="s">
        <v>52</v>
      </c>
      <c r="M1399" s="15" t="s">
        <v>1300</v>
      </c>
      <c r="N1399" s="15" t="s">
        <v>54</v>
      </c>
      <c r="O1399" s="15" t="s">
        <v>55</v>
      </c>
      <c r="P1399" s="20" t="s">
        <v>1481</v>
      </c>
      <c r="Q1399" s="15" t="s">
        <v>83</v>
      </c>
      <c r="R1399" s="4"/>
      <c r="S1399" s="4"/>
    </row>
    <row r="1400" spans="1:19" ht="21" customHeight="1" x14ac:dyDescent="0.25">
      <c r="A1400" s="14">
        <f>DATE(2012,12,31)-814</f>
        <v>40460</v>
      </c>
      <c r="B1400" s="15" t="s">
        <v>226</v>
      </c>
      <c r="C1400" s="15" t="s">
        <v>51</v>
      </c>
      <c r="D1400" s="16">
        <v>22</v>
      </c>
      <c r="E1400" s="17">
        <v>96.75</v>
      </c>
      <c r="F1400" s="16">
        <v>0.04</v>
      </c>
      <c r="G1400" s="15" t="s">
        <v>32</v>
      </c>
      <c r="H1400" s="18">
        <v>-72.91</v>
      </c>
      <c r="I1400" s="19">
        <v>4.24</v>
      </c>
      <c r="J1400" s="19">
        <v>5.41</v>
      </c>
      <c r="K1400" s="19" t="s">
        <v>44</v>
      </c>
      <c r="L1400" s="19" t="s">
        <v>52</v>
      </c>
      <c r="M1400" s="15" t="s">
        <v>1300</v>
      </c>
      <c r="N1400" s="15" t="s">
        <v>36</v>
      </c>
      <c r="O1400" s="15" t="s">
        <v>170</v>
      </c>
      <c r="P1400" s="20" t="s">
        <v>415</v>
      </c>
      <c r="Q1400" s="15" t="s">
        <v>83</v>
      </c>
      <c r="R1400" s="4"/>
      <c r="S1400" s="4"/>
    </row>
    <row r="1401" spans="1:19" ht="21" customHeight="1" x14ac:dyDescent="0.25">
      <c r="A1401" s="14">
        <f>DATE(2012,12,31)-1377</f>
        <v>39897</v>
      </c>
      <c r="B1401" s="15" t="s">
        <v>688</v>
      </c>
      <c r="C1401" s="15" t="s">
        <v>31</v>
      </c>
      <c r="D1401" s="16">
        <v>27</v>
      </c>
      <c r="E1401" s="17">
        <v>14357.85</v>
      </c>
      <c r="F1401" s="16">
        <v>0.02</v>
      </c>
      <c r="G1401" s="15" t="s">
        <v>58</v>
      </c>
      <c r="H1401" s="18">
        <v>3309.55</v>
      </c>
      <c r="I1401" s="19">
        <v>500.98</v>
      </c>
      <c r="J1401" s="19">
        <v>41.44</v>
      </c>
      <c r="K1401" s="19" t="s">
        <v>33</v>
      </c>
      <c r="L1401" s="19" t="s">
        <v>145</v>
      </c>
      <c r="M1401" s="15" t="s">
        <v>1397</v>
      </c>
      <c r="N1401" s="15" t="s">
        <v>54</v>
      </c>
      <c r="O1401" s="15" t="s">
        <v>134</v>
      </c>
      <c r="P1401" s="20" t="s">
        <v>907</v>
      </c>
      <c r="Q1401" s="15" t="s">
        <v>63</v>
      </c>
      <c r="R1401" s="4"/>
      <c r="S1401" s="4"/>
    </row>
    <row r="1402" spans="1:19" ht="21" customHeight="1" x14ac:dyDescent="0.25">
      <c r="A1402" s="14">
        <f>DATE(2012,12,31)-1133</f>
        <v>40141</v>
      </c>
      <c r="B1402" s="15" t="s">
        <v>1282</v>
      </c>
      <c r="C1402" s="15" t="s">
        <v>85</v>
      </c>
      <c r="D1402" s="16">
        <v>48</v>
      </c>
      <c r="E1402" s="17">
        <v>1210.02</v>
      </c>
      <c r="F1402" s="16">
        <v>0.06</v>
      </c>
      <c r="G1402" s="15" t="s">
        <v>58</v>
      </c>
      <c r="H1402" s="18">
        <v>-279.44</v>
      </c>
      <c r="I1402" s="19">
        <v>25.98</v>
      </c>
      <c r="J1402" s="19">
        <v>14.36</v>
      </c>
      <c r="K1402" s="19" t="s">
        <v>124</v>
      </c>
      <c r="L1402" s="19" t="s">
        <v>158</v>
      </c>
      <c r="M1402" s="15" t="s">
        <v>158</v>
      </c>
      <c r="N1402" s="15" t="s">
        <v>54</v>
      </c>
      <c r="O1402" s="15" t="s">
        <v>252</v>
      </c>
      <c r="P1402" s="20" t="s">
        <v>1431</v>
      </c>
      <c r="Q1402" s="15" t="s">
        <v>181</v>
      </c>
      <c r="R1402" s="4"/>
      <c r="S1402" s="4"/>
    </row>
    <row r="1403" spans="1:19" ht="21" customHeight="1" x14ac:dyDescent="0.25">
      <c r="A1403" s="14">
        <f>DATE(2012,12,31)-763</f>
        <v>40511</v>
      </c>
      <c r="B1403" s="15" t="s">
        <v>559</v>
      </c>
      <c r="C1403" s="15" t="s">
        <v>85</v>
      </c>
      <c r="D1403" s="16">
        <v>14</v>
      </c>
      <c r="E1403" s="17">
        <v>461.55</v>
      </c>
      <c r="F1403" s="16">
        <v>0.09</v>
      </c>
      <c r="G1403" s="15" t="s">
        <v>32</v>
      </c>
      <c r="H1403" s="18">
        <v>-12</v>
      </c>
      <c r="I1403" s="19">
        <v>33.979999999999997</v>
      </c>
      <c r="J1403" s="19">
        <v>19.989999999999998</v>
      </c>
      <c r="K1403" s="19" t="s">
        <v>69</v>
      </c>
      <c r="L1403" s="19" t="s">
        <v>215</v>
      </c>
      <c r="M1403" s="15" t="s">
        <v>1388</v>
      </c>
      <c r="N1403" s="15" t="s">
        <v>54</v>
      </c>
      <c r="O1403" s="15" t="s">
        <v>55</v>
      </c>
      <c r="P1403" s="20" t="s">
        <v>1238</v>
      </c>
      <c r="Q1403" s="15" t="s">
        <v>83</v>
      </c>
      <c r="R1403" s="4"/>
      <c r="S1403" s="4"/>
    </row>
    <row r="1404" spans="1:19" ht="21" customHeight="1" x14ac:dyDescent="0.25">
      <c r="A1404" s="14">
        <f>DATE(2012,12,31)-763</f>
        <v>40511</v>
      </c>
      <c r="B1404" s="15" t="s">
        <v>559</v>
      </c>
      <c r="C1404" s="15" t="s">
        <v>85</v>
      </c>
      <c r="D1404" s="16">
        <v>48</v>
      </c>
      <c r="E1404" s="17">
        <v>418.82</v>
      </c>
      <c r="F1404" s="16">
        <v>0.02</v>
      </c>
      <c r="G1404" s="15" t="s">
        <v>32</v>
      </c>
      <c r="H1404" s="18">
        <v>-60.213999999999999</v>
      </c>
      <c r="I1404" s="19">
        <v>8.6</v>
      </c>
      <c r="J1404" s="19">
        <v>6.19</v>
      </c>
      <c r="K1404" s="19" t="s">
        <v>44</v>
      </c>
      <c r="L1404" s="19" t="s">
        <v>89</v>
      </c>
      <c r="M1404" s="15" t="s">
        <v>1341</v>
      </c>
      <c r="N1404" s="15" t="s">
        <v>36</v>
      </c>
      <c r="O1404" s="15" t="s">
        <v>170</v>
      </c>
      <c r="P1404" s="20" t="s">
        <v>413</v>
      </c>
      <c r="Q1404" s="15" t="s">
        <v>83</v>
      </c>
      <c r="R1404" s="4"/>
      <c r="S1404" s="4"/>
    </row>
    <row r="1405" spans="1:19" ht="21" customHeight="1" x14ac:dyDescent="0.25">
      <c r="A1405" s="14">
        <f>DATE(2012,12,31)-557</f>
        <v>40717</v>
      </c>
      <c r="B1405" s="15" t="s">
        <v>767</v>
      </c>
      <c r="C1405" s="15" t="s">
        <v>43</v>
      </c>
      <c r="D1405" s="16">
        <v>10</v>
      </c>
      <c r="E1405" s="17">
        <v>767.34</v>
      </c>
      <c r="F1405" s="16">
        <v>0.04</v>
      </c>
      <c r="G1405" s="15" t="s">
        <v>32</v>
      </c>
      <c r="H1405" s="18">
        <v>-154.65</v>
      </c>
      <c r="I1405" s="19">
        <v>73.98</v>
      </c>
      <c r="J1405" s="19">
        <v>14.52</v>
      </c>
      <c r="K1405" s="19" t="s">
        <v>124</v>
      </c>
      <c r="L1405" s="19" t="s">
        <v>164</v>
      </c>
      <c r="M1405" s="15" t="s">
        <v>1228</v>
      </c>
      <c r="N1405" s="15" t="s">
        <v>64</v>
      </c>
      <c r="O1405" s="15" t="s">
        <v>72</v>
      </c>
      <c r="P1405" s="20" t="s">
        <v>842</v>
      </c>
      <c r="Q1405" s="15" t="s">
        <v>83</v>
      </c>
      <c r="R1405" s="4"/>
      <c r="S1405" s="4"/>
    </row>
    <row r="1406" spans="1:19" ht="21" customHeight="1" x14ac:dyDescent="0.25">
      <c r="A1406" s="14">
        <f>DATE(2012,12,31)-953</f>
        <v>40321</v>
      </c>
      <c r="B1406" s="15" t="s">
        <v>932</v>
      </c>
      <c r="C1406" s="15" t="s">
        <v>31</v>
      </c>
      <c r="D1406" s="16">
        <v>14</v>
      </c>
      <c r="E1406" s="17">
        <v>74.02</v>
      </c>
      <c r="F1406" s="16">
        <v>0.02</v>
      </c>
      <c r="G1406" s="15" t="s">
        <v>32</v>
      </c>
      <c r="H1406" s="18">
        <v>-2.91</v>
      </c>
      <c r="I1406" s="19">
        <v>5.08</v>
      </c>
      <c r="J1406" s="19">
        <v>3.63</v>
      </c>
      <c r="K1406" s="19" t="s">
        <v>124</v>
      </c>
      <c r="L1406" s="19" t="s">
        <v>319</v>
      </c>
      <c r="M1406" s="15" t="s">
        <v>320</v>
      </c>
      <c r="N1406" s="15" t="s">
        <v>54</v>
      </c>
      <c r="O1406" s="15" t="s">
        <v>55</v>
      </c>
      <c r="P1406" s="20" t="s">
        <v>1325</v>
      </c>
      <c r="Q1406" s="15" t="s">
        <v>79</v>
      </c>
      <c r="R1406" s="4"/>
      <c r="S1406" s="4"/>
    </row>
    <row r="1407" spans="1:19" ht="21" customHeight="1" x14ac:dyDescent="0.25">
      <c r="A1407" s="14">
        <f>DATE(2012,12,31)-953</f>
        <v>40321</v>
      </c>
      <c r="B1407" s="15" t="s">
        <v>932</v>
      </c>
      <c r="C1407" s="15" t="s">
        <v>31</v>
      </c>
      <c r="D1407" s="16">
        <v>22</v>
      </c>
      <c r="E1407" s="17">
        <v>1276.17</v>
      </c>
      <c r="F1407" s="16">
        <v>0</v>
      </c>
      <c r="G1407" s="15" t="s">
        <v>32</v>
      </c>
      <c r="H1407" s="18">
        <v>564.22</v>
      </c>
      <c r="I1407" s="19">
        <v>55.48</v>
      </c>
      <c r="J1407" s="19">
        <v>6.79</v>
      </c>
      <c r="K1407" s="19" t="s">
        <v>33</v>
      </c>
      <c r="L1407" s="19" t="s">
        <v>59</v>
      </c>
      <c r="M1407" s="15" t="s">
        <v>1361</v>
      </c>
      <c r="N1407" s="15" t="s">
        <v>36</v>
      </c>
      <c r="O1407" s="15" t="s">
        <v>117</v>
      </c>
      <c r="P1407" s="20" t="s">
        <v>1482</v>
      </c>
      <c r="Q1407" s="15" t="s">
        <v>83</v>
      </c>
      <c r="R1407" s="4"/>
      <c r="S1407" s="4"/>
    </row>
    <row r="1408" spans="1:19" ht="21" customHeight="1" x14ac:dyDescent="0.25">
      <c r="A1408" s="14">
        <f>DATE(2012,12,31)-683</f>
        <v>40591</v>
      </c>
      <c r="B1408" s="15" t="s">
        <v>1483</v>
      </c>
      <c r="C1408" s="15" t="s">
        <v>51</v>
      </c>
      <c r="D1408" s="16">
        <v>12</v>
      </c>
      <c r="E1408" s="17">
        <v>464.57</v>
      </c>
      <c r="F1408" s="16">
        <v>0.04</v>
      </c>
      <c r="G1408" s="15" t="s">
        <v>32</v>
      </c>
      <c r="H1408" s="18">
        <v>-79.180000000000007</v>
      </c>
      <c r="I1408" s="19">
        <v>39.979999999999997</v>
      </c>
      <c r="J1408" s="19">
        <v>4</v>
      </c>
      <c r="K1408" s="19" t="s">
        <v>33</v>
      </c>
      <c r="L1408" s="19" t="s">
        <v>59</v>
      </c>
      <c r="M1408" s="15" t="s">
        <v>1361</v>
      </c>
      <c r="N1408" s="15" t="s">
        <v>64</v>
      </c>
      <c r="O1408" s="15" t="s">
        <v>72</v>
      </c>
      <c r="P1408" s="20" t="s">
        <v>733</v>
      </c>
      <c r="Q1408" s="15" t="s">
        <v>83</v>
      </c>
      <c r="R1408" s="4"/>
      <c r="S1408" s="4"/>
    </row>
    <row r="1409" spans="1:19" ht="21" customHeight="1" x14ac:dyDescent="0.25">
      <c r="A1409" s="14">
        <f>DATE(2012,12,31)-750</f>
        <v>40524</v>
      </c>
      <c r="B1409" s="15" t="s">
        <v>1484</v>
      </c>
      <c r="C1409" s="15" t="s">
        <v>85</v>
      </c>
      <c r="D1409" s="16">
        <v>32</v>
      </c>
      <c r="E1409" s="17">
        <v>690.88</v>
      </c>
      <c r="F1409" s="16">
        <v>0.08</v>
      </c>
      <c r="G1409" s="15" t="s">
        <v>32</v>
      </c>
      <c r="H1409" s="18">
        <v>119.25</v>
      </c>
      <c r="I1409" s="19">
        <v>22.98</v>
      </c>
      <c r="J1409" s="19">
        <v>7.58</v>
      </c>
      <c r="K1409" s="19" t="s">
        <v>33</v>
      </c>
      <c r="L1409" s="19" t="s">
        <v>145</v>
      </c>
      <c r="M1409" s="15" t="s">
        <v>1397</v>
      </c>
      <c r="N1409" s="15" t="s">
        <v>54</v>
      </c>
      <c r="O1409" s="15" t="s">
        <v>55</v>
      </c>
      <c r="P1409" s="20" t="s">
        <v>579</v>
      </c>
      <c r="Q1409" s="15" t="s">
        <v>83</v>
      </c>
      <c r="R1409" s="4"/>
      <c r="S1409" s="4"/>
    </row>
    <row r="1410" spans="1:19" ht="21" customHeight="1" x14ac:dyDescent="0.25">
      <c r="A1410" s="14">
        <f>DATE(2012,12,31)-373</f>
        <v>40901</v>
      </c>
      <c r="B1410" s="15" t="s">
        <v>1485</v>
      </c>
      <c r="C1410" s="15" t="s">
        <v>51</v>
      </c>
      <c r="D1410" s="16">
        <v>12</v>
      </c>
      <c r="E1410" s="17">
        <v>28.41</v>
      </c>
      <c r="F1410" s="16">
        <v>7.0000000000000007E-2</v>
      </c>
      <c r="G1410" s="15" t="s">
        <v>32</v>
      </c>
      <c r="H1410" s="18">
        <v>-44.079499999999996</v>
      </c>
      <c r="I1410" s="19">
        <v>1.98</v>
      </c>
      <c r="J1410" s="19">
        <v>4.7699999999999996</v>
      </c>
      <c r="K1410" s="19" t="s">
        <v>33</v>
      </c>
      <c r="L1410" s="19" t="s">
        <v>145</v>
      </c>
      <c r="M1410" s="15" t="s">
        <v>1397</v>
      </c>
      <c r="N1410" s="15" t="s">
        <v>36</v>
      </c>
      <c r="O1410" s="15" t="s">
        <v>170</v>
      </c>
      <c r="P1410" s="20" t="s">
        <v>748</v>
      </c>
      <c r="Q1410" s="15" t="s">
        <v>83</v>
      </c>
      <c r="R1410" s="4"/>
      <c r="S1410" s="4"/>
    </row>
    <row r="1411" spans="1:19" ht="21" customHeight="1" x14ac:dyDescent="0.25">
      <c r="A1411" s="14">
        <f>DATE(2012,12,31)-687</f>
        <v>40587</v>
      </c>
      <c r="B1411" s="15" t="s">
        <v>1188</v>
      </c>
      <c r="C1411" s="15" t="s">
        <v>85</v>
      </c>
      <c r="D1411" s="16">
        <v>27</v>
      </c>
      <c r="E1411" s="17">
        <v>2645.88</v>
      </c>
      <c r="F1411" s="16">
        <v>0.06</v>
      </c>
      <c r="G1411" s="15" t="s">
        <v>58</v>
      </c>
      <c r="H1411" s="18">
        <v>-1231.98</v>
      </c>
      <c r="I1411" s="19">
        <v>100.98</v>
      </c>
      <c r="J1411" s="19">
        <v>57.38</v>
      </c>
      <c r="K1411" s="19" t="s">
        <v>33</v>
      </c>
      <c r="L1411" s="19" t="s">
        <v>59</v>
      </c>
      <c r="M1411" s="15" t="s">
        <v>1361</v>
      </c>
      <c r="N1411" s="15" t="s">
        <v>54</v>
      </c>
      <c r="O1411" s="15" t="s">
        <v>134</v>
      </c>
      <c r="P1411" s="20" t="s">
        <v>624</v>
      </c>
      <c r="Q1411" s="15" t="s">
        <v>63</v>
      </c>
      <c r="R1411" s="4"/>
      <c r="S1411" s="4"/>
    </row>
    <row r="1412" spans="1:19" ht="21" customHeight="1" x14ac:dyDescent="0.25">
      <c r="A1412" s="14">
        <f>DATE(2012,12,31)-687</f>
        <v>40587</v>
      </c>
      <c r="B1412" s="15" t="s">
        <v>1188</v>
      </c>
      <c r="C1412" s="15" t="s">
        <v>85</v>
      </c>
      <c r="D1412" s="16">
        <v>20</v>
      </c>
      <c r="E1412" s="17">
        <v>2573.29</v>
      </c>
      <c r="F1412" s="16">
        <v>0.04</v>
      </c>
      <c r="G1412" s="15" t="s">
        <v>58</v>
      </c>
      <c r="H1412" s="18">
        <v>-896.94</v>
      </c>
      <c r="I1412" s="19">
        <v>122.99</v>
      </c>
      <c r="J1412" s="19">
        <v>70.2</v>
      </c>
      <c r="K1412" s="19" t="s">
        <v>44</v>
      </c>
      <c r="L1412" s="19" t="s">
        <v>89</v>
      </c>
      <c r="M1412" s="15" t="s">
        <v>1341</v>
      </c>
      <c r="N1412" s="15" t="s">
        <v>54</v>
      </c>
      <c r="O1412" s="15" t="s">
        <v>252</v>
      </c>
      <c r="P1412" s="20" t="s">
        <v>819</v>
      </c>
      <c r="Q1412" s="15" t="s">
        <v>181</v>
      </c>
      <c r="R1412" s="4"/>
      <c r="S1412" s="4"/>
    </row>
    <row r="1413" spans="1:19" ht="21" customHeight="1" x14ac:dyDescent="0.25">
      <c r="A1413" s="14">
        <f>DATE(2012,12,31)-687</f>
        <v>40587</v>
      </c>
      <c r="B1413" s="15" t="s">
        <v>1188</v>
      </c>
      <c r="C1413" s="15" t="s">
        <v>85</v>
      </c>
      <c r="D1413" s="16">
        <v>23</v>
      </c>
      <c r="E1413" s="17">
        <v>127.17</v>
      </c>
      <c r="F1413" s="16">
        <v>0.1</v>
      </c>
      <c r="G1413" s="15" t="s">
        <v>32</v>
      </c>
      <c r="H1413" s="18">
        <v>-108.1345</v>
      </c>
      <c r="I1413" s="19">
        <v>5.53</v>
      </c>
      <c r="J1413" s="19">
        <v>6.98</v>
      </c>
      <c r="K1413" s="19" t="s">
        <v>44</v>
      </c>
      <c r="L1413" s="19" t="s">
        <v>89</v>
      </c>
      <c r="M1413" s="15" t="s">
        <v>1341</v>
      </c>
      <c r="N1413" s="15" t="s">
        <v>36</v>
      </c>
      <c r="O1413" s="15" t="s">
        <v>170</v>
      </c>
      <c r="P1413" s="20" t="s">
        <v>1486</v>
      </c>
      <c r="Q1413" s="15" t="s">
        <v>83</v>
      </c>
      <c r="R1413" s="4"/>
      <c r="S1413" s="4"/>
    </row>
    <row r="1414" spans="1:19" ht="21" customHeight="1" x14ac:dyDescent="0.25">
      <c r="A1414" s="14">
        <f>DATE(2012,12,31)-1086</f>
        <v>40188</v>
      </c>
      <c r="B1414" s="15" t="s">
        <v>779</v>
      </c>
      <c r="C1414" s="15" t="s">
        <v>85</v>
      </c>
      <c r="D1414" s="16">
        <v>21</v>
      </c>
      <c r="E1414" s="17">
        <v>111.66</v>
      </c>
      <c r="F1414" s="16">
        <v>0.06</v>
      </c>
      <c r="G1414" s="15" t="s">
        <v>32</v>
      </c>
      <c r="H1414" s="18">
        <v>-53.33</v>
      </c>
      <c r="I1414" s="19">
        <v>4.9800000000000004</v>
      </c>
      <c r="J1414" s="19">
        <v>5.49</v>
      </c>
      <c r="K1414" s="19" t="s">
        <v>44</v>
      </c>
      <c r="L1414" s="19" t="s">
        <v>89</v>
      </c>
      <c r="M1414" s="15" t="s">
        <v>1341</v>
      </c>
      <c r="N1414" s="15" t="s">
        <v>36</v>
      </c>
      <c r="O1414" s="15" t="s">
        <v>117</v>
      </c>
      <c r="P1414" s="20" t="s">
        <v>569</v>
      </c>
      <c r="Q1414" s="15" t="s">
        <v>83</v>
      </c>
      <c r="R1414" s="4"/>
      <c r="S1414" s="4"/>
    </row>
    <row r="1415" spans="1:19" ht="21" customHeight="1" x14ac:dyDescent="0.25">
      <c r="A1415" s="14">
        <f>DATE(2012,12,31)-1086</f>
        <v>40188</v>
      </c>
      <c r="B1415" s="15" t="s">
        <v>779</v>
      </c>
      <c r="C1415" s="15" t="s">
        <v>85</v>
      </c>
      <c r="D1415" s="16">
        <v>24</v>
      </c>
      <c r="E1415" s="17">
        <v>231.95</v>
      </c>
      <c r="F1415" s="16">
        <v>0.03</v>
      </c>
      <c r="G1415" s="15" t="s">
        <v>32</v>
      </c>
      <c r="H1415" s="18">
        <v>44.14</v>
      </c>
      <c r="I1415" s="19">
        <v>9.7799999999999994</v>
      </c>
      <c r="J1415" s="19">
        <v>1.99</v>
      </c>
      <c r="K1415" s="19" t="s">
        <v>33</v>
      </c>
      <c r="L1415" s="19" t="s">
        <v>93</v>
      </c>
      <c r="M1415" s="15" t="s">
        <v>94</v>
      </c>
      <c r="N1415" s="15" t="s">
        <v>64</v>
      </c>
      <c r="O1415" s="15" t="s">
        <v>72</v>
      </c>
      <c r="P1415" s="20" t="s">
        <v>1487</v>
      </c>
      <c r="Q1415" s="15" t="s">
        <v>49</v>
      </c>
      <c r="R1415" s="4"/>
      <c r="S1415" s="4"/>
    </row>
    <row r="1416" spans="1:19" ht="21" customHeight="1" x14ac:dyDescent="0.25">
      <c r="A1416" s="14">
        <f>DATE(2012,12,31)-1444</f>
        <v>39830</v>
      </c>
      <c r="B1416" s="15" t="s">
        <v>1488</v>
      </c>
      <c r="C1416" s="15" t="s">
        <v>85</v>
      </c>
      <c r="D1416" s="16">
        <v>3</v>
      </c>
      <c r="E1416" s="17">
        <v>299.08</v>
      </c>
      <c r="F1416" s="16">
        <v>0.03</v>
      </c>
      <c r="G1416" s="15" t="s">
        <v>32</v>
      </c>
      <c r="H1416" s="18">
        <v>-50.43</v>
      </c>
      <c r="I1416" s="19">
        <v>90.48</v>
      </c>
      <c r="J1416" s="19">
        <v>19.989999999999998</v>
      </c>
      <c r="K1416" s="19" t="s">
        <v>44</v>
      </c>
      <c r="L1416" s="19" t="s">
        <v>89</v>
      </c>
      <c r="M1416" s="15" t="s">
        <v>1341</v>
      </c>
      <c r="N1416" s="15" t="s">
        <v>36</v>
      </c>
      <c r="O1416" s="15" t="s">
        <v>189</v>
      </c>
      <c r="P1416" s="20" t="s">
        <v>963</v>
      </c>
      <c r="Q1416" s="15" t="s">
        <v>83</v>
      </c>
      <c r="R1416" s="4"/>
      <c r="S1416" s="4"/>
    </row>
    <row r="1417" spans="1:19" ht="21" customHeight="1" x14ac:dyDescent="0.25">
      <c r="A1417" s="14">
        <f>DATE(2012,12,31)-1444</f>
        <v>39830</v>
      </c>
      <c r="B1417" s="15" t="s">
        <v>1488</v>
      </c>
      <c r="C1417" s="15" t="s">
        <v>85</v>
      </c>
      <c r="D1417" s="16">
        <v>26</v>
      </c>
      <c r="E1417" s="17">
        <v>566.39</v>
      </c>
      <c r="F1417" s="16">
        <v>0.06</v>
      </c>
      <c r="G1417" s="15" t="s">
        <v>32</v>
      </c>
      <c r="H1417" s="18">
        <v>76.430000000000007</v>
      </c>
      <c r="I1417" s="19">
        <v>22.84</v>
      </c>
      <c r="J1417" s="19">
        <v>8.18</v>
      </c>
      <c r="K1417" s="19" t="s">
        <v>33</v>
      </c>
      <c r="L1417" s="19" t="s">
        <v>93</v>
      </c>
      <c r="M1417" s="15" t="s">
        <v>94</v>
      </c>
      <c r="N1417" s="15" t="s">
        <v>36</v>
      </c>
      <c r="O1417" s="15" t="s">
        <v>117</v>
      </c>
      <c r="P1417" s="20" t="s">
        <v>1489</v>
      </c>
      <c r="Q1417" s="15" t="s">
        <v>83</v>
      </c>
      <c r="R1417" s="4"/>
      <c r="S1417" s="4"/>
    </row>
    <row r="1418" spans="1:19" ht="21" customHeight="1" x14ac:dyDescent="0.25">
      <c r="A1418" s="14">
        <f>DATE(2012,12,31)-1364</f>
        <v>39910</v>
      </c>
      <c r="B1418" s="15" t="s">
        <v>474</v>
      </c>
      <c r="C1418" s="15" t="s">
        <v>85</v>
      </c>
      <c r="D1418" s="16">
        <v>36</v>
      </c>
      <c r="E1418" s="17">
        <v>2144.924</v>
      </c>
      <c r="F1418" s="16">
        <v>0</v>
      </c>
      <c r="G1418" s="15" t="s">
        <v>32</v>
      </c>
      <c r="H1418" s="18">
        <v>542.25</v>
      </c>
      <c r="I1418" s="19">
        <v>65.989999999999995</v>
      </c>
      <c r="J1418" s="19">
        <v>5.26</v>
      </c>
      <c r="K1418" s="19" t="s">
        <v>124</v>
      </c>
      <c r="L1418" s="19" t="s">
        <v>160</v>
      </c>
      <c r="M1418" s="15" t="s">
        <v>888</v>
      </c>
      <c r="N1418" s="15" t="s">
        <v>64</v>
      </c>
      <c r="O1418" s="15" t="s">
        <v>65</v>
      </c>
      <c r="P1418" s="20" t="s">
        <v>437</v>
      </c>
      <c r="Q1418" s="15" t="s">
        <v>83</v>
      </c>
      <c r="R1418" s="4"/>
      <c r="S1418" s="4"/>
    </row>
    <row r="1419" spans="1:19" ht="21" customHeight="1" x14ac:dyDescent="0.25">
      <c r="A1419" s="14">
        <f>DATE(2012,12,31)-476</f>
        <v>40798</v>
      </c>
      <c r="B1419" s="15" t="s">
        <v>1070</v>
      </c>
      <c r="C1419" s="15" t="s">
        <v>31</v>
      </c>
      <c r="D1419" s="16">
        <v>25</v>
      </c>
      <c r="E1419" s="17">
        <v>1907.71</v>
      </c>
      <c r="F1419" s="16">
        <v>0</v>
      </c>
      <c r="G1419" s="15" t="s">
        <v>58</v>
      </c>
      <c r="H1419" s="18">
        <v>32.549999999999997</v>
      </c>
      <c r="I1419" s="19">
        <v>70.98</v>
      </c>
      <c r="J1419" s="19">
        <v>26.74</v>
      </c>
      <c r="K1419" s="19" t="s">
        <v>44</v>
      </c>
      <c r="L1419" s="19" t="s">
        <v>52</v>
      </c>
      <c r="M1419" s="15" t="s">
        <v>1300</v>
      </c>
      <c r="N1419" s="15" t="s">
        <v>54</v>
      </c>
      <c r="O1419" s="15" t="s">
        <v>134</v>
      </c>
      <c r="P1419" s="20" t="s">
        <v>1236</v>
      </c>
      <c r="Q1419" s="15" t="s">
        <v>63</v>
      </c>
      <c r="R1419" s="4"/>
      <c r="S1419" s="4"/>
    </row>
    <row r="1420" spans="1:19" ht="21" customHeight="1" x14ac:dyDescent="0.25">
      <c r="A1420" s="14">
        <f>DATE(2012,12,31)-1273</f>
        <v>40001</v>
      </c>
      <c r="B1420" s="15" t="s">
        <v>1402</v>
      </c>
      <c r="C1420" s="15" t="s">
        <v>31</v>
      </c>
      <c r="D1420" s="16">
        <v>12</v>
      </c>
      <c r="E1420" s="17">
        <v>65.89</v>
      </c>
      <c r="F1420" s="16">
        <v>0.03</v>
      </c>
      <c r="G1420" s="15" t="s">
        <v>32</v>
      </c>
      <c r="H1420" s="18">
        <v>20.6</v>
      </c>
      <c r="I1420" s="19">
        <v>5.08</v>
      </c>
      <c r="J1420" s="19">
        <v>2.0299999999999998</v>
      </c>
      <c r="K1420" s="19" t="s">
        <v>33</v>
      </c>
      <c r="L1420" s="19" t="s">
        <v>145</v>
      </c>
      <c r="M1420" s="15" t="s">
        <v>1397</v>
      </c>
      <c r="N1420" s="15" t="s">
        <v>54</v>
      </c>
      <c r="O1420" s="15" t="s">
        <v>55</v>
      </c>
      <c r="P1420" s="20" t="s">
        <v>1126</v>
      </c>
      <c r="Q1420" s="15" t="s">
        <v>79</v>
      </c>
      <c r="R1420" s="4"/>
      <c r="S1420" s="4"/>
    </row>
    <row r="1421" spans="1:19" ht="21" customHeight="1" x14ac:dyDescent="0.25">
      <c r="A1421" s="14">
        <f>DATE(2012,12,31)-894</f>
        <v>40380</v>
      </c>
      <c r="B1421" s="15" t="s">
        <v>412</v>
      </c>
      <c r="C1421" s="15" t="s">
        <v>31</v>
      </c>
      <c r="D1421" s="16">
        <v>20</v>
      </c>
      <c r="E1421" s="17">
        <v>310.31</v>
      </c>
      <c r="F1421" s="16">
        <v>0.02</v>
      </c>
      <c r="G1421" s="15" t="s">
        <v>32</v>
      </c>
      <c r="H1421" s="18">
        <v>51.5</v>
      </c>
      <c r="I1421" s="19">
        <v>14.58</v>
      </c>
      <c r="J1421" s="19">
        <v>7.4</v>
      </c>
      <c r="K1421" s="19" t="s">
        <v>33</v>
      </c>
      <c r="L1421" s="19" t="s">
        <v>59</v>
      </c>
      <c r="M1421" s="15" t="s">
        <v>1361</v>
      </c>
      <c r="N1421" s="15" t="s">
        <v>54</v>
      </c>
      <c r="O1421" s="15" t="s">
        <v>55</v>
      </c>
      <c r="P1421" s="20" t="s">
        <v>352</v>
      </c>
      <c r="Q1421" s="15" t="s">
        <v>83</v>
      </c>
      <c r="R1421" s="4"/>
      <c r="S1421" s="4"/>
    </row>
    <row r="1422" spans="1:19" ht="21" customHeight="1" x14ac:dyDescent="0.25">
      <c r="A1422" s="14">
        <f>DATE(2012,12,31)-621</f>
        <v>40653</v>
      </c>
      <c r="B1422" s="15" t="s">
        <v>1311</v>
      </c>
      <c r="C1422" s="15" t="s">
        <v>51</v>
      </c>
      <c r="D1422" s="16">
        <v>40</v>
      </c>
      <c r="E1422" s="17">
        <v>5554.0360000000001</v>
      </c>
      <c r="F1422" s="16">
        <v>0.09</v>
      </c>
      <c r="G1422" s="15" t="s">
        <v>32</v>
      </c>
      <c r="H1422" s="18">
        <v>1153.836</v>
      </c>
      <c r="I1422" s="19">
        <v>175.99</v>
      </c>
      <c r="J1422" s="19">
        <v>8.99</v>
      </c>
      <c r="K1422" s="19" t="s">
        <v>33</v>
      </c>
      <c r="L1422" s="19" t="s">
        <v>59</v>
      </c>
      <c r="M1422" s="15" t="s">
        <v>1361</v>
      </c>
      <c r="N1422" s="15" t="s">
        <v>64</v>
      </c>
      <c r="O1422" s="15" t="s">
        <v>65</v>
      </c>
      <c r="P1422" s="20" t="s">
        <v>1490</v>
      </c>
      <c r="Q1422" s="15" t="s">
        <v>83</v>
      </c>
      <c r="R1422" s="4"/>
      <c r="S1422" s="4"/>
    </row>
    <row r="1423" spans="1:19" ht="21" customHeight="1" x14ac:dyDescent="0.25">
      <c r="A1423" s="14">
        <f>DATE(2012,12,31)-1136</f>
        <v>40138</v>
      </c>
      <c r="B1423" s="15" t="s">
        <v>1491</v>
      </c>
      <c r="C1423" s="15" t="s">
        <v>31</v>
      </c>
      <c r="D1423" s="16">
        <v>23</v>
      </c>
      <c r="E1423" s="17">
        <v>496.15</v>
      </c>
      <c r="F1423" s="16">
        <v>0.03</v>
      </c>
      <c r="G1423" s="15" t="s">
        <v>32</v>
      </c>
      <c r="H1423" s="18">
        <v>213.37549999999999</v>
      </c>
      <c r="I1423" s="19">
        <v>20.98</v>
      </c>
      <c r="J1423" s="19">
        <v>1.49</v>
      </c>
      <c r="K1423" s="19" t="s">
        <v>33</v>
      </c>
      <c r="L1423" s="19" t="s">
        <v>145</v>
      </c>
      <c r="M1423" s="15" t="s">
        <v>1397</v>
      </c>
      <c r="N1423" s="15" t="s">
        <v>36</v>
      </c>
      <c r="O1423" s="15" t="s">
        <v>170</v>
      </c>
      <c r="P1423" s="20" t="s">
        <v>1102</v>
      </c>
      <c r="Q1423" s="15" t="s">
        <v>83</v>
      </c>
      <c r="R1423" s="4"/>
      <c r="S1423" s="4"/>
    </row>
    <row r="1424" spans="1:19" ht="21" customHeight="1" x14ac:dyDescent="0.25">
      <c r="A1424" s="14">
        <f>DATE(2012,12,31)-1425</f>
        <v>39849</v>
      </c>
      <c r="B1424" s="15" t="s">
        <v>794</v>
      </c>
      <c r="C1424" s="15" t="s">
        <v>31</v>
      </c>
      <c r="D1424" s="16">
        <v>48</v>
      </c>
      <c r="E1424" s="17">
        <v>139.86000000000001</v>
      </c>
      <c r="F1424" s="16">
        <v>7.0000000000000007E-2</v>
      </c>
      <c r="G1424" s="15" t="s">
        <v>32</v>
      </c>
      <c r="H1424" s="18">
        <v>9.59</v>
      </c>
      <c r="I1424" s="19">
        <v>2.88</v>
      </c>
      <c r="J1424" s="19">
        <v>1.01</v>
      </c>
      <c r="K1424" s="19" t="s">
        <v>69</v>
      </c>
      <c r="L1424" s="19" t="s">
        <v>75</v>
      </c>
      <c r="M1424" s="15" t="s">
        <v>75</v>
      </c>
      <c r="N1424" s="15" t="s">
        <v>36</v>
      </c>
      <c r="O1424" s="15" t="s">
        <v>77</v>
      </c>
      <c r="P1424" s="20" t="s">
        <v>1461</v>
      </c>
      <c r="Q1424" s="15" t="s">
        <v>79</v>
      </c>
      <c r="R1424" s="4"/>
      <c r="S1424" s="4"/>
    </row>
    <row r="1425" spans="1:19" ht="21" customHeight="1" x14ac:dyDescent="0.25">
      <c r="A1425" s="14">
        <f>DATE(2012,12,31)-1425</f>
        <v>39849</v>
      </c>
      <c r="B1425" s="15" t="s">
        <v>794</v>
      </c>
      <c r="C1425" s="15" t="s">
        <v>31</v>
      </c>
      <c r="D1425" s="16">
        <v>6</v>
      </c>
      <c r="E1425" s="17">
        <v>926.58500000000004</v>
      </c>
      <c r="F1425" s="16">
        <v>0.1</v>
      </c>
      <c r="G1425" s="15" t="s">
        <v>32</v>
      </c>
      <c r="H1425" s="18">
        <v>-655.42399999999998</v>
      </c>
      <c r="I1425" s="19">
        <v>195.99</v>
      </c>
      <c r="J1425" s="19">
        <v>3.99</v>
      </c>
      <c r="K1425" s="19" t="s">
        <v>69</v>
      </c>
      <c r="L1425" s="19" t="s">
        <v>75</v>
      </c>
      <c r="M1425" s="15" t="s">
        <v>75</v>
      </c>
      <c r="N1425" s="15" t="s">
        <v>64</v>
      </c>
      <c r="O1425" s="15" t="s">
        <v>65</v>
      </c>
      <c r="P1425" s="20" t="s">
        <v>248</v>
      </c>
      <c r="Q1425" s="15" t="s">
        <v>83</v>
      </c>
      <c r="R1425" s="4"/>
      <c r="S1425" s="4"/>
    </row>
    <row r="1426" spans="1:19" ht="21" customHeight="1" x14ac:dyDescent="0.25">
      <c r="A1426" s="14">
        <f>DATE(2012,12,31)-536</f>
        <v>40738</v>
      </c>
      <c r="B1426" s="15" t="s">
        <v>559</v>
      </c>
      <c r="C1426" s="15" t="s">
        <v>43</v>
      </c>
      <c r="D1426" s="16">
        <v>9</v>
      </c>
      <c r="E1426" s="17">
        <v>799.98</v>
      </c>
      <c r="F1426" s="16">
        <v>0.04</v>
      </c>
      <c r="G1426" s="15" t="s">
        <v>58</v>
      </c>
      <c r="H1426" s="18">
        <v>15.36</v>
      </c>
      <c r="I1426" s="19">
        <v>90.97</v>
      </c>
      <c r="J1426" s="19">
        <v>14</v>
      </c>
      <c r="K1426" s="19" t="s">
        <v>69</v>
      </c>
      <c r="L1426" s="19" t="s">
        <v>70</v>
      </c>
      <c r="M1426" s="15" t="s">
        <v>1337</v>
      </c>
      <c r="N1426" s="15" t="s">
        <v>64</v>
      </c>
      <c r="O1426" s="15" t="s">
        <v>122</v>
      </c>
      <c r="P1426" s="20" t="s">
        <v>843</v>
      </c>
      <c r="Q1426" s="15" t="s">
        <v>181</v>
      </c>
      <c r="R1426" s="4"/>
      <c r="S1426" s="4"/>
    </row>
    <row r="1427" spans="1:19" ht="21" customHeight="1" x14ac:dyDescent="0.25">
      <c r="A1427" s="14">
        <f>DATE(2012,12,31)-536</f>
        <v>40738</v>
      </c>
      <c r="B1427" s="15" t="s">
        <v>559</v>
      </c>
      <c r="C1427" s="15" t="s">
        <v>43</v>
      </c>
      <c r="D1427" s="16">
        <v>7</v>
      </c>
      <c r="E1427" s="17">
        <v>363.57</v>
      </c>
      <c r="F1427" s="16">
        <v>0.02</v>
      </c>
      <c r="G1427" s="15" t="s">
        <v>58</v>
      </c>
      <c r="H1427" s="18">
        <v>33.988949999999996</v>
      </c>
      <c r="I1427" s="19">
        <v>44.43</v>
      </c>
      <c r="J1427" s="19">
        <v>46.59</v>
      </c>
      <c r="K1427" s="19" t="s">
        <v>69</v>
      </c>
      <c r="L1427" s="19" t="s">
        <v>70</v>
      </c>
      <c r="M1427" s="15" t="s">
        <v>1337</v>
      </c>
      <c r="N1427" s="15" t="s">
        <v>54</v>
      </c>
      <c r="O1427" s="15" t="s">
        <v>61</v>
      </c>
      <c r="P1427" s="20" t="s">
        <v>1314</v>
      </c>
      <c r="Q1427" s="15" t="s">
        <v>63</v>
      </c>
      <c r="R1427" s="4"/>
      <c r="S1427" s="4"/>
    </row>
    <row r="1428" spans="1:19" ht="21" customHeight="1" x14ac:dyDescent="0.25">
      <c r="A1428" s="14">
        <f>DATE(2012,12,31)-447</f>
        <v>40827</v>
      </c>
      <c r="B1428" s="15" t="s">
        <v>770</v>
      </c>
      <c r="C1428" s="15" t="s">
        <v>31</v>
      </c>
      <c r="D1428" s="16">
        <v>49</v>
      </c>
      <c r="E1428" s="17">
        <v>9752.25</v>
      </c>
      <c r="F1428" s="16">
        <v>0.09</v>
      </c>
      <c r="G1428" s="15" t="s">
        <v>32</v>
      </c>
      <c r="H1428" s="18">
        <v>3066.17</v>
      </c>
      <c r="I1428" s="19">
        <v>209.84</v>
      </c>
      <c r="J1428" s="19">
        <v>21.21</v>
      </c>
      <c r="K1428" s="19" t="s">
        <v>69</v>
      </c>
      <c r="L1428" s="19" t="s">
        <v>70</v>
      </c>
      <c r="M1428" s="15" t="s">
        <v>1492</v>
      </c>
      <c r="N1428" s="15" t="s">
        <v>54</v>
      </c>
      <c r="O1428" s="15" t="s">
        <v>55</v>
      </c>
      <c r="P1428" s="20" t="s">
        <v>1034</v>
      </c>
      <c r="Q1428" s="15" t="s">
        <v>39</v>
      </c>
      <c r="R1428" s="4"/>
      <c r="S1428" s="4"/>
    </row>
    <row r="1429" spans="1:19" ht="21" customHeight="1" x14ac:dyDescent="0.25">
      <c r="A1429" s="14">
        <f>DATE(2012,12,31)-558</f>
        <v>40716</v>
      </c>
      <c r="B1429" s="15" t="s">
        <v>562</v>
      </c>
      <c r="C1429" s="15" t="s">
        <v>51</v>
      </c>
      <c r="D1429" s="16">
        <v>24</v>
      </c>
      <c r="E1429" s="17">
        <v>7547.14</v>
      </c>
      <c r="F1429" s="16">
        <v>0.03</v>
      </c>
      <c r="G1429" s="15" t="s">
        <v>32</v>
      </c>
      <c r="H1429" s="18">
        <v>2080.48</v>
      </c>
      <c r="I1429" s="19">
        <v>320.98</v>
      </c>
      <c r="J1429" s="19">
        <v>24.49</v>
      </c>
      <c r="K1429" s="19" t="s">
        <v>69</v>
      </c>
      <c r="L1429" s="19" t="s">
        <v>70</v>
      </c>
      <c r="M1429" s="15" t="s">
        <v>1492</v>
      </c>
      <c r="N1429" s="15" t="s">
        <v>54</v>
      </c>
      <c r="O1429" s="15" t="s">
        <v>252</v>
      </c>
      <c r="P1429" s="20" t="s">
        <v>1493</v>
      </c>
      <c r="Q1429" s="15" t="s">
        <v>39</v>
      </c>
      <c r="R1429" s="4"/>
      <c r="S1429" s="4"/>
    </row>
    <row r="1430" spans="1:19" ht="21" customHeight="1" x14ac:dyDescent="0.25">
      <c r="A1430" s="14">
        <f>DATE(2012,12,31)-558</f>
        <v>40716</v>
      </c>
      <c r="B1430" s="15" t="s">
        <v>562</v>
      </c>
      <c r="C1430" s="15" t="s">
        <v>51</v>
      </c>
      <c r="D1430" s="16">
        <v>2</v>
      </c>
      <c r="E1430" s="17">
        <v>224.32</v>
      </c>
      <c r="F1430" s="16">
        <v>0.08</v>
      </c>
      <c r="G1430" s="15" t="s">
        <v>32</v>
      </c>
      <c r="H1430" s="18">
        <v>-178.77</v>
      </c>
      <c r="I1430" s="19">
        <v>110.98</v>
      </c>
      <c r="J1430" s="19">
        <v>13.99</v>
      </c>
      <c r="K1430" s="19" t="s">
        <v>69</v>
      </c>
      <c r="L1430" s="19" t="s">
        <v>70</v>
      </c>
      <c r="M1430" s="15" t="s">
        <v>1492</v>
      </c>
      <c r="N1430" s="15" t="s">
        <v>54</v>
      </c>
      <c r="O1430" s="15" t="s">
        <v>55</v>
      </c>
      <c r="P1430" s="20" t="s">
        <v>395</v>
      </c>
      <c r="Q1430" s="15" t="s">
        <v>57</v>
      </c>
      <c r="R1430" s="4"/>
      <c r="S1430" s="4"/>
    </row>
    <row r="1431" spans="1:19" ht="21" customHeight="1" x14ac:dyDescent="0.25">
      <c r="A1431" s="14">
        <f>DATE(2012,12,31)-558</f>
        <v>40716</v>
      </c>
      <c r="B1431" s="15" t="s">
        <v>562</v>
      </c>
      <c r="C1431" s="15" t="s">
        <v>51</v>
      </c>
      <c r="D1431" s="16">
        <v>15</v>
      </c>
      <c r="E1431" s="17">
        <v>311.98</v>
      </c>
      <c r="F1431" s="16">
        <v>0.09</v>
      </c>
      <c r="G1431" s="15" t="s">
        <v>32</v>
      </c>
      <c r="H1431" s="18">
        <v>-9.7799999999999994</v>
      </c>
      <c r="I1431" s="19">
        <v>22.01</v>
      </c>
      <c r="J1431" s="19">
        <v>5.53</v>
      </c>
      <c r="K1431" s="19" t="s">
        <v>69</v>
      </c>
      <c r="L1431" s="19" t="s">
        <v>70</v>
      </c>
      <c r="M1431" s="15" t="s">
        <v>1492</v>
      </c>
      <c r="N1431" s="15" t="s">
        <v>36</v>
      </c>
      <c r="O1431" s="15" t="s">
        <v>77</v>
      </c>
      <c r="P1431" s="20" t="s">
        <v>709</v>
      </c>
      <c r="Q1431" s="15" t="s">
        <v>49</v>
      </c>
      <c r="R1431" s="4"/>
      <c r="S1431" s="4"/>
    </row>
    <row r="1432" spans="1:19" ht="21" customHeight="1" x14ac:dyDescent="0.25">
      <c r="A1432" s="14">
        <f>DATE(2012,12,31)-10</f>
        <v>41264</v>
      </c>
      <c r="B1432" s="15" t="s">
        <v>539</v>
      </c>
      <c r="C1432" s="15" t="s">
        <v>51</v>
      </c>
      <c r="D1432" s="16">
        <v>17</v>
      </c>
      <c r="E1432" s="17">
        <v>2312.96</v>
      </c>
      <c r="F1432" s="16">
        <v>0.09</v>
      </c>
      <c r="G1432" s="15" t="s">
        <v>58</v>
      </c>
      <c r="H1432" s="18">
        <v>43.030000000000086</v>
      </c>
      <c r="I1432" s="19">
        <v>145.44999999999999</v>
      </c>
      <c r="J1432" s="19">
        <v>17.850000000000001</v>
      </c>
      <c r="K1432" s="19" t="s">
        <v>69</v>
      </c>
      <c r="L1432" s="19" t="s">
        <v>70</v>
      </c>
      <c r="M1432" s="15" t="s">
        <v>1492</v>
      </c>
      <c r="N1432" s="15" t="s">
        <v>64</v>
      </c>
      <c r="O1432" s="15" t="s">
        <v>122</v>
      </c>
      <c r="P1432" s="20" t="s">
        <v>299</v>
      </c>
      <c r="Q1432" s="15" t="s">
        <v>181</v>
      </c>
      <c r="R1432" s="4"/>
      <c r="S1432" s="4"/>
    </row>
    <row r="1433" spans="1:19" ht="21" customHeight="1" x14ac:dyDescent="0.25">
      <c r="A1433" s="14">
        <f>DATE(2012,12,31)-405</f>
        <v>40869</v>
      </c>
      <c r="B1433" s="15" t="s">
        <v>1310</v>
      </c>
      <c r="C1433" s="15" t="s">
        <v>85</v>
      </c>
      <c r="D1433" s="16">
        <v>45</v>
      </c>
      <c r="E1433" s="17">
        <v>5181.08</v>
      </c>
      <c r="F1433" s="16">
        <v>0.01</v>
      </c>
      <c r="G1433" s="15" t="s">
        <v>58</v>
      </c>
      <c r="H1433" s="18">
        <v>-1623.6</v>
      </c>
      <c r="I1433" s="19">
        <v>114.98</v>
      </c>
      <c r="J1433" s="19">
        <v>58.72</v>
      </c>
      <c r="K1433" s="19" t="s">
        <v>111</v>
      </c>
      <c r="L1433" s="19" t="s">
        <v>442</v>
      </c>
      <c r="M1433" s="15" t="s">
        <v>443</v>
      </c>
      <c r="N1433" s="15" t="s">
        <v>54</v>
      </c>
      <c r="O1433" s="15" t="s">
        <v>134</v>
      </c>
      <c r="P1433" s="20" t="s">
        <v>1494</v>
      </c>
      <c r="Q1433" s="15" t="s">
        <v>63</v>
      </c>
      <c r="R1433" s="4"/>
      <c r="S1433" s="4"/>
    </row>
    <row r="1434" spans="1:19" ht="21" customHeight="1" x14ac:dyDescent="0.25">
      <c r="A1434" s="14">
        <f>DATE(2012,12,31)-405</f>
        <v>40869</v>
      </c>
      <c r="B1434" s="15" t="s">
        <v>1310</v>
      </c>
      <c r="C1434" s="15" t="s">
        <v>85</v>
      </c>
      <c r="D1434" s="16">
        <v>38</v>
      </c>
      <c r="E1434" s="17">
        <v>10567.45</v>
      </c>
      <c r="F1434" s="16">
        <v>0.1</v>
      </c>
      <c r="G1434" s="15" t="s">
        <v>32</v>
      </c>
      <c r="H1434" s="18">
        <v>2925.37</v>
      </c>
      <c r="I1434" s="19">
        <v>299.99</v>
      </c>
      <c r="J1434" s="19">
        <v>11.64</v>
      </c>
      <c r="K1434" s="19" t="s">
        <v>44</v>
      </c>
      <c r="L1434" s="19" t="s">
        <v>120</v>
      </c>
      <c r="M1434" s="15" t="s">
        <v>121</v>
      </c>
      <c r="N1434" s="15" t="s">
        <v>64</v>
      </c>
      <c r="O1434" s="15" t="s">
        <v>460</v>
      </c>
      <c r="P1434" s="20" t="s">
        <v>973</v>
      </c>
      <c r="Q1434" s="15" t="s">
        <v>39</v>
      </c>
      <c r="R1434" s="4"/>
      <c r="S1434" s="4"/>
    </row>
    <row r="1435" spans="1:19" ht="21" customHeight="1" x14ac:dyDescent="0.25">
      <c r="A1435" s="14">
        <f>DATE(2012,12,31)-405</f>
        <v>40869</v>
      </c>
      <c r="B1435" s="15" t="s">
        <v>1310</v>
      </c>
      <c r="C1435" s="15" t="s">
        <v>85</v>
      </c>
      <c r="D1435" s="16">
        <v>38</v>
      </c>
      <c r="E1435" s="17">
        <v>1679.04</v>
      </c>
      <c r="F1435" s="16">
        <v>0.01</v>
      </c>
      <c r="G1435" s="15" t="s">
        <v>32</v>
      </c>
      <c r="H1435" s="18">
        <v>324.47000000000003</v>
      </c>
      <c r="I1435" s="19">
        <v>40.97</v>
      </c>
      <c r="J1435" s="19">
        <v>14.45</v>
      </c>
      <c r="K1435" s="19" t="s">
        <v>44</v>
      </c>
      <c r="L1435" s="19" t="s">
        <v>45</v>
      </c>
      <c r="M1435" s="15" t="s">
        <v>1264</v>
      </c>
      <c r="N1435" s="15" t="s">
        <v>54</v>
      </c>
      <c r="O1435" s="15" t="s">
        <v>55</v>
      </c>
      <c r="P1435" s="20" t="s">
        <v>508</v>
      </c>
      <c r="Q1435" s="15" t="s">
        <v>39</v>
      </c>
      <c r="R1435" s="4"/>
      <c r="S1435" s="4"/>
    </row>
    <row r="1436" spans="1:19" ht="21" customHeight="1" x14ac:dyDescent="0.25">
      <c r="A1436" s="14">
        <f>DATE(2012,12,31)-405</f>
        <v>40869</v>
      </c>
      <c r="B1436" s="15" t="s">
        <v>1310</v>
      </c>
      <c r="C1436" s="15" t="s">
        <v>85</v>
      </c>
      <c r="D1436" s="16">
        <v>2</v>
      </c>
      <c r="E1436" s="17">
        <v>2055.9699999999998</v>
      </c>
      <c r="F1436" s="16">
        <v>0.05</v>
      </c>
      <c r="G1436" s="15" t="s">
        <v>101</v>
      </c>
      <c r="H1436" s="18">
        <v>-2342.0052000000001</v>
      </c>
      <c r="I1436" s="19">
        <v>999.99</v>
      </c>
      <c r="J1436" s="19">
        <v>13.99</v>
      </c>
      <c r="K1436" s="19" t="s">
        <v>44</v>
      </c>
      <c r="L1436" s="19" t="s">
        <v>89</v>
      </c>
      <c r="M1436" s="15" t="s">
        <v>1341</v>
      </c>
      <c r="N1436" s="15" t="s">
        <v>64</v>
      </c>
      <c r="O1436" s="15" t="s">
        <v>122</v>
      </c>
      <c r="P1436" s="20" t="s">
        <v>1495</v>
      </c>
      <c r="Q1436" s="15" t="s">
        <v>57</v>
      </c>
      <c r="R1436" s="4"/>
      <c r="S1436" s="4"/>
    </row>
    <row r="1437" spans="1:19" ht="21" customHeight="1" x14ac:dyDescent="0.25">
      <c r="A1437" s="14">
        <f>DATE(2012,12,31)-418</f>
        <v>40856</v>
      </c>
      <c r="B1437" s="15" t="s">
        <v>1256</v>
      </c>
      <c r="C1437" s="15" t="s">
        <v>31</v>
      </c>
      <c r="D1437" s="16">
        <v>4</v>
      </c>
      <c r="E1437" s="17">
        <v>27.34</v>
      </c>
      <c r="F1437" s="16">
        <v>0.06</v>
      </c>
      <c r="G1437" s="15" t="s">
        <v>32</v>
      </c>
      <c r="H1437" s="18">
        <v>-12.38</v>
      </c>
      <c r="I1437" s="19">
        <v>5.78</v>
      </c>
      <c r="J1437" s="19">
        <v>4.96</v>
      </c>
      <c r="K1437" s="19" t="s">
        <v>44</v>
      </c>
      <c r="L1437" s="19" t="s">
        <v>89</v>
      </c>
      <c r="M1437" s="15" t="s">
        <v>1341</v>
      </c>
      <c r="N1437" s="15" t="s">
        <v>36</v>
      </c>
      <c r="O1437" s="15" t="s">
        <v>117</v>
      </c>
      <c r="P1437" s="20" t="s">
        <v>636</v>
      </c>
      <c r="Q1437" s="15" t="s">
        <v>83</v>
      </c>
      <c r="R1437" s="4"/>
      <c r="S1437" s="4"/>
    </row>
    <row r="1438" spans="1:19" ht="21" customHeight="1" x14ac:dyDescent="0.25">
      <c r="A1438" s="14">
        <f>DATE(2012,12,31)-418</f>
        <v>40856</v>
      </c>
      <c r="B1438" s="15" t="s">
        <v>1256</v>
      </c>
      <c r="C1438" s="15" t="s">
        <v>31</v>
      </c>
      <c r="D1438" s="16">
        <v>23</v>
      </c>
      <c r="E1438" s="17">
        <v>683.68</v>
      </c>
      <c r="F1438" s="16">
        <v>0</v>
      </c>
      <c r="G1438" s="15" t="s">
        <v>32</v>
      </c>
      <c r="H1438" s="18">
        <v>-95.54</v>
      </c>
      <c r="I1438" s="19">
        <v>28.48</v>
      </c>
      <c r="J1438" s="19">
        <v>8.99</v>
      </c>
      <c r="K1438" s="19" t="s">
        <v>44</v>
      </c>
      <c r="L1438" s="19" t="s">
        <v>89</v>
      </c>
      <c r="M1438" s="15" t="s">
        <v>1341</v>
      </c>
      <c r="N1438" s="15" t="s">
        <v>64</v>
      </c>
      <c r="O1438" s="15" t="s">
        <v>72</v>
      </c>
      <c r="P1438" s="20" t="s">
        <v>1496</v>
      </c>
      <c r="Q1438" s="15" t="s">
        <v>49</v>
      </c>
      <c r="R1438" s="4"/>
      <c r="S1438" s="4"/>
    </row>
    <row r="1439" spans="1:19" ht="21" customHeight="1" x14ac:dyDescent="0.25">
      <c r="A1439" s="14">
        <f>DATE(2012,12,31)-1202</f>
        <v>40072</v>
      </c>
      <c r="B1439" s="15" t="s">
        <v>1497</v>
      </c>
      <c r="C1439" s="15" t="s">
        <v>51</v>
      </c>
      <c r="D1439" s="16">
        <v>10</v>
      </c>
      <c r="E1439" s="17">
        <v>156.15</v>
      </c>
      <c r="F1439" s="16">
        <v>0.08</v>
      </c>
      <c r="G1439" s="15" t="s">
        <v>101</v>
      </c>
      <c r="H1439" s="18">
        <v>-37.6</v>
      </c>
      <c r="I1439" s="19">
        <v>15.73</v>
      </c>
      <c r="J1439" s="19">
        <v>7.42</v>
      </c>
      <c r="K1439" s="19" t="s">
        <v>44</v>
      </c>
      <c r="L1439" s="19" t="s">
        <v>120</v>
      </c>
      <c r="M1439" s="15" t="s">
        <v>121</v>
      </c>
      <c r="N1439" s="15" t="s">
        <v>36</v>
      </c>
      <c r="O1439" s="15" t="s">
        <v>47</v>
      </c>
      <c r="P1439" s="20" t="s">
        <v>1498</v>
      </c>
      <c r="Q1439" s="15" t="s">
        <v>49</v>
      </c>
      <c r="R1439" s="4"/>
      <c r="S1439" s="4"/>
    </row>
    <row r="1440" spans="1:19" ht="21" customHeight="1" x14ac:dyDescent="0.25">
      <c r="A1440" s="14">
        <f>DATE(2012,12,31)-920</f>
        <v>40354</v>
      </c>
      <c r="B1440" s="15" t="s">
        <v>637</v>
      </c>
      <c r="C1440" s="15" t="s">
        <v>85</v>
      </c>
      <c r="D1440" s="16">
        <v>28</v>
      </c>
      <c r="E1440" s="17">
        <v>193.16</v>
      </c>
      <c r="F1440" s="16">
        <v>0.03</v>
      </c>
      <c r="G1440" s="15" t="s">
        <v>32</v>
      </c>
      <c r="H1440" s="18">
        <v>-71.73</v>
      </c>
      <c r="I1440" s="19">
        <v>6.48</v>
      </c>
      <c r="J1440" s="19">
        <v>6.6</v>
      </c>
      <c r="K1440" s="19" t="s">
        <v>44</v>
      </c>
      <c r="L1440" s="19" t="s">
        <v>89</v>
      </c>
      <c r="M1440" s="15" t="s">
        <v>1341</v>
      </c>
      <c r="N1440" s="15" t="s">
        <v>36</v>
      </c>
      <c r="O1440" s="15" t="s">
        <v>117</v>
      </c>
      <c r="P1440" s="20" t="s">
        <v>745</v>
      </c>
      <c r="Q1440" s="15" t="s">
        <v>83</v>
      </c>
      <c r="R1440" s="4"/>
      <c r="S1440" s="4"/>
    </row>
    <row r="1441" spans="1:19" ht="21" customHeight="1" x14ac:dyDescent="0.25">
      <c r="A1441" s="14">
        <f>DATE(2012,12,31)-361</f>
        <v>40913</v>
      </c>
      <c r="B1441" s="15" t="s">
        <v>183</v>
      </c>
      <c r="C1441" s="15" t="s">
        <v>31</v>
      </c>
      <c r="D1441" s="16">
        <v>13</v>
      </c>
      <c r="E1441" s="17">
        <v>2323.36</v>
      </c>
      <c r="F1441" s="16">
        <v>0.08</v>
      </c>
      <c r="G1441" s="15" t="s">
        <v>32</v>
      </c>
      <c r="H1441" s="18">
        <v>220.39</v>
      </c>
      <c r="I1441" s="19">
        <v>179.99</v>
      </c>
      <c r="J1441" s="19">
        <v>19.989999999999998</v>
      </c>
      <c r="K1441" s="19" t="s">
        <v>44</v>
      </c>
      <c r="L1441" s="19" t="s">
        <v>89</v>
      </c>
      <c r="M1441" s="15" t="s">
        <v>1341</v>
      </c>
      <c r="N1441" s="15" t="s">
        <v>64</v>
      </c>
      <c r="O1441" s="15" t="s">
        <v>72</v>
      </c>
      <c r="P1441" s="20" t="s">
        <v>763</v>
      </c>
      <c r="Q1441" s="15" t="s">
        <v>83</v>
      </c>
      <c r="R1441" s="4"/>
      <c r="S1441" s="4"/>
    </row>
    <row r="1442" spans="1:19" ht="21" customHeight="1" x14ac:dyDescent="0.25">
      <c r="A1442" s="14">
        <f>DATE(2012,12,31)-1104</f>
        <v>40170</v>
      </c>
      <c r="B1442" s="15" t="s">
        <v>1310</v>
      </c>
      <c r="C1442" s="15" t="s">
        <v>51</v>
      </c>
      <c r="D1442" s="16">
        <v>2</v>
      </c>
      <c r="E1442" s="17">
        <v>383.45</v>
      </c>
      <c r="F1442" s="16">
        <v>0.06</v>
      </c>
      <c r="G1442" s="15" t="s">
        <v>58</v>
      </c>
      <c r="H1442" s="18">
        <v>-244.47</v>
      </c>
      <c r="I1442" s="19">
        <v>180.98</v>
      </c>
      <c r="J1442" s="19">
        <v>26.2</v>
      </c>
      <c r="K1442" s="19" t="s">
        <v>44</v>
      </c>
      <c r="L1442" s="19" t="s">
        <v>120</v>
      </c>
      <c r="M1442" s="15" t="s">
        <v>121</v>
      </c>
      <c r="N1442" s="15" t="s">
        <v>54</v>
      </c>
      <c r="O1442" s="15" t="s">
        <v>252</v>
      </c>
      <c r="P1442" s="20" t="s">
        <v>1499</v>
      </c>
      <c r="Q1442" s="15" t="s">
        <v>181</v>
      </c>
      <c r="R1442" s="4"/>
      <c r="S1442" s="4"/>
    </row>
    <row r="1443" spans="1:19" ht="21" customHeight="1" x14ac:dyDescent="0.25">
      <c r="A1443" s="14">
        <f>DATE(2012,12,31)-874</f>
        <v>40400</v>
      </c>
      <c r="B1443" s="15" t="s">
        <v>1500</v>
      </c>
      <c r="C1443" s="15" t="s">
        <v>85</v>
      </c>
      <c r="D1443" s="16">
        <v>38</v>
      </c>
      <c r="E1443" s="17">
        <v>871.25</v>
      </c>
      <c r="F1443" s="16">
        <v>0.06</v>
      </c>
      <c r="G1443" s="15" t="s">
        <v>32</v>
      </c>
      <c r="H1443" s="18">
        <v>-14.31</v>
      </c>
      <c r="I1443" s="19">
        <v>22.99</v>
      </c>
      <c r="J1443" s="19">
        <v>8.99</v>
      </c>
      <c r="K1443" s="19" t="s">
        <v>33</v>
      </c>
      <c r="L1443" s="19" t="s">
        <v>93</v>
      </c>
      <c r="M1443" s="15" t="s">
        <v>94</v>
      </c>
      <c r="N1443" s="15" t="s">
        <v>36</v>
      </c>
      <c r="O1443" s="15" t="s">
        <v>77</v>
      </c>
      <c r="P1443" s="20" t="s">
        <v>1501</v>
      </c>
      <c r="Q1443" s="15" t="s">
        <v>49</v>
      </c>
      <c r="R1443" s="4"/>
      <c r="S1443" s="4"/>
    </row>
    <row r="1444" spans="1:19" ht="21" customHeight="1" x14ac:dyDescent="0.25">
      <c r="A1444" s="14">
        <f>DATE(2012,12,31)-874</f>
        <v>40400</v>
      </c>
      <c r="B1444" s="15" t="s">
        <v>1500</v>
      </c>
      <c r="C1444" s="15" t="s">
        <v>85</v>
      </c>
      <c r="D1444" s="16">
        <v>46</v>
      </c>
      <c r="E1444" s="17">
        <v>537.87</v>
      </c>
      <c r="F1444" s="16">
        <v>0.05</v>
      </c>
      <c r="G1444" s="15" t="s">
        <v>32</v>
      </c>
      <c r="H1444" s="18">
        <v>-162.24</v>
      </c>
      <c r="I1444" s="19">
        <v>11.66</v>
      </c>
      <c r="J1444" s="19">
        <v>7.95</v>
      </c>
      <c r="K1444" s="19" t="s">
        <v>97</v>
      </c>
      <c r="L1444" s="19" t="s">
        <v>98</v>
      </c>
      <c r="M1444" s="15" t="s">
        <v>1162</v>
      </c>
      <c r="N1444" s="15" t="s">
        <v>36</v>
      </c>
      <c r="O1444" s="15" t="s">
        <v>77</v>
      </c>
      <c r="P1444" s="20" t="s">
        <v>1502</v>
      </c>
      <c r="Q1444" s="15" t="s">
        <v>49</v>
      </c>
      <c r="R1444" s="4"/>
      <c r="S1444" s="4"/>
    </row>
    <row r="1445" spans="1:19" ht="21" customHeight="1" x14ac:dyDescent="0.25">
      <c r="A1445" s="14">
        <f>DATE(2012,12,31)-729</f>
        <v>40545</v>
      </c>
      <c r="B1445" s="15" t="s">
        <v>406</v>
      </c>
      <c r="C1445" s="15" t="s">
        <v>31</v>
      </c>
      <c r="D1445" s="16">
        <v>24</v>
      </c>
      <c r="E1445" s="17">
        <v>138.75</v>
      </c>
      <c r="F1445" s="16">
        <v>0.09</v>
      </c>
      <c r="G1445" s="15" t="s">
        <v>32</v>
      </c>
      <c r="H1445" s="18">
        <v>49.81</v>
      </c>
      <c r="I1445" s="19">
        <v>5.84</v>
      </c>
      <c r="J1445" s="19">
        <v>1</v>
      </c>
      <c r="K1445" s="19" t="s">
        <v>97</v>
      </c>
      <c r="L1445" s="19" t="s">
        <v>195</v>
      </c>
      <c r="M1445" s="15" t="s">
        <v>1413</v>
      </c>
      <c r="N1445" s="15" t="s">
        <v>36</v>
      </c>
      <c r="O1445" s="15" t="s">
        <v>77</v>
      </c>
      <c r="P1445" s="20" t="s">
        <v>1148</v>
      </c>
      <c r="Q1445" s="15" t="s">
        <v>79</v>
      </c>
      <c r="R1445" s="4"/>
      <c r="S1445" s="4"/>
    </row>
    <row r="1446" spans="1:19" ht="21" customHeight="1" x14ac:dyDescent="0.25">
      <c r="A1446" s="14">
        <f>DATE(2012,12,31)-1231</f>
        <v>40043</v>
      </c>
      <c r="B1446" s="15" t="s">
        <v>1046</v>
      </c>
      <c r="C1446" s="15" t="s">
        <v>85</v>
      </c>
      <c r="D1446" s="16">
        <v>50</v>
      </c>
      <c r="E1446" s="17">
        <v>820.52</v>
      </c>
      <c r="F1446" s="16">
        <v>0.01</v>
      </c>
      <c r="G1446" s="15" t="s">
        <v>32</v>
      </c>
      <c r="H1446" s="18">
        <v>-191.22200000000001</v>
      </c>
      <c r="I1446" s="19">
        <v>15.99</v>
      </c>
      <c r="J1446" s="19">
        <v>13.18</v>
      </c>
      <c r="K1446" s="19" t="s">
        <v>97</v>
      </c>
      <c r="L1446" s="19" t="s">
        <v>132</v>
      </c>
      <c r="M1446" s="15" t="s">
        <v>133</v>
      </c>
      <c r="N1446" s="15" t="s">
        <v>36</v>
      </c>
      <c r="O1446" s="15" t="s">
        <v>170</v>
      </c>
      <c r="P1446" s="20" t="s">
        <v>479</v>
      </c>
      <c r="Q1446" s="15" t="s">
        <v>83</v>
      </c>
      <c r="R1446" s="4"/>
      <c r="S1446" s="4"/>
    </row>
    <row r="1447" spans="1:19" ht="21" customHeight="1" x14ac:dyDescent="0.25">
      <c r="A1447" s="14">
        <f>DATE(2012,12,31)-278</f>
        <v>40996</v>
      </c>
      <c r="B1447" s="15" t="s">
        <v>782</v>
      </c>
      <c r="C1447" s="15" t="s">
        <v>43</v>
      </c>
      <c r="D1447" s="16">
        <v>41</v>
      </c>
      <c r="E1447" s="17">
        <v>823.13</v>
      </c>
      <c r="F1447" s="16">
        <v>0</v>
      </c>
      <c r="G1447" s="15" t="s">
        <v>32</v>
      </c>
      <c r="H1447" s="18">
        <v>384.5145</v>
      </c>
      <c r="I1447" s="19">
        <v>18.940000000000001</v>
      </c>
      <c r="J1447" s="19">
        <v>1.49</v>
      </c>
      <c r="K1447" s="19" t="s">
        <v>97</v>
      </c>
      <c r="L1447" s="19" t="s">
        <v>98</v>
      </c>
      <c r="M1447" s="15" t="s">
        <v>1162</v>
      </c>
      <c r="N1447" s="15" t="s">
        <v>36</v>
      </c>
      <c r="O1447" s="15" t="s">
        <v>170</v>
      </c>
      <c r="P1447" s="20" t="s">
        <v>1246</v>
      </c>
      <c r="Q1447" s="15" t="s">
        <v>83</v>
      </c>
      <c r="R1447" s="4"/>
      <c r="S1447" s="4"/>
    </row>
    <row r="1448" spans="1:19" ht="21" customHeight="1" x14ac:dyDescent="0.25">
      <c r="A1448" s="14">
        <f>DATE(2012,12,31)-278</f>
        <v>40996</v>
      </c>
      <c r="B1448" s="15" t="s">
        <v>782</v>
      </c>
      <c r="C1448" s="15" t="s">
        <v>43</v>
      </c>
      <c r="D1448" s="16">
        <v>30</v>
      </c>
      <c r="E1448" s="17">
        <v>569.61</v>
      </c>
      <c r="F1448" s="16">
        <v>0.02</v>
      </c>
      <c r="G1448" s="15" t="s">
        <v>32</v>
      </c>
      <c r="H1448" s="18">
        <v>-48.44</v>
      </c>
      <c r="I1448" s="19">
        <v>17.98</v>
      </c>
      <c r="J1448" s="19">
        <v>4</v>
      </c>
      <c r="K1448" s="19" t="s">
        <v>97</v>
      </c>
      <c r="L1448" s="19" t="s">
        <v>132</v>
      </c>
      <c r="M1448" s="15" t="s">
        <v>133</v>
      </c>
      <c r="N1448" s="15" t="s">
        <v>64</v>
      </c>
      <c r="O1448" s="15" t="s">
        <v>72</v>
      </c>
      <c r="P1448" s="20" t="s">
        <v>1503</v>
      </c>
      <c r="Q1448" s="15" t="s">
        <v>83</v>
      </c>
      <c r="R1448" s="4"/>
      <c r="S1448" s="4"/>
    </row>
    <row r="1449" spans="1:19" ht="21" customHeight="1" x14ac:dyDescent="0.25">
      <c r="A1449" s="14">
        <f>DATE(2012,12,31)-278</f>
        <v>40996</v>
      </c>
      <c r="B1449" s="15" t="s">
        <v>782</v>
      </c>
      <c r="C1449" s="15" t="s">
        <v>43</v>
      </c>
      <c r="D1449" s="16">
        <v>27</v>
      </c>
      <c r="E1449" s="17">
        <v>75.06</v>
      </c>
      <c r="F1449" s="16">
        <v>0.09</v>
      </c>
      <c r="G1449" s="15" t="s">
        <v>32</v>
      </c>
      <c r="H1449" s="18">
        <v>26.13</v>
      </c>
      <c r="I1449" s="19">
        <v>2.89</v>
      </c>
      <c r="J1449" s="19">
        <v>0.5</v>
      </c>
      <c r="K1449" s="19" t="s">
        <v>124</v>
      </c>
      <c r="L1449" s="19" t="s">
        <v>160</v>
      </c>
      <c r="M1449" s="15" t="s">
        <v>888</v>
      </c>
      <c r="N1449" s="15" t="s">
        <v>36</v>
      </c>
      <c r="O1449" s="15" t="s">
        <v>114</v>
      </c>
      <c r="P1449" s="20" t="s">
        <v>115</v>
      </c>
      <c r="Q1449" s="15" t="s">
        <v>83</v>
      </c>
      <c r="R1449" s="4"/>
      <c r="S1449" s="4"/>
    </row>
    <row r="1450" spans="1:19" ht="21" customHeight="1" x14ac:dyDescent="0.25">
      <c r="A1450" s="14">
        <f>DATE(2012,12,31)-278</f>
        <v>40996</v>
      </c>
      <c r="B1450" s="15" t="s">
        <v>782</v>
      </c>
      <c r="C1450" s="15" t="s">
        <v>43</v>
      </c>
      <c r="D1450" s="16">
        <v>46</v>
      </c>
      <c r="E1450" s="17">
        <v>225.13</v>
      </c>
      <c r="F1450" s="16">
        <v>0.01</v>
      </c>
      <c r="G1450" s="15" t="s">
        <v>101</v>
      </c>
      <c r="H1450" s="18">
        <v>-205.75</v>
      </c>
      <c r="I1450" s="19">
        <v>4.4800000000000004</v>
      </c>
      <c r="J1450" s="19">
        <v>7.24</v>
      </c>
      <c r="K1450" s="19" t="s">
        <v>124</v>
      </c>
      <c r="L1450" s="19" t="s">
        <v>160</v>
      </c>
      <c r="M1450" s="15" t="s">
        <v>888</v>
      </c>
      <c r="N1450" s="15" t="s">
        <v>54</v>
      </c>
      <c r="O1450" s="15" t="s">
        <v>55</v>
      </c>
      <c r="P1450" s="20" t="s">
        <v>1504</v>
      </c>
      <c r="Q1450" s="15" t="s">
        <v>83</v>
      </c>
      <c r="R1450" s="4"/>
      <c r="S1450" s="4"/>
    </row>
    <row r="1451" spans="1:19" ht="21" customHeight="1" x14ac:dyDescent="0.25">
      <c r="A1451" s="14">
        <f>DATE(2012,12,31)-1239</f>
        <v>40035</v>
      </c>
      <c r="B1451" s="15" t="s">
        <v>1048</v>
      </c>
      <c r="C1451" s="15" t="s">
        <v>85</v>
      </c>
      <c r="D1451" s="16">
        <v>23</v>
      </c>
      <c r="E1451" s="17">
        <v>121.73</v>
      </c>
      <c r="F1451" s="16">
        <v>0.01</v>
      </c>
      <c r="G1451" s="15" t="s">
        <v>32</v>
      </c>
      <c r="H1451" s="18">
        <v>-69.069999999999993</v>
      </c>
      <c r="I1451" s="19">
        <v>4.9800000000000004</v>
      </c>
      <c r="J1451" s="19">
        <v>6.07</v>
      </c>
      <c r="K1451" s="19" t="s">
        <v>124</v>
      </c>
      <c r="L1451" s="19" t="s">
        <v>160</v>
      </c>
      <c r="M1451" s="15" t="s">
        <v>1505</v>
      </c>
      <c r="N1451" s="15" t="s">
        <v>36</v>
      </c>
      <c r="O1451" s="15" t="s">
        <v>117</v>
      </c>
      <c r="P1451" s="20" t="s">
        <v>1506</v>
      </c>
      <c r="Q1451" s="15" t="s">
        <v>83</v>
      </c>
      <c r="R1451" s="4"/>
      <c r="S1451" s="4"/>
    </row>
    <row r="1452" spans="1:19" ht="21" customHeight="1" x14ac:dyDescent="0.25">
      <c r="A1452" s="14">
        <f>DATE(2012,12,31)-6</f>
        <v>41268</v>
      </c>
      <c r="B1452" s="15" t="s">
        <v>861</v>
      </c>
      <c r="C1452" s="15" t="s">
        <v>51</v>
      </c>
      <c r="D1452" s="16">
        <v>27</v>
      </c>
      <c r="E1452" s="17">
        <v>114.86</v>
      </c>
      <c r="F1452" s="16">
        <v>7.0000000000000007E-2</v>
      </c>
      <c r="G1452" s="15" t="s">
        <v>32</v>
      </c>
      <c r="H1452" s="18">
        <v>16.21</v>
      </c>
      <c r="I1452" s="19">
        <v>4.28</v>
      </c>
      <c r="J1452" s="19">
        <v>0.94</v>
      </c>
      <c r="K1452" s="19" t="s">
        <v>124</v>
      </c>
      <c r="L1452" s="19" t="s">
        <v>160</v>
      </c>
      <c r="M1452" s="15" t="s">
        <v>1505</v>
      </c>
      <c r="N1452" s="15" t="s">
        <v>36</v>
      </c>
      <c r="O1452" s="15" t="s">
        <v>77</v>
      </c>
      <c r="P1452" s="20" t="s">
        <v>600</v>
      </c>
      <c r="Q1452" s="15" t="s">
        <v>79</v>
      </c>
      <c r="R1452" s="4"/>
      <c r="S1452" s="4"/>
    </row>
    <row r="1453" spans="1:19" ht="21" customHeight="1" x14ac:dyDescent="0.25">
      <c r="A1453" s="14">
        <f>DATE(2012,12,31)-241</f>
        <v>41033</v>
      </c>
      <c r="B1453" s="15" t="s">
        <v>311</v>
      </c>
      <c r="C1453" s="15" t="s">
        <v>31</v>
      </c>
      <c r="D1453" s="16">
        <v>40</v>
      </c>
      <c r="E1453" s="17">
        <v>1757.43</v>
      </c>
      <c r="F1453" s="16">
        <v>0.02</v>
      </c>
      <c r="G1453" s="15" t="s">
        <v>101</v>
      </c>
      <c r="H1453" s="18">
        <v>490.77</v>
      </c>
      <c r="I1453" s="19">
        <v>44.01</v>
      </c>
      <c r="J1453" s="19">
        <v>3.5</v>
      </c>
      <c r="K1453" s="19" t="s">
        <v>124</v>
      </c>
      <c r="L1453" s="19" t="s">
        <v>493</v>
      </c>
      <c r="M1453" s="15" t="s">
        <v>1289</v>
      </c>
      <c r="N1453" s="15" t="s">
        <v>36</v>
      </c>
      <c r="O1453" s="15" t="s">
        <v>176</v>
      </c>
      <c r="P1453" s="20" t="s">
        <v>1507</v>
      </c>
      <c r="Q1453" s="15" t="s">
        <v>83</v>
      </c>
      <c r="R1453" s="4"/>
      <c r="S1453" s="4"/>
    </row>
    <row r="1454" spans="1:19" ht="21" customHeight="1" x14ac:dyDescent="0.25">
      <c r="A1454" s="14">
        <f>DATE(2012,12,31)-241</f>
        <v>41033</v>
      </c>
      <c r="B1454" s="15" t="s">
        <v>311</v>
      </c>
      <c r="C1454" s="15" t="s">
        <v>31</v>
      </c>
      <c r="D1454" s="16">
        <v>8</v>
      </c>
      <c r="E1454" s="17">
        <v>137.26</v>
      </c>
      <c r="F1454" s="16">
        <v>0.03</v>
      </c>
      <c r="G1454" s="15" t="s">
        <v>32</v>
      </c>
      <c r="H1454" s="18">
        <v>-54.613500000000002</v>
      </c>
      <c r="I1454" s="19">
        <v>15.99</v>
      </c>
      <c r="J1454" s="19">
        <v>13.18</v>
      </c>
      <c r="K1454" s="19" t="s">
        <v>124</v>
      </c>
      <c r="L1454" s="19" t="s">
        <v>160</v>
      </c>
      <c r="M1454" s="15" t="s">
        <v>1505</v>
      </c>
      <c r="N1454" s="15" t="s">
        <v>36</v>
      </c>
      <c r="O1454" s="15" t="s">
        <v>170</v>
      </c>
      <c r="P1454" s="20" t="s">
        <v>479</v>
      </c>
      <c r="Q1454" s="15" t="s">
        <v>83</v>
      </c>
      <c r="R1454" s="4"/>
      <c r="S1454" s="4"/>
    </row>
    <row r="1455" spans="1:19" ht="21" customHeight="1" x14ac:dyDescent="0.25">
      <c r="A1455" s="14">
        <f>DATE(2012,12,31)-241</f>
        <v>41033</v>
      </c>
      <c r="B1455" s="15" t="s">
        <v>1037</v>
      </c>
      <c r="C1455" s="15" t="s">
        <v>31</v>
      </c>
      <c r="D1455" s="16">
        <v>20</v>
      </c>
      <c r="E1455" s="17">
        <v>2913.1455000000001</v>
      </c>
      <c r="F1455" s="16">
        <v>0.09</v>
      </c>
      <c r="G1455" s="15" t="s">
        <v>32</v>
      </c>
      <c r="H1455" s="18">
        <v>333.72</v>
      </c>
      <c r="I1455" s="19">
        <v>175.99</v>
      </c>
      <c r="J1455" s="19">
        <v>4.99</v>
      </c>
      <c r="K1455" s="19" t="s">
        <v>124</v>
      </c>
      <c r="L1455" s="19" t="s">
        <v>164</v>
      </c>
      <c r="M1455" s="15" t="s">
        <v>1228</v>
      </c>
      <c r="N1455" s="15" t="s">
        <v>64</v>
      </c>
      <c r="O1455" s="15" t="s">
        <v>65</v>
      </c>
      <c r="P1455" s="20" t="s">
        <v>452</v>
      </c>
      <c r="Q1455" s="15" t="s">
        <v>83</v>
      </c>
      <c r="R1455" s="4"/>
      <c r="S1455" s="4"/>
    </row>
    <row r="1456" spans="1:19" ht="21" customHeight="1" x14ac:dyDescent="0.25">
      <c r="A1456" s="14">
        <f>DATE(2012,12,31)-241</f>
        <v>41033</v>
      </c>
      <c r="B1456" s="15" t="s">
        <v>311</v>
      </c>
      <c r="C1456" s="15" t="s">
        <v>85</v>
      </c>
      <c r="D1456" s="16">
        <v>35</v>
      </c>
      <c r="E1456" s="17">
        <v>246.98</v>
      </c>
      <c r="F1456" s="16">
        <v>0.1</v>
      </c>
      <c r="G1456" s="15" t="s">
        <v>32</v>
      </c>
      <c r="H1456" s="18">
        <v>-94.78</v>
      </c>
      <c r="I1456" s="19">
        <v>7.38</v>
      </c>
      <c r="J1456" s="19">
        <v>5.21</v>
      </c>
      <c r="K1456" s="19" t="s">
        <v>124</v>
      </c>
      <c r="L1456" s="19" t="s">
        <v>158</v>
      </c>
      <c r="M1456" s="15" t="s">
        <v>158</v>
      </c>
      <c r="N1456" s="15" t="s">
        <v>54</v>
      </c>
      <c r="O1456" s="15" t="s">
        <v>55</v>
      </c>
      <c r="P1456" s="20" t="s">
        <v>154</v>
      </c>
      <c r="Q1456" s="15" t="s">
        <v>83</v>
      </c>
      <c r="R1456" s="4"/>
      <c r="S1456" s="4"/>
    </row>
    <row r="1457" spans="1:19" ht="21" customHeight="1" x14ac:dyDescent="0.25">
      <c r="A1457" s="14">
        <f>DATE(2012,12,31)-800</f>
        <v>40474</v>
      </c>
      <c r="B1457" s="15" t="s">
        <v>1508</v>
      </c>
      <c r="C1457" s="15" t="s">
        <v>31</v>
      </c>
      <c r="D1457" s="16">
        <v>47</v>
      </c>
      <c r="E1457" s="17">
        <v>1968.47</v>
      </c>
      <c r="F1457" s="16">
        <v>0.04</v>
      </c>
      <c r="G1457" s="15" t="s">
        <v>32</v>
      </c>
      <c r="H1457" s="18">
        <v>327.9</v>
      </c>
      <c r="I1457" s="19">
        <v>40.97</v>
      </c>
      <c r="J1457" s="19">
        <v>8.99</v>
      </c>
      <c r="K1457" s="19" t="s">
        <v>124</v>
      </c>
      <c r="L1457" s="19" t="s">
        <v>319</v>
      </c>
      <c r="M1457" s="15" t="s">
        <v>320</v>
      </c>
      <c r="N1457" s="15" t="s">
        <v>36</v>
      </c>
      <c r="O1457" s="15" t="s">
        <v>77</v>
      </c>
      <c r="P1457" s="20" t="s">
        <v>938</v>
      </c>
      <c r="Q1457" s="15" t="s">
        <v>49</v>
      </c>
      <c r="R1457" s="4"/>
      <c r="S1457" s="4"/>
    </row>
    <row r="1458" spans="1:19" ht="21" customHeight="1" x14ac:dyDescent="0.25">
      <c r="A1458" s="14">
        <f>DATE(2012,12,31)-776</f>
        <v>40498</v>
      </c>
      <c r="B1458" s="15" t="s">
        <v>1509</v>
      </c>
      <c r="C1458" s="15" t="s">
        <v>43</v>
      </c>
      <c r="D1458" s="16">
        <v>29</v>
      </c>
      <c r="E1458" s="17">
        <v>6250.9360000000006</v>
      </c>
      <c r="F1458" s="16">
        <v>0.01</v>
      </c>
      <c r="G1458" s="15" t="s">
        <v>58</v>
      </c>
      <c r="H1458" s="18">
        <v>31.21</v>
      </c>
      <c r="I1458" s="19">
        <v>262.11</v>
      </c>
      <c r="J1458" s="19">
        <v>62.74</v>
      </c>
      <c r="K1458" s="19" t="s">
        <v>44</v>
      </c>
      <c r="L1458" s="19" t="s">
        <v>52</v>
      </c>
      <c r="M1458" s="15" t="s">
        <v>1300</v>
      </c>
      <c r="N1458" s="15" t="s">
        <v>54</v>
      </c>
      <c r="O1458" s="15" t="s">
        <v>61</v>
      </c>
      <c r="P1458" s="20" t="s">
        <v>1510</v>
      </c>
      <c r="Q1458" s="15" t="s">
        <v>63</v>
      </c>
      <c r="R1458" s="4"/>
      <c r="S1458" s="4"/>
    </row>
    <row r="1459" spans="1:19" ht="21" customHeight="1" x14ac:dyDescent="0.25">
      <c r="A1459" s="14">
        <f>DATE(2012,12,31)-962</f>
        <v>40312</v>
      </c>
      <c r="B1459" s="15" t="s">
        <v>1339</v>
      </c>
      <c r="C1459" s="15" t="s">
        <v>43</v>
      </c>
      <c r="D1459" s="16">
        <v>33</v>
      </c>
      <c r="E1459" s="17">
        <v>7869.22</v>
      </c>
      <c r="F1459" s="16">
        <v>0.1</v>
      </c>
      <c r="G1459" s="15" t="s">
        <v>58</v>
      </c>
      <c r="H1459" s="18">
        <v>1523.46</v>
      </c>
      <c r="I1459" s="19">
        <v>243.98</v>
      </c>
      <c r="J1459" s="19">
        <v>43.32</v>
      </c>
      <c r="K1459" s="19" t="s">
        <v>44</v>
      </c>
      <c r="L1459" s="19" t="s">
        <v>52</v>
      </c>
      <c r="M1459" s="15" t="s">
        <v>1300</v>
      </c>
      <c r="N1459" s="15" t="s">
        <v>54</v>
      </c>
      <c r="O1459" s="15" t="s">
        <v>252</v>
      </c>
      <c r="P1459" s="20" t="s">
        <v>666</v>
      </c>
      <c r="Q1459" s="15" t="s">
        <v>181</v>
      </c>
      <c r="R1459" s="4"/>
      <c r="S1459" s="4"/>
    </row>
    <row r="1460" spans="1:19" ht="21" customHeight="1" x14ac:dyDescent="0.25">
      <c r="A1460" s="14">
        <f>DATE(2012,12,31)-962</f>
        <v>40312</v>
      </c>
      <c r="B1460" s="15" t="s">
        <v>1339</v>
      </c>
      <c r="C1460" s="15" t="s">
        <v>43</v>
      </c>
      <c r="D1460" s="16">
        <v>36</v>
      </c>
      <c r="E1460" s="17">
        <v>912.44</v>
      </c>
      <c r="F1460" s="16">
        <v>0.04</v>
      </c>
      <c r="G1460" s="15" t="s">
        <v>32</v>
      </c>
      <c r="H1460" s="18">
        <v>182.72</v>
      </c>
      <c r="I1460" s="19">
        <v>25.38</v>
      </c>
      <c r="J1460" s="19">
        <v>8.99</v>
      </c>
      <c r="K1460" s="19" t="s">
        <v>44</v>
      </c>
      <c r="L1460" s="19" t="s">
        <v>52</v>
      </c>
      <c r="M1460" s="15" t="s">
        <v>1300</v>
      </c>
      <c r="N1460" s="15" t="s">
        <v>54</v>
      </c>
      <c r="O1460" s="15" t="s">
        <v>55</v>
      </c>
      <c r="P1460" s="20" t="s">
        <v>947</v>
      </c>
      <c r="Q1460" s="15" t="s">
        <v>49</v>
      </c>
      <c r="R1460" s="4"/>
      <c r="S1460" s="4"/>
    </row>
    <row r="1461" spans="1:19" ht="21" customHeight="1" x14ac:dyDescent="0.25">
      <c r="A1461" s="14">
        <f>DATE(2012,12,31)-1205</f>
        <v>40069</v>
      </c>
      <c r="B1461" s="15" t="s">
        <v>1511</v>
      </c>
      <c r="C1461" s="15" t="s">
        <v>85</v>
      </c>
      <c r="D1461" s="16">
        <v>47</v>
      </c>
      <c r="E1461" s="17">
        <v>838.4</v>
      </c>
      <c r="F1461" s="16">
        <v>0.02</v>
      </c>
      <c r="G1461" s="15" t="s">
        <v>101</v>
      </c>
      <c r="H1461" s="18">
        <v>-132.91</v>
      </c>
      <c r="I1461" s="19">
        <v>17.7</v>
      </c>
      <c r="J1461" s="19">
        <v>9.4700000000000006</v>
      </c>
      <c r="K1461" s="19" t="s">
        <v>44</v>
      </c>
      <c r="L1461" s="19" t="s">
        <v>52</v>
      </c>
      <c r="M1461" s="15" t="s">
        <v>1300</v>
      </c>
      <c r="N1461" s="15" t="s">
        <v>36</v>
      </c>
      <c r="O1461" s="15" t="s">
        <v>37</v>
      </c>
      <c r="P1461" s="20" t="s">
        <v>269</v>
      </c>
      <c r="Q1461" s="15" t="s">
        <v>83</v>
      </c>
      <c r="R1461" s="4"/>
      <c r="S1461" s="4"/>
    </row>
    <row r="1462" spans="1:19" ht="21" customHeight="1" x14ac:dyDescent="0.25">
      <c r="A1462" s="14">
        <f>DATE(2012,12,31)-1434</f>
        <v>39840</v>
      </c>
      <c r="B1462" s="15" t="s">
        <v>516</v>
      </c>
      <c r="C1462" s="15" t="s">
        <v>85</v>
      </c>
      <c r="D1462" s="16">
        <v>4</v>
      </c>
      <c r="E1462" s="17">
        <v>377.21299999999997</v>
      </c>
      <c r="F1462" s="16">
        <v>0.02</v>
      </c>
      <c r="G1462" s="15" t="s">
        <v>32</v>
      </c>
      <c r="H1462" s="18">
        <v>-411.65300000000002</v>
      </c>
      <c r="I1462" s="19">
        <v>110.99</v>
      </c>
      <c r="J1462" s="19">
        <v>2.5</v>
      </c>
      <c r="K1462" s="19" t="s">
        <v>44</v>
      </c>
      <c r="L1462" s="19" t="s">
        <v>52</v>
      </c>
      <c r="M1462" s="15" t="s">
        <v>1300</v>
      </c>
      <c r="N1462" s="15" t="s">
        <v>64</v>
      </c>
      <c r="O1462" s="15" t="s">
        <v>65</v>
      </c>
      <c r="P1462" s="20" t="s">
        <v>1010</v>
      </c>
      <c r="Q1462" s="15" t="s">
        <v>83</v>
      </c>
      <c r="R1462" s="4"/>
      <c r="S1462" s="4"/>
    </row>
    <row r="1463" spans="1:19" ht="21" customHeight="1" x14ac:dyDescent="0.25">
      <c r="A1463" s="14">
        <f>DATE(2012,12,31)-584</f>
        <v>40690</v>
      </c>
      <c r="B1463" s="15" t="s">
        <v>1509</v>
      </c>
      <c r="C1463" s="15" t="s">
        <v>31</v>
      </c>
      <c r="D1463" s="16">
        <v>25</v>
      </c>
      <c r="E1463" s="17">
        <v>854.88</v>
      </c>
      <c r="F1463" s="16">
        <v>0.09</v>
      </c>
      <c r="G1463" s="15" t="s">
        <v>32</v>
      </c>
      <c r="H1463" s="18">
        <v>-44.14</v>
      </c>
      <c r="I1463" s="19">
        <v>33.979999999999997</v>
      </c>
      <c r="J1463" s="19">
        <v>19.989999999999998</v>
      </c>
      <c r="K1463" s="19" t="s">
        <v>44</v>
      </c>
      <c r="L1463" s="19" t="s">
        <v>236</v>
      </c>
      <c r="M1463" s="15" t="s">
        <v>237</v>
      </c>
      <c r="N1463" s="15" t="s">
        <v>54</v>
      </c>
      <c r="O1463" s="15" t="s">
        <v>55</v>
      </c>
      <c r="P1463" s="20" t="s">
        <v>1238</v>
      </c>
      <c r="Q1463" s="15" t="s">
        <v>83</v>
      </c>
      <c r="R1463" s="4"/>
      <c r="S1463" s="4"/>
    </row>
    <row r="1464" spans="1:19" ht="21" customHeight="1" x14ac:dyDescent="0.25">
      <c r="A1464" s="14">
        <f>DATE(2012,12,31)-584</f>
        <v>40690</v>
      </c>
      <c r="B1464" s="15" t="s">
        <v>1509</v>
      </c>
      <c r="C1464" s="15" t="s">
        <v>31</v>
      </c>
      <c r="D1464" s="16">
        <v>46</v>
      </c>
      <c r="E1464" s="17">
        <v>80.27</v>
      </c>
      <c r="F1464" s="16">
        <v>0.09</v>
      </c>
      <c r="G1464" s="15" t="s">
        <v>32</v>
      </c>
      <c r="H1464" s="18">
        <v>-0.79</v>
      </c>
      <c r="I1464" s="19">
        <v>1.76</v>
      </c>
      <c r="J1464" s="19">
        <v>0.7</v>
      </c>
      <c r="K1464" s="19" t="s">
        <v>44</v>
      </c>
      <c r="L1464" s="19" t="s">
        <v>52</v>
      </c>
      <c r="M1464" s="15" t="s">
        <v>1300</v>
      </c>
      <c r="N1464" s="15" t="s">
        <v>36</v>
      </c>
      <c r="O1464" s="15" t="s">
        <v>77</v>
      </c>
      <c r="P1464" s="20" t="s">
        <v>295</v>
      </c>
      <c r="Q1464" s="15" t="s">
        <v>79</v>
      </c>
      <c r="R1464" s="4"/>
      <c r="S1464" s="4"/>
    </row>
    <row r="1465" spans="1:19" ht="21" customHeight="1" x14ac:dyDescent="0.25">
      <c r="A1465" s="14">
        <f>DATE(2012,12,31)-1146</f>
        <v>40128</v>
      </c>
      <c r="B1465" s="15" t="s">
        <v>1512</v>
      </c>
      <c r="C1465" s="15" t="s">
        <v>43</v>
      </c>
      <c r="D1465" s="16">
        <v>10</v>
      </c>
      <c r="E1465" s="17">
        <v>994.04</v>
      </c>
      <c r="F1465" s="16">
        <v>0.03</v>
      </c>
      <c r="G1465" s="15" t="s">
        <v>32</v>
      </c>
      <c r="H1465" s="18">
        <v>-335.06</v>
      </c>
      <c r="I1465" s="19">
        <v>95.99</v>
      </c>
      <c r="J1465" s="19">
        <v>35</v>
      </c>
      <c r="K1465" s="19" t="s">
        <v>44</v>
      </c>
      <c r="L1465" s="19" t="s">
        <v>52</v>
      </c>
      <c r="M1465" s="15" t="s">
        <v>1300</v>
      </c>
      <c r="N1465" s="15" t="s">
        <v>36</v>
      </c>
      <c r="O1465" s="15" t="s">
        <v>37</v>
      </c>
      <c r="P1465" s="20" t="s">
        <v>137</v>
      </c>
      <c r="Q1465" s="15" t="s">
        <v>39</v>
      </c>
      <c r="R1465" s="4"/>
      <c r="S1465" s="4"/>
    </row>
    <row r="1466" spans="1:19" ht="21" customHeight="1" x14ac:dyDescent="0.25">
      <c r="A1466" s="14">
        <f>DATE(2012,12,31)-824</f>
        <v>40450</v>
      </c>
      <c r="B1466" s="15" t="s">
        <v>1402</v>
      </c>
      <c r="C1466" s="15" t="s">
        <v>85</v>
      </c>
      <c r="D1466" s="16">
        <v>38</v>
      </c>
      <c r="E1466" s="17">
        <v>10223.19</v>
      </c>
      <c r="F1466" s="16">
        <v>0.08</v>
      </c>
      <c r="G1466" s="15" t="s">
        <v>32</v>
      </c>
      <c r="H1466" s="18">
        <v>2723.31</v>
      </c>
      <c r="I1466" s="19">
        <v>289.52999999999997</v>
      </c>
      <c r="J1466" s="19">
        <v>19.989999999999998</v>
      </c>
      <c r="K1466" s="19" t="s">
        <v>44</v>
      </c>
      <c r="L1466" s="19" t="s">
        <v>52</v>
      </c>
      <c r="M1466" s="15" t="s">
        <v>1300</v>
      </c>
      <c r="N1466" s="15" t="s">
        <v>36</v>
      </c>
      <c r="O1466" s="15" t="s">
        <v>176</v>
      </c>
      <c r="P1466" s="20" t="s">
        <v>1513</v>
      </c>
      <c r="Q1466" s="15" t="s">
        <v>83</v>
      </c>
      <c r="R1466" s="4"/>
      <c r="S1466" s="4"/>
    </row>
    <row r="1467" spans="1:19" ht="21" customHeight="1" x14ac:dyDescent="0.25">
      <c r="A1467" s="14">
        <f>DATE(2012,12,31)-824</f>
        <v>40450</v>
      </c>
      <c r="B1467" s="15" t="s">
        <v>1402</v>
      </c>
      <c r="C1467" s="15" t="s">
        <v>85</v>
      </c>
      <c r="D1467" s="16">
        <v>50</v>
      </c>
      <c r="E1467" s="17">
        <v>312.42</v>
      </c>
      <c r="F1467" s="16">
        <v>0.08</v>
      </c>
      <c r="G1467" s="15" t="s">
        <v>32</v>
      </c>
      <c r="H1467" s="18">
        <v>-90.42</v>
      </c>
      <c r="I1467" s="19">
        <v>6.48</v>
      </c>
      <c r="J1467" s="19">
        <v>5.4</v>
      </c>
      <c r="K1467" s="19" t="s">
        <v>33</v>
      </c>
      <c r="L1467" s="19" t="s">
        <v>59</v>
      </c>
      <c r="M1467" s="15" t="s">
        <v>1361</v>
      </c>
      <c r="N1467" s="15" t="s">
        <v>36</v>
      </c>
      <c r="O1467" s="15" t="s">
        <v>117</v>
      </c>
      <c r="P1467" s="20" t="s">
        <v>546</v>
      </c>
      <c r="Q1467" s="15" t="s">
        <v>83</v>
      </c>
      <c r="R1467" s="4"/>
      <c r="S1467" s="4"/>
    </row>
    <row r="1468" spans="1:19" ht="21" customHeight="1" x14ac:dyDescent="0.25">
      <c r="A1468" s="14">
        <f>DATE(2012,12,31)-277</f>
        <v>40997</v>
      </c>
      <c r="B1468" s="15" t="s">
        <v>1514</v>
      </c>
      <c r="C1468" s="15" t="s">
        <v>51</v>
      </c>
      <c r="D1468" s="16">
        <v>10</v>
      </c>
      <c r="E1468" s="17">
        <v>1111.008</v>
      </c>
      <c r="F1468" s="16">
        <v>0.09</v>
      </c>
      <c r="G1468" s="15" t="s">
        <v>58</v>
      </c>
      <c r="H1468" s="18">
        <v>-146.29</v>
      </c>
      <c r="I1468" s="19">
        <v>146.34</v>
      </c>
      <c r="J1468" s="19">
        <v>43.75</v>
      </c>
      <c r="K1468" s="19" t="s">
        <v>69</v>
      </c>
      <c r="L1468" s="19" t="s">
        <v>70</v>
      </c>
      <c r="M1468" s="15" t="s">
        <v>1492</v>
      </c>
      <c r="N1468" s="15" t="s">
        <v>54</v>
      </c>
      <c r="O1468" s="15" t="s">
        <v>61</v>
      </c>
      <c r="P1468" s="20" t="s">
        <v>953</v>
      </c>
      <c r="Q1468" s="15" t="s">
        <v>63</v>
      </c>
      <c r="R1468" s="4"/>
      <c r="S1468" s="4"/>
    </row>
    <row r="1469" spans="1:19" ht="21" customHeight="1" x14ac:dyDescent="0.25">
      <c r="A1469" s="14">
        <f>DATE(2012,12,31)-323</f>
        <v>40951</v>
      </c>
      <c r="B1469" s="15" t="s">
        <v>431</v>
      </c>
      <c r="C1469" s="15" t="s">
        <v>51</v>
      </c>
      <c r="D1469" s="16">
        <v>27</v>
      </c>
      <c r="E1469" s="17">
        <v>435.27</v>
      </c>
      <c r="F1469" s="16">
        <v>0.05</v>
      </c>
      <c r="G1469" s="15" t="s">
        <v>32</v>
      </c>
      <c r="H1469" s="18">
        <v>-147.51</v>
      </c>
      <c r="I1469" s="19">
        <v>15.98</v>
      </c>
      <c r="J1469" s="19">
        <v>8.99</v>
      </c>
      <c r="K1469" s="19" t="s">
        <v>44</v>
      </c>
      <c r="L1469" s="19" t="s">
        <v>52</v>
      </c>
      <c r="M1469" s="15" t="s">
        <v>1300</v>
      </c>
      <c r="N1469" s="15" t="s">
        <v>64</v>
      </c>
      <c r="O1469" s="15" t="s">
        <v>72</v>
      </c>
      <c r="P1469" s="20" t="s">
        <v>1198</v>
      </c>
      <c r="Q1469" s="15" t="s">
        <v>49</v>
      </c>
      <c r="R1469" s="4"/>
      <c r="S1469" s="4"/>
    </row>
    <row r="1470" spans="1:19" ht="21" customHeight="1" x14ac:dyDescent="0.25">
      <c r="A1470" s="14">
        <f>DATE(2012,12,31)-323</f>
        <v>40951</v>
      </c>
      <c r="B1470" s="15" t="s">
        <v>431</v>
      </c>
      <c r="C1470" s="15" t="s">
        <v>51</v>
      </c>
      <c r="D1470" s="16">
        <v>26</v>
      </c>
      <c r="E1470" s="17">
        <v>723.82</v>
      </c>
      <c r="F1470" s="16">
        <v>0.05</v>
      </c>
      <c r="G1470" s="15" t="s">
        <v>32</v>
      </c>
      <c r="H1470" s="18">
        <v>-40.98</v>
      </c>
      <c r="I1470" s="19">
        <v>27.42</v>
      </c>
      <c r="J1470" s="19">
        <v>19.46</v>
      </c>
      <c r="K1470" s="19" t="s">
        <v>69</v>
      </c>
      <c r="L1470" s="19" t="s">
        <v>70</v>
      </c>
      <c r="M1470" s="15" t="s">
        <v>1492</v>
      </c>
      <c r="N1470" s="15" t="s">
        <v>54</v>
      </c>
      <c r="O1470" s="15" t="s">
        <v>55</v>
      </c>
      <c r="P1470" s="20" t="s">
        <v>1279</v>
      </c>
      <c r="Q1470" s="15" t="s">
        <v>83</v>
      </c>
      <c r="R1470" s="4"/>
      <c r="S1470" s="4"/>
    </row>
    <row r="1471" spans="1:19" ht="21" customHeight="1" x14ac:dyDescent="0.25">
      <c r="A1471" s="14">
        <f>DATE(2012,12,31)-1107</f>
        <v>40167</v>
      </c>
      <c r="B1471" s="15" t="s">
        <v>1515</v>
      </c>
      <c r="C1471" s="15" t="s">
        <v>85</v>
      </c>
      <c r="D1471" s="16">
        <v>23</v>
      </c>
      <c r="E1471" s="17">
        <v>1082.43</v>
      </c>
      <c r="F1471" s="16">
        <v>0.06</v>
      </c>
      <c r="G1471" s="15" t="s">
        <v>32</v>
      </c>
      <c r="H1471" s="18">
        <v>23.97</v>
      </c>
      <c r="I1471" s="19">
        <v>47.98</v>
      </c>
      <c r="J1471" s="19">
        <v>3.61</v>
      </c>
      <c r="K1471" s="19" t="s">
        <v>111</v>
      </c>
      <c r="L1471" s="19" t="s">
        <v>442</v>
      </c>
      <c r="M1471" s="15" t="s">
        <v>443</v>
      </c>
      <c r="N1471" s="15" t="s">
        <v>64</v>
      </c>
      <c r="O1471" s="15" t="s">
        <v>72</v>
      </c>
      <c r="P1471" s="20" t="s">
        <v>338</v>
      </c>
      <c r="Q1471" s="15" t="s">
        <v>49</v>
      </c>
      <c r="R1471" s="4"/>
      <c r="S1471" s="4"/>
    </row>
    <row r="1472" spans="1:19" ht="21" customHeight="1" x14ac:dyDescent="0.25">
      <c r="A1472" s="14">
        <f>DATE(2012,12,31)-1041</f>
        <v>40233</v>
      </c>
      <c r="B1472" s="15" t="s">
        <v>764</v>
      </c>
      <c r="C1472" s="15" t="s">
        <v>31</v>
      </c>
      <c r="D1472" s="16">
        <v>4</v>
      </c>
      <c r="E1472" s="17">
        <v>40.229999999999997</v>
      </c>
      <c r="F1472" s="16">
        <v>0.05</v>
      </c>
      <c r="G1472" s="15" t="s">
        <v>32</v>
      </c>
      <c r="H1472" s="18">
        <v>-30.26</v>
      </c>
      <c r="I1472" s="19">
        <v>7.77</v>
      </c>
      <c r="J1472" s="19">
        <v>9.23</v>
      </c>
      <c r="K1472" s="19" t="s">
        <v>44</v>
      </c>
      <c r="L1472" s="19" t="s">
        <v>89</v>
      </c>
      <c r="M1472" s="15" t="s">
        <v>1341</v>
      </c>
      <c r="N1472" s="15" t="s">
        <v>36</v>
      </c>
      <c r="O1472" s="15" t="s">
        <v>176</v>
      </c>
      <c r="P1472" s="20" t="s">
        <v>1365</v>
      </c>
      <c r="Q1472" s="15" t="s">
        <v>83</v>
      </c>
      <c r="R1472" s="4"/>
      <c r="S1472" s="4"/>
    </row>
    <row r="1473" spans="1:19" ht="21" customHeight="1" x14ac:dyDescent="0.25">
      <c r="A1473" s="14">
        <f>DATE(2012,12,31)-1207</f>
        <v>40067</v>
      </c>
      <c r="B1473" s="15" t="s">
        <v>104</v>
      </c>
      <c r="C1473" s="15" t="s">
        <v>85</v>
      </c>
      <c r="D1473" s="16">
        <v>39</v>
      </c>
      <c r="E1473" s="17">
        <v>341.55</v>
      </c>
      <c r="F1473" s="16">
        <v>0.06</v>
      </c>
      <c r="G1473" s="15" t="s">
        <v>32</v>
      </c>
      <c r="H1473" s="18">
        <v>-255.65</v>
      </c>
      <c r="I1473" s="19">
        <v>8.3699999999999992</v>
      </c>
      <c r="J1473" s="19">
        <v>10.16</v>
      </c>
      <c r="K1473" s="19" t="s">
        <v>124</v>
      </c>
      <c r="L1473" s="19" t="s">
        <v>164</v>
      </c>
      <c r="M1473" s="15" t="s">
        <v>1228</v>
      </c>
      <c r="N1473" s="15" t="s">
        <v>54</v>
      </c>
      <c r="O1473" s="15" t="s">
        <v>55</v>
      </c>
      <c r="P1473" s="20" t="s">
        <v>1516</v>
      </c>
      <c r="Q1473" s="15" t="s">
        <v>39</v>
      </c>
      <c r="R1473" s="4"/>
      <c r="S1473" s="4"/>
    </row>
    <row r="1474" spans="1:19" ht="21" customHeight="1" x14ac:dyDescent="0.25">
      <c r="A1474" s="14">
        <f>DATE(2012,12,31)-1207</f>
        <v>40067</v>
      </c>
      <c r="B1474" s="15" t="s">
        <v>104</v>
      </c>
      <c r="C1474" s="15" t="s">
        <v>85</v>
      </c>
      <c r="D1474" s="16">
        <v>14</v>
      </c>
      <c r="E1474" s="17">
        <v>98.37</v>
      </c>
      <c r="F1474" s="16">
        <v>0.09</v>
      </c>
      <c r="G1474" s="15" t="s">
        <v>101</v>
      </c>
      <c r="H1474" s="18">
        <v>-76.540000000000006</v>
      </c>
      <c r="I1474" s="19">
        <v>6.48</v>
      </c>
      <c r="J1474" s="19">
        <v>9.17</v>
      </c>
      <c r="K1474" s="19" t="s">
        <v>124</v>
      </c>
      <c r="L1474" s="19" t="s">
        <v>319</v>
      </c>
      <c r="M1474" s="15" t="s">
        <v>320</v>
      </c>
      <c r="N1474" s="15" t="s">
        <v>36</v>
      </c>
      <c r="O1474" s="15" t="s">
        <v>117</v>
      </c>
      <c r="P1474" s="20" t="s">
        <v>1517</v>
      </c>
      <c r="Q1474" s="15" t="s">
        <v>83</v>
      </c>
      <c r="R1474" s="4"/>
      <c r="S1474" s="4"/>
    </row>
    <row r="1475" spans="1:19" ht="21" customHeight="1" x14ac:dyDescent="0.25">
      <c r="A1475" s="14">
        <f>DATE(2012,12,31)-1061</f>
        <v>40213</v>
      </c>
      <c r="B1475" s="15" t="s">
        <v>1518</v>
      </c>
      <c r="C1475" s="15" t="s">
        <v>85</v>
      </c>
      <c r="D1475" s="16">
        <v>44</v>
      </c>
      <c r="E1475" s="17">
        <v>2773.84</v>
      </c>
      <c r="F1475" s="16">
        <v>0</v>
      </c>
      <c r="G1475" s="15" t="s">
        <v>58</v>
      </c>
      <c r="H1475" s="18">
        <v>-513.76</v>
      </c>
      <c r="I1475" s="19">
        <v>58.14</v>
      </c>
      <c r="J1475" s="19">
        <v>36.61</v>
      </c>
      <c r="K1475" s="19" t="s">
        <v>124</v>
      </c>
      <c r="L1475" s="19" t="s">
        <v>319</v>
      </c>
      <c r="M1475" s="15" t="s">
        <v>1519</v>
      </c>
      <c r="N1475" s="15" t="s">
        <v>54</v>
      </c>
      <c r="O1475" s="15" t="s">
        <v>134</v>
      </c>
      <c r="P1475" s="20" t="s">
        <v>1299</v>
      </c>
      <c r="Q1475" s="15" t="s">
        <v>63</v>
      </c>
      <c r="R1475" s="4"/>
      <c r="S1475" s="4"/>
    </row>
    <row r="1476" spans="1:19" ht="21" customHeight="1" x14ac:dyDescent="0.25">
      <c r="A1476" s="14">
        <f>DATE(2012,12,31)-828</f>
        <v>40446</v>
      </c>
      <c r="B1476" s="15" t="s">
        <v>572</v>
      </c>
      <c r="C1476" s="15" t="s">
        <v>85</v>
      </c>
      <c r="D1476" s="16">
        <v>44</v>
      </c>
      <c r="E1476" s="17">
        <v>289.94</v>
      </c>
      <c r="F1476" s="16">
        <v>7.0000000000000007E-2</v>
      </c>
      <c r="G1476" s="15" t="s">
        <v>32</v>
      </c>
      <c r="H1476" s="18">
        <v>-102.19</v>
      </c>
      <c r="I1476" s="19">
        <v>6.48</v>
      </c>
      <c r="J1476" s="19">
        <v>6.22</v>
      </c>
      <c r="K1476" s="19" t="s">
        <v>44</v>
      </c>
      <c r="L1476" s="19" t="s">
        <v>52</v>
      </c>
      <c r="M1476" s="15" t="s">
        <v>1300</v>
      </c>
      <c r="N1476" s="15" t="s">
        <v>36</v>
      </c>
      <c r="O1476" s="15" t="s">
        <v>117</v>
      </c>
      <c r="P1476" s="20" t="s">
        <v>1323</v>
      </c>
      <c r="Q1476" s="15" t="s">
        <v>83</v>
      </c>
      <c r="R1476" s="4"/>
      <c r="S1476" s="4"/>
    </row>
    <row r="1477" spans="1:19" ht="21" customHeight="1" x14ac:dyDescent="0.25">
      <c r="A1477" s="14">
        <f>DATE(2012,12,31)-828</f>
        <v>40446</v>
      </c>
      <c r="B1477" s="15" t="s">
        <v>572</v>
      </c>
      <c r="C1477" s="15" t="s">
        <v>85</v>
      </c>
      <c r="D1477" s="16">
        <v>8</v>
      </c>
      <c r="E1477" s="17">
        <v>1848.52</v>
      </c>
      <c r="F1477" s="16">
        <v>0.05</v>
      </c>
      <c r="G1477" s="15" t="s">
        <v>58</v>
      </c>
      <c r="H1477" s="18">
        <v>-493.6</v>
      </c>
      <c r="I1477" s="19">
        <v>218.75</v>
      </c>
      <c r="J1477" s="19">
        <v>69.64</v>
      </c>
      <c r="K1477" s="19" t="s">
        <v>44</v>
      </c>
      <c r="L1477" s="19" t="s">
        <v>52</v>
      </c>
      <c r="M1477" s="15" t="s">
        <v>1300</v>
      </c>
      <c r="N1477" s="15" t="s">
        <v>54</v>
      </c>
      <c r="O1477" s="15" t="s">
        <v>61</v>
      </c>
      <c r="P1477" s="20" t="s">
        <v>425</v>
      </c>
      <c r="Q1477" s="15" t="s">
        <v>63</v>
      </c>
      <c r="R1477" s="4"/>
      <c r="S1477" s="4"/>
    </row>
    <row r="1478" spans="1:19" ht="21" customHeight="1" x14ac:dyDescent="0.25">
      <c r="A1478" s="14">
        <f>DATE(2012,12,31)-1222</f>
        <v>40052</v>
      </c>
      <c r="B1478" s="15" t="s">
        <v>1520</v>
      </c>
      <c r="C1478" s="15" t="s">
        <v>31</v>
      </c>
      <c r="D1478" s="16">
        <v>31</v>
      </c>
      <c r="E1478" s="17">
        <v>262.54000000000002</v>
      </c>
      <c r="F1478" s="16">
        <v>0.04</v>
      </c>
      <c r="G1478" s="15" t="s">
        <v>32</v>
      </c>
      <c r="H1478" s="18">
        <v>29.24</v>
      </c>
      <c r="I1478" s="19">
        <v>8.5</v>
      </c>
      <c r="J1478" s="19">
        <v>1.99</v>
      </c>
      <c r="K1478" s="19" t="s">
        <v>97</v>
      </c>
      <c r="L1478" s="19" t="s">
        <v>283</v>
      </c>
      <c r="M1478" s="15" t="s">
        <v>1471</v>
      </c>
      <c r="N1478" s="15" t="s">
        <v>64</v>
      </c>
      <c r="O1478" s="15" t="s">
        <v>72</v>
      </c>
      <c r="P1478" s="20" t="s">
        <v>928</v>
      </c>
      <c r="Q1478" s="15" t="s">
        <v>49</v>
      </c>
      <c r="R1478" s="4"/>
      <c r="S1478" s="4"/>
    </row>
    <row r="1479" spans="1:19" ht="21" customHeight="1" x14ac:dyDescent="0.25">
      <c r="A1479" s="14">
        <f>DATE(2012,12,31)-1222</f>
        <v>40052</v>
      </c>
      <c r="B1479" s="15" t="s">
        <v>1520</v>
      </c>
      <c r="C1479" s="15" t="s">
        <v>31</v>
      </c>
      <c r="D1479" s="16">
        <v>12</v>
      </c>
      <c r="E1479" s="17">
        <v>190.73</v>
      </c>
      <c r="F1479" s="16">
        <v>0.1</v>
      </c>
      <c r="G1479" s="15" t="s">
        <v>32</v>
      </c>
      <c r="H1479" s="18">
        <v>-69.643500000000003</v>
      </c>
      <c r="I1479" s="19">
        <v>15.99</v>
      </c>
      <c r="J1479" s="19">
        <v>9.4</v>
      </c>
      <c r="K1479" s="19" t="s">
        <v>33</v>
      </c>
      <c r="L1479" s="19" t="s">
        <v>59</v>
      </c>
      <c r="M1479" s="15" t="s">
        <v>1361</v>
      </c>
      <c r="N1479" s="15" t="s">
        <v>64</v>
      </c>
      <c r="O1479" s="15" t="s">
        <v>122</v>
      </c>
      <c r="P1479" s="20" t="s">
        <v>324</v>
      </c>
      <c r="Q1479" s="15" t="s">
        <v>83</v>
      </c>
      <c r="R1479" s="4"/>
      <c r="S1479" s="4"/>
    </row>
    <row r="1480" spans="1:19" ht="21" customHeight="1" x14ac:dyDescent="0.25">
      <c r="A1480" s="14">
        <f>DATE(2012,12,31)-1222</f>
        <v>40052</v>
      </c>
      <c r="B1480" s="15" t="s">
        <v>1520</v>
      </c>
      <c r="C1480" s="15" t="s">
        <v>31</v>
      </c>
      <c r="D1480" s="16">
        <v>17</v>
      </c>
      <c r="E1480" s="17">
        <v>1332.97</v>
      </c>
      <c r="F1480" s="16">
        <v>0.09</v>
      </c>
      <c r="G1480" s="15" t="s">
        <v>32</v>
      </c>
      <c r="H1480" s="18">
        <v>4.7520000000000007</v>
      </c>
      <c r="I1480" s="19">
        <v>95.99</v>
      </c>
      <c r="J1480" s="19">
        <v>8.99</v>
      </c>
      <c r="K1480" s="19" t="s">
        <v>33</v>
      </c>
      <c r="L1480" s="19" t="s">
        <v>34</v>
      </c>
      <c r="M1480" s="15" t="s">
        <v>1359</v>
      </c>
      <c r="N1480" s="15" t="s">
        <v>64</v>
      </c>
      <c r="O1480" s="15" t="s">
        <v>65</v>
      </c>
      <c r="P1480" s="20" t="s">
        <v>1521</v>
      </c>
      <c r="Q1480" s="15" t="s">
        <v>83</v>
      </c>
      <c r="R1480" s="4"/>
      <c r="S1480" s="4"/>
    </row>
    <row r="1481" spans="1:19" ht="21" customHeight="1" x14ac:dyDescent="0.25">
      <c r="A1481" s="14">
        <f>DATE(2012,12,31)-1327</f>
        <v>39947</v>
      </c>
      <c r="B1481" s="15" t="s">
        <v>1522</v>
      </c>
      <c r="C1481" s="15" t="s">
        <v>85</v>
      </c>
      <c r="D1481" s="16">
        <v>40</v>
      </c>
      <c r="E1481" s="17">
        <v>227.37</v>
      </c>
      <c r="F1481" s="16">
        <v>0</v>
      </c>
      <c r="G1481" s="15" t="s">
        <v>32</v>
      </c>
      <c r="H1481" s="18">
        <v>-92.07</v>
      </c>
      <c r="I1481" s="19">
        <v>5.28</v>
      </c>
      <c r="J1481" s="19">
        <v>5.61</v>
      </c>
      <c r="K1481" s="19" t="s">
        <v>33</v>
      </c>
      <c r="L1481" s="19" t="s">
        <v>145</v>
      </c>
      <c r="M1481" s="15" t="s">
        <v>1397</v>
      </c>
      <c r="N1481" s="15" t="s">
        <v>36</v>
      </c>
      <c r="O1481" s="15" t="s">
        <v>117</v>
      </c>
      <c r="P1481" s="20" t="s">
        <v>1523</v>
      </c>
      <c r="Q1481" s="15" t="s">
        <v>83</v>
      </c>
      <c r="R1481" s="4"/>
      <c r="S1481" s="4"/>
    </row>
    <row r="1482" spans="1:19" ht="21" customHeight="1" x14ac:dyDescent="0.25">
      <c r="A1482" s="14">
        <f>DATE(2012,12,31)-1438</f>
        <v>39836</v>
      </c>
      <c r="B1482" s="15" t="s">
        <v>1524</v>
      </c>
      <c r="C1482" s="15" t="s">
        <v>43</v>
      </c>
      <c r="D1482" s="16">
        <v>18</v>
      </c>
      <c r="E1482" s="17">
        <v>136.41</v>
      </c>
      <c r="F1482" s="16">
        <v>0</v>
      </c>
      <c r="G1482" s="15" t="s">
        <v>32</v>
      </c>
      <c r="H1482" s="18">
        <v>-99.34</v>
      </c>
      <c r="I1482" s="19">
        <v>6.84</v>
      </c>
      <c r="J1482" s="19">
        <v>8.3699999999999992</v>
      </c>
      <c r="K1482" s="19" t="s">
        <v>33</v>
      </c>
      <c r="L1482" s="19" t="s">
        <v>59</v>
      </c>
      <c r="M1482" s="15" t="s">
        <v>1361</v>
      </c>
      <c r="N1482" s="15" t="s">
        <v>36</v>
      </c>
      <c r="O1482" s="15" t="s">
        <v>47</v>
      </c>
      <c r="P1482" s="20" t="s">
        <v>1182</v>
      </c>
      <c r="Q1482" s="15" t="s">
        <v>49</v>
      </c>
      <c r="R1482" s="4"/>
      <c r="S1482" s="4"/>
    </row>
    <row r="1483" spans="1:19" ht="21" customHeight="1" x14ac:dyDescent="0.25">
      <c r="A1483" s="14">
        <f>DATE(2012,12,31)-1438</f>
        <v>39836</v>
      </c>
      <c r="B1483" s="15" t="s">
        <v>1524</v>
      </c>
      <c r="C1483" s="15" t="s">
        <v>43</v>
      </c>
      <c r="D1483" s="16">
        <v>42</v>
      </c>
      <c r="E1483" s="17">
        <v>1312.65</v>
      </c>
      <c r="F1483" s="16">
        <v>7.0000000000000007E-2</v>
      </c>
      <c r="G1483" s="15" t="s">
        <v>32</v>
      </c>
      <c r="H1483" s="18">
        <v>488.31</v>
      </c>
      <c r="I1483" s="19">
        <v>30.98</v>
      </c>
      <c r="J1483" s="19">
        <v>5.76</v>
      </c>
      <c r="K1483" s="19" t="s">
        <v>33</v>
      </c>
      <c r="L1483" s="19" t="s">
        <v>34</v>
      </c>
      <c r="M1483" s="15" t="s">
        <v>1359</v>
      </c>
      <c r="N1483" s="15" t="s">
        <v>36</v>
      </c>
      <c r="O1483" s="15" t="s">
        <v>117</v>
      </c>
      <c r="P1483" s="20" t="s">
        <v>713</v>
      </c>
      <c r="Q1483" s="15" t="s">
        <v>83</v>
      </c>
      <c r="R1483" s="4"/>
      <c r="S1483" s="4"/>
    </row>
    <row r="1484" spans="1:19" ht="21" customHeight="1" x14ac:dyDescent="0.25">
      <c r="A1484" s="14">
        <f>DATE(2012,12,31)-599</f>
        <v>40675</v>
      </c>
      <c r="B1484" s="15" t="s">
        <v>1525</v>
      </c>
      <c r="C1484" s="15" t="s">
        <v>31</v>
      </c>
      <c r="D1484" s="16">
        <v>45</v>
      </c>
      <c r="E1484" s="17">
        <v>283.13</v>
      </c>
      <c r="F1484" s="16">
        <v>0.08</v>
      </c>
      <c r="G1484" s="15" t="s">
        <v>32</v>
      </c>
      <c r="H1484" s="18">
        <v>-141.26</v>
      </c>
      <c r="I1484" s="19">
        <v>6.48</v>
      </c>
      <c r="J1484" s="19">
        <v>6.81</v>
      </c>
      <c r="K1484" s="19" t="s">
        <v>69</v>
      </c>
      <c r="L1484" s="19" t="s">
        <v>75</v>
      </c>
      <c r="M1484" s="15" t="s">
        <v>75</v>
      </c>
      <c r="N1484" s="15" t="s">
        <v>36</v>
      </c>
      <c r="O1484" s="15" t="s">
        <v>117</v>
      </c>
      <c r="P1484" s="20" t="s">
        <v>735</v>
      </c>
      <c r="Q1484" s="15" t="s">
        <v>83</v>
      </c>
      <c r="R1484" s="4"/>
      <c r="S1484" s="4"/>
    </row>
    <row r="1485" spans="1:19" ht="21" customHeight="1" x14ac:dyDescent="0.25">
      <c r="A1485" s="14">
        <f>DATE(2012,12,31)-1318</f>
        <v>39956</v>
      </c>
      <c r="B1485" s="15" t="s">
        <v>420</v>
      </c>
      <c r="C1485" s="15" t="s">
        <v>51</v>
      </c>
      <c r="D1485" s="16">
        <v>40</v>
      </c>
      <c r="E1485" s="17">
        <v>104.39</v>
      </c>
      <c r="F1485" s="16">
        <v>7.0000000000000007E-2</v>
      </c>
      <c r="G1485" s="15" t="s">
        <v>32</v>
      </c>
      <c r="H1485" s="18">
        <v>38.450000000000003</v>
      </c>
      <c r="I1485" s="19">
        <v>2.61</v>
      </c>
      <c r="J1485" s="19">
        <v>0.5</v>
      </c>
      <c r="K1485" s="19" t="s">
        <v>69</v>
      </c>
      <c r="L1485" s="19" t="s">
        <v>75</v>
      </c>
      <c r="M1485" s="15" t="s">
        <v>75</v>
      </c>
      <c r="N1485" s="15" t="s">
        <v>36</v>
      </c>
      <c r="O1485" s="15" t="s">
        <v>114</v>
      </c>
      <c r="P1485" s="20" t="s">
        <v>593</v>
      </c>
      <c r="Q1485" s="15" t="s">
        <v>83</v>
      </c>
      <c r="R1485" s="4"/>
      <c r="S1485" s="4"/>
    </row>
    <row r="1486" spans="1:19" ht="21" customHeight="1" x14ac:dyDescent="0.25">
      <c r="A1486" s="14">
        <f>DATE(2012,12,31)-233</f>
        <v>41041</v>
      </c>
      <c r="B1486" s="15" t="s">
        <v>110</v>
      </c>
      <c r="C1486" s="15" t="s">
        <v>85</v>
      </c>
      <c r="D1486" s="16">
        <v>14</v>
      </c>
      <c r="E1486" s="17">
        <v>618.84</v>
      </c>
      <c r="F1486" s="16">
        <v>0.05</v>
      </c>
      <c r="G1486" s="15" t="s">
        <v>32</v>
      </c>
      <c r="H1486" s="18">
        <v>-200.84</v>
      </c>
      <c r="I1486" s="19">
        <v>41.47</v>
      </c>
      <c r="J1486" s="19">
        <v>34.200000000000003</v>
      </c>
      <c r="K1486" s="19" t="s">
        <v>69</v>
      </c>
      <c r="L1486" s="19" t="s">
        <v>70</v>
      </c>
      <c r="M1486" s="15" t="s">
        <v>1492</v>
      </c>
      <c r="N1486" s="15" t="s">
        <v>54</v>
      </c>
      <c r="O1486" s="15" t="s">
        <v>55</v>
      </c>
      <c r="P1486" s="20" t="s">
        <v>1526</v>
      </c>
      <c r="Q1486" s="15" t="s">
        <v>79</v>
      </c>
      <c r="R1486" s="4"/>
      <c r="S1486" s="4"/>
    </row>
    <row r="1487" spans="1:19" ht="21" customHeight="1" x14ac:dyDescent="0.25">
      <c r="A1487" s="14">
        <f>DATE(2012,12,31)-1254</f>
        <v>40020</v>
      </c>
      <c r="B1487" s="15" t="s">
        <v>620</v>
      </c>
      <c r="C1487" s="15" t="s">
        <v>31</v>
      </c>
      <c r="D1487" s="16">
        <v>26</v>
      </c>
      <c r="E1487" s="17">
        <v>100.41</v>
      </c>
      <c r="F1487" s="16">
        <v>0.04</v>
      </c>
      <c r="G1487" s="15" t="s">
        <v>32</v>
      </c>
      <c r="H1487" s="18">
        <v>-69.91</v>
      </c>
      <c r="I1487" s="19">
        <v>3.57</v>
      </c>
      <c r="J1487" s="19">
        <v>4.17</v>
      </c>
      <c r="K1487" s="19" t="s">
        <v>69</v>
      </c>
      <c r="L1487" s="19" t="s">
        <v>75</v>
      </c>
      <c r="M1487" s="15" t="s">
        <v>75</v>
      </c>
      <c r="N1487" s="15" t="s">
        <v>36</v>
      </c>
      <c r="O1487" s="15" t="s">
        <v>77</v>
      </c>
      <c r="P1487" s="20" t="s">
        <v>604</v>
      </c>
      <c r="Q1487" s="15" t="s">
        <v>49</v>
      </c>
      <c r="R1487" s="4"/>
      <c r="S1487" s="4"/>
    </row>
    <row r="1488" spans="1:19" ht="21" customHeight="1" x14ac:dyDescent="0.25">
      <c r="A1488" s="14">
        <f>DATE(2012,12,31)-1254</f>
        <v>40020</v>
      </c>
      <c r="B1488" s="15" t="s">
        <v>620</v>
      </c>
      <c r="C1488" s="15" t="s">
        <v>31</v>
      </c>
      <c r="D1488" s="16">
        <v>48</v>
      </c>
      <c r="E1488" s="17">
        <v>8101.9875000000002</v>
      </c>
      <c r="F1488" s="16">
        <v>0.05</v>
      </c>
      <c r="G1488" s="15" t="s">
        <v>32</v>
      </c>
      <c r="H1488" s="18">
        <v>2369.8440000000001</v>
      </c>
      <c r="I1488" s="19">
        <v>200.99</v>
      </c>
      <c r="J1488" s="19">
        <v>4.2</v>
      </c>
      <c r="K1488" s="19" t="s">
        <v>69</v>
      </c>
      <c r="L1488" s="19" t="s">
        <v>215</v>
      </c>
      <c r="M1488" s="15" t="s">
        <v>1388</v>
      </c>
      <c r="N1488" s="15" t="s">
        <v>64</v>
      </c>
      <c r="O1488" s="15" t="s">
        <v>65</v>
      </c>
      <c r="P1488" s="20" t="s">
        <v>740</v>
      </c>
      <c r="Q1488" s="15" t="s">
        <v>83</v>
      </c>
      <c r="R1488" s="4"/>
      <c r="S1488" s="4"/>
    </row>
    <row r="1489" spans="1:19" ht="21" customHeight="1" x14ac:dyDescent="0.25">
      <c r="A1489" s="14">
        <f>DATE(2012,12,31)-1254</f>
        <v>40020</v>
      </c>
      <c r="B1489" s="15" t="s">
        <v>620</v>
      </c>
      <c r="C1489" s="15" t="s">
        <v>31</v>
      </c>
      <c r="D1489" s="16">
        <v>8</v>
      </c>
      <c r="E1489" s="17">
        <v>1313.8109999999999</v>
      </c>
      <c r="F1489" s="16">
        <v>7.0000000000000007E-2</v>
      </c>
      <c r="G1489" s="15" t="s">
        <v>32</v>
      </c>
      <c r="H1489" s="18">
        <v>-457.16</v>
      </c>
      <c r="I1489" s="19">
        <v>195.99</v>
      </c>
      <c r="J1489" s="19">
        <v>8.99</v>
      </c>
      <c r="K1489" s="19" t="s">
        <v>111</v>
      </c>
      <c r="L1489" s="19" t="s">
        <v>112</v>
      </c>
      <c r="M1489" s="15" t="s">
        <v>1009</v>
      </c>
      <c r="N1489" s="15" t="s">
        <v>64</v>
      </c>
      <c r="O1489" s="15" t="s">
        <v>65</v>
      </c>
      <c r="P1489" s="20" t="s">
        <v>1527</v>
      </c>
      <c r="Q1489" s="15" t="s">
        <v>83</v>
      </c>
      <c r="R1489" s="4"/>
      <c r="S1489" s="4"/>
    </row>
    <row r="1490" spans="1:19" ht="21" customHeight="1" x14ac:dyDescent="0.25">
      <c r="A1490" s="14">
        <f>DATE(2012,12,31)-609</f>
        <v>40665</v>
      </c>
      <c r="B1490" s="15" t="s">
        <v>1528</v>
      </c>
      <c r="C1490" s="15" t="s">
        <v>51</v>
      </c>
      <c r="D1490" s="16">
        <v>39</v>
      </c>
      <c r="E1490" s="17">
        <v>6330.0859999999993</v>
      </c>
      <c r="F1490" s="16">
        <v>0.1</v>
      </c>
      <c r="G1490" s="15" t="s">
        <v>32</v>
      </c>
      <c r="H1490" s="18">
        <v>1421.8920000000001</v>
      </c>
      <c r="I1490" s="19">
        <v>205.99</v>
      </c>
      <c r="J1490" s="19">
        <v>2.5</v>
      </c>
      <c r="K1490" s="19" t="s">
        <v>111</v>
      </c>
      <c r="L1490" s="19" t="s">
        <v>112</v>
      </c>
      <c r="M1490" s="15" t="s">
        <v>1009</v>
      </c>
      <c r="N1490" s="15" t="s">
        <v>64</v>
      </c>
      <c r="O1490" s="15" t="s">
        <v>65</v>
      </c>
      <c r="P1490" s="20" t="s">
        <v>1529</v>
      </c>
      <c r="Q1490" s="15" t="s">
        <v>83</v>
      </c>
      <c r="R1490" s="4"/>
      <c r="S1490" s="4"/>
    </row>
    <row r="1491" spans="1:19" ht="21" customHeight="1" x14ac:dyDescent="0.25">
      <c r="A1491" s="14">
        <f>DATE(2012,12,31)-712</f>
        <v>40562</v>
      </c>
      <c r="B1491" s="15" t="s">
        <v>187</v>
      </c>
      <c r="C1491" s="15" t="s">
        <v>43</v>
      </c>
      <c r="D1491" s="16">
        <v>8</v>
      </c>
      <c r="E1491" s="17">
        <v>40.26</v>
      </c>
      <c r="F1491" s="16">
        <v>0.01</v>
      </c>
      <c r="G1491" s="15" t="s">
        <v>32</v>
      </c>
      <c r="H1491" s="18">
        <v>-27.44</v>
      </c>
      <c r="I1491" s="19">
        <v>4.28</v>
      </c>
      <c r="J1491" s="19">
        <v>5.68</v>
      </c>
      <c r="K1491" s="19" t="s">
        <v>44</v>
      </c>
      <c r="L1491" s="19" t="s">
        <v>45</v>
      </c>
      <c r="M1491" s="15" t="s">
        <v>1264</v>
      </c>
      <c r="N1491" s="15" t="s">
        <v>36</v>
      </c>
      <c r="O1491" s="15" t="s">
        <v>117</v>
      </c>
      <c r="P1491" s="20" t="s">
        <v>1530</v>
      </c>
      <c r="Q1491" s="15" t="s">
        <v>83</v>
      </c>
      <c r="R1491" s="4"/>
      <c r="S1491" s="4"/>
    </row>
    <row r="1492" spans="1:19" ht="21" customHeight="1" x14ac:dyDescent="0.25">
      <c r="A1492" s="14">
        <f>DATE(2012,12,31)-478</f>
        <v>40796</v>
      </c>
      <c r="B1492" s="15" t="s">
        <v>1531</v>
      </c>
      <c r="C1492" s="15" t="s">
        <v>85</v>
      </c>
      <c r="D1492" s="16">
        <v>5</v>
      </c>
      <c r="E1492" s="17">
        <v>95.38</v>
      </c>
      <c r="F1492" s="16">
        <v>0.03</v>
      </c>
      <c r="G1492" s="15" t="s">
        <v>32</v>
      </c>
      <c r="H1492" s="18">
        <v>-36.891999999999996</v>
      </c>
      <c r="I1492" s="19">
        <v>15.99</v>
      </c>
      <c r="J1492" s="19">
        <v>13.18</v>
      </c>
      <c r="K1492" s="19" t="s">
        <v>44</v>
      </c>
      <c r="L1492" s="19" t="s">
        <v>89</v>
      </c>
      <c r="M1492" s="15" t="s">
        <v>1341</v>
      </c>
      <c r="N1492" s="15" t="s">
        <v>36</v>
      </c>
      <c r="O1492" s="15" t="s">
        <v>170</v>
      </c>
      <c r="P1492" s="20" t="s">
        <v>479</v>
      </c>
      <c r="Q1492" s="15" t="s">
        <v>83</v>
      </c>
      <c r="R1492" s="4"/>
      <c r="S1492" s="4"/>
    </row>
    <row r="1493" spans="1:19" ht="21" customHeight="1" x14ac:dyDescent="0.25">
      <c r="A1493" s="14">
        <f>DATE(2012,12,31)-1020</f>
        <v>40254</v>
      </c>
      <c r="B1493" s="15" t="s">
        <v>1532</v>
      </c>
      <c r="C1493" s="15" t="s">
        <v>31</v>
      </c>
      <c r="D1493" s="16">
        <v>7</v>
      </c>
      <c r="E1493" s="17">
        <v>48.04</v>
      </c>
      <c r="F1493" s="16">
        <v>0.09</v>
      </c>
      <c r="G1493" s="15" t="s">
        <v>32</v>
      </c>
      <c r="H1493" s="18">
        <v>-23.28</v>
      </c>
      <c r="I1493" s="19">
        <v>6.48</v>
      </c>
      <c r="J1493" s="19">
        <v>5.94</v>
      </c>
      <c r="K1493" s="19" t="s">
        <v>44</v>
      </c>
      <c r="L1493" s="19" t="s">
        <v>45</v>
      </c>
      <c r="M1493" s="15" t="s">
        <v>1264</v>
      </c>
      <c r="N1493" s="15" t="s">
        <v>36</v>
      </c>
      <c r="O1493" s="15" t="s">
        <v>117</v>
      </c>
      <c r="P1493" s="20" t="s">
        <v>1221</v>
      </c>
      <c r="Q1493" s="15" t="s">
        <v>83</v>
      </c>
      <c r="R1493" s="4"/>
      <c r="S1493" s="4"/>
    </row>
    <row r="1494" spans="1:19" ht="21" customHeight="1" x14ac:dyDescent="0.25">
      <c r="A1494" s="14">
        <f>DATE(2012,12,31)-910</f>
        <v>40364</v>
      </c>
      <c r="B1494" s="15" t="s">
        <v>602</v>
      </c>
      <c r="C1494" s="15" t="s">
        <v>43</v>
      </c>
      <c r="D1494" s="16">
        <v>2</v>
      </c>
      <c r="E1494" s="17">
        <v>19.36</v>
      </c>
      <c r="F1494" s="16">
        <v>0.1</v>
      </c>
      <c r="G1494" s="15" t="s">
        <v>32</v>
      </c>
      <c r="H1494" s="18">
        <v>-11.85</v>
      </c>
      <c r="I1494" s="19">
        <v>6.78</v>
      </c>
      <c r="J1494" s="19">
        <v>6.18</v>
      </c>
      <c r="K1494" s="19" t="s">
        <v>44</v>
      </c>
      <c r="L1494" s="19" t="s">
        <v>89</v>
      </c>
      <c r="M1494" s="15" t="s">
        <v>1341</v>
      </c>
      <c r="N1494" s="15" t="s">
        <v>36</v>
      </c>
      <c r="O1494" s="15" t="s">
        <v>117</v>
      </c>
      <c r="P1494" s="20" t="s">
        <v>499</v>
      </c>
      <c r="Q1494" s="15" t="s">
        <v>83</v>
      </c>
      <c r="R1494" s="4"/>
      <c r="S1494" s="4"/>
    </row>
    <row r="1495" spans="1:19" ht="21" customHeight="1" x14ac:dyDescent="0.25">
      <c r="A1495" s="14">
        <f>DATE(2012,12,31)-910</f>
        <v>40364</v>
      </c>
      <c r="B1495" s="15" t="s">
        <v>602</v>
      </c>
      <c r="C1495" s="15" t="s">
        <v>43</v>
      </c>
      <c r="D1495" s="16">
        <v>30</v>
      </c>
      <c r="E1495" s="17">
        <v>206.27</v>
      </c>
      <c r="F1495" s="16">
        <v>0.09</v>
      </c>
      <c r="G1495" s="15" t="s">
        <v>32</v>
      </c>
      <c r="H1495" s="18">
        <v>-54.441000000000003</v>
      </c>
      <c r="I1495" s="19">
        <v>6.81</v>
      </c>
      <c r="J1495" s="19">
        <v>5.48</v>
      </c>
      <c r="K1495" s="19" t="s">
        <v>44</v>
      </c>
      <c r="L1495" s="19" t="s">
        <v>89</v>
      </c>
      <c r="M1495" s="15" t="s">
        <v>1341</v>
      </c>
      <c r="N1495" s="15" t="s">
        <v>36</v>
      </c>
      <c r="O1495" s="15" t="s">
        <v>170</v>
      </c>
      <c r="P1495" s="20" t="s">
        <v>1533</v>
      </c>
      <c r="Q1495" s="15" t="s">
        <v>83</v>
      </c>
      <c r="R1495" s="4"/>
      <c r="S1495" s="4"/>
    </row>
    <row r="1496" spans="1:19" ht="21" customHeight="1" x14ac:dyDescent="0.25">
      <c r="A1496" s="14">
        <f>DATE(2012,12,31)-861</f>
        <v>40413</v>
      </c>
      <c r="B1496" s="15" t="s">
        <v>1534</v>
      </c>
      <c r="C1496" s="15" t="s">
        <v>43</v>
      </c>
      <c r="D1496" s="16">
        <v>15</v>
      </c>
      <c r="E1496" s="17">
        <v>308.54000000000002</v>
      </c>
      <c r="F1496" s="16">
        <v>0</v>
      </c>
      <c r="G1496" s="15" t="s">
        <v>101</v>
      </c>
      <c r="H1496" s="18">
        <v>76.42</v>
      </c>
      <c r="I1496" s="19">
        <v>19.84</v>
      </c>
      <c r="J1496" s="19">
        <v>4.0999999999999996</v>
      </c>
      <c r="K1496" s="19" t="s">
        <v>44</v>
      </c>
      <c r="L1496" s="19" t="s">
        <v>120</v>
      </c>
      <c r="M1496" s="15" t="s">
        <v>121</v>
      </c>
      <c r="N1496" s="15" t="s">
        <v>36</v>
      </c>
      <c r="O1496" s="15" t="s">
        <v>77</v>
      </c>
      <c r="P1496" s="20" t="s">
        <v>162</v>
      </c>
      <c r="Q1496" s="15" t="s">
        <v>79</v>
      </c>
      <c r="R1496" s="4"/>
      <c r="S1496" s="4"/>
    </row>
    <row r="1497" spans="1:19" ht="21" customHeight="1" x14ac:dyDescent="0.25">
      <c r="A1497" s="14">
        <f>DATE(2012,12,31)-500</f>
        <v>40774</v>
      </c>
      <c r="B1497" s="15" t="s">
        <v>807</v>
      </c>
      <c r="C1497" s="15" t="s">
        <v>43</v>
      </c>
      <c r="D1497" s="16">
        <v>20</v>
      </c>
      <c r="E1497" s="17">
        <v>400.57</v>
      </c>
      <c r="F1497" s="16">
        <v>0.05</v>
      </c>
      <c r="G1497" s="15" t="s">
        <v>32</v>
      </c>
      <c r="H1497" s="18">
        <v>93.36</v>
      </c>
      <c r="I1497" s="19">
        <v>19.98</v>
      </c>
      <c r="J1497" s="19">
        <v>5.77</v>
      </c>
      <c r="K1497" s="19" t="s">
        <v>44</v>
      </c>
      <c r="L1497" s="19" t="s">
        <v>120</v>
      </c>
      <c r="M1497" s="15" t="s">
        <v>121</v>
      </c>
      <c r="N1497" s="15" t="s">
        <v>36</v>
      </c>
      <c r="O1497" s="15" t="s">
        <v>117</v>
      </c>
      <c r="P1497" s="20" t="s">
        <v>1535</v>
      </c>
      <c r="Q1497" s="15" t="s">
        <v>83</v>
      </c>
      <c r="R1497" s="4"/>
      <c r="S1497" s="4"/>
    </row>
    <row r="1498" spans="1:19" ht="21" customHeight="1" x14ac:dyDescent="0.25">
      <c r="A1498" s="14">
        <f>DATE(2012,12,31)-860</f>
        <v>40414</v>
      </c>
      <c r="B1498" s="15" t="s">
        <v>361</v>
      </c>
      <c r="C1498" s="15" t="s">
        <v>85</v>
      </c>
      <c r="D1498" s="16">
        <v>35</v>
      </c>
      <c r="E1498" s="17">
        <v>233.39</v>
      </c>
      <c r="F1498" s="16">
        <v>0.06</v>
      </c>
      <c r="G1498" s="15" t="s">
        <v>32</v>
      </c>
      <c r="H1498" s="18">
        <v>-197.39</v>
      </c>
      <c r="I1498" s="19">
        <v>6.48</v>
      </c>
      <c r="J1498" s="19">
        <v>9.5399999999999991</v>
      </c>
      <c r="K1498" s="19" t="s">
        <v>44</v>
      </c>
      <c r="L1498" s="19" t="s">
        <v>236</v>
      </c>
      <c r="M1498" s="15" t="s">
        <v>237</v>
      </c>
      <c r="N1498" s="15" t="s">
        <v>36</v>
      </c>
      <c r="O1498" s="15" t="s">
        <v>117</v>
      </c>
      <c r="P1498" s="20" t="s">
        <v>684</v>
      </c>
      <c r="Q1498" s="15" t="s">
        <v>83</v>
      </c>
      <c r="R1498" s="4"/>
      <c r="S1498" s="4"/>
    </row>
    <row r="1499" spans="1:19" ht="21" customHeight="1" x14ac:dyDescent="0.25">
      <c r="A1499" s="14">
        <f>DATE(2012,12,31)-370</f>
        <v>40904</v>
      </c>
      <c r="B1499" s="15" t="s">
        <v>1536</v>
      </c>
      <c r="C1499" s="15" t="s">
        <v>43</v>
      </c>
      <c r="D1499" s="16">
        <v>49</v>
      </c>
      <c r="E1499" s="17">
        <v>2072.12</v>
      </c>
      <c r="F1499" s="16">
        <v>0.04</v>
      </c>
      <c r="G1499" s="15" t="s">
        <v>101</v>
      </c>
      <c r="H1499" s="18">
        <v>365.23</v>
      </c>
      <c r="I1499" s="19">
        <v>40.97</v>
      </c>
      <c r="J1499" s="19">
        <v>8.99</v>
      </c>
      <c r="K1499" s="19" t="s">
        <v>44</v>
      </c>
      <c r="L1499" s="19" t="s">
        <v>120</v>
      </c>
      <c r="M1499" s="15" t="s">
        <v>121</v>
      </c>
      <c r="N1499" s="15" t="s">
        <v>36</v>
      </c>
      <c r="O1499" s="15" t="s">
        <v>77</v>
      </c>
      <c r="P1499" s="20" t="s">
        <v>938</v>
      </c>
      <c r="Q1499" s="15" t="s">
        <v>49</v>
      </c>
      <c r="R1499" s="4"/>
      <c r="S1499" s="4"/>
    </row>
    <row r="1500" spans="1:19" ht="21" customHeight="1" x14ac:dyDescent="0.25">
      <c r="A1500" s="14">
        <f>DATE(2012,12,31)-370</f>
        <v>40904</v>
      </c>
      <c r="B1500" s="15" t="s">
        <v>1536</v>
      </c>
      <c r="C1500" s="15" t="s">
        <v>43</v>
      </c>
      <c r="D1500" s="16">
        <v>33</v>
      </c>
      <c r="E1500" s="17">
        <v>151.19</v>
      </c>
      <c r="F1500" s="16">
        <v>0.06</v>
      </c>
      <c r="G1500" s="15" t="s">
        <v>32</v>
      </c>
      <c r="H1500" s="18">
        <v>-13.45</v>
      </c>
      <c r="I1500" s="19">
        <v>4.71</v>
      </c>
      <c r="J1500" s="19">
        <v>0.7</v>
      </c>
      <c r="K1500" s="19" t="s">
        <v>124</v>
      </c>
      <c r="L1500" s="19" t="s">
        <v>125</v>
      </c>
      <c r="M1500" s="15" t="s">
        <v>1297</v>
      </c>
      <c r="N1500" s="15" t="s">
        <v>36</v>
      </c>
      <c r="O1500" s="15" t="s">
        <v>105</v>
      </c>
      <c r="P1500" s="20" t="s">
        <v>778</v>
      </c>
      <c r="Q1500" s="15" t="s">
        <v>79</v>
      </c>
      <c r="R1500" s="4"/>
      <c r="S1500" s="4"/>
    </row>
    <row r="1501" spans="1:19" ht="21" customHeight="1" x14ac:dyDescent="0.25">
      <c r="A1501" s="14">
        <f>DATE(2012,12,31)-202</f>
        <v>41072</v>
      </c>
      <c r="B1501" s="15" t="s">
        <v>104</v>
      </c>
      <c r="C1501" s="15" t="s">
        <v>31</v>
      </c>
      <c r="D1501" s="16">
        <v>3</v>
      </c>
      <c r="E1501" s="17">
        <v>133.9</v>
      </c>
      <c r="F1501" s="16">
        <v>0.03</v>
      </c>
      <c r="G1501" s="15" t="s">
        <v>32</v>
      </c>
      <c r="H1501" s="18">
        <v>-14.581999999999999</v>
      </c>
      <c r="I1501" s="19">
        <v>43.41</v>
      </c>
      <c r="J1501" s="19">
        <v>2.99</v>
      </c>
      <c r="K1501" s="19" t="s">
        <v>33</v>
      </c>
      <c r="L1501" s="19" t="s">
        <v>93</v>
      </c>
      <c r="M1501" s="15" t="s">
        <v>94</v>
      </c>
      <c r="N1501" s="15" t="s">
        <v>36</v>
      </c>
      <c r="O1501" s="15" t="s">
        <v>170</v>
      </c>
      <c r="P1501" s="20" t="s">
        <v>962</v>
      </c>
      <c r="Q1501" s="15" t="s">
        <v>83</v>
      </c>
      <c r="R1501" s="4"/>
      <c r="S1501" s="4"/>
    </row>
    <row r="1502" spans="1:19" ht="21" customHeight="1" x14ac:dyDescent="0.25">
      <c r="A1502" s="14">
        <f>DATE(2012,12,31)-1365</f>
        <v>39909</v>
      </c>
      <c r="B1502" s="15" t="s">
        <v>1537</v>
      </c>
      <c r="C1502" s="15" t="s">
        <v>51</v>
      </c>
      <c r="D1502" s="16">
        <v>50</v>
      </c>
      <c r="E1502" s="17">
        <v>608.21</v>
      </c>
      <c r="F1502" s="16">
        <v>0.09</v>
      </c>
      <c r="G1502" s="15" t="s">
        <v>32</v>
      </c>
      <c r="H1502" s="18">
        <v>-175.13</v>
      </c>
      <c r="I1502" s="19">
        <v>12.88</v>
      </c>
      <c r="J1502" s="19">
        <v>4.59</v>
      </c>
      <c r="K1502" s="19" t="s">
        <v>33</v>
      </c>
      <c r="L1502" s="19" t="s">
        <v>93</v>
      </c>
      <c r="M1502" s="15" t="s">
        <v>94</v>
      </c>
      <c r="N1502" s="15" t="s">
        <v>36</v>
      </c>
      <c r="O1502" s="15" t="s">
        <v>47</v>
      </c>
      <c r="P1502" s="20" t="s">
        <v>1538</v>
      </c>
      <c r="Q1502" s="15" t="s">
        <v>79</v>
      </c>
      <c r="R1502" s="4"/>
      <c r="S1502" s="4"/>
    </row>
    <row r="1503" spans="1:19" ht="21" customHeight="1" x14ac:dyDescent="0.25">
      <c r="A1503" s="14">
        <f>DATE(2012,12,31)-1365</f>
        <v>39909</v>
      </c>
      <c r="B1503" s="15" t="s">
        <v>1537</v>
      </c>
      <c r="C1503" s="15" t="s">
        <v>51</v>
      </c>
      <c r="D1503" s="16">
        <v>14</v>
      </c>
      <c r="E1503" s="17">
        <v>570.52850000000001</v>
      </c>
      <c r="F1503" s="16">
        <v>0.02</v>
      </c>
      <c r="G1503" s="15" t="s">
        <v>101</v>
      </c>
      <c r="H1503" s="18">
        <v>3.96</v>
      </c>
      <c r="I1503" s="19">
        <v>45.99</v>
      </c>
      <c r="J1503" s="19">
        <v>4.99</v>
      </c>
      <c r="K1503" s="19" t="s">
        <v>97</v>
      </c>
      <c r="L1503" s="19" t="s">
        <v>98</v>
      </c>
      <c r="M1503" s="15" t="s">
        <v>1162</v>
      </c>
      <c r="N1503" s="15" t="s">
        <v>64</v>
      </c>
      <c r="O1503" s="15" t="s">
        <v>65</v>
      </c>
      <c r="P1503" s="20" t="s">
        <v>1539</v>
      </c>
      <c r="Q1503" s="15" t="s">
        <v>83</v>
      </c>
      <c r="R1503" s="4"/>
      <c r="S1503" s="4"/>
    </row>
    <row r="1504" spans="1:19" ht="21" customHeight="1" x14ac:dyDescent="0.25">
      <c r="A1504" s="14">
        <f>DATE(2012,12,31)-797</f>
        <v>40477</v>
      </c>
      <c r="B1504" s="15" t="s">
        <v>288</v>
      </c>
      <c r="C1504" s="15" t="s">
        <v>51</v>
      </c>
      <c r="D1504" s="16">
        <v>17</v>
      </c>
      <c r="E1504" s="17">
        <v>285.83999999999997</v>
      </c>
      <c r="F1504" s="16">
        <v>0.02</v>
      </c>
      <c r="G1504" s="15" t="s">
        <v>32</v>
      </c>
      <c r="H1504" s="18">
        <v>-27.254999999999999</v>
      </c>
      <c r="I1504" s="19">
        <v>15.28</v>
      </c>
      <c r="J1504" s="19">
        <v>10.91</v>
      </c>
      <c r="K1504" s="19" t="s">
        <v>97</v>
      </c>
      <c r="L1504" s="19" t="s">
        <v>98</v>
      </c>
      <c r="M1504" s="15" t="s">
        <v>1162</v>
      </c>
      <c r="N1504" s="15" t="s">
        <v>36</v>
      </c>
      <c r="O1504" s="15" t="s">
        <v>170</v>
      </c>
      <c r="P1504" s="20" t="s">
        <v>1540</v>
      </c>
      <c r="Q1504" s="15" t="s">
        <v>83</v>
      </c>
      <c r="R1504" s="4"/>
      <c r="S1504" s="4"/>
    </row>
    <row r="1505" spans="1:19" ht="21" customHeight="1" x14ac:dyDescent="0.25">
      <c r="A1505" s="14">
        <f>DATE(2012,12,31)-797</f>
        <v>40477</v>
      </c>
      <c r="B1505" s="15" t="s">
        <v>288</v>
      </c>
      <c r="C1505" s="15" t="s">
        <v>51</v>
      </c>
      <c r="D1505" s="16">
        <v>40</v>
      </c>
      <c r="E1505" s="17">
        <v>12450.48</v>
      </c>
      <c r="F1505" s="16">
        <v>0.01</v>
      </c>
      <c r="G1505" s="15" t="s">
        <v>58</v>
      </c>
      <c r="H1505" s="18">
        <v>3030.16</v>
      </c>
      <c r="I1505" s="19">
        <v>300.98</v>
      </c>
      <c r="J1505" s="19">
        <v>54.92</v>
      </c>
      <c r="K1505" s="19" t="s">
        <v>97</v>
      </c>
      <c r="L1505" s="19" t="s">
        <v>195</v>
      </c>
      <c r="M1505" s="15" t="s">
        <v>1413</v>
      </c>
      <c r="N1505" s="15" t="s">
        <v>54</v>
      </c>
      <c r="O1505" s="15" t="s">
        <v>134</v>
      </c>
      <c r="P1505" s="20" t="s">
        <v>1541</v>
      </c>
      <c r="Q1505" s="15" t="s">
        <v>63</v>
      </c>
      <c r="R1505" s="4"/>
      <c r="S1505" s="4"/>
    </row>
    <row r="1506" spans="1:19" ht="21" customHeight="1" x14ac:dyDescent="0.25">
      <c r="A1506" s="14">
        <f>DATE(2012,12,31)-1132</f>
        <v>40142</v>
      </c>
      <c r="B1506" s="15" t="s">
        <v>659</v>
      </c>
      <c r="C1506" s="15" t="s">
        <v>31</v>
      </c>
      <c r="D1506" s="16">
        <v>24</v>
      </c>
      <c r="E1506" s="17">
        <v>2525.9874999999997</v>
      </c>
      <c r="F1506" s="16">
        <v>0.09</v>
      </c>
      <c r="G1506" s="15" t="s">
        <v>32</v>
      </c>
      <c r="H1506" s="18">
        <v>416.673</v>
      </c>
      <c r="I1506" s="19">
        <v>125.99</v>
      </c>
      <c r="J1506" s="19">
        <v>8.99</v>
      </c>
      <c r="K1506" s="19" t="s">
        <v>97</v>
      </c>
      <c r="L1506" s="19" t="s">
        <v>195</v>
      </c>
      <c r="M1506" s="15" t="s">
        <v>1413</v>
      </c>
      <c r="N1506" s="15" t="s">
        <v>64</v>
      </c>
      <c r="O1506" s="15" t="s">
        <v>65</v>
      </c>
      <c r="P1506" s="20" t="s">
        <v>109</v>
      </c>
      <c r="Q1506" s="15" t="s">
        <v>83</v>
      </c>
      <c r="R1506" s="4"/>
      <c r="S1506" s="4"/>
    </row>
    <row r="1507" spans="1:19" ht="21" customHeight="1" x14ac:dyDescent="0.25">
      <c r="A1507" s="14">
        <f>DATE(2012,12,31)-1226</f>
        <v>40048</v>
      </c>
      <c r="B1507" s="15" t="s">
        <v>648</v>
      </c>
      <c r="C1507" s="15" t="s">
        <v>85</v>
      </c>
      <c r="D1507" s="16">
        <v>36</v>
      </c>
      <c r="E1507" s="17">
        <v>65.42</v>
      </c>
      <c r="F1507" s="16">
        <v>0.04</v>
      </c>
      <c r="G1507" s="15" t="s">
        <v>32</v>
      </c>
      <c r="H1507" s="18">
        <v>-112.92</v>
      </c>
      <c r="I1507" s="19">
        <v>1.74</v>
      </c>
      <c r="J1507" s="19">
        <v>4.08</v>
      </c>
      <c r="K1507" s="19" t="s">
        <v>97</v>
      </c>
      <c r="L1507" s="19" t="s">
        <v>98</v>
      </c>
      <c r="M1507" s="15" t="s">
        <v>1162</v>
      </c>
      <c r="N1507" s="15" t="s">
        <v>54</v>
      </c>
      <c r="O1507" s="15" t="s">
        <v>55</v>
      </c>
      <c r="P1507" s="20" t="s">
        <v>935</v>
      </c>
      <c r="Q1507" s="15" t="s">
        <v>49</v>
      </c>
      <c r="R1507" s="4"/>
      <c r="S1507" s="4"/>
    </row>
    <row r="1508" spans="1:19" ht="21" customHeight="1" x14ac:dyDescent="0.25">
      <c r="A1508" s="14">
        <f>DATE(2012,12,31)-1226</f>
        <v>40048</v>
      </c>
      <c r="B1508" s="15" t="s">
        <v>648</v>
      </c>
      <c r="C1508" s="15" t="s">
        <v>85</v>
      </c>
      <c r="D1508" s="16">
        <v>47</v>
      </c>
      <c r="E1508" s="17">
        <v>5750.94</v>
      </c>
      <c r="F1508" s="16">
        <v>0.01</v>
      </c>
      <c r="G1508" s="15" t="s">
        <v>58</v>
      </c>
      <c r="H1508" s="18">
        <v>432.98</v>
      </c>
      <c r="I1508" s="19">
        <v>119.99</v>
      </c>
      <c r="J1508" s="19">
        <v>56.14</v>
      </c>
      <c r="K1508" s="19" t="s">
        <v>124</v>
      </c>
      <c r="L1508" s="19" t="s">
        <v>160</v>
      </c>
      <c r="M1508" s="15" t="s">
        <v>1505</v>
      </c>
      <c r="N1508" s="15" t="s">
        <v>64</v>
      </c>
      <c r="O1508" s="15" t="s">
        <v>122</v>
      </c>
      <c r="P1508" s="20" t="s">
        <v>1542</v>
      </c>
      <c r="Q1508" s="15" t="s">
        <v>63</v>
      </c>
      <c r="R1508" s="4"/>
      <c r="S1508" s="4"/>
    </row>
    <row r="1509" spans="1:19" ht="21" customHeight="1" x14ac:dyDescent="0.25">
      <c r="A1509" s="14">
        <f>DATE(2012,12,31)-1059</f>
        <v>40215</v>
      </c>
      <c r="B1509" s="15" t="s">
        <v>1426</v>
      </c>
      <c r="C1509" s="15" t="s">
        <v>31</v>
      </c>
      <c r="D1509" s="16">
        <v>27</v>
      </c>
      <c r="E1509" s="17">
        <v>5149.0600000000004</v>
      </c>
      <c r="F1509" s="16">
        <v>0.03</v>
      </c>
      <c r="G1509" s="15" t="s">
        <v>58</v>
      </c>
      <c r="H1509" s="18">
        <v>605.44000000000005</v>
      </c>
      <c r="I1509" s="19">
        <v>180.98</v>
      </c>
      <c r="J1509" s="19">
        <v>30</v>
      </c>
      <c r="K1509" s="19" t="s">
        <v>124</v>
      </c>
      <c r="L1509" s="19" t="s">
        <v>493</v>
      </c>
      <c r="M1509" s="15" t="s">
        <v>1289</v>
      </c>
      <c r="N1509" s="15" t="s">
        <v>54</v>
      </c>
      <c r="O1509" s="15" t="s">
        <v>252</v>
      </c>
      <c r="P1509" s="20" t="s">
        <v>1543</v>
      </c>
      <c r="Q1509" s="15" t="s">
        <v>181</v>
      </c>
      <c r="R1509" s="4"/>
      <c r="S1509" s="4"/>
    </row>
    <row r="1510" spans="1:19" ht="21" customHeight="1" x14ac:dyDescent="0.25">
      <c r="A1510" s="14">
        <f>DATE(2012,12,31)-662</f>
        <v>40612</v>
      </c>
      <c r="B1510" s="15" t="s">
        <v>520</v>
      </c>
      <c r="C1510" s="15" t="s">
        <v>85</v>
      </c>
      <c r="D1510" s="16">
        <v>23</v>
      </c>
      <c r="E1510" s="17">
        <v>135.31</v>
      </c>
      <c r="F1510" s="16">
        <v>0.06</v>
      </c>
      <c r="G1510" s="15" t="s">
        <v>32</v>
      </c>
      <c r="H1510" s="18">
        <v>-49.323500000000003</v>
      </c>
      <c r="I1510" s="19">
        <v>5.74</v>
      </c>
      <c r="J1510" s="19">
        <v>5.01</v>
      </c>
      <c r="K1510" s="19" t="s">
        <v>124</v>
      </c>
      <c r="L1510" s="19" t="s">
        <v>160</v>
      </c>
      <c r="M1510" s="15" t="s">
        <v>1505</v>
      </c>
      <c r="N1510" s="15" t="s">
        <v>36</v>
      </c>
      <c r="O1510" s="15" t="s">
        <v>170</v>
      </c>
      <c r="P1510" s="20" t="s">
        <v>834</v>
      </c>
      <c r="Q1510" s="15" t="s">
        <v>83</v>
      </c>
      <c r="R1510" s="4"/>
      <c r="S1510" s="4"/>
    </row>
    <row r="1511" spans="1:19" ht="21" customHeight="1" x14ac:dyDescent="0.25">
      <c r="A1511" s="14">
        <f>DATE(2012,12,31)-325</f>
        <v>40949</v>
      </c>
      <c r="B1511" s="15" t="s">
        <v>330</v>
      </c>
      <c r="C1511" s="15" t="s">
        <v>85</v>
      </c>
      <c r="D1511" s="16">
        <v>14</v>
      </c>
      <c r="E1511" s="17">
        <v>1281.3579999999999</v>
      </c>
      <c r="F1511" s="16">
        <v>0.09</v>
      </c>
      <c r="G1511" s="15" t="s">
        <v>101</v>
      </c>
      <c r="H1511" s="18">
        <v>-90.123000000000005</v>
      </c>
      <c r="I1511" s="19">
        <v>115.99</v>
      </c>
      <c r="J1511" s="19">
        <v>5.99</v>
      </c>
      <c r="K1511" s="19" t="s">
        <v>124</v>
      </c>
      <c r="L1511" s="19" t="s">
        <v>160</v>
      </c>
      <c r="M1511" s="15" t="s">
        <v>1505</v>
      </c>
      <c r="N1511" s="15" t="s">
        <v>64</v>
      </c>
      <c r="O1511" s="15" t="s">
        <v>65</v>
      </c>
      <c r="P1511" s="20" t="s">
        <v>1032</v>
      </c>
      <c r="Q1511" s="15" t="s">
        <v>83</v>
      </c>
      <c r="R1511" s="4"/>
      <c r="S1511" s="4"/>
    </row>
    <row r="1512" spans="1:19" ht="21" customHeight="1" x14ac:dyDescent="0.25">
      <c r="A1512" s="14">
        <f>DATE(2012,12,31)-1010</f>
        <v>40264</v>
      </c>
      <c r="B1512" s="15" t="s">
        <v>1544</v>
      </c>
      <c r="C1512" s="15" t="s">
        <v>51</v>
      </c>
      <c r="D1512" s="16">
        <v>42</v>
      </c>
      <c r="E1512" s="17">
        <v>2040.95</v>
      </c>
      <c r="F1512" s="16">
        <v>7.0000000000000007E-2</v>
      </c>
      <c r="G1512" s="15" t="s">
        <v>32</v>
      </c>
      <c r="H1512" s="18">
        <v>-1231.8699999999999</v>
      </c>
      <c r="I1512" s="19">
        <v>48.91</v>
      </c>
      <c r="J1512" s="19">
        <v>35</v>
      </c>
      <c r="K1512" s="19" t="s">
        <v>124</v>
      </c>
      <c r="L1512" s="19" t="s">
        <v>160</v>
      </c>
      <c r="M1512" s="15" t="s">
        <v>1505</v>
      </c>
      <c r="N1512" s="15" t="s">
        <v>36</v>
      </c>
      <c r="O1512" s="15" t="s">
        <v>37</v>
      </c>
      <c r="P1512" s="20" t="s">
        <v>1184</v>
      </c>
      <c r="Q1512" s="15" t="s">
        <v>39</v>
      </c>
      <c r="R1512" s="4"/>
      <c r="S1512" s="4"/>
    </row>
    <row r="1513" spans="1:19" ht="21" customHeight="1" x14ac:dyDescent="0.25">
      <c r="A1513" s="14">
        <f>DATE(2012,12,31)-415</f>
        <v>40859</v>
      </c>
      <c r="B1513" s="15" t="s">
        <v>361</v>
      </c>
      <c r="C1513" s="15" t="s">
        <v>51</v>
      </c>
      <c r="D1513" s="16">
        <v>9</v>
      </c>
      <c r="E1513" s="17">
        <v>181.66</v>
      </c>
      <c r="F1513" s="16">
        <v>0</v>
      </c>
      <c r="G1513" s="15" t="s">
        <v>32</v>
      </c>
      <c r="H1513" s="18">
        <v>-27.474599999999999</v>
      </c>
      <c r="I1513" s="19">
        <v>17.98</v>
      </c>
      <c r="J1513" s="19">
        <v>8.51</v>
      </c>
      <c r="K1513" s="19" t="s">
        <v>124</v>
      </c>
      <c r="L1513" s="19" t="s">
        <v>164</v>
      </c>
      <c r="M1513" s="15" t="s">
        <v>1228</v>
      </c>
      <c r="N1513" s="15" t="s">
        <v>64</v>
      </c>
      <c r="O1513" s="15" t="s">
        <v>122</v>
      </c>
      <c r="P1513" s="20" t="s">
        <v>1357</v>
      </c>
      <c r="Q1513" s="15" t="s">
        <v>57</v>
      </c>
      <c r="R1513" s="4"/>
      <c r="S1513" s="4"/>
    </row>
    <row r="1514" spans="1:19" ht="21" customHeight="1" x14ac:dyDescent="0.25">
      <c r="A1514" s="14">
        <f>DATE(2012,12,31)-363</f>
        <v>40911</v>
      </c>
      <c r="B1514" s="15" t="s">
        <v>1214</v>
      </c>
      <c r="C1514" s="15" t="s">
        <v>85</v>
      </c>
      <c r="D1514" s="16">
        <v>14</v>
      </c>
      <c r="E1514" s="17">
        <v>1170.0250000000001</v>
      </c>
      <c r="F1514" s="16">
        <v>0.04</v>
      </c>
      <c r="G1514" s="15" t="s">
        <v>32</v>
      </c>
      <c r="H1514" s="18">
        <v>4.2210000000000107</v>
      </c>
      <c r="I1514" s="19">
        <v>95.99</v>
      </c>
      <c r="J1514" s="19">
        <v>8.99</v>
      </c>
      <c r="K1514" s="19" t="s">
        <v>124</v>
      </c>
      <c r="L1514" s="19" t="s">
        <v>164</v>
      </c>
      <c r="M1514" s="15" t="s">
        <v>1228</v>
      </c>
      <c r="N1514" s="15" t="s">
        <v>64</v>
      </c>
      <c r="O1514" s="15" t="s">
        <v>65</v>
      </c>
      <c r="P1514" s="20" t="s">
        <v>1521</v>
      </c>
      <c r="Q1514" s="15" t="s">
        <v>83</v>
      </c>
      <c r="R1514" s="4"/>
      <c r="S1514" s="4"/>
    </row>
    <row r="1515" spans="1:19" ht="21" customHeight="1" x14ac:dyDescent="0.25">
      <c r="A1515" s="14">
        <f>DATE(2012,12,31)-140</f>
        <v>41134</v>
      </c>
      <c r="B1515" s="15" t="s">
        <v>937</v>
      </c>
      <c r="C1515" s="15" t="s">
        <v>85</v>
      </c>
      <c r="D1515" s="16">
        <v>50</v>
      </c>
      <c r="E1515" s="17">
        <v>193.11</v>
      </c>
      <c r="F1515" s="16">
        <v>0.08</v>
      </c>
      <c r="G1515" s="15" t="s">
        <v>32</v>
      </c>
      <c r="H1515" s="18">
        <v>-263.76400000000001</v>
      </c>
      <c r="I1515" s="19">
        <v>3.89</v>
      </c>
      <c r="J1515" s="19">
        <v>7.01</v>
      </c>
      <c r="K1515" s="19" t="s">
        <v>124</v>
      </c>
      <c r="L1515" s="19" t="s">
        <v>164</v>
      </c>
      <c r="M1515" s="15" t="s">
        <v>1228</v>
      </c>
      <c r="N1515" s="15" t="s">
        <v>36</v>
      </c>
      <c r="O1515" s="15" t="s">
        <v>170</v>
      </c>
      <c r="P1515" s="20" t="s">
        <v>711</v>
      </c>
      <c r="Q1515" s="15" t="s">
        <v>83</v>
      </c>
      <c r="R1515" s="4"/>
      <c r="S1515" s="4"/>
    </row>
    <row r="1516" spans="1:19" ht="21" customHeight="1" x14ac:dyDescent="0.25">
      <c r="A1516" s="14">
        <f>DATE(2012,12,31)-1372</f>
        <v>39902</v>
      </c>
      <c r="B1516" s="15" t="s">
        <v>1059</v>
      </c>
      <c r="C1516" s="15" t="s">
        <v>85</v>
      </c>
      <c r="D1516" s="16">
        <v>46</v>
      </c>
      <c r="E1516" s="17">
        <v>3449.26</v>
      </c>
      <c r="F1516" s="16">
        <v>0.1</v>
      </c>
      <c r="G1516" s="15" t="s">
        <v>58</v>
      </c>
      <c r="H1516" s="18">
        <v>252.77</v>
      </c>
      <c r="I1516" s="19">
        <v>80.97</v>
      </c>
      <c r="J1516" s="19">
        <v>30.06</v>
      </c>
      <c r="K1516" s="19" t="s">
        <v>124</v>
      </c>
      <c r="L1516" s="19" t="s">
        <v>164</v>
      </c>
      <c r="M1516" s="15" t="s">
        <v>1228</v>
      </c>
      <c r="N1516" s="15" t="s">
        <v>64</v>
      </c>
      <c r="O1516" s="15" t="s">
        <v>122</v>
      </c>
      <c r="P1516" s="20" t="s">
        <v>1545</v>
      </c>
      <c r="Q1516" s="15" t="s">
        <v>63</v>
      </c>
      <c r="R1516" s="4"/>
      <c r="S1516" s="4"/>
    </row>
    <row r="1517" spans="1:19" ht="21" customHeight="1" x14ac:dyDescent="0.25">
      <c r="A1517" s="14">
        <f>DATE(2012,12,31)-55</f>
        <v>41219</v>
      </c>
      <c r="B1517" s="15" t="s">
        <v>785</v>
      </c>
      <c r="C1517" s="15" t="s">
        <v>43</v>
      </c>
      <c r="D1517" s="16">
        <v>14</v>
      </c>
      <c r="E1517" s="17">
        <v>677.43</v>
      </c>
      <c r="F1517" s="16">
        <v>0.1</v>
      </c>
      <c r="G1517" s="15" t="s">
        <v>32</v>
      </c>
      <c r="H1517" s="18">
        <v>75.48</v>
      </c>
      <c r="I1517" s="19">
        <v>50.98</v>
      </c>
      <c r="J1517" s="19">
        <v>22.24</v>
      </c>
      <c r="K1517" s="19" t="s">
        <v>44</v>
      </c>
      <c r="L1517" s="19" t="s">
        <v>52</v>
      </c>
      <c r="M1517" s="15" t="s">
        <v>1300</v>
      </c>
      <c r="N1517" s="15" t="s">
        <v>54</v>
      </c>
      <c r="O1517" s="15" t="s">
        <v>55</v>
      </c>
      <c r="P1517" s="20" t="s">
        <v>1546</v>
      </c>
      <c r="Q1517" s="15" t="s">
        <v>39</v>
      </c>
      <c r="R1517" s="4"/>
      <c r="S1517" s="4"/>
    </row>
    <row r="1518" spans="1:19" ht="21" customHeight="1" x14ac:dyDescent="0.25">
      <c r="A1518" s="14">
        <f>DATE(2012,12,31)-1370</f>
        <v>39904</v>
      </c>
      <c r="B1518" s="15" t="s">
        <v>325</v>
      </c>
      <c r="C1518" s="15" t="s">
        <v>85</v>
      </c>
      <c r="D1518" s="16">
        <v>9</v>
      </c>
      <c r="E1518" s="17">
        <v>566.53</v>
      </c>
      <c r="F1518" s="16">
        <v>0.06</v>
      </c>
      <c r="G1518" s="15" t="s">
        <v>58</v>
      </c>
      <c r="H1518" s="18">
        <v>-209.6</v>
      </c>
      <c r="I1518" s="19">
        <v>60.98</v>
      </c>
      <c r="J1518" s="19">
        <v>30</v>
      </c>
      <c r="K1518" s="19" t="s">
        <v>44</v>
      </c>
      <c r="L1518" s="19" t="s">
        <v>52</v>
      </c>
      <c r="M1518" s="15" t="s">
        <v>1300</v>
      </c>
      <c r="N1518" s="15" t="s">
        <v>54</v>
      </c>
      <c r="O1518" s="15" t="s">
        <v>252</v>
      </c>
      <c r="P1518" s="20" t="s">
        <v>1547</v>
      </c>
      <c r="Q1518" s="15" t="s">
        <v>181</v>
      </c>
      <c r="R1518" s="4"/>
      <c r="S1518" s="4"/>
    </row>
    <row r="1519" spans="1:19" ht="21" customHeight="1" x14ac:dyDescent="0.25">
      <c r="A1519" s="14">
        <f>DATE(2012,12,31)-454</f>
        <v>40820</v>
      </c>
      <c r="B1519" s="15" t="s">
        <v>1281</v>
      </c>
      <c r="C1519" s="15" t="s">
        <v>85</v>
      </c>
      <c r="D1519" s="16">
        <v>15</v>
      </c>
      <c r="E1519" s="17">
        <v>486.43</v>
      </c>
      <c r="F1519" s="16">
        <v>0</v>
      </c>
      <c r="G1519" s="15" t="s">
        <v>32</v>
      </c>
      <c r="H1519" s="18">
        <v>285.35000000000002</v>
      </c>
      <c r="I1519" s="19">
        <v>30.93</v>
      </c>
      <c r="J1519" s="19">
        <v>3.92</v>
      </c>
      <c r="K1519" s="19" t="s">
        <v>44</v>
      </c>
      <c r="L1519" s="19" t="s">
        <v>236</v>
      </c>
      <c r="M1519" s="15" t="s">
        <v>237</v>
      </c>
      <c r="N1519" s="15" t="s">
        <v>54</v>
      </c>
      <c r="O1519" s="15" t="s">
        <v>55</v>
      </c>
      <c r="P1519" s="20" t="s">
        <v>100</v>
      </c>
      <c r="Q1519" s="15" t="s">
        <v>49</v>
      </c>
      <c r="R1519" s="4"/>
      <c r="S1519" s="4"/>
    </row>
    <row r="1520" spans="1:19" ht="21" customHeight="1" x14ac:dyDescent="0.25">
      <c r="A1520" s="14">
        <f>DATE(2012,12,31)-454</f>
        <v>40820</v>
      </c>
      <c r="B1520" s="15" t="s">
        <v>1281</v>
      </c>
      <c r="C1520" s="15" t="s">
        <v>85</v>
      </c>
      <c r="D1520" s="16">
        <v>7</v>
      </c>
      <c r="E1520" s="17">
        <v>144.94999999999999</v>
      </c>
      <c r="F1520" s="16">
        <v>0.08</v>
      </c>
      <c r="G1520" s="15" t="s">
        <v>101</v>
      </c>
      <c r="H1520" s="18">
        <v>10.82</v>
      </c>
      <c r="I1520" s="19">
        <v>19.98</v>
      </c>
      <c r="J1520" s="19">
        <v>5.86</v>
      </c>
      <c r="K1520" s="19" t="s">
        <v>44</v>
      </c>
      <c r="L1520" s="19" t="s">
        <v>52</v>
      </c>
      <c r="M1520" s="15" t="s">
        <v>1300</v>
      </c>
      <c r="N1520" s="15" t="s">
        <v>36</v>
      </c>
      <c r="O1520" s="15" t="s">
        <v>117</v>
      </c>
      <c r="P1520" s="20" t="s">
        <v>1548</v>
      </c>
      <c r="Q1520" s="15" t="s">
        <v>83</v>
      </c>
      <c r="R1520" s="4"/>
      <c r="S1520" s="4"/>
    </row>
    <row r="1521" spans="1:19" ht="21" customHeight="1" x14ac:dyDescent="0.25">
      <c r="A1521" s="14">
        <f>DATE(2012,12,31)-962</f>
        <v>40312</v>
      </c>
      <c r="B1521" s="15" t="s">
        <v>1549</v>
      </c>
      <c r="C1521" s="15" t="s">
        <v>51</v>
      </c>
      <c r="D1521" s="16">
        <v>41</v>
      </c>
      <c r="E1521" s="17">
        <v>73.36</v>
      </c>
      <c r="F1521" s="16">
        <v>0.09</v>
      </c>
      <c r="G1521" s="15" t="s">
        <v>32</v>
      </c>
      <c r="H1521" s="18">
        <v>-94.95</v>
      </c>
      <c r="I1521" s="19">
        <v>1.86</v>
      </c>
      <c r="J1521" s="19">
        <v>2.58</v>
      </c>
      <c r="K1521" s="19" t="s">
        <v>44</v>
      </c>
      <c r="L1521" s="19" t="s">
        <v>52</v>
      </c>
      <c r="M1521" s="15" t="s">
        <v>1300</v>
      </c>
      <c r="N1521" s="15" t="s">
        <v>36</v>
      </c>
      <c r="O1521" s="15" t="s">
        <v>105</v>
      </c>
      <c r="P1521" s="20" t="s">
        <v>106</v>
      </c>
      <c r="Q1521" s="15" t="s">
        <v>79</v>
      </c>
      <c r="R1521" s="4"/>
      <c r="S1521" s="4"/>
    </row>
    <row r="1522" spans="1:19" ht="21" customHeight="1" x14ac:dyDescent="0.25">
      <c r="A1522" s="14">
        <f>DATE(2012,12,31)-962</f>
        <v>40312</v>
      </c>
      <c r="B1522" s="15" t="s">
        <v>1549</v>
      </c>
      <c r="C1522" s="15" t="s">
        <v>51</v>
      </c>
      <c r="D1522" s="16">
        <v>33</v>
      </c>
      <c r="E1522" s="17">
        <v>3630.1460000000002</v>
      </c>
      <c r="F1522" s="16">
        <v>0.04</v>
      </c>
      <c r="G1522" s="15" t="s">
        <v>32</v>
      </c>
      <c r="H1522" s="18">
        <v>951.67800000000011</v>
      </c>
      <c r="I1522" s="19">
        <v>125.99</v>
      </c>
      <c r="J1522" s="19">
        <v>8.99</v>
      </c>
      <c r="K1522" s="19" t="s">
        <v>44</v>
      </c>
      <c r="L1522" s="19" t="s">
        <v>52</v>
      </c>
      <c r="M1522" s="15" t="s">
        <v>1300</v>
      </c>
      <c r="N1522" s="15" t="s">
        <v>64</v>
      </c>
      <c r="O1522" s="15" t="s">
        <v>65</v>
      </c>
      <c r="P1522" s="20" t="s">
        <v>1550</v>
      </c>
      <c r="Q1522" s="15" t="s">
        <v>83</v>
      </c>
      <c r="R1522" s="4"/>
      <c r="S1522" s="4"/>
    </row>
    <row r="1523" spans="1:19" ht="21" customHeight="1" x14ac:dyDescent="0.25">
      <c r="A1523" s="14">
        <f>DATE(2012,12,31)-21</f>
        <v>41253</v>
      </c>
      <c r="B1523" s="15" t="s">
        <v>261</v>
      </c>
      <c r="C1523" s="15" t="s">
        <v>43</v>
      </c>
      <c r="D1523" s="16">
        <v>29</v>
      </c>
      <c r="E1523" s="17">
        <v>538.27</v>
      </c>
      <c r="F1523" s="16">
        <v>0.02</v>
      </c>
      <c r="G1523" s="15" t="s">
        <v>32</v>
      </c>
      <c r="H1523" s="18">
        <v>225.19900000000001</v>
      </c>
      <c r="I1523" s="19">
        <v>18.940000000000001</v>
      </c>
      <c r="J1523" s="19">
        <v>1.49</v>
      </c>
      <c r="K1523" s="19" t="s">
        <v>44</v>
      </c>
      <c r="L1523" s="19" t="s">
        <v>236</v>
      </c>
      <c r="M1523" s="15" t="s">
        <v>237</v>
      </c>
      <c r="N1523" s="15" t="s">
        <v>36</v>
      </c>
      <c r="O1523" s="15" t="s">
        <v>170</v>
      </c>
      <c r="P1523" s="20" t="s">
        <v>1246</v>
      </c>
      <c r="Q1523" s="15" t="s">
        <v>83</v>
      </c>
      <c r="R1523" s="4"/>
      <c r="S1523" s="4"/>
    </row>
    <row r="1524" spans="1:19" ht="21" customHeight="1" x14ac:dyDescent="0.25">
      <c r="A1524" s="14">
        <f>DATE(2012,12,31)-21</f>
        <v>41253</v>
      </c>
      <c r="B1524" s="15" t="s">
        <v>261</v>
      </c>
      <c r="C1524" s="15" t="s">
        <v>43</v>
      </c>
      <c r="D1524" s="16">
        <v>30</v>
      </c>
      <c r="E1524" s="17">
        <v>3665.41</v>
      </c>
      <c r="F1524" s="16">
        <v>0.05</v>
      </c>
      <c r="G1524" s="15" t="s">
        <v>32</v>
      </c>
      <c r="H1524" s="18">
        <v>1236.3589999999999</v>
      </c>
      <c r="I1524" s="19">
        <v>122.99</v>
      </c>
      <c r="J1524" s="19">
        <v>19.989999999999998</v>
      </c>
      <c r="K1524" s="19" t="s">
        <v>97</v>
      </c>
      <c r="L1524" s="19" t="s">
        <v>283</v>
      </c>
      <c r="M1524" s="15" t="s">
        <v>1471</v>
      </c>
      <c r="N1524" s="15" t="s">
        <v>36</v>
      </c>
      <c r="O1524" s="15" t="s">
        <v>170</v>
      </c>
      <c r="P1524" s="20" t="s">
        <v>362</v>
      </c>
      <c r="Q1524" s="15" t="s">
        <v>83</v>
      </c>
      <c r="R1524" s="4"/>
      <c r="S1524" s="4"/>
    </row>
    <row r="1525" spans="1:19" ht="21" customHeight="1" x14ac:dyDescent="0.25">
      <c r="A1525" s="14">
        <f>DATE(2012,12,31)-21</f>
        <v>41253</v>
      </c>
      <c r="B1525" s="15" t="s">
        <v>261</v>
      </c>
      <c r="C1525" s="15" t="s">
        <v>43</v>
      </c>
      <c r="D1525" s="16">
        <v>14</v>
      </c>
      <c r="E1525" s="17">
        <v>20.95</v>
      </c>
      <c r="F1525" s="16">
        <v>0</v>
      </c>
      <c r="G1525" s="15" t="s">
        <v>101</v>
      </c>
      <c r="H1525" s="18">
        <v>2.81</v>
      </c>
      <c r="I1525" s="19">
        <v>1.1399999999999999</v>
      </c>
      <c r="J1525" s="19">
        <v>0.7</v>
      </c>
      <c r="K1525" s="19" t="s">
        <v>69</v>
      </c>
      <c r="L1525" s="19" t="s">
        <v>70</v>
      </c>
      <c r="M1525" s="15" t="s">
        <v>1492</v>
      </c>
      <c r="N1525" s="15" t="s">
        <v>36</v>
      </c>
      <c r="O1525" s="15" t="s">
        <v>105</v>
      </c>
      <c r="P1525" s="20" t="s">
        <v>1551</v>
      </c>
      <c r="Q1525" s="15" t="s">
        <v>79</v>
      </c>
      <c r="R1525" s="4"/>
      <c r="S1525" s="4"/>
    </row>
    <row r="1526" spans="1:19" ht="21" customHeight="1" x14ac:dyDescent="0.25">
      <c r="A1526" s="14">
        <f>DATE(2012,12,31)-1406</f>
        <v>39868</v>
      </c>
      <c r="B1526" s="15" t="s">
        <v>315</v>
      </c>
      <c r="C1526" s="15" t="s">
        <v>85</v>
      </c>
      <c r="D1526" s="16">
        <v>17</v>
      </c>
      <c r="E1526" s="17">
        <v>2545.89</v>
      </c>
      <c r="F1526" s="16">
        <v>0.01</v>
      </c>
      <c r="G1526" s="15" t="s">
        <v>32</v>
      </c>
      <c r="H1526" s="18">
        <v>-321.51</v>
      </c>
      <c r="I1526" s="19">
        <v>138.13999999999999</v>
      </c>
      <c r="J1526" s="19">
        <v>35</v>
      </c>
      <c r="K1526" s="19" t="s">
        <v>69</v>
      </c>
      <c r="L1526" s="19" t="s">
        <v>70</v>
      </c>
      <c r="M1526" s="15" t="s">
        <v>1492</v>
      </c>
      <c r="N1526" s="15" t="s">
        <v>36</v>
      </c>
      <c r="O1526" s="15" t="s">
        <v>37</v>
      </c>
      <c r="P1526" s="20" t="s">
        <v>285</v>
      </c>
      <c r="Q1526" s="15" t="s">
        <v>39</v>
      </c>
      <c r="R1526" s="4"/>
      <c r="S1526" s="4"/>
    </row>
    <row r="1527" spans="1:19" ht="21" customHeight="1" x14ac:dyDescent="0.25">
      <c r="A1527" s="14">
        <f>DATE(2012,12,31)-232</f>
        <v>41042</v>
      </c>
      <c r="B1527" s="15" t="s">
        <v>1356</v>
      </c>
      <c r="C1527" s="15" t="s">
        <v>51</v>
      </c>
      <c r="D1527" s="16">
        <v>33</v>
      </c>
      <c r="E1527" s="17">
        <v>8305.19</v>
      </c>
      <c r="F1527" s="16">
        <v>0.04</v>
      </c>
      <c r="G1527" s="15" t="s">
        <v>58</v>
      </c>
      <c r="H1527" s="18">
        <v>1383.32</v>
      </c>
      <c r="I1527" s="19">
        <v>240.98</v>
      </c>
      <c r="J1527" s="19">
        <v>60.2</v>
      </c>
      <c r="K1527" s="19" t="s">
        <v>97</v>
      </c>
      <c r="L1527" s="19" t="s">
        <v>98</v>
      </c>
      <c r="M1527" s="15" t="s">
        <v>1162</v>
      </c>
      <c r="N1527" s="15" t="s">
        <v>54</v>
      </c>
      <c r="O1527" s="15" t="s">
        <v>134</v>
      </c>
      <c r="P1527" s="20" t="s">
        <v>1552</v>
      </c>
      <c r="Q1527" s="15" t="s">
        <v>63</v>
      </c>
      <c r="R1527" s="4"/>
      <c r="S1527" s="4"/>
    </row>
    <row r="1528" spans="1:19" ht="21" customHeight="1" x14ac:dyDescent="0.25">
      <c r="A1528" s="14">
        <f>DATE(2012,12,31)-232</f>
        <v>41042</v>
      </c>
      <c r="B1528" s="15" t="s">
        <v>1356</v>
      </c>
      <c r="C1528" s="15" t="s">
        <v>51</v>
      </c>
      <c r="D1528" s="16">
        <v>36</v>
      </c>
      <c r="E1528" s="17">
        <v>251.05</v>
      </c>
      <c r="F1528" s="16">
        <v>0.1</v>
      </c>
      <c r="G1528" s="15" t="s">
        <v>32</v>
      </c>
      <c r="H1528" s="18">
        <v>118.79</v>
      </c>
      <c r="I1528" s="19">
        <v>7.31</v>
      </c>
      <c r="J1528" s="19">
        <v>0.49</v>
      </c>
      <c r="K1528" s="19" t="s">
        <v>44</v>
      </c>
      <c r="L1528" s="19" t="s">
        <v>236</v>
      </c>
      <c r="M1528" s="15" t="s">
        <v>237</v>
      </c>
      <c r="N1528" s="15" t="s">
        <v>36</v>
      </c>
      <c r="O1528" s="15" t="s">
        <v>114</v>
      </c>
      <c r="P1528" s="20" t="s">
        <v>656</v>
      </c>
      <c r="Q1528" s="15" t="s">
        <v>83</v>
      </c>
      <c r="R1528" s="4"/>
      <c r="S1528" s="4"/>
    </row>
    <row r="1529" spans="1:19" ht="21" customHeight="1" x14ac:dyDescent="0.25">
      <c r="A1529" s="14">
        <f>DATE(2012,12,31)-232</f>
        <v>41042</v>
      </c>
      <c r="B1529" s="15" t="s">
        <v>1356</v>
      </c>
      <c r="C1529" s="15" t="s">
        <v>51</v>
      </c>
      <c r="D1529" s="16">
        <v>36</v>
      </c>
      <c r="E1529" s="17">
        <v>305.62</v>
      </c>
      <c r="F1529" s="16">
        <v>0.1</v>
      </c>
      <c r="G1529" s="15" t="s">
        <v>32</v>
      </c>
      <c r="H1529" s="18">
        <v>-129.86000000000001</v>
      </c>
      <c r="I1529" s="19">
        <v>8.74</v>
      </c>
      <c r="J1529" s="19">
        <v>8.2899999999999991</v>
      </c>
      <c r="K1529" s="19" t="s">
        <v>44</v>
      </c>
      <c r="L1529" s="19" t="s">
        <v>52</v>
      </c>
      <c r="M1529" s="15" t="s">
        <v>1300</v>
      </c>
      <c r="N1529" s="15" t="s">
        <v>36</v>
      </c>
      <c r="O1529" s="15" t="s">
        <v>189</v>
      </c>
      <c r="P1529" s="20" t="s">
        <v>581</v>
      </c>
      <c r="Q1529" s="15" t="s">
        <v>83</v>
      </c>
      <c r="R1529" s="4"/>
      <c r="S1529" s="4"/>
    </row>
    <row r="1530" spans="1:19" ht="21" customHeight="1" x14ac:dyDescent="0.25">
      <c r="A1530" s="14">
        <f>DATE(2012,12,31)-1354</f>
        <v>39920</v>
      </c>
      <c r="B1530" s="15" t="s">
        <v>42</v>
      </c>
      <c r="C1530" s="15" t="s">
        <v>51</v>
      </c>
      <c r="D1530" s="16">
        <v>2</v>
      </c>
      <c r="E1530" s="17">
        <v>226.88200000000001</v>
      </c>
      <c r="F1530" s="16">
        <v>0.01</v>
      </c>
      <c r="G1530" s="15" t="s">
        <v>32</v>
      </c>
      <c r="H1530" s="18">
        <v>-582.64799999999991</v>
      </c>
      <c r="I1530" s="19">
        <v>125.99</v>
      </c>
      <c r="J1530" s="19">
        <v>8.99</v>
      </c>
      <c r="K1530" s="19" t="s">
        <v>44</v>
      </c>
      <c r="L1530" s="19" t="s">
        <v>120</v>
      </c>
      <c r="M1530" s="15" t="s">
        <v>121</v>
      </c>
      <c r="N1530" s="15" t="s">
        <v>64</v>
      </c>
      <c r="O1530" s="15" t="s">
        <v>65</v>
      </c>
      <c r="P1530" s="20" t="s">
        <v>1553</v>
      </c>
      <c r="Q1530" s="15" t="s">
        <v>83</v>
      </c>
      <c r="R1530" s="4"/>
      <c r="S1530" s="4"/>
    </row>
    <row r="1531" spans="1:19" ht="21" customHeight="1" x14ac:dyDescent="0.25">
      <c r="A1531" s="14">
        <f>DATE(2012,12,31)-846</f>
        <v>40428</v>
      </c>
      <c r="B1531" s="15" t="s">
        <v>942</v>
      </c>
      <c r="C1531" s="15" t="s">
        <v>51</v>
      </c>
      <c r="D1531" s="16">
        <v>13</v>
      </c>
      <c r="E1531" s="17">
        <v>158.79</v>
      </c>
      <c r="F1531" s="16">
        <v>0.05</v>
      </c>
      <c r="G1531" s="15" t="s">
        <v>32</v>
      </c>
      <c r="H1531" s="18">
        <v>1.1560000000000001</v>
      </c>
      <c r="I1531" s="19">
        <v>11.7</v>
      </c>
      <c r="J1531" s="19">
        <v>5.63</v>
      </c>
      <c r="K1531" s="19" t="s">
        <v>44</v>
      </c>
      <c r="L1531" s="19" t="s">
        <v>120</v>
      </c>
      <c r="M1531" s="15" t="s">
        <v>121</v>
      </c>
      <c r="N1531" s="15" t="s">
        <v>36</v>
      </c>
      <c r="O1531" s="15" t="s">
        <v>170</v>
      </c>
      <c r="P1531" s="20" t="s">
        <v>323</v>
      </c>
      <c r="Q1531" s="15" t="s">
        <v>83</v>
      </c>
      <c r="R1531" s="4"/>
      <c r="S1531" s="4"/>
    </row>
    <row r="1532" spans="1:19" ht="21" customHeight="1" x14ac:dyDescent="0.25">
      <c r="A1532" s="14">
        <f>DATE(2012,12,31)-846</f>
        <v>40428</v>
      </c>
      <c r="B1532" s="15" t="s">
        <v>942</v>
      </c>
      <c r="C1532" s="15" t="s">
        <v>51</v>
      </c>
      <c r="D1532" s="16">
        <v>39</v>
      </c>
      <c r="E1532" s="17">
        <v>286.81</v>
      </c>
      <c r="F1532" s="16">
        <v>7.0000000000000007E-2</v>
      </c>
      <c r="G1532" s="15" t="s">
        <v>32</v>
      </c>
      <c r="H1532" s="18">
        <v>110.05</v>
      </c>
      <c r="I1532" s="19">
        <v>7.64</v>
      </c>
      <c r="J1532" s="19">
        <v>1.39</v>
      </c>
      <c r="K1532" s="19" t="s">
        <v>124</v>
      </c>
      <c r="L1532" s="19" t="s">
        <v>319</v>
      </c>
      <c r="M1532" s="15" t="s">
        <v>1519</v>
      </c>
      <c r="N1532" s="15" t="s">
        <v>36</v>
      </c>
      <c r="O1532" s="15" t="s">
        <v>189</v>
      </c>
      <c r="P1532" s="20" t="s">
        <v>1272</v>
      </c>
      <c r="Q1532" s="15" t="s">
        <v>83</v>
      </c>
      <c r="R1532" s="4"/>
      <c r="S1532" s="4"/>
    </row>
    <row r="1533" spans="1:19" ht="21" customHeight="1" x14ac:dyDescent="0.25">
      <c r="A1533" s="14">
        <f>DATE(2012,12,31)-435</f>
        <v>40839</v>
      </c>
      <c r="B1533" s="15" t="s">
        <v>1554</v>
      </c>
      <c r="C1533" s="15" t="s">
        <v>43</v>
      </c>
      <c r="D1533" s="16">
        <v>44</v>
      </c>
      <c r="E1533" s="17">
        <v>1102.28</v>
      </c>
      <c r="F1533" s="16">
        <v>0.03</v>
      </c>
      <c r="G1533" s="15" t="s">
        <v>32</v>
      </c>
      <c r="H1533" s="18">
        <v>389.61</v>
      </c>
      <c r="I1533" s="19">
        <v>23.99</v>
      </c>
      <c r="J1533" s="19">
        <v>6.71</v>
      </c>
      <c r="K1533" s="19" t="s">
        <v>33</v>
      </c>
      <c r="L1533" s="19" t="s">
        <v>145</v>
      </c>
      <c r="M1533" s="15" t="s">
        <v>1555</v>
      </c>
      <c r="N1533" s="15" t="s">
        <v>36</v>
      </c>
      <c r="O1533" s="15" t="s">
        <v>189</v>
      </c>
      <c r="P1533" s="20" t="s">
        <v>1556</v>
      </c>
      <c r="Q1533" s="15" t="s">
        <v>83</v>
      </c>
      <c r="R1533" s="4"/>
      <c r="S1533" s="4"/>
    </row>
    <row r="1534" spans="1:19" ht="21" customHeight="1" x14ac:dyDescent="0.25">
      <c r="A1534" s="14">
        <f>DATE(2012,12,31)-190</f>
        <v>41084</v>
      </c>
      <c r="B1534" s="15" t="s">
        <v>562</v>
      </c>
      <c r="C1534" s="15" t="s">
        <v>85</v>
      </c>
      <c r="D1534" s="16">
        <v>3</v>
      </c>
      <c r="E1534" s="17">
        <v>14.49</v>
      </c>
      <c r="F1534" s="16">
        <v>0.09</v>
      </c>
      <c r="G1534" s="15" t="s">
        <v>32</v>
      </c>
      <c r="H1534" s="18">
        <v>-12.58</v>
      </c>
      <c r="I1534" s="19">
        <v>3.28</v>
      </c>
      <c r="J1534" s="19">
        <v>5</v>
      </c>
      <c r="K1534" s="19" t="s">
        <v>33</v>
      </c>
      <c r="L1534" s="19" t="s">
        <v>145</v>
      </c>
      <c r="M1534" s="15" t="s">
        <v>1555</v>
      </c>
      <c r="N1534" s="15" t="s">
        <v>36</v>
      </c>
      <c r="O1534" s="15" t="s">
        <v>77</v>
      </c>
      <c r="P1534" s="20" t="s">
        <v>863</v>
      </c>
      <c r="Q1534" s="15" t="s">
        <v>79</v>
      </c>
      <c r="R1534" s="4"/>
      <c r="S1534" s="4"/>
    </row>
    <row r="1535" spans="1:19" ht="21" customHeight="1" x14ac:dyDescent="0.25">
      <c r="A1535" s="14">
        <f>DATE(2012,12,31)-281</f>
        <v>40993</v>
      </c>
      <c r="B1535" s="15" t="s">
        <v>333</v>
      </c>
      <c r="C1535" s="15" t="s">
        <v>85</v>
      </c>
      <c r="D1535" s="16">
        <v>35</v>
      </c>
      <c r="E1535" s="17">
        <v>710.86</v>
      </c>
      <c r="F1535" s="16">
        <v>0.04</v>
      </c>
      <c r="G1535" s="15" t="s">
        <v>32</v>
      </c>
      <c r="H1535" s="18">
        <v>196.22</v>
      </c>
      <c r="I1535" s="19">
        <v>19.98</v>
      </c>
      <c r="J1535" s="19">
        <v>5.97</v>
      </c>
      <c r="K1535" s="19" t="s">
        <v>69</v>
      </c>
      <c r="L1535" s="19" t="s">
        <v>70</v>
      </c>
      <c r="M1535" s="15" t="s">
        <v>1492</v>
      </c>
      <c r="N1535" s="15" t="s">
        <v>36</v>
      </c>
      <c r="O1535" s="15" t="s">
        <v>117</v>
      </c>
      <c r="P1535" s="20" t="s">
        <v>1347</v>
      </c>
      <c r="Q1535" s="15" t="s">
        <v>83</v>
      </c>
      <c r="R1535" s="4"/>
      <c r="S1535" s="4"/>
    </row>
    <row r="1536" spans="1:19" ht="21" customHeight="1" x14ac:dyDescent="0.25">
      <c r="A1536" s="14">
        <f>DATE(2012,12,31)-752</f>
        <v>40522</v>
      </c>
      <c r="B1536" s="15" t="s">
        <v>401</v>
      </c>
      <c r="C1536" s="15" t="s">
        <v>31</v>
      </c>
      <c r="D1536" s="16">
        <v>27</v>
      </c>
      <c r="E1536" s="17">
        <v>1991.26</v>
      </c>
      <c r="F1536" s="16">
        <v>0.01</v>
      </c>
      <c r="G1536" s="15" t="s">
        <v>58</v>
      </c>
      <c r="H1536" s="18">
        <v>-528.09</v>
      </c>
      <c r="I1536" s="19">
        <v>68.81</v>
      </c>
      <c r="J1536" s="19">
        <v>60</v>
      </c>
      <c r="K1536" s="19" t="s">
        <v>44</v>
      </c>
      <c r="L1536" s="19" t="s">
        <v>89</v>
      </c>
      <c r="M1536" s="15" t="s">
        <v>1341</v>
      </c>
      <c r="N1536" s="15" t="s">
        <v>36</v>
      </c>
      <c r="O1536" s="15" t="s">
        <v>176</v>
      </c>
      <c r="P1536" s="20" t="s">
        <v>363</v>
      </c>
      <c r="Q1536" s="15" t="s">
        <v>181</v>
      </c>
      <c r="R1536" s="4"/>
      <c r="S1536" s="4"/>
    </row>
    <row r="1537" spans="1:19" ht="21" customHeight="1" x14ac:dyDescent="0.25">
      <c r="A1537" s="14">
        <f>DATE(2012,12,31)-752</f>
        <v>40522</v>
      </c>
      <c r="B1537" s="15" t="s">
        <v>401</v>
      </c>
      <c r="C1537" s="15" t="s">
        <v>31</v>
      </c>
      <c r="D1537" s="16">
        <v>24</v>
      </c>
      <c r="E1537" s="17">
        <v>10480.272000000001</v>
      </c>
      <c r="F1537" s="16">
        <v>7.0000000000000007E-2</v>
      </c>
      <c r="G1537" s="15" t="s">
        <v>58</v>
      </c>
      <c r="H1537" s="18">
        <v>2271.6799999999998</v>
      </c>
      <c r="I1537" s="19">
        <v>550.98</v>
      </c>
      <c r="J1537" s="19">
        <v>64.59</v>
      </c>
      <c r="K1537" s="19" t="s">
        <v>33</v>
      </c>
      <c r="L1537" s="19" t="s">
        <v>93</v>
      </c>
      <c r="M1537" s="15" t="s">
        <v>94</v>
      </c>
      <c r="N1537" s="15" t="s">
        <v>54</v>
      </c>
      <c r="O1537" s="15" t="s">
        <v>61</v>
      </c>
      <c r="P1537" s="20" t="s">
        <v>1557</v>
      </c>
      <c r="Q1537" s="15" t="s">
        <v>63</v>
      </c>
      <c r="R1537" s="4"/>
      <c r="S1537" s="4"/>
    </row>
    <row r="1538" spans="1:19" ht="21" customHeight="1" x14ac:dyDescent="0.25">
      <c r="A1538" s="14">
        <f>DATE(2012,12,31)-571</f>
        <v>40703</v>
      </c>
      <c r="B1538" s="15" t="s">
        <v>1558</v>
      </c>
      <c r="C1538" s="15" t="s">
        <v>51</v>
      </c>
      <c r="D1538" s="16">
        <v>21</v>
      </c>
      <c r="E1538" s="17">
        <v>114.53</v>
      </c>
      <c r="F1538" s="16">
        <v>7.0000000000000007E-2</v>
      </c>
      <c r="G1538" s="15" t="s">
        <v>32</v>
      </c>
      <c r="H1538" s="18">
        <v>-39.229999999999997</v>
      </c>
      <c r="I1538" s="19">
        <v>5.68</v>
      </c>
      <c r="J1538" s="19">
        <v>3.6</v>
      </c>
      <c r="K1538" s="19" t="s">
        <v>124</v>
      </c>
      <c r="L1538" s="19" t="s">
        <v>160</v>
      </c>
      <c r="M1538" s="15" t="s">
        <v>1505</v>
      </c>
      <c r="N1538" s="15" t="s">
        <v>36</v>
      </c>
      <c r="O1538" s="15" t="s">
        <v>47</v>
      </c>
      <c r="P1538" s="20" t="s">
        <v>1459</v>
      </c>
      <c r="Q1538" s="15" t="s">
        <v>49</v>
      </c>
      <c r="R1538" s="4"/>
      <c r="S1538" s="4"/>
    </row>
    <row r="1539" spans="1:19" ht="21" customHeight="1" x14ac:dyDescent="0.25">
      <c r="A1539" s="14">
        <f>DATE(2012,12,31)-571</f>
        <v>40703</v>
      </c>
      <c r="B1539" s="15" t="s">
        <v>1558</v>
      </c>
      <c r="C1539" s="15" t="s">
        <v>51</v>
      </c>
      <c r="D1539" s="16">
        <v>44</v>
      </c>
      <c r="E1539" s="17">
        <v>7164.7435000000005</v>
      </c>
      <c r="F1539" s="16">
        <v>7.0000000000000007E-2</v>
      </c>
      <c r="G1539" s="15" t="s">
        <v>32</v>
      </c>
      <c r="H1539" s="18">
        <v>1609.29</v>
      </c>
      <c r="I1539" s="19">
        <v>205.99</v>
      </c>
      <c r="J1539" s="19">
        <v>5.99</v>
      </c>
      <c r="K1539" s="19" t="s">
        <v>33</v>
      </c>
      <c r="L1539" s="19" t="s">
        <v>145</v>
      </c>
      <c r="M1539" s="15" t="s">
        <v>1555</v>
      </c>
      <c r="N1539" s="15" t="s">
        <v>64</v>
      </c>
      <c r="O1539" s="15" t="s">
        <v>65</v>
      </c>
      <c r="P1539" s="20" t="s">
        <v>107</v>
      </c>
      <c r="Q1539" s="15" t="s">
        <v>83</v>
      </c>
      <c r="R1539" s="4"/>
      <c r="S1539" s="4"/>
    </row>
    <row r="1540" spans="1:19" ht="21" customHeight="1" x14ac:dyDescent="0.25">
      <c r="A1540" s="14">
        <f>DATE(2012,12,31)-1382</f>
        <v>39892</v>
      </c>
      <c r="B1540" s="15" t="s">
        <v>741</v>
      </c>
      <c r="C1540" s="15" t="s">
        <v>31</v>
      </c>
      <c r="D1540" s="16">
        <v>30</v>
      </c>
      <c r="E1540" s="17">
        <v>4620.05</v>
      </c>
      <c r="F1540" s="16">
        <v>0.06</v>
      </c>
      <c r="G1540" s="15" t="s">
        <v>58</v>
      </c>
      <c r="H1540" s="18">
        <v>-229.68</v>
      </c>
      <c r="I1540" s="19">
        <v>160.97999999999999</v>
      </c>
      <c r="J1540" s="19">
        <v>35.020000000000003</v>
      </c>
      <c r="K1540" s="19" t="s">
        <v>44</v>
      </c>
      <c r="L1540" s="19" t="s">
        <v>89</v>
      </c>
      <c r="M1540" s="15" t="s">
        <v>1341</v>
      </c>
      <c r="N1540" s="15" t="s">
        <v>54</v>
      </c>
      <c r="O1540" s="15" t="s">
        <v>134</v>
      </c>
      <c r="P1540" s="20" t="s">
        <v>451</v>
      </c>
      <c r="Q1540" s="15" t="s">
        <v>63</v>
      </c>
      <c r="R1540" s="4"/>
      <c r="S1540" s="4"/>
    </row>
    <row r="1541" spans="1:19" ht="21" customHeight="1" x14ac:dyDescent="0.25">
      <c r="A1541" s="14">
        <f>DATE(2012,12,31)-137</f>
        <v>41137</v>
      </c>
      <c r="B1541" s="15" t="s">
        <v>1177</v>
      </c>
      <c r="C1541" s="15" t="s">
        <v>43</v>
      </c>
      <c r="D1541" s="16">
        <v>20</v>
      </c>
      <c r="E1541" s="17">
        <v>131.71</v>
      </c>
      <c r="F1541" s="16">
        <v>0.1</v>
      </c>
      <c r="G1541" s="15" t="s">
        <v>32</v>
      </c>
      <c r="H1541" s="18">
        <v>-44</v>
      </c>
      <c r="I1541" s="19">
        <v>6.48</v>
      </c>
      <c r="J1541" s="19">
        <v>5.74</v>
      </c>
      <c r="K1541" s="19" t="s">
        <v>124</v>
      </c>
      <c r="L1541" s="19" t="s">
        <v>125</v>
      </c>
      <c r="M1541" s="15" t="s">
        <v>1297</v>
      </c>
      <c r="N1541" s="15" t="s">
        <v>36</v>
      </c>
      <c r="O1541" s="15" t="s">
        <v>117</v>
      </c>
      <c r="P1541" s="20" t="s">
        <v>1559</v>
      </c>
      <c r="Q1541" s="15" t="s">
        <v>83</v>
      </c>
      <c r="R1541" s="4"/>
      <c r="S1541" s="4"/>
    </row>
    <row r="1542" spans="1:19" ht="21" customHeight="1" x14ac:dyDescent="0.25">
      <c r="A1542" s="14">
        <f>DATE(2012,12,31)-657</f>
        <v>40617</v>
      </c>
      <c r="B1542" s="15" t="s">
        <v>1532</v>
      </c>
      <c r="C1542" s="15" t="s">
        <v>85</v>
      </c>
      <c r="D1542" s="16">
        <v>18</v>
      </c>
      <c r="E1542" s="17">
        <v>130.38</v>
      </c>
      <c r="F1542" s="16">
        <v>0.08</v>
      </c>
      <c r="G1542" s="15" t="s">
        <v>32</v>
      </c>
      <c r="H1542" s="18">
        <v>31.52</v>
      </c>
      <c r="I1542" s="19">
        <v>7.4</v>
      </c>
      <c r="J1542" s="19">
        <v>1.71</v>
      </c>
      <c r="K1542" s="19" t="s">
        <v>44</v>
      </c>
      <c r="L1542" s="19" t="s">
        <v>236</v>
      </c>
      <c r="M1542" s="15" t="s">
        <v>237</v>
      </c>
      <c r="N1542" s="15" t="s">
        <v>36</v>
      </c>
      <c r="O1542" s="15" t="s">
        <v>117</v>
      </c>
      <c r="P1542" s="20" t="s">
        <v>1560</v>
      </c>
      <c r="Q1542" s="15" t="s">
        <v>79</v>
      </c>
      <c r="R1542" s="4"/>
      <c r="S1542" s="4"/>
    </row>
    <row r="1543" spans="1:19" ht="21" customHeight="1" x14ac:dyDescent="0.25">
      <c r="A1543" s="14">
        <f>DATE(2012,12,31)-714</f>
        <v>40560</v>
      </c>
      <c r="B1543" s="15" t="s">
        <v>311</v>
      </c>
      <c r="C1543" s="15" t="s">
        <v>85</v>
      </c>
      <c r="D1543" s="16">
        <v>7</v>
      </c>
      <c r="E1543" s="17">
        <v>308.52</v>
      </c>
      <c r="F1543" s="16">
        <v>0.1</v>
      </c>
      <c r="G1543" s="15" t="s">
        <v>32</v>
      </c>
      <c r="H1543" s="18">
        <v>-59.85</v>
      </c>
      <c r="I1543" s="19">
        <v>41.47</v>
      </c>
      <c r="J1543" s="19">
        <v>34.200000000000003</v>
      </c>
      <c r="K1543" s="19" t="s">
        <v>44</v>
      </c>
      <c r="L1543" s="19" t="s">
        <v>52</v>
      </c>
      <c r="M1543" s="15" t="s">
        <v>1300</v>
      </c>
      <c r="N1543" s="15" t="s">
        <v>54</v>
      </c>
      <c r="O1543" s="15" t="s">
        <v>55</v>
      </c>
      <c r="P1543" s="20" t="s">
        <v>1526</v>
      </c>
      <c r="Q1543" s="15" t="s">
        <v>79</v>
      </c>
      <c r="R1543" s="4"/>
      <c r="S1543" s="4"/>
    </row>
    <row r="1544" spans="1:19" ht="21" customHeight="1" x14ac:dyDescent="0.25">
      <c r="A1544" s="14">
        <f>DATE(2012,12,31)-714</f>
        <v>40560</v>
      </c>
      <c r="B1544" s="15" t="s">
        <v>311</v>
      </c>
      <c r="C1544" s="15" t="s">
        <v>85</v>
      </c>
      <c r="D1544" s="16">
        <v>29</v>
      </c>
      <c r="E1544" s="17">
        <v>176.5</v>
      </c>
      <c r="F1544" s="16">
        <v>0.1</v>
      </c>
      <c r="G1544" s="15" t="s">
        <v>32</v>
      </c>
      <c r="H1544" s="18">
        <v>-119.72</v>
      </c>
      <c r="I1544" s="19">
        <v>6.48</v>
      </c>
      <c r="J1544" s="19">
        <v>7.37</v>
      </c>
      <c r="K1544" s="19" t="s">
        <v>44</v>
      </c>
      <c r="L1544" s="19" t="s">
        <v>52</v>
      </c>
      <c r="M1544" s="15" t="s">
        <v>1300</v>
      </c>
      <c r="N1544" s="15" t="s">
        <v>36</v>
      </c>
      <c r="O1544" s="15" t="s">
        <v>117</v>
      </c>
      <c r="P1544" s="20" t="s">
        <v>998</v>
      </c>
      <c r="Q1544" s="15" t="s">
        <v>83</v>
      </c>
      <c r="R1544" s="4"/>
      <c r="S1544" s="4"/>
    </row>
    <row r="1545" spans="1:19" ht="21" customHeight="1" x14ac:dyDescent="0.25">
      <c r="A1545" s="14">
        <f>DATE(2012,12,31)-32</f>
        <v>41242</v>
      </c>
      <c r="B1545" s="15" t="s">
        <v>376</v>
      </c>
      <c r="C1545" s="15" t="s">
        <v>51</v>
      </c>
      <c r="D1545" s="16">
        <v>48</v>
      </c>
      <c r="E1545" s="17">
        <v>5188.8599999999997</v>
      </c>
      <c r="F1545" s="16">
        <v>0.1</v>
      </c>
      <c r="G1545" s="15" t="s">
        <v>32</v>
      </c>
      <c r="H1545" s="18">
        <v>395.12</v>
      </c>
      <c r="I1545" s="19">
        <v>111.03</v>
      </c>
      <c r="J1545" s="19">
        <v>8.64</v>
      </c>
      <c r="K1545" s="19" t="s">
        <v>111</v>
      </c>
      <c r="L1545" s="19" t="s">
        <v>407</v>
      </c>
      <c r="M1545" s="15" t="s">
        <v>407</v>
      </c>
      <c r="N1545" s="15" t="s">
        <v>36</v>
      </c>
      <c r="O1545" s="15" t="s">
        <v>37</v>
      </c>
      <c r="P1545" s="20" t="s">
        <v>1561</v>
      </c>
      <c r="Q1545" s="15" t="s">
        <v>83</v>
      </c>
      <c r="R1545" s="4"/>
      <c r="S1545" s="4"/>
    </row>
    <row r="1546" spans="1:19" ht="21" customHeight="1" x14ac:dyDescent="0.25">
      <c r="A1546" s="14">
        <f>DATE(2012,12,31)-71</f>
        <v>41203</v>
      </c>
      <c r="B1546" s="15" t="s">
        <v>512</v>
      </c>
      <c r="C1546" s="15" t="s">
        <v>85</v>
      </c>
      <c r="D1546" s="16">
        <v>35</v>
      </c>
      <c r="E1546" s="17">
        <v>182.86</v>
      </c>
      <c r="F1546" s="16">
        <v>0</v>
      </c>
      <c r="G1546" s="15" t="s">
        <v>32</v>
      </c>
      <c r="H1546" s="18">
        <v>-106.27</v>
      </c>
      <c r="I1546" s="19">
        <v>4.82</v>
      </c>
      <c r="J1546" s="19">
        <v>5.72</v>
      </c>
      <c r="K1546" s="19" t="s">
        <v>124</v>
      </c>
      <c r="L1546" s="19" t="s">
        <v>160</v>
      </c>
      <c r="M1546" s="15" t="s">
        <v>1505</v>
      </c>
      <c r="N1546" s="15" t="s">
        <v>54</v>
      </c>
      <c r="O1546" s="15" t="s">
        <v>55</v>
      </c>
      <c r="P1546" s="20" t="s">
        <v>1562</v>
      </c>
      <c r="Q1546" s="15" t="s">
        <v>49</v>
      </c>
      <c r="R1546" s="4"/>
      <c r="S1546" s="4"/>
    </row>
    <row r="1547" spans="1:19" ht="21" customHeight="1" x14ac:dyDescent="0.25">
      <c r="A1547" s="14">
        <f>DATE(2012,12,31)-955</f>
        <v>40319</v>
      </c>
      <c r="B1547" s="15" t="s">
        <v>1043</v>
      </c>
      <c r="C1547" s="15" t="s">
        <v>85</v>
      </c>
      <c r="D1547" s="16">
        <v>46</v>
      </c>
      <c r="E1547" s="17">
        <v>398.86</v>
      </c>
      <c r="F1547" s="16">
        <v>0.08</v>
      </c>
      <c r="G1547" s="15" t="s">
        <v>32</v>
      </c>
      <c r="H1547" s="18">
        <v>-26.45</v>
      </c>
      <c r="I1547" s="19">
        <v>8.85</v>
      </c>
      <c r="J1547" s="19">
        <v>5.6</v>
      </c>
      <c r="K1547" s="19" t="s">
        <v>33</v>
      </c>
      <c r="L1547" s="19" t="s">
        <v>145</v>
      </c>
      <c r="M1547" s="15" t="s">
        <v>1555</v>
      </c>
      <c r="N1547" s="15" t="s">
        <v>36</v>
      </c>
      <c r="O1547" s="15" t="s">
        <v>170</v>
      </c>
      <c r="P1547" s="20" t="s">
        <v>1218</v>
      </c>
      <c r="Q1547" s="15" t="s">
        <v>83</v>
      </c>
      <c r="R1547" s="4"/>
      <c r="S1547" s="4"/>
    </row>
    <row r="1548" spans="1:19" ht="21" customHeight="1" x14ac:dyDescent="0.25">
      <c r="A1548" s="14">
        <f>DATE(2012,12,31)-955</f>
        <v>40319</v>
      </c>
      <c r="B1548" s="15" t="s">
        <v>1043</v>
      </c>
      <c r="C1548" s="15" t="s">
        <v>85</v>
      </c>
      <c r="D1548" s="16">
        <v>44</v>
      </c>
      <c r="E1548" s="17">
        <v>109.18</v>
      </c>
      <c r="F1548" s="16">
        <v>0.09</v>
      </c>
      <c r="G1548" s="15" t="s">
        <v>32</v>
      </c>
      <c r="H1548" s="18">
        <v>37.17</v>
      </c>
      <c r="I1548" s="19">
        <v>2.61</v>
      </c>
      <c r="J1548" s="19">
        <v>0.5</v>
      </c>
      <c r="K1548" s="19" t="s">
        <v>33</v>
      </c>
      <c r="L1548" s="19" t="s">
        <v>59</v>
      </c>
      <c r="M1548" s="15" t="s">
        <v>1361</v>
      </c>
      <c r="N1548" s="15" t="s">
        <v>36</v>
      </c>
      <c r="O1548" s="15" t="s">
        <v>114</v>
      </c>
      <c r="P1548" s="20" t="s">
        <v>587</v>
      </c>
      <c r="Q1548" s="15" t="s">
        <v>83</v>
      </c>
      <c r="R1548" s="4"/>
      <c r="S1548" s="4"/>
    </row>
    <row r="1549" spans="1:19" ht="21" customHeight="1" x14ac:dyDescent="0.25">
      <c r="A1549" s="14">
        <f>DATE(2012,12,31)-955</f>
        <v>40319</v>
      </c>
      <c r="B1549" s="15" t="s">
        <v>1043</v>
      </c>
      <c r="C1549" s="15" t="s">
        <v>85</v>
      </c>
      <c r="D1549" s="16">
        <v>5</v>
      </c>
      <c r="E1549" s="17">
        <v>28.59</v>
      </c>
      <c r="F1549" s="16">
        <v>0.05</v>
      </c>
      <c r="G1549" s="15" t="s">
        <v>32</v>
      </c>
      <c r="H1549" s="18">
        <v>-14.33</v>
      </c>
      <c r="I1549" s="19">
        <v>4.9800000000000004</v>
      </c>
      <c r="J1549" s="19">
        <v>4.7</v>
      </c>
      <c r="K1549" s="19" t="s">
        <v>33</v>
      </c>
      <c r="L1549" s="19" t="s">
        <v>34</v>
      </c>
      <c r="M1549" s="15" t="s">
        <v>1359</v>
      </c>
      <c r="N1549" s="15" t="s">
        <v>36</v>
      </c>
      <c r="O1549" s="15" t="s">
        <v>117</v>
      </c>
      <c r="P1549" s="20" t="s">
        <v>1563</v>
      </c>
      <c r="Q1549" s="15" t="s">
        <v>83</v>
      </c>
      <c r="R1549" s="4"/>
      <c r="S1549" s="4"/>
    </row>
    <row r="1550" spans="1:19" ht="21" customHeight="1" x14ac:dyDescent="0.25">
      <c r="A1550" s="14">
        <f>DATE(2012,12,31)-276</f>
        <v>40998</v>
      </c>
      <c r="B1550" s="15" t="s">
        <v>1564</v>
      </c>
      <c r="C1550" s="15" t="s">
        <v>85</v>
      </c>
      <c r="D1550" s="16">
        <v>37</v>
      </c>
      <c r="E1550" s="17">
        <v>221.66</v>
      </c>
      <c r="F1550" s="16">
        <v>0.08</v>
      </c>
      <c r="G1550" s="15" t="s">
        <v>32</v>
      </c>
      <c r="H1550" s="18">
        <v>-95.17</v>
      </c>
      <c r="I1550" s="19">
        <v>5.98</v>
      </c>
      <c r="J1550" s="19">
        <v>3.85</v>
      </c>
      <c r="K1550" s="19" t="s">
        <v>33</v>
      </c>
      <c r="L1550" s="19" t="s">
        <v>145</v>
      </c>
      <c r="M1550" s="15" t="s">
        <v>1555</v>
      </c>
      <c r="N1550" s="15" t="s">
        <v>64</v>
      </c>
      <c r="O1550" s="15" t="s">
        <v>72</v>
      </c>
      <c r="P1550" s="20" t="s">
        <v>1084</v>
      </c>
      <c r="Q1550" s="15" t="s">
        <v>49</v>
      </c>
      <c r="R1550" s="4"/>
      <c r="S1550" s="4"/>
    </row>
    <row r="1551" spans="1:19" ht="21" customHeight="1" x14ac:dyDescent="0.25">
      <c r="A1551" s="14">
        <f>DATE(2012,12,31)-1362</f>
        <v>39912</v>
      </c>
      <c r="B1551" s="15" t="s">
        <v>861</v>
      </c>
      <c r="C1551" s="15" t="s">
        <v>85</v>
      </c>
      <c r="D1551" s="16">
        <v>30</v>
      </c>
      <c r="E1551" s="17">
        <v>3197.0029999999997</v>
      </c>
      <c r="F1551" s="16">
        <v>7.0000000000000007E-2</v>
      </c>
      <c r="G1551" s="15" t="s">
        <v>32</v>
      </c>
      <c r="H1551" s="18">
        <v>603.45899999999995</v>
      </c>
      <c r="I1551" s="19">
        <v>125.99</v>
      </c>
      <c r="J1551" s="19">
        <v>7.69</v>
      </c>
      <c r="K1551" s="19" t="s">
        <v>33</v>
      </c>
      <c r="L1551" s="19" t="s">
        <v>34</v>
      </c>
      <c r="M1551" s="15" t="s">
        <v>1359</v>
      </c>
      <c r="N1551" s="15" t="s">
        <v>64</v>
      </c>
      <c r="O1551" s="15" t="s">
        <v>65</v>
      </c>
      <c r="P1551" s="20" t="s">
        <v>954</v>
      </c>
      <c r="Q1551" s="15" t="s">
        <v>83</v>
      </c>
      <c r="R1551" s="4"/>
      <c r="S1551" s="4"/>
    </row>
    <row r="1552" spans="1:19" ht="21" customHeight="1" x14ac:dyDescent="0.25">
      <c r="A1552" s="14">
        <f>DATE(2012,12,31)-289</f>
        <v>40985</v>
      </c>
      <c r="B1552" s="15" t="s">
        <v>1137</v>
      </c>
      <c r="C1552" s="15" t="s">
        <v>85</v>
      </c>
      <c r="D1552" s="16">
        <v>8</v>
      </c>
      <c r="E1552" s="17">
        <v>339.81</v>
      </c>
      <c r="F1552" s="16">
        <v>0.05</v>
      </c>
      <c r="G1552" s="15" t="s">
        <v>32</v>
      </c>
      <c r="H1552" s="18">
        <v>79.585499999999996</v>
      </c>
      <c r="I1552" s="19">
        <v>43.41</v>
      </c>
      <c r="J1552" s="19">
        <v>2.99</v>
      </c>
      <c r="K1552" s="19" t="s">
        <v>69</v>
      </c>
      <c r="L1552" s="19" t="s">
        <v>70</v>
      </c>
      <c r="M1552" s="15" t="s">
        <v>1492</v>
      </c>
      <c r="N1552" s="15" t="s">
        <v>36</v>
      </c>
      <c r="O1552" s="15" t="s">
        <v>170</v>
      </c>
      <c r="P1552" s="20" t="s">
        <v>962</v>
      </c>
      <c r="Q1552" s="15" t="s">
        <v>83</v>
      </c>
      <c r="R1552" s="4"/>
      <c r="S1552" s="4"/>
    </row>
    <row r="1553" spans="1:19" ht="21" customHeight="1" x14ac:dyDescent="0.25">
      <c r="A1553" s="14">
        <f>DATE(2012,12,31)-1099</f>
        <v>40175</v>
      </c>
      <c r="B1553" s="15" t="s">
        <v>630</v>
      </c>
      <c r="C1553" s="15" t="s">
        <v>31</v>
      </c>
      <c r="D1553" s="16">
        <v>26</v>
      </c>
      <c r="E1553" s="17">
        <v>1285.55</v>
      </c>
      <c r="F1553" s="16">
        <v>0.09</v>
      </c>
      <c r="G1553" s="15" t="s">
        <v>32</v>
      </c>
      <c r="H1553" s="18">
        <v>-17.03</v>
      </c>
      <c r="I1553" s="19">
        <v>49.99</v>
      </c>
      <c r="J1553" s="19">
        <v>19.989999999999998</v>
      </c>
      <c r="K1553" s="19" t="s">
        <v>69</v>
      </c>
      <c r="L1553" s="19" t="s">
        <v>75</v>
      </c>
      <c r="M1553" s="15" t="s">
        <v>75</v>
      </c>
      <c r="N1553" s="15" t="s">
        <v>64</v>
      </c>
      <c r="O1553" s="15" t="s">
        <v>72</v>
      </c>
      <c r="P1553" s="20" t="s">
        <v>1565</v>
      </c>
      <c r="Q1553" s="15" t="s">
        <v>83</v>
      </c>
      <c r="R1553" s="4"/>
      <c r="S1553" s="4"/>
    </row>
    <row r="1554" spans="1:19" ht="21" customHeight="1" x14ac:dyDescent="0.25">
      <c r="A1554" s="14">
        <f>DATE(2012,12,31)-1099</f>
        <v>40175</v>
      </c>
      <c r="B1554" s="15" t="s">
        <v>630</v>
      </c>
      <c r="C1554" s="15" t="s">
        <v>31</v>
      </c>
      <c r="D1554" s="16">
        <v>6</v>
      </c>
      <c r="E1554" s="17">
        <v>177.67</v>
      </c>
      <c r="F1554" s="16">
        <v>0.03</v>
      </c>
      <c r="G1554" s="15" t="s">
        <v>32</v>
      </c>
      <c r="H1554" s="18">
        <v>39.626999999999995</v>
      </c>
      <c r="I1554" s="19">
        <v>28.53</v>
      </c>
      <c r="J1554" s="19">
        <v>1.49</v>
      </c>
      <c r="K1554" s="19" t="s">
        <v>69</v>
      </c>
      <c r="L1554" s="19" t="s">
        <v>70</v>
      </c>
      <c r="M1554" s="15" t="s">
        <v>1492</v>
      </c>
      <c r="N1554" s="15" t="s">
        <v>36</v>
      </c>
      <c r="O1554" s="15" t="s">
        <v>170</v>
      </c>
      <c r="P1554" s="20" t="s">
        <v>1566</v>
      </c>
      <c r="Q1554" s="15" t="s">
        <v>83</v>
      </c>
      <c r="R1554" s="4"/>
      <c r="S1554" s="4"/>
    </row>
    <row r="1555" spans="1:19" ht="21" customHeight="1" x14ac:dyDescent="0.25">
      <c r="A1555" s="14">
        <f>DATE(2012,12,31)-489</f>
        <v>40785</v>
      </c>
      <c r="B1555" s="15" t="s">
        <v>1567</v>
      </c>
      <c r="C1555" s="15" t="s">
        <v>43</v>
      </c>
      <c r="D1555" s="16">
        <v>25</v>
      </c>
      <c r="E1555" s="17">
        <v>276.5</v>
      </c>
      <c r="F1555" s="16">
        <v>0.02</v>
      </c>
      <c r="G1555" s="15" t="s">
        <v>32</v>
      </c>
      <c r="H1555" s="18">
        <v>35.72</v>
      </c>
      <c r="I1555" s="19">
        <v>10.98</v>
      </c>
      <c r="J1555" s="19">
        <v>4.8</v>
      </c>
      <c r="K1555" s="19" t="s">
        <v>69</v>
      </c>
      <c r="L1555" s="19" t="s">
        <v>70</v>
      </c>
      <c r="M1555" s="15" t="s">
        <v>1492</v>
      </c>
      <c r="N1555" s="15" t="s">
        <v>36</v>
      </c>
      <c r="O1555" s="15" t="s">
        <v>189</v>
      </c>
      <c r="P1555" s="20" t="s">
        <v>1051</v>
      </c>
      <c r="Q1555" s="15" t="s">
        <v>83</v>
      </c>
      <c r="R1555" s="4"/>
      <c r="S1555" s="4"/>
    </row>
    <row r="1556" spans="1:19" ht="21" customHeight="1" x14ac:dyDescent="0.25">
      <c r="A1556" s="14">
        <f>DATE(2012,12,31)-793</f>
        <v>40481</v>
      </c>
      <c r="B1556" s="15" t="s">
        <v>230</v>
      </c>
      <c r="C1556" s="15" t="s">
        <v>51</v>
      </c>
      <c r="D1556" s="16">
        <v>45</v>
      </c>
      <c r="E1556" s="17">
        <v>298.57</v>
      </c>
      <c r="F1556" s="16">
        <v>7.0000000000000007E-2</v>
      </c>
      <c r="G1556" s="15" t="s">
        <v>32</v>
      </c>
      <c r="H1556" s="18">
        <v>74.069999999999993</v>
      </c>
      <c r="I1556" s="19">
        <v>6.88</v>
      </c>
      <c r="J1556" s="19">
        <v>2</v>
      </c>
      <c r="K1556" s="19" t="s">
        <v>69</v>
      </c>
      <c r="L1556" s="19" t="s">
        <v>75</v>
      </c>
      <c r="M1556" s="15" t="s">
        <v>75</v>
      </c>
      <c r="N1556" s="15" t="s">
        <v>36</v>
      </c>
      <c r="O1556" s="15" t="s">
        <v>117</v>
      </c>
      <c r="P1556" s="20" t="s">
        <v>356</v>
      </c>
      <c r="Q1556" s="15" t="s">
        <v>79</v>
      </c>
      <c r="R1556" s="4"/>
      <c r="S1556" s="4"/>
    </row>
    <row r="1557" spans="1:19" ht="21" customHeight="1" x14ac:dyDescent="0.25">
      <c r="A1557" s="14">
        <f>DATE(2012,12,31)-793</f>
        <v>40481</v>
      </c>
      <c r="B1557" s="15" t="s">
        <v>230</v>
      </c>
      <c r="C1557" s="15" t="s">
        <v>51</v>
      </c>
      <c r="D1557" s="16">
        <v>15</v>
      </c>
      <c r="E1557" s="17">
        <v>44.32</v>
      </c>
      <c r="F1557" s="16">
        <v>0.01</v>
      </c>
      <c r="G1557" s="15" t="s">
        <v>32</v>
      </c>
      <c r="H1557" s="18">
        <v>-41.55</v>
      </c>
      <c r="I1557" s="19">
        <v>2.52</v>
      </c>
      <c r="J1557" s="19">
        <v>4.28</v>
      </c>
      <c r="K1557" s="19" t="s">
        <v>69</v>
      </c>
      <c r="L1557" s="19" t="s">
        <v>70</v>
      </c>
      <c r="M1557" s="15" t="s">
        <v>1492</v>
      </c>
      <c r="N1557" s="15" t="s">
        <v>36</v>
      </c>
      <c r="O1557" s="15" t="s">
        <v>77</v>
      </c>
      <c r="P1557" s="20" t="s">
        <v>1568</v>
      </c>
      <c r="Q1557" s="15" t="s">
        <v>79</v>
      </c>
      <c r="R1557" s="4"/>
      <c r="S1557" s="4"/>
    </row>
    <row r="1558" spans="1:19" ht="21" customHeight="1" x14ac:dyDescent="0.25">
      <c r="A1558" s="14">
        <f>DATE(2012,12,31)-793</f>
        <v>40481</v>
      </c>
      <c r="B1558" s="15" t="s">
        <v>230</v>
      </c>
      <c r="C1558" s="15" t="s">
        <v>51</v>
      </c>
      <c r="D1558" s="16">
        <v>4</v>
      </c>
      <c r="E1558" s="17">
        <v>1629.75</v>
      </c>
      <c r="F1558" s="16">
        <v>0.03</v>
      </c>
      <c r="G1558" s="15" t="s">
        <v>32</v>
      </c>
      <c r="H1558" s="18">
        <v>-195.7</v>
      </c>
      <c r="I1558" s="19">
        <v>415.88</v>
      </c>
      <c r="J1558" s="19">
        <v>11.37</v>
      </c>
      <c r="K1558" s="19" t="s">
        <v>69</v>
      </c>
      <c r="L1558" s="19" t="s">
        <v>75</v>
      </c>
      <c r="M1558" s="15" t="s">
        <v>1569</v>
      </c>
      <c r="N1558" s="15" t="s">
        <v>36</v>
      </c>
      <c r="O1558" s="15" t="s">
        <v>37</v>
      </c>
      <c r="P1558" s="20" t="s">
        <v>449</v>
      </c>
      <c r="Q1558" s="15" t="s">
        <v>83</v>
      </c>
      <c r="R1558" s="4"/>
      <c r="S1558" s="4"/>
    </row>
    <row r="1559" spans="1:19" ht="21" customHeight="1" x14ac:dyDescent="0.25">
      <c r="A1559" s="14">
        <f>DATE(2012,12,31)-793</f>
        <v>40481</v>
      </c>
      <c r="B1559" s="15" t="s">
        <v>230</v>
      </c>
      <c r="C1559" s="15" t="s">
        <v>51</v>
      </c>
      <c r="D1559" s="16">
        <v>49</v>
      </c>
      <c r="E1559" s="17">
        <v>261.02</v>
      </c>
      <c r="F1559" s="16">
        <v>0.01</v>
      </c>
      <c r="G1559" s="15" t="s">
        <v>32</v>
      </c>
      <c r="H1559" s="18">
        <v>-94.046999999999997</v>
      </c>
      <c r="I1559" s="19">
        <v>4.9800000000000004</v>
      </c>
      <c r="J1559" s="19">
        <v>4.95</v>
      </c>
      <c r="K1559" s="19" t="s">
        <v>111</v>
      </c>
      <c r="L1559" s="19" t="s">
        <v>258</v>
      </c>
      <c r="M1559" s="15" t="s">
        <v>259</v>
      </c>
      <c r="N1559" s="15" t="s">
        <v>36</v>
      </c>
      <c r="O1559" s="15" t="s">
        <v>170</v>
      </c>
      <c r="P1559" s="20" t="s">
        <v>1570</v>
      </c>
      <c r="Q1559" s="15" t="s">
        <v>83</v>
      </c>
      <c r="R1559" s="4"/>
      <c r="S1559" s="4"/>
    </row>
    <row r="1560" spans="1:19" ht="21" customHeight="1" x14ac:dyDescent="0.25">
      <c r="A1560" s="14">
        <f>DATE(2012,12,31)-326</f>
        <v>40948</v>
      </c>
      <c r="B1560" s="15" t="s">
        <v>1571</v>
      </c>
      <c r="C1560" s="15" t="s">
        <v>85</v>
      </c>
      <c r="D1560" s="16">
        <v>33</v>
      </c>
      <c r="E1560" s="17">
        <v>6170.02</v>
      </c>
      <c r="F1560" s="16">
        <v>0.03</v>
      </c>
      <c r="G1560" s="15" t="s">
        <v>58</v>
      </c>
      <c r="H1560" s="18">
        <v>-433.29014300000011</v>
      </c>
      <c r="I1560" s="19">
        <v>179.29</v>
      </c>
      <c r="J1560" s="19">
        <v>29.21</v>
      </c>
      <c r="K1560" s="19" t="s">
        <v>44</v>
      </c>
      <c r="L1560" s="19" t="s">
        <v>45</v>
      </c>
      <c r="M1560" s="15" t="s">
        <v>1572</v>
      </c>
      <c r="N1560" s="15" t="s">
        <v>54</v>
      </c>
      <c r="O1560" s="15" t="s">
        <v>61</v>
      </c>
      <c r="P1560" s="20" t="s">
        <v>592</v>
      </c>
      <c r="Q1560" s="15" t="s">
        <v>63</v>
      </c>
      <c r="R1560" s="4"/>
      <c r="S1560" s="4"/>
    </row>
    <row r="1561" spans="1:19" ht="21" customHeight="1" x14ac:dyDescent="0.25">
      <c r="A1561" s="14">
        <f>DATE(2012,12,31)-219</f>
        <v>41055</v>
      </c>
      <c r="B1561" s="15" t="s">
        <v>288</v>
      </c>
      <c r="C1561" s="15" t="s">
        <v>31</v>
      </c>
      <c r="D1561" s="16">
        <v>39</v>
      </c>
      <c r="E1561" s="17">
        <v>2083.0525000000002</v>
      </c>
      <c r="F1561" s="16">
        <v>0.09</v>
      </c>
      <c r="G1561" s="15" t="s">
        <v>101</v>
      </c>
      <c r="H1561" s="18">
        <v>354.96</v>
      </c>
      <c r="I1561" s="19">
        <v>65.989999999999995</v>
      </c>
      <c r="J1561" s="19">
        <v>5.99</v>
      </c>
      <c r="K1561" s="19" t="s">
        <v>44</v>
      </c>
      <c r="L1561" s="19" t="s">
        <v>120</v>
      </c>
      <c r="M1561" s="15" t="s">
        <v>121</v>
      </c>
      <c r="N1561" s="15" t="s">
        <v>64</v>
      </c>
      <c r="O1561" s="15" t="s">
        <v>65</v>
      </c>
      <c r="P1561" s="20" t="s">
        <v>1573</v>
      </c>
      <c r="Q1561" s="15" t="s">
        <v>83</v>
      </c>
      <c r="R1561" s="4"/>
      <c r="S1561" s="4"/>
    </row>
    <row r="1562" spans="1:19" ht="21" customHeight="1" x14ac:dyDescent="0.25">
      <c r="A1562" s="14">
        <f>DATE(2012,12,31)-219</f>
        <v>41055</v>
      </c>
      <c r="B1562" s="15" t="s">
        <v>288</v>
      </c>
      <c r="C1562" s="15" t="s">
        <v>31</v>
      </c>
      <c r="D1562" s="16">
        <v>49</v>
      </c>
      <c r="E1562" s="17">
        <v>233.28</v>
      </c>
      <c r="F1562" s="16">
        <v>0.04</v>
      </c>
      <c r="G1562" s="15" t="s">
        <v>32</v>
      </c>
      <c r="H1562" s="18">
        <v>112.35</v>
      </c>
      <c r="I1562" s="19">
        <v>4.91</v>
      </c>
      <c r="J1562" s="19">
        <v>0.5</v>
      </c>
      <c r="K1562" s="19" t="s">
        <v>44</v>
      </c>
      <c r="L1562" s="19" t="s">
        <v>89</v>
      </c>
      <c r="M1562" s="15" t="s">
        <v>1341</v>
      </c>
      <c r="N1562" s="15" t="s">
        <v>36</v>
      </c>
      <c r="O1562" s="15" t="s">
        <v>114</v>
      </c>
      <c r="P1562" s="20" t="s">
        <v>400</v>
      </c>
      <c r="Q1562" s="15" t="s">
        <v>83</v>
      </c>
      <c r="R1562" s="4"/>
      <c r="S1562" s="4"/>
    </row>
    <row r="1563" spans="1:19" ht="21" customHeight="1" x14ac:dyDescent="0.25">
      <c r="A1563" s="14">
        <f>DATE(2012,12,31)-219</f>
        <v>41055</v>
      </c>
      <c r="B1563" s="15" t="s">
        <v>288</v>
      </c>
      <c r="C1563" s="15" t="s">
        <v>31</v>
      </c>
      <c r="D1563" s="16">
        <v>1</v>
      </c>
      <c r="E1563" s="17">
        <v>47.01</v>
      </c>
      <c r="F1563" s="16">
        <v>0.09</v>
      </c>
      <c r="G1563" s="15" t="s">
        <v>32</v>
      </c>
      <c r="H1563" s="18">
        <v>-19.32</v>
      </c>
      <c r="I1563" s="19">
        <v>27.75</v>
      </c>
      <c r="J1563" s="19">
        <v>19.989999999999998</v>
      </c>
      <c r="K1563" s="19" t="s">
        <v>44</v>
      </c>
      <c r="L1563" s="19" t="s">
        <v>45</v>
      </c>
      <c r="M1563" s="15" t="s">
        <v>1572</v>
      </c>
      <c r="N1563" s="15" t="s">
        <v>36</v>
      </c>
      <c r="O1563" s="15" t="s">
        <v>37</v>
      </c>
      <c r="P1563" s="20" t="s">
        <v>1226</v>
      </c>
      <c r="Q1563" s="15" t="s">
        <v>83</v>
      </c>
      <c r="R1563" s="4"/>
      <c r="S1563" s="4"/>
    </row>
    <row r="1564" spans="1:19" ht="21" customHeight="1" x14ac:dyDescent="0.25">
      <c r="A1564" s="14">
        <f>DATE(2012,12,31)-550</f>
        <v>40724</v>
      </c>
      <c r="B1564" s="15" t="s">
        <v>418</v>
      </c>
      <c r="C1564" s="15" t="s">
        <v>51</v>
      </c>
      <c r="D1564" s="16">
        <v>15</v>
      </c>
      <c r="E1564" s="17">
        <v>140.07</v>
      </c>
      <c r="F1564" s="16">
        <v>0.04</v>
      </c>
      <c r="G1564" s="15" t="s">
        <v>101</v>
      </c>
      <c r="H1564" s="18">
        <v>-21.85</v>
      </c>
      <c r="I1564" s="19">
        <v>8.6</v>
      </c>
      <c r="J1564" s="19">
        <v>6.19</v>
      </c>
      <c r="K1564" s="19" t="s">
        <v>44</v>
      </c>
      <c r="L1564" s="19" t="s">
        <v>89</v>
      </c>
      <c r="M1564" s="15" t="s">
        <v>1341</v>
      </c>
      <c r="N1564" s="15" t="s">
        <v>36</v>
      </c>
      <c r="O1564" s="15" t="s">
        <v>170</v>
      </c>
      <c r="P1564" s="20" t="s">
        <v>413</v>
      </c>
      <c r="Q1564" s="15" t="s">
        <v>83</v>
      </c>
      <c r="R1564" s="4"/>
      <c r="S1564" s="4"/>
    </row>
    <row r="1565" spans="1:19" ht="21" customHeight="1" x14ac:dyDescent="0.25">
      <c r="A1565" s="14">
        <f>DATE(2012,12,31)-440</f>
        <v>40834</v>
      </c>
      <c r="B1565" s="15" t="s">
        <v>1574</v>
      </c>
      <c r="C1565" s="15" t="s">
        <v>51</v>
      </c>
      <c r="D1565" s="16">
        <v>46</v>
      </c>
      <c r="E1565" s="17">
        <v>157.87</v>
      </c>
      <c r="F1565" s="16">
        <v>0</v>
      </c>
      <c r="G1565" s="15" t="s">
        <v>32</v>
      </c>
      <c r="H1565" s="18">
        <v>-115.8</v>
      </c>
      <c r="I1565" s="19">
        <v>3.28</v>
      </c>
      <c r="J1565" s="19">
        <v>3.97</v>
      </c>
      <c r="K1565" s="19" t="s">
        <v>44</v>
      </c>
      <c r="L1565" s="19" t="s">
        <v>45</v>
      </c>
      <c r="M1565" s="15" t="s">
        <v>1572</v>
      </c>
      <c r="N1565" s="15" t="s">
        <v>36</v>
      </c>
      <c r="O1565" s="15" t="s">
        <v>77</v>
      </c>
      <c r="P1565" s="20" t="s">
        <v>1326</v>
      </c>
      <c r="Q1565" s="15" t="s">
        <v>79</v>
      </c>
      <c r="R1565" s="4"/>
      <c r="S1565" s="4"/>
    </row>
    <row r="1566" spans="1:19" ht="21" customHeight="1" x14ac:dyDescent="0.25">
      <c r="A1566" s="14">
        <f>DATE(2012,12,31)-284</f>
        <v>40990</v>
      </c>
      <c r="B1566" s="15" t="s">
        <v>1575</v>
      </c>
      <c r="C1566" s="15" t="s">
        <v>85</v>
      </c>
      <c r="D1566" s="16">
        <v>29</v>
      </c>
      <c r="E1566" s="17">
        <v>1194.96</v>
      </c>
      <c r="F1566" s="16">
        <v>0.04</v>
      </c>
      <c r="G1566" s="15" t="s">
        <v>32</v>
      </c>
      <c r="H1566" s="18">
        <v>107.45</v>
      </c>
      <c r="I1566" s="19">
        <v>39.979999999999997</v>
      </c>
      <c r="J1566" s="19">
        <v>4</v>
      </c>
      <c r="K1566" s="19" t="s">
        <v>44</v>
      </c>
      <c r="L1566" s="19" t="s">
        <v>120</v>
      </c>
      <c r="M1566" s="15" t="s">
        <v>121</v>
      </c>
      <c r="N1566" s="15" t="s">
        <v>64</v>
      </c>
      <c r="O1566" s="15" t="s">
        <v>72</v>
      </c>
      <c r="P1566" s="20" t="s">
        <v>733</v>
      </c>
      <c r="Q1566" s="15" t="s">
        <v>83</v>
      </c>
      <c r="R1566" s="4"/>
      <c r="S1566" s="4"/>
    </row>
    <row r="1567" spans="1:19" ht="21" customHeight="1" x14ac:dyDescent="0.25">
      <c r="A1567" s="14">
        <f>DATE(2012,12,31)-1401</f>
        <v>39873</v>
      </c>
      <c r="B1567" s="15" t="s">
        <v>1576</v>
      </c>
      <c r="C1567" s="15" t="s">
        <v>31</v>
      </c>
      <c r="D1567" s="16">
        <v>10</v>
      </c>
      <c r="E1567" s="17">
        <v>866.66</v>
      </c>
      <c r="F1567" s="16">
        <v>0.09</v>
      </c>
      <c r="G1567" s="15" t="s">
        <v>58</v>
      </c>
      <c r="H1567" s="18">
        <v>35.290000000000049</v>
      </c>
      <c r="I1567" s="19">
        <v>90.97</v>
      </c>
      <c r="J1567" s="19">
        <v>14</v>
      </c>
      <c r="K1567" s="19" t="s">
        <v>44</v>
      </c>
      <c r="L1567" s="19" t="s">
        <v>45</v>
      </c>
      <c r="M1567" s="15" t="s">
        <v>1572</v>
      </c>
      <c r="N1567" s="15" t="s">
        <v>64</v>
      </c>
      <c r="O1567" s="15" t="s">
        <v>122</v>
      </c>
      <c r="P1567" s="20" t="s">
        <v>843</v>
      </c>
      <c r="Q1567" s="15" t="s">
        <v>181</v>
      </c>
      <c r="R1567" s="4"/>
      <c r="S1567" s="4"/>
    </row>
    <row r="1568" spans="1:19" ht="21" customHeight="1" x14ac:dyDescent="0.25">
      <c r="A1568" s="14">
        <f>DATE(2012,12,31)-1141</f>
        <v>40133</v>
      </c>
      <c r="B1568" s="15" t="s">
        <v>932</v>
      </c>
      <c r="C1568" s="15" t="s">
        <v>31</v>
      </c>
      <c r="D1568" s="16">
        <v>6</v>
      </c>
      <c r="E1568" s="17">
        <v>184.33100000000002</v>
      </c>
      <c r="F1568" s="16">
        <v>7.0000000000000007E-2</v>
      </c>
      <c r="G1568" s="15" t="s">
        <v>32</v>
      </c>
      <c r="H1568" s="18">
        <v>-89.198999999999998</v>
      </c>
      <c r="I1568" s="19">
        <v>35.99</v>
      </c>
      <c r="J1568" s="19">
        <v>5.99</v>
      </c>
      <c r="K1568" s="19" t="s">
        <v>44</v>
      </c>
      <c r="L1568" s="19" t="s">
        <v>120</v>
      </c>
      <c r="M1568" s="15" t="s">
        <v>121</v>
      </c>
      <c r="N1568" s="15" t="s">
        <v>64</v>
      </c>
      <c r="O1568" s="15" t="s">
        <v>65</v>
      </c>
      <c r="P1568" s="20" t="s">
        <v>1577</v>
      </c>
      <c r="Q1568" s="15" t="s">
        <v>79</v>
      </c>
      <c r="R1568" s="4"/>
      <c r="S1568" s="4"/>
    </row>
    <row r="1569" spans="1:19" ht="21" customHeight="1" x14ac:dyDescent="0.25">
      <c r="A1569" s="14">
        <f>DATE(2012,12,31)-1141</f>
        <v>40133</v>
      </c>
      <c r="B1569" s="15" t="s">
        <v>932</v>
      </c>
      <c r="C1569" s="15" t="s">
        <v>31</v>
      </c>
      <c r="D1569" s="16">
        <v>23</v>
      </c>
      <c r="E1569" s="17">
        <v>1223.3795</v>
      </c>
      <c r="F1569" s="16">
        <v>0.08</v>
      </c>
      <c r="G1569" s="15" t="s">
        <v>101</v>
      </c>
      <c r="H1569" s="18">
        <v>83.564999999999998</v>
      </c>
      <c r="I1569" s="19">
        <v>65.989999999999995</v>
      </c>
      <c r="J1569" s="19">
        <v>5.92</v>
      </c>
      <c r="K1569" s="19" t="s">
        <v>44</v>
      </c>
      <c r="L1569" s="19" t="s">
        <v>89</v>
      </c>
      <c r="M1569" s="15" t="s">
        <v>1341</v>
      </c>
      <c r="N1569" s="15" t="s">
        <v>64</v>
      </c>
      <c r="O1569" s="15" t="s">
        <v>65</v>
      </c>
      <c r="P1569" s="20" t="s">
        <v>1578</v>
      </c>
      <c r="Q1569" s="15" t="s">
        <v>83</v>
      </c>
      <c r="R1569" s="4"/>
      <c r="S1569" s="4"/>
    </row>
    <row r="1570" spans="1:19" ht="21" customHeight="1" x14ac:dyDescent="0.25">
      <c r="A1570" s="14">
        <f>DATE(2012,12,31)-1167</f>
        <v>40107</v>
      </c>
      <c r="B1570" s="15" t="s">
        <v>1308</v>
      </c>
      <c r="C1570" s="15" t="s">
        <v>51</v>
      </c>
      <c r="D1570" s="16">
        <v>3</v>
      </c>
      <c r="E1570" s="17">
        <v>14.84</v>
      </c>
      <c r="F1570" s="16">
        <v>0.08</v>
      </c>
      <c r="G1570" s="15" t="s">
        <v>32</v>
      </c>
      <c r="H1570" s="18">
        <v>-2.42</v>
      </c>
      <c r="I1570" s="19">
        <v>4.9800000000000004</v>
      </c>
      <c r="J1570" s="19">
        <v>0.49</v>
      </c>
      <c r="K1570" s="19" t="s">
        <v>44</v>
      </c>
      <c r="L1570" s="19" t="s">
        <v>120</v>
      </c>
      <c r="M1570" s="15" t="s">
        <v>121</v>
      </c>
      <c r="N1570" s="15" t="s">
        <v>36</v>
      </c>
      <c r="O1570" s="15" t="s">
        <v>114</v>
      </c>
      <c r="P1570" s="20" t="s">
        <v>304</v>
      </c>
      <c r="Q1570" s="15" t="s">
        <v>83</v>
      </c>
      <c r="R1570" s="4"/>
      <c r="S1570" s="4"/>
    </row>
    <row r="1571" spans="1:19" ht="21" customHeight="1" x14ac:dyDescent="0.25">
      <c r="A1571" s="14">
        <f>DATE(2012,12,31)-1167</f>
        <v>40107</v>
      </c>
      <c r="B1571" s="15" t="s">
        <v>1308</v>
      </c>
      <c r="C1571" s="15" t="s">
        <v>51</v>
      </c>
      <c r="D1571" s="16">
        <v>8</v>
      </c>
      <c r="E1571" s="17">
        <v>922.47</v>
      </c>
      <c r="F1571" s="16">
        <v>0.09</v>
      </c>
      <c r="G1571" s="15" t="s">
        <v>58</v>
      </c>
      <c r="H1571" s="18">
        <v>-13.1022</v>
      </c>
      <c r="I1571" s="19">
        <v>119.99</v>
      </c>
      <c r="J1571" s="19">
        <v>14</v>
      </c>
      <c r="K1571" s="19" t="s">
        <v>44</v>
      </c>
      <c r="L1571" s="19" t="s">
        <v>120</v>
      </c>
      <c r="M1571" s="15" t="s">
        <v>121</v>
      </c>
      <c r="N1571" s="15" t="s">
        <v>64</v>
      </c>
      <c r="O1571" s="15" t="s">
        <v>122</v>
      </c>
      <c r="P1571" s="20" t="s">
        <v>760</v>
      </c>
      <c r="Q1571" s="15" t="s">
        <v>181</v>
      </c>
      <c r="R1571" s="4"/>
      <c r="S1571" s="4"/>
    </row>
    <row r="1572" spans="1:19" ht="21" customHeight="1" x14ac:dyDescent="0.25">
      <c r="A1572" s="14">
        <f>DATE(2012,12,31)-112</f>
        <v>41162</v>
      </c>
      <c r="B1572" s="15" t="s">
        <v>1579</v>
      </c>
      <c r="C1572" s="15" t="s">
        <v>31</v>
      </c>
      <c r="D1572" s="16">
        <v>32</v>
      </c>
      <c r="E1572" s="17">
        <v>3245.73</v>
      </c>
      <c r="F1572" s="16">
        <v>0.09</v>
      </c>
      <c r="G1572" s="15" t="s">
        <v>32</v>
      </c>
      <c r="H1572" s="18">
        <v>569.57000000000005</v>
      </c>
      <c r="I1572" s="19">
        <v>110.98</v>
      </c>
      <c r="J1572" s="19">
        <v>13.99</v>
      </c>
      <c r="K1572" s="19" t="s">
        <v>124</v>
      </c>
      <c r="L1572" s="19" t="s">
        <v>160</v>
      </c>
      <c r="M1572" s="15" t="s">
        <v>1505</v>
      </c>
      <c r="N1572" s="15" t="s">
        <v>54</v>
      </c>
      <c r="O1572" s="15" t="s">
        <v>55</v>
      </c>
      <c r="P1572" s="20" t="s">
        <v>395</v>
      </c>
      <c r="Q1572" s="15" t="s">
        <v>57</v>
      </c>
      <c r="R1572" s="4"/>
      <c r="S1572" s="4"/>
    </row>
    <row r="1573" spans="1:19" ht="21" customHeight="1" x14ac:dyDescent="0.25">
      <c r="A1573" s="14">
        <f>DATE(2012,12,31)-112</f>
        <v>41162</v>
      </c>
      <c r="B1573" s="15" t="s">
        <v>1579</v>
      </c>
      <c r="C1573" s="15" t="s">
        <v>31</v>
      </c>
      <c r="D1573" s="16">
        <v>27</v>
      </c>
      <c r="E1573" s="17">
        <v>63.02</v>
      </c>
      <c r="F1573" s="16">
        <v>7.0000000000000007E-2</v>
      </c>
      <c r="G1573" s="15" t="s">
        <v>32</v>
      </c>
      <c r="H1573" s="18">
        <v>-119.66</v>
      </c>
      <c r="I1573" s="19">
        <v>2.1800000000000002</v>
      </c>
      <c r="J1573" s="19">
        <v>5</v>
      </c>
      <c r="K1573" s="19" t="s">
        <v>33</v>
      </c>
      <c r="L1573" s="19" t="s">
        <v>93</v>
      </c>
      <c r="M1573" s="15" t="s">
        <v>94</v>
      </c>
      <c r="N1573" s="15" t="s">
        <v>36</v>
      </c>
      <c r="O1573" s="15" t="s">
        <v>47</v>
      </c>
      <c r="P1573" s="20" t="s">
        <v>673</v>
      </c>
      <c r="Q1573" s="15" t="s">
        <v>79</v>
      </c>
      <c r="R1573" s="4"/>
      <c r="S1573" s="4"/>
    </row>
    <row r="1574" spans="1:19" ht="21" customHeight="1" x14ac:dyDescent="0.25">
      <c r="A1574" s="14">
        <f>DATE(2012,12,31)-112</f>
        <v>41162</v>
      </c>
      <c r="B1574" s="15" t="s">
        <v>1579</v>
      </c>
      <c r="C1574" s="15" t="s">
        <v>31</v>
      </c>
      <c r="D1574" s="16">
        <v>9</v>
      </c>
      <c r="E1574" s="17">
        <v>6420.87</v>
      </c>
      <c r="F1574" s="16">
        <v>0.02</v>
      </c>
      <c r="G1574" s="15" t="s">
        <v>32</v>
      </c>
      <c r="H1574" s="18">
        <v>-690.21</v>
      </c>
      <c r="I1574" s="19">
        <v>699.99</v>
      </c>
      <c r="J1574" s="19">
        <v>24.49</v>
      </c>
      <c r="K1574" s="19" t="s">
        <v>33</v>
      </c>
      <c r="L1574" s="19" t="s">
        <v>93</v>
      </c>
      <c r="M1574" s="15" t="s">
        <v>94</v>
      </c>
      <c r="N1574" s="15" t="s">
        <v>64</v>
      </c>
      <c r="O1574" s="15" t="s">
        <v>460</v>
      </c>
      <c r="P1574" s="20" t="s">
        <v>461</v>
      </c>
      <c r="Q1574" s="15" t="s">
        <v>39</v>
      </c>
      <c r="R1574" s="4"/>
      <c r="S1574" s="4"/>
    </row>
    <row r="1575" spans="1:19" ht="21" customHeight="1" x14ac:dyDescent="0.25">
      <c r="A1575" s="14">
        <f>DATE(2012,12,31)-112</f>
        <v>41162</v>
      </c>
      <c r="B1575" s="15" t="s">
        <v>1579</v>
      </c>
      <c r="C1575" s="15" t="s">
        <v>31</v>
      </c>
      <c r="D1575" s="16">
        <v>25</v>
      </c>
      <c r="E1575" s="17">
        <v>2407.6929999999998</v>
      </c>
      <c r="F1575" s="16">
        <v>0.04</v>
      </c>
      <c r="G1575" s="15" t="s">
        <v>32</v>
      </c>
      <c r="H1575" s="18">
        <v>424.14299999999997</v>
      </c>
      <c r="I1575" s="19">
        <v>110.99</v>
      </c>
      <c r="J1575" s="19">
        <v>8.99</v>
      </c>
      <c r="K1575" s="19" t="s">
        <v>33</v>
      </c>
      <c r="L1575" s="19" t="s">
        <v>93</v>
      </c>
      <c r="M1575" s="15" t="s">
        <v>94</v>
      </c>
      <c r="N1575" s="15" t="s">
        <v>64</v>
      </c>
      <c r="O1575" s="15" t="s">
        <v>65</v>
      </c>
      <c r="P1575" s="20" t="s">
        <v>811</v>
      </c>
      <c r="Q1575" s="15" t="s">
        <v>83</v>
      </c>
      <c r="R1575" s="4"/>
      <c r="S1575" s="4"/>
    </row>
    <row r="1576" spans="1:19" ht="21" customHeight="1" x14ac:dyDescent="0.25">
      <c r="A1576" s="14">
        <f>DATE(2012,12,31)-1213</f>
        <v>40061</v>
      </c>
      <c r="B1576" s="15" t="s">
        <v>1580</v>
      </c>
      <c r="C1576" s="15" t="s">
        <v>31</v>
      </c>
      <c r="D1576" s="16">
        <v>28</v>
      </c>
      <c r="E1576" s="17">
        <v>128.69</v>
      </c>
      <c r="F1576" s="16">
        <v>0.04</v>
      </c>
      <c r="G1576" s="15" t="s">
        <v>32</v>
      </c>
      <c r="H1576" s="18">
        <v>28.288</v>
      </c>
      <c r="I1576" s="19">
        <v>4.55</v>
      </c>
      <c r="J1576" s="19">
        <v>1.49</v>
      </c>
      <c r="K1576" s="19" t="s">
        <v>33</v>
      </c>
      <c r="L1576" s="19" t="s">
        <v>128</v>
      </c>
      <c r="M1576" s="15" t="s">
        <v>129</v>
      </c>
      <c r="N1576" s="15" t="s">
        <v>36</v>
      </c>
      <c r="O1576" s="15" t="s">
        <v>170</v>
      </c>
      <c r="P1576" s="20" t="s">
        <v>1581</v>
      </c>
      <c r="Q1576" s="15" t="s">
        <v>83</v>
      </c>
      <c r="R1576" s="4"/>
      <c r="S1576" s="4"/>
    </row>
    <row r="1577" spans="1:19" ht="21" customHeight="1" x14ac:dyDescent="0.25">
      <c r="A1577" s="14">
        <f>DATE(2012,12,31)-163</f>
        <v>41111</v>
      </c>
      <c r="B1577" s="15" t="s">
        <v>1582</v>
      </c>
      <c r="C1577" s="15" t="s">
        <v>85</v>
      </c>
      <c r="D1577" s="16">
        <v>42</v>
      </c>
      <c r="E1577" s="17">
        <v>12270.3</v>
      </c>
      <c r="F1577" s="16">
        <v>7.0000000000000007E-2</v>
      </c>
      <c r="G1577" s="15" t="s">
        <v>32</v>
      </c>
      <c r="H1577" s="18">
        <v>4842.3734999999997</v>
      </c>
      <c r="I1577" s="19">
        <v>304.99</v>
      </c>
      <c r="J1577" s="19">
        <v>19.989999999999998</v>
      </c>
      <c r="K1577" s="19" t="s">
        <v>33</v>
      </c>
      <c r="L1577" s="19" t="s">
        <v>128</v>
      </c>
      <c r="M1577" s="15" t="s">
        <v>129</v>
      </c>
      <c r="N1577" s="15" t="s">
        <v>36</v>
      </c>
      <c r="O1577" s="15" t="s">
        <v>170</v>
      </c>
      <c r="P1577" s="20" t="s">
        <v>743</v>
      </c>
      <c r="Q1577" s="15" t="s">
        <v>83</v>
      </c>
      <c r="R1577" s="4"/>
      <c r="S1577" s="4"/>
    </row>
    <row r="1578" spans="1:19" ht="21" customHeight="1" x14ac:dyDescent="0.25">
      <c r="A1578" s="14">
        <f>DATE(2012,12,31)-147</f>
        <v>41127</v>
      </c>
      <c r="B1578" s="15" t="s">
        <v>1583</v>
      </c>
      <c r="C1578" s="15" t="s">
        <v>51</v>
      </c>
      <c r="D1578" s="16">
        <v>16</v>
      </c>
      <c r="E1578" s="17">
        <v>109.7</v>
      </c>
      <c r="F1578" s="16">
        <v>0.03</v>
      </c>
      <c r="G1578" s="15" t="s">
        <v>32</v>
      </c>
      <c r="H1578" s="18">
        <v>-106.77</v>
      </c>
      <c r="I1578" s="19">
        <v>5.98</v>
      </c>
      <c r="J1578" s="19">
        <v>10.39</v>
      </c>
      <c r="K1578" s="19" t="s">
        <v>97</v>
      </c>
      <c r="L1578" s="19" t="s">
        <v>98</v>
      </c>
      <c r="M1578" s="15" t="s">
        <v>1162</v>
      </c>
      <c r="N1578" s="15" t="s">
        <v>36</v>
      </c>
      <c r="O1578" s="15" t="s">
        <v>117</v>
      </c>
      <c r="P1578" s="20" t="s">
        <v>1071</v>
      </c>
      <c r="Q1578" s="15" t="s">
        <v>83</v>
      </c>
      <c r="R1578" s="4"/>
      <c r="S1578" s="4"/>
    </row>
    <row r="1579" spans="1:19" ht="21" customHeight="1" x14ac:dyDescent="0.25">
      <c r="A1579" s="14">
        <f>DATE(2012,12,31)-147</f>
        <v>41127</v>
      </c>
      <c r="B1579" s="15" t="s">
        <v>1583</v>
      </c>
      <c r="C1579" s="15" t="s">
        <v>51</v>
      </c>
      <c r="D1579" s="16">
        <v>26</v>
      </c>
      <c r="E1579" s="17">
        <v>80.89</v>
      </c>
      <c r="F1579" s="16">
        <v>0.03</v>
      </c>
      <c r="G1579" s="15" t="s">
        <v>32</v>
      </c>
      <c r="H1579" s="18">
        <v>23.37</v>
      </c>
      <c r="I1579" s="19">
        <v>2.94</v>
      </c>
      <c r="J1579" s="19">
        <v>0.81</v>
      </c>
      <c r="K1579" s="19" t="s">
        <v>97</v>
      </c>
      <c r="L1579" s="19" t="s">
        <v>195</v>
      </c>
      <c r="M1579" s="15" t="s">
        <v>1413</v>
      </c>
      <c r="N1579" s="15" t="s">
        <v>36</v>
      </c>
      <c r="O1579" s="15" t="s">
        <v>77</v>
      </c>
      <c r="P1579" s="20" t="s">
        <v>1584</v>
      </c>
      <c r="Q1579" s="15" t="s">
        <v>79</v>
      </c>
      <c r="R1579" s="4"/>
      <c r="S1579" s="4"/>
    </row>
    <row r="1580" spans="1:19" ht="21" customHeight="1" x14ac:dyDescent="0.25">
      <c r="A1580" s="14">
        <f>DATE(2012,12,31)-558</f>
        <v>40716</v>
      </c>
      <c r="B1580" s="15" t="s">
        <v>1585</v>
      </c>
      <c r="C1580" s="15" t="s">
        <v>85</v>
      </c>
      <c r="D1580" s="16">
        <v>29</v>
      </c>
      <c r="E1580" s="17">
        <v>482.91</v>
      </c>
      <c r="F1580" s="16">
        <v>0.1</v>
      </c>
      <c r="G1580" s="15" t="s">
        <v>32</v>
      </c>
      <c r="H1580" s="18">
        <v>-16.59</v>
      </c>
      <c r="I1580" s="19">
        <v>16.91</v>
      </c>
      <c r="J1580" s="19">
        <v>6.25</v>
      </c>
      <c r="K1580" s="19" t="s">
        <v>97</v>
      </c>
      <c r="L1580" s="19" t="s">
        <v>98</v>
      </c>
      <c r="M1580" s="15" t="s">
        <v>1162</v>
      </c>
      <c r="N1580" s="15" t="s">
        <v>36</v>
      </c>
      <c r="O1580" s="15" t="s">
        <v>37</v>
      </c>
      <c r="P1580" s="20" t="s">
        <v>1586</v>
      </c>
      <c r="Q1580" s="15" t="s">
        <v>83</v>
      </c>
      <c r="R1580" s="4"/>
      <c r="S1580" s="4"/>
    </row>
    <row r="1581" spans="1:19" ht="21" customHeight="1" x14ac:dyDescent="0.25">
      <c r="A1581" s="14">
        <f>DATE(2012,12,31)-558</f>
        <v>40716</v>
      </c>
      <c r="B1581" s="15" t="s">
        <v>1585</v>
      </c>
      <c r="C1581" s="15" t="s">
        <v>85</v>
      </c>
      <c r="D1581" s="16">
        <v>23</v>
      </c>
      <c r="E1581" s="17">
        <v>2969.6365000000001</v>
      </c>
      <c r="F1581" s="16">
        <v>0.04</v>
      </c>
      <c r="G1581" s="15" t="s">
        <v>101</v>
      </c>
      <c r="H1581" s="18">
        <v>383.45400000000001</v>
      </c>
      <c r="I1581" s="19">
        <v>155.99</v>
      </c>
      <c r="J1581" s="19">
        <v>8.99</v>
      </c>
      <c r="K1581" s="19" t="s">
        <v>97</v>
      </c>
      <c r="L1581" s="19" t="s">
        <v>132</v>
      </c>
      <c r="M1581" s="15" t="s">
        <v>133</v>
      </c>
      <c r="N1581" s="15" t="s">
        <v>64</v>
      </c>
      <c r="O1581" s="15" t="s">
        <v>65</v>
      </c>
      <c r="P1581" s="20" t="s">
        <v>82</v>
      </c>
      <c r="Q1581" s="15" t="s">
        <v>83</v>
      </c>
      <c r="R1581" s="4"/>
      <c r="S1581" s="4"/>
    </row>
    <row r="1582" spans="1:19" ht="21" customHeight="1" x14ac:dyDescent="0.25">
      <c r="A1582" s="14">
        <f>DATE(2012,12,31)-1334</f>
        <v>39940</v>
      </c>
      <c r="B1582" s="15" t="s">
        <v>311</v>
      </c>
      <c r="C1582" s="15" t="s">
        <v>85</v>
      </c>
      <c r="D1582" s="16">
        <v>19</v>
      </c>
      <c r="E1582" s="17">
        <v>333.68</v>
      </c>
      <c r="F1582" s="16">
        <v>0.01</v>
      </c>
      <c r="G1582" s="15" t="s">
        <v>32</v>
      </c>
      <c r="H1582" s="18">
        <v>81.96</v>
      </c>
      <c r="I1582" s="19">
        <v>16.48</v>
      </c>
      <c r="J1582" s="19">
        <v>1.99</v>
      </c>
      <c r="K1582" s="19" t="s">
        <v>97</v>
      </c>
      <c r="L1582" s="19" t="s">
        <v>98</v>
      </c>
      <c r="M1582" s="15" t="s">
        <v>1162</v>
      </c>
      <c r="N1582" s="15" t="s">
        <v>64</v>
      </c>
      <c r="O1582" s="15" t="s">
        <v>72</v>
      </c>
      <c r="P1582" s="20" t="s">
        <v>1587</v>
      </c>
      <c r="Q1582" s="15" t="s">
        <v>49</v>
      </c>
      <c r="R1582" s="4"/>
      <c r="S1582" s="4"/>
    </row>
    <row r="1583" spans="1:19" ht="21" customHeight="1" x14ac:dyDescent="0.25">
      <c r="A1583" s="14">
        <f>DATE(2012,12,31)-768</f>
        <v>40506</v>
      </c>
      <c r="B1583" s="15" t="s">
        <v>728</v>
      </c>
      <c r="C1583" s="15" t="s">
        <v>85</v>
      </c>
      <c r="D1583" s="16">
        <v>27</v>
      </c>
      <c r="E1583" s="17">
        <v>58.64</v>
      </c>
      <c r="F1583" s="16">
        <v>0.08</v>
      </c>
      <c r="G1583" s="15" t="s">
        <v>32</v>
      </c>
      <c r="H1583" s="18">
        <v>4.55</v>
      </c>
      <c r="I1583" s="19">
        <v>2.21</v>
      </c>
      <c r="J1583" s="19">
        <v>1</v>
      </c>
      <c r="K1583" s="19" t="s">
        <v>124</v>
      </c>
      <c r="L1583" s="19" t="s">
        <v>493</v>
      </c>
      <c r="M1583" s="15" t="s">
        <v>1588</v>
      </c>
      <c r="N1583" s="15" t="s">
        <v>36</v>
      </c>
      <c r="O1583" s="15" t="s">
        <v>77</v>
      </c>
      <c r="P1583" s="20" t="s">
        <v>211</v>
      </c>
      <c r="Q1583" s="15" t="s">
        <v>79</v>
      </c>
      <c r="R1583" s="4"/>
      <c r="S1583" s="4"/>
    </row>
    <row r="1584" spans="1:19" ht="21" customHeight="1" x14ac:dyDescent="0.25">
      <c r="A1584" s="14">
        <f>DATE(2012,12,31)-768</f>
        <v>40506</v>
      </c>
      <c r="B1584" s="15" t="s">
        <v>728</v>
      </c>
      <c r="C1584" s="15" t="s">
        <v>85</v>
      </c>
      <c r="D1584" s="16">
        <v>20</v>
      </c>
      <c r="E1584" s="17">
        <v>136.06</v>
      </c>
      <c r="F1584" s="16">
        <v>0.04</v>
      </c>
      <c r="G1584" s="15" t="s">
        <v>32</v>
      </c>
      <c r="H1584" s="18">
        <v>-33.223500000000001</v>
      </c>
      <c r="I1584" s="19">
        <v>6.37</v>
      </c>
      <c r="J1584" s="19">
        <v>5.19</v>
      </c>
      <c r="K1584" s="19" t="s">
        <v>124</v>
      </c>
      <c r="L1584" s="19" t="s">
        <v>160</v>
      </c>
      <c r="M1584" s="15" t="s">
        <v>1505</v>
      </c>
      <c r="N1584" s="15" t="s">
        <v>36</v>
      </c>
      <c r="O1584" s="15" t="s">
        <v>170</v>
      </c>
      <c r="P1584" s="20" t="s">
        <v>383</v>
      </c>
      <c r="Q1584" s="15" t="s">
        <v>83</v>
      </c>
      <c r="R1584" s="4"/>
      <c r="S1584" s="4"/>
    </row>
    <row r="1585" spans="1:19" ht="21" customHeight="1" x14ac:dyDescent="0.25">
      <c r="A1585" s="14">
        <f>DATE(2012,12,31)-345</f>
        <v>40929</v>
      </c>
      <c r="B1585" s="15" t="s">
        <v>1589</v>
      </c>
      <c r="C1585" s="15" t="s">
        <v>85</v>
      </c>
      <c r="D1585" s="16">
        <v>16</v>
      </c>
      <c r="E1585" s="17">
        <v>1554.53</v>
      </c>
      <c r="F1585" s="16">
        <v>0</v>
      </c>
      <c r="G1585" s="15" t="s">
        <v>32</v>
      </c>
      <c r="H1585" s="18">
        <v>474.66</v>
      </c>
      <c r="I1585" s="19">
        <v>90.48</v>
      </c>
      <c r="J1585" s="19">
        <v>19.989999999999998</v>
      </c>
      <c r="K1585" s="19" t="s">
        <v>124</v>
      </c>
      <c r="L1585" s="19" t="s">
        <v>160</v>
      </c>
      <c r="M1585" s="15" t="s">
        <v>1505</v>
      </c>
      <c r="N1585" s="15" t="s">
        <v>36</v>
      </c>
      <c r="O1585" s="15" t="s">
        <v>189</v>
      </c>
      <c r="P1585" s="20" t="s">
        <v>963</v>
      </c>
      <c r="Q1585" s="15" t="s">
        <v>83</v>
      </c>
      <c r="R1585" s="4"/>
      <c r="S1585" s="4"/>
    </row>
    <row r="1586" spans="1:19" ht="21" customHeight="1" x14ac:dyDescent="0.25">
      <c r="A1586" s="14">
        <f>DATE(2012,12,31)-1034</f>
        <v>40240</v>
      </c>
      <c r="B1586" s="15" t="s">
        <v>1336</v>
      </c>
      <c r="C1586" s="15" t="s">
        <v>31</v>
      </c>
      <c r="D1586" s="16">
        <v>39</v>
      </c>
      <c r="E1586" s="17">
        <v>446.04</v>
      </c>
      <c r="F1586" s="16">
        <v>0.01</v>
      </c>
      <c r="G1586" s="15" t="s">
        <v>32</v>
      </c>
      <c r="H1586" s="18">
        <v>59.040999999999997</v>
      </c>
      <c r="I1586" s="19">
        <v>10.98</v>
      </c>
      <c r="J1586" s="19">
        <v>5.14</v>
      </c>
      <c r="K1586" s="19" t="s">
        <v>124</v>
      </c>
      <c r="L1586" s="19" t="s">
        <v>160</v>
      </c>
      <c r="M1586" s="15" t="s">
        <v>1505</v>
      </c>
      <c r="N1586" s="15" t="s">
        <v>36</v>
      </c>
      <c r="O1586" s="15" t="s">
        <v>170</v>
      </c>
      <c r="P1586" s="20" t="s">
        <v>1590</v>
      </c>
      <c r="Q1586" s="15" t="s">
        <v>83</v>
      </c>
      <c r="R1586" s="4"/>
      <c r="S1586" s="4"/>
    </row>
    <row r="1587" spans="1:19" ht="21" customHeight="1" x14ac:dyDescent="0.25">
      <c r="A1587" s="14">
        <f>DATE(2012,12,31)-1034</f>
        <v>40240</v>
      </c>
      <c r="B1587" s="15" t="s">
        <v>1336</v>
      </c>
      <c r="C1587" s="15" t="s">
        <v>31</v>
      </c>
      <c r="D1587" s="16">
        <v>46</v>
      </c>
      <c r="E1587" s="17">
        <v>18421.2</v>
      </c>
      <c r="F1587" s="16">
        <v>0.06</v>
      </c>
      <c r="G1587" s="15" t="s">
        <v>58</v>
      </c>
      <c r="H1587" s="18">
        <v>-969.0483660000001</v>
      </c>
      <c r="I1587" s="19">
        <v>400.98</v>
      </c>
      <c r="J1587" s="19">
        <v>42.52</v>
      </c>
      <c r="K1587" s="19" t="s">
        <v>124</v>
      </c>
      <c r="L1587" s="19" t="s">
        <v>160</v>
      </c>
      <c r="M1587" s="15" t="s">
        <v>1505</v>
      </c>
      <c r="N1587" s="15" t="s">
        <v>54</v>
      </c>
      <c r="O1587" s="15" t="s">
        <v>61</v>
      </c>
      <c r="P1587" s="20" t="s">
        <v>1001</v>
      </c>
      <c r="Q1587" s="15" t="s">
        <v>63</v>
      </c>
      <c r="R1587" s="4"/>
      <c r="S1587" s="4"/>
    </row>
    <row r="1588" spans="1:19" ht="21" customHeight="1" x14ac:dyDescent="0.25">
      <c r="A1588" s="14">
        <f>DATE(2012,12,31)-152</f>
        <v>41122</v>
      </c>
      <c r="B1588" s="15" t="s">
        <v>1250</v>
      </c>
      <c r="C1588" s="15" t="s">
        <v>51</v>
      </c>
      <c r="D1588" s="16">
        <v>5</v>
      </c>
      <c r="E1588" s="17">
        <v>39.68</v>
      </c>
      <c r="F1588" s="16">
        <v>0.09</v>
      </c>
      <c r="G1588" s="15" t="s">
        <v>32</v>
      </c>
      <c r="H1588" s="18">
        <v>-6.71</v>
      </c>
      <c r="I1588" s="19">
        <v>8.01</v>
      </c>
      <c r="J1588" s="19">
        <v>2.87</v>
      </c>
      <c r="K1588" s="19" t="s">
        <v>124</v>
      </c>
      <c r="L1588" s="19" t="s">
        <v>158</v>
      </c>
      <c r="M1588" s="15" t="s">
        <v>158</v>
      </c>
      <c r="N1588" s="15" t="s">
        <v>36</v>
      </c>
      <c r="O1588" s="15" t="s">
        <v>117</v>
      </c>
      <c r="P1588" s="20" t="s">
        <v>639</v>
      </c>
      <c r="Q1588" s="15" t="s">
        <v>79</v>
      </c>
      <c r="R1588" s="4"/>
      <c r="S1588" s="4"/>
    </row>
    <row r="1589" spans="1:19" ht="21" customHeight="1" x14ac:dyDescent="0.25">
      <c r="A1589" s="14">
        <f>DATE(2012,12,31)-152</f>
        <v>41122</v>
      </c>
      <c r="B1589" s="15" t="s">
        <v>1250</v>
      </c>
      <c r="C1589" s="15" t="s">
        <v>51</v>
      </c>
      <c r="D1589" s="16">
        <v>8</v>
      </c>
      <c r="E1589" s="17">
        <v>1273.2660000000001</v>
      </c>
      <c r="F1589" s="16">
        <v>0.1</v>
      </c>
      <c r="G1589" s="15" t="s">
        <v>32</v>
      </c>
      <c r="H1589" s="18">
        <v>-615.66999999999996</v>
      </c>
      <c r="I1589" s="19">
        <v>205.99</v>
      </c>
      <c r="J1589" s="19">
        <v>8.99</v>
      </c>
      <c r="K1589" s="19" t="s">
        <v>124</v>
      </c>
      <c r="L1589" s="19" t="s">
        <v>164</v>
      </c>
      <c r="M1589" s="15" t="s">
        <v>1228</v>
      </c>
      <c r="N1589" s="15" t="s">
        <v>64</v>
      </c>
      <c r="O1589" s="15" t="s">
        <v>65</v>
      </c>
      <c r="P1589" s="20" t="s">
        <v>758</v>
      </c>
      <c r="Q1589" s="15" t="s">
        <v>83</v>
      </c>
      <c r="R1589" s="4"/>
      <c r="S1589" s="4"/>
    </row>
    <row r="1590" spans="1:19" ht="21" customHeight="1" x14ac:dyDescent="0.25">
      <c r="A1590" s="14">
        <f>DATE(2012,12,31)-994</f>
        <v>40280</v>
      </c>
      <c r="B1590" s="15" t="s">
        <v>1509</v>
      </c>
      <c r="C1590" s="15" t="s">
        <v>31</v>
      </c>
      <c r="D1590" s="16">
        <v>15</v>
      </c>
      <c r="E1590" s="17">
        <v>1519.9</v>
      </c>
      <c r="F1590" s="16">
        <v>0.09</v>
      </c>
      <c r="G1590" s="15" t="s">
        <v>32</v>
      </c>
      <c r="H1590" s="18">
        <v>399.37</v>
      </c>
      <c r="I1590" s="19">
        <v>105.34</v>
      </c>
      <c r="J1590" s="19">
        <v>24.49</v>
      </c>
      <c r="K1590" s="19" t="s">
        <v>124</v>
      </c>
      <c r="L1590" s="19" t="s">
        <v>158</v>
      </c>
      <c r="M1590" s="15" t="s">
        <v>158</v>
      </c>
      <c r="N1590" s="15" t="s">
        <v>54</v>
      </c>
      <c r="O1590" s="15" t="s">
        <v>55</v>
      </c>
      <c r="P1590" s="20" t="s">
        <v>1366</v>
      </c>
      <c r="Q1590" s="15" t="s">
        <v>39</v>
      </c>
      <c r="R1590" s="4"/>
      <c r="S1590" s="4"/>
    </row>
    <row r="1591" spans="1:19" ht="21" customHeight="1" x14ac:dyDescent="0.25">
      <c r="A1591" s="14">
        <f>DATE(2012,12,31)-860</f>
        <v>40414</v>
      </c>
      <c r="B1591" s="15" t="s">
        <v>273</v>
      </c>
      <c r="C1591" s="15" t="s">
        <v>51</v>
      </c>
      <c r="D1591" s="16">
        <v>30</v>
      </c>
      <c r="E1591" s="17">
        <v>102.24</v>
      </c>
      <c r="F1591" s="16">
        <v>0.09</v>
      </c>
      <c r="G1591" s="15" t="s">
        <v>32</v>
      </c>
      <c r="H1591" s="18">
        <v>37.79</v>
      </c>
      <c r="I1591" s="19">
        <v>3.69</v>
      </c>
      <c r="J1591" s="19">
        <v>0.5</v>
      </c>
      <c r="K1591" s="19" t="s">
        <v>124</v>
      </c>
      <c r="L1591" s="19" t="s">
        <v>158</v>
      </c>
      <c r="M1591" s="15" t="s">
        <v>158</v>
      </c>
      <c r="N1591" s="15" t="s">
        <v>36</v>
      </c>
      <c r="O1591" s="15" t="s">
        <v>114</v>
      </c>
      <c r="P1591" s="20" t="s">
        <v>1169</v>
      </c>
      <c r="Q1591" s="15" t="s">
        <v>83</v>
      </c>
      <c r="R1591" s="4"/>
      <c r="S1591" s="4"/>
    </row>
    <row r="1592" spans="1:19" ht="21" customHeight="1" x14ac:dyDescent="0.25">
      <c r="A1592" s="14">
        <f>DATE(2012,12,31)-867</f>
        <v>40407</v>
      </c>
      <c r="B1592" s="15" t="s">
        <v>1282</v>
      </c>
      <c r="C1592" s="15" t="s">
        <v>31</v>
      </c>
      <c r="D1592" s="16">
        <v>26</v>
      </c>
      <c r="E1592" s="17">
        <v>165.37</v>
      </c>
      <c r="F1592" s="16">
        <v>0.06</v>
      </c>
      <c r="G1592" s="15" t="s">
        <v>32</v>
      </c>
      <c r="H1592" s="18">
        <v>-80.11</v>
      </c>
      <c r="I1592" s="19">
        <v>6.6</v>
      </c>
      <c r="J1592" s="19">
        <v>4.07</v>
      </c>
      <c r="K1592" s="19" t="s">
        <v>124</v>
      </c>
      <c r="L1592" s="19" t="s">
        <v>319</v>
      </c>
      <c r="M1592" s="15" t="s">
        <v>1519</v>
      </c>
      <c r="N1592" s="15" t="s">
        <v>64</v>
      </c>
      <c r="O1592" s="15" t="s">
        <v>72</v>
      </c>
      <c r="P1592" s="20" t="s">
        <v>1591</v>
      </c>
      <c r="Q1592" s="15" t="s">
        <v>49</v>
      </c>
      <c r="R1592" s="4"/>
      <c r="S1592" s="4"/>
    </row>
    <row r="1593" spans="1:19" ht="21" customHeight="1" x14ac:dyDescent="0.25">
      <c r="A1593" s="14">
        <f>DATE(2012,12,31)-867</f>
        <v>40407</v>
      </c>
      <c r="B1593" s="15" t="s">
        <v>1282</v>
      </c>
      <c r="C1593" s="15" t="s">
        <v>31</v>
      </c>
      <c r="D1593" s="16">
        <v>38</v>
      </c>
      <c r="E1593" s="17">
        <v>1785.74</v>
      </c>
      <c r="F1593" s="16">
        <v>0.03</v>
      </c>
      <c r="G1593" s="15" t="s">
        <v>101</v>
      </c>
      <c r="H1593" s="18">
        <v>739.48</v>
      </c>
      <c r="I1593" s="19">
        <v>48.04</v>
      </c>
      <c r="J1593" s="19">
        <v>7.23</v>
      </c>
      <c r="K1593" s="19" t="s">
        <v>124</v>
      </c>
      <c r="L1593" s="19" t="s">
        <v>319</v>
      </c>
      <c r="M1593" s="15" t="s">
        <v>1519</v>
      </c>
      <c r="N1593" s="15" t="s">
        <v>54</v>
      </c>
      <c r="O1593" s="15" t="s">
        <v>55</v>
      </c>
      <c r="P1593" s="20" t="s">
        <v>1114</v>
      </c>
      <c r="Q1593" s="15" t="s">
        <v>83</v>
      </c>
      <c r="R1593" s="4"/>
      <c r="S1593" s="4"/>
    </row>
    <row r="1594" spans="1:19" ht="21" customHeight="1" x14ac:dyDescent="0.25">
      <c r="A1594" s="14">
        <f>DATE(2012,12,31)-438</f>
        <v>40836</v>
      </c>
      <c r="B1594" s="15" t="s">
        <v>961</v>
      </c>
      <c r="C1594" s="15" t="s">
        <v>85</v>
      </c>
      <c r="D1594" s="16">
        <v>16</v>
      </c>
      <c r="E1594" s="17">
        <v>111.9</v>
      </c>
      <c r="F1594" s="16">
        <v>0.01</v>
      </c>
      <c r="G1594" s="15" t="s">
        <v>32</v>
      </c>
      <c r="H1594" s="18">
        <v>38.03</v>
      </c>
      <c r="I1594" s="19">
        <v>6.47</v>
      </c>
      <c r="J1594" s="19">
        <v>1.22</v>
      </c>
      <c r="K1594" s="19" t="s">
        <v>124</v>
      </c>
      <c r="L1594" s="19" t="s">
        <v>319</v>
      </c>
      <c r="M1594" s="15" t="s">
        <v>1519</v>
      </c>
      <c r="N1594" s="15" t="s">
        <v>36</v>
      </c>
      <c r="O1594" s="15" t="s">
        <v>77</v>
      </c>
      <c r="P1594" s="20" t="s">
        <v>1592</v>
      </c>
      <c r="Q1594" s="15" t="s">
        <v>79</v>
      </c>
      <c r="R1594" s="4"/>
      <c r="S1594" s="4"/>
    </row>
    <row r="1595" spans="1:19" ht="21" customHeight="1" x14ac:dyDescent="0.25">
      <c r="A1595" s="14">
        <f>DATE(2012,12,31)-546</f>
        <v>40728</v>
      </c>
      <c r="B1595" s="15" t="s">
        <v>1593</v>
      </c>
      <c r="C1595" s="15" t="s">
        <v>51</v>
      </c>
      <c r="D1595" s="16">
        <v>6</v>
      </c>
      <c r="E1595" s="17">
        <v>965.69</v>
      </c>
      <c r="F1595" s="16">
        <v>0</v>
      </c>
      <c r="G1595" s="15" t="s">
        <v>58</v>
      </c>
      <c r="H1595" s="18">
        <v>-144.19800000000001</v>
      </c>
      <c r="I1595" s="19">
        <v>146.34</v>
      </c>
      <c r="J1595" s="19">
        <v>43.75</v>
      </c>
      <c r="K1595" s="19" t="s">
        <v>124</v>
      </c>
      <c r="L1595" s="19" t="s">
        <v>319</v>
      </c>
      <c r="M1595" s="15" t="s">
        <v>1519</v>
      </c>
      <c r="N1595" s="15" t="s">
        <v>54</v>
      </c>
      <c r="O1595" s="15" t="s">
        <v>61</v>
      </c>
      <c r="P1595" s="20" t="s">
        <v>953</v>
      </c>
      <c r="Q1595" s="15" t="s">
        <v>63</v>
      </c>
      <c r="R1595" s="4"/>
      <c r="S1595" s="4"/>
    </row>
    <row r="1596" spans="1:19" ht="21" customHeight="1" x14ac:dyDescent="0.25">
      <c r="A1596" s="14">
        <f>DATE(2012,12,31)-1278</f>
        <v>39996</v>
      </c>
      <c r="B1596" s="15" t="s">
        <v>990</v>
      </c>
      <c r="C1596" s="15" t="s">
        <v>85</v>
      </c>
      <c r="D1596" s="16">
        <v>45</v>
      </c>
      <c r="E1596" s="17">
        <v>4629.67</v>
      </c>
      <c r="F1596" s="16">
        <v>0.04</v>
      </c>
      <c r="G1596" s="15" t="s">
        <v>32</v>
      </c>
      <c r="H1596" s="18">
        <v>2860.71</v>
      </c>
      <c r="I1596" s="19">
        <v>99.23</v>
      </c>
      <c r="J1596" s="19">
        <v>8.99</v>
      </c>
      <c r="K1596" s="19" t="s">
        <v>44</v>
      </c>
      <c r="L1596" s="19" t="s">
        <v>52</v>
      </c>
      <c r="M1596" s="15" t="s">
        <v>1300</v>
      </c>
      <c r="N1596" s="15" t="s">
        <v>54</v>
      </c>
      <c r="O1596" s="15" t="s">
        <v>55</v>
      </c>
      <c r="P1596" s="20" t="s">
        <v>1406</v>
      </c>
      <c r="Q1596" s="15" t="s">
        <v>49</v>
      </c>
      <c r="R1596" s="4"/>
      <c r="S1596" s="4"/>
    </row>
    <row r="1597" spans="1:19" ht="21" customHeight="1" x14ac:dyDescent="0.25">
      <c r="A1597" s="14">
        <f>DATE(2012,12,31)-1353</f>
        <v>39921</v>
      </c>
      <c r="B1597" s="15" t="s">
        <v>433</v>
      </c>
      <c r="C1597" s="15" t="s">
        <v>85</v>
      </c>
      <c r="D1597" s="16">
        <v>28</v>
      </c>
      <c r="E1597" s="17">
        <v>1350.34</v>
      </c>
      <c r="F1597" s="16">
        <v>0.1</v>
      </c>
      <c r="G1597" s="15" t="s">
        <v>101</v>
      </c>
      <c r="H1597" s="18">
        <v>-517.16999999999996</v>
      </c>
      <c r="I1597" s="19">
        <v>52.99</v>
      </c>
      <c r="J1597" s="19">
        <v>19.989999999999998</v>
      </c>
      <c r="K1597" s="19" t="s">
        <v>44</v>
      </c>
      <c r="L1597" s="19" t="s">
        <v>52</v>
      </c>
      <c r="M1597" s="15" t="s">
        <v>1300</v>
      </c>
      <c r="N1597" s="15" t="s">
        <v>36</v>
      </c>
      <c r="O1597" s="15" t="s">
        <v>37</v>
      </c>
      <c r="P1597" s="20" t="s">
        <v>1594</v>
      </c>
      <c r="Q1597" s="15" t="s">
        <v>83</v>
      </c>
      <c r="R1597" s="4"/>
      <c r="S1597" s="4"/>
    </row>
    <row r="1598" spans="1:19" ht="21" customHeight="1" x14ac:dyDescent="0.25">
      <c r="A1598" s="14">
        <f>DATE(2012,12,31)-1353</f>
        <v>39921</v>
      </c>
      <c r="B1598" s="15" t="s">
        <v>433</v>
      </c>
      <c r="C1598" s="15" t="s">
        <v>85</v>
      </c>
      <c r="D1598" s="16">
        <v>8</v>
      </c>
      <c r="E1598" s="17">
        <v>861.26</v>
      </c>
      <c r="F1598" s="16">
        <v>7.0000000000000007E-2</v>
      </c>
      <c r="G1598" s="15" t="s">
        <v>58</v>
      </c>
      <c r="H1598" s="18">
        <v>-429.86</v>
      </c>
      <c r="I1598" s="19">
        <v>100.98</v>
      </c>
      <c r="J1598" s="19">
        <v>57.38</v>
      </c>
      <c r="K1598" s="19" t="s">
        <v>44</v>
      </c>
      <c r="L1598" s="19" t="s">
        <v>52</v>
      </c>
      <c r="M1598" s="15" t="s">
        <v>1300</v>
      </c>
      <c r="N1598" s="15" t="s">
        <v>54</v>
      </c>
      <c r="O1598" s="15" t="s">
        <v>134</v>
      </c>
      <c r="P1598" s="20" t="s">
        <v>624</v>
      </c>
      <c r="Q1598" s="15" t="s">
        <v>63</v>
      </c>
      <c r="R1598" s="4"/>
      <c r="S1598" s="4"/>
    </row>
    <row r="1599" spans="1:19" ht="21" customHeight="1" x14ac:dyDescent="0.25">
      <c r="A1599" s="14">
        <f>DATE(2012,12,31)-1353</f>
        <v>39921</v>
      </c>
      <c r="B1599" s="15" t="s">
        <v>433</v>
      </c>
      <c r="C1599" s="15" t="s">
        <v>85</v>
      </c>
      <c r="D1599" s="16">
        <v>20</v>
      </c>
      <c r="E1599" s="17">
        <v>1531.4110000000001</v>
      </c>
      <c r="F1599" s="16">
        <v>0.03</v>
      </c>
      <c r="G1599" s="15" t="s">
        <v>32</v>
      </c>
      <c r="H1599" s="18">
        <v>365.41800000000001</v>
      </c>
      <c r="I1599" s="19">
        <v>85.99</v>
      </c>
      <c r="J1599" s="19">
        <v>0.99</v>
      </c>
      <c r="K1599" s="19" t="s">
        <v>44</v>
      </c>
      <c r="L1599" s="19" t="s">
        <v>52</v>
      </c>
      <c r="M1599" s="15" t="s">
        <v>1300</v>
      </c>
      <c r="N1599" s="15" t="s">
        <v>64</v>
      </c>
      <c r="O1599" s="15" t="s">
        <v>65</v>
      </c>
      <c r="P1599" s="20" t="s">
        <v>1595</v>
      </c>
      <c r="Q1599" s="15" t="s">
        <v>79</v>
      </c>
      <c r="R1599" s="4"/>
      <c r="S1599" s="4"/>
    </row>
    <row r="1600" spans="1:19" ht="21" customHeight="1" x14ac:dyDescent="0.25">
      <c r="A1600" s="14">
        <f>DATE(2012,12,31)-1135</f>
        <v>40139</v>
      </c>
      <c r="B1600" s="15" t="s">
        <v>1088</v>
      </c>
      <c r="C1600" s="15" t="s">
        <v>85</v>
      </c>
      <c r="D1600" s="16">
        <v>48</v>
      </c>
      <c r="E1600" s="17">
        <v>1497.3174999999999</v>
      </c>
      <c r="F1600" s="16">
        <v>0.01</v>
      </c>
      <c r="G1600" s="15" t="s">
        <v>32</v>
      </c>
      <c r="H1600" s="18">
        <v>836.505</v>
      </c>
      <c r="I1600" s="19">
        <v>35.99</v>
      </c>
      <c r="J1600" s="19">
        <v>0.99</v>
      </c>
      <c r="K1600" s="19" t="s">
        <v>44</v>
      </c>
      <c r="L1600" s="19" t="s">
        <v>52</v>
      </c>
      <c r="M1600" s="15" t="s">
        <v>1300</v>
      </c>
      <c r="N1600" s="15" t="s">
        <v>64</v>
      </c>
      <c r="O1600" s="15" t="s">
        <v>65</v>
      </c>
      <c r="P1600" s="20" t="s">
        <v>647</v>
      </c>
      <c r="Q1600" s="15" t="s">
        <v>49</v>
      </c>
      <c r="R1600" s="4"/>
      <c r="S1600" s="4"/>
    </row>
    <row r="1601" spans="1:19" ht="21" customHeight="1" x14ac:dyDescent="0.25">
      <c r="A1601" s="14">
        <f>DATE(2012,12,31)-1387</f>
        <v>39887</v>
      </c>
      <c r="B1601" s="15" t="s">
        <v>1596</v>
      </c>
      <c r="C1601" s="15" t="s">
        <v>85</v>
      </c>
      <c r="D1601" s="16">
        <v>17</v>
      </c>
      <c r="E1601" s="17">
        <v>281.83999999999997</v>
      </c>
      <c r="F1601" s="16">
        <v>0.1</v>
      </c>
      <c r="G1601" s="15" t="s">
        <v>32</v>
      </c>
      <c r="H1601" s="18">
        <v>-99.55</v>
      </c>
      <c r="I1601" s="19">
        <v>17.98</v>
      </c>
      <c r="J1601" s="19">
        <v>4</v>
      </c>
      <c r="K1601" s="19" t="s">
        <v>44</v>
      </c>
      <c r="L1601" s="19" t="s">
        <v>80</v>
      </c>
      <c r="M1601" s="15" t="s">
        <v>1200</v>
      </c>
      <c r="N1601" s="15" t="s">
        <v>64</v>
      </c>
      <c r="O1601" s="15" t="s">
        <v>72</v>
      </c>
      <c r="P1601" s="20" t="s">
        <v>1503</v>
      </c>
      <c r="Q1601" s="15" t="s">
        <v>83</v>
      </c>
      <c r="R1601" s="4"/>
      <c r="S1601" s="4"/>
    </row>
    <row r="1602" spans="1:19" ht="21" customHeight="1" x14ac:dyDescent="0.25">
      <c r="A1602" s="14">
        <f>DATE(2012,12,31)-1387</f>
        <v>39887</v>
      </c>
      <c r="B1602" s="15" t="s">
        <v>1596</v>
      </c>
      <c r="C1602" s="15" t="s">
        <v>85</v>
      </c>
      <c r="D1602" s="16">
        <v>2</v>
      </c>
      <c r="E1602" s="17">
        <v>200.75300000000001</v>
      </c>
      <c r="F1602" s="16">
        <v>0.09</v>
      </c>
      <c r="G1602" s="15" t="s">
        <v>32</v>
      </c>
      <c r="H1602" s="18">
        <v>-605.37400000000002</v>
      </c>
      <c r="I1602" s="19">
        <v>125.99</v>
      </c>
      <c r="J1602" s="19">
        <v>8.99</v>
      </c>
      <c r="K1602" s="19" t="s">
        <v>44</v>
      </c>
      <c r="L1602" s="19" t="s">
        <v>52</v>
      </c>
      <c r="M1602" s="15" t="s">
        <v>1300</v>
      </c>
      <c r="N1602" s="15" t="s">
        <v>64</v>
      </c>
      <c r="O1602" s="15" t="s">
        <v>65</v>
      </c>
      <c r="P1602" s="20" t="s">
        <v>109</v>
      </c>
      <c r="Q1602" s="15" t="s">
        <v>83</v>
      </c>
      <c r="R1602" s="4"/>
      <c r="S1602" s="4"/>
    </row>
    <row r="1603" spans="1:19" ht="21" customHeight="1" x14ac:dyDescent="0.25">
      <c r="A1603" s="14">
        <f>DATE(2012,12,31)-632</f>
        <v>40642</v>
      </c>
      <c r="B1603" s="15" t="s">
        <v>1597</v>
      </c>
      <c r="C1603" s="15" t="s">
        <v>31</v>
      </c>
      <c r="D1603" s="16">
        <v>1</v>
      </c>
      <c r="E1603" s="17">
        <v>32.51</v>
      </c>
      <c r="F1603" s="16">
        <v>0.1</v>
      </c>
      <c r="G1603" s="15" t="s">
        <v>32</v>
      </c>
      <c r="H1603" s="18">
        <v>-90.94</v>
      </c>
      <c r="I1603" s="19">
        <v>35.409999999999997</v>
      </c>
      <c r="J1603" s="19">
        <v>1.99</v>
      </c>
      <c r="K1603" s="19" t="s">
        <v>44</v>
      </c>
      <c r="L1603" s="19" t="s">
        <v>52</v>
      </c>
      <c r="M1603" s="15" t="s">
        <v>1300</v>
      </c>
      <c r="N1603" s="15" t="s">
        <v>64</v>
      </c>
      <c r="O1603" s="15" t="s">
        <v>72</v>
      </c>
      <c r="P1603" s="20" t="s">
        <v>1004</v>
      </c>
      <c r="Q1603" s="15" t="s">
        <v>49</v>
      </c>
      <c r="R1603" s="4"/>
      <c r="S1603" s="4"/>
    </row>
    <row r="1604" spans="1:19" ht="21" customHeight="1" x14ac:dyDescent="0.25">
      <c r="A1604" s="14">
        <f>DATE(2012,12,31)-632</f>
        <v>40642</v>
      </c>
      <c r="B1604" s="15" t="s">
        <v>1597</v>
      </c>
      <c r="C1604" s="15" t="s">
        <v>31</v>
      </c>
      <c r="D1604" s="16">
        <v>33</v>
      </c>
      <c r="E1604" s="17">
        <v>570.51</v>
      </c>
      <c r="F1604" s="16">
        <v>0</v>
      </c>
      <c r="G1604" s="15" t="s">
        <v>32</v>
      </c>
      <c r="H1604" s="18">
        <v>-142.75</v>
      </c>
      <c r="I1604" s="19">
        <v>16.739999999999998</v>
      </c>
      <c r="J1604" s="19">
        <v>7.04</v>
      </c>
      <c r="K1604" s="19" t="s">
        <v>44</v>
      </c>
      <c r="L1604" s="19" t="s">
        <v>236</v>
      </c>
      <c r="M1604" s="15" t="s">
        <v>237</v>
      </c>
      <c r="N1604" s="15" t="s">
        <v>36</v>
      </c>
      <c r="O1604" s="15" t="s">
        <v>37</v>
      </c>
      <c r="P1604" s="20" t="s">
        <v>1598</v>
      </c>
      <c r="Q1604" s="15" t="s">
        <v>83</v>
      </c>
      <c r="R1604" s="4"/>
      <c r="S1604" s="4"/>
    </row>
    <row r="1605" spans="1:19" ht="21" customHeight="1" x14ac:dyDescent="0.25">
      <c r="A1605" s="14">
        <f>DATE(2012,12,31)-98</f>
        <v>41176</v>
      </c>
      <c r="B1605" s="15" t="s">
        <v>512</v>
      </c>
      <c r="C1605" s="15" t="s">
        <v>43</v>
      </c>
      <c r="D1605" s="16">
        <v>30</v>
      </c>
      <c r="E1605" s="17">
        <v>243.49</v>
      </c>
      <c r="F1605" s="16">
        <v>0.08</v>
      </c>
      <c r="G1605" s="15" t="s">
        <v>32</v>
      </c>
      <c r="H1605" s="18">
        <v>-45.89</v>
      </c>
      <c r="I1605" s="19">
        <v>8.32</v>
      </c>
      <c r="J1605" s="19">
        <v>2.38</v>
      </c>
      <c r="K1605" s="19" t="s">
        <v>44</v>
      </c>
      <c r="L1605" s="19" t="s">
        <v>52</v>
      </c>
      <c r="M1605" s="15" t="s">
        <v>1300</v>
      </c>
      <c r="N1605" s="15" t="s">
        <v>64</v>
      </c>
      <c r="O1605" s="15" t="s">
        <v>72</v>
      </c>
      <c r="P1605" s="20" t="s">
        <v>876</v>
      </c>
      <c r="Q1605" s="15" t="s">
        <v>49</v>
      </c>
      <c r="R1605" s="4"/>
      <c r="S1605" s="4"/>
    </row>
    <row r="1606" spans="1:19" ht="21" customHeight="1" x14ac:dyDescent="0.25">
      <c r="A1606" s="14">
        <f>DATE(2012,12,31)-98</f>
        <v>41176</v>
      </c>
      <c r="B1606" s="15" t="s">
        <v>512</v>
      </c>
      <c r="C1606" s="15" t="s">
        <v>43</v>
      </c>
      <c r="D1606" s="16">
        <v>26</v>
      </c>
      <c r="E1606" s="17">
        <v>1090.4000000000001</v>
      </c>
      <c r="F1606" s="16">
        <v>0.06</v>
      </c>
      <c r="G1606" s="15" t="s">
        <v>32</v>
      </c>
      <c r="H1606" s="18">
        <v>146.24</v>
      </c>
      <c r="I1606" s="19">
        <v>40.97</v>
      </c>
      <c r="J1606" s="19">
        <v>8.99</v>
      </c>
      <c r="K1606" s="19" t="s">
        <v>124</v>
      </c>
      <c r="L1606" s="19" t="s">
        <v>164</v>
      </c>
      <c r="M1606" s="15" t="s">
        <v>1228</v>
      </c>
      <c r="N1606" s="15" t="s">
        <v>36</v>
      </c>
      <c r="O1606" s="15" t="s">
        <v>77</v>
      </c>
      <c r="P1606" s="20" t="s">
        <v>938</v>
      </c>
      <c r="Q1606" s="15" t="s">
        <v>49</v>
      </c>
      <c r="R1606" s="4"/>
      <c r="S1606" s="4"/>
    </row>
    <row r="1607" spans="1:19" ht="21" customHeight="1" x14ac:dyDescent="0.25">
      <c r="A1607" s="14">
        <f>DATE(2012,12,31)-678</f>
        <v>40596</v>
      </c>
      <c r="B1607" s="15" t="s">
        <v>1599</v>
      </c>
      <c r="C1607" s="15" t="s">
        <v>85</v>
      </c>
      <c r="D1607" s="16">
        <v>19</v>
      </c>
      <c r="E1607" s="17">
        <v>65.849999999999994</v>
      </c>
      <c r="F1607" s="16">
        <v>7.0000000000000007E-2</v>
      </c>
      <c r="G1607" s="15" t="s">
        <v>101</v>
      </c>
      <c r="H1607" s="18">
        <v>3.9</v>
      </c>
      <c r="I1607" s="19">
        <v>3.28</v>
      </c>
      <c r="J1607" s="19">
        <v>0.98</v>
      </c>
      <c r="K1607" s="19" t="s">
        <v>44</v>
      </c>
      <c r="L1607" s="19" t="s">
        <v>120</v>
      </c>
      <c r="M1607" s="15" t="s">
        <v>121</v>
      </c>
      <c r="N1607" s="15" t="s">
        <v>36</v>
      </c>
      <c r="O1607" s="15" t="s">
        <v>77</v>
      </c>
      <c r="P1607" s="20" t="s">
        <v>1600</v>
      </c>
      <c r="Q1607" s="15" t="s">
        <v>79</v>
      </c>
      <c r="R1607" s="4"/>
      <c r="S1607" s="4"/>
    </row>
    <row r="1608" spans="1:19" ht="21" customHeight="1" x14ac:dyDescent="0.25">
      <c r="A1608" s="14">
        <f>DATE(2012,12,31)-417</f>
        <v>40857</v>
      </c>
      <c r="B1608" s="15" t="s">
        <v>331</v>
      </c>
      <c r="C1608" s="15" t="s">
        <v>43</v>
      </c>
      <c r="D1608" s="16">
        <v>35</v>
      </c>
      <c r="E1608" s="17">
        <v>1154.1400000000001</v>
      </c>
      <c r="F1608" s="16">
        <v>7.0000000000000007E-2</v>
      </c>
      <c r="G1608" s="15" t="s">
        <v>32</v>
      </c>
      <c r="H1608" s="18">
        <v>-36</v>
      </c>
      <c r="I1608" s="19">
        <v>32.979999999999997</v>
      </c>
      <c r="J1608" s="19">
        <v>5.5</v>
      </c>
      <c r="K1608" s="19" t="s">
        <v>33</v>
      </c>
      <c r="L1608" s="19" t="s">
        <v>93</v>
      </c>
      <c r="M1608" s="15" t="s">
        <v>94</v>
      </c>
      <c r="N1608" s="15" t="s">
        <v>64</v>
      </c>
      <c r="O1608" s="15" t="s">
        <v>72</v>
      </c>
      <c r="P1608" s="20" t="s">
        <v>993</v>
      </c>
      <c r="Q1608" s="15" t="s">
        <v>83</v>
      </c>
      <c r="R1608" s="4"/>
      <c r="S1608" s="4"/>
    </row>
    <row r="1609" spans="1:19" ht="21" customHeight="1" x14ac:dyDescent="0.25">
      <c r="A1609" s="14">
        <f>DATE(2012,12,31)-417</f>
        <v>40857</v>
      </c>
      <c r="B1609" s="15" t="s">
        <v>331</v>
      </c>
      <c r="C1609" s="15" t="s">
        <v>43</v>
      </c>
      <c r="D1609" s="16">
        <v>37</v>
      </c>
      <c r="E1609" s="17">
        <v>223.82</v>
      </c>
      <c r="F1609" s="16">
        <v>0.09</v>
      </c>
      <c r="G1609" s="15" t="s">
        <v>32</v>
      </c>
      <c r="H1609" s="18">
        <v>-249.11</v>
      </c>
      <c r="I1609" s="19">
        <v>5.98</v>
      </c>
      <c r="J1609" s="19">
        <v>10.39</v>
      </c>
      <c r="K1609" s="19" t="s">
        <v>33</v>
      </c>
      <c r="L1609" s="19" t="s">
        <v>93</v>
      </c>
      <c r="M1609" s="15" t="s">
        <v>94</v>
      </c>
      <c r="N1609" s="15" t="s">
        <v>36</v>
      </c>
      <c r="O1609" s="15" t="s">
        <v>117</v>
      </c>
      <c r="P1609" s="20" t="s">
        <v>1071</v>
      </c>
      <c r="Q1609" s="15" t="s">
        <v>83</v>
      </c>
      <c r="R1609" s="4"/>
      <c r="S1609" s="4"/>
    </row>
    <row r="1610" spans="1:19" ht="21" customHeight="1" x14ac:dyDescent="0.25">
      <c r="A1610" s="14">
        <f>DATE(2012,12,31)-417</f>
        <v>40857</v>
      </c>
      <c r="B1610" s="15" t="s">
        <v>331</v>
      </c>
      <c r="C1610" s="15" t="s">
        <v>43</v>
      </c>
      <c r="D1610" s="16">
        <v>1</v>
      </c>
      <c r="E1610" s="17">
        <v>61.463500000000003</v>
      </c>
      <c r="F1610" s="16">
        <v>0.05</v>
      </c>
      <c r="G1610" s="15" t="s">
        <v>32</v>
      </c>
      <c r="H1610" s="18">
        <v>-261.34899999999999</v>
      </c>
      <c r="I1610" s="19">
        <v>65.989999999999995</v>
      </c>
      <c r="J1610" s="19">
        <v>8.99</v>
      </c>
      <c r="K1610" s="19" t="s">
        <v>69</v>
      </c>
      <c r="L1610" s="19" t="s">
        <v>70</v>
      </c>
      <c r="M1610" s="15" t="s">
        <v>1492</v>
      </c>
      <c r="N1610" s="15" t="s">
        <v>64</v>
      </c>
      <c r="O1610" s="15" t="s">
        <v>65</v>
      </c>
      <c r="P1610" s="20" t="s">
        <v>312</v>
      </c>
      <c r="Q1610" s="15" t="s">
        <v>83</v>
      </c>
      <c r="R1610" s="4"/>
      <c r="S1610" s="4"/>
    </row>
    <row r="1611" spans="1:19" ht="21" customHeight="1" x14ac:dyDescent="0.25">
      <c r="A1611" s="14">
        <f>DATE(2012,12,31)-417</f>
        <v>40857</v>
      </c>
      <c r="B1611" s="15" t="s">
        <v>331</v>
      </c>
      <c r="C1611" s="15" t="s">
        <v>43</v>
      </c>
      <c r="D1611" s="16">
        <v>25</v>
      </c>
      <c r="E1611" s="17">
        <v>122.09</v>
      </c>
      <c r="F1611" s="16">
        <v>0.1</v>
      </c>
      <c r="G1611" s="15" t="s">
        <v>32</v>
      </c>
      <c r="H1611" s="18">
        <v>14.11</v>
      </c>
      <c r="I1611" s="19">
        <v>5.18</v>
      </c>
      <c r="J1611" s="19">
        <v>2.04</v>
      </c>
      <c r="K1611" s="19" t="s">
        <v>111</v>
      </c>
      <c r="L1611" s="19" t="s">
        <v>112</v>
      </c>
      <c r="M1611" s="15" t="s">
        <v>1601</v>
      </c>
      <c r="N1611" s="15" t="s">
        <v>36</v>
      </c>
      <c r="O1611" s="15" t="s">
        <v>117</v>
      </c>
      <c r="P1611" s="20" t="s">
        <v>1443</v>
      </c>
      <c r="Q1611" s="15" t="s">
        <v>79</v>
      </c>
      <c r="R1611" s="4"/>
      <c r="S1611" s="4"/>
    </row>
    <row r="1612" spans="1:19" ht="21" customHeight="1" x14ac:dyDescent="0.25">
      <c r="A1612" s="14">
        <f>DATE(2012,12,31)-1214</f>
        <v>40060</v>
      </c>
      <c r="B1612" s="15" t="s">
        <v>492</v>
      </c>
      <c r="C1612" s="15" t="s">
        <v>85</v>
      </c>
      <c r="D1612" s="16">
        <v>50</v>
      </c>
      <c r="E1612" s="17">
        <v>7312.0314999999991</v>
      </c>
      <c r="F1612" s="16">
        <v>0.06</v>
      </c>
      <c r="G1612" s="15" t="s">
        <v>32</v>
      </c>
      <c r="H1612" s="18">
        <v>2031.5070000000001</v>
      </c>
      <c r="I1612" s="19">
        <v>175.99</v>
      </c>
      <c r="J1612" s="19">
        <v>8.99</v>
      </c>
      <c r="K1612" s="19" t="s">
        <v>44</v>
      </c>
      <c r="L1612" s="19" t="s">
        <v>89</v>
      </c>
      <c r="M1612" s="15" t="s">
        <v>1341</v>
      </c>
      <c r="N1612" s="15" t="s">
        <v>64</v>
      </c>
      <c r="O1612" s="15" t="s">
        <v>65</v>
      </c>
      <c r="P1612" s="20" t="s">
        <v>1490</v>
      </c>
      <c r="Q1612" s="15" t="s">
        <v>83</v>
      </c>
      <c r="R1612" s="4"/>
      <c r="S1612" s="4"/>
    </row>
    <row r="1613" spans="1:19" ht="21" customHeight="1" x14ac:dyDescent="0.25">
      <c r="A1613" s="14">
        <f>DATE(2012,12,31)-911</f>
        <v>40363</v>
      </c>
      <c r="B1613" s="15" t="s">
        <v>149</v>
      </c>
      <c r="C1613" s="15" t="s">
        <v>31</v>
      </c>
      <c r="D1613" s="16">
        <v>5</v>
      </c>
      <c r="E1613" s="17">
        <v>102.18</v>
      </c>
      <c r="F1613" s="16">
        <v>0.09</v>
      </c>
      <c r="G1613" s="15" t="s">
        <v>32</v>
      </c>
      <c r="H1613" s="18">
        <v>-65.67</v>
      </c>
      <c r="I1613" s="19">
        <v>19.98</v>
      </c>
      <c r="J1613" s="19">
        <v>4</v>
      </c>
      <c r="K1613" s="19" t="s">
        <v>44</v>
      </c>
      <c r="L1613" s="19" t="s">
        <v>89</v>
      </c>
      <c r="M1613" s="15" t="s">
        <v>1341</v>
      </c>
      <c r="N1613" s="15" t="s">
        <v>64</v>
      </c>
      <c r="O1613" s="15" t="s">
        <v>72</v>
      </c>
      <c r="P1613" s="20" t="s">
        <v>805</v>
      </c>
      <c r="Q1613" s="15" t="s">
        <v>83</v>
      </c>
      <c r="R1613" s="4"/>
      <c r="S1613" s="4"/>
    </row>
    <row r="1614" spans="1:19" ht="21" customHeight="1" x14ac:dyDescent="0.25">
      <c r="A1614" s="14">
        <f>DATE(2012,12,31)-328</f>
        <v>40946</v>
      </c>
      <c r="B1614" s="15" t="s">
        <v>1065</v>
      </c>
      <c r="C1614" s="15" t="s">
        <v>43</v>
      </c>
      <c r="D1614" s="16">
        <v>28</v>
      </c>
      <c r="E1614" s="17">
        <v>1650.4110000000001</v>
      </c>
      <c r="F1614" s="16">
        <v>0.03</v>
      </c>
      <c r="G1614" s="15" t="s">
        <v>32</v>
      </c>
      <c r="H1614" s="18">
        <v>335.07900000000001</v>
      </c>
      <c r="I1614" s="19">
        <v>65.989999999999995</v>
      </c>
      <c r="J1614" s="19">
        <v>5.99</v>
      </c>
      <c r="K1614" s="19" t="s">
        <v>44</v>
      </c>
      <c r="L1614" s="19" t="s">
        <v>45</v>
      </c>
      <c r="M1614" s="15" t="s">
        <v>1572</v>
      </c>
      <c r="N1614" s="15" t="s">
        <v>64</v>
      </c>
      <c r="O1614" s="15" t="s">
        <v>65</v>
      </c>
      <c r="P1614" s="20" t="s">
        <v>1573</v>
      </c>
      <c r="Q1614" s="15" t="s">
        <v>83</v>
      </c>
      <c r="R1614" s="4"/>
      <c r="S1614" s="4"/>
    </row>
    <row r="1615" spans="1:19" ht="21" customHeight="1" x14ac:dyDescent="0.25">
      <c r="A1615" s="14">
        <f>DATE(2012,12,31)-157</f>
        <v>41117</v>
      </c>
      <c r="B1615" s="15" t="s">
        <v>1537</v>
      </c>
      <c r="C1615" s="15" t="s">
        <v>51</v>
      </c>
      <c r="D1615" s="16">
        <v>8</v>
      </c>
      <c r="E1615" s="17">
        <v>1173.5</v>
      </c>
      <c r="F1615" s="16">
        <v>0</v>
      </c>
      <c r="G1615" s="15" t="s">
        <v>32</v>
      </c>
      <c r="H1615" s="18">
        <v>53.87</v>
      </c>
      <c r="I1615" s="19">
        <v>140.81</v>
      </c>
      <c r="J1615" s="19">
        <v>24.49</v>
      </c>
      <c r="K1615" s="19" t="s">
        <v>44</v>
      </c>
      <c r="L1615" s="19" t="s">
        <v>120</v>
      </c>
      <c r="M1615" s="15" t="s">
        <v>121</v>
      </c>
      <c r="N1615" s="15" t="s">
        <v>54</v>
      </c>
      <c r="O1615" s="15" t="s">
        <v>252</v>
      </c>
      <c r="P1615" s="20" t="s">
        <v>1392</v>
      </c>
      <c r="Q1615" s="15" t="s">
        <v>39</v>
      </c>
      <c r="R1615" s="4"/>
      <c r="S1615" s="4"/>
    </row>
    <row r="1616" spans="1:19" ht="21" customHeight="1" x14ac:dyDescent="0.25">
      <c r="A1616" s="14">
        <f>DATE(2012,12,31)-1434</f>
        <v>39840</v>
      </c>
      <c r="B1616" s="15" t="s">
        <v>136</v>
      </c>
      <c r="C1616" s="15" t="s">
        <v>43</v>
      </c>
      <c r="D1616" s="16">
        <v>38</v>
      </c>
      <c r="E1616" s="17">
        <v>6121.1984999999995</v>
      </c>
      <c r="F1616" s="16">
        <v>0.08</v>
      </c>
      <c r="G1616" s="15" t="s">
        <v>32</v>
      </c>
      <c r="H1616" s="18">
        <v>1312.3440000000001</v>
      </c>
      <c r="I1616" s="19">
        <v>205.99</v>
      </c>
      <c r="J1616" s="19">
        <v>2.5</v>
      </c>
      <c r="K1616" s="19" t="s">
        <v>44</v>
      </c>
      <c r="L1616" s="19" t="s">
        <v>89</v>
      </c>
      <c r="M1616" s="15" t="s">
        <v>1341</v>
      </c>
      <c r="N1616" s="15" t="s">
        <v>64</v>
      </c>
      <c r="O1616" s="15" t="s">
        <v>65</v>
      </c>
      <c r="P1616" s="20" t="s">
        <v>1529</v>
      </c>
      <c r="Q1616" s="15" t="s">
        <v>83</v>
      </c>
      <c r="R1616" s="4"/>
      <c r="S1616" s="4"/>
    </row>
    <row r="1617" spans="1:19" ht="21" customHeight="1" x14ac:dyDescent="0.25">
      <c r="A1617" s="14">
        <f>DATE(2012,12,31)-372</f>
        <v>40902</v>
      </c>
      <c r="B1617" s="15" t="s">
        <v>210</v>
      </c>
      <c r="C1617" s="15" t="s">
        <v>51</v>
      </c>
      <c r="D1617" s="16">
        <v>26</v>
      </c>
      <c r="E1617" s="17">
        <v>188.93</v>
      </c>
      <c r="F1617" s="16">
        <v>0.04</v>
      </c>
      <c r="G1617" s="15" t="s">
        <v>32</v>
      </c>
      <c r="H1617" s="18">
        <v>58.32</v>
      </c>
      <c r="I1617" s="19">
        <v>7.28</v>
      </c>
      <c r="J1617" s="19">
        <v>1.77</v>
      </c>
      <c r="K1617" s="19" t="s">
        <v>44</v>
      </c>
      <c r="L1617" s="19" t="s">
        <v>89</v>
      </c>
      <c r="M1617" s="15" t="s">
        <v>1341</v>
      </c>
      <c r="N1617" s="15" t="s">
        <v>36</v>
      </c>
      <c r="O1617" s="15" t="s">
        <v>117</v>
      </c>
      <c r="P1617" s="20" t="s">
        <v>1602</v>
      </c>
      <c r="Q1617" s="15" t="s">
        <v>79</v>
      </c>
      <c r="R1617" s="4"/>
      <c r="S1617" s="4"/>
    </row>
    <row r="1618" spans="1:19" ht="21" customHeight="1" x14ac:dyDescent="0.25">
      <c r="A1618" s="14">
        <f>DATE(2012,12,31)-1345</f>
        <v>39929</v>
      </c>
      <c r="B1618" s="15" t="s">
        <v>416</v>
      </c>
      <c r="C1618" s="15" t="s">
        <v>31</v>
      </c>
      <c r="D1618" s="16">
        <v>9</v>
      </c>
      <c r="E1618" s="17">
        <v>38.96</v>
      </c>
      <c r="F1618" s="16">
        <v>0.06</v>
      </c>
      <c r="G1618" s="15" t="s">
        <v>32</v>
      </c>
      <c r="H1618" s="18">
        <v>0.36999999999999922</v>
      </c>
      <c r="I1618" s="19">
        <v>4.28</v>
      </c>
      <c r="J1618" s="19">
        <v>0.94</v>
      </c>
      <c r="K1618" s="19" t="s">
        <v>97</v>
      </c>
      <c r="L1618" s="19" t="s">
        <v>283</v>
      </c>
      <c r="M1618" s="15" t="s">
        <v>1471</v>
      </c>
      <c r="N1618" s="15" t="s">
        <v>36</v>
      </c>
      <c r="O1618" s="15" t="s">
        <v>77</v>
      </c>
      <c r="P1618" s="20" t="s">
        <v>600</v>
      </c>
      <c r="Q1618" s="15" t="s">
        <v>79</v>
      </c>
      <c r="R1618" s="4"/>
      <c r="S1618" s="4"/>
    </row>
    <row r="1619" spans="1:19" ht="21" customHeight="1" x14ac:dyDescent="0.25">
      <c r="A1619" s="14">
        <f>DATE(2012,12,31)-1245</f>
        <v>40029</v>
      </c>
      <c r="B1619" s="15" t="s">
        <v>931</v>
      </c>
      <c r="C1619" s="15" t="s">
        <v>85</v>
      </c>
      <c r="D1619" s="16">
        <v>1</v>
      </c>
      <c r="E1619" s="17">
        <v>3501.79</v>
      </c>
      <c r="F1619" s="16">
        <v>0.01</v>
      </c>
      <c r="G1619" s="15" t="s">
        <v>58</v>
      </c>
      <c r="H1619" s="18">
        <v>-7838.3346000000001</v>
      </c>
      <c r="I1619" s="19">
        <v>3502.14</v>
      </c>
      <c r="J1619" s="19">
        <v>8.73</v>
      </c>
      <c r="K1619" s="19" t="s">
        <v>124</v>
      </c>
      <c r="L1619" s="19" t="s">
        <v>160</v>
      </c>
      <c r="M1619" s="15" t="s">
        <v>1505</v>
      </c>
      <c r="N1619" s="15" t="s">
        <v>64</v>
      </c>
      <c r="O1619" s="15" t="s">
        <v>122</v>
      </c>
      <c r="P1619" s="20" t="s">
        <v>613</v>
      </c>
      <c r="Q1619" s="15" t="s">
        <v>63</v>
      </c>
      <c r="R1619" s="4"/>
      <c r="S1619" s="4"/>
    </row>
    <row r="1620" spans="1:19" ht="21" customHeight="1" x14ac:dyDescent="0.25">
      <c r="A1620" s="14">
        <f>DATE(2012,12,31)-1245</f>
        <v>40029</v>
      </c>
      <c r="B1620" s="15" t="s">
        <v>931</v>
      </c>
      <c r="C1620" s="15" t="s">
        <v>85</v>
      </c>
      <c r="D1620" s="16">
        <v>9</v>
      </c>
      <c r="E1620" s="17">
        <v>141.83000000000001</v>
      </c>
      <c r="F1620" s="16">
        <v>0.06</v>
      </c>
      <c r="G1620" s="15" t="s">
        <v>32</v>
      </c>
      <c r="H1620" s="18">
        <v>-35.69</v>
      </c>
      <c r="I1620" s="19">
        <v>15.73</v>
      </c>
      <c r="J1620" s="19">
        <v>7.42</v>
      </c>
      <c r="K1620" s="19" t="s">
        <v>124</v>
      </c>
      <c r="L1620" s="19" t="s">
        <v>164</v>
      </c>
      <c r="M1620" s="15" t="s">
        <v>1228</v>
      </c>
      <c r="N1620" s="15" t="s">
        <v>36</v>
      </c>
      <c r="O1620" s="15" t="s">
        <v>47</v>
      </c>
      <c r="P1620" s="20" t="s">
        <v>1498</v>
      </c>
      <c r="Q1620" s="15" t="s">
        <v>49</v>
      </c>
      <c r="R1620" s="4"/>
      <c r="S1620" s="4"/>
    </row>
    <row r="1621" spans="1:19" ht="21" customHeight="1" x14ac:dyDescent="0.25">
      <c r="A1621" s="14">
        <f>DATE(2012,12,31)-695</f>
        <v>40579</v>
      </c>
      <c r="B1621" s="15" t="s">
        <v>108</v>
      </c>
      <c r="C1621" s="15" t="s">
        <v>43</v>
      </c>
      <c r="D1621" s="16">
        <v>3</v>
      </c>
      <c r="E1621" s="17">
        <v>1566.8</v>
      </c>
      <c r="F1621" s="16">
        <v>0.06</v>
      </c>
      <c r="G1621" s="15" t="s">
        <v>58</v>
      </c>
      <c r="H1621" s="18">
        <v>-1044.9222</v>
      </c>
      <c r="I1621" s="19">
        <v>500.97</v>
      </c>
      <c r="J1621" s="19">
        <v>69.3</v>
      </c>
      <c r="K1621" s="19" t="s">
        <v>44</v>
      </c>
      <c r="L1621" s="19" t="s">
        <v>89</v>
      </c>
      <c r="M1621" s="15" t="s">
        <v>1341</v>
      </c>
      <c r="N1621" s="15" t="s">
        <v>64</v>
      </c>
      <c r="O1621" s="15" t="s">
        <v>122</v>
      </c>
      <c r="P1621" s="20" t="s">
        <v>1603</v>
      </c>
      <c r="Q1621" s="15" t="s">
        <v>181</v>
      </c>
      <c r="R1621" s="4"/>
      <c r="S1621" s="4"/>
    </row>
    <row r="1622" spans="1:19" ht="21" customHeight="1" x14ac:dyDescent="0.25">
      <c r="A1622" s="14">
        <f>DATE(2012,12,31)-695</f>
        <v>40579</v>
      </c>
      <c r="B1622" s="15" t="s">
        <v>108</v>
      </c>
      <c r="C1622" s="15" t="s">
        <v>43</v>
      </c>
      <c r="D1622" s="16">
        <v>30</v>
      </c>
      <c r="E1622" s="17">
        <v>616.01</v>
      </c>
      <c r="F1622" s="16">
        <v>0.09</v>
      </c>
      <c r="G1622" s="15" t="s">
        <v>32</v>
      </c>
      <c r="H1622" s="18">
        <v>-74.88</v>
      </c>
      <c r="I1622" s="19">
        <v>21.38</v>
      </c>
      <c r="J1622" s="19">
        <v>8.99</v>
      </c>
      <c r="K1622" s="19" t="s">
        <v>44</v>
      </c>
      <c r="L1622" s="19" t="s">
        <v>52</v>
      </c>
      <c r="M1622" s="15" t="s">
        <v>1300</v>
      </c>
      <c r="N1622" s="15" t="s">
        <v>36</v>
      </c>
      <c r="O1622" s="15" t="s">
        <v>77</v>
      </c>
      <c r="P1622" s="20" t="s">
        <v>948</v>
      </c>
      <c r="Q1622" s="15" t="s">
        <v>49</v>
      </c>
      <c r="R1622" s="4"/>
      <c r="S1622" s="4"/>
    </row>
    <row r="1623" spans="1:19" ht="21" customHeight="1" x14ac:dyDescent="0.25">
      <c r="A1623" s="14">
        <f>DATE(2012,12,31)-695</f>
        <v>40579</v>
      </c>
      <c r="B1623" s="15" t="s">
        <v>108</v>
      </c>
      <c r="C1623" s="15" t="s">
        <v>43</v>
      </c>
      <c r="D1623" s="16">
        <v>17</v>
      </c>
      <c r="E1623" s="17">
        <v>438.60849999999999</v>
      </c>
      <c r="F1623" s="16">
        <v>0.01</v>
      </c>
      <c r="G1623" s="15" t="s">
        <v>32</v>
      </c>
      <c r="H1623" s="18">
        <v>-56.045000000000002</v>
      </c>
      <c r="I1623" s="19">
        <v>28.99</v>
      </c>
      <c r="J1623" s="19">
        <v>8.59</v>
      </c>
      <c r="K1623" s="19" t="s">
        <v>44</v>
      </c>
      <c r="L1623" s="19" t="s">
        <v>52</v>
      </c>
      <c r="M1623" s="15" t="s">
        <v>1300</v>
      </c>
      <c r="N1623" s="15" t="s">
        <v>64</v>
      </c>
      <c r="O1623" s="15" t="s">
        <v>65</v>
      </c>
      <c r="P1623" s="20" t="s">
        <v>1604</v>
      </c>
      <c r="Q1623" s="15" t="s">
        <v>57</v>
      </c>
      <c r="R1623" s="4"/>
      <c r="S1623" s="4"/>
    </row>
    <row r="1624" spans="1:19" ht="21" customHeight="1" x14ac:dyDescent="0.25">
      <c r="A1624" s="14">
        <f>DATE(2012,12,31)-165</f>
        <v>41109</v>
      </c>
      <c r="B1624" s="15" t="s">
        <v>1605</v>
      </c>
      <c r="C1624" s="15" t="s">
        <v>51</v>
      </c>
      <c r="D1624" s="16">
        <v>17</v>
      </c>
      <c r="E1624" s="17">
        <v>686.27</v>
      </c>
      <c r="F1624" s="16">
        <v>0.06</v>
      </c>
      <c r="G1624" s="15" t="s">
        <v>32</v>
      </c>
      <c r="H1624" s="18">
        <v>-345.36</v>
      </c>
      <c r="I1624" s="19">
        <v>40.479999999999997</v>
      </c>
      <c r="J1624" s="19">
        <v>19.989999999999998</v>
      </c>
      <c r="K1624" s="19" t="s">
        <v>44</v>
      </c>
      <c r="L1624" s="19" t="s">
        <v>45</v>
      </c>
      <c r="M1624" s="15" t="s">
        <v>1572</v>
      </c>
      <c r="N1624" s="15" t="s">
        <v>64</v>
      </c>
      <c r="O1624" s="15" t="s">
        <v>72</v>
      </c>
      <c r="P1624" s="20" t="s">
        <v>1247</v>
      </c>
      <c r="Q1624" s="15" t="s">
        <v>83</v>
      </c>
      <c r="R1624" s="4"/>
      <c r="S1624" s="4"/>
    </row>
    <row r="1625" spans="1:19" ht="21" customHeight="1" x14ac:dyDescent="0.25">
      <c r="A1625" s="14">
        <f>DATE(2012,12,31)-1040</f>
        <v>40234</v>
      </c>
      <c r="B1625" s="15" t="s">
        <v>752</v>
      </c>
      <c r="C1625" s="15" t="s">
        <v>85</v>
      </c>
      <c r="D1625" s="16">
        <v>3</v>
      </c>
      <c r="E1625" s="17">
        <v>315.27999999999997</v>
      </c>
      <c r="F1625" s="16">
        <v>0.08</v>
      </c>
      <c r="G1625" s="15" t="s">
        <v>32</v>
      </c>
      <c r="H1625" s="18">
        <v>-261.54809999999998</v>
      </c>
      <c r="I1625" s="19">
        <v>99.99</v>
      </c>
      <c r="J1625" s="19">
        <v>19.989999999999998</v>
      </c>
      <c r="K1625" s="19" t="s">
        <v>33</v>
      </c>
      <c r="L1625" s="19" t="s">
        <v>145</v>
      </c>
      <c r="M1625" s="15" t="s">
        <v>1555</v>
      </c>
      <c r="N1625" s="15" t="s">
        <v>64</v>
      </c>
      <c r="O1625" s="15" t="s">
        <v>122</v>
      </c>
      <c r="P1625" s="20" t="s">
        <v>1309</v>
      </c>
      <c r="Q1625" s="15" t="s">
        <v>83</v>
      </c>
      <c r="R1625" s="4"/>
      <c r="S1625" s="4"/>
    </row>
    <row r="1626" spans="1:19" ht="21" customHeight="1" x14ac:dyDescent="0.25">
      <c r="A1626" s="14">
        <f>DATE(2012,12,31)-1307</f>
        <v>39967</v>
      </c>
      <c r="B1626" s="15" t="s">
        <v>911</v>
      </c>
      <c r="C1626" s="15" t="s">
        <v>43</v>
      </c>
      <c r="D1626" s="16">
        <v>23</v>
      </c>
      <c r="E1626" s="17">
        <v>3503.12</v>
      </c>
      <c r="F1626" s="16">
        <v>0.01</v>
      </c>
      <c r="G1626" s="15" t="s">
        <v>58</v>
      </c>
      <c r="H1626" s="18">
        <v>-168.14</v>
      </c>
      <c r="I1626" s="19">
        <v>145.97999999999999</v>
      </c>
      <c r="J1626" s="19">
        <v>46.2</v>
      </c>
      <c r="K1626" s="19" t="s">
        <v>33</v>
      </c>
      <c r="L1626" s="19" t="s">
        <v>34</v>
      </c>
      <c r="M1626" s="15" t="s">
        <v>1359</v>
      </c>
      <c r="N1626" s="15" t="s">
        <v>54</v>
      </c>
      <c r="O1626" s="15" t="s">
        <v>61</v>
      </c>
      <c r="P1626" s="20" t="s">
        <v>910</v>
      </c>
      <c r="Q1626" s="15" t="s">
        <v>63</v>
      </c>
      <c r="R1626" s="4"/>
      <c r="S1626" s="4"/>
    </row>
    <row r="1627" spans="1:19" ht="21" customHeight="1" x14ac:dyDescent="0.25">
      <c r="A1627" s="14">
        <f>DATE(2012,12,31)-311</f>
        <v>40963</v>
      </c>
      <c r="B1627" s="15" t="s">
        <v>794</v>
      </c>
      <c r="C1627" s="15" t="s">
        <v>31</v>
      </c>
      <c r="D1627" s="16">
        <v>40</v>
      </c>
      <c r="E1627" s="17">
        <v>57.24</v>
      </c>
      <c r="F1627" s="16">
        <v>0.04</v>
      </c>
      <c r="G1627" s="15" t="s">
        <v>101</v>
      </c>
      <c r="H1627" s="18">
        <v>-14.1</v>
      </c>
      <c r="I1627" s="19">
        <v>1.26</v>
      </c>
      <c r="J1627" s="19">
        <v>0.7</v>
      </c>
      <c r="K1627" s="19" t="s">
        <v>33</v>
      </c>
      <c r="L1627" s="19" t="s">
        <v>34</v>
      </c>
      <c r="M1627" s="15" t="s">
        <v>1359</v>
      </c>
      <c r="N1627" s="15" t="s">
        <v>36</v>
      </c>
      <c r="O1627" s="15" t="s">
        <v>105</v>
      </c>
      <c r="P1627" s="20" t="s">
        <v>316</v>
      </c>
      <c r="Q1627" s="15" t="s">
        <v>79</v>
      </c>
      <c r="R1627" s="4"/>
      <c r="S1627" s="4"/>
    </row>
    <row r="1628" spans="1:19" ht="21" customHeight="1" x14ac:dyDescent="0.25">
      <c r="A1628" s="14">
        <f>DATE(2012,12,31)-1102</f>
        <v>40172</v>
      </c>
      <c r="B1628" s="15" t="s">
        <v>595</v>
      </c>
      <c r="C1628" s="15" t="s">
        <v>31</v>
      </c>
      <c r="D1628" s="16">
        <v>39</v>
      </c>
      <c r="E1628" s="17">
        <v>651.45000000000005</v>
      </c>
      <c r="F1628" s="16">
        <v>7.0000000000000007E-2</v>
      </c>
      <c r="G1628" s="15" t="s">
        <v>32</v>
      </c>
      <c r="H1628" s="18">
        <v>-160.56</v>
      </c>
      <c r="I1628" s="19">
        <v>17.7</v>
      </c>
      <c r="J1628" s="19">
        <v>9.4700000000000006</v>
      </c>
      <c r="K1628" s="19" t="s">
        <v>33</v>
      </c>
      <c r="L1628" s="19" t="s">
        <v>145</v>
      </c>
      <c r="M1628" s="15" t="s">
        <v>1555</v>
      </c>
      <c r="N1628" s="15" t="s">
        <v>36</v>
      </c>
      <c r="O1628" s="15" t="s">
        <v>37</v>
      </c>
      <c r="P1628" s="20" t="s">
        <v>269</v>
      </c>
      <c r="Q1628" s="15" t="s">
        <v>83</v>
      </c>
      <c r="R1628" s="4"/>
      <c r="S1628" s="4"/>
    </row>
    <row r="1629" spans="1:19" ht="21" customHeight="1" x14ac:dyDescent="0.25">
      <c r="A1629" s="14">
        <f>DATE(2012,12,31)-916</f>
        <v>40358</v>
      </c>
      <c r="B1629" s="15" t="s">
        <v>804</v>
      </c>
      <c r="C1629" s="15" t="s">
        <v>43</v>
      </c>
      <c r="D1629" s="16">
        <v>45</v>
      </c>
      <c r="E1629" s="17">
        <v>311.10000000000002</v>
      </c>
      <c r="F1629" s="16">
        <v>0.04</v>
      </c>
      <c r="G1629" s="15" t="s">
        <v>32</v>
      </c>
      <c r="H1629" s="18">
        <v>86.6</v>
      </c>
      <c r="I1629" s="19">
        <v>6.88</v>
      </c>
      <c r="J1629" s="19">
        <v>2</v>
      </c>
      <c r="K1629" s="19" t="s">
        <v>33</v>
      </c>
      <c r="L1629" s="19" t="s">
        <v>59</v>
      </c>
      <c r="M1629" s="15" t="s">
        <v>1361</v>
      </c>
      <c r="N1629" s="15" t="s">
        <v>36</v>
      </c>
      <c r="O1629" s="15" t="s">
        <v>117</v>
      </c>
      <c r="P1629" s="20" t="s">
        <v>356</v>
      </c>
      <c r="Q1629" s="15" t="s">
        <v>79</v>
      </c>
      <c r="R1629" s="4"/>
      <c r="S1629" s="4"/>
    </row>
    <row r="1630" spans="1:19" ht="21" customHeight="1" x14ac:dyDescent="0.25">
      <c r="A1630" s="14">
        <f>DATE(2012,12,31)-916</f>
        <v>40358</v>
      </c>
      <c r="B1630" s="15" t="s">
        <v>804</v>
      </c>
      <c r="C1630" s="15" t="s">
        <v>43</v>
      </c>
      <c r="D1630" s="16">
        <v>43</v>
      </c>
      <c r="E1630" s="17">
        <v>452.93</v>
      </c>
      <c r="F1630" s="16">
        <v>0.09</v>
      </c>
      <c r="G1630" s="15" t="s">
        <v>32</v>
      </c>
      <c r="H1630" s="18">
        <v>-172.34</v>
      </c>
      <c r="I1630" s="19">
        <v>10.97</v>
      </c>
      <c r="J1630" s="19">
        <v>6.5</v>
      </c>
      <c r="K1630" s="19" t="s">
        <v>33</v>
      </c>
      <c r="L1630" s="19" t="s">
        <v>59</v>
      </c>
      <c r="M1630" s="15" t="s">
        <v>1361</v>
      </c>
      <c r="N1630" s="15" t="s">
        <v>64</v>
      </c>
      <c r="O1630" s="15" t="s">
        <v>72</v>
      </c>
      <c r="P1630" s="20" t="s">
        <v>354</v>
      </c>
      <c r="Q1630" s="15" t="s">
        <v>83</v>
      </c>
      <c r="R1630" s="4"/>
      <c r="S1630" s="4"/>
    </row>
    <row r="1631" spans="1:19" ht="21" customHeight="1" x14ac:dyDescent="0.25">
      <c r="A1631" s="14">
        <f>DATE(2012,12,31)-832</f>
        <v>40442</v>
      </c>
      <c r="B1631" s="15" t="s">
        <v>827</v>
      </c>
      <c r="C1631" s="15" t="s">
        <v>85</v>
      </c>
      <c r="D1631" s="16">
        <v>7</v>
      </c>
      <c r="E1631" s="17">
        <v>54.23</v>
      </c>
      <c r="F1631" s="16">
        <v>0.08</v>
      </c>
      <c r="G1631" s="15" t="s">
        <v>32</v>
      </c>
      <c r="H1631" s="18">
        <v>-16.46</v>
      </c>
      <c r="I1631" s="19">
        <v>7.28</v>
      </c>
      <c r="J1631" s="19">
        <v>5.47</v>
      </c>
      <c r="K1631" s="19" t="s">
        <v>33</v>
      </c>
      <c r="L1631" s="19" t="s">
        <v>145</v>
      </c>
      <c r="M1631" s="15" t="s">
        <v>1555</v>
      </c>
      <c r="N1631" s="15" t="s">
        <v>36</v>
      </c>
      <c r="O1631" s="15" t="s">
        <v>117</v>
      </c>
      <c r="P1631" s="20" t="s">
        <v>1606</v>
      </c>
      <c r="Q1631" s="15" t="s">
        <v>83</v>
      </c>
      <c r="R1631" s="4"/>
      <c r="S1631" s="4"/>
    </row>
    <row r="1632" spans="1:19" ht="21" customHeight="1" x14ac:dyDescent="0.25">
      <c r="A1632" s="14">
        <f>DATE(2012,12,31)-156</f>
        <v>41118</v>
      </c>
      <c r="B1632" s="15" t="s">
        <v>1607</v>
      </c>
      <c r="C1632" s="15" t="s">
        <v>31</v>
      </c>
      <c r="D1632" s="16">
        <v>46</v>
      </c>
      <c r="E1632" s="17">
        <v>247.21</v>
      </c>
      <c r="F1632" s="16">
        <v>0.02</v>
      </c>
      <c r="G1632" s="15" t="s">
        <v>32</v>
      </c>
      <c r="H1632" s="18">
        <v>-63.72</v>
      </c>
      <c r="I1632" s="19">
        <v>4.9800000000000004</v>
      </c>
      <c r="J1632" s="19">
        <v>4.75</v>
      </c>
      <c r="K1632" s="19" t="s">
        <v>33</v>
      </c>
      <c r="L1632" s="19" t="s">
        <v>59</v>
      </c>
      <c r="M1632" s="15" t="s">
        <v>1361</v>
      </c>
      <c r="N1632" s="15" t="s">
        <v>36</v>
      </c>
      <c r="O1632" s="15" t="s">
        <v>117</v>
      </c>
      <c r="P1632" s="20" t="s">
        <v>528</v>
      </c>
      <c r="Q1632" s="15" t="s">
        <v>83</v>
      </c>
      <c r="R1632" s="4"/>
      <c r="S1632" s="4"/>
    </row>
    <row r="1633" spans="1:19" ht="21" customHeight="1" x14ac:dyDescent="0.25">
      <c r="A1633" s="14">
        <f>DATE(2012,12,31)-156</f>
        <v>41118</v>
      </c>
      <c r="B1633" s="15" t="s">
        <v>1607</v>
      </c>
      <c r="C1633" s="15" t="s">
        <v>31</v>
      </c>
      <c r="D1633" s="16">
        <v>27</v>
      </c>
      <c r="E1633" s="17">
        <v>1541.7809999999999</v>
      </c>
      <c r="F1633" s="16">
        <v>7.0000000000000007E-2</v>
      </c>
      <c r="G1633" s="15" t="s">
        <v>32</v>
      </c>
      <c r="H1633" s="18">
        <v>14.346</v>
      </c>
      <c r="I1633" s="19">
        <v>66.989999999999995</v>
      </c>
      <c r="J1633" s="19">
        <v>13.99</v>
      </c>
      <c r="K1633" s="19" t="s">
        <v>69</v>
      </c>
      <c r="L1633" s="19" t="s">
        <v>75</v>
      </c>
      <c r="M1633" s="15" t="s">
        <v>1569</v>
      </c>
      <c r="N1633" s="15" t="s">
        <v>64</v>
      </c>
      <c r="O1633" s="15" t="s">
        <v>65</v>
      </c>
      <c r="P1633" s="20" t="s">
        <v>1608</v>
      </c>
      <c r="Q1633" s="15" t="s">
        <v>57</v>
      </c>
      <c r="R1633" s="4"/>
      <c r="S1633" s="4"/>
    </row>
    <row r="1634" spans="1:19" ht="21" customHeight="1" x14ac:dyDescent="0.25">
      <c r="A1634" s="14">
        <f>DATE(2012,12,31)-153</f>
        <v>41121</v>
      </c>
      <c r="B1634" s="15" t="s">
        <v>761</v>
      </c>
      <c r="C1634" s="15" t="s">
        <v>43</v>
      </c>
      <c r="D1634" s="16">
        <v>1</v>
      </c>
      <c r="E1634" s="17">
        <v>148.34400000000002</v>
      </c>
      <c r="F1634" s="16">
        <v>0.06</v>
      </c>
      <c r="G1634" s="15" t="s">
        <v>58</v>
      </c>
      <c r="H1634" s="18">
        <v>25.20675</v>
      </c>
      <c r="I1634" s="19">
        <v>150.97999999999999</v>
      </c>
      <c r="J1634" s="19">
        <v>39.25</v>
      </c>
      <c r="K1634" s="19" t="s">
        <v>69</v>
      </c>
      <c r="L1634" s="19" t="s">
        <v>70</v>
      </c>
      <c r="M1634" s="15" t="s">
        <v>1492</v>
      </c>
      <c r="N1634" s="15" t="s">
        <v>54</v>
      </c>
      <c r="O1634" s="15" t="s">
        <v>61</v>
      </c>
      <c r="P1634" s="20" t="s">
        <v>941</v>
      </c>
      <c r="Q1634" s="15" t="s">
        <v>63</v>
      </c>
      <c r="R1634" s="4"/>
      <c r="S1634" s="4"/>
    </row>
    <row r="1635" spans="1:19" ht="21" customHeight="1" x14ac:dyDescent="0.25">
      <c r="A1635" s="14">
        <f>DATE(2012,12,31)-476</f>
        <v>40798</v>
      </c>
      <c r="B1635" s="15" t="s">
        <v>1609</v>
      </c>
      <c r="C1635" s="15" t="s">
        <v>31</v>
      </c>
      <c r="D1635" s="16">
        <v>22</v>
      </c>
      <c r="E1635" s="17">
        <v>351.27</v>
      </c>
      <c r="F1635" s="16">
        <v>0.08</v>
      </c>
      <c r="G1635" s="15" t="s">
        <v>32</v>
      </c>
      <c r="H1635" s="18">
        <v>-37.22</v>
      </c>
      <c r="I1635" s="19">
        <v>15.73</v>
      </c>
      <c r="J1635" s="19">
        <v>7.42</v>
      </c>
      <c r="K1635" s="19" t="s">
        <v>69</v>
      </c>
      <c r="L1635" s="19" t="s">
        <v>75</v>
      </c>
      <c r="M1635" s="15" t="s">
        <v>1569</v>
      </c>
      <c r="N1635" s="15" t="s">
        <v>36</v>
      </c>
      <c r="O1635" s="15" t="s">
        <v>47</v>
      </c>
      <c r="P1635" s="20" t="s">
        <v>1498</v>
      </c>
      <c r="Q1635" s="15" t="s">
        <v>49</v>
      </c>
      <c r="R1635" s="4"/>
      <c r="S1635" s="4"/>
    </row>
    <row r="1636" spans="1:19" ht="21" customHeight="1" x14ac:dyDescent="0.25">
      <c r="A1636" s="14">
        <f>DATE(2012,12,31)-1235</f>
        <v>40039</v>
      </c>
      <c r="B1636" s="15" t="s">
        <v>725</v>
      </c>
      <c r="C1636" s="15" t="s">
        <v>85</v>
      </c>
      <c r="D1636" s="16">
        <v>43</v>
      </c>
      <c r="E1636" s="17">
        <v>181.5</v>
      </c>
      <c r="F1636" s="16">
        <v>0.08</v>
      </c>
      <c r="G1636" s="15" t="s">
        <v>32</v>
      </c>
      <c r="H1636" s="18">
        <v>-6.24</v>
      </c>
      <c r="I1636" s="19">
        <v>4.4800000000000004</v>
      </c>
      <c r="J1636" s="19">
        <v>2.5</v>
      </c>
      <c r="K1636" s="19" t="s">
        <v>69</v>
      </c>
      <c r="L1636" s="19" t="s">
        <v>70</v>
      </c>
      <c r="M1636" s="15" t="s">
        <v>1492</v>
      </c>
      <c r="N1636" s="15" t="s">
        <v>36</v>
      </c>
      <c r="O1636" s="15" t="s">
        <v>189</v>
      </c>
      <c r="P1636" s="20" t="s">
        <v>1610</v>
      </c>
      <c r="Q1636" s="15" t="s">
        <v>83</v>
      </c>
      <c r="R1636" s="4"/>
      <c r="S1636" s="4"/>
    </row>
    <row r="1637" spans="1:19" ht="21" customHeight="1" x14ac:dyDescent="0.25">
      <c r="A1637" s="14">
        <f>DATE(2012,12,31)-986</f>
        <v>40288</v>
      </c>
      <c r="B1637" s="15" t="s">
        <v>1497</v>
      </c>
      <c r="C1637" s="15" t="s">
        <v>85</v>
      </c>
      <c r="D1637" s="16">
        <v>44</v>
      </c>
      <c r="E1637" s="17">
        <v>2339.52</v>
      </c>
      <c r="F1637" s="16">
        <v>0.1</v>
      </c>
      <c r="G1637" s="15" t="s">
        <v>32</v>
      </c>
      <c r="H1637" s="18">
        <v>886.03</v>
      </c>
      <c r="I1637" s="19">
        <v>54.96</v>
      </c>
      <c r="J1637" s="19">
        <v>10.75</v>
      </c>
      <c r="K1637" s="19" t="s">
        <v>111</v>
      </c>
      <c r="L1637" s="19" t="s">
        <v>442</v>
      </c>
      <c r="M1637" s="15" t="s">
        <v>443</v>
      </c>
      <c r="N1637" s="15" t="s">
        <v>36</v>
      </c>
      <c r="O1637" s="15" t="s">
        <v>117</v>
      </c>
      <c r="P1637" s="20" t="s">
        <v>1611</v>
      </c>
      <c r="Q1637" s="15" t="s">
        <v>83</v>
      </c>
      <c r="R1637" s="4"/>
      <c r="S1637" s="4"/>
    </row>
    <row r="1638" spans="1:19" ht="21" customHeight="1" x14ac:dyDescent="0.25">
      <c r="A1638" s="14">
        <f>DATE(2012,12,31)-986</f>
        <v>40288</v>
      </c>
      <c r="B1638" s="15" t="s">
        <v>1497</v>
      </c>
      <c r="C1638" s="15" t="s">
        <v>85</v>
      </c>
      <c r="D1638" s="16">
        <v>46</v>
      </c>
      <c r="E1638" s="17">
        <v>533.25</v>
      </c>
      <c r="F1638" s="16">
        <v>7.0000000000000007E-2</v>
      </c>
      <c r="G1638" s="15" t="s">
        <v>32</v>
      </c>
      <c r="H1638" s="18">
        <v>-88.32</v>
      </c>
      <c r="I1638" s="19">
        <v>11.97</v>
      </c>
      <c r="J1638" s="19">
        <v>5.81</v>
      </c>
      <c r="K1638" s="19" t="s">
        <v>44</v>
      </c>
      <c r="L1638" s="19" t="s">
        <v>89</v>
      </c>
      <c r="M1638" s="15" t="s">
        <v>1341</v>
      </c>
      <c r="N1638" s="15" t="s">
        <v>36</v>
      </c>
      <c r="O1638" s="15" t="s">
        <v>77</v>
      </c>
      <c r="P1638" s="20" t="s">
        <v>467</v>
      </c>
      <c r="Q1638" s="15" t="s">
        <v>49</v>
      </c>
      <c r="R1638" s="4"/>
      <c r="S1638" s="4"/>
    </row>
    <row r="1639" spans="1:19" ht="21" customHeight="1" x14ac:dyDescent="0.25">
      <c r="A1639" s="14">
        <f>DATE(2012,12,31)-1263</f>
        <v>40011</v>
      </c>
      <c r="B1639" s="15" t="s">
        <v>659</v>
      </c>
      <c r="C1639" s="15" t="s">
        <v>85</v>
      </c>
      <c r="D1639" s="16">
        <v>42</v>
      </c>
      <c r="E1639" s="17">
        <v>4993.42</v>
      </c>
      <c r="F1639" s="16">
        <v>0.03</v>
      </c>
      <c r="G1639" s="15" t="s">
        <v>58</v>
      </c>
      <c r="H1639" s="18">
        <v>190.14</v>
      </c>
      <c r="I1639" s="19">
        <v>119.99</v>
      </c>
      <c r="J1639" s="19">
        <v>56.14</v>
      </c>
      <c r="K1639" s="19" t="s">
        <v>44</v>
      </c>
      <c r="L1639" s="19" t="s">
        <v>89</v>
      </c>
      <c r="M1639" s="15" t="s">
        <v>1341</v>
      </c>
      <c r="N1639" s="15" t="s">
        <v>64</v>
      </c>
      <c r="O1639" s="15" t="s">
        <v>122</v>
      </c>
      <c r="P1639" s="20" t="s">
        <v>1542</v>
      </c>
      <c r="Q1639" s="15" t="s">
        <v>63</v>
      </c>
      <c r="R1639" s="4"/>
      <c r="S1639" s="4"/>
    </row>
    <row r="1640" spans="1:19" ht="21" customHeight="1" x14ac:dyDescent="0.25">
      <c r="A1640" s="14">
        <f>DATE(2012,12,31)-1263</f>
        <v>40011</v>
      </c>
      <c r="B1640" s="15" t="s">
        <v>659</v>
      </c>
      <c r="C1640" s="15" t="s">
        <v>85</v>
      </c>
      <c r="D1640" s="16">
        <v>9</v>
      </c>
      <c r="E1640" s="17">
        <v>1059.3</v>
      </c>
      <c r="F1640" s="16">
        <v>0.05</v>
      </c>
      <c r="G1640" s="15" t="s">
        <v>32</v>
      </c>
      <c r="H1640" s="18">
        <v>67.599999999999923</v>
      </c>
      <c r="I1640" s="19">
        <v>115.79</v>
      </c>
      <c r="J1640" s="19">
        <v>1.99</v>
      </c>
      <c r="K1640" s="19" t="s">
        <v>44</v>
      </c>
      <c r="L1640" s="19" t="s">
        <v>236</v>
      </c>
      <c r="M1640" s="15" t="s">
        <v>237</v>
      </c>
      <c r="N1640" s="15" t="s">
        <v>64</v>
      </c>
      <c r="O1640" s="15" t="s">
        <v>72</v>
      </c>
      <c r="P1640" s="20" t="s">
        <v>91</v>
      </c>
      <c r="Q1640" s="15" t="s">
        <v>49</v>
      </c>
      <c r="R1640" s="4"/>
      <c r="S1640" s="4"/>
    </row>
    <row r="1641" spans="1:19" ht="21" customHeight="1" x14ac:dyDescent="0.25">
      <c r="A1641" s="14">
        <f>DATE(2012,12,31)-986</f>
        <v>40288</v>
      </c>
      <c r="B1641" s="15" t="s">
        <v>1612</v>
      </c>
      <c r="C1641" s="15" t="s">
        <v>31</v>
      </c>
      <c r="D1641" s="16">
        <v>49</v>
      </c>
      <c r="E1641" s="17">
        <v>7319.85</v>
      </c>
      <c r="F1641" s="16">
        <v>0.03</v>
      </c>
      <c r="G1641" s="15" t="s">
        <v>32</v>
      </c>
      <c r="H1641" s="18">
        <v>611.42999999999995</v>
      </c>
      <c r="I1641" s="19">
        <v>152.47999999999999</v>
      </c>
      <c r="J1641" s="19">
        <v>4</v>
      </c>
      <c r="K1641" s="19" t="s">
        <v>44</v>
      </c>
      <c r="L1641" s="19" t="s">
        <v>89</v>
      </c>
      <c r="M1641" s="15" t="s">
        <v>1341</v>
      </c>
      <c r="N1641" s="15" t="s">
        <v>64</v>
      </c>
      <c r="O1641" s="15" t="s">
        <v>72</v>
      </c>
      <c r="P1641" s="20" t="s">
        <v>473</v>
      </c>
      <c r="Q1641" s="15" t="s">
        <v>83</v>
      </c>
      <c r="R1641" s="4"/>
      <c r="S1641" s="4"/>
    </row>
    <row r="1642" spans="1:19" ht="21" customHeight="1" x14ac:dyDescent="0.25">
      <c r="A1642" s="14">
        <f>DATE(2012,12,31)-986</f>
        <v>40288</v>
      </c>
      <c r="B1642" s="15" t="s">
        <v>1612</v>
      </c>
      <c r="C1642" s="15" t="s">
        <v>31</v>
      </c>
      <c r="D1642" s="16">
        <v>28</v>
      </c>
      <c r="E1642" s="17">
        <v>707.44</v>
      </c>
      <c r="F1642" s="16">
        <v>0.01</v>
      </c>
      <c r="G1642" s="15" t="s">
        <v>101</v>
      </c>
      <c r="H1642" s="18">
        <v>-50.27</v>
      </c>
      <c r="I1642" s="19">
        <v>24.98</v>
      </c>
      <c r="J1642" s="19">
        <v>8.7899999999999991</v>
      </c>
      <c r="K1642" s="19" t="s">
        <v>44</v>
      </c>
      <c r="L1642" s="19" t="s">
        <v>89</v>
      </c>
      <c r="M1642" s="15" t="s">
        <v>1341</v>
      </c>
      <c r="N1642" s="15" t="s">
        <v>36</v>
      </c>
      <c r="O1642" s="15" t="s">
        <v>37</v>
      </c>
      <c r="P1642" s="20" t="s">
        <v>1613</v>
      </c>
      <c r="Q1642" s="15" t="s">
        <v>83</v>
      </c>
      <c r="R1642" s="4"/>
      <c r="S1642" s="4"/>
    </row>
    <row r="1643" spans="1:19" ht="21" customHeight="1" x14ac:dyDescent="0.25">
      <c r="A1643" s="14">
        <f>DATE(2012,12,31)-113</f>
        <v>41161</v>
      </c>
      <c r="B1643" s="15" t="s">
        <v>223</v>
      </c>
      <c r="C1643" s="15" t="s">
        <v>85</v>
      </c>
      <c r="D1643" s="16">
        <v>1</v>
      </c>
      <c r="E1643" s="17">
        <v>40.29</v>
      </c>
      <c r="F1643" s="16">
        <v>0</v>
      </c>
      <c r="G1643" s="15" t="s">
        <v>32</v>
      </c>
      <c r="H1643" s="18">
        <v>-82.13</v>
      </c>
      <c r="I1643" s="19">
        <v>30.42</v>
      </c>
      <c r="J1643" s="19">
        <v>8.65</v>
      </c>
      <c r="K1643" s="19" t="s">
        <v>44</v>
      </c>
      <c r="L1643" s="19" t="s">
        <v>120</v>
      </c>
      <c r="M1643" s="15" t="s">
        <v>121</v>
      </c>
      <c r="N1643" s="15" t="s">
        <v>64</v>
      </c>
      <c r="O1643" s="15" t="s">
        <v>72</v>
      </c>
      <c r="P1643" s="20" t="s">
        <v>1175</v>
      </c>
      <c r="Q1643" s="15" t="s">
        <v>83</v>
      </c>
      <c r="R1643" s="4"/>
      <c r="S1643" s="4"/>
    </row>
    <row r="1644" spans="1:19" ht="21" customHeight="1" x14ac:dyDescent="0.25">
      <c r="A1644" s="14">
        <f>DATE(2012,12,31)-113</f>
        <v>41161</v>
      </c>
      <c r="B1644" s="15" t="s">
        <v>223</v>
      </c>
      <c r="C1644" s="15" t="s">
        <v>85</v>
      </c>
      <c r="D1644" s="16">
        <v>20</v>
      </c>
      <c r="E1644" s="17">
        <v>775.77</v>
      </c>
      <c r="F1644" s="16">
        <v>7.0000000000000007E-2</v>
      </c>
      <c r="G1644" s="15" t="s">
        <v>32</v>
      </c>
      <c r="H1644" s="18">
        <v>179.37</v>
      </c>
      <c r="I1644" s="19">
        <v>39.979999999999997</v>
      </c>
      <c r="J1644" s="19">
        <v>9.83</v>
      </c>
      <c r="K1644" s="19" t="s">
        <v>44</v>
      </c>
      <c r="L1644" s="19" t="s">
        <v>89</v>
      </c>
      <c r="M1644" s="15" t="s">
        <v>1341</v>
      </c>
      <c r="N1644" s="15" t="s">
        <v>36</v>
      </c>
      <c r="O1644" s="15" t="s">
        <v>189</v>
      </c>
      <c r="P1644" s="20" t="s">
        <v>1614</v>
      </c>
      <c r="Q1644" s="15" t="s">
        <v>83</v>
      </c>
      <c r="R1644" s="4"/>
      <c r="S1644" s="4"/>
    </row>
    <row r="1645" spans="1:19" ht="21" customHeight="1" x14ac:dyDescent="0.25">
      <c r="A1645" s="14">
        <f>DATE(2012,12,31)-133</f>
        <v>41141</v>
      </c>
      <c r="B1645" s="15" t="s">
        <v>1054</v>
      </c>
      <c r="C1645" s="15" t="s">
        <v>85</v>
      </c>
      <c r="D1645" s="16">
        <v>19</v>
      </c>
      <c r="E1645" s="17">
        <v>242.63</v>
      </c>
      <c r="F1645" s="16">
        <v>0</v>
      </c>
      <c r="G1645" s="15" t="s">
        <v>32</v>
      </c>
      <c r="H1645" s="18">
        <v>-36.11</v>
      </c>
      <c r="I1645" s="19">
        <v>12.44</v>
      </c>
      <c r="J1645" s="19">
        <v>6.27</v>
      </c>
      <c r="K1645" s="19" t="s">
        <v>44</v>
      </c>
      <c r="L1645" s="19" t="s">
        <v>120</v>
      </c>
      <c r="M1645" s="15" t="s">
        <v>121</v>
      </c>
      <c r="N1645" s="15" t="s">
        <v>36</v>
      </c>
      <c r="O1645" s="15" t="s">
        <v>37</v>
      </c>
      <c r="P1645" s="20" t="s">
        <v>143</v>
      </c>
      <c r="Q1645" s="15" t="s">
        <v>57</v>
      </c>
      <c r="R1645" s="4"/>
      <c r="S1645" s="4"/>
    </row>
    <row r="1646" spans="1:19" ht="21" customHeight="1" x14ac:dyDescent="0.25">
      <c r="A1646" s="14">
        <f>DATE(2012,12,31)-547</f>
        <v>40727</v>
      </c>
      <c r="B1646" s="15" t="s">
        <v>516</v>
      </c>
      <c r="C1646" s="15" t="s">
        <v>51</v>
      </c>
      <c r="D1646" s="16">
        <v>47</v>
      </c>
      <c r="E1646" s="17">
        <v>5051.8900000000003</v>
      </c>
      <c r="F1646" s="16">
        <v>0.02</v>
      </c>
      <c r="G1646" s="15" t="s">
        <v>32</v>
      </c>
      <c r="H1646" s="18">
        <v>1708.84</v>
      </c>
      <c r="I1646" s="19">
        <v>107.53</v>
      </c>
      <c r="J1646" s="19">
        <v>5.81</v>
      </c>
      <c r="K1646" s="19" t="s">
        <v>44</v>
      </c>
      <c r="L1646" s="19" t="s">
        <v>80</v>
      </c>
      <c r="M1646" s="15" t="s">
        <v>1200</v>
      </c>
      <c r="N1646" s="15" t="s">
        <v>54</v>
      </c>
      <c r="O1646" s="15" t="s">
        <v>55</v>
      </c>
      <c r="P1646" s="20" t="s">
        <v>56</v>
      </c>
      <c r="Q1646" s="15" t="s">
        <v>57</v>
      </c>
      <c r="R1646" s="4"/>
      <c r="S1646" s="4"/>
    </row>
    <row r="1647" spans="1:19" ht="21" customHeight="1" x14ac:dyDescent="0.25">
      <c r="A1647" s="14">
        <f>DATE(2012,12,31)-953</f>
        <v>40321</v>
      </c>
      <c r="B1647" s="15" t="s">
        <v>752</v>
      </c>
      <c r="C1647" s="15" t="s">
        <v>43</v>
      </c>
      <c r="D1647" s="16">
        <v>19</v>
      </c>
      <c r="E1647" s="17">
        <v>796.14</v>
      </c>
      <c r="F1647" s="16">
        <v>0.03</v>
      </c>
      <c r="G1647" s="15" t="s">
        <v>32</v>
      </c>
      <c r="H1647" s="18">
        <v>320.0675</v>
      </c>
      <c r="I1647" s="19">
        <v>41.94</v>
      </c>
      <c r="J1647" s="19">
        <v>2.99</v>
      </c>
      <c r="K1647" s="19" t="s">
        <v>44</v>
      </c>
      <c r="L1647" s="19" t="s">
        <v>120</v>
      </c>
      <c r="M1647" s="15" t="s">
        <v>121</v>
      </c>
      <c r="N1647" s="15" t="s">
        <v>36</v>
      </c>
      <c r="O1647" s="15" t="s">
        <v>170</v>
      </c>
      <c r="P1647" s="20" t="s">
        <v>1469</v>
      </c>
      <c r="Q1647" s="15" t="s">
        <v>83</v>
      </c>
      <c r="R1647" s="4"/>
      <c r="S1647" s="4"/>
    </row>
    <row r="1648" spans="1:19" ht="21" customHeight="1" x14ac:dyDescent="0.25">
      <c r="A1648" s="14">
        <f>DATE(2012,12,31)-953</f>
        <v>40321</v>
      </c>
      <c r="B1648" s="15" t="s">
        <v>752</v>
      </c>
      <c r="C1648" s="15" t="s">
        <v>43</v>
      </c>
      <c r="D1648" s="16">
        <v>31</v>
      </c>
      <c r="E1648" s="17">
        <v>142.96</v>
      </c>
      <c r="F1648" s="16">
        <v>0.09</v>
      </c>
      <c r="G1648" s="15" t="s">
        <v>32</v>
      </c>
      <c r="H1648" s="18">
        <v>33.590000000000003</v>
      </c>
      <c r="I1648" s="19">
        <v>4.7300000000000004</v>
      </c>
      <c r="J1648" s="19">
        <v>1.52</v>
      </c>
      <c r="K1648" s="19" t="s">
        <v>33</v>
      </c>
      <c r="L1648" s="19" t="s">
        <v>93</v>
      </c>
      <c r="M1648" s="15" t="s">
        <v>94</v>
      </c>
      <c r="N1648" s="15" t="s">
        <v>36</v>
      </c>
      <c r="O1648" s="15" t="s">
        <v>117</v>
      </c>
      <c r="P1648" s="20" t="s">
        <v>675</v>
      </c>
      <c r="Q1648" s="15" t="s">
        <v>79</v>
      </c>
      <c r="R1648" s="4"/>
      <c r="S1648" s="4"/>
    </row>
    <row r="1649" spans="1:19" ht="21" customHeight="1" x14ac:dyDescent="0.25">
      <c r="A1649" s="14">
        <f>DATE(2012,12,31)-1041</f>
        <v>40233</v>
      </c>
      <c r="B1649" s="15" t="s">
        <v>1508</v>
      </c>
      <c r="C1649" s="15" t="s">
        <v>43</v>
      </c>
      <c r="D1649" s="16">
        <v>18</v>
      </c>
      <c r="E1649" s="17">
        <v>102.06</v>
      </c>
      <c r="F1649" s="16">
        <v>0.1</v>
      </c>
      <c r="G1649" s="15" t="s">
        <v>32</v>
      </c>
      <c r="H1649" s="18">
        <v>36.229999999999997</v>
      </c>
      <c r="I1649" s="19">
        <v>6.3</v>
      </c>
      <c r="J1649" s="19">
        <v>0.5</v>
      </c>
      <c r="K1649" s="19" t="s">
        <v>33</v>
      </c>
      <c r="L1649" s="19" t="s">
        <v>128</v>
      </c>
      <c r="M1649" s="15" t="s">
        <v>129</v>
      </c>
      <c r="N1649" s="15" t="s">
        <v>36</v>
      </c>
      <c r="O1649" s="15" t="s">
        <v>114</v>
      </c>
      <c r="P1649" s="20" t="s">
        <v>703</v>
      </c>
      <c r="Q1649" s="15" t="s">
        <v>83</v>
      </c>
      <c r="R1649" s="4"/>
      <c r="S1649" s="4"/>
    </row>
    <row r="1650" spans="1:19" ht="21" customHeight="1" x14ac:dyDescent="0.25">
      <c r="A1650" s="14">
        <f>DATE(2012,12,31)-1041</f>
        <v>40233</v>
      </c>
      <c r="B1650" s="15" t="s">
        <v>1508</v>
      </c>
      <c r="C1650" s="15" t="s">
        <v>43</v>
      </c>
      <c r="D1650" s="16">
        <v>15</v>
      </c>
      <c r="E1650" s="17">
        <v>101.82</v>
      </c>
      <c r="F1650" s="16">
        <v>0.08</v>
      </c>
      <c r="G1650" s="15" t="s">
        <v>32</v>
      </c>
      <c r="H1650" s="18">
        <v>-52.55</v>
      </c>
      <c r="I1650" s="19">
        <v>6.48</v>
      </c>
      <c r="J1650" s="19">
        <v>7.03</v>
      </c>
      <c r="K1650" s="19" t="s">
        <v>33</v>
      </c>
      <c r="L1650" s="19" t="s">
        <v>93</v>
      </c>
      <c r="M1650" s="15" t="s">
        <v>94</v>
      </c>
      <c r="N1650" s="15" t="s">
        <v>36</v>
      </c>
      <c r="O1650" s="15" t="s">
        <v>117</v>
      </c>
      <c r="P1650" s="20" t="s">
        <v>1348</v>
      </c>
      <c r="Q1650" s="15" t="s">
        <v>83</v>
      </c>
      <c r="R1650" s="4"/>
      <c r="S1650" s="4"/>
    </row>
    <row r="1651" spans="1:19" ht="21" customHeight="1" x14ac:dyDescent="0.25">
      <c r="A1651" s="14">
        <f>DATE(2012,12,31)-861</f>
        <v>40413</v>
      </c>
      <c r="B1651" s="15" t="s">
        <v>1605</v>
      </c>
      <c r="C1651" s="15" t="s">
        <v>31</v>
      </c>
      <c r="D1651" s="16">
        <v>45</v>
      </c>
      <c r="E1651" s="17">
        <v>4729.8500000000004</v>
      </c>
      <c r="F1651" s="16">
        <v>0.03</v>
      </c>
      <c r="G1651" s="15" t="s">
        <v>58</v>
      </c>
      <c r="H1651" s="18">
        <v>2014.82</v>
      </c>
      <c r="I1651" s="19">
        <v>100.97</v>
      </c>
      <c r="J1651" s="19">
        <v>14</v>
      </c>
      <c r="K1651" s="19" t="s">
        <v>33</v>
      </c>
      <c r="L1651" s="19" t="s">
        <v>128</v>
      </c>
      <c r="M1651" s="15" t="s">
        <v>129</v>
      </c>
      <c r="N1651" s="15" t="s">
        <v>64</v>
      </c>
      <c r="O1651" s="15" t="s">
        <v>122</v>
      </c>
      <c r="P1651" s="20" t="s">
        <v>1615</v>
      </c>
      <c r="Q1651" s="15" t="s">
        <v>181</v>
      </c>
      <c r="R1651" s="4"/>
      <c r="S1651" s="4"/>
    </row>
    <row r="1652" spans="1:19" ht="21" customHeight="1" x14ac:dyDescent="0.25">
      <c r="A1652" s="14">
        <f>DATE(2012,12,31)-951</f>
        <v>40323</v>
      </c>
      <c r="B1652" s="15" t="s">
        <v>1334</v>
      </c>
      <c r="C1652" s="15" t="s">
        <v>43</v>
      </c>
      <c r="D1652" s="16">
        <v>5</v>
      </c>
      <c r="E1652" s="17">
        <v>1386.6</v>
      </c>
      <c r="F1652" s="16">
        <v>0.09</v>
      </c>
      <c r="G1652" s="15" t="s">
        <v>58</v>
      </c>
      <c r="H1652" s="18">
        <v>-556.17999999999995</v>
      </c>
      <c r="I1652" s="19">
        <v>280.98</v>
      </c>
      <c r="J1652" s="19">
        <v>57</v>
      </c>
      <c r="K1652" s="19" t="s">
        <v>33</v>
      </c>
      <c r="L1652" s="19" t="s">
        <v>93</v>
      </c>
      <c r="M1652" s="15" t="s">
        <v>94</v>
      </c>
      <c r="N1652" s="15" t="s">
        <v>54</v>
      </c>
      <c r="O1652" s="15" t="s">
        <v>252</v>
      </c>
      <c r="P1652" s="20" t="s">
        <v>1220</v>
      </c>
      <c r="Q1652" s="15" t="s">
        <v>181</v>
      </c>
      <c r="R1652" s="4"/>
      <c r="S1652" s="4"/>
    </row>
    <row r="1653" spans="1:19" ht="21" customHeight="1" x14ac:dyDescent="0.25">
      <c r="A1653" s="14">
        <f>DATE(2012,12,31)-1133</f>
        <v>40141</v>
      </c>
      <c r="B1653" s="15" t="s">
        <v>887</v>
      </c>
      <c r="C1653" s="15" t="s">
        <v>43</v>
      </c>
      <c r="D1653" s="16">
        <v>11</v>
      </c>
      <c r="E1653" s="17">
        <v>194.17400000000001</v>
      </c>
      <c r="F1653" s="16">
        <v>0.03</v>
      </c>
      <c r="G1653" s="15" t="s">
        <v>32</v>
      </c>
      <c r="H1653" s="18">
        <v>-20.911000000000001</v>
      </c>
      <c r="I1653" s="19">
        <v>20.99</v>
      </c>
      <c r="J1653" s="19">
        <v>0.99</v>
      </c>
      <c r="K1653" s="19" t="s">
        <v>33</v>
      </c>
      <c r="L1653" s="19" t="s">
        <v>93</v>
      </c>
      <c r="M1653" s="15" t="s">
        <v>94</v>
      </c>
      <c r="N1653" s="15" t="s">
        <v>64</v>
      </c>
      <c r="O1653" s="15" t="s">
        <v>65</v>
      </c>
      <c r="P1653" s="20" t="s">
        <v>1616</v>
      </c>
      <c r="Q1653" s="15" t="s">
        <v>79</v>
      </c>
      <c r="R1653" s="4"/>
      <c r="S1653" s="4"/>
    </row>
    <row r="1654" spans="1:19" ht="21" customHeight="1" x14ac:dyDescent="0.25">
      <c r="A1654" s="14">
        <f>DATE(2012,12,31)-565</f>
        <v>40709</v>
      </c>
      <c r="B1654" s="15" t="s">
        <v>1423</v>
      </c>
      <c r="C1654" s="15" t="s">
        <v>51</v>
      </c>
      <c r="D1654" s="16">
        <v>21</v>
      </c>
      <c r="E1654" s="17">
        <v>49.23</v>
      </c>
      <c r="F1654" s="16">
        <v>0.01</v>
      </c>
      <c r="G1654" s="15" t="s">
        <v>32</v>
      </c>
      <c r="H1654" s="18">
        <v>-77.705499999999986</v>
      </c>
      <c r="I1654" s="19">
        <v>1.98</v>
      </c>
      <c r="J1654" s="19">
        <v>4.7699999999999996</v>
      </c>
      <c r="K1654" s="19" t="s">
        <v>33</v>
      </c>
      <c r="L1654" s="19" t="s">
        <v>93</v>
      </c>
      <c r="M1654" s="15" t="s">
        <v>94</v>
      </c>
      <c r="N1654" s="15" t="s">
        <v>36</v>
      </c>
      <c r="O1654" s="15" t="s">
        <v>170</v>
      </c>
      <c r="P1654" s="20" t="s">
        <v>748</v>
      </c>
      <c r="Q1654" s="15" t="s">
        <v>83</v>
      </c>
      <c r="R1654" s="4"/>
      <c r="S1654" s="4"/>
    </row>
    <row r="1655" spans="1:19" ht="21" customHeight="1" x14ac:dyDescent="0.25">
      <c r="A1655" s="14">
        <f>DATE(2012,12,31)-782</f>
        <v>40492</v>
      </c>
      <c r="B1655" s="15" t="s">
        <v>736</v>
      </c>
      <c r="C1655" s="15" t="s">
        <v>85</v>
      </c>
      <c r="D1655" s="16">
        <v>25</v>
      </c>
      <c r="E1655" s="17">
        <v>397.84</v>
      </c>
      <c r="F1655" s="16">
        <v>0</v>
      </c>
      <c r="G1655" s="15" t="s">
        <v>32</v>
      </c>
      <c r="H1655" s="18">
        <v>-14.7545</v>
      </c>
      <c r="I1655" s="19">
        <v>15.22</v>
      </c>
      <c r="J1655" s="19">
        <v>9.73</v>
      </c>
      <c r="K1655" s="19" t="s">
        <v>33</v>
      </c>
      <c r="L1655" s="19" t="s">
        <v>128</v>
      </c>
      <c r="M1655" s="15" t="s">
        <v>129</v>
      </c>
      <c r="N1655" s="15" t="s">
        <v>36</v>
      </c>
      <c r="O1655" s="15" t="s">
        <v>170</v>
      </c>
      <c r="P1655" s="20" t="s">
        <v>1617</v>
      </c>
      <c r="Q1655" s="15" t="s">
        <v>83</v>
      </c>
      <c r="R1655" s="4"/>
      <c r="S1655" s="4"/>
    </row>
    <row r="1656" spans="1:19" ht="21" customHeight="1" x14ac:dyDescent="0.25">
      <c r="A1656" s="14">
        <f>DATE(2012,12,31)-921</f>
        <v>40353</v>
      </c>
      <c r="B1656" s="15" t="s">
        <v>1534</v>
      </c>
      <c r="C1656" s="15" t="s">
        <v>85</v>
      </c>
      <c r="D1656" s="16">
        <v>4</v>
      </c>
      <c r="E1656" s="17">
        <v>73.069999999999993</v>
      </c>
      <c r="F1656" s="16">
        <v>0.08</v>
      </c>
      <c r="G1656" s="15" t="s">
        <v>32</v>
      </c>
      <c r="H1656" s="18">
        <v>-41.01</v>
      </c>
      <c r="I1656" s="19">
        <v>15.7</v>
      </c>
      <c r="J1656" s="19">
        <v>11.25</v>
      </c>
      <c r="K1656" s="19" t="s">
        <v>97</v>
      </c>
      <c r="L1656" s="19" t="s">
        <v>132</v>
      </c>
      <c r="M1656" s="15" t="s">
        <v>133</v>
      </c>
      <c r="N1656" s="15" t="s">
        <v>36</v>
      </c>
      <c r="O1656" s="15" t="s">
        <v>37</v>
      </c>
      <c r="P1656" s="20" t="s">
        <v>242</v>
      </c>
      <c r="Q1656" s="15" t="s">
        <v>83</v>
      </c>
      <c r="R1656" s="4"/>
      <c r="S1656" s="4"/>
    </row>
    <row r="1657" spans="1:19" ht="21" customHeight="1" x14ac:dyDescent="0.25">
      <c r="A1657" s="14">
        <f>DATE(2012,12,31)-921</f>
        <v>40353</v>
      </c>
      <c r="B1657" s="15" t="s">
        <v>1534</v>
      </c>
      <c r="C1657" s="15" t="s">
        <v>85</v>
      </c>
      <c r="D1657" s="16">
        <v>26</v>
      </c>
      <c r="E1657" s="17">
        <v>4679.1000000000004</v>
      </c>
      <c r="F1657" s="16">
        <v>0.05</v>
      </c>
      <c r="G1657" s="15" t="s">
        <v>58</v>
      </c>
      <c r="H1657" s="18">
        <v>111.52</v>
      </c>
      <c r="I1657" s="19">
        <v>179.29</v>
      </c>
      <c r="J1657" s="19">
        <v>29.21</v>
      </c>
      <c r="K1657" s="19" t="s">
        <v>97</v>
      </c>
      <c r="L1657" s="19" t="s">
        <v>567</v>
      </c>
      <c r="M1657" s="15" t="s">
        <v>568</v>
      </c>
      <c r="N1657" s="15" t="s">
        <v>54</v>
      </c>
      <c r="O1657" s="15" t="s">
        <v>61</v>
      </c>
      <c r="P1657" s="20" t="s">
        <v>592</v>
      </c>
      <c r="Q1657" s="15" t="s">
        <v>63</v>
      </c>
      <c r="R1657" s="4"/>
      <c r="S1657" s="4"/>
    </row>
    <row r="1658" spans="1:19" ht="21" customHeight="1" x14ac:dyDescent="0.25">
      <c r="A1658" s="14">
        <f>DATE(2012,12,31)-999</f>
        <v>40275</v>
      </c>
      <c r="B1658" s="15" t="s">
        <v>887</v>
      </c>
      <c r="C1658" s="15" t="s">
        <v>31</v>
      </c>
      <c r="D1658" s="16">
        <v>49</v>
      </c>
      <c r="E1658" s="17">
        <v>657.94</v>
      </c>
      <c r="F1658" s="16">
        <v>0.09</v>
      </c>
      <c r="G1658" s="15" t="s">
        <v>32</v>
      </c>
      <c r="H1658" s="18">
        <v>7.3525</v>
      </c>
      <c r="I1658" s="19">
        <v>14.45</v>
      </c>
      <c r="J1658" s="19">
        <v>7.17</v>
      </c>
      <c r="K1658" s="19" t="s">
        <v>97</v>
      </c>
      <c r="L1658" s="19" t="s">
        <v>132</v>
      </c>
      <c r="M1658" s="15" t="s">
        <v>133</v>
      </c>
      <c r="N1658" s="15" t="s">
        <v>36</v>
      </c>
      <c r="O1658" s="15" t="s">
        <v>170</v>
      </c>
      <c r="P1658" s="20" t="s">
        <v>1252</v>
      </c>
      <c r="Q1658" s="15" t="s">
        <v>83</v>
      </c>
      <c r="R1658" s="4"/>
      <c r="S1658" s="4"/>
    </row>
    <row r="1659" spans="1:19" ht="21" customHeight="1" x14ac:dyDescent="0.25">
      <c r="A1659" s="14">
        <f>DATE(2012,12,31)-999</f>
        <v>40275</v>
      </c>
      <c r="B1659" s="15" t="s">
        <v>887</v>
      </c>
      <c r="C1659" s="15" t="s">
        <v>31</v>
      </c>
      <c r="D1659" s="16">
        <v>19</v>
      </c>
      <c r="E1659" s="17">
        <v>1270.73</v>
      </c>
      <c r="F1659" s="16">
        <v>0.08</v>
      </c>
      <c r="G1659" s="15" t="s">
        <v>58</v>
      </c>
      <c r="H1659" s="18">
        <v>-425.72</v>
      </c>
      <c r="I1659" s="19">
        <v>70.98</v>
      </c>
      <c r="J1659" s="19">
        <v>30</v>
      </c>
      <c r="K1659" s="19" t="s">
        <v>124</v>
      </c>
      <c r="L1659" s="19" t="s">
        <v>160</v>
      </c>
      <c r="M1659" s="15" t="s">
        <v>1505</v>
      </c>
      <c r="N1659" s="15" t="s">
        <v>54</v>
      </c>
      <c r="O1659" s="15" t="s">
        <v>252</v>
      </c>
      <c r="P1659" s="20" t="s">
        <v>964</v>
      </c>
      <c r="Q1659" s="15" t="s">
        <v>181</v>
      </c>
      <c r="R1659" s="4"/>
      <c r="S1659" s="4"/>
    </row>
    <row r="1660" spans="1:19" ht="21" customHeight="1" x14ac:dyDescent="0.25">
      <c r="A1660" s="14">
        <f>DATE(2012,12,31)-656</f>
        <v>40618</v>
      </c>
      <c r="B1660" s="15" t="s">
        <v>1396</v>
      </c>
      <c r="C1660" s="15" t="s">
        <v>31</v>
      </c>
      <c r="D1660" s="16">
        <v>31</v>
      </c>
      <c r="E1660" s="17">
        <v>109.49</v>
      </c>
      <c r="F1660" s="16">
        <v>0.04</v>
      </c>
      <c r="G1660" s="15" t="s">
        <v>32</v>
      </c>
      <c r="H1660" s="18">
        <v>26.09</v>
      </c>
      <c r="I1660" s="19">
        <v>3.38</v>
      </c>
      <c r="J1660" s="19">
        <v>0.85</v>
      </c>
      <c r="K1660" s="19" t="s">
        <v>124</v>
      </c>
      <c r="L1660" s="19" t="s">
        <v>164</v>
      </c>
      <c r="M1660" s="15" t="s">
        <v>1228</v>
      </c>
      <c r="N1660" s="15" t="s">
        <v>36</v>
      </c>
      <c r="O1660" s="15" t="s">
        <v>77</v>
      </c>
      <c r="P1660" s="20" t="s">
        <v>1618</v>
      </c>
      <c r="Q1660" s="15" t="s">
        <v>79</v>
      </c>
      <c r="R1660" s="4"/>
      <c r="S1660" s="4"/>
    </row>
    <row r="1661" spans="1:19" ht="21" customHeight="1" x14ac:dyDescent="0.25">
      <c r="A1661" s="14">
        <f>DATE(2012,12,31)-347</f>
        <v>40927</v>
      </c>
      <c r="B1661" s="15" t="s">
        <v>1619</v>
      </c>
      <c r="C1661" s="15" t="s">
        <v>43</v>
      </c>
      <c r="D1661" s="16">
        <v>16</v>
      </c>
      <c r="E1661" s="17">
        <v>1684.96</v>
      </c>
      <c r="F1661" s="16">
        <v>0.08</v>
      </c>
      <c r="G1661" s="15" t="s">
        <v>32</v>
      </c>
      <c r="H1661" s="18">
        <v>-553.05999999999995</v>
      </c>
      <c r="I1661" s="19">
        <v>110.98</v>
      </c>
      <c r="J1661" s="19">
        <v>35</v>
      </c>
      <c r="K1661" s="19" t="s">
        <v>124</v>
      </c>
      <c r="L1661" s="19" t="s">
        <v>160</v>
      </c>
      <c r="M1661" s="15" t="s">
        <v>1505</v>
      </c>
      <c r="N1661" s="15" t="s">
        <v>36</v>
      </c>
      <c r="O1661" s="15" t="s">
        <v>37</v>
      </c>
      <c r="P1661" s="20" t="s">
        <v>1620</v>
      </c>
      <c r="Q1661" s="15" t="s">
        <v>39</v>
      </c>
      <c r="R1661" s="4"/>
      <c r="S1661" s="4"/>
    </row>
    <row r="1662" spans="1:19" ht="21" customHeight="1" x14ac:dyDescent="0.25">
      <c r="A1662" s="14">
        <f>DATE(2012,12,31)-347</f>
        <v>40927</v>
      </c>
      <c r="B1662" s="15" t="s">
        <v>1619</v>
      </c>
      <c r="C1662" s="15" t="s">
        <v>43</v>
      </c>
      <c r="D1662" s="16">
        <v>9</v>
      </c>
      <c r="E1662" s="17">
        <v>1662.048</v>
      </c>
      <c r="F1662" s="16">
        <v>0.03</v>
      </c>
      <c r="G1662" s="15" t="s">
        <v>58</v>
      </c>
      <c r="H1662" s="18">
        <v>-471.25800000000004</v>
      </c>
      <c r="I1662" s="19">
        <v>212.6</v>
      </c>
      <c r="J1662" s="19">
        <v>110.2</v>
      </c>
      <c r="K1662" s="19" t="s">
        <v>124</v>
      </c>
      <c r="L1662" s="19" t="s">
        <v>160</v>
      </c>
      <c r="M1662" s="15" t="s">
        <v>1621</v>
      </c>
      <c r="N1662" s="15" t="s">
        <v>54</v>
      </c>
      <c r="O1662" s="15" t="s">
        <v>61</v>
      </c>
      <c r="P1662" s="20" t="s">
        <v>615</v>
      </c>
      <c r="Q1662" s="15" t="s">
        <v>63</v>
      </c>
      <c r="R1662" s="4"/>
      <c r="S1662" s="4"/>
    </row>
    <row r="1663" spans="1:19" ht="21" customHeight="1" x14ac:dyDescent="0.25">
      <c r="A1663" s="14">
        <f>DATE(2012,12,31)-347</f>
        <v>40927</v>
      </c>
      <c r="B1663" s="15" t="s">
        <v>1619</v>
      </c>
      <c r="C1663" s="15" t="s">
        <v>43</v>
      </c>
      <c r="D1663" s="16">
        <v>42</v>
      </c>
      <c r="E1663" s="17">
        <v>11460.76</v>
      </c>
      <c r="F1663" s="16">
        <v>0.1</v>
      </c>
      <c r="G1663" s="15" t="s">
        <v>58</v>
      </c>
      <c r="H1663" s="18">
        <v>4264.82</v>
      </c>
      <c r="I1663" s="19">
        <v>349.45</v>
      </c>
      <c r="J1663" s="19">
        <v>60</v>
      </c>
      <c r="K1663" s="19" t="s">
        <v>124</v>
      </c>
      <c r="L1663" s="19" t="s">
        <v>493</v>
      </c>
      <c r="M1663" s="15" t="s">
        <v>1588</v>
      </c>
      <c r="N1663" s="15" t="s">
        <v>54</v>
      </c>
      <c r="O1663" s="15" t="s">
        <v>61</v>
      </c>
      <c r="P1663" s="20" t="s">
        <v>1031</v>
      </c>
      <c r="Q1663" s="15" t="s">
        <v>181</v>
      </c>
      <c r="R1663" s="4"/>
      <c r="S1663" s="4"/>
    </row>
    <row r="1664" spans="1:19" ht="21" customHeight="1" x14ac:dyDescent="0.25">
      <c r="A1664" s="14">
        <f>DATE(2012,12,31)-1458</f>
        <v>39816</v>
      </c>
      <c r="B1664" s="15" t="s">
        <v>1622</v>
      </c>
      <c r="C1664" s="15" t="s">
        <v>43</v>
      </c>
      <c r="D1664" s="16">
        <v>4</v>
      </c>
      <c r="E1664" s="17">
        <v>896.49</v>
      </c>
      <c r="F1664" s="16">
        <v>0</v>
      </c>
      <c r="G1664" s="15" t="s">
        <v>58</v>
      </c>
      <c r="H1664" s="18">
        <v>-452.26949999999999</v>
      </c>
      <c r="I1664" s="19">
        <v>213.45</v>
      </c>
      <c r="J1664" s="19">
        <v>14.7</v>
      </c>
      <c r="K1664" s="19" t="s">
        <v>124</v>
      </c>
      <c r="L1664" s="19" t="s">
        <v>158</v>
      </c>
      <c r="M1664" s="15" t="s">
        <v>158</v>
      </c>
      <c r="N1664" s="15" t="s">
        <v>64</v>
      </c>
      <c r="O1664" s="15" t="s">
        <v>122</v>
      </c>
      <c r="P1664" s="20" t="s">
        <v>1623</v>
      </c>
      <c r="Q1664" s="15" t="s">
        <v>181</v>
      </c>
      <c r="R1664" s="4"/>
      <c r="S1664" s="4"/>
    </row>
    <row r="1665" spans="1:19" ht="21" customHeight="1" x14ac:dyDescent="0.25">
      <c r="A1665" s="14">
        <f>DATE(2012,12,31)-628</f>
        <v>40646</v>
      </c>
      <c r="B1665" s="15" t="s">
        <v>378</v>
      </c>
      <c r="C1665" s="15" t="s">
        <v>85</v>
      </c>
      <c r="D1665" s="16">
        <v>43</v>
      </c>
      <c r="E1665" s="17">
        <v>210.66</v>
      </c>
      <c r="F1665" s="16">
        <v>0.08</v>
      </c>
      <c r="G1665" s="15" t="s">
        <v>32</v>
      </c>
      <c r="H1665" s="18">
        <v>-145.7165</v>
      </c>
      <c r="I1665" s="19">
        <v>5.18</v>
      </c>
      <c r="J1665" s="19">
        <v>5.74</v>
      </c>
      <c r="K1665" s="19" t="s">
        <v>124</v>
      </c>
      <c r="L1665" s="19" t="s">
        <v>164</v>
      </c>
      <c r="M1665" s="15" t="s">
        <v>1228</v>
      </c>
      <c r="N1665" s="15" t="s">
        <v>36</v>
      </c>
      <c r="O1665" s="15" t="s">
        <v>170</v>
      </c>
      <c r="P1665" s="20" t="s">
        <v>427</v>
      </c>
      <c r="Q1665" s="15" t="s">
        <v>83</v>
      </c>
      <c r="R1665" s="4"/>
      <c r="S1665" s="4"/>
    </row>
    <row r="1666" spans="1:19" ht="21" customHeight="1" x14ac:dyDescent="0.25">
      <c r="A1666" s="14">
        <f>DATE(2012,12,31)-190</f>
        <v>41084</v>
      </c>
      <c r="B1666" s="15" t="s">
        <v>210</v>
      </c>
      <c r="C1666" s="15" t="s">
        <v>43</v>
      </c>
      <c r="D1666" s="16">
        <v>4</v>
      </c>
      <c r="E1666" s="17">
        <v>1660.86</v>
      </c>
      <c r="F1666" s="16">
        <v>0.04</v>
      </c>
      <c r="G1666" s="15" t="s">
        <v>32</v>
      </c>
      <c r="H1666" s="18">
        <v>-164.59</v>
      </c>
      <c r="I1666" s="19">
        <v>415.88</v>
      </c>
      <c r="J1666" s="19">
        <v>11.37</v>
      </c>
      <c r="K1666" s="19" t="s">
        <v>124</v>
      </c>
      <c r="L1666" s="19" t="s">
        <v>164</v>
      </c>
      <c r="M1666" s="15" t="s">
        <v>1228</v>
      </c>
      <c r="N1666" s="15" t="s">
        <v>36</v>
      </c>
      <c r="O1666" s="15" t="s">
        <v>37</v>
      </c>
      <c r="P1666" s="20" t="s">
        <v>449</v>
      </c>
      <c r="Q1666" s="15" t="s">
        <v>83</v>
      </c>
      <c r="R1666" s="4"/>
      <c r="S1666" s="4"/>
    </row>
    <row r="1667" spans="1:19" ht="21" customHeight="1" x14ac:dyDescent="0.25">
      <c r="A1667" s="14">
        <f>DATE(2012,12,31)-1191</f>
        <v>40083</v>
      </c>
      <c r="B1667" s="15" t="s">
        <v>942</v>
      </c>
      <c r="C1667" s="15" t="s">
        <v>43</v>
      </c>
      <c r="D1667" s="16">
        <v>42</v>
      </c>
      <c r="E1667" s="17">
        <v>152.26</v>
      </c>
      <c r="F1667" s="16">
        <v>0.04</v>
      </c>
      <c r="G1667" s="15" t="s">
        <v>32</v>
      </c>
      <c r="H1667" s="18">
        <v>64.989999999999995</v>
      </c>
      <c r="I1667" s="19">
        <v>3.69</v>
      </c>
      <c r="J1667" s="19">
        <v>0.5</v>
      </c>
      <c r="K1667" s="19" t="s">
        <v>124</v>
      </c>
      <c r="L1667" s="19" t="s">
        <v>168</v>
      </c>
      <c r="M1667" s="15" t="s">
        <v>1624</v>
      </c>
      <c r="N1667" s="15" t="s">
        <v>36</v>
      </c>
      <c r="O1667" s="15" t="s">
        <v>114</v>
      </c>
      <c r="P1667" s="20" t="s">
        <v>1169</v>
      </c>
      <c r="Q1667" s="15" t="s">
        <v>83</v>
      </c>
      <c r="R1667" s="4"/>
      <c r="S1667" s="4"/>
    </row>
    <row r="1668" spans="1:19" ht="21" customHeight="1" x14ac:dyDescent="0.25">
      <c r="A1668" s="14">
        <f>DATE(2012,12,31)-550</f>
        <v>40724</v>
      </c>
      <c r="B1668" s="15" t="s">
        <v>392</v>
      </c>
      <c r="C1668" s="15" t="s">
        <v>31</v>
      </c>
      <c r="D1668" s="16">
        <v>14</v>
      </c>
      <c r="E1668" s="17">
        <v>135.21</v>
      </c>
      <c r="F1668" s="16">
        <v>0.04</v>
      </c>
      <c r="G1668" s="15" t="s">
        <v>32</v>
      </c>
      <c r="H1668" s="18">
        <v>5.89</v>
      </c>
      <c r="I1668" s="19">
        <v>9.27</v>
      </c>
      <c r="J1668" s="19">
        <v>4.3899999999999997</v>
      </c>
      <c r="K1668" s="19" t="s">
        <v>124</v>
      </c>
      <c r="L1668" s="19" t="s">
        <v>125</v>
      </c>
      <c r="M1668" s="15" t="s">
        <v>1297</v>
      </c>
      <c r="N1668" s="15" t="s">
        <v>36</v>
      </c>
      <c r="O1668" s="15" t="s">
        <v>117</v>
      </c>
      <c r="P1668" s="20" t="s">
        <v>434</v>
      </c>
      <c r="Q1668" s="15" t="s">
        <v>79</v>
      </c>
      <c r="R1668" s="4"/>
      <c r="S1668" s="4"/>
    </row>
    <row r="1669" spans="1:19" ht="21" customHeight="1" x14ac:dyDescent="0.25">
      <c r="A1669" s="14">
        <f>DATE(2012,12,31)-929</f>
        <v>40345</v>
      </c>
      <c r="B1669" s="15" t="s">
        <v>974</v>
      </c>
      <c r="C1669" s="15" t="s">
        <v>51</v>
      </c>
      <c r="D1669" s="16">
        <v>13</v>
      </c>
      <c r="E1669" s="17">
        <v>2048.5679999999998</v>
      </c>
      <c r="F1669" s="16">
        <v>0.1</v>
      </c>
      <c r="G1669" s="15" t="s">
        <v>32</v>
      </c>
      <c r="H1669" s="18">
        <v>-259.98500000000001</v>
      </c>
      <c r="I1669" s="19">
        <v>205.99</v>
      </c>
      <c r="J1669" s="19">
        <v>8.99</v>
      </c>
      <c r="K1669" s="19" t="s">
        <v>124</v>
      </c>
      <c r="L1669" s="19" t="s">
        <v>164</v>
      </c>
      <c r="M1669" s="15" t="s">
        <v>1228</v>
      </c>
      <c r="N1669" s="15" t="s">
        <v>64</v>
      </c>
      <c r="O1669" s="15" t="s">
        <v>65</v>
      </c>
      <c r="P1669" s="20" t="s">
        <v>1464</v>
      </c>
      <c r="Q1669" s="15" t="s">
        <v>83</v>
      </c>
      <c r="R1669" s="4"/>
      <c r="S1669" s="4"/>
    </row>
    <row r="1670" spans="1:19" ht="21" customHeight="1" x14ac:dyDescent="0.25">
      <c r="A1670" s="14">
        <f>DATE(2012,12,31)-694</f>
        <v>40580</v>
      </c>
      <c r="B1670" s="15" t="s">
        <v>701</v>
      </c>
      <c r="C1670" s="15" t="s">
        <v>85</v>
      </c>
      <c r="D1670" s="16">
        <v>27</v>
      </c>
      <c r="E1670" s="17">
        <v>4442.049</v>
      </c>
      <c r="F1670" s="16">
        <v>0.1</v>
      </c>
      <c r="G1670" s="15" t="s">
        <v>32</v>
      </c>
      <c r="H1670" s="18">
        <v>720.95399999999995</v>
      </c>
      <c r="I1670" s="19">
        <v>200.99</v>
      </c>
      <c r="J1670" s="19">
        <v>8.08</v>
      </c>
      <c r="K1670" s="19" t="s">
        <v>44</v>
      </c>
      <c r="L1670" s="19" t="s">
        <v>52</v>
      </c>
      <c r="M1670" s="15" t="s">
        <v>1300</v>
      </c>
      <c r="N1670" s="15" t="s">
        <v>64</v>
      </c>
      <c r="O1670" s="15" t="s">
        <v>65</v>
      </c>
      <c r="P1670" s="20" t="s">
        <v>1145</v>
      </c>
      <c r="Q1670" s="15" t="s">
        <v>83</v>
      </c>
      <c r="R1670" s="4"/>
      <c r="S1670" s="4"/>
    </row>
    <row r="1671" spans="1:19" ht="21" customHeight="1" x14ac:dyDescent="0.25">
      <c r="A1671" s="14">
        <f>DATE(2012,12,31)-1061</f>
        <v>40213</v>
      </c>
      <c r="B1671" s="15" t="s">
        <v>325</v>
      </c>
      <c r="C1671" s="15" t="s">
        <v>85</v>
      </c>
      <c r="D1671" s="16">
        <v>45</v>
      </c>
      <c r="E1671" s="17">
        <v>271.06</v>
      </c>
      <c r="F1671" s="16">
        <v>0</v>
      </c>
      <c r="G1671" s="15" t="s">
        <v>32</v>
      </c>
      <c r="H1671" s="18">
        <v>-76.601500000000001</v>
      </c>
      <c r="I1671" s="19">
        <v>5.74</v>
      </c>
      <c r="J1671" s="19">
        <v>5.01</v>
      </c>
      <c r="K1671" s="19" t="s">
        <v>44</v>
      </c>
      <c r="L1671" s="19" t="s">
        <v>236</v>
      </c>
      <c r="M1671" s="15" t="s">
        <v>237</v>
      </c>
      <c r="N1671" s="15" t="s">
        <v>36</v>
      </c>
      <c r="O1671" s="15" t="s">
        <v>170</v>
      </c>
      <c r="P1671" s="20" t="s">
        <v>834</v>
      </c>
      <c r="Q1671" s="15" t="s">
        <v>83</v>
      </c>
      <c r="R1671" s="4"/>
      <c r="S1671" s="4"/>
    </row>
    <row r="1672" spans="1:19" ht="21" customHeight="1" x14ac:dyDescent="0.25">
      <c r="A1672" s="14">
        <f>DATE(2012,12,31)-1061</f>
        <v>40213</v>
      </c>
      <c r="B1672" s="15" t="s">
        <v>325</v>
      </c>
      <c r="C1672" s="15" t="s">
        <v>85</v>
      </c>
      <c r="D1672" s="16">
        <v>6</v>
      </c>
      <c r="E1672" s="17">
        <v>58.84</v>
      </c>
      <c r="F1672" s="16">
        <v>0.05</v>
      </c>
      <c r="G1672" s="15" t="s">
        <v>32</v>
      </c>
      <c r="H1672" s="18">
        <v>4.29</v>
      </c>
      <c r="I1672" s="19">
        <v>9.48</v>
      </c>
      <c r="J1672" s="19">
        <v>3.72</v>
      </c>
      <c r="K1672" s="19" t="s">
        <v>44</v>
      </c>
      <c r="L1672" s="19" t="s">
        <v>52</v>
      </c>
      <c r="M1672" s="15" t="s">
        <v>1300</v>
      </c>
      <c r="N1672" s="15" t="s">
        <v>54</v>
      </c>
      <c r="O1672" s="15" t="s">
        <v>55</v>
      </c>
      <c r="P1672" s="20" t="s">
        <v>1625</v>
      </c>
      <c r="Q1672" s="15" t="s">
        <v>49</v>
      </c>
      <c r="R1672" s="4"/>
      <c r="S1672" s="4"/>
    </row>
    <row r="1673" spans="1:19" ht="21" customHeight="1" x14ac:dyDescent="0.25">
      <c r="A1673" s="14">
        <f>DATE(2012,12,31)-1061</f>
        <v>40213</v>
      </c>
      <c r="B1673" s="15" t="s">
        <v>325</v>
      </c>
      <c r="C1673" s="15" t="s">
        <v>85</v>
      </c>
      <c r="D1673" s="16">
        <v>12</v>
      </c>
      <c r="E1673" s="17">
        <v>1211.72</v>
      </c>
      <c r="F1673" s="16">
        <v>0.04</v>
      </c>
      <c r="G1673" s="15" t="s">
        <v>32</v>
      </c>
      <c r="H1673" s="18">
        <v>587.84</v>
      </c>
      <c r="I1673" s="19">
        <v>99.23</v>
      </c>
      <c r="J1673" s="19">
        <v>8.99</v>
      </c>
      <c r="K1673" s="19" t="s">
        <v>44</v>
      </c>
      <c r="L1673" s="19" t="s">
        <v>52</v>
      </c>
      <c r="M1673" s="15" t="s">
        <v>1300</v>
      </c>
      <c r="N1673" s="15" t="s">
        <v>54</v>
      </c>
      <c r="O1673" s="15" t="s">
        <v>55</v>
      </c>
      <c r="P1673" s="20" t="s">
        <v>1406</v>
      </c>
      <c r="Q1673" s="15" t="s">
        <v>49</v>
      </c>
      <c r="R1673" s="4"/>
      <c r="S1673" s="4"/>
    </row>
    <row r="1674" spans="1:19" ht="21" customHeight="1" x14ac:dyDescent="0.25">
      <c r="A1674" s="14">
        <f>DATE(2012,12,31)-1061</f>
        <v>40213</v>
      </c>
      <c r="B1674" s="15" t="s">
        <v>325</v>
      </c>
      <c r="C1674" s="15" t="s">
        <v>85</v>
      </c>
      <c r="D1674" s="16">
        <v>9</v>
      </c>
      <c r="E1674" s="17">
        <v>75.260000000000005</v>
      </c>
      <c r="F1674" s="16">
        <v>0.01</v>
      </c>
      <c r="G1674" s="15" t="s">
        <v>32</v>
      </c>
      <c r="H1674" s="18">
        <v>-17.239999999999998</v>
      </c>
      <c r="I1674" s="19">
        <v>7.64</v>
      </c>
      <c r="J1674" s="19">
        <v>5.83</v>
      </c>
      <c r="K1674" s="19" t="s">
        <v>44</v>
      </c>
      <c r="L1674" s="19" t="s">
        <v>52</v>
      </c>
      <c r="M1674" s="15" t="s">
        <v>1300</v>
      </c>
      <c r="N1674" s="15" t="s">
        <v>36</v>
      </c>
      <c r="O1674" s="15" t="s">
        <v>117</v>
      </c>
      <c r="P1674" s="20" t="s">
        <v>188</v>
      </c>
      <c r="Q1674" s="15" t="s">
        <v>79</v>
      </c>
      <c r="R1674" s="4"/>
      <c r="S1674" s="4"/>
    </row>
    <row r="1675" spans="1:19" ht="21" customHeight="1" x14ac:dyDescent="0.25">
      <c r="A1675" s="14">
        <f>DATE(2012,12,31)-1061</f>
        <v>40213</v>
      </c>
      <c r="B1675" s="15" t="s">
        <v>325</v>
      </c>
      <c r="C1675" s="15" t="s">
        <v>85</v>
      </c>
      <c r="D1675" s="16">
        <v>7</v>
      </c>
      <c r="E1675" s="17">
        <v>407.11599999999999</v>
      </c>
      <c r="F1675" s="16">
        <v>0.08</v>
      </c>
      <c r="G1675" s="15" t="s">
        <v>32</v>
      </c>
      <c r="H1675" s="18">
        <v>-289.80599999999998</v>
      </c>
      <c r="I1675" s="19">
        <v>65.989999999999995</v>
      </c>
      <c r="J1675" s="19">
        <v>19.989999999999998</v>
      </c>
      <c r="K1675" s="19" t="s">
        <v>44</v>
      </c>
      <c r="L1675" s="19" t="s">
        <v>52</v>
      </c>
      <c r="M1675" s="15" t="s">
        <v>1300</v>
      </c>
      <c r="N1675" s="15" t="s">
        <v>64</v>
      </c>
      <c r="O1675" s="15" t="s">
        <v>65</v>
      </c>
      <c r="P1675" s="20" t="s">
        <v>1626</v>
      </c>
      <c r="Q1675" s="15" t="s">
        <v>83</v>
      </c>
      <c r="R1675" s="4"/>
      <c r="S1675" s="4"/>
    </row>
    <row r="1676" spans="1:19" ht="21" customHeight="1" x14ac:dyDescent="0.25">
      <c r="A1676" s="14">
        <f>DATE(2012,12,31)-103</f>
        <v>41171</v>
      </c>
      <c r="B1676" s="15" t="s">
        <v>1074</v>
      </c>
      <c r="C1676" s="15" t="s">
        <v>85</v>
      </c>
      <c r="D1676" s="16">
        <v>46</v>
      </c>
      <c r="E1676" s="17">
        <v>8009.5924999999988</v>
      </c>
      <c r="F1676" s="16">
        <v>0.02</v>
      </c>
      <c r="G1676" s="15" t="s">
        <v>32</v>
      </c>
      <c r="H1676" s="18">
        <v>2332.395</v>
      </c>
      <c r="I1676" s="19">
        <v>200.99</v>
      </c>
      <c r="J1676" s="19">
        <v>8.08</v>
      </c>
      <c r="K1676" s="19" t="s">
        <v>44</v>
      </c>
      <c r="L1676" s="19" t="s">
        <v>236</v>
      </c>
      <c r="M1676" s="15" t="s">
        <v>237</v>
      </c>
      <c r="N1676" s="15" t="s">
        <v>64</v>
      </c>
      <c r="O1676" s="15" t="s">
        <v>65</v>
      </c>
      <c r="P1676" s="20" t="s">
        <v>1145</v>
      </c>
      <c r="Q1676" s="15" t="s">
        <v>83</v>
      </c>
      <c r="R1676" s="4"/>
      <c r="S1676" s="4"/>
    </row>
    <row r="1677" spans="1:19" ht="21" customHeight="1" x14ac:dyDescent="0.25">
      <c r="A1677" s="14">
        <f>DATE(2012,12,31)-103</f>
        <v>41171</v>
      </c>
      <c r="B1677" s="15" t="s">
        <v>1074</v>
      </c>
      <c r="C1677" s="15" t="s">
        <v>85</v>
      </c>
      <c r="D1677" s="16">
        <v>23</v>
      </c>
      <c r="E1677" s="17">
        <v>4689.66</v>
      </c>
      <c r="F1677" s="16">
        <v>0.01</v>
      </c>
      <c r="G1677" s="15" t="s">
        <v>32</v>
      </c>
      <c r="H1677" s="18">
        <v>2176.19</v>
      </c>
      <c r="I1677" s="19">
        <v>194.3</v>
      </c>
      <c r="J1677" s="19">
        <v>11.54</v>
      </c>
      <c r="K1677" s="19" t="s">
        <v>44</v>
      </c>
      <c r="L1677" s="19" t="s">
        <v>52</v>
      </c>
      <c r="M1677" s="15" t="s">
        <v>1300</v>
      </c>
      <c r="N1677" s="15" t="s">
        <v>54</v>
      </c>
      <c r="O1677" s="15" t="s">
        <v>55</v>
      </c>
      <c r="P1677" s="20" t="s">
        <v>1627</v>
      </c>
      <c r="Q1677" s="15" t="s">
        <v>39</v>
      </c>
      <c r="R1677" s="4"/>
      <c r="S1677" s="4"/>
    </row>
    <row r="1678" spans="1:19" ht="21" customHeight="1" x14ac:dyDescent="0.25">
      <c r="A1678" s="14">
        <f>DATE(2012,12,31)-783</f>
        <v>40491</v>
      </c>
      <c r="B1678" s="15" t="s">
        <v>418</v>
      </c>
      <c r="C1678" s="15" t="s">
        <v>85</v>
      </c>
      <c r="D1678" s="16">
        <v>9</v>
      </c>
      <c r="E1678" s="17">
        <v>49.89</v>
      </c>
      <c r="F1678" s="16">
        <v>0.06</v>
      </c>
      <c r="G1678" s="15" t="s">
        <v>32</v>
      </c>
      <c r="H1678" s="18">
        <v>-30.84</v>
      </c>
      <c r="I1678" s="19">
        <v>4.9800000000000004</v>
      </c>
      <c r="J1678" s="19">
        <v>6.07</v>
      </c>
      <c r="K1678" s="19" t="s">
        <v>44</v>
      </c>
      <c r="L1678" s="19" t="s">
        <v>52</v>
      </c>
      <c r="M1678" s="15" t="s">
        <v>1300</v>
      </c>
      <c r="N1678" s="15" t="s">
        <v>36</v>
      </c>
      <c r="O1678" s="15" t="s">
        <v>117</v>
      </c>
      <c r="P1678" s="20" t="s">
        <v>1506</v>
      </c>
      <c r="Q1678" s="15" t="s">
        <v>83</v>
      </c>
      <c r="R1678" s="4"/>
      <c r="S1678" s="4"/>
    </row>
    <row r="1679" spans="1:19" ht="21" customHeight="1" x14ac:dyDescent="0.25">
      <c r="A1679" s="14">
        <f>DATE(2012,12,31)-783</f>
        <v>40491</v>
      </c>
      <c r="B1679" s="15" t="s">
        <v>418</v>
      </c>
      <c r="C1679" s="15" t="s">
        <v>85</v>
      </c>
      <c r="D1679" s="16">
        <v>25</v>
      </c>
      <c r="E1679" s="17">
        <v>1831.5289999999998</v>
      </c>
      <c r="F1679" s="16">
        <v>0</v>
      </c>
      <c r="G1679" s="15" t="s">
        <v>101</v>
      </c>
      <c r="H1679" s="18">
        <v>-139.97499999999999</v>
      </c>
      <c r="I1679" s="19">
        <v>85.99</v>
      </c>
      <c r="J1679" s="19">
        <v>0.99</v>
      </c>
      <c r="K1679" s="19" t="s">
        <v>44</v>
      </c>
      <c r="L1679" s="19" t="s">
        <v>80</v>
      </c>
      <c r="M1679" s="15" t="s">
        <v>1200</v>
      </c>
      <c r="N1679" s="15" t="s">
        <v>64</v>
      </c>
      <c r="O1679" s="15" t="s">
        <v>65</v>
      </c>
      <c r="P1679" s="20" t="s">
        <v>213</v>
      </c>
      <c r="Q1679" s="15" t="s">
        <v>79</v>
      </c>
      <c r="R1679" s="4"/>
      <c r="S1679" s="4"/>
    </row>
    <row r="1680" spans="1:19" ht="21" customHeight="1" x14ac:dyDescent="0.25">
      <c r="A1680" s="14">
        <f>DATE(2012,12,31)-1207</f>
        <v>40067</v>
      </c>
      <c r="B1680" s="15" t="s">
        <v>1628</v>
      </c>
      <c r="C1680" s="15" t="s">
        <v>85</v>
      </c>
      <c r="D1680" s="16">
        <v>1</v>
      </c>
      <c r="E1680" s="17">
        <v>17.59</v>
      </c>
      <c r="F1680" s="16">
        <v>0.06</v>
      </c>
      <c r="G1680" s="15" t="s">
        <v>101</v>
      </c>
      <c r="H1680" s="18">
        <v>10.85</v>
      </c>
      <c r="I1680" s="19">
        <v>2.61</v>
      </c>
      <c r="J1680" s="19">
        <v>0.5</v>
      </c>
      <c r="K1680" s="19" t="s">
        <v>33</v>
      </c>
      <c r="L1680" s="19" t="s">
        <v>59</v>
      </c>
      <c r="M1680" s="15" t="s">
        <v>1361</v>
      </c>
      <c r="N1680" s="15" t="s">
        <v>36</v>
      </c>
      <c r="O1680" s="15" t="s">
        <v>114</v>
      </c>
      <c r="P1680" s="20" t="s">
        <v>587</v>
      </c>
      <c r="Q1680" s="15" t="s">
        <v>83</v>
      </c>
      <c r="R1680" s="4"/>
      <c r="S1680" s="4"/>
    </row>
    <row r="1681" spans="1:19" ht="21" customHeight="1" x14ac:dyDescent="0.25">
      <c r="A1681" s="14">
        <f>DATE(2012,12,31)-1207</f>
        <v>40067</v>
      </c>
      <c r="B1681" s="15" t="s">
        <v>1628</v>
      </c>
      <c r="C1681" s="15" t="s">
        <v>85</v>
      </c>
      <c r="D1681" s="16">
        <v>48</v>
      </c>
      <c r="E1681" s="17">
        <v>308.81</v>
      </c>
      <c r="F1681" s="16">
        <v>0.01</v>
      </c>
      <c r="G1681" s="15" t="s">
        <v>32</v>
      </c>
      <c r="H1681" s="18">
        <v>128.28</v>
      </c>
      <c r="I1681" s="19">
        <v>6.35</v>
      </c>
      <c r="J1681" s="19">
        <v>1.02</v>
      </c>
      <c r="K1681" s="19" t="s">
        <v>44</v>
      </c>
      <c r="L1681" s="19" t="s">
        <v>52</v>
      </c>
      <c r="M1681" s="15" t="s">
        <v>1300</v>
      </c>
      <c r="N1681" s="15" t="s">
        <v>36</v>
      </c>
      <c r="O1681" s="15" t="s">
        <v>117</v>
      </c>
      <c r="P1681" s="20" t="s">
        <v>1203</v>
      </c>
      <c r="Q1681" s="15" t="s">
        <v>79</v>
      </c>
      <c r="R1681" s="4"/>
      <c r="S1681" s="4"/>
    </row>
    <row r="1682" spans="1:19" ht="21" customHeight="1" x14ac:dyDescent="0.25">
      <c r="A1682" s="14">
        <f>DATE(2012,12,31)-6</f>
        <v>41268</v>
      </c>
      <c r="B1682" s="15" t="s">
        <v>198</v>
      </c>
      <c r="C1682" s="15" t="s">
        <v>85</v>
      </c>
      <c r="D1682" s="16">
        <v>36</v>
      </c>
      <c r="E1682" s="17">
        <v>4852.05</v>
      </c>
      <c r="F1682" s="16">
        <v>0</v>
      </c>
      <c r="G1682" s="15" t="s">
        <v>58</v>
      </c>
      <c r="H1682" s="18">
        <v>-1197.58</v>
      </c>
      <c r="I1682" s="19">
        <v>122.99</v>
      </c>
      <c r="J1682" s="19">
        <v>70.2</v>
      </c>
      <c r="K1682" s="19" t="s">
        <v>44</v>
      </c>
      <c r="L1682" s="19" t="s">
        <v>52</v>
      </c>
      <c r="M1682" s="15" t="s">
        <v>1300</v>
      </c>
      <c r="N1682" s="15" t="s">
        <v>54</v>
      </c>
      <c r="O1682" s="15" t="s">
        <v>252</v>
      </c>
      <c r="P1682" s="20" t="s">
        <v>819</v>
      </c>
      <c r="Q1682" s="15" t="s">
        <v>181</v>
      </c>
      <c r="R1682" s="4"/>
      <c r="S1682" s="4"/>
    </row>
    <row r="1683" spans="1:19" ht="21" customHeight="1" x14ac:dyDescent="0.25">
      <c r="A1683" s="14">
        <f>DATE(2012,12,31)-388</f>
        <v>40886</v>
      </c>
      <c r="B1683" s="15" t="s">
        <v>1629</v>
      </c>
      <c r="C1683" s="15" t="s">
        <v>43</v>
      </c>
      <c r="D1683" s="16">
        <v>37</v>
      </c>
      <c r="E1683" s="17">
        <v>686.2</v>
      </c>
      <c r="F1683" s="16">
        <v>0.04</v>
      </c>
      <c r="G1683" s="15" t="s">
        <v>32</v>
      </c>
      <c r="H1683" s="18">
        <v>290.2</v>
      </c>
      <c r="I1683" s="19">
        <v>18.84</v>
      </c>
      <c r="J1683" s="19">
        <v>3.62</v>
      </c>
      <c r="K1683" s="19" t="s">
        <v>33</v>
      </c>
      <c r="L1683" s="19" t="s">
        <v>145</v>
      </c>
      <c r="M1683" s="15" t="s">
        <v>1555</v>
      </c>
      <c r="N1683" s="15" t="s">
        <v>54</v>
      </c>
      <c r="O1683" s="15" t="s">
        <v>55</v>
      </c>
      <c r="P1683" s="20" t="s">
        <v>1630</v>
      </c>
      <c r="Q1683" s="15" t="s">
        <v>79</v>
      </c>
      <c r="R1683" s="4"/>
      <c r="S1683" s="4"/>
    </row>
    <row r="1684" spans="1:19" ht="21" customHeight="1" x14ac:dyDescent="0.25">
      <c r="A1684" s="14">
        <f>DATE(2012,12,31)-388</f>
        <v>40886</v>
      </c>
      <c r="B1684" s="15" t="s">
        <v>1629</v>
      </c>
      <c r="C1684" s="15" t="s">
        <v>43</v>
      </c>
      <c r="D1684" s="16">
        <v>42</v>
      </c>
      <c r="E1684" s="17">
        <v>1274.5155</v>
      </c>
      <c r="F1684" s="16">
        <v>0.05</v>
      </c>
      <c r="G1684" s="15" t="s">
        <v>32</v>
      </c>
      <c r="H1684" s="18">
        <v>444.15</v>
      </c>
      <c r="I1684" s="19">
        <v>35.99</v>
      </c>
      <c r="J1684" s="19">
        <v>5.99</v>
      </c>
      <c r="K1684" s="19" t="s">
        <v>33</v>
      </c>
      <c r="L1684" s="19" t="s">
        <v>93</v>
      </c>
      <c r="M1684" s="15" t="s">
        <v>94</v>
      </c>
      <c r="N1684" s="15" t="s">
        <v>64</v>
      </c>
      <c r="O1684" s="15" t="s">
        <v>65</v>
      </c>
      <c r="P1684" s="20" t="s">
        <v>1577</v>
      </c>
      <c r="Q1684" s="15" t="s">
        <v>79</v>
      </c>
      <c r="R1684" s="4"/>
      <c r="S1684" s="4"/>
    </row>
    <row r="1685" spans="1:19" ht="21" customHeight="1" x14ac:dyDescent="0.25">
      <c r="A1685" s="14">
        <f>DATE(2012,12,31)-750</f>
        <v>40524</v>
      </c>
      <c r="B1685" s="15" t="s">
        <v>1282</v>
      </c>
      <c r="C1685" s="15" t="s">
        <v>31</v>
      </c>
      <c r="D1685" s="16">
        <v>48</v>
      </c>
      <c r="E1685" s="17">
        <v>10341.469999999999</v>
      </c>
      <c r="F1685" s="16">
        <v>0.03</v>
      </c>
      <c r="G1685" s="15" t="s">
        <v>58</v>
      </c>
      <c r="H1685" s="18">
        <v>865.02</v>
      </c>
      <c r="I1685" s="19">
        <v>208.16</v>
      </c>
      <c r="J1685" s="19">
        <v>68.02</v>
      </c>
      <c r="K1685" s="19" t="s">
        <v>97</v>
      </c>
      <c r="L1685" s="19" t="s">
        <v>98</v>
      </c>
      <c r="M1685" s="15" t="s">
        <v>1162</v>
      </c>
      <c r="N1685" s="15" t="s">
        <v>54</v>
      </c>
      <c r="O1685" s="15" t="s">
        <v>252</v>
      </c>
      <c r="P1685" s="20" t="s">
        <v>540</v>
      </c>
      <c r="Q1685" s="15" t="s">
        <v>181</v>
      </c>
      <c r="R1685" s="4"/>
      <c r="S1685" s="4"/>
    </row>
    <row r="1686" spans="1:19" ht="21" customHeight="1" x14ac:dyDescent="0.25">
      <c r="A1686" s="14">
        <f>DATE(2012,12,31)-750</f>
        <v>40524</v>
      </c>
      <c r="B1686" s="15" t="s">
        <v>1282</v>
      </c>
      <c r="C1686" s="15" t="s">
        <v>31</v>
      </c>
      <c r="D1686" s="16">
        <v>2</v>
      </c>
      <c r="E1686" s="17">
        <v>55.21</v>
      </c>
      <c r="F1686" s="16">
        <v>0.08</v>
      </c>
      <c r="G1686" s="15" t="s">
        <v>32</v>
      </c>
      <c r="H1686" s="18">
        <v>-45.3</v>
      </c>
      <c r="I1686" s="19">
        <v>24.98</v>
      </c>
      <c r="J1686" s="19">
        <v>8.7899999999999991</v>
      </c>
      <c r="K1686" s="19" t="s">
        <v>69</v>
      </c>
      <c r="L1686" s="19" t="s">
        <v>70</v>
      </c>
      <c r="M1686" s="15" t="s">
        <v>1492</v>
      </c>
      <c r="N1686" s="15" t="s">
        <v>54</v>
      </c>
      <c r="O1686" s="15" t="s">
        <v>252</v>
      </c>
      <c r="P1686" s="20" t="s">
        <v>1117</v>
      </c>
      <c r="Q1686" s="15" t="s">
        <v>181</v>
      </c>
      <c r="R1686" s="4"/>
      <c r="S1686" s="4"/>
    </row>
    <row r="1687" spans="1:19" ht="21" customHeight="1" x14ac:dyDescent="0.25">
      <c r="A1687" s="14">
        <f>DATE(2012,12,31)-750</f>
        <v>40524</v>
      </c>
      <c r="B1687" s="15" t="s">
        <v>1282</v>
      </c>
      <c r="C1687" s="15" t="s">
        <v>31</v>
      </c>
      <c r="D1687" s="16">
        <v>9</v>
      </c>
      <c r="E1687" s="17">
        <v>38.299999999999997</v>
      </c>
      <c r="F1687" s="16">
        <v>0.01</v>
      </c>
      <c r="G1687" s="15" t="s">
        <v>32</v>
      </c>
      <c r="H1687" s="18">
        <v>-42.4925</v>
      </c>
      <c r="I1687" s="19">
        <v>3.36</v>
      </c>
      <c r="J1687" s="19">
        <v>6.27</v>
      </c>
      <c r="K1687" s="19" t="s">
        <v>124</v>
      </c>
      <c r="L1687" s="19" t="s">
        <v>164</v>
      </c>
      <c r="M1687" s="15" t="s">
        <v>1228</v>
      </c>
      <c r="N1687" s="15" t="s">
        <v>54</v>
      </c>
      <c r="O1687" s="15" t="s">
        <v>55</v>
      </c>
      <c r="P1687" s="20" t="s">
        <v>1546</v>
      </c>
      <c r="Q1687" s="15" t="s">
        <v>39</v>
      </c>
      <c r="R1687" s="4"/>
      <c r="S1687" s="4"/>
    </row>
    <row r="1688" spans="1:19" ht="21" customHeight="1" x14ac:dyDescent="0.25">
      <c r="A1688" s="14">
        <f>DATE(2012,12,31)-671</f>
        <v>40603</v>
      </c>
      <c r="B1688" s="15" t="s">
        <v>742</v>
      </c>
      <c r="C1688" s="15" t="s">
        <v>85</v>
      </c>
      <c r="D1688" s="16">
        <v>19</v>
      </c>
      <c r="E1688" s="17">
        <v>3355.1539999999995</v>
      </c>
      <c r="F1688" s="16">
        <v>0</v>
      </c>
      <c r="G1688" s="15" t="s">
        <v>32</v>
      </c>
      <c r="H1688" s="18">
        <v>658.50299999999993</v>
      </c>
      <c r="I1688" s="19">
        <v>195.99</v>
      </c>
      <c r="J1688" s="19">
        <v>3.99</v>
      </c>
      <c r="K1688" s="19" t="s">
        <v>124</v>
      </c>
      <c r="L1688" s="19" t="s">
        <v>164</v>
      </c>
      <c r="M1688" s="15" t="s">
        <v>1228</v>
      </c>
      <c r="N1688" s="15" t="s">
        <v>64</v>
      </c>
      <c r="O1688" s="15" t="s">
        <v>65</v>
      </c>
      <c r="P1688" s="20" t="s">
        <v>248</v>
      </c>
      <c r="Q1688" s="15" t="s">
        <v>83</v>
      </c>
      <c r="R1688" s="4"/>
      <c r="S1688" s="4"/>
    </row>
    <row r="1689" spans="1:19" ht="21" customHeight="1" x14ac:dyDescent="0.25">
      <c r="A1689" s="14">
        <f>DATE(2012,12,31)-943</f>
        <v>40331</v>
      </c>
      <c r="B1689" s="15" t="s">
        <v>744</v>
      </c>
      <c r="C1689" s="15" t="s">
        <v>43</v>
      </c>
      <c r="D1689" s="16">
        <v>32</v>
      </c>
      <c r="E1689" s="17">
        <v>599.52</v>
      </c>
      <c r="F1689" s="16">
        <v>0.04</v>
      </c>
      <c r="G1689" s="15" t="s">
        <v>32</v>
      </c>
      <c r="H1689" s="18">
        <v>25.14</v>
      </c>
      <c r="I1689" s="19">
        <v>17.98</v>
      </c>
      <c r="J1689" s="19">
        <v>8.51</v>
      </c>
      <c r="K1689" s="19" t="s">
        <v>44</v>
      </c>
      <c r="L1689" s="19" t="s">
        <v>52</v>
      </c>
      <c r="M1689" s="15" t="s">
        <v>1300</v>
      </c>
      <c r="N1689" s="15" t="s">
        <v>64</v>
      </c>
      <c r="O1689" s="15" t="s">
        <v>122</v>
      </c>
      <c r="P1689" s="20" t="s">
        <v>1357</v>
      </c>
      <c r="Q1689" s="15" t="s">
        <v>57</v>
      </c>
      <c r="R1689" s="4"/>
      <c r="S1689" s="4"/>
    </row>
    <row r="1690" spans="1:19" ht="21" customHeight="1" x14ac:dyDescent="0.25">
      <c r="A1690" s="14">
        <f>DATE(2012,12,31)-943</f>
        <v>40331</v>
      </c>
      <c r="B1690" s="15" t="s">
        <v>744</v>
      </c>
      <c r="C1690" s="15" t="s">
        <v>43</v>
      </c>
      <c r="D1690" s="16">
        <v>25</v>
      </c>
      <c r="E1690" s="17">
        <v>10330.94</v>
      </c>
      <c r="F1690" s="16">
        <v>7.0000000000000007E-2</v>
      </c>
      <c r="G1690" s="15" t="s">
        <v>32</v>
      </c>
      <c r="H1690" s="18">
        <v>2914.56</v>
      </c>
      <c r="I1690" s="19">
        <v>419.19</v>
      </c>
      <c r="J1690" s="19">
        <v>19.989999999999998</v>
      </c>
      <c r="K1690" s="19" t="s">
        <v>33</v>
      </c>
      <c r="L1690" s="19" t="s">
        <v>59</v>
      </c>
      <c r="M1690" s="15" t="s">
        <v>1361</v>
      </c>
      <c r="N1690" s="15" t="s">
        <v>36</v>
      </c>
      <c r="O1690" s="15" t="s">
        <v>37</v>
      </c>
      <c r="P1690" s="20" t="s">
        <v>1168</v>
      </c>
      <c r="Q1690" s="15" t="s">
        <v>83</v>
      </c>
      <c r="R1690" s="4"/>
      <c r="S1690" s="4"/>
    </row>
    <row r="1691" spans="1:19" ht="21" customHeight="1" x14ac:dyDescent="0.25">
      <c r="A1691" s="14">
        <f>DATE(2012,12,31)-383</f>
        <v>40891</v>
      </c>
      <c r="B1691" s="15" t="s">
        <v>433</v>
      </c>
      <c r="C1691" s="15" t="s">
        <v>31</v>
      </c>
      <c r="D1691" s="16">
        <v>2</v>
      </c>
      <c r="E1691" s="17">
        <v>19</v>
      </c>
      <c r="F1691" s="16">
        <v>0.01</v>
      </c>
      <c r="G1691" s="15" t="s">
        <v>32</v>
      </c>
      <c r="H1691" s="18">
        <v>-10.7295</v>
      </c>
      <c r="I1691" s="19">
        <v>6.54</v>
      </c>
      <c r="J1691" s="19">
        <v>5.27</v>
      </c>
      <c r="K1691" s="19" t="s">
        <v>69</v>
      </c>
      <c r="L1691" s="19" t="s">
        <v>70</v>
      </c>
      <c r="M1691" s="15" t="s">
        <v>1492</v>
      </c>
      <c r="N1691" s="15" t="s">
        <v>36</v>
      </c>
      <c r="O1691" s="15" t="s">
        <v>170</v>
      </c>
      <c r="P1691" s="20" t="s">
        <v>182</v>
      </c>
      <c r="Q1691" s="15" t="s">
        <v>83</v>
      </c>
      <c r="R1691" s="4"/>
      <c r="S1691" s="4"/>
    </row>
    <row r="1692" spans="1:19" ht="21" customHeight="1" x14ac:dyDescent="0.25">
      <c r="A1692" s="14">
        <f>DATE(2012,12,31)-383</f>
        <v>40891</v>
      </c>
      <c r="B1692" s="15" t="s">
        <v>433</v>
      </c>
      <c r="C1692" s="15" t="s">
        <v>31</v>
      </c>
      <c r="D1692" s="16">
        <v>50</v>
      </c>
      <c r="E1692" s="17">
        <v>8289.51</v>
      </c>
      <c r="F1692" s="16">
        <v>0.01</v>
      </c>
      <c r="G1692" s="15" t="s">
        <v>32</v>
      </c>
      <c r="H1692" s="18">
        <v>3051.62</v>
      </c>
      <c r="I1692" s="19">
        <v>155.06</v>
      </c>
      <c r="J1692" s="19">
        <v>7.07</v>
      </c>
      <c r="K1692" s="19" t="s">
        <v>69</v>
      </c>
      <c r="L1692" s="19" t="s">
        <v>70</v>
      </c>
      <c r="M1692" s="15" t="s">
        <v>1492</v>
      </c>
      <c r="N1692" s="15" t="s">
        <v>36</v>
      </c>
      <c r="O1692" s="15" t="s">
        <v>37</v>
      </c>
      <c r="P1692" s="20" t="s">
        <v>1107</v>
      </c>
      <c r="Q1692" s="15" t="s">
        <v>83</v>
      </c>
      <c r="R1692" s="4"/>
      <c r="S1692" s="4"/>
    </row>
    <row r="1693" spans="1:19" ht="21" customHeight="1" x14ac:dyDescent="0.25">
      <c r="A1693" s="14">
        <f>DATE(2012,12,31)-1115</f>
        <v>40159</v>
      </c>
      <c r="B1693" s="15" t="s">
        <v>516</v>
      </c>
      <c r="C1693" s="15" t="s">
        <v>51</v>
      </c>
      <c r="D1693" s="16">
        <v>2</v>
      </c>
      <c r="E1693" s="17">
        <v>302.91000000000003</v>
      </c>
      <c r="F1693" s="16">
        <v>0.04</v>
      </c>
      <c r="G1693" s="15" t="s">
        <v>58</v>
      </c>
      <c r="H1693" s="18">
        <v>-186.12900000000002</v>
      </c>
      <c r="I1693" s="19">
        <v>124.49</v>
      </c>
      <c r="J1693" s="19">
        <v>51.94</v>
      </c>
      <c r="K1693" s="19" t="s">
        <v>69</v>
      </c>
      <c r="L1693" s="19" t="s">
        <v>215</v>
      </c>
      <c r="M1693" s="15" t="s">
        <v>1388</v>
      </c>
      <c r="N1693" s="15" t="s">
        <v>54</v>
      </c>
      <c r="O1693" s="15" t="s">
        <v>61</v>
      </c>
      <c r="P1693" s="20" t="s">
        <v>220</v>
      </c>
      <c r="Q1693" s="15" t="s">
        <v>63</v>
      </c>
      <c r="R1693" s="4"/>
      <c r="S1693" s="4"/>
    </row>
    <row r="1694" spans="1:19" ht="21" customHeight="1" x14ac:dyDescent="0.25">
      <c r="A1694" s="14">
        <f>DATE(2012,12,31)-1115</f>
        <v>40159</v>
      </c>
      <c r="B1694" s="15" t="s">
        <v>516</v>
      </c>
      <c r="C1694" s="15" t="s">
        <v>51</v>
      </c>
      <c r="D1694" s="16">
        <v>29</v>
      </c>
      <c r="E1694" s="17">
        <v>842.61349999999993</v>
      </c>
      <c r="F1694" s="16">
        <v>0.1</v>
      </c>
      <c r="G1694" s="15" t="s">
        <v>32</v>
      </c>
      <c r="H1694" s="18">
        <v>-208.428</v>
      </c>
      <c r="I1694" s="19">
        <v>35.99</v>
      </c>
      <c r="J1694" s="19">
        <v>5</v>
      </c>
      <c r="K1694" s="19" t="s">
        <v>44</v>
      </c>
      <c r="L1694" s="19" t="s">
        <v>120</v>
      </c>
      <c r="M1694" s="15" t="s">
        <v>121</v>
      </c>
      <c r="N1694" s="15" t="s">
        <v>64</v>
      </c>
      <c r="O1694" s="15" t="s">
        <v>65</v>
      </c>
      <c r="P1694" s="20" t="s">
        <v>1631</v>
      </c>
      <c r="Q1694" s="15" t="s">
        <v>79</v>
      </c>
      <c r="R1694" s="4"/>
      <c r="S1694" s="4"/>
    </row>
    <row r="1695" spans="1:19" ht="21" customHeight="1" x14ac:dyDescent="0.25">
      <c r="A1695" s="14">
        <f>DATE(2012,12,31)-1285</f>
        <v>39989</v>
      </c>
      <c r="B1695" s="15" t="s">
        <v>1632</v>
      </c>
      <c r="C1695" s="15" t="s">
        <v>43</v>
      </c>
      <c r="D1695" s="16">
        <v>1</v>
      </c>
      <c r="E1695" s="17">
        <v>159.51</v>
      </c>
      <c r="F1695" s="16">
        <v>0.04</v>
      </c>
      <c r="G1695" s="15" t="s">
        <v>58</v>
      </c>
      <c r="H1695" s="18">
        <v>-103.63</v>
      </c>
      <c r="I1695" s="19">
        <v>130.97999999999999</v>
      </c>
      <c r="J1695" s="19">
        <v>30</v>
      </c>
      <c r="K1695" s="19" t="s">
        <v>124</v>
      </c>
      <c r="L1695" s="19" t="s">
        <v>493</v>
      </c>
      <c r="M1695" s="15" t="s">
        <v>1588</v>
      </c>
      <c r="N1695" s="15" t="s">
        <v>54</v>
      </c>
      <c r="O1695" s="15" t="s">
        <v>252</v>
      </c>
      <c r="P1695" s="20" t="s">
        <v>980</v>
      </c>
      <c r="Q1695" s="15" t="s">
        <v>181</v>
      </c>
      <c r="R1695" s="4"/>
      <c r="S1695" s="4"/>
    </row>
    <row r="1696" spans="1:19" ht="21" customHeight="1" x14ac:dyDescent="0.25">
      <c r="A1696" s="14">
        <f>DATE(2012,12,31)-1285</f>
        <v>39989</v>
      </c>
      <c r="B1696" s="15" t="s">
        <v>1632</v>
      </c>
      <c r="C1696" s="15" t="s">
        <v>43</v>
      </c>
      <c r="D1696" s="16">
        <v>30</v>
      </c>
      <c r="E1696" s="17">
        <v>5015.0510000000004</v>
      </c>
      <c r="F1696" s="16">
        <v>0.05</v>
      </c>
      <c r="G1696" s="15" t="s">
        <v>32</v>
      </c>
      <c r="H1696" s="18">
        <v>1090.431</v>
      </c>
      <c r="I1696" s="19">
        <v>200.99</v>
      </c>
      <c r="J1696" s="19">
        <v>4.2</v>
      </c>
      <c r="K1696" s="19" t="s">
        <v>44</v>
      </c>
      <c r="L1696" s="19" t="s">
        <v>52</v>
      </c>
      <c r="M1696" s="15" t="s">
        <v>1300</v>
      </c>
      <c r="N1696" s="15" t="s">
        <v>64</v>
      </c>
      <c r="O1696" s="15" t="s">
        <v>65</v>
      </c>
      <c r="P1696" s="20" t="s">
        <v>740</v>
      </c>
      <c r="Q1696" s="15" t="s">
        <v>83</v>
      </c>
      <c r="R1696" s="4"/>
      <c r="S1696" s="4"/>
    </row>
    <row r="1697" spans="1:19" ht="21" customHeight="1" x14ac:dyDescent="0.25">
      <c r="A1697" s="14">
        <f>DATE(2012,12,31)-13</f>
        <v>41261</v>
      </c>
      <c r="B1697" s="15" t="s">
        <v>516</v>
      </c>
      <c r="C1697" s="15" t="s">
        <v>85</v>
      </c>
      <c r="D1697" s="16">
        <v>44</v>
      </c>
      <c r="E1697" s="17">
        <v>117.97</v>
      </c>
      <c r="F1697" s="16">
        <v>0.1</v>
      </c>
      <c r="G1697" s="15" t="s">
        <v>32</v>
      </c>
      <c r="H1697" s="18">
        <v>44.59</v>
      </c>
      <c r="I1697" s="19">
        <v>2.88</v>
      </c>
      <c r="J1697" s="19">
        <v>0.5</v>
      </c>
      <c r="K1697" s="19" t="s">
        <v>44</v>
      </c>
      <c r="L1697" s="19" t="s">
        <v>52</v>
      </c>
      <c r="M1697" s="15" t="s">
        <v>1300</v>
      </c>
      <c r="N1697" s="15" t="s">
        <v>36</v>
      </c>
      <c r="O1697" s="15" t="s">
        <v>114</v>
      </c>
      <c r="P1697" s="20" t="s">
        <v>922</v>
      </c>
      <c r="Q1697" s="15" t="s">
        <v>83</v>
      </c>
      <c r="R1697" s="4"/>
      <c r="S1697" s="4"/>
    </row>
    <row r="1698" spans="1:19" ht="21" customHeight="1" x14ac:dyDescent="0.25">
      <c r="A1698" s="14">
        <f>DATE(2012,12,31)-1127</f>
        <v>40147</v>
      </c>
      <c r="B1698" s="15" t="s">
        <v>373</v>
      </c>
      <c r="C1698" s="15" t="s">
        <v>31</v>
      </c>
      <c r="D1698" s="16">
        <v>3</v>
      </c>
      <c r="E1698" s="17">
        <v>561.65</v>
      </c>
      <c r="F1698" s="16">
        <v>0.04</v>
      </c>
      <c r="G1698" s="15" t="s">
        <v>58</v>
      </c>
      <c r="H1698" s="18">
        <v>-264.94</v>
      </c>
      <c r="I1698" s="19">
        <v>180.98</v>
      </c>
      <c r="J1698" s="19">
        <v>30</v>
      </c>
      <c r="K1698" s="19" t="s">
        <v>44</v>
      </c>
      <c r="L1698" s="19" t="s">
        <v>52</v>
      </c>
      <c r="M1698" s="15" t="s">
        <v>1300</v>
      </c>
      <c r="N1698" s="15" t="s">
        <v>54</v>
      </c>
      <c r="O1698" s="15" t="s">
        <v>252</v>
      </c>
      <c r="P1698" s="20" t="s">
        <v>1543</v>
      </c>
      <c r="Q1698" s="15" t="s">
        <v>181</v>
      </c>
      <c r="R1698" s="4"/>
      <c r="S1698" s="4"/>
    </row>
    <row r="1699" spans="1:19" ht="21" customHeight="1" x14ac:dyDescent="0.25">
      <c r="A1699" s="14">
        <f>DATE(2012,12,31)-1127</f>
        <v>40147</v>
      </c>
      <c r="B1699" s="15" t="s">
        <v>373</v>
      </c>
      <c r="C1699" s="15" t="s">
        <v>31</v>
      </c>
      <c r="D1699" s="16">
        <v>2</v>
      </c>
      <c r="E1699" s="17">
        <v>55.6</v>
      </c>
      <c r="F1699" s="16">
        <v>0.06</v>
      </c>
      <c r="G1699" s="15" t="s">
        <v>32</v>
      </c>
      <c r="H1699" s="18">
        <v>-52.54</v>
      </c>
      <c r="I1699" s="19">
        <v>3.25</v>
      </c>
      <c r="J1699" s="19">
        <v>49</v>
      </c>
      <c r="K1699" s="19" t="s">
        <v>69</v>
      </c>
      <c r="L1699" s="19" t="s">
        <v>75</v>
      </c>
      <c r="M1699" s="15" t="s">
        <v>1569</v>
      </c>
      <c r="N1699" s="15" t="s">
        <v>36</v>
      </c>
      <c r="O1699" s="15" t="s">
        <v>176</v>
      </c>
      <c r="P1699" s="20" t="s">
        <v>1424</v>
      </c>
      <c r="Q1699" s="15" t="s">
        <v>39</v>
      </c>
      <c r="R1699" s="4"/>
      <c r="S1699" s="4"/>
    </row>
    <row r="1700" spans="1:19" ht="21" customHeight="1" x14ac:dyDescent="0.25">
      <c r="A1700" s="14">
        <f>DATE(2012,12,31)-1127</f>
        <v>40147</v>
      </c>
      <c r="B1700" s="15" t="s">
        <v>373</v>
      </c>
      <c r="C1700" s="15" t="s">
        <v>31</v>
      </c>
      <c r="D1700" s="16">
        <v>22</v>
      </c>
      <c r="E1700" s="17">
        <v>2431.13</v>
      </c>
      <c r="F1700" s="16">
        <v>0.01</v>
      </c>
      <c r="G1700" s="15" t="s">
        <v>32</v>
      </c>
      <c r="H1700" s="18">
        <v>660.63</v>
      </c>
      <c r="I1700" s="19">
        <v>110.98</v>
      </c>
      <c r="J1700" s="19">
        <v>13.99</v>
      </c>
      <c r="K1700" s="19" t="s">
        <v>44</v>
      </c>
      <c r="L1700" s="19" t="s">
        <v>89</v>
      </c>
      <c r="M1700" s="15" t="s">
        <v>1341</v>
      </c>
      <c r="N1700" s="15" t="s">
        <v>54</v>
      </c>
      <c r="O1700" s="15" t="s">
        <v>55</v>
      </c>
      <c r="P1700" s="20" t="s">
        <v>395</v>
      </c>
      <c r="Q1700" s="15" t="s">
        <v>57</v>
      </c>
      <c r="R1700" s="4"/>
      <c r="S1700" s="4"/>
    </row>
    <row r="1701" spans="1:19" ht="21" customHeight="1" x14ac:dyDescent="0.25">
      <c r="A1701" s="14">
        <f>DATE(2012,12,31)-1127</f>
        <v>40147</v>
      </c>
      <c r="B1701" s="15" t="s">
        <v>373</v>
      </c>
      <c r="C1701" s="15" t="s">
        <v>31</v>
      </c>
      <c r="D1701" s="16">
        <v>27</v>
      </c>
      <c r="E1701" s="17">
        <v>113.4</v>
      </c>
      <c r="F1701" s="16">
        <v>0.05</v>
      </c>
      <c r="G1701" s="15" t="s">
        <v>101</v>
      </c>
      <c r="H1701" s="18">
        <v>-5.0199999999999996</v>
      </c>
      <c r="I1701" s="19">
        <v>3.95</v>
      </c>
      <c r="J1701" s="19">
        <v>2</v>
      </c>
      <c r="K1701" s="19" t="s">
        <v>124</v>
      </c>
      <c r="L1701" s="19" t="s">
        <v>493</v>
      </c>
      <c r="M1701" s="15" t="s">
        <v>1588</v>
      </c>
      <c r="N1701" s="15" t="s">
        <v>36</v>
      </c>
      <c r="O1701" s="15" t="s">
        <v>105</v>
      </c>
      <c r="P1701" s="20" t="s">
        <v>329</v>
      </c>
      <c r="Q1701" s="15" t="s">
        <v>79</v>
      </c>
      <c r="R1701" s="4"/>
      <c r="S1701" s="4"/>
    </row>
    <row r="1702" spans="1:19" ht="21" customHeight="1" x14ac:dyDescent="0.25">
      <c r="A1702" s="14">
        <f>DATE(2012,12,31)-1051</f>
        <v>40223</v>
      </c>
      <c r="B1702" s="15" t="s">
        <v>392</v>
      </c>
      <c r="C1702" s="15" t="s">
        <v>51</v>
      </c>
      <c r="D1702" s="16">
        <v>45</v>
      </c>
      <c r="E1702" s="17">
        <v>5007.6899999999996</v>
      </c>
      <c r="F1702" s="16">
        <v>7.0000000000000007E-2</v>
      </c>
      <c r="G1702" s="15" t="s">
        <v>58</v>
      </c>
      <c r="H1702" s="18">
        <v>-899.34</v>
      </c>
      <c r="I1702" s="19">
        <v>114.98</v>
      </c>
      <c r="J1702" s="19">
        <v>51.42</v>
      </c>
      <c r="K1702" s="19" t="s">
        <v>124</v>
      </c>
      <c r="L1702" s="19" t="s">
        <v>160</v>
      </c>
      <c r="M1702" s="15" t="s">
        <v>1621</v>
      </c>
      <c r="N1702" s="15" t="s">
        <v>54</v>
      </c>
      <c r="O1702" s="15" t="s">
        <v>134</v>
      </c>
      <c r="P1702" s="20" t="s">
        <v>1441</v>
      </c>
      <c r="Q1702" s="15" t="s">
        <v>63</v>
      </c>
      <c r="R1702" s="4"/>
      <c r="S1702" s="4"/>
    </row>
    <row r="1703" spans="1:19" ht="21" customHeight="1" x14ac:dyDescent="0.25">
      <c r="A1703" s="14">
        <f>DATE(2012,12,31)-1051</f>
        <v>40223</v>
      </c>
      <c r="B1703" s="15" t="s">
        <v>392</v>
      </c>
      <c r="C1703" s="15" t="s">
        <v>51</v>
      </c>
      <c r="D1703" s="16">
        <v>45</v>
      </c>
      <c r="E1703" s="17">
        <v>1379.62</v>
      </c>
      <c r="F1703" s="16">
        <v>0.1</v>
      </c>
      <c r="G1703" s="15" t="s">
        <v>32</v>
      </c>
      <c r="H1703" s="18">
        <v>-66.069999999999993</v>
      </c>
      <c r="I1703" s="19">
        <v>31.98</v>
      </c>
      <c r="J1703" s="19">
        <v>6.72</v>
      </c>
      <c r="K1703" s="19" t="s">
        <v>33</v>
      </c>
      <c r="L1703" s="19" t="s">
        <v>59</v>
      </c>
      <c r="M1703" s="15" t="s">
        <v>1361</v>
      </c>
      <c r="N1703" s="15" t="s">
        <v>36</v>
      </c>
      <c r="O1703" s="15" t="s">
        <v>37</v>
      </c>
      <c r="P1703" s="20" t="s">
        <v>419</v>
      </c>
      <c r="Q1703" s="15" t="s">
        <v>83</v>
      </c>
      <c r="R1703" s="4"/>
      <c r="S1703" s="4"/>
    </row>
    <row r="1704" spans="1:19" ht="21" customHeight="1" x14ac:dyDescent="0.25">
      <c r="A1704" s="14">
        <f>DATE(2012,12,31)-800</f>
        <v>40474</v>
      </c>
      <c r="B1704" s="15" t="s">
        <v>439</v>
      </c>
      <c r="C1704" s="15" t="s">
        <v>31</v>
      </c>
      <c r="D1704" s="16">
        <v>12</v>
      </c>
      <c r="E1704" s="17">
        <v>2237.7600000000002</v>
      </c>
      <c r="F1704" s="16">
        <v>0.1</v>
      </c>
      <c r="G1704" s="15" t="s">
        <v>58</v>
      </c>
      <c r="H1704" s="18">
        <v>151.86000000000001</v>
      </c>
      <c r="I1704" s="19">
        <v>200.98</v>
      </c>
      <c r="J1704" s="19">
        <v>23.76</v>
      </c>
      <c r="K1704" s="19" t="s">
        <v>33</v>
      </c>
      <c r="L1704" s="19" t="s">
        <v>59</v>
      </c>
      <c r="M1704" s="15" t="s">
        <v>1361</v>
      </c>
      <c r="N1704" s="15" t="s">
        <v>54</v>
      </c>
      <c r="O1704" s="15" t="s">
        <v>252</v>
      </c>
      <c r="P1704" s="20" t="s">
        <v>1277</v>
      </c>
      <c r="Q1704" s="15" t="s">
        <v>181</v>
      </c>
      <c r="R1704" s="4"/>
      <c r="S1704" s="4"/>
    </row>
    <row r="1705" spans="1:19" ht="21" customHeight="1" x14ac:dyDescent="0.25">
      <c r="A1705" s="14">
        <f>DATE(2012,12,31)-800</f>
        <v>40474</v>
      </c>
      <c r="B1705" s="15" t="s">
        <v>439</v>
      </c>
      <c r="C1705" s="15" t="s">
        <v>31</v>
      </c>
      <c r="D1705" s="16">
        <v>4</v>
      </c>
      <c r="E1705" s="17">
        <v>20.59</v>
      </c>
      <c r="F1705" s="16">
        <v>0.02</v>
      </c>
      <c r="G1705" s="15" t="s">
        <v>101</v>
      </c>
      <c r="H1705" s="18">
        <v>1.19</v>
      </c>
      <c r="I1705" s="19">
        <v>3.98</v>
      </c>
      <c r="J1705" s="19">
        <v>0.83</v>
      </c>
      <c r="K1705" s="19" t="s">
        <v>33</v>
      </c>
      <c r="L1705" s="19" t="s">
        <v>59</v>
      </c>
      <c r="M1705" s="15" t="s">
        <v>1361</v>
      </c>
      <c r="N1705" s="15" t="s">
        <v>36</v>
      </c>
      <c r="O1705" s="15" t="s">
        <v>77</v>
      </c>
      <c r="P1705" s="20" t="s">
        <v>1473</v>
      </c>
      <c r="Q1705" s="15" t="s">
        <v>79</v>
      </c>
      <c r="R1705" s="4"/>
      <c r="S1705" s="4"/>
    </row>
    <row r="1706" spans="1:19" ht="21" customHeight="1" x14ac:dyDescent="0.25">
      <c r="A1706" s="14">
        <f>DATE(2012,12,31)-800</f>
        <v>40474</v>
      </c>
      <c r="B1706" s="15" t="s">
        <v>439</v>
      </c>
      <c r="C1706" s="15" t="s">
        <v>31</v>
      </c>
      <c r="D1706" s="16">
        <v>19</v>
      </c>
      <c r="E1706" s="17">
        <v>281.74</v>
      </c>
      <c r="F1706" s="16">
        <v>0.06</v>
      </c>
      <c r="G1706" s="15" t="s">
        <v>32</v>
      </c>
      <c r="H1706" s="18">
        <v>25.67</v>
      </c>
      <c r="I1706" s="19">
        <v>14.56</v>
      </c>
      <c r="J1706" s="19">
        <v>3.5</v>
      </c>
      <c r="K1706" s="19" t="s">
        <v>33</v>
      </c>
      <c r="L1706" s="19" t="s">
        <v>145</v>
      </c>
      <c r="M1706" s="15" t="s">
        <v>1555</v>
      </c>
      <c r="N1706" s="15" t="s">
        <v>36</v>
      </c>
      <c r="O1706" s="15" t="s">
        <v>176</v>
      </c>
      <c r="P1706" s="20" t="s">
        <v>972</v>
      </c>
      <c r="Q1706" s="15" t="s">
        <v>83</v>
      </c>
      <c r="R1706" s="4"/>
      <c r="S1706" s="4"/>
    </row>
    <row r="1707" spans="1:19" ht="21" customHeight="1" x14ac:dyDescent="0.25">
      <c r="A1707" s="14">
        <f>DATE(2012,12,31)-800</f>
        <v>40474</v>
      </c>
      <c r="B1707" s="15" t="s">
        <v>439</v>
      </c>
      <c r="C1707" s="15" t="s">
        <v>31</v>
      </c>
      <c r="D1707" s="16">
        <v>23</v>
      </c>
      <c r="E1707" s="17">
        <v>217.35</v>
      </c>
      <c r="F1707" s="16">
        <v>0</v>
      </c>
      <c r="G1707" s="15" t="s">
        <v>32</v>
      </c>
      <c r="H1707" s="18">
        <v>-67.19</v>
      </c>
      <c r="I1707" s="19">
        <v>8.74</v>
      </c>
      <c r="J1707" s="19">
        <v>8.2899999999999991</v>
      </c>
      <c r="K1707" s="19" t="s">
        <v>33</v>
      </c>
      <c r="L1707" s="19" t="s">
        <v>59</v>
      </c>
      <c r="M1707" s="15" t="s">
        <v>1361</v>
      </c>
      <c r="N1707" s="15" t="s">
        <v>36</v>
      </c>
      <c r="O1707" s="15" t="s">
        <v>189</v>
      </c>
      <c r="P1707" s="20" t="s">
        <v>581</v>
      </c>
      <c r="Q1707" s="15" t="s">
        <v>83</v>
      </c>
      <c r="R1707" s="4"/>
      <c r="S1707" s="4"/>
    </row>
    <row r="1708" spans="1:19" ht="21" customHeight="1" x14ac:dyDescent="0.25">
      <c r="A1708" s="14">
        <f>DATE(2012,12,31)-800</f>
        <v>40474</v>
      </c>
      <c r="B1708" s="15" t="s">
        <v>439</v>
      </c>
      <c r="C1708" s="15" t="s">
        <v>31</v>
      </c>
      <c r="D1708" s="16">
        <v>15</v>
      </c>
      <c r="E1708" s="17">
        <v>2746.57</v>
      </c>
      <c r="F1708" s="16">
        <v>0.03</v>
      </c>
      <c r="G1708" s="15" t="s">
        <v>32</v>
      </c>
      <c r="H1708" s="18">
        <v>617.4</v>
      </c>
      <c r="I1708" s="19">
        <v>178.47</v>
      </c>
      <c r="J1708" s="19">
        <v>19.989999999999998</v>
      </c>
      <c r="K1708" s="19" t="s">
        <v>33</v>
      </c>
      <c r="L1708" s="19" t="s">
        <v>34</v>
      </c>
      <c r="M1708" s="15" t="s">
        <v>1359</v>
      </c>
      <c r="N1708" s="15" t="s">
        <v>36</v>
      </c>
      <c r="O1708" s="15" t="s">
        <v>37</v>
      </c>
      <c r="P1708" s="20" t="s">
        <v>232</v>
      </c>
      <c r="Q1708" s="15" t="s">
        <v>83</v>
      </c>
      <c r="R1708" s="4"/>
      <c r="S1708" s="4"/>
    </row>
    <row r="1709" spans="1:19" ht="21" customHeight="1" x14ac:dyDescent="0.25">
      <c r="A1709" s="14">
        <f>DATE(2012,12,31)-387</f>
        <v>40887</v>
      </c>
      <c r="B1709" s="15" t="s">
        <v>1402</v>
      </c>
      <c r="C1709" s="15" t="s">
        <v>31</v>
      </c>
      <c r="D1709" s="16">
        <v>45</v>
      </c>
      <c r="E1709" s="17">
        <v>1212.9280000000001</v>
      </c>
      <c r="F1709" s="16">
        <v>0.02</v>
      </c>
      <c r="G1709" s="15" t="s">
        <v>58</v>
      </c>
      <c r="H1709" s="18">
        <v>-1460.77</v>
      </c>
      <c r="I1709" s="19">
        <v>31.76</v>
      </c>
      <c r="J1709" s="19">
        <v>45.51</v>
      </c>
      <c r="K1709" s="19" t="s">
        <v>69</v>
      </c>
      <c r="L1709" s="19" t="s">
        <v>70</v>
      </c>
      <c r="M1709" s="15" t="s">
        <v>1492</v>
      </c>
      <c r="N1709" s="15" t="s">
        <v>54</v>
      </c>
      <c r="O1709" s="15" t="s">
        <v>61</v>
      </c>
      <c r="P1709" s="20" t="s">
        <v>542</v>
      </c>
      <c r="Q1709" s="15" t="s">
        <v>63</v>
      </c>
      <c r="R1709" s="4"/>
      <c r="S1709" s="4"/>
    </row>
    <row r="1710" spans="1:19" ht="21" customHeight="1" x14ac:dyDescent="0.25">
      <c r="A1710" s="14">
        <f>DATE(2012,12,31)-544</f>
        <v>40730</v>
      </c>
      <c r="B1710" s="15" t="s">
        <v>1633</v>
      </c>
      <c r="C1710" s="15" t="s">
        <v>51</v>
      </c>
      <c r="D1710" s="16">
        <v>12</v>
      </c>
      <c r="E1710" s="17">
        <v>515.65</v>
      </c>
      <c r="F1710" s="16">
        <v>0</v>
      </c>
      <c r="G1710" s="15" t="s">
        <v>32</v>
      </c>
      <c r="H1710" s="18">
        <v>123.5</v>
      </c>
      <c r="I1710" s="19">
        <v>39.479999999999997</v>
      </c>
      <c r="J1710" s="19">
        <v>3.99</v>
      </c>
      <c r="K1710" s="19" t="s">
        <v>69</v>
      </c>
      <c r="L1710" s="19" t="s">
        <v>75</v>
      </c>
      <c r="M1710" s="15" t="s">
        <v>1569</v>
      </c>
      <c r="N1710" s="15" t="s">
        <v>36</v>
      </c>
      <c r="O1710" s="15" t="s">
        <v>176</v>
      </c>
      <c r="P1710" s="20" t="s">
        <v>1634</v>
      </c>
      <c r="Q1710" s="15" t="s">
        <v>83</v>
      </c>
      <c r="R1710" s="4"/>
      <c r="S1710" s="4"/>
    </row>
    <row r="1711" spans="1:19" ht="21" customHeight="1" x14ac:dyDescent="0.25">
      <c r="A1711" s="14">
        <f>DATE(2012,12,31)-373</f>
        <v>40901</v>
      </c>
      <c r="B1711" s="15" t="s">
        <v>1593</v>
      </c>
      <c r="C1711" s="15" t="s">
        <v>31</v>
      </c>
      <c r="D1711" s="16">
        <v>25</v>
      </c>
      <c r="E1711" s="17">
        <v>3019.41</v>
      </c>
      <c r="F1711" s="16">
        <v>0.04</v>
      </c>
      <c r="G1711" s="15" t="s">
        <v>32</v>
      </c>
      <c r="H1711" s="18">
        <v>1269.05</v>
      </c>
      <c r="I1711" s="19">
        <v>120.97</v>
      </c>
      <c r="J1711" s="19">
        <v>7.11</v>
      </c>
      <c r="K1711" s="19" t="s">
        <v>69</v>
      </c>
      <c r="L1711" s="19" t="s">
        <v>75</v>
      </c>
      <c r="M1711" s="15" t="s">
        <v>1569</v>
      </c>
      <c r="N1711" s="15" t="s">
        <v>64</v>
      </c>
      <c r="O1711" s="15" t="s">
        <v>122</v>
      </c>
      <c r="P1711" s="20" t="s">
        <v>955</v>
      </c>
      <c r="Q1711" s="15" t="s">
        <v>57</v>
      </c>
      <c r="R1711" s="4"/>
      <c r="S1711" s="4"/>
    </row>
    <row r="1712" spans="1:19" ht="21" customHeight="1" x14ac:dyDescent="0.25">
      <c r="A1712" s="14">
        <f>DATE(2012,12,31)-212</f>
        <v>41062</v>
      </c>
      <c r="B1712" s="15" t="s">
        <v>576</v>
      </c>
      <c r="C1712" s="15" t="s">
        <v>43</v>
      </c>
      <c r="D1712" s="16">
        <v>32</v>
      </c>
      <c r="E1712" s="17">
        <v>824.24</v>
      </c>
      <c r="F1712" s="16">
        <v>0.1</v>
      </c>
      <c r="G1712" s="15" t="s">
        <v>32</v>
      </c>
      <c r="H1712" s="18">
        <v>-127.23</v>
      </c>
      <c r="I1712" s="19">
        <v>26.31</v>
      </c>
      <c r="J1712" s="19">
        <v>5.89</v>
      </c>
      <c r="K1712" s="19" t="s">
        <v>69</v>
      </c>
      <c r="L1712" s="19" t="s">
        <v>75</v>
      </c>
      <c r="M1712" s="15" t="s">
        <v>1569</v>
      </c>
      <c r="N1712" s="15" t="s">
        <v>64</v>
      </c>
      <c r="O1712" s="15" t="s">
        <v>72</v>
      </c>
      <c r="P1712" s="20" t="s">
        <v>1286</v>
      </c>
      <c r="Q1712" s="15" t="s">
        <v>83</v>
      </c>
      <c r="R1712" s="4"/>
      <c r="S1712" s="4"/>
    </row>
    <row r="1713" spans="1:19" ht="21" customHeight="1" x14ac:dyDescent="0.25">
      <c r="A1713" s="14">
        <f>DATE(2012,12,31)-562</f>
        <v>40712</v>
      </c>
      <c r="B1713" s="15" t="s">
        <v>288</v>
      </c>
      <c r="C1713" s="15" t="s">
        <v>51</v>
      </c>
      <c r="D1713" s="16">
        <v>31</v>
      </c>
      <c r="E1713" s="17">
        <v>283.17</v>
      </c>
      <c r="F1713" s="16">
        <v>0</v>
      </c>
      <c r="G1713" s="15" t="s">
        <v>32</v>
      </c>
      <c r="H1713" s="18">
        <v>119.64</v>
      </c>
      <c r="I1713" s="19">
        <v>8.74</v>
      </c>
      <c r="J1713" s="19">
        <v>1.39</v>
      </c>
      <c r="K1713" s="19" t="s">
        <v>69</v>
      </c>
      <c r="L1713" s="19" t="s">
        <v>70</v>
      </c>
      <c r="M1713" s="15" t="s">
        <v>1492</v>
      </c>
      <c r="N1713" s="15" t="s">
        <v>36</v>
      </c>
      <c r="O1713" s="15" t="s">
        <v>189</v>
      </c>
      <c r="P1713" s="20" t="s">
        <v>581</v>
      </c>
      <c r="Q1713" s="15" t="s">
        <v>83</v>
      </c>
      <c r="R1713" s="4"/>
      <c r="S1713" s="4"/>
    </row>
    <row r="1714" spans="1:19" ht="21" customHeight="1" x14ac:dyDescent="0.25">
      <c r="A1714" s="14">
        <f>DATE(2012,12,31)-377</f>
        <v>40897</v>
      </c>
      <c r="B1714" s="15" t="s">
        <v>223</v>
      </c>
      <c r="C1714" s="15" t="s">
        <v>85</v>
      </c>
      <c r="D1714" s="16">
        <v>35</v>
      </c>
      <c r="E1714" s="17">
        <v>539.21</v>
      </c>
      <c r="F1714" s="16">
        <v>0.05</v>
      </c>
      <c r="G1714" s="15" t="s">
        <v>58</v>
      </c>
      <c r="H1714" s="18">
        <v>11.650950000000002</v>
      </c>
      <c r="I1714" s="19">
        <v>15.23</v>
      </c>
      <c r="J1714" s="19">
        <v>27.75</v>
      </c>
      <c r="K1714" s="19" t="s">
        <v>69</v>
      </c>
      <c r="L1714" s="19" t="s">
        <v>215</v>
      </c>
      <c r="M1714" s="15" t="s">
        <v>1388</v>
      </c>
      <c r="N1714" s="15" t="s">
        <v>54</v>
      </c>
      <c r="O1714" s="15" t="s">
        <v>61</v>
      </c>
      <c r="P1714" s="20" t="s">
        <v>1635</v>
      </c>
      <c r="Q1714" s="15" t="s">
        <v>63</v>
      </c>
      <c r="R1714" s="4"/>
      <c r="S1714" s="4"/>
    </row>
    <row r="1715" spans="1:19" ht="21" customHeight="1" x14ac:dyDescent="0.25">
      <c r="A1715" s="14">
        <f>DATE(2012,12,31)-600</f>
        <v>40674</v>
      </c>
      <c r="B1715" s="15" t="s">
        <v>1571</v>
      </c>
      <c r="C1715" s="15" t="s">
        <v>85</v>
      </c>
      <c r="D1715" s="16">
        <v>36</v>
      </c>
      <c r="E1715" s="17">
        <v>3436.9</v>
      </c>
      <c r="F1715" s="16">
        <v>0.03</v>
      </c>
      <c r="G1715" s="15" t="s">
        <v>101</v>
      </c>
      <c r="H1715" s="18">
        <v>-398.11</v>
      </c>
      <c r="I1715" s="19">
        <v>92.23</v>
      </c>
      <c r="J1715" s="19">
        <v>39.61</v>
      </c>
      <c r="K1715" s="19" t="s">
        <v>69</v>
      </c>
      <c r="L1715" s="19" t="s">
        <v>215</v>
      </c>
      <c r="M1715" s="15" t="s">
        <v>1388</v>
      </c>
      <c r="N1715" s="15" t="s">
        <v>54</v>
      </c>
      <c r="O1715" s="15" t="s">
        <v>55</v>
      </c>
      <c r="P1715" s="20" t="s">
        <v>1111</v>
      </c>
      <c r="Q1715" s="15" t="s">
        <v>57</v>
      </c>
      <c r="R1715" s="4"/>
      <c r="S1715" s="4"/>
    </row>
    <row r="1716" spans="1:19" ht="21" customHeight="1" x14ac:dyDescent="0.25">
      <c r="A1716" s="14">
        <f>DATE(2012,12,31)-639</f>
        <v>40635</v>
      </c>
      <c r="B1716" s="15" t="s">
        <v>808</v>
      </c>
      <c r="C1716" s="15" t="s">
        <v>43</v>
      </c>
      <c r="D1716" s="16">
        <v>32</v>
      </c>
      <c r="E1716" s="17">
        <v>513.74</v>
      </c>
      <c r="F1716" s="16">
        <v>0.02</v>
      </c>
      <c r="G1716" s="15" t="s">
        <v>32</v>
      </c>
      <c r="H1716" s="18">
        <v>-28.681000000000001</v>
      </c>
      <c r="I1716" s="19">
        <v>15.15</v>
      </c>
      <c r="J1716" s="19">
        <v>10.130000000000001</v>
      </c>
      <c r="K1716" s="19" t="s">
        <v>44</v>
      </c>
      <c r="L1716" s="19" t="s">
        <v>45</v>
      </c>
      <c r="M1716" s="15" t="s">
        <v>1572</v>
      </c>
      <c r="N1716" s="15" t="s">
        <v>36</v>
      </c>
      <c r="O1716" s="15" t="s">
        <v>170</v>
      </c>
      <c r="P1716" s="20" t="s">
        <v>1636</v>
      </c>
      <c r="Q1716" s="15" t="s">
        <v>83</v>
      </c>
      <c r="R1716" s="4"/>
      <c r="S1716" s="4"/>
    </row>
    <row r="1717" spans="1:19" ht="21" customHeight="1" x14ac:dyDescent="0.25">
      <c r="A1717" s="14">
        <f>DATE(2012,12,31)-639</f>
        <v>40635</v>
      </c>
      <c r="B1717" s="15" t="s">
        <v>808</v>
      </c>
      <c r="C1717" s="15" t="s">
        <v>43</v>
      </c>
      <c r="D1717" s="16">
        <v>4</v>
      </c>
      <c r="E1717" s="17">
        <v>36.799999999999997</v>
      </c>
      <c r="F1717" s="16">
        <v>0</v>
      </c>
      <c r="G1717" s="15" t="s">
        <v>32</v>
      </c>
      <c r="H1717" s="18">
        <v>14.19</v>
      </c>
      <c r="I1717" s="19">
        <v>7.38</v>
      </c>
      <c r="J1717" s="19">
        <v>5.21</v>
      </c>
      <c r="K1717" s="19" t="s">
        <v>44</v>
      </c>
      <c r="L1717" s="19" t="s">
        <v>89</v>
      </c>
      <c r="M1717" s="15" t="s">
        <v>1341</v>
      </c>
      <c r="N1717" s="15" t="s">
        <v>54</v>
      </c>
      <c r="O1717" s="15" t="s">
        <v>55</v>
      </c>
      <c r="P1717" s="20" t="s">
        <v>154</v>
      </c>
      <c r="Q1717" s="15" t="s">
        <v>83</v>
      </c>
      <c r="R1717" s="4"/>
      <c r="S1717" s="4"/>
    </row>
    <row r="1718" spans="1:19" ht="21" customHeight="1" x14ac:dyDescent="0.25">
      <c r="A1718" s="14">
        <f>DATE(2012,12,31)-698</f>
        <v>40576</v>
      </c>
      <c r="B1718" s="15" t="s">
        <v>1637</v>
      </c>
      <c r="C1718" s="15" t="s">
        <v>85</v>
      </c>
      <c r="D1718" s="16">
        <v>4</v>
      </c>
      <c r="E1718" s="17">
        <v>123.82</v>
      </c>
      <c r="F1718" s="16">
        <v>0.05</v>
      </c>
      <c r="G1718" s="15" t="s">
        <v>32</v>
      </c>
      <c r="H1718" s="18">
        <v>-0.37000000000000099</v>
      </c>
      <c r="I1718" s="19">
        <v>29.34</v>
      </c>
      <c r="J1718" s="19">
        <v>57.87</v>
      </c>
      <c r="K1718" s="19" t="s">
        <v>44</v>
      </c>
      <c r="L1718" s="19" t="s">
        <v>120</v>
      </c>
      <c r="M1718" s="15" t="s">
        <v>121</v>
      </c>
      <c r="N1718" s="15" t="s">
        <v>54</v>
      </c>
      <c r="O1718" s="15" t="s">
        <v>55</v>
      </c>
      <c r="P1718" s="20" t="s">
        <v>1638</v>
      </c>
      <c r="Q1718" s="15" t="s">
        <v>83</v>
      </c>
      <c r="R1718" s="4"/>
      <c r="S1718" s="4"/>
    </row>
    <row r="1719" spans="1:19" ht="21" customHeight="1" x14ac:dyDescent="0.25">
      <c r="A1719" s="14">
        <f>DATE(2012,12,31)-283</f>
        <v>40991</v>
      </c>
      <c r="B1719" s="15" t="s">
        <v>1639</v>
      </c>
      <c r="C1719" s="15" t="s">
        <v>85</v>
      </c>
      <c r="D1719" s="16">
        <v>5</v>
      </c>
      <c r="E1719" s="17">
        <v>36.86</v>
      </c>
      <c r="F1719" s="16">
        <v>7.0000000000000007E-2</v>
      </c>
      <c r="G1719" s="15" t="s">
        <v>32</v>
      </c>
      <c r="H1719" s="18">
        <v>-32.820999999999998</v>
      </c>
      <c r="I1719" s="19">
        <v>5.81</v>
      </c>
      <c r="J1719" s="19">
        <v>8.49</v>
      </c>
      <c r="K1719" s="19" t="s">
        <v>44</v>
      </c>
      <c r="L1719" s="19" t="s">
        <v>80</v>
      </c>
      <c r="M1719" s="15" t="s">
        <v>1200</v>
      </c>
      <c r="N1719" s="15" t="s">
        <v>36</v>
      </c>
      <c r="O1719" s="15" t="s">
        <v>170</v>
      </c>
      <c r="P1719" s="20" t="s">
        <v>1190</v>
      </c>
      <c r="Q1719" s="15" t="s">
        <v>83</v>
      </c>
      <c r="R1719" s="4"/>
      <c r="S1719" s="4"/>
    </row>
    <row r="1720" spans="1:19" ht="21" customHeight="1" x14ac:dyDescent="0.25">
      <c r="A1720" s="14">
        <f>DATE(2012,12,31)-583</f>
        <v>40691</v>
      </c>
      <c r="B1720" s="15" t="s">
        <v>831</v>
      </c>
      <c r="C1720" s="15" t="s">
        <v>43</v>
      </c>
      <c r="D1720" s="16">
        <v>36</v>
      </c>
      <c r="E1720" s="17">
        <v>209.53</v>
      </c>
      <c r="F1720" s="16">
        <v>0.03</v>
      </c>
      <c r="G1720" s="15" t="s">
        <v>32</v>
      </c>
      <c r="H1720" s="18">
        <v>-81.06</v>
      </c>
      <c r="I1720" s="19">
        <v>5.78</v>
      </c>
      <c r="J1720" s="19">
        <v>5.67</v>
      </c>
      <c r="K1720" s="19" t="s">
        <v>44</v>
      </c>
      <c r="L1720" s="19" t="s">
        <v>89</v>
      </c>
      <c r="M1720" s="15" t="s">
        <v>1341</v>
      </c>
      <c r="N1720" s="15" t="s">
        <v>36</v>
      </c>
      <c r="O1720" s="15" t="s">
        <v>117</v>
      </c>
      <c r="P1720" s="20" t="s">
        <v>557</v>
      </c>
      <c r="Q1720" s="15" t="s">
        <v>83</v>
      </c>
      <c r="R1720" s="4"/>
      <c r="S1720" s="4"/>
    </row>
    <row r="1721" spans="1:19" ht="21" customHeight="1" x14ac:dyDescent="0.25">
      <c r="A1721" s="14">
        <f>DATE(2012,12,31)-583</f>
        <v>40691</v>
      </c>
      <c r="B1721" s="15" t="s">
        <v>831</v>
      </c>
      <c r="C1721" s="15" t="s">
        <v>43</v>
      </c>
      <c r="D1721" s="16">
        <v>14</v>
      </c>
      <c r="E1721" s="17">
        <v>225.47</v>
      </c>
      <c r="F1721" s="16">
        <v>0</v>
      </c>
      <c r="G1721" s="15" t="s">
        <v>32</v>
      </c>
      <c r="H1721" s="18">
        <v>-29.07</v>
      </c>
      <c r="I1721" s="19">
        <v>14.97</v>
      </c>
      <c r="J1721" s="19">
        <v>7.51</v>
      </c>
      <c r="K1721" s="19" t="s">
        <v>44</v>
      </c>
      <c r="L1721" s="19" t="s">
        <v>45</v>
      </c>
      <c r="M1721" s="15" t="s">
        <v>1572</v>
      </c>
      <c r="N1721" s="15" t="s">
        <v>36</v>
      </c>
      <c r="O1721" s="15" t="s">
        <v>37</v>
      </c>
      <c r="P1721" s="20" t="s">
        <v>1640</v>
      </c>
      <c r="Q1721" s="15" t="s">
        <v>83</v>
      </c>
      <c r="R1721" s="4"/>
      <c r="S1721" s="4"/>
    </row>
    <row r="1722" spans="1:19" ht="21" customHeight="1" x14ac:dyDescent="0.25">
      <c r="A1722" s="14">
        <f>DATE(2012,12,31)-583</f>
        <v>40691</v>
      </c>
      <c r="B1722" s="15" t="s">
        <v>831</v>
      </c>
      <c r="C1722" s="15" t="s">
        <v>43</v>
      </c>
      <c r="D1722" s="16">
        <v>45</v>
      </c>
      <c r="E1722" s="17">
        <v>168.66</v>
      </c>
      <c r="F1722" s="16">
        <v>0.08</v>
      </c>
      <c r="G1722" s="15" t="s">
        <v>32</v>
      </c>
      <c r="H1722" s="18">
        <v>-167.06</v>
      </c>
      <c r="I1722" s="19">
        <v>3.95</v>
      </c>
      <c r="J1722" s="19">
        <v>5.13</v>
      </c>
      <c r="K1722" s="19" t="s">
        <v>44</v>
      </c>
      <c r="L1722" s="19" t="s">
        <v>89</v>
      </c>
      <c r="M1722" s="15" t="s">
        <v>1341</v>
      </c>
      <c r="N1722" s="15" t="s">
        <v>36</v>
      </c>
      <c r="O1722" s="15" t="s">
        <v>176</v>
      </c>
      <c r="P1722" s="20" t="s">
        <v>565</v>
      </c>
      <c r="Q1722" s="15" t="s">
        <v>83</v>
      </c>
      <c r="R1722" s="4"/>
      <c r="S1722" s="4"/>
    </row>
    <row r="1723" spans="1:19" ht="21" customHeight="1" x14ac:dyDescent="0.25">
      <c r="A1723" s="14">
        <f>DATE(2012,12,31)-74</f>
        <v>41200</v>
      </c>
      <c r="B1723" s="15" t="s">
        <v>725</v>
      </c>
      <c r="C1723" s="15" t="s">
        <v>85</v>
      </c>
      <c r="D1723" s="16">
        <v>39</v>
      </c>
      <c r="E1723" s="17">
        <v>243.05</v>
      </c>
      <c r="F1723" s="16">
        <v>0.02</v>
      </c>
      <c r="G1723" s="15" t="s">
        <v>32</v>
      </c>
      <c r="H1723" s="18">
        <v>-70.849999999999994</v>
      </c>
      <c r="I1723" s="19">
        <v>5.98</v>
      </c>
      <c r="J1723" s="19">
        <v>5.35</v>
      </c>
      <c r="K1723" s="19" t="s">
        <v>44</v>
      </c>
      <c r="L1723" s="19" t="s">
        <v>89</v>
      </c>
      <c r="M1723" s="15" t="s">
        <v>1341</v>
      </c>
      <c r="N1723" s="15" t="s">
        <v>36</v>
      </c>
      <c r="O1723" s="15" t="s">
        <v>117</v>
      </c>
      <c r="P1723" s="20" t="s">
        <v>933</v>
      </c>
      <c r="Q1723" s="15" t="s">
        <v>83</v>
      </c>
      <c r="R1723" s="4"/>
      <c r="S1723" s="4"/>
    </row>
    <row r="1724" spans="1:19" ht="21" customHeight="1" x14ac:dyDescent="0.25">
      <c r="A1724" s="14">
        <f>DATE(2012,12,31)-1245</f>
        <v>40029</v>
      </c>
      <c r="B1724" s="15" t="s">
        <v>791</v>
      </c>
      <c r="C1724" s="15" t="s">
        <v>85</v>
      </c>
      <c r="D1724" s="16">
        <v>34</v>
      </c>
      <c r="E1724" s="17">
        <v>2560.59</v>
      </c>
      <c r="F1724" s="16">
        <v>7.0000000000000007E-2</v>
      </c>
      <c r="G1724" s="15" t="s">
        <v>32</v>
      </c>
      <c r="H1724" s="18">
        <v>670.96</v>
      </c>
      <c r="I1724" s="19">
        <v>80.98</v>
      </c>
      <c r="J1724" s="19">
        <v>7.18</v>
      </c>
      <c r="K1724" s="19" t="s">
        <v>44</v>
      </c>
      <c r="L1724" s="19" t="s">
        <v>45</v>
      </c>
      <c r="M1724" s="15" t="s">
        <v>1572</v>
      </c>
      <c r="N1724" s="15" t="s">
        <v>64</v>
      </c>
      <c r="O1724" s="15" t="s">
        <v>72</v>
      </c>
      <c r="P1724" s="20" t="s">
        <v>1641</v>
      </c>
      <c r="Q1724" s="15" t="s">
        <v>83</v>
      </c>
      <c r="R1724" s="4"/>
      <c r="S1724" s="4"/>
    </row>
    <row r="1725" spans="1:19" ht="21" customHeight="1" x14ac:dyDescent="0.25">
      <c r="A1725" s="14">
        <f>DATE(2012,12,31)-1245</f>
        <v>40029</v>
      </c>
      <c r="B1725" s="15" t="s">
        <v>791</v>
      </c>
      <c r="C1725" s="15" t="s">
        <v>85</v>
      </c>
      <c r="D1725" s="16">
        <v>16</v>
      </c>
      <c r="E1725" s="17">
        <v>189.04</v>
      </c>
      <c r="F1725" s="16">
        <v>0.08</v>
      </c>
      <c r="G1725" s="15" t="s">
        <v>32</v>
      </c>
      <c r="H1725" s="18">
        <v>-74.77</v>
      </c>
      <c r="I1725" s="19">
        <v>11.35</v>
      </c>
      <c r="J1725" s="19">
        <v>8.6</v>
      </c>
      <c r="K1725" s="19" t="s">
        <v>33</v>
      </c>
      <c r="L1725" s="19" t="s">
        <v>128</v>
      </c>
      <c r="M1725" s="15" t="s">
        <v>129</v>
      </c>
      <c r="N1725" s="15" t="s">
        <v>36</v>
      </c>
      <c r="O1725" s="15" t="s">
        <v>37</v>
      </c>
      <c r="P1725" s="20" t="s">
        <v>1642</v>
      </c>
      <c r="Q1725" s="15" t="s">
        <v>83</v>
      </c>
      <c r="R1725" s="4"/>
      <c r="S1725" s="4"/>
    </row>
    <row r="1726" spans="1:19" ht="21" customHeight="1" x14ac:dyDescent="0.25">
      <c r="A1726" s="14">
        <f>DATE(2012,12,31)-799</f>
        <v>40475</v>
      </c>
      <c r="B1726" s="15" t="s">
        <v>1643</v>
      </c>
      <c r="C1726" s="15" t="s">
        <v>85</v>
      </c>
      <c r="D1726" s="16">
        <v>19</v>
      </c>
      <c r="E1726" s="17">
        <v>137.84</v>
      </c>
      <c r="F1726" s="16">
        <v>0.06</v>
      </c>
      <c r="G1726" s="15" t="s">
        <v>32</v>
      </c>
      <c r="H1726" s="18">
        <v>34.31</v>
      </c>
      <c r="I1726" s="19">
        <v>7.4</v>
      </c>
      <c r="J1726" s="19">
        <v>1.71</v>
      </c>
      <c r="K1726" s="19" t="s">
        <v>33</v>
      </c>
      <c r="L1726" s="19" t="s">
        <v>59</v>
      </c>
      <c r="M1726" s="15" t="s">
        <v>1361</v>
      </c>
      <c r="N1726" s="15" t="s">
        <v>36</v>
      </c>
      <c r="O1726" s="15" t="s">
        <v>117</v>
      </c>
      <c r="P1726" s="20" t="s">
        <v>1560</v>
      </c>
      <c r="Q1726" s="15" t="s">
        <v>79</v>
      </c>
      <c r="R1726" s="4"/>
      <c r="S1726" s="4"/>
    </row>
    <row r="1727" spans="1:19" ht="21" customHeight="1" x14ac:dyDescent="0.25">
      <c r="A1727" s="14">
        <f>DATE(2012,12,31)-317</f>
        <v>40957</v>
      </c>
      <c r="B1727" s="15" t="s">
        <v>394</v>
      </c>
      <c r="C1727" s="15" t="s">
        <v>43</v>
      </c>
      <c r="D1727" s="16">
        <v>38</v>
      </c>
      <c r="E1727" s="17">
        <v>299.01</v>
      </c>
      <c r="F1727" s="16">
        <v>0.09</v>
      </c>
      <c r="G1727" s="15" t="s">
        <v>32</v>
      </c>
      <c r="H1727" s="18">
        <v>-142.86000000000001</v>
      </c>
      <c r="I1727" s="19">
        <v>7.98</v>
      </c>
      <c r="J1727" s="19">
        <v>6.5</v>
      </c>
      <c r="K1727" s="19" t="s">
        <v>97</v>
      </c>
      <c r="L1727" s="19" t="s">
        <v>195</v>
      </c>
      <c r="M1727" s="15" t="s">
        <v>1413</v>
      </c>
      <c r="N1727" s="15" t="s">
        <v>36</v>
      </c>
      <c r="O1727" s="15" t="s">
        <v>37</v>
      </c>
      <c r="P1727" s="20" t="s">
        <v>984</v>
      </c>
      <c r="Q1727" s="15" t="s">
        <v>57</v>
      </c>
      <c r="R1727" s="4"/>
      <c r="S1727" s="4"/>
    </row>
    <row r="1728" spans="1:19" ht="21" customHeight="1" x14ac:dyDescent="0.25">
      <c r="A1728" s="14">
        <f>DATE(2012,12,31)-443</f>
        <v>40831</v>
      </c>
      <c r="B1728" s="15" t="s">
        <v>398</v>
      </c>
      <c r="C1728" s="15" t="s">
        <v>85</v>
      </c>
      <c r="D1728" s="16">
        <v>12</v>
      </c>
      <c r="E1728" s="17">
        <v>22079.47</v>
      </c>
      <c r="F1728" s="16">
        <v>0.06</v>
      </c>
      <c r="G1728" s="15" t="s">
        <v>32</v>
      </c>
      <c r="H1728" s="18">
        <v>5322.14</v>
      </c>
      <c r="I1728" s="19">
        <v>1938.02</v>
      </c>
      <c r="J1728" s="19">
        <v>13.99</v>
      </c>
      <c r="K1728" s="19" t="s">
        <v>97</v>
      </c>
      <c r="L1728" s="19" t="s">
        <v>98</v>
      </c>
      <c r="M1728" s="15" t="s">
        <v>1162</v>
      </c>
      <c r="N1728" s="15" t="s">
        <v>64</v>
      </c>
      <c r="O1728" s="15" t="s">
        <v>122</v>
      </c>
      <c r="P1728" s="20" t="s">
        <v>1644</v>
      </c>
      <c r="Q1728" s="15" t="s">
        <v>57</v>
      </c>
      <c r="R1728" s="4"/>
      <c r="S1728" s="4"/>
    </row>
    <row r="1729" spans="1:19" ht="21" customHeight="1" x14ac:dyDescent="0.25">
      <c r="A1729" s="14">
        <f>DATE(2012,12,31)-736</f>
        <v>40538</v>
      </c>
      <c r="B1729" s="15" t="s">
        <v>1645</v>
      </c>
      <c r="C1729" s="15" t="s">
        <v>85</v>
      </c>
      <c r="D1729" s="16">
        <v>34</v>
      </c>
      <c r="E1729" s="17">
        <v>536.25</v>
      </c>
      <c r="F1729" s="16">
        <v>0.06</v>
      </c>
      <c r="G1729" s="15" t="s">
        <v>101</v>
      </c>
      <c r="H1729" s="18">
        <v>-166.75</v>
      </c>
      <c r="I1729" s="19">
        <v>15.99</v>
      </c>
      <c r="J1729" s="19">
        <v>13.18</v>
      </c>
      <c r="K1729" s="19" t="s">
        <v>97</v>
      </c>
      <c r="L1729" s="19" t="s">
        <v>98</v>
      </c>
      <c r="M1729" s="15" t="s">
        <v>1162</v>
      </c>
      <c r="N1729" s="15" t="s">
        <v>36</v>
      </c>
      <c r="O1729" s="15" t="s">
        <v>170</v>
      </c>
      <c r="P1729" s="20" t="s">
        <v>479</v>
      </c>
      <c r="Q1729" s="15" t="s">
        <v>83</v>
      </c>
      <c r="R1729" s="4"/>
      <c r="S1729" s="4"/>
    </row>
    <row r="1730" spans="1:19" ht="21" customHeight="1" x14ac:dyDescent="0.25">
      <c r="A1730" s="14">
        <f>DATE(2012,12,31)-736</f>
        <v>40538</v>
      </c>
      <c r="B1730" s="15" t="s">
        <v>1645</v>
      </c>
      <c r="C1730" s="15" t="s">
        <v>85</v>
      </c>
      <c r="D1730" s="16">
        <v>1</v>
      </c>
      <c r="E1730" s="17">
        <v>5.73</v>
      </c>
      <c r="F1730" s="16">
        <v>0.01</v>
      </c>
      <c r="G1730" s="15" t="s">
        <v>32</v>
      </c>
      <c r="H1730" s="18">
        <v>-1.84</v>
      </c>
      <c r="I1730" s="19">
        <v>4.9800000000000004</v>
      </c>
      <c r="J1730" s="19">
        <v>0.8</v>
      </c>
      <c r="K1730" s="19" t="s">
        <v>97</v>
      </c>
      <c r="L1730" s="19" t="s">
        <v>132</v>
      </c>
      <c r="M1730" s="15" t="s">
        <v>133</v>
      </c>
      <c r="N1730" s="15" t="s">
        <v>36</v>
      </c>
      <c r="O1730" s="15" t="s">
        <v>117</v>
      </c>
      <c r="P1730" s="20" t="s">
        <v>487</v>
      </c>
      <c r="Q1730" s="15" t="s">
        <v>79</v>
      </c>
      <c r="R1730" s="4"/>
      <c r="S1730" s="4"/>
    </row>
    <row r="1731" spans="1:19" ht="21" customHeight="1" x14ac:dyDescent="0.25">
      <c r="A1731" s="14">
        <f>DATE(2012,12,31)-419</f>
        <v>40855</v>
      </c>
      <c r="B1731" s="15" t="s">
        <v>1077</v>
      </c>
      <c r="C1731" s="15" t="s">
        <v>85</v>
      </c>
      <c r="D1731" s="16">
        <v>33</v>
      </c>
      <c r="E1731" s="17">
        <v>240.27</v>
      </c>
      <c r="F1731" s="16">
        <v>7.0000000000000007E-2</v>
      </c>
      <c r="G1731" s="15" t="s">
        <v>32</v>
      </c>
      <c r="H1731" s="18">
        <v>-269.80150000000003</v>
      </c>
      <c r="I1731" s="19">
        <v>7.38</v>
      </c>
      <c r="J1731" s="19">
        <v>11.51</v>
      </c>
      <c r="K1731" s="19" t="s">
        <v>124</v>
      </c>
      <c r="L1731" s="19" t="s">
        <v>160</v>
      </c>
      <c r="M1731" s="15" t="s">
        <v>1621</v>
      </c>
      <c r="N1731" s="15" t="s">
        <v>36</v>
      </c>
      <c r="O1731" s="15" t="s">
        <v>170</v>
      </c>
      <c r="P1731" s="20" t="s">
        <v>1646</v>
      </c>
      <c r="Q1731" s="15" t="s">
        <v>83</v>
      </c>
      <c r="R1731" s="4"/>
      <c r="S1731" s="4"/>
    </row>
    <row r="1732" spans="1:19" ht="21" customHeight="1" x14ac:dyDescent="0.25">
      <c r="A1732" s="14">
        <f>DATE(2012,12,31)-419</f>
        <v>40855</v>
      </c>
      <c r="B1732" s="15" t="s">
        <v>1077</v>
      </c>
      <c r="C1732" s="15" t="s">
        <v>85</v>
      </c>
      <c r="D1732" s="16">
        <v>24</v>
      </c>
      <c r="E1732" s="17">
        <v>6802.37</v>
      </c>
      <c r="F1732" s="16">
        <v>0.08</v>
      </c>
      <c r="G1732" s="15" t="s">
        <v>58</v>
      </c>
      <c r="H1732" s="18">
        <v>459.5</v>
      </c>
      <c r="I1732" s="19">
        <v>284.98</v>
      </c>
      <c r="J1732" s="19">
        <v>69.55</v>
      </c>
      <c r="K1732" s="19" t="s">
        <v>124</v>
      </c>
      <c r="L1732" s="19" t="s">
        <v>160</v>
      </c>
      <c r="M1732" s="15" t="s">
        <v>1621</v>
      </c>
      <c r="N1732" s="15" t="s">
        <v>54</v>
      </c>
      <c r="O1732" s="15" t="s">
        <v>252</v>
      </c>
      <c r="P1732" s="20" t="s">
        <v>1647</v>
      </c>
      <c r="Q1732" s="15" t="s">
        <v>181</v>
      </c>
      <c r="R1732" s="4"/>
      <c r="S1732" s="4"/>
    </row>
    <row r="1733" spans="1:19" ht="21" customHeight="1" x14ac:dyDescent="0.25">
      <c r="A1733" s="14">
        <f>DATE(2012,12,31)-1065</f>
        <v>40209</v>
      </c>
      <c r="B1733" s="15" t="s">
        <v>1648</v>
      </c>
      <c r="C1733" s="15" t="s">
        <v>85</v>
      </c>
      <c r="D1733" s="16">
        <v>36</v>
      </c>
      <c r="E1733" s="17">
        <v>1400.1</v>
      </c>
      <c r="F1733" s="16">
        <v>0.03</v>
      </c>
      <c r="G1733" s="15" t="s">
        <v>32</v>
      </c>
      <c r="H1733" s="18">
        <v>88.68</v>
      </c>
      <c r="I1733" s="19">
        <v>39.979999999999997</v>
      </c>
      <c r="J1733" s="19">
        <v>4</v>
      </c>
      <c r="K1733" s="19" t="s">
        <v>124</v>
      </c>
      <c r="L1733" s="19" t="s">
        <v>493</v>
      </c>
      <c r="M1733" s="15" t="s">
        <v>1588</v>
      </c>
      <c r="N1733" s="15" t="s">
        <v>64</v>
      </c>
      <c r="O1733" s="15" t="s">
        <v>72</v>
      </c>
      <c r="P1733" s="20" t="s">
        <v>733</v>
      </c>
      <c r="Q1733" s="15" t="s">
        <v>83</v>
      </c>
      <c r="R1733" s="4"/>
      <c r="S1733" s="4"/>
    </row>
    <row r="1734" spans="1:19" ht="21" customHeight="1" x14ac:dyDescent="0.25">
      <c r="A1734" s="14">
        <f>DATE(2012,12,31)-1390</f>
        <v>39884</v>
      </c>
      <c r="B1734" s="15" t="s">
        <v>1196</v>
      </c>
      <c r="C1734" s="15" t="s">
        <v>43</v>
      </c>
      <c r="D1734" s="16">
        <v>15</v>
      </c>
      <c r="E1734" s="17">
        <v>1146.4100000000001</v>
      </c>
      <c r="F1734" s="16">
        <v>0</v>
      </c>
      <c r="G1734" s="15" t="s">
        <v>32</v>
      </c>
      <c r="H1734" s="18">
        <v>-88.61</v>
      </c>
      <c r="I1734" s="19">
        <v>73.98</v>
      </c>
      <c r="J1734" s="19">
        <v>14.52</v>
      </c>
      <c r="K1734" s="19" t="s">
        <v>124</v>
      </c>
      <c r="L1734" s="19" t="s">
        <v>160</v>
      </c>
      <c r="M1734" s="15" t="s">
        <v>1621</v>
      </c>
      <c r="N1734" s="15" t="s">
        <v>64</v>
      </c>
      <c r="O1734" s="15" t="s">
        <v>72</v>
      </c>
      <c r="P1734" s="20" t="s">
        <v>842</v>
      </c>
      <c r="Q1734" s="15" t="s">
        <v>83</v>
      </c>
      <c r="R1734" s="4"/>
      <c r="S1734" s="4"/>
    </row>
    <row r="1735" spans="1:19" ht="21" customHeight="1" x14ac:dyDescent="0.25">
      <c r="A1735" s="14">
        <f>DATE(2012,12,31)-987</f>
        <v>40287</v>
      </c>
      <c r="B1735" s="15" t="s">
        <v>318</v>
      </c>
      <c r="C1735" s="15" t="s">
        <v>31</v>
      </c>
      <c r="D1735" s="16">
        <v>26</v>
      </c>
      <c r="E1735" s="17">
        <v>3662.16</v>
      </c>
      <c r="F1735" s="16">
        <v>0.01</v>
      </c>
      <c r="G1735" s="15" t="s">
        <v>58</v>
      </c>
      <c r="H1735" s="18">
        <v>-372.82</v>
      </c>
      <c r="I1735" s="19">
        <v>130.97999999999999</v>
      </c>
      <c r="J1735" s="19">
        <v>54.74</v>
      </c>
      <c r="K1735" s="19" t="s">
        <v>124</v>
      </c>
      <c r="L1735" s="19" t="s">
        <v>493</v>
      </c>
      <c r="M1735" s="15" t="s">
        <v>1588</v>
      </c>
      <c r="N1735" s="15" t="s">
        <v>54</v>
      </c>
      <c r="O1735" s="15" t="s">
        <v>134</v>
      </c>
      <c r="P1735" s="20" t="s">
        <v>135</v>
      </c>
      <c r="Q1735" s="15" t="s">
        <v>63</v>
      </c>
      <c r="R1735" s="4"/>
      <c r="S1735" s="4"/>
    </row>
    <row r="1736" spans="1:19" ht="21" customHeight="1" x14ac:dyDescent="0.25">
      <c r="A1736" s="14">
        <f>DATE(2012,12,31)-987</f>
        <v>40287</v>
      </c>
      <c r="B1736" s="15" t="s">
        <v>318</v>
      </c>
      <c r="C1736" s="15" t="s">
        <v>31</v>
      </c>
      <c r="D1736" s="16">
        <v>21</v>
      </c>
      <c r="E1736" s="17">
        <v>329.37</v>
      </c>
      <c r="F1736" s="16">
        <v>0.04</v>
      </c>
      <c r="G1736" s="15" t="s">
        <v>101</v>
      </c>
      <c r="H1736" s="18">
        <v>-53.57</v>
      </c>
      <c r="I1736" s="19">
        <v>15.14</v>
      </c>
      <c r="J1736" s="19">
        <v>4.53</v>
      </c>
      <c r="K1736" s="19" t="s">
        <v>124</v>
      </c>
      <c r="L1736" s="19" t="s">
        <v>493</v>
      </c>
      <c r="M1736" s="15" t="s">
        <v>1588</v>
      </c>
      <c r="N1736" s="15" t="s">
        <v>36</v>
      </c>
      <c r="O1736" s="15" t="s">
        <v>37</v>
      </c>
      <c r="P1736" s="20" t="s">
        <v>795</v>
      </c>
      <c r="Q1736" s="15" t="s">
        <v>83</v>
      </c>
      <c r="R1736" s="4"/>
      <c r="S1736" s="4"/>
    </row>
    <row r="1737" spans="1:19" ht="21" customHeight="1" x14ac:dyDescent="0.25">
      <c r="A1737" s="14">
        <f>DATE(2012,12,31)-755</f>
        <v>40519</v>
      </c>
      <c r="B1737" s="15" t="s">
        <v>1589</v>
      </c>
      <c r="C1737" s="15" t="s">
        <v>85</v>
      </c>
      <c r="D1737" s="16">
        <v>1</v>
      </c>
      <c r="E1737" s="17">
        <v>356.95</v>
      </c>
      <c r="F1737" s="16">
        <v>0.08</v>
      </c>
      <c r="G1737" s="15" t="s">
        <v>32</v>
      </c>
      <c r="H1737" s="18">
        <v>-228.2405</v>
      </c>
      <c r="I1737" s="19">
        <v>387.99</v>
      </c>
      <c r="J1737" s="19">
        <v>19.989999999999998</v>
      </c>
      <c r="K1737" s="19" t="s">
        <v>124</v>
      </c>
      <c r="L1737" s="19" t="s">
        <v>164</v>
      </c>
      <c r="M1737" s="15" t="s">
        <v>1228</v>
      </c>
      <c r="N1737" s="15" t="s">
        <v>36</v>
      </c>
      <c r="O1737" s="15" t="s">
        <v>170</v>
      </c>
      <c r="P1737" s="20" t="s">
        <v>1649</v>
      </c>
      <c r="Q1737" s="15" t="s">
        <v>83</v>
      </c>
      <c r="R1737" s="4"/>
      <c r="S1737" s="4"/>
    </row>
    <row r="1738" spans="1:19" ht="21" customHeight="1" x14ac:dyDescent="0.25">
      <c r="A1738" s="14">
        <f>DATE(2012,12,31)-755</f>
        <v>40519</v>
      </c>
      <c r="B1738" s="15" t="s">
        <v>1589</v>
      </c>
      <c r="C1738" s="15" t="s">
        <v>85</v>
      </c>
      <c r="D1738" s="16">
        <v>17</v>
      </c>
      <c r="E1738" s="17">
        <v>112.86</v>
      </c>
      <c r="F1738" s="16">
        <v>0.04</v>
      </c>
      <c r="G1738" s="15" t="s">
        <v>32</v>
      </c>
      <c r="H1738" s="18">
        <v>-56.78</v>
      </c>
      <c r="I1738" s="19">
        <v>6.6</v>
      </c>
      <c r="J1738" s="19">
        <v>4.07</v>
      </c>
      <c r="K1738" s="19" t="s">
        <v>44</v>
      </c>
      <c r="L1738" s="19" t="s">
        <v>52</v>
      </c>
      <c r="M1738" s="15" t="s">
        <v>1300</v>
      </c>
      <c r="N1738" s="15" t="s">
        <v>64</v>
      </c>
      <c r="O1738" s="15" t="s">
        <v>72</v>
      </c>
      <c r="P1738" s="20" t="s">
        <v>1591</v>
      </c>
      <c r="Q1738" s="15" t="s">
        <v>49</v>
      </c>
      <c r="R1738" s="4"/>
      <c r="S1738" s="4"/>
    </row>
    <row r="1739" spans="1:19" ht="21" customHeight="1" x14ac:dyDescent="0.25">
      <c r="A1739" s="14">
        <f>DATE(2012,12,31)-755</f>
        <v>40519</v>
      </c>
      <c r="B1739" s="15" t="s">
        <v>1589</v>
      </c>
      <c r="C1739" s="15" t="s">
        <v>85</v>
      </c>
      <c r="D1739" s="16">
        <v>38</v>
      </c>
      <c r="E1739" s="17">
        <v>2063.42</v>
      </c>
      <c r="F1739" s="16">
        <v>0.03</v>
      </c>
      <c r="G1739" s="15" t="s">
        <v>32</v>
      </c>
      <c r="H1739" s="18">
        <v>989.95</v>
      </c>
      <c r="I1739" s="19">
        <v>55.98</v>
      </c>
      <c r="J1739" s="19">
        <v>5.15</v>
      </c>
      <c r="K1739" s="19" t="s">
        <v>44</v>
      </c>
      <c r="L1739" s="19" t="s">
        <v>52</v>
      </c>
      <c r="M1739" s="15" t="s">
        <v>1300</v>
      </c>
      <c r="N1739" s="15" t="s">
        <v>36</v>
      </c>
      <c r="O1739" s="15" t="s">
        <v>117</v>
      </c>
      <c r="P1739" s="20" t="s">
        <v>1650</v>
      </c>
      <c r="Q1739" s="15" t="s">
        <v>83</v>
      </c>
      <c r="R1739" s="4"/>
      <c r="S1739" s="4"/>
    </row>
    <row r="1740" spans="1:19" ht="21" customHeight="1" x14ac:dyDescent="0.25">
      <c r="A1740" s="14">
        <f>DATE(2012,12,31)-1273</f>
        <v>40001</v>
      </c>
      <c r="B1740" s="15" t="s">
        <v>812</v>
      </c>
      <c r="C1740" s="15" t="s">
        <v>85</v>
      </c>
      <c r="D1740" s="16">
        <v>8</v>
      </c>
      <c r="E1740" s="17">
        <v>1187.01</v>
      </c>
      <c r="F1740" s="16">
        <v>0</v>
      </c>
      <c r="G1740" s="15" t="s">
        <v>58</v>
      </c>
      <c r="H1740" s="18">
        <v>-203.27</v>
      </c>
      <c r="I1740" s="19">
        <v>137.47999999999999</v>
      </c>
      <c r="J1740" s="19">
        <v>32.18</v>
      </c>
      <c r="K1740" s="19" t="s">
        <v>44</v>
      </c>
      <c r="L1740" s="19" t="s">
        <v>52</v>
      </c>
      <c r="M1740" s="15" t="s">
        <v>1300</v>
      </c>
      <c r="N1740" s="15" t="s">
        <v>54</v>
      </c>
      <c r="O1740" s="15" t="s">
        <v>134</v>
      </c>
      <c r="P1740" s="20" t="s">
        <v>1651</v>
      </c>
      <c r="Q1740" s="15" t="s">
        <v>63</v>
      </c>
      <c r="R1740" s="4"/>
      <c r="S1740" s="4"/>
    </row>
    <row r="1741" spans="1:19" ht="21" customHeight="1" x14ac:dyDescent="0.25">
      <c r="A1741" s="14">
        <f>DATE(2012,12,31)-540</f>
        <v>40734</v>
      </c>
      <c r="B1741" s="15" t="s">
        <v>1199</v>
      </c>
      <c r="C1741" s="15" t="s">
        <v>85</v>
      </c>
      <c r="D1741" s="16">
        <v>37</v>
      </c>
      <c r="E1741" s="17">
        <v>744</v>
      </c>
      <c r="F1741" s="16">
        <v>0.04</v>
      </c>
      <c r="G1741" s="15" t="s">
        <v>32</v>
      </c>
      <c r="H1741" s="18">
        <v>215.8</v>
      </c>
      <c r="I1741" s="19">
        <v>20.89</v>
      </c>
      <c r="J1741" s="19">
        <v>1.99</v>
      </c>
      <c r="K1741" s="19" t="s">
        <v>44</v>
      </c>
      <c r="L1741" s="19" t="s">
        <v>52</v>
      </c>
      <c r="M1741" s="15" t="s">
        <v>1300</v>
      </c>
      <c r="N1741" s="15" t="s">
        <v>64</v>
      </c>
      <c r="O1741" s="15" t="s">
        <v>72</v>
      </c>
      <c r="P1741" s="20" t="s">
        <v>1652</v>
      </c>
      <c r="Q1741" s="15" t="s">
        <v>49</v>
      </c>
      <c r="R1741" s="4"/>
      <c r="S1741" s="4"/>
    </row>
    <row r="1742" spans="1:19" ht="21" customHeight="1" x14ac:dyDescent="0.25">
      <c r="A1742" s="14">
        <f>DATE(2012,12,31)-540</f>
        <v>40734</v>
      </c>
      <c r="B1742" s="15" t="s">
        <v>1199</v>
      </c>
      <c r="C1742" s="15" t="s">
        <v>85</v>
      </c>
      <c r="D1742" s="16">
        <v>12</v>
      </c>
      <c r="E1742" s="17">
        <v>388.86649999999997</v>
      </c>
      <c r="F1742" s="16">
        <v>0.01</v>
      </c>
      <c r="G1742" s="15" t="s">
        <v>32</v>
      </c>
      <c r="H1742" s="18">
        <v>103.05</v>
      </c>
      <c r="I1742" s="19">
        <v>35.99</v>
      </c>
      <c r="J1742" s="19">
        <v>0.99</v>
      </c>
      <c r="K1742" s="19" t="s">
        <v>44</v>
      </c>
      <c r="L1742" s="19" t="s">
        <v>52</v>
      </c>
      <c r="M1742" s="15" t="s">
        <v>1300</v>
      </c>
      <c r="N1742" s="15" t="s">
        <v>64</v>
      </c>
      <c r="O1742" s="15" t="s">
        <v>65</v>
      </c>
      <c r="P1742" s="20" t="s">
        <v>647</v>
      </c>
      <c r="Q1742" s="15" t="s">
        <v>49</v>
      </c>
      <c r="R1742" s="4"/>
      <c r="S1742" s="4"/>
    </row>
    <row r="1743" spans="1:19" ht="21" customHeight="1" x14ac:dyDescent="0.25">
      <c r="A1743" s="14">
        <f>DATE(2012,12,31)-880</f>
        <v>40394</v>
      </c>
      <c r="B1743" s="15" t="s">
        <v>1653</v>
      </c>
      <c r="C1743" s="15" t="s">
        <v>85</v>
      </c>
      <c r="D1743" s="16">
        <v>14</v>
      </c>
      <c r="E1743" s="17">
        <v>1676.44</v>
      </c>
      <c r="F1743" s="16">
        <v>0.02</v>
      </c>
      <c r="G1743" s="15" t="s">
        <v>32</v>
      </c>
      <c r="H1743" s="18">
        <v>607.495</v>
      </c>
      <c r="I1743" s="19">
        <v>120.98</v>
      </c>
      <c r="J1743" s="19">
        <v>9.07</v>
      </c>
      <c r="K1743" s="19" t="s">
        <v>44</v>
      </c>
      <c r="L1743" s="19" t="s">
        <v>52</v>
      </c>
      <c r="M1743" s="15" t="s">
        <v>1300</v>
      </c>
      <c r="N1743" s="15" t="s">
        <v>36</v>
      </c>
      <c r="O1743" s="15" t="s">
        <v>170</v>
      </c>
      <c r="P1743" s="20" t="s">
        <v>1445</v>
      </c>
      <c r="Q1743" s="15" t="s">
        <v>83</v>
      </c>
      <c r="R1743" s="4"/>
      <c r="S1743" s="4"/>
    </row>
    <row r="1744" spans="1:19" ht="21" customHeight="1" x14ac:dyDescent="0.25">
      <c r="A1744" s="14">
        <f>DATE(2012,12,31)-880</f>
        <v>40394</v>
      </c>
      <c r="B1744" s="15" t="s">
        <v>1653</v>
      </c>
      <c r="C1744" s="15" t="s">
        <v>85</v>
      </c>
      <c r="D1744" s="16">
        <v>14</v>
      </c>
      <c r="E1744" s="17">
        <v>1406.07</v>
      </c>
      <c r="F1744" s="16">
        <v>0.1</v>
      </c>
      <c r="G1744" s="15" t="s">
        <v>58</v>
      </c>
      <c r="H1744" s="18">
        <v>-701.91</v>
      </c>
      <c r="I1744" s="19">
        <v>100.98</v>
      </c>
      <c r="J1744" s="19">
        <v>57.38</v>
      </c>
      <c r="K1744" s="19" t="s">
        <v>44</v>
      </c>
      <c r="L1744" s="19" t="s">
        <v>52</v>
      </c>
      <c r="M1744" s="15" t="s">
        <v>1300</v>
      </c>
      <c r="N1744" s="15" t="s">
        <v>54</v>
      </c>
      <c r="O1744" s="15" t="s">
        <v>134</v>
      </c>
      <c r="P1744" s="20" t="s">
        <v>624</v>
      </c>
      <c r="Q1744" s="15" t="s">
        <v>63</v>
      </c>
      <c r="R1744" s="4"/>
      <c r="S1744" s="4"/>
    </row>
    <row r="1745" spans="1:19" ht="21" customHeight="1" x14ac:dyDescent="0.25">
      <c r="A1745" s="14">
        <f>DATE(2012,12,31)-880</f>
        <v>40394</v>
      </c>
      <c r="B1745" s="15" t="s">
        <v>1653</v>
      </c>
      <c r="C1745" s="15" t="s">
        <v>85</v>
      </c>
      <c r="D1745" s="16">
        <v>30</v>
      </c>
      <c r="E1745" s="17">
        <v>1771.67</v>
      </c>
      <c r="F1745" s="16">
        <v>0.09</v>
      </c>
      <c r="G1745" s="15" t="s">
        <v>32</v>
      </c>
      <c r="H1745" s="18">
        <v>338.95</v>
      </c>
      <c r="I1745" s="19">
        <v>59.76</v>
      </c>
      <c r="J1745" s="19">
        <v>9.7100000000000009</v>
      </c>
      <c r="K1745" s="19" t="s">
        <v>44</v>
      </c>
      <c r="L1745" s="19" t="s">
        <v>52</v>
      </c>
      <c r="M1745" s="15" t="s">
        <v>1300</v>
      </c>
      <c r="N1745" s="15" t="s">
        <v>36</v>
      </c>
      <c r="O1745" s="15" t="s">
        <v>37</v>
      </c>
      <c r="P1745" s="20" t="s">
        <v>1654</v>
      </c>
      <c r="Q1745" s="15" t="s">
        <v>83</v>
      </c>
      <c r="R1745" s="4"/>
      <c r="S1745" s="4"/>
    </row>
    <row r="1746" spans="1:19" ht="21" customHeight="1" x14ac:dyDescent="0.25">
      <c r="A1746" s="14">
        <f>DATE(2012,12,31)-877</f>
        <v>40397</v>
      </c>
      <c r="B1746" s="15" t="s">
        <v>710</v>
      </c>
      <c r="C1746" s="15" t="s">
        <v>85</v>
      </c>
      <c r="D1746" s="16">
        <v>24</v>
      </c>
      <c r="E1746" s="17">
        <v>5407.31</v>
      </c>
      <c r="F1746" s="16">
        <v>0.04</v>
      </c>
      <c r="G1746" s="15" t="s">
        <v>58</v>
      </c>
      <c r="H1746" s="18">
        <v>1068.48</v>
      </c>
      <c r="I1746" s="19">
        <v>226.67</v>
      </c>
      <c r="J1746" s="19">
        <v>28.16</v>
      </c>
      <c r="K1746" s="19" t="s">
        <v>44</v>
      </c>
      <c r="L1746" s="19" t="s">
        <v>52</v>
      </c>
      <c r="M1746" s="15" t="s">
        <v>1300</v>
      </c>
      <c r="N1746" s="15" t="s">
        <v>54</v>
      </c>
      <c r="O1746" s="15" t="s">
        <v>252</v>
      </c>
      <c r="P1746" s="20" t="s">
        <v>1655</v>
      </c>
      <c r="Q1746" s="15" t="s">
        <v>181</v>
      </c>
      <c r="R1746" s="4"/>
      <c r="S1746" s="4"/>
    </row>
    <row r="1747" spans="1:19" ht="21" customHeight="1" x14ac:dyDescent="0.25">
      <c r="A1747" s="14">
        <f>DATE(2012,12,31)-680</f>
        <v>40594</v>
      </c>
      <c r="B1747" s="15" t="s">
        <v>1656</v>
      </c>
      <c r="C1747" s="15" t="s">
        <v>51</v>
      </c>
      <c r="D1747" s="16">
        <v>31</v>
      </c>
      <c r="E1747" s="17">
        <v>3081.33</v>
      </c>
      <c r="F1747" s="16">
        <v>0.08</v>
      </c>
      <c r="G1747" s="15" t="s">
        <v>58</v>
      </c>
      <c r="H1747" s="18">
        <v>-1341.11</v>
      </c>
      <c r="I1747" s="19">
        <v>100.98</v>
      </c>
      <c r="J1747" s="19">
        <v>57.38</v>
      </c>
      <c r="K1747" s="19" t="s">
        <v>44</v>
      </c>
      <c r="L1747" s="19" t="s">
        <v>52</v>
      </c>
      <c r="M1747" s="15" t="s">
        <v>1300</v>
      </c>
      <c r="N1747" s="15" t="s">
        <v>54</v>
      </c>
      <c r="O1747" s="15" t="s">
        <v>134</v>
      </c>
      <c r="P1747" s="20" t="s">
        <v>624</v>
      </c>
      <c r="Q1747" s="15" t="s">
        <v>63</v>
      </c>
      <c r="R1747" s="4"/>
      <c r="S1747" s="4"/>
    </row>
    <row r="1748" spans="1:19" ht="21" customHeight="1" x14ac:dyDescent="0.25">
      <c r="A1748" s="14">
        <f>DATE(2012,12,31)-680</f>
        <v>40594</v>
      </c>
      <c r="B1748" s="15" t="s">
        <v>1656</v>
      </c>
      <c r="C1748" s="15" t="s">
        <v>51</v>
      </c>
      <c r="D1748" s="16">
        <v>42</v>
      </c>
      <c r="E1748" s="17">
        <v>1692.56</v>
      </c>
      <c r="F1748" s="16">
        <v>0.04</v>
      </c>
      <c r="G1748" s="15" t="s">
        <v>32</v>
      </c>
      <c r="H1748" s="18">
        <v>275.5</v>
      </c>
      <c r="I1748" s="19">
        <v>40.98</v>
      </c>
      <c r="J1748" s="19">
        <v>7.2</v>
      </c>
      <c r="K1748" s="19" t="s">
        <v>44</v>
      </c>
      <c r="L1748" s="19" t="s">
        <v>52</v>
      </c>
      <c r="M1748" s="15" t="s">
        <v>1300</v>
      </c>
      <c r="N1748" s="15" t="s">
        <v>36</v>
      </c>
      <c r="O1748" s="15" t="s">
        <v>176</v>
      </c>
      <c r="P1748" s="20" t="s">
        <v>1657</v>
      </c>
      <c r="Q1748" s="15" t="s">
        <v>83</v>
      </c>
      <c r="R1748" s="4"/>
      <c r="S1748" s="4"/>
    </row>
    <row r="1749" spans="1:19" ht="21" customHeight="1" x14ac:dyDescent="0.25">
      <c r="A1749" s="14">
        <f>DATE(2012,12,31)-963</f>
        <v>40311</v>
      </c>
      <c r="B1749" s="15" t="s">
        <v>1003</v>
      </c>
      <c r="C1749" s="15" t="s">
        <v>85</v>
      </c>
      <c r="D1749" s="16">
        <v>16</v>
      </c>
      <c r="E1749" s="17">
        <v>1702.499</v>
      </c>
      <c r="F1749" s="16">
        <v>0.08</v>
      </c>
      <c r="G1749" s="15" t="s">
        <v>32</v>
      </c>
      <c r="H1749" s="18">
        <v>133.452</v>
      </c>
      <c r="I1749" s="19">
        <v>125.99</v>
      </c>
      <c r="J1749" s="19">
        <v>5.99</v>
      </c>
      <c r="K1749" s="19" t="s">
        <v>44</v>
      </c>
      <c r="L1749" s="19" t="s">
        <v>52</v>
      </c>
      <c r="M1749" s="15" t="s">
        <v>1300</v>
      </c>
      <c r="N1749" s="15" t="s">
        <v>64</v>
      </c>
      <c r="O1749" s="15" t="s">
        <v>65</v>
      </c>
      <c r="P1749" s="20" t="s">
        <v>1005</v>
      </c>
      <c r="Q1749" s="15" t="s">
        <v>83</v>
      </c>
      <c r="R1749" s="4"/>
      <c r="S1749" s="4"/>
    </row>
    <row r="1750" spans="1:19" ht="21" customHeight="1" x14ac:dyDescent="0.25">
      <c r="A1750" s="14">
        <f>DATE(2012,12,31)-1317</f>
        <v>39957</v>
      </c>
      <c r="B1750" s="15" t="s">
        <v>1658</v>
      </c>
      <c r="C1750" s="15" t="s">
        <v>31</v>
      </c>
      <c r="D1750" s="16">
        <v>31</v>
      </c>
      <c r="E1750" s="17">
        <v>2360.4299999999998</v>
      </c>
      <c r="F1750" s="16">
        <v>0.1</v>
      </c>
      <c r="G1750" s="15" t="s">
        <v>58</v>
      </c>
      <c r="H1750" s="18">
        <v>66.22</v>
      </c>
      <c r="I1750" s="19">
        <v>80.97</v>
      </c>
      <c r="J1750" s="19">
        <v>33.6</v>
      </c>
      <c r="K1750" s="19" t="s">
        <v>44</v>
      </c>
      <c r="L1750" s="19" t="s">
        <v>236</v>
      </c>
      <c r="M1750" s="15" t="s">
        <v>237</v>
      </c>
      <c r="N1750" s="15" t="s">
        <v>64</v>
      </c>
      <c r="O1750" s="15" t="s">
        <v>122</v>
      </c>
      <c r="P1750" s="20" t="s">
        <v>1130</v>
      </c>
      <c r="Q1750" s="15" t="s">
        <v>181</v>
      </c>
      <c r="R1750" s="4"/>
      <c r="S1750" s="4"/>
    </row>
    <row r="1751" spans="1:19" ht="21" customHeight="1" x14ac:dyDescent="0.25">
      <c r="A1751" s="14">
        <f>DATE(2012,12,31)-1317</f>
        <v>39957</v>
      </c>
      <c r="B1751" s="15" t="s">
        <v>1658</v>
      </c>
      <c r="C1751" s="15" t="s">
        <v>31</v>
      </c>
      <c r="D1751" s="16">
        <v>22</v>
      </c>
      <c r="E1751" s="17">
        <v>154.6</v>
      </c>
      <c r="F1751" s="16">
        <v>0.02</v>
      </c>
      <c r="G1751" s="15" t="s">
        <v>32</v>
      </c>
      <c r="H1751" s="18">
        <v>-23.53</v>
      </c>
      <c r="I1751" s="19">
        <v>6.48</v>
      </c>
      <c r="J1751" s="19">
        <v>5.1100000000000003</v>
      </c>
      <c r="K1751" s="19" t="s">
        <v>44</v>
      </c>
      <c r="L1751" s="19" t="s">
        <v>52</v>
      </c>
      <c r="M1751" s="15" t="s">
        <v>1300</v>
      </c>
      <c r="N1751" s="15" t="s">
        <v>36</v>
      </c>
      <c r="O1751" s="15" t="s">
        <v>117</v>
      </c>
      <c r="P1751" s="20" t="s">
        <v>1659</v>
      </c>
      <c r="Q1751" s="15" t="s">
        <v>83</v>
      </c>
      <c r="R1751" s="4"/>
      <c r="S1751" s="4"/>
    </row>
    <row r="1752" spans="1:19" ht="21" customHeight="1" x14ac:dyDescent="0.25">
      <c r="A1752" s="14">
        <f>DATE(2012,12,31)-1399</f>
        <v>39875</v>
      </c>
      <c r="B1752" s="15" t="s">
        <v>436</v>
      </c>
      <c r="C1752" s="15" t="s">
        <v>31</v>
      </c>
      <c r="D1752" s="16">
        <v>34</v>
      </c>
      <c r="E1752" s="17">
        <v>74.3</v>
      </c>
      <c r="F1752" s="16">
        <v>0.08</v>
      </c>
      <c r="G1752" s="15" t="s">
        <v>32</v>
      </c>
      <c r="H1752" s="18">
        <v>-129.01</v>
      </c>
      <c r="I1752" s="19">
        <v>2.08</v>
      </c>
      <c r="J1752" s="19">
        <v>5.33</v>
      </c>
      <c r="K1752" s="19" t="s">
        <v>44</v>
      </c>
      <c r="L1752" s="19" t="s">
        <v>236</v>
      </c>
      <c r="M1752" s="15" t="s">
        <v>237</v>
      </c>
      <c r="N1752" s="15" t="s">
        <v>54</v>
      </c>
      <c r="O1752" s="15" t="s">
        <v>55</v>
      </c>
      <c r="P1752" s="20" t="s">
        <v>858</v>
      </c>
      <c r="Q1752" s="15" t="s">
        <v>83</v>
      </c>
      <c r="R1752" s="4"/>
      <c r="S1752" s="4"/>
    </row>
    <row r="1753" spans="1:19" ht="21" customHeight="1" x14ac:dyDescent="0.25">
      <c r="A1753" s="14">
        <f>DATE(2012,12,31)-203</f>
        <v>41071</v>
      </c>
      <c r="B1753" s="15" t="s">
        <v>1660</v>
      </c>
      <c r="C1753" s="15" t="s">
        <v>31</v>
      </c>
      <c r="D1753" s="16">
        <v>46</v>
      </c>
      <c r="E1753" s="17">
        <v>5023.2534999999998</v>
      </c>
      <c r="F1753" s="16">
        <v>0.01</v>
      </c>
      <c r="G1753" s="15" t="s">
        <v>32</v>
      </c>
      <c r="H1753" s="18">
        <v>1665.2249999999999</v>
      </c>
      <c r="I1753" s="19">
        <v>125.99</v>
      </c>
      <c r="J1753" s="19">
        <v>5.26</v>
      </c>
      <c r="K1753" s="19" t="s">
        <v>69</v>
      </c>
      <c r="L1753" s="19" t="s">
        <v>70</v>
      </c>
      <c r="M1753" s="15" t="s">
        <v>1492</v>
      </c>
      <c r="N1753" s="15" t="s">
        <v>64</v>
      </c>
      <c r="O1753" s="15" t="s">
        <v>65</v>
      </c>
      <c r="P1753" s="20" t="s">
        <v>1661</v>
      </c>
      <c r="Q1753" s="15" t="s">
        <v>83</v>
      </c>
      <c r="R1753" s="4"/>
      <c r="S1753" s="4"/>
    </row>
    <row r="1754" spans="1:19" ht="21" customHeight="1" x14ac:dyDescent="0.25">
      <c r="A1754" s="14">
        <f>DATE(2012,12,31)-564</f>
        <v>40710</v>
      </c>
      <c r="B1754" s="15" t="s">
        <v>1329</v>
      </c>
      <c r="C1754" s="15" t="s">
        <v>43</v>
      </c>
      <c r="D1754" s="16">
        <v>5</v>
      </c>
      <c r="E1754" s="17">
        <v>70.33</v>
      </c>
      <c r="F1754" s="16">
        <v>0.1</v>
      </c>
      <c r="G1754" s="15" t="s">
        <v>32</v>
      </c>
      <c r="H1754" s="18">
        <v>1.07</v>
      </c>
      <c r="I1754" s="19">
        <v>15.04</v>
      </c>
      <c r="J1754" s="19">
        <v>1.97</v>
      </c>
      <c r="K1754" s="19" t="s">
        <v>69</v>
      </c>
      <c r="L1754" s="19" t="s">
        <v>75</v>
      </c>
      <c r="M1754" s="15" t="s">
        <v>1569</v>
      </c>
      <c r="N1754" s="15" t="s">
        <v>36</v>
      </c>
      <c r="O1754" s="15" t="s">
        <v>117</v>
      </c>
      <c r="P1754" s="20" t="s">
        <v>1662</v>
      </c>
      <c r="Q1754" s="15" t="s">
        <v>79</v>
      </c>
      <c r="R1754" s="4"/>
      <c r="S1754" s="4"/>
    </row>
    <row r="1755" spans="1:19" ht="21" customHeight="1" x14ac:dyDescent="0.25">
      <c r="A1755" s="14">
        <f>DATE(2012,12,31)-1083</f>
        <v>40191</v>
      </c>
      <c r="B1755" s="15" t="s">
        <v>340</v>
      </c>
      <c r="C1755" s="15" t="s">
        <v>31</v>
      </c>
      <c r="D1755" s="16">
        <v>43</v>
      </c>
      <c r="E1755" s="17">
        <v>140.72</v>
      </c>
      <c r="F1755" s="16">
        <v>0.04</v>
      </c>
      <c r="G1755" s="15" t="s">
        <v>32</v>
      </c>
      <c r="H1755" s="18">
        <v>-115.53</v>
      </c>
      <c r="I1755" s="19">
        <v>3.28</v>
      </c>
      <c r="J1755" s="19">
        <v>3.97</v>
      </c>
      <c r="K1755" s="19" t="s">
        <v>97</v>
      </c>
      <c r="L1755" s="19" t="s">
        <v>132</v>
      </c>
      <c r="M1755" s="15" t="s">
        <v>133</v>
      </c>
      <c r="N1755" s="15" t="s">
        <v>36</v>
      </c>
      <c r="O1755" s="15" t="s">
        <v>77</v>
      </c>
      <c r="P1755" s="20" t="s">
        <v>1663</v>
      </c>
      <c r="Q1755" s="15" t="s">
        <v>79</v>
      </c>
      <c r="R1755" s="4"/>
      <c r="S1755" s="4"/>
    </row>
    <row r="1756" spans="1:19" ht="21" customHeight="1" x14ac:dyDescent="0.25">
      <c r="A1756" s="14">
        <f>DATE(2012,12,31)-1083</f>
        <v>40191</v>
      </c>
      <c r="B1756" s="15" t="s">
        <v>340</v>
      </c>
      <c r="C1756" s="15" t="s">
        <v>31</v>
      </c>
      <c r="D1756" s="16">
        <v>50</v>
      </c>
      <c r="E1756" s="17">
        <v>8038.08</v>
      </c>
      <c r="F1756" s="16">
        <v>0.1</v>
      </c>
      <c r="G1756" s="15" t="s">
        <v>32</v>
      </c>
      <c r="H1756" s="18">
        <v>2821.4050000000002</v>
      </c>
      <c r="I1756" s="19">
        <v>172.99</v>
      </c>
      <c r="J1756" s="19">
        <v>19.989999999999998</v>
      </c>
      <c r="K1756" s="19" t="s">
        <v>97</v>
      </c>
      <c r="L1756" s="19" t="s">
        <v>98</v>
      </c>
      <c r="M1756" s="15" t="s">
        <v>1162</v>
      </c>
      <c r="N1756" s="15" t="s">
        <v>36</v>
      </c>
      <c r="O1756" s="15" t="s">
        <v>170</v>
      </c>
      <c r="P1756" s="20" t="s">
        <v>1271</v>
      </c>
      <c r="Q1756" s="15" t="s">
        <v>83</v>
      </c>
      <c r="R1756" s="4"/>
      <c r="S1756" s="4"/>
    </row>
    <row r="1757" spans="1:19" ht="21" customHeight="1" x14ac:dyDescent="0.25">
      <c r="A1757" s="14">
        <f>DATE(2012,12,31)-1168</f>
        <v>40106</v>
      </c>
      <c r="B1757" s="15" t="s">
        <v>1409</v>
      </c>
      <c r="C1757" s="15" t="s">
        <v>51</v>
      </c>
      <c r="D1757" s="16">
        <v>31</v>
      </c>
      <c r="E1757" s="17">
        <v>1768.9689999999998</v>
      </c>
      <c r="F1757" s="16">
        <v>0</v>
      </c>
      <c r="G1757" s="15" t="s">
        <v>101</v>
      </c>
      <c r="H1757" s="18">
        <v>341.1</v>
      </c>
      <c r="I1757" s="19">
        <v>65.989999999999995</v>
      </c>
      <c r="J1757" s="19">
        <v>5.99</v>
      </c>
      <c r="K1757" s="19" t="s">
        <v>124</v>
      </c>
      <c r="L1757" s="19" t="s">
        <v>160</v>
      </c>
      <c r="M1757" s="15" t="s">
        <v>1621</v>
      </c>
      <c r="N1757" s="15" t="s">
        <v>64</v>
      </c>
      <c r="O1757" s="15" t="s">
        <v>65</v>
      </c>
      <c r="P1757" s="20" t="s">
        <v>1573</v>
      </c>
      <c r="Q1757" s="15" t="s">
        <v>83</v>
      </c>
      <c r="R1757" s="4"/>
      <c r="S1757" s="4"/>
    </row>
    <row r="1758" spans="1:19" ht="21" customHeight="1" x14ac:dyDescent="0.25">
      <c r="A1758" s="14">
        <f>DATE(2012,12,31)-443</f>
        <v>40831</v>
      </c>
      <c r="B1758" s="15" t="s">
        <v>1664</v>
      </c>
      <c r="C1758" s="15" t="s">
        <v>85</v>
      </c>
      <c r="D1758" s="16">
        <v>13</v>
      </c>
      <c r="E1758" s="17">
        <v>189.99</v>
      </c>
      <c r="F1758" s="16">
        <v>0.03</v>
      </c>
      <c r="G1758" s="15" t="s">
        <v>101</v>
      </c>
      <c r="H1758" s="18">
        <v>72.819500000000005</v>
      </c>
      <c r="I1758" s="19">
        <v>12.97</v>
      </c>
      <c r="J1758" s="19">
        <v>1.49</v>
      </c>
      <c r="K1758" s="19" t="s">
        <v>33</v>
      </c>
      <c r="L1758" s="19" t="s">
        <v>145</v>
      </c>
      <c r="M1758" s="15" t="s">
        <v>1555</v>
      </c>
      <c r="N1758" s="15" t="s">
        <v>36</v>
      </c>
      <c r="O1758" s="15" t="s">
        <v>170</v>
      </c>
      <c r="P1758" s="20" t="s">
        <v>873</v>
      </c>
      <c r="Q1758" s="15" t="s">
        <v>83</v>
      </c>
      <c r="R1758" s="4"/>
      <c r="S1758" s="4"/>
    </row>
    <row r="1759" spans="1:19" ht="21" customHeight="1" x14ac:dyDescent="0.25">
      <c r="A1759" s="14">
        <f>DATE(2012,12,31)-741</f>
        <v>40533</v>
      </c>
      <c r="B1759" s="15" t="s">
        <v>1402</v>
      </c>
      <c r="C1759" s="15" t="s">
        <v>31</v>
      </c>
      <c r="D1759" s="16">
        <v>29</v>
      </c>
      <c r="E1759" s="17">
        <v>2360.98</v>
      </c>
      <c r="F1759" s="16">
        <v>0.02</v>
      </c>
      <c r="G1759" s="15" t="s">
        <v>32</v>
      </c>
      <c r="H1759" s="18">
        <v>611.92999999999995</v>
      </c>
      <c r="I1759" s="19">
        <v>78.650000000000006</v>
      </c>
      <c r="J1759" s="19">
        <v>13.99</v>
      </c>
      <c r="K1759" s="19" t="s">
        <v>33</v>
      </c>
      <c r="L1759" s="19" t="s">
        <v>34</v>
      </c>
      <c r="M1759" s="15" t="s">
        <v>1359</v>
      </c>
      <c r="N1759" s="15" t="s">
        <v>36</v>
      </c>
      <c r="O1759" s="15" t="s">
        <v>176</v>
      </c>
      <c r="P1759" s="20" t="s">
        <v>1665</v>
      </c>
      <c r="Q1759" s="15" t="s">
        <v>57</v>
      </c>
      <c r="R1759" s="4"/>
      <c r="S1759" s="4"/>
    </row>
    <row r="1760" spans="1:19" ht="21" customHeight="1" x14ac:dyDescent="0.25">
      <c r="A1760" s="14">
        <f>DATE(2012,12,31)-741</f>
        <v>40533</v>
      </c>
      <c r="B1760" s="15" t="s">
        <v>1402</v>
      </c>
      <c r="C1760" s="15" t="s">
        <v>31</v>
      </c>
      <c r="D1760" s="16">
        <v>49</v>
      </c>
      <c r="E1760" s="17">
        <v>182.2</v>
      </c>
      <c r="F1760" s="16">
        <v>0.09</v>
      </c>
      <c r="G1760" s="15" t="s">
        <v>101</v>
      </c>
      <c r="H1760" s="18">
        <v>82.21</v>
      </c>
      <c r="I1760" s="19">
        <v>3.75</v>
      </c>
      <c r="J1760" s="19">
        <v>0.5</v>
      </c>
      <c r="K1760" s="19" t="s">
        <v>111</v>
      </c>
      <c r="L1760" s="19" t="s">
        <v>112</v>
      </c>
      <c r="M1760" s="15" t="s">
        <v>1601</v>
      </c>
      <c r="N1760" s="15" t="s">
        <v>36</v>
      </c>
      <c r="O1760" s="15" t="s">
        <v>114</v>
      </c>
      <c r="P1760" s="20" t="s">
        <v>1666</v>
      </c>
      <c r="Q1760" s="15" t="s">
        <v>83</v>
      </c>
      <c r="R1760" s="4"/>
      <c r="S1760" s="4"/>
    </row>
    <row r="1761" spans="1:19" ht="21" customHeight="1" x14ac:dyDescent="0.25">
      <c r="A1761" s="14">
        <f>DATE(2012,12,31)-996</f>
        <v>40278</v>
      </c>
      <c r="B1761" s="15" t="s">
        <v>772</v>
      </c>
      <c r="C1761" s="15" t="s">
        <v>85</v>
      </c>
      <c r="D1761" s="16">
        <v>3</v>
      </c>
      <c r="E1761" s="17">
        <v>15.64</v>
      </c>
      <c r="F1761" s="16">
        <v>0.08</v>
      </c>
      <c r="G1761" s="15" t="s">
        <v>32</v>
      </c>
      <c r="H1761" s="18">
        <v>-16.007999999999999</v>
      </c>
      <c r="I1761" s="19">
        <v>3.36</v>
      </c>
      <c r="J1761" s="19">
        <v>6.27</v>
      </c>
      <c r="K1761" s="19" t="s">
        <v>44</v>
      </c>
      <c r="L1761" s="19" t="s">
        <v>120</v>
      </c>
      <c r="M1761" s="15" t="s">
        <v>121</v>
      </c>
      <c r="N1761" s="15" t="s">
        <v>36</v>
      </c>
      <c r="O1761" s="15" t="s">
        <v>170</v>
      </c>
      <c r="P1761" s="20" t="s">
        <v>652</v>
      </c>
      <c r="Q1761" s="15" t="s">
        <v>83</v>
      </c>
      <c r="R1761" s="4"/>
      <c r="S1761" s="4"/>
    </row>
    <row r="1762" spans="1:19" ht="21" customHeight="1" x14ac:dyDescent="0.25">
      <c r="A1762" s="14">
        <f>DATE(2012,12,31)-996</f>
        <v>40278</v>
      </c>
      <c r="B1762" s="15" t="s">
        <v>772</v>
      </c>
      <c r="C1762" s="15" t="s">
        <v>85</v>
      </c>
      <c r="D1762" s="16">
        <v>28</v>
      </c>
      <c r="E1762" s="17">
        <v>1751.08</v>
      </c>
      <c r="F1762" s="16">
        <v>0</v>
      </c>
      <c r="G1762" s="15" t="s">
        <v>32</v>
      </c>
      <c r="H1762" s="18">
        <v>587.01</v>
      </c>
      <c r="I1762" s="19">
        <v>59.78</v>
      </c>
      <c r="J1762" s="19">
        <v>10.29</v>
      </c>
      <c r="K1762" s="19" t="s">
        <v>44</v>
      </c>
      <c r="L1762" s="19" t="s">
        <v>45</v>
      </c>
      <c r="M1762" s="15" t="s">
        <v>1572</v>
      </c>
      <c r="N1762" s="15" t="s">
        <v>36</v>
      </c>
      <c r="O1762" s="15" t="s">
        <v>170</v>
      </c>
      <c r="P1762" s="20" t="s">
        <v>1335</v>
      </c>
      <c r="Q1762" s="15" t="s">
        <v>83</v>
      </c>
      <c r="R1762" s="4"/>
      <c r="S1762" s="4"/>
    </row>
    <row r="1763" spans="1:19" ht="21" customHeight="1" x14ac:dyDescent="0.25">
      <c r="A1763" s="14">
        <f>DATE(2012,12,31)-996</f>
        <v>40278</v>
      </c>
      <c r="B1763" s="15" t="s">
        <v>772</v>
      </c>
      <c r="C1763" s="15" t="s">
        <v>85</v>
      </c>
      <c r="D1763" s="16">
        <v>18</v>
      </c>
      <c r="E1763" s="17">
        <v>225.37</v>
      </c>
      <c r="F1763" s="16">
        <v>0.04</v>
      </c>
      <c r="G1763" s="15" t="s">
        <v>101</v>
      </c>
      <c r="H1763" s="18">
        <v>77.53</v>
      </c>
      <c r="I1763" s="19">
        <v>12.22</v>
      </c>
      <c r="J1763" s="19">
        <v>2.85</v>
      </c>
      <c r="K1763" s="19" t="s">
        <v>44</v>
      </c>
      <c r="L1763" s="19" t="s">
        <v>89</v>
      </c>
      <c r="M1763" s="15" t="s">
        <v>1341</v>
      </c>
      <c r="N1763" s="15" t="s">
        <v>54</v>
      </c>
      <c r="O1763" s="15" t="s">
        <v>55</v>
      </c>
      <c r="P1763" s="20" t="s">
        <v>1073</v>
      </c>
      <c r="Q1763" s="15" t="s">
        <v>49</v>
      </c>
      <c r="R1763" s="4"/>
      <c r="S1763" s="4"/>
    </row>
    <row r="1764" spans="1:19" ht="21" customHeight="1" x14ac:dyDescent="0.25">
      <c r="A1764" s="14">
        <f>DATE(2012,12,31)-678</f>
        <v>40596</v>
      </c>
      <c r="B1764" s="15" t="s">
        <v>768</v>
      </c>
      <c r="C1764" s="15" t="s">
        <v>31</v>
      </c>
      <c r="D1764" s="16">
        <v>2</v>
      </c>
      <c r="E1764" s="17">
        <v>107.12</v>
      </c>
      <c r="F1764" s="16">
        <v>0.08</v>
      </c>
      <c r="G1764" s="15" t="s">
        <v>32</v>
      </c>
      <c r="H1764" s="18">
        <v>-54.87</v>
      </c>
      <c r="I1764" s="19">
        <v>55.98</v>
      </c>
      <c r="J1764" s="19">
        <v>4.8600000000000003</v>
      </c>
      <c r="K1764" s="19" t="s">
        <v>44</v>
      </c>
      <c r="L1764" s="19" t="s">
        <v>120</v>
      </c>
      <c r="M1764" s="15" t="s">
        <v>121</v>
      </c>
      <c r="N1764" s="15" t="s">
        <v>36</v>
      </c>
      <c r="O1764" s="15" t="s">
        <v>117</v>
      </c>
      <c r="P1764" s="20" t="s">
        <v>584</v>
      </c>
      <c r="Q1764" s="15" t="s">
        <v>83</v>
      </c>
      <c r="R1764" s="4"/>
      <c r="S1764" s="4"/>
    </row>
    <row r="1765" spans="1:19" ht="21" customHeight="1" x14ac:dyDescent="0.25">
      <c r="A1765" s="14">
        <f>DATE(2012,12,31)-678</f>
        <v>40596</v>
      </c>
      <c r="B1765" s="15" t="s">
        <v>768</v>
      </c>
      <c r="C1765" s="15" t="s">
        <v>31</v>
      </c>
      <c r="D1765" s="16">
        <v>25</v>
      </c>
      <c r="E1765" s="17">
        <v>676.24</v>
      </c>
      <c r="F1765" s="16">
        <v>0.05</v>
      </c>
      <c r="G1765" s="15" t="s">
        <v>32</v>
      </c>
      <c r="H1765" s="18">
        <v>219.78</v>
      </c>
      <c r="I1765" s="19">
        <v>26.38</v>
      </c>
      <c r="J1765" s="19">
        <v>5.86</v>
      </c>
      <c r="K1765" s="19" t="s">
        <v>33</v>
      </c>
      <c r="L1765" s="19" t="s">
        <v>128</v>
      </c>
      <c r="M1765" s="15" t="s">
        <v>129</v>
      </c>
      <c r="N1765" s="15" t="s">
        <v>36</v>
      </c>
      <c r="O1765" s="15" t="s">
        <v>117</v>
      </c>
      <c r="P1765" s="20" t="s">
        <v>1667</v>
      </c>
      <c r="Q1765" s="15" t="s">
        <v>83</v>
      </c>
      <c r="R1765" s="4"/>
      <c r="S1765" s="4"/>
    </row>
    <row r="1766" spans="1:19" ht="21" customHeight="1" x14ac:dyDescent="0.25">
      <c r="A1766" s="14">
        <f>DATE(2012,12,31)-678</f>
        <v>40596</v>
      </c>
      <c r="B1766" s="15" t="s">
        <v>768</v>
      </c>
      <c r="C1766" s="15" t="s">
        <v>31</v>
      </c>
      <c r="D1766" s="16">
        <v>24</v>
      </c>
      <c r="E1766" s="17">
        <v>3668.6</v>
      </c>
      <c r="F1766" s="16">
        <v>7.0000000000000007E-2</v>
      </c>
      <c r="G1766" s="15" t="s">
        <v>32</v>
      </c>
      <c r="H1766" s="18">
        <v>993.15</v>
      </c>
      <c r="I1766" s="19">
        <v>155.06</v>
      </c>
      <c r="J1766" s="19">
        <v>7.07</v>
      </c>
      <c r="K1766" s="19" t="s">
        <v>33</v>
      </c>
      <c r="L1766" s="19" t="s">
        <v>93</v>
      </c>
      <c r="M1766" s="15" t="s">
        <v>94</v>
      </c>
      <c r="N1766" s="15" t="s">
        <v>36</v>
      </c>
      <c r="O1766" s="15" t="s">
        <v>37</v>
      </c>
      <c r="P1766" s="20" t="s">
        <v>1107</v>
      </c>
      <c r="Q1766" s="15" t="s">
        <v>83</v>
      </c>
      <c r="R1766" s="4"/>
      <c r="S1766" s="4"/>
    </row>
    <row r="1767" spans="1:19" ht="21" customHeight="1" x14ac:dyDescent="0.25">
      <c r="A1767" s="14">
        <f>DATE(2012,12,31)-1344</f>
        <v>39930</v>
      </c>
      <c r="B1767" s="15" t="s">
        <v>785</v>
      </c>
      <c r="C1767" s="15" t="s">
        <v>85</v>
      </c>
      <c r="D1767" s="16">
        <v>10</v>
      </c>
      <c r="E1767" s="17">
        <v>564.85</v>
      </c>
      <c r="F1767" s="16">
        <v>0.09</v>
      </c>
      <c r="G1767" s="15" t="s">
        <v>101</v>
      </c>
      <c r="H1767" s="18">
        <v>181.02449999999999</v>
      </c>
      <c r="I1767" s="19">
        <v>58.1</v>
      </c>
      <c r="J1767" s="19">
        <v>1.49</v>
      </c>
      <c r="K1767" s="19" t="s">
        <v>44</v>
      </c>
      <c r="L1767" s="19" t="s">
        <v>52</v>
      </c>
      <c r="M1767" s="15" t="s">
        <v>1300</v>
      </c>
      <c r="N1767" s="15" t="s">
        <v>36</v>
      </c>
      <c r="O1767" s="15" t="s">
        <v>170</v>
      </c>
      <c r="P1767" s="20" t="s">
        <v>1104</v>
      </c>
      <c r="Q1767" s="15" t="s">
        <v>83</v>
      </c>
      <c r="R1767" s="4"/>
      <c r="S1767" s="4"/>
    </row>
    <row r="1768" spans="1:19" ht="21" customHeight="1" x14ac:dyDescent="0.25">
      <c r="A1768" s="14">
        <f>DATE(2012,12,31)-1344</f>
        <v>39930</v>
      </c>
      <c r="B1768" s="15" t="s">
        <v>785</v>
      </c>
      <c r="C1768" s="15" t="s">
        <v>85</v>
      </c>
      <c r="D1768" s="16">
        <v>14</v>
      </c>
      <c r="E1768" s="17">
        <v>572.33000000000004</v>
      </c>
      <c r="F1768" s="16">
        <v>0.01</v>
      </c>
      <c r="G1768" s="15" t="s">
        <v>32</v>
      </c>
      <c r="H1768" s="18">
        <v>-62.28</v>
      </c>
      <c r="I1768" s="19">
        <v>39.979999999999997</v>
      </c>
      <c r="J1768" s="19">
        <v>7.12</v>
      </c>
      <c r="K1768" s="19" t="s">
        <v>33</v>
      </c>
      <c r="L1768" s="19" t="s">
        <v>59</v>
      </c>
      <c r="M1768" s="15" t="s">
        <v>1361</v>
      </c>
      <c r="N1768" s="15" t="s">
        <v>64</v>
      </c>
      <c r="O1768" s="15" t="s">
        <v>72</v>
      </c>
      <c r="P1768" s="20" t="s">
        <v>1468</v>
      </c>
      <c r="Q1768" s="15" t="s">
        <v>83</v>
      </c>
      <c r="R1768" s="4"/>
      <c r="S1768" s="4"/>
    </row>
    <row r="1769" spans="1:19" ht="21" customHeight="1" x14ac:dyDescent="0.25">
      <c r="A1769" s="14">
        <f>DATE(2012,12,31)-1018</f>
        <v>40256</v>
      </c>
      <c r="B1769" s="15" t="s">
        <v>836</v>
      </c>
      <c r="C1769" s="15" t="s">
        <v>31</v>
      </c>
      <c r="D1769" s="16">
        <v>22</v>
      </c>
      <c r="E1769" s="17">
        <v>345.69</v>
      </c>
      <c r="F1769" s="16">
        <v>0.02</v>
      </c>
      <c r="G1769" s="15" t="s">
        <v>32</v>
      </c>
      <c r="H1769" s="18">
        <v>143.22999999999999</v>
      </c>
      <c r="I1769" s="19">
        <v>15.04</v>
      </c>
      <c r="J1769" s="19">
        <v>1.97</v>
      </c>
      <c r="K1769" s="19" t="s">
        <v>69</v>
      </c>
      <c r="L1769" s="19" t="s">
        <v>75</v>
      </c>
      <c r="M1769" s="15" t="s">
        <v>1569</v>
      </c>
      <c r="N1769" s="15" t="s">
        <v>36</v>
      </c>
      <c r="O1769" s="15" t="s">
        <v>117</v>
      </c>
      <c r="P1769" s="20" t="s">
        <v>1662</v>
      </c>
      <c r="Q1769" s="15" t="s">
        <v>79</v>
      </c>
      <c r="R1769" s="4"/>
      <c r="S1769" s="4"/>
    </row>
    <row r="1770" spans="1:19" ht="21" customHeight="1" x14ac:dyDescent="0.25">
      <c r="A1770" s="14">
        <f>DATE(2012,12,31)-1446</f>
        <v>39828</v>
      </c>
      <c r="B1770" s="15" t="s">
        <v>1668</v>
      </c>
      <c r="C1770" s="15" t="s">
        <v>51</v>
      </c>
      <c r="D1770" s="16">
        <v>25</v>
      </c>
      <c r="E1770" s="17">
        <v>201.06</v>
      </c>
      <c r="F1770" s="16">
        <v>0.08</v>
      </c>
      <c r="G1770" s="15" t="s">
        <v>101</v>
      </c>
      <c r="H1770" s="18">
        <v>-80.86</v>
      </c>
      <c r="I1770" s="19">
        <v>8.09</v>
      </c>
      <c r="J1770" s="19">
        <v>7.96</v>
      </c>
      <c r="K1770" s="19" t="s">
        <v>33</v>
      </c>
      <c r="L1770" s="19" t="s">
        <v>145</v>
      </c>
      <c r="M1770" s="15" t="s">
        <v>1555</v>
      </c>
      <c r="N1770" s="15" t="s">
        <v>54</v>
      </c>
      <c r="O1770" s="15" t="s">
        <v>55</v>
      </c>
      <c r="P1770" s="20" t="s">
        <v>1155</v>
      </c>
      <c r="Q1770" s="15" t="s">
        <v>83</v>
      </c>
      <c r="R1770" s="4"/>
      <c r="S1770" s="4"/>
    </row>
    <row r="1771" spans="1:19" ht="21" customHeight="1" x14ac:dyDescent="0.25">
      <c r="A1771" s="14">
        <f>DATE(2012,12,31)-1056</f>
        <v>40218</v>
      </c>
      <c r="B1771" s="15" t="s">
        <v>256</v>
      </c>
      <c r="C1771" s="15" t="s">
        <v>31</v>
      </c>
      <c r="D1771" s="16">
        <v>44</v>
      </c>
      <c r="E1771" s="17">
        <v>21506.77</v>
      </c>
      <c r="F1771" s="16">
        <v>0.06</v>
      </c>
      <c r="G1771" s="15" t="s">
        <v>32</v>
      </c>
      <c r="H1771" s="18">
        <v>1260.51</v>
      </c>
      <c r="I1771" s="19">
        <v>499.99</v>
      </c>
      <c r="J1771" s="19">
        <v>24.49</v>
      </c>
      <c r="K1771" s="19" t="s">
        <v>33</v>
      </c>
      <c r="L1771" s="19" t="s">
        <v>59</v>
      </c>
      <c r="M1771" s="15" t="s">
        <v>1361</v>
      </c>
      <c r="N1771" s="15" t="s">
        <v>64</v>
      </c>
      <c r="O1771" s="15" t="s">
        <v>460</v>
      </c>
      <c r="P1771" s="20" t="s">
        <v>1118</v>
      </c>
      <c r="Q1771" s="15" t="s">
        <v>39</v>
      </c>
      <c r="R1771" s="4"/>
      <c r="S1771" s="4"/>
    </row>
    <row r="1772" spans="1:19" ht="21" customHeight="1" x14ac:dyDescent="0.25">
      <c r="A1772" s="14">
        <f>DATE(2012,12,31)-1056</f>
        <v>40218</v>
      </c>
      <c r="B1772" s="15" t="s">
        <v>256</v>
      </c>
      <c r="C1772" s="15" t="s">
        <v>31</v>
      </c>
      <c r="D1772" s="16">
        <v>28</v>
      </c>
      <c r="E1772" s="17">
        <v>669.02</v>
      </c>
      <c r="F1772" s="16">
        <v>0.02</v>
      </c>
      <c r="G1772" s="15" t="s">
        <v>58</v>
      </c>
      <c r="H1772" s="18">
        <v>-1274.02</v>
      </c>
      <c r="I1772" s="19">
        <v>20.98</v>
      </c>
      <c r="J1772" s="19">
        <v>53.03</v>
      </c>
      <c r="K1772" s="19" t="s">
        <v>33</v>
      </c>
      <c r="L1772" s="19" t="s">
        <v>59</v>
      </c>
      <c r="M1772" s="15" t="s">
        <v>1361</v>
      </c>
      <c r="N1772" s="15" t="s">
        <v>36</v>
      </c>
      <c r="O1772" s="15" t="s">
        <v>37</v>
      </c>
      <c r="P1772" s="20" t="s">
        <v>180</v>
      </c>
      <c r="Q1772" s="15" t="s">
        <v>181</v>
      </c>
      <c r="R1772" s="4"/>
      <c r="S1772" s="4"/>
    </row>
    <row r="1773" spans="1:19" ht="21" customHeight="1" x14ac:dyDescent="0.25">
      <c r="A1773" s="14">
        <f>DATE(2012,12,31)-1137</f>
        <v>40137</v>
      </c>
      <c r="B1773" s="15" t="s">
        <v>1656</v>
      </c>
      <c r="C1773" s="15" t="s">
        <v>85</v>
      </c>
      <c r="D1773" s="16">
        <v>46</v>
      </c>
      <c r="E1773" s="17">
        <v>2494.69</v>
      </c>
      <c r="F1773" s="16">
        <v>0.09</v>
      </c>
      <c r="G1773" s="15" t="s">
        <v>58</v>
      </c>
      <c r="H1773" s="18">
        <v>-937.06</v>
      </c>
      <c r="I1773" s="19">
        <v>58.14</v>
      </c>
      <c r="J1773" s="19">
        <v>36.61</v>
      </c>
      <c r="K1773" s="19" t="s">
        <v>33</v>
      </c>
      <c r="L1773" s="19" t="s">
        <v>145</v>
      </c>
      <c r="M1773" s="15" t="s">
        <v>1555</v>
      </c>
      <c r="N1773" s="15" t="s">
        <v>54</v>
      </c>
      <c r="O1773" s="15" t="s">
        <v>134</v>
      </c>
      <c r="P1773" s="20" t="s">
        <v>1299</v>
      </c>
      <c r="Q1773" s="15" t="s">
        <v>63</v>
      </c>
      <c r="R1773" s="4"/>
      <c r="S1773" s="4"/>
    </row>
    <row r="1774" spans="1:19" ht="21" customHeight="1" x14ac:dyDescent="0.25">
      <c r="A1774" s="14">
        <f>DATE(2012,12,31)-947</f>
        <v>40327</v>
      </c>
      <c r="B1774" s="15" t="s">
        <v>1426</v>
      </c>
      <c r="C1774" s="15" t="s">
        <v>51</v>
      </c>
      <c r="D1774" s="16">
        <v>20</v>
      </c>
      <c r="E1774" s="17">
        <v>2213.92</v>
      </c>
      <c r="F1774" s="16">
        <v>0.03</v>
      </c>
      <c r="G1774" s="15" t="s">
        <v>32</v>
      </c>
      <c r="H1774" s="18">
        <v>768.34</v>
      </c>
      <c r="I1774" s="19">
        <v>105.98</v>
      </c>
      <c r="J1774" s="19">
        <v>13.99</v>
      </c>
      <c r="K1774" s="19" t="s">
        <v>33</v>
      </c>
      <c r="L1774" s="19" t="s">
        <v>145</v>
      </c>
      <c r="M1774" s="15" t="s">
        <v>1555</v>
      </c>
      <c r="N1774" s="15" t="s">
        <v>54</v>
      </c>
      <c r="O1774" s="15" t="s">
        <v>55</v>
      </c>
      <c r="P1774" s="20" t="s">
        <v>1151</v>
      </c>
      <c r="Q1774" s="15" t="s">
        <v>57</v>
      </c>
      <c r="R1774" s="4"/>
      <c r="S1774" s="4"/>
    </row>
    <row r="1775" spans="1:19" ht="21" customHeight="1" x14ac:dyDescent="0.25">
      <c r="A1775" s="14">
        <f>DATE(2012,12,31)-1089</f>
        <v>40185</v>
      </c>
      <c r="B1775" s="15" t="s">
        <v>1512</v>
      </c>
      <c r="C1775" s="15" t="s">
        <v>31</v>
      </c>
      <c r="D1775" s="16">
        <v>44</v>
      </c>
      <c r="E1775" s="17">
        <v>159.41</v>
      </c>
      <c r="F1775" s="16">
        <v>0</v>
      </c>
      <c r="G1775" s="15" t="s">
        <v>101</v>
      </c>
      <c r="H1775" s="18">
        <v>34.68</v>
      </c>
      <c r="I1775" s="19">
        <v>3.28</v>
      </c>
      <c r="J1775" s="19">
        <v>0.98</v>
      </c>
      <c r="K1775" s="19" t="s">
        <v>33</v>
      </c>
      <c r="L1775" s="19" t="s">
        <v>145</v>
      </c>
      <c r="M1775" s="15" t="s">
        <v>1555</v>
      </c>
      <c r="N1775" s="15" t="s">
        <v>36</v>
      </c>
      <c r="O1775" s="15" t="s">
        <v>77</v>
      </c>
      <c r="P1775" s="20" t="s">
        <v>1669</v>
      </c>
      <c r="Q1775" s="15" t="s">
        <v>79</v>
      </c>
      <c r="R1775" s="4"/>
      <c r="S1775" s="4"/>
    </row>
    <row r="1776" spans="1:19" ht="21" customHeight="1" x14ac:dyDescent="0.25">
      <c r="A1776" s="14">
        <f>DATE(2012,12,31)-867</f>
        <v>40407</v>
      </c>
      <c r="B1776" s="15" t="s">
        <v>1023</v>
      </c>
      <c r="C1776" s="15" t="s">
        <v>85</v>
      </c>
      <c r="D1776" s="16">
        <v>37</v>
      </c>
      <c r="E1776" s="17">
        <v>2116.62</v>
      </c>
      <c r="F1776" s="16">
        <v>0.06</v>
      </c>
      <c r="G1776" s="15" t="s">
        <v>32</v>
      </c>
      <c r="H1776" s="18">
        <v>745.45</v>
      </c>
      <c r="I1776" s="19">
        <v>55.98</v>
      </c>
      <c r="J1776" s="19">
        <v>13.88</v>
      </c>
      <c r="K1776" s="19" t="s">
        <v>33</v>
      </c>
      <c r="L1776" s="19" t="s">
        <v>34</v>
      </c>
      <c r="M1776" s="15" t="s">
        <v>1359</v>
      </c>
      <c r="N1776" s="15" t="s">
        <v>36</v>
      </c>
      <c r="O1776" s="15" t="s">
        <v>117</v>
      </c>
      <c r="P1776" s="20" t="s">
        <v>1127</v>
      </c>
      <c r="Q1776" s="15" t="s">
        <v>83</v>
      </c>
      <c r="R1776" s="4"/>
      <c r="S1776" s="4"/>
    </row>
    <row r="1777" spans="1:19" ht="21" customHeight="1" x14ac:dyDescent="0.25">
      <c r="A1777" s="14">
        <f>DATE(2012,12,31)-316</f>
        <v>40958</v>
      </c>
      <c r="B1777" s="15" t="s">
        <v>409</v>
      </c>
      <c r="C1777" s="15" t="s">
        <v>85</v>
      </c>
      <c r="D1777" s="16">
        <v>32</v>
      </c>
      <c r="E1777" s="17">
        <v>1486.72</v>
      </c>
      <c r="F1777" s="16">
        <v>0</v>
      </c>
      <c r="G1777" s="15" t="s">
        <v>32</v>
      </c>
      <c r="H1777" s="18">
        <v>294.81</v>
      </c>
      <c r="I1777" s="19">
        <v>43.98</v>
      </c>
      <c r="J1777" s="19">
        <v>8.99</v>
      </c>
      <c r="K1777" s="19" t="s">
        <v>69</v>
      </c>
      <c r="L1777" s="19" t="s">
        <v>70</v>
      </c>
      <c r="M1777" s="15" t="s">
        <v>1492</v>
      </c>
      <c r="N1777" s="15" t="s">
        <v>36</v>
      </c>
      <c r="O1777" s="15" t="s">
        <v>77</v>
      </c>
      <c r="P1777" s="20" t="s">
        <v>173</v>
      </c>
      <c r="Q1777" s="15" t="s">
        <v>49</v>
      </c>
      <c r="R1777" s="4"/>
      <c r="S1777" s="4"/>
    </row>
    <row r="1778" spans="1:19" ht="21" customHeight="1" x14ac:dyDescent="0.25">
      <c r="A1778" s="14">
        <f>DATE(2012,12,31)-316</f>
        <v>40958</v>
      </c>
      <c r="B1778" s="15" t="s">
        <v>409</v>
      </c>
      <c r="C1778" s="15" t="s">
        <v>85</v>
      </c>
      <c r="D1778" s="16">
        <v>45</v>
      </c>
      <c r="E1778" s="17">
        <v>558.04</v>
      </c>
      <c r="F1778" s="16">
        <v>0.05</v>
      </c>
      <c r="G1778" s="15" t="s">
        <v>32</v>
      </c>
      <c r="H1778" s="18">
        <v>40.32</v>
      </c>
      <c r="I1778" s="19">
        <v>12.98</v>
      </c>
      <c r="J1778" s="19">
        <v>3.14</v>
      </c>
      <c r="K1778" s="19" t="s">
        <v>69</v>
      </c>
      <c r="L1778" s="19" t="s">
        <v>70</v>
      </c>
      <c r="M1778" s="15" t="s">
        <v>1492</v>
      </c>
      <c r="N1778" s="15" t="s">
        <v>36</v>
      </c>
      <c r="O1778" s="15" t="s">
        <v>47</v>
      </c>
      <c r="P1778" s="20" t="s">
        <v>152</v>
      </c>
      <c r="Q1778" s="15" t="s">
        <v>49</v>
      </c>
      <c r="R1778" s="4"/>
      <c r="S1778" s="4"/>
    </row>
    <row r="1779" spans="1:19" ht="21" customHeight="1" x14ac:dyDescent="0.25">
      <c r="A1779" s="14">
        <f>DATE(2012,12,31)-1029</f>
        <v>40245</v>
      </c>
      <c r="B1779" s="15" t="s">
        <v>212</v>
      </c>
      <c r="C1779" s="15" t="s">
        <v>31</v>
      </c>
      <c r="D1779" s="16">
        <v>2</v>
      </c>
      <c r="E1779" s="17">
        <v>25.52</v>
      </c>
      <c r="F1779" s="16">
        <v>0.01</v>
      </c>
      <c r="G1779" s="15" t="s">
        <v>32</v>
      </c>
      <c r="H1779" s="18">
        <v>21.77</v>
      </c>
      <c r="I1779" s="19">
        <v>9.65</v>
      </c>
      <c r="J1779" s="19">
        <v>6.22</v>
      </c>
      <c r="K1779" s="19" t="s">
        <v>69</v>
      </c>
      <c r="L1779" s="19" t="s">
        <v>70</v>
      </c>
      <c r="M1779" s="15" t="s">
        <v>1492</v>
      </c>
      <c r="N1779" s="15" t="s">
        <v>54</v>
      </c>
      <c r="O1779" s="15" t="s">
        <v>55</v>
      </c>
      <c r="P1779" s="20" t="s">
        <v>490</v>
      </c>
      <c r="Q1779" s="15" t="s">
        <v>83</v>
      </c>
      <c r="R1779" s="4"/>
      <c r="S1779" s="4"/>
    </row>
    <row r="1780" spans="1:19" ht="21" customHeight="1" x14ac:dyDescent="0.25">
      <c r="A1780" s="14">
        <f>DATE(2012,12,31)-922</f>
        <v>40352</v>
      </c>
      <c r="B1780" s="15" t="s">
        <v>1605</v>
      </c>
      <c r="C1780" s="15" t="s">
        <v>51</v>
      </c>
      <c r="D1780" s="16">
        <v>39</v>
      </c>
      <c r="E1780" s="17">
        <v>677.51800000000003</v>
      </c>
      <c r="F1780" s="16">
        <v>0.09</v>
      </c>
      <c r="G1780" s="15" t="s">
        <v>32</v>
      </c>
      <c r="H1780" s="18">
        <v>168.21899999999999</v>
      </c>
      <c r="I1780" s="19">
        <v>20.99</v>
      </c>
      <c r="J1780" s="19">
        <v>0.99</v>
      </c>
      <c r="K1780" s="19" t="s">
        <v>69</v>
      </c>
      <c r="L1780" s="19" t="s">
        <v>75</v>
      </c>
      <c r="M1780" s="15" t="s">
        <v>1569</v>
      </c>
      <c r="N1780" s="15" t="s">
        <v>64</v>
      </c>
      <c r="O1780" s="15" t="s">
        <v>65</v>
      </c>
      <c r="P1780" s="20" t="s">
        <v>1616</v>
      </c>
      <c r="Q1780" s="15" t="s">
        <v>79</v>
      </c>
      <c r="R1780" s="4"/>
      <c r="S1780" s="4"/>
    </row>
    <row r="1781" spans="1:19" ht="21" customHeight="1" x14ac:dyDescent="0.25">
      <c r="A1781" s="14">
        <f>DATE(2012,12,31)-1363</f>
        <v>39911</v>
      </c>
      <c r="B1781" s="15" t="s">
        <v>373</v>
      </c>
      <c r="C1781" s="15" t="s">
        <v>85</v>
      </c>
      <c r="D1781" s="16">
        <v>34</v>
      </c>
      <c r="E1781" s="17">
        <v>1562.97</v>
      </c>
      <c r="F1781" s="16">
        <v>0.01</v>
      </c>
      <c r="G1781" s="15" t="s">
        <v>101</v>
      </c>
      <c r="H1781" s="18">
        <v>501.59</v>
      </c>
      <c r="I1781" s="19">
        <v>42.98</v>
      </c>
      <c r="J1781" s="19">
        <v>4.62</v>
      </c>
      <c r="K1781" s="19" t="s">
        <v>69</v>
      </c>
      <c r="L1781" s="19" t="s">
        <v>215</v>
      </c>
      <c r="M1781" s="15" t="s">
        <v>1388</v>
      </c>
      <c r="N1781" s="15" t="s">
        <v>36</v>
      </c>
      <c r="O1781" s="15" t="s">
        <v>176</v>
      </c>
      <c r="P1781" s="20" t="s">
        <v>1670</v>
      </c>
      <c r="Q1781" s="15" t="s">
        <v>83</v>
      </c>
      <c r="R1781" s="4"/>
      <c r="S1781" s="4"/>
    </row>
    <row r="1782" spans="1:19" ht="21" customHeight="1" x14ac:dyDescent="0.25">
      <c r="A1782" s="14">
        <f>DATE(2012,12,31)-1444</f>
        <v>39830</v>
      </c>
      <c r="B1782" s="15" t="s">
        <v>256</v>
      </c>
      <c r="C1782" s="15" t="s">
        <v>85</v>
      </c>
      <c r="D1782" s="16">
        <v>40</v>
      </c>
      <c r="E1782" s="17">
        <v>1143.49</v>
      </c>
      <c r="F1782" s="16">
        <v>0.08</v>
      </c>
      <c r="G1782" s="15" t="s">
        <v>32</v>
      </c>
      <c r="H1782" s="18">
        <v>-193.44</v>
      </c>
      <c r="I1782" s="19">
        <v>30.53</v>
      </c>
      <c r="J1782" s="19">
        <v>19.989999999999998</v>
      </c>
      <c r="K1782" s="19" t="s">
        <v>44</v>
      </c>
      <c r="L1782" s="19" t="s">
        <v>89</v>
      </c>
      <c r="M1782" s="15" t="s">
        <v>1341</v>
      </c>
      <c r="N1782" s="15" t="s">
        <v>36</v>
      </c>
      <c r="O1782" s="15" t="s">
        <v>114</v>
      </c>
      <c r="P1782" s="20" t="s">
        <v>936</v>
      </c>
      <c r="Q1782" s="15" t="s">
        <v>83</v>
      </c>
      <c r="R1782" s="4"/>
      <c r="S1782" s="4"/>
    </row>
    <row r="1783" spans="1:19" ht="21" customHeight="1" x14ac:dyDescent="0.25">
      <c r="A1783" s="14">
        <f>DATE(2012,12,31)-1444</f>
        <v>39830</v>
      </c>
      <c r="B1783" s="15" t="s">
        <v>256</v>
      </c>
      <c r="C1783" s="15" t="s">
        <v>85</v>
      </c>
      <c r="D1783" s="16">
        <v>46</v>
      </c>
      <c r="E1783" s="17">
        <v>78.08</v>
      </c>
      <c r="F1783" s="16">
        <v>0.01</v>
      </c>
      <c r="G1783" s="15" t="s">
        <v>32</v>
      </c>
      <c r="H1783" s="18">
        <v>-43.1</v>
      </c>
      <c r="I1783" s="19">
        <v>1.68</v>
      </c>
      <c r="J1783" s="19">
        <v>1.57</v>
      </c>
      <c r="K1783" s="19" t="s">
        <v>44</v>
      </c>
      <c r="L1783" s="19" t="s">
        <v>120</v>
      </c>
      <c r="M1783" s="15" t="s">
        <v>121</v>
      </c>
      <c r="N1783" s="15" t="s">
        <v>36</v>
      </c>
      <c r="O1783" s="15" t="s">
        <v>77</v>
      </c>
      <c r="P1783" s="20" t="s">
        <v>838</v>
      </c>
      <c r="Q1783" s="15" t="s">
        <v>79</v>
      </c>
      <c r="R1783" s="4"/>
      <c r="S1783" s="4"/>
    </row>
    <row r="1784" spans="1:19" ht="21" customHeight="1" x14ac:dyDescent="0.25">
      <c r="A1784" s="14">
        <f>DATE(2012,12,31)-720</f>
        <v>40554</v>
      </c>
      <c r="B1784" s="15" t="s">
        <v>1671</v>
      </c>
      <c r="C1784" s="15" t="s">
        <v>31</v>
      </c>
      <c r="D1784" s="16">
        <v>6</v>
      </c>
      <c r="E1784" s="17">
        <v>17</v>
      </c>
      <c r="F1784" s="16">
        <v>7.0000000000000007E-2</v>
      </c>
      <c r="G1784" s="15" t="s">
        <v>32</v>
      </c>
      <c r="H1784" s="18">
        <v>-4.6114999999999995</v>
      </c>
      <c r="I1784" s="19">
        <v>2.78</v>
      </c>
      <c r="J1784" s="19">
        <v>1.49</v>
      </c>
      <c r="K1784" s="19" t="s">
        <v>44</v>
      </c>
      <c r="L1784" s="19" t="s">
        <v>89</v>
      </c>
      <c r="M1784" s="15" t="s">
        <v>1341</v>
      </c>
      <c r="N1784" s="15" t="s">
        <v>36</v>
      </c>
      <c r="O1784" s="15" t="s">
        <v>170</v>
      </c>
      <c r="P1784" s="20" t="s">
        <v>1672</v>
      </c>
      <c r="Q1784" s="15" t="s">
        <v>83</v>
      </c>
      <c r="R1784" s="4"/>
      <c r="S1784" s="4"/>
    </row>
    <row r="1785" spans="1:19" ht="21" customHeight="1" x14ac:dyDescent="0.25">
      <c r="A1785" s="14">
        <f>DATE(2012,12,31)-720</f>
        <v>40554</v>
      </c>
      <c r="B1785" s="15" t="s">
        <v>1671</v>
      </c>
      <c r="C1785" s="15" t="s">
        <v>31</v>
      </c>
      <c r="D1785" s="16">
        <v>15</v>
      </c>
      <c r="E1785" s="17">
        <v>67.41</v>
      </c>
      <c r="F1785" s="16">
        <v>0.04</v>
      </c>
      <c r="G1785" s="15" t="s">
        <v>32</v>
      </c>
      <c r="H1785" s="18">
        <v>-49.6</v>
      </c>
      <c r="I1785" s="19">
        <v>4.1399999999999997</v>
      </c>
      <c r="J1785" s="19">
        <v>6.6</v>
      </c>
      <c r="K1785" s="19" t="s">
        <v>44</v>
      </c>
      <c r="L1785" s="19" t="s">
        <v>89</v>
      </c>
      <c r="M1785" s="15" t="s">
        <v>1341</v>
      </c>
      <c r="N1785" s="15" t="s">
        <v>54</v>
      </c>
      <c r="O1785" s="15" t="s">
        <v>55</v>
      </c>
      <c r="P1785" s="20" t="s">
        <v>1673</v>
      </c>
      <c r="Q1785" s="15" t="s">
        <v>83</v>
      </c>
      <c r="R1785" s="4"/>
      <c r="S1785" s="4"/>
    </row>
    <row r="1786" spans="1:19" ht="21" customHeight="1" x14ac:dyDescent="0.25">
      <c r="A1786" s="14">
        <f>DATE(2012,12,31)-720</f>
        <v>40554</v>
      </c>
      <c r="B1786" s="15" t="s">
        <v>1671</v>
      </c>
      <c r="C1786" s="15" t="s">
        <v>31</v>
      </c>
      <c r="D1786" s="16">
        <v>19</v>
      </c>
      <c r="E1786" s="17">
        <v>130.66999999999999</v>
      </c>
      <c r="F1786" s="16">
        <v>0.05</v>
      </c>
      <c r="G1786" s="15" t="s">
        <v>32</v>
      </c>
      <c r="H1786" s="18">
        <v>-77.180000000000007</v>
      </c>
      <c r="I1786" s="19">
        <v>6.48</v>
      </c>
      <c r="J1786" s="19">
        <v>7.86</v>
      </c>
      <c r="K1786" s="19" t="s">
        <v>44</v>
      </c>
      <c r="L1786" s="19" t="s">
        <v>89</v>
      </c>
      <c r="M1786" s="15" t="s">
        <v>1341</v>
      </c>
      <c r="N1786" s="15" t="s">
        <v>36</v>
      </c>
      <c r="O1786" s="15" t="s">
        <v>117</v>
      </c>
      <c r="P1786" s="20" t="s">
        <v>912</v>
      </c>
      <c r="Q1786" s="15" t="s">
        <v>83</v>
      </c>
      <c r="R1786" s="4"/>
      <c r="S1786" s="4"/>
    </row>
    <row r="1787" spans="1:19" ht="21" customHeight="1" x14ac:dyDescent="0.25">
      <c r="A1787" s="14">
        <f>DATE(2012,12,31)-720</f>
        <v>40554</v>
      </c>
      <c r="B1787" s="15" t="s">
        <v>1671</v>
      </c>
      <c r="C1787" s="15" t="s">
        <v>31</v>
      </c>
      <c r="D1787" s="16">
        <v>21</v>
      </c>
      <c r="E1787" s="17">
        <v>77.62</v>
      </c>
      <c r="F1787" s="16">
        <v>0.01</v>
      </c>
      <c r="G1787" s="15" t="s">
        <v>32</v>
      </c>
      <c r="H1787" s="18">
        <v>-50.88</v>
      </c>
      <c r="I1787" s="19">
        <v>3.28</v>
      </c>
      <c r="J1787" s="19">
        <v>3.97</v>
      </c>
      <c r="K1787" s="19" t="s">
        <v>44</v>
      </c>
      <c r="L1787" s="19" t="s">
        <v>45</v>
      </c>
      <c r="M1787" s="15" t="s">
        <v>1572</v>
      </c>
      <c r="N1787" s="15" t="s">
        <v>36</v>
      </c>
      <c r="O1787" s="15" t="s">
        <v>77</v>
      </c>
      <c r="P1787" s="20" t="s">
        <v>1663</v>
      </c>
      <c r="Q1787" s="15" t="s">
        <v>79</v>
      </c>
      <c r="R1787" s="4"/>
      <c r="S1787" s="4"/>
    </row>
    <row r="1788" spans="1:19" ht="21" customHeight="1" x14ac:dyDescent="0.25">
      <c r="A1788" s="14">
        <f>DATE(2012,12,31)-1040</f>
        <v>40234</v>
      </c>
      <c r="B1788" s="15" t="s">
        <v>823</v>
      </c>
      <c r="C1788" s="15" t="s">
        <v>43</v>
      </c>
      <c r="D1788" s="16">
        <v>32</v>
      </c>
      <c r="E1788" s="17">
        <v>383.81</v>
      </c>
      <c r="F1788" s="16">
        <v>0.03</v>
      </c>
      <c r="G1788" s="15" t="s">
        <v>32</v>
      </c>
      <c r="H1788" s="18">
        <v>-21.15</v>
      </c>
      <c r="I1788" s="19">
        <v>12.21</v>
      </c>
      <c r="J1788" s="19">
        <v>4.8099999999999996</v>
      </c>
      <c r="K1788" s="19" t="s">
        <v>44</v>
      </c>
      <c r="L1788" s="19" t="s">
        <v>45</v>
      </c>
      <c r="M1788" s="15" t="s">
        <v>1572</v>
      </c>
      <c r="N1788" s="15" t="s">
        <v>36</v>
      </c>
      <c r="O1788" s="15" t="s">
        <v>37</v>
      </c>
      <c r="P1788" s="20" t="s">
        <v>1674</v>
      </c>
      <c r="Q1788" s="15" t="s">
        <v>83</v>
      </c>
      <c r="R1788" s="4"/>
      <c r="S1788" s="4"/>
    </row>
    <row r="1789" spans="1:19" ht="21" customHeight="1" x14ac:dyDescent="0.25">
      <c r="A1789" s="14">
        <f>DATE(2012,12,31)-220</f>
        <v>41054</v>
      </c>
      <c r="B1789" s="15" t="s">
        <v>1675</v>
      </c>
      <c r="C1789" s="15" t="s">
        <v>85</v>
      </c>
      <c r="D1789" s="16">
        <v>21</v>
      </c>
      <c r="E1789" s="17">
        <v>69.06</v>
      </c>
      <c r="F1789" s="16">
        <v>0</v>
      </c>
      <c r="G1789" s="15" t="s">
        <v>32</v>
      </c>
      <c r="H1789" s="18">
        <v>28.47</v>
      </c>
      <c r="I1789" s="19">
        <v>3.08</v>
      </c>
      <c r="J1789" s="19">
        <v>0.5</v>
      </c>
      <c r="K1789" s="19" t="s">
        <v>44</v>
      </c>
      <c r="L1789" s="19" t="s">
        <v>45</v>
      </c>
      <c r="M1789" s="15" t="s">
        <v>1572</v>
      </c>
      <c r="N1789" s="15" t="s">
        <v>36</v>
      </c>
      <c r="O1789" s="15" t="s">
        <v>114</v>
      </c>
      <c r="P1789" s="20" t="s">
        <v>949</v>
      </c>
      <c r="Q1789" s="15" t="s">
        <v>83</v>
      </c>
      <c r="R1789" s="4"/>
      <c r="S1789" s="4"/>
    </row>
    <row r="1790" spans="1:19" ht="21" customHeight="1" x14ac:dyDescent="0.25">
      <c r="A1790" s="14">
        <f>DATE(2012,12,31)-220</f>
        <v>41054</v>
      </c>
      <c r="B1790" s="15" t="s">
        <v>1675</v>
      </c>
      <c r="C1790" s="15" t="s">
        <v>85</v>
      </c>
      <c r="D1790" s="16">
        <v>50</v>
      </c>
      <c r="E1790" s="17">
        <v>84.01</v>
      </c>
      <c r="F1790" s="16">
        <v>0.08</v>
      </c>
      <c r="G1790" s="15" t="s">
        <v>32</v>
      </c>
      <c r="H1790" s="18">
        <v>-4.17</v>
      </c>
      <c r="I1790" s="19">
        <v>1.81</v>
      </c>
      <c r="J1790" s="19">
        <v>0.75</v>
      </c>
      <c r="K1790" s="19" t="s">
        <v>44</v>
      </c>
      <c r="L1790" s="19" t="s">
        <v>89</v>
      </c>
      <c r="M1790" s="15" t="s">
        <v>1341</v>
      </c>
      <c r="N1790" s="15" t="s">
        <v>36</v>
      </c>
      <c r="O1790" s="15" t="s">
        <v>105</v>
      </c>
      <c r="P1790" s="20" t="s">
        <v>1195</v>
      </c>
      <c r="Q1790" s="15" t="s">
        <v>79</v>
      </c>
      <c r="R1790" s="4"/>
      <c r="S1790" s="4"/>
    </row>
    <row r="1791" spans="1:19" ht="21" customHeight="1" x14ac:dyDescent="0.25">
      <c r="A1791" s="14">
        <f>DATE(2012,12,31)-220</f>
        <v>41054</v>
      </c>
      <c r="B1791" s="15" t="s">
        <v>1675</v>
      </c>
      <c r="C1791" s="15" t="s">
        <v>85</v>
      </c>
      <c r="D1791" s="16">
        <v>34</v>
      </c>
      <c r="E1791" s="17">
        <v>592.91999999999996</v>
      </c>
      <c r="F1791" s="16">
        <v>0.02</v>
      </c>
      <c r="G1791" s="15" t="s">
        <v>101</v>
      </c>
      <c r="H1791" s="18">
        <v>-44.92</v>
      </c>
      <c r="I1791" s="19">
        <v>16.059999999999999</v>
      </c>
      <c r="J1791" s="19">
        <v>8.34</v>
      </c>
      <c r="K1791" s="19" t="s">
        <v>44</v>
      </c>
      <c r="L1791" s="19" t="s">
        <v>89</v>
      </c>
      <c r="M1791" s="15" t="s">
        <v>1341</v>
      </c>
      <c r="N1791" s="15" t="s">
        <v>36</v>
      </c>
      <c r="O1791" s="15" t="s">
        <v>37</v>
      </c>
      <c r="P1791" s="20" t="s">
        <v>1676</v>
      </c>
      <c r="Q1791" s="15" t="s">
        <v>83</v>
      </c>
      <c r="R1791" s="4"/>
      <c r="S1791" s="4"/>
    </row>
    <row r="1792" spans="1:19" ht="21" customHeight="1" x14ac:dyDescent="0.25">
      <c r="A1792" s="14">
        <f>DATE(2012,12,31)-373</f>
        <v>40901</v>
      </c>
      <c r="B1792" s="15" t="s">
        <v>183</v>
      </c>
      <c r="C1792" s="15" t="s">
        <v>43</v>
      </c>
      <c r="D1792" s="16">
        <v>20</v>
      </c>
      <c r="E1792" s="17">
        <v>761.23</v>
      </c>
      <c r="F1792" s="16">
        <v>0</v>
      </c>
      <c r="G1792" s="15" t="s">
        <v>32</v>
      </c>
      <c r="H1792" s="18">
        <v>107.93</v>
      </c>
      <c r="I1792" s="19">
        <v>35.89</v>
      </c>
      <c r="J1792" s="19">
        <v>14.72</v>
      </c>
      <c r="K1792" s="19" t="s">
        <v>44</v>
      </c>
      <c r="L1792" s="19" t="s">
        <v>89</v>
      </c>
      <c r="M1792" s="15" t="s">
        <v>1341</v>
      </c>
      <c r="N1792" s="15" t="s">
        <v>36</v>
      </c>
      <c r="O1792" s="15" t="s">
        <v>189</v>
      </c>
      <c r="P1792" s="20" t="s">
        <v>1677</v>
      </c>
      <c r="Q1792" s="15" t="s">
        <v>83</v>
      </c>
      <c r="R1792" s="4"/>
      <c r="S1792" s="4"/>
    </row>
    <row r="1793" spans="1:19" ht="21" customHeight="1" x14ac:dyDescent="0.25">
      <c r="A1793" s="14">
        <f>DATE(2012,12,31)-29</f>
        <v>41245</v>
      </c>
      <c r="B1793" s="15" t="s">
        <v>276</v>
      </c>
      <c r="C1793" s="15" t="s">
        <v>85</v>
      </c>
      <c r="D1793" s="16">
        <v>22</v>
      </c>
      <c r="E1793" s="17">
        <v>66.19</v>
      </c>
      <c r="F1793" s="16">
        <v>0.02</v>
      </c>
      <c r="G1793" s="15" t="s">
        <v>32</v>
      </c>
      <c r="H1793" s="18">
        <v>15.84</v>
      </c>
      <c r="I1793" s="19">
        <v>2.88</v>
      </c>
      <c r="J1793" s="19">
        <v>0.99</v>
      </c>
      <c r="K1793" s="19" t="s">
        <v>44</v>
      </c>
      <c r="L1793" s="19" t="s">
        <v>89</v>
      </c>
      <c r="M1793" s="15" t="s">
        <v>1341</v>
      </c>
      <c r="N1793" s="15" t="s">
        <v>36</v>
      </c>
      <c r="O1793" s="15" t="s">
        <v>114</v>
      </c>
      <c r="P1793" s="20" t="s">
        <v>1153</v>
      </c>
      <c r="Q1793" s="15" t="s">
        <v>83</v>
      </c>
      <c r="R1793" s="4"/>
      <c r="S1793" s="4"/>
    </row>
    <row r="1794" spans="1:19" ht="21" customHeight="1" x14ac:dyDescent="0.25">
      <c r="A1794" s="14">
        <f>DATE(2012,12,31)-29</f>
        <v>41245</v>
      </c>
      <c r="B1794" s="15" t="s">
        <v>276</v>
      </c>
      <c r="C1794" s="15" t="s">
        <v>85</v>
      </c>
      <c r="D1794" s="16">
        <v>50</v>
      </c>
      <c r="E1794" s="17">
        <v>1100.21</v>
      </c>
      <c r="F1794" s="16">
        <v>0.03</v>
      </c>
      <c r="G1794" s="15" t="s">
        <v>32</v>
      </c>
      <c r="H1794" s="18">
        <v>433.59</v>
      </c>
      <c r="I1794" s="19">
        <v>22.24</v>
      </c>
      <c r="J1794" s="19">
        <v>1.99</v>
      </c>
      <c r="K1794" s="19" t="s">
        <v>44</v>
      </c>
      <c r="L1794" s="19" t="s">
        <v>52</v>
      </c>
      <c r="M1794" s="15" t="s">
        <v>1300</v>
      </c>
      <c r="N1794" s="15" t="s">
        <v>64</v>
      </c>
      <c r="O1794" s="15" t="s">
        <v>72</v>
      </c>
      <c r="P1794" s="20" t="s">
        <v>1401</v>
      </c>
      <c r="Q1794" s="15" t="s">
        <v>49</v>
      </c>
      <c r="R1794" s="4"/>
      <c r="S1794" s="4"/>
    </row>
    <row r="1795" spans="1:19" ht="21" customHeight="1" x14ac:dyDescent="0.25">
      <c r="A1795" s="14">
        <f>DATE(2012,12,31)-661</f>
        <v>40613</v>
      </c>
      <c r="B1795" s="15" t="s">
        <v>318</v>
      </c>
      <c r="C1795" s="15" t="s">
        <v>43</v>
      </c>
      <c r="D1795" s="16">
        <v>6</v>
      </c>
      <c r="E1795" s="17">
        <v>127.49</v>
      </c>
      <c r="F1795" s="16">
        <v>0.08</v>
      </c>
      <c r="G1795" s="15" t="s">
        <v>101</v>
      </c>
      <c r="H1795" s="18">
        <v>-57.95</v>
      </c>
      <c r="I1795" s="19">
        <v>19.98</v>
      </c>
      <c r="J1795" s="19">
        <v>4</v>
      </c>
      <c r="K1795" s="19" t="s">
        <v>33</v>
      </c>
      <c r="L1795" s="19" t="s">
        <v>128</v>
      </c>
      <c r="M1795" s="15" t="s">
        <v>129</v>
      </c>
      <c r="N1795" s="15" t="s">
        <v>64</v>
      </c>
      <c r="O1795" s="15" t="s">
        <v>72</v>
      </c>
      <c r="P1795" s="20" t="s">
        <v>805</v>
      </c>
      <c r="Q1795" s="15" t="s">
        <v>83</v>
      </c>
      <c r="R1795" s="4"/>
      <c r="S1795" s="4"/>
    </row>
    <row r="1796" spans="1:19" ht="21" customHeight="1" x14ac:dyDescent="0.25">
      <c r="A1796" s="14">
        <f>DATE(2012,12,31)-671</f>
        <v>40603</v>
      </c>
      <c r="B1796" s="15" t="s">
        <v>892</v>
      </c>
      <c r="C1796" s="15" t="s">
        <v>85</v>
      </c>
      <c r="D1796" s="16">
        <v>31</v>
      </c>
      <c r="E1796" s="17">
        <v>53.33</v>
      </c>
      <c r="F1796" s="16">
        <v>0.09</v>
      </c>
      <c r="G1796" s="15" t="s">
        <v>32</v>
      </c>
      <c r="H1796" s="18">
        <v>-2.44</v>
      </c>
      <c r="I1796" s="19">
        <v>1.76</v>
      </c>
      <c r="J1796" s="19">
        <v>0.7</v>
      </c>
      <c r="K1796" s="19" t="s">
        <v>33</v>
      </c>
      <c r="L1796" s="19" t="s">
        <v>93</v>
      </c>
      <c r="M1796" s="15" t="s">
        <v>94</v>
      </c>
      <c r="N1796" s="15" t="s">
        <v>36</v>
      </c>
      <c r="O1796" s="15" t="s">
        <v>77</v>
      </c>
      <c r="P1796" s="20" t="s">
        <v>526</v>
      </c>
      <c r="Q1796" s="15" t="s">
        <v>79</v>
      </c>
      <c r="R1796" s="4"/>
      <c r="S1796" s="4"/>
    </row>
    <row r="1797" spans="1:19" ht="21" customHeight="1" x14ac:dyDescent="0.25">
      <c r="A1797" s="14">
        <f>DATE(2012,12,31)-671</f>
        <v>40603</v>
      </c>
      <c r="B1797" s="15" t="s">
        <v>892</v>
      </c>
      <c r="C1797" s="15" t="s">
        <v>85</v>
      </c>
      <c r="D1797" s="16">
        <v>2</v>
      </c>
      <c r="E1797" s="17">
        <v>9.3699999999999992</v>
      </c>
      <c r="F1797" s="16">
        <v>0.09</v>
      </c>
      <c r="G1797" s="15" t="s">
        <v>32</v>
      </c>
      <c r="H1797" s="18">
        <v>-5.26</v>
      </c>
      <c r="I1797" s="19">
        <v>4.4800000000000004</v>
      </c>
      <c r="J1797" s="19">
        <v>1.22</v>
      </c>
      <c r="K1797" s="19" t="s">
        <v>33</v>
      </c>
      <c r="L1797" s="19" t="s">
        <v>128</v>
      </c>
      <c r="M1797" s="15" t="s">
        <v>129</v>
      </c>
      <c r="N1797" s="15" t="s">
        <v>36</v>
      </c>
      <c r="O1797" s="15" t="s">
        <v>117</v>
      </c>
      <c r="P1797" s="20" t="s">
        <v>1678</v>
      </c>
      <c r="Q1797" s="15" t="s">
        <v>79</v>
      </c>
      <c r="R1797" s="4"/>
      <c r="S1797" s="4"/>
    </row>
    <row r="1798" spans="1:19" ht="21" customHeight="1" x14ac:dyDescent="0.25">
      <c r="A1798" s="14">
        <f>DATE(2012,12,31)-1436</f>
        <v>39838</v>
      </c>
      <c r="B1798" s="15" t="s">
        <v>311</v>
      </c>
      <c r="C1798" s="15" t="s">
        <v>43</v>
      </c>
      <c r="D1798" s="16">
        <v>15</v>
      </c>
      <c r="E1798" s="17">
        <v>1532.482</v>
      </c>
      <c r="F1798" s="16">
        <v>0.1</v>
      </c>
      <c r="G1798" s="15" t="s">
        <v>32</v>
      </c>
      <c r="H1798" s="18">
        <v>-42.999000000000002</v>
      </c>
      <c r="I1798" s="19">
        <v>125.99</v>
      </c>
      <c r="J1798" s="19">
        <v>8.99</v>
      </c>
      <c r="K1798" s="19" t="s">
        <v>33</v>
      </c>
      <c r="L1798" s="19" t="s">
        <v>128</v>
      </c>
      <c r="M1798" s="15" t="s">
        <v>129</v>
      </c>
      <c r="N1798" s="15" t="s">
        <v>64</v>
      </c>
      <c r="O1798" s="15" t="s">
        <v>65</v>
      </c>
      <c r="P1798" s="20" t="s">
        <v>1679</v>
      </c>
      <c r="Q1798" s="15" t="s">
        <v>83</v>
      </c>
      <c r="R1798" s="4"/>
      <c r="S1798" s="4"/>
    </row>
    <row r="1799" spans="1:19" ht="21" customHeight="1" x14ac:dyDescent="0.25">
      <c r="A1799" s="14">
        <f>DATE(2012,12,31)-454</f>
        <v>40820</v>
      </c>
      <c r="B1799" s="15" t="s">
        <v>1680</v>
      </c>
      <c r="C1799" s="15" t="s">
        <v>43</v>
      </c>
      <c r="D1799" s="16">
        <v>46</v>
      </c>
      <c r="E1799" s="17">
        <v>459.26</v>
      </c>
      <c r="F1799" s="16">
        <v>0.08</v>
      </c>
      <c r="G1799" s="15" t="s">
        <v>32</v>
      </c>
      <c r="H1799" s="18">
        <v>-54.12</v>
      </c>
      <c r="I1799" s="19">
        <v>10.23</v>
      </c>
      <c r="J1799" s="19">
        <v>4.68</v>
      </c>
      <c r="K1799" s="19" t="s">
        <v>33</v>
      </c>
      <c r="L1799" s="19" t="s">
        <v>128</v>
      </c>
      <c r="M1799" s="15" t="s">
        <v>129</v>
      </c>
      <c r="N1799" s="15" t="s">
        <v>36</v>
      </c>
      <c r="O1799" s="15" t="s">
        <v>47</v>
      </c>
      <c r="P1799" s="20" t="s">
        <v>1167</v>
      </c>
      <c r="Q1799" s="15" t="s">
        <v>49</v>
      </c>
      <c r="R1799" s="4"/>
      <c r="S1799" s="4"/>
    </row>
    <row r="1800" spans="1:19" ht="21" customHeight="1" x14ac:dyDescent="0.25">
      <c r="A1800" s="14">
        <f>DATE(2012,12,31)-532</f>
        <v>40742</v>
      </c>
      <c r="B1800" s="15" t="s">
        <v>779</v>
      </c>
      <c r="C1800" s="15" t="s">
        <v>43</v>
      </c>
      <c r="D1800" s="16">
        <v>39</v>
      </c>
      <c r="E1800" s="17">
        <v>141.49</v>
      </c>
      <c r="F1800" s="16">
        <v>0.03</v>
      </c>
      <c r="G1800" s="15" t="s">
        <v>32</v>
      </c>
      <c r="H1800" s="18">
        <v>59.92</v>
      </c>
      <c r="I1800" s="19">
        <v>3.69</v>
      </c>
      <c r="J1800" s="19">
        <v>0.5</v>
      </c>
      <c r="K1800" s="19" t="s">
        <v>97</v>
      </c>
      <c r="L1800" s="19" t="s">
        <v>98</v>
      </c>
      <c r="M1800" s="15" t="s">
        <v>1162</v>
      </c>
      <c r="N1800" s="15" t="s">
        <v>36</v>
      </c>
      <c r="O1800" s="15" t="s">
        <v>114</v>
      </c>
      <c r="P1800" s="20" t="s">
        <v>1169</v>
      </c>
      <c r="Q1800" s="15" t="s">
        <v>83</v>
      </c>
      <c r="R1800" s="4"/>
      <c r="S1800" s="4"/>
    </row>
    <row r="1801" spans="1:19" ht="21" customHeight="1" x14ac:dyDescent="0.25">
      <c r="A1801" s="14">
        <f>DATE(2012,12,31)-532</f>
        <v>40742</v>
      </c>
      <c r="B1801" s="15" t="s">
        <v>779</v>
      </c>
      <c r="C1801" s="15" t="s">
        <v>43</v>
      </c>
      <c r="D1801" s="16">
        <v>31</v>
      </c>
      <c r="E1801" s="17">
        <v>211.55</v>
      </c>
      <c r="F1801" s="16">
        <v>0.05</v>
      </c>
      <c r="G1801" s="15" t="s">
        <v>101</v>
      </c>
      <c r="H1801" s="18">
        <v>-120.95</v>
      </c>
      <c r="I1801" s="19">
        <v>6.48</v>
      </c>
      <c r="J1801" s="19">
        <v>7.91</v>
      </c>
      <c r="K1801" s="19" t="s">
        <v>97</v>
      </c>
      <c r="L1801" s="19" t="s">
        <v>98</v>
      </c>
      <c r="M1801" s="15" t="s">
        <v>1162</v>
      </c>
      <c r="N1801" s="15" t="s">
        <v>36</v>
      </c>
      <c r="O1801" s="15" t="s">
        <v>117</v>
      </c>
      <c r="P1801" s="20" t="s">
        <v>547</v>
      </c>
      <c r="Q1801" s="15" t="s">
        <v>83</v>
      </c>
      <c r="R1801" s="4"/>
      <c r="S1801" s="4"/>
    </row>
    <row r="1802" spans="1:19" ht="21" customHeight="1" x14ac:dyDescent="0.25">
      <c r="A1802" s="14">
        <f>DATE(2012,12,31)-973</f>
        <v>40301</v>
      </c>
      <c r="B1802" s="15" t="s">
        <v>1681</v>
      </c>
      <c r="C1802" s="15" t="s">
        <v>51</v>
      </c>
      <c r="D1802" s="16">
        <v>50</v>
      </c>
      <c r="E1802" s="17">
        <v>627.12</v>
      </c>
      <c r="F1802" s="16">
        <v>0.08</v>
      </c>
      <c r="G1802" s="15" t="s">
        <v>32</v>
      </c>
      <c r="H1802" s="18">
        <v>100.04</v>
      </c>
      <c r="I1802" s="19">
        <v>12.64</v>
      </c>
      <c r="J1802" s="19">
        <v>4.9800000000000004</v>
      </c>
      <c r="K1802" s="19" t="s">
        <v>124</v>
      </c>
      <c r="L1802" s="19" t="s">
        <v>160</v>
      </c>
      <c r="M1802" s="15" t="s">
        <v>1621</v>
      </c>
      <c r="N1802" s="15" t="s">
        <v>54</v>
      </c>
      <c r="O1802" s="15" t="s">
        <v>55</v>
      </c>
      <c r="P1802" s="20" t="s">
        <v>166</v>
      </c>
      <c r="Q1802" s="15" t="s">
        <v>49</v>
      </c>
      <c r="R1802" s="4"/>
      <c r="S1802" s="4"/>
    </row>
    <row r="1803" spans="1:19" ht="21" customHeight="1" x14ac:dyDescent="0.25">
      <c r="A1803" s="14">
        <f>DATE(2012,12,31)-973</f>
        <v>40301</v>
      </c>
      <c r="B1803" s="15" t="s">
        <v>1681</v>
      </c>
      <c r="C1803" s="15" t="s">
        <v>51</v>
      </c>
      <c r="D1803" s="16">
        <v>18</v>
      </c>
      <c r="E1803" s="17">
        <v>4096.21</v>
      </c>
      <c r="F1803" s="16">
        <v>0.08</v>
      </c>
      <c r="G1803" s="15" t="s">
        <v>58</v>
      </c>
      <c r="H1803" s="18">
        <v>308.22000000000003</v>
      </c>
      <c r="I1803" s="19">
        <v>306.14</v>
      </c>
      <c r="J1803" s="19">
        <v>26.53</v>
      </c>
      <c r="K1803" s="19" t="s">
        <v>124</v>
      </c>
      <c r="L1803" s="19" t="s">
        <v>160</v>
      </c>
      <c r="M1803" s="15" t="s">
        <v>1621</v>
      </c>
      <c r="N1803" s="15" t="s">
        <v>64</v>
      </c>
      <c r="O1803" s="15" t="s">
        <v>122</v>
      </c>
      <c r="P1803" s="20" t="s">
        <v>1405</v>
      </c>
      <c r="Q1803" s="15" t="s">
        <v>181</v>
      </c>
      <c r="R1803" s="4"/>
      <c r="S1803" s="4"/>
    </row>
    <row r="1804" spans="1:19" ht="21" customHeight="1" x14ac:dyDescent="0.25">
      <c r="A1804" s="14">
        <f>DATE(2012,12,31)-794</f>
        <v>40480</v>
      </c>
      <c r="B1804" s="15" t="s">
        <v>1682</v>
      </c>
      <c r="C1804" s="15" t="s">
        <v>43</v>
      </c>
      <c r="D1804" s="16">
        <v>9</v>
      </c>
      <c r="E1804" s="17">
        <v>302.05</v>
      </c>
      <c r="F1804" s="16">
        <v>0</v>
      </c>
      <c r="G1804" s="15" t="s">
        <v>32</v>
      </c>
      <c r="H1804" s="18">
        <v>-58.81</v>
      </c>
      <c r="I1804" s="19">
        <v>30.98</v>
      </c>
      <c r="J1804" s="19">
        <v>6.5</v>
      </c>
      <c r="K1804" s="19" t="s">
        <v>124</v>
      </c>
      <c r="L1804" s="19" t="s">
        <v>160</v>
      </c>
      <c r="M1804" s="15" t="s">
        <v>1621</v>
      </c>
      <c r="N1804" s="15" t="s">
        <v>64</v>
      </c>
      <c r="O1804" s="15" t="s">
        <v>72</v>
      </c>
      <c r="P1804" s="20" t="s">
        <v>706</v>
      </c>
      <c r="Q1804" s="15" t="s">
        <v>83</v>
      </c>
      <c r="R1804" s="4"/>
      <c r="S1804" s="4"/>
    </row>
    <row r="1805" spans="1:19" ht="21" customHeight="1" x14ac:dyDescent="0.25">
      <c r="A1805" s="14">
        <f>DATE(2012,12,31)-794</f>
        <v>40480</v>
      </c>
      <c r="B1805" s="15" t="s">
        <v>1682</v>
      </c>
      <c r="C1805" s="15" t="s">
        <v>43</v>
      </c>
      <c r="D1805" s="16">
        <v>30</v>
      </c>
      <c r="E1805" s="17">
        <v>3645.45</v>
      </c>
      <c r="F1805" s="16">
        <v>0.04</v>
      </c>
      <c r="G1805" s="15" t="s">
        <v>58</v>
      </c>
      <c r="H1805" s="18">
        <v>-765.5</v>
      </c>
      <c r="I1805" s="19">
        <v>120.98</v>
      </c>
      <c r="J1805" s="19">
        <v>56.7</v>
      </c>
      <c r="K1805" s="19" t="s">
        <v>124</v>
      </c>
      <c r="L1805" s="19" t="s">
        <v>164</v>
      </c>
      <c r="M1805" s="15" t="s">
        <v>1228</v>
      </c>
      <c r="N1805" s="15" t="s">
        <v>54</v>
      </c>
      <c r="O1805" s="15" t="s">
        <v>134</v>
      </c>
      <c r="P1805" s="20" t="s">
        <v>1683</v>
      </c>
      <c r="Q1805" s="15" t="s">
        <v>63</v>
      </c>
      <c r="R1805" s="4"/>
      <c r="S1805" s="4"/>
    </row>
    <row r="1806" spans="1:19" ht="21" customHeight="1" x14ac:dyDescent="0.25">
      <c r="A1806" s="14">
        <f>DATE(2012,12,31)-1193</f>
        <v>40081</v>
      </c>
      <c r="B1806" s="15" t="s">
        <v>1454</v>
      </c>
      <c r="C1806" s="15" t="s">
        <v>85</v>
      </c>
      <c r="D1806" s="16">
        <v>2</v>
      </c>
      <c r="E1806" s="17">
        <v>63.427</v>
      </c>
      <c r="F1806" s="16">
        <v>7.0000000000000007E-2</v>
      </c>
      <c r="G1806" s="15" t="s">
        <v>32</v>
      </c>
      <c r="H1806" s="18">
        <v>-191.785</v>
      </c>
      <c r="I1806" s="19">
        <v>35.99</v>
      </c>
      <c r="J1806" s="19">
        <v>5</v>
      </c>
      <c r="K1806" s="19" t="s">
        <v>124</v>
      </c>
      <c r="L1806" s="19" t="s">
        <v>164</v>
      </c>
      <c r="M1806" s="15" t="s">
        <v>1228</v>
      </c>
      <c r="N1806" s="15" t="s">
        <v>64</v>
      </c>
      <c r="O1806" s="15" t="s">
        <v>65</v>
      </c>
      <c r="P1806" s="20" t="s">
        <v>1631</v>
      </c>
      <c r="Q1806" s="15" t="s">
        <v>79</v>
      </c>
      <c r="R1806" s="4"/>
      <c r="S1806" s="4"/>
    </row>
    <row r="1807" spans="1:19" ht="21" customHeight="1" x14ac:dyDescent="0.25">
      <c r="A1807" s="14">
        <f>DATE(2012,12,31)-854</f>
        <v>40420</v>
      </c>
      <c r="B1807" s="15" t="s">
        <v>436</v>
      </c>
      <c r="C1807" s="15" t="s">
        <v>85</v>
      </c>
      <c r="D1807" s="16">
        <v>19</v>
      </c>
      <c r="E1807" s="17">
        <v>5297.47</v>
      </c>
      <c r="F1807" s="16">
        <v>0.02</v>
      </c>
      <c r="G1807" s="15" t="s">
        <v>58</v>
      </c>
      <c r="H1807" s="18">
        <v>-158.93</v>
      </c>
      <c r="I1807" s="19">
        <v>270.98</v>
      </c>
      <c r="J1807" s="19">
        <v>50</v>
      </c>
      <c r="K1807" s="19" t="s">
        <v>124</v>
      </c>
      <c r="L1807" s="19" t="s">
        <v>164</v>
      </c>
      <c r="M1807" s="15" t="s">
        <v>1228</v>
      </c>
      <c r="N1807" s="15" t="s">
        <v>54</v>
      </c>
      <c r="O1807" s="15" t="s">
        <v>252</v>
      </c>
      <c r="P1807" s="20" t="s">
        <v>1684</v>
      </c>
      <c r="Q1807" s="15" t="s">
        <v>181</v>
      </c>
      <c r="R1807" s="4"/>
      <c r="S1807" s="4"/>
    </row>
    <row r="1808" spans="1:19" ht="21" customHeight="1" x14ac:dyDescent="0.25">
      <c r="A1808" s="14">
        <f>DATE(2012,12,31)-854</f>
        <v>40420</v>
      </c>
      <c r="B1808" s="15" t="s">
        <v>436</v>
      </c>
      <c r="C1808" s="15" t="s">
        <v>85</v>
      </c>
      <c r="D1808" s="16">
        <v>20</v>
      </c>
      <c r="E1808" s="17">
        <v>95.3</v>
      </c>
      <c r="F1808" s="16">
        <v>0</v>
      </c>
      <c r="G1808" s="15" t="s">
        <v>32</v>
      </c>
      <c r="H1808" s="18">
        <v>29.68</v>
      </c>
      <c r="I1808" s="19">
        <v>4.4800000000000004</v>
      </c>
      <c r="J1808" s="19">
        <v>1.22</v>
      </c>
      <c r="K1808" s="19" t="s">
        <v>44</v>
      </c>
      <c r="L1808" s="19" t="s">
        <v>52</v>
      </c>
      <c r="M1808" s="15" t="s">
        <v>1300</v>
      </c>
      <c r="N1808" s="15" t="s">
        <v>36</v>
      </c>
      <c r="O1808" s="15" t="s">
        <v>117</v>
      </c>
      <c r="P1808" s="20" t="s">
        <v>1678</v>
      </c>
      <c r="Q1808" s="15" t="s">
        <v>79</v>
      </c>
      <c r="R1808" s="4"/>
      <c r="S1808" s="4"/>
    </row>
    <row r="1809" spans="1:19" ht="21" customHeight="1" x14ac:dyDescent="0.25">
      <c r="A1809" s="14">
        <f>DATE(2012,12,31)-403</f>
        <v>40871</v>
      </c>
      <c r="B1809" s="15" t="s">
        <v>474</v>
      </c>
      <c r="C1809" s="15" t="s">
        <v>51</v>
      </c>
      <c r="D1809" s="16">
        <v>49</v>
      </c>
      <c r="E1809" s="17">
        <v>1147.6400000000001</v>
      </c>
      <c r="F1809" s="16">
        <v>0.06</v>
      </c>
      <c r="G1809" s="15" t="s">
        <v>32</v>
      </c>
      <c r="H1809" s="18">
        <v>261.87</v>
      </c>
      <c r="I1809" s="19">
        <v>22.98</v>
      </c>
      <c r="J1809" s="19">
        <v>4.5</v>
      </c>
      <c r="K1809" s="19" t="s">
        <v>44</v>
      </c>
      <c r="L1809" s="19" t="s">
        <v>52</v>
      </c>
      <c r="M1809" s="15" t="s">
        <v>1685</v>
      </c>
      <c r="N1809" s="15" t="s">
        <v>36</v>
      </c>
      <c r="O1809" s="15" t="s">
        <v>176</v>
      </c>
      <c r="P1809" s="20" t="s">
        <v>790</v>
      </c>
      <c r="Q1809" s="15" t="s">
        <v>83</v>
      </c>
      <c r="R1809" s="4"/>
      <c r="S1809" s="4"/>
    </row>
    <row r="1810" spans="1:19" ht="21" customHeight="1" x14ac:dyDescent="0.25">
      <c r="A1810" s="14">
        <f>DATE(2012,12,31)-251</f>
        <v>41023</v>
      </c>
      <c r="B1810" s="15" t="s">
        <v>1318</v>
      </c>
      <c r="C1810" s="15" t="s">
        <v>85</v>
      </c>
      <c r="D1810" s="16">
        <v>11</v>
      </c>
      <c r="E1810" s="17">
        <v>653.91999999999996</v>
      </c>
      <c r="F1810" s="16">
        <v>0.02</v>
      </c>
      <c r="G1810" s="15" t="s">
        <v>32</v>
      </c>
      <c r="H1810" s="18">
        <v>52.89</v>
      </c>
      <c r="I1810" s="19">
        <v>59.76</v>
      </c>
      <c r="J1810" s="19">
        <v>9.7100000000000009</v>
      </c>
      <c r="K1810" s="19" t="s">
        <v>44</v>
      </c>
      <c r="L1810" s="19" t="s">
        <v>52</v>
      </c>
      <c r="M1810" s="15" t="s">
        <v>1685</v>
      </c>
      <c r="N1810" s="15" t="s">
        <v>36</v>
      </c>
      <c r="O1810" s="15" t="s">
        <v>37</v>
      </c>
      <c r="P1810" s="20" t="s">
        <v>1654</v>
      </c>
      <c r="Q1810" s="15" t="s">
        <v>83</v>
      </c>
      <c r="R1810" s="4"/>
      <c r="S1810" s="4"/>
    </row>
    <row r="1811" spans="1:19" ht="21" customHeight="1" x14ac:dyDescent="0.25">
      <c r="A1811" s="14">
        <f>DATE(2012,12,31)-1397</f>
        <v>39877</v>
      </c>
      <c r="B1811" s="15" t="s">
        <v>403</v>
      </c>
      <c r="C1811" s="15" t="s">
        <v>43</v>
      </c>
      <c r="D1811" s="16">
        <v>45</v>
      </c>
      <c r="E1811" s="17">
        <v>440.39</v>
      </c>
      <c r="F1811" s="16">
        <v>0.05</v>
      </c>
      <c r="G1811" s="15" t="s">
        <v>32</v>
      </c>
      <c r="H1811" s="18">
        <v>186.64</v>
      </c>
      <c r="I1811" s="19">
        <v>9.7799999999999994</v>
      </c>
      <c r="J1811" s="19">
        <v>1.39</v>
      </c>
      <c r="K1811" s="19" t="s">
        <v>44</v>
      </c>
      <c r="L1811" s="19" t="s">
        <v>236</v>
      </c>
      <c r="M1811" s="15" t="s">
        <v>237</v>
      </c>
      <c r="N1811" s="15" t="s">
        <v>36</v>
      </c>
      <c r="O1811" s="15" t="s">
        <v>189</v>
      </c>
      <c r="P1811" s="20" t="s">
        <v>917</v>
      </c>
      <c r="Q1811" s="15" t="s">
        <v>83</v>
      </c>
      <c r="R1811" s="4"/>
      <c r="S1811" s="4"/>
    </row>
    <row r="1812" spans="1:19" ht="21" customHeight="1" x14ac:dyDescent="0.25">
      <c r="A1812" s="14">
        <f>DATE(2012,12,31)-1397</f>
        <v>39877</v>
      </c>
      <c r="B1812" s="15" t="s">
        <v>403</v>
      </c>
      <c r="C1812" s="15" t="s">
        <v>43</v>
      </c>
      <c r="D1812" s="16">
        <v>27</v>
      </c>
      <c r="E1812" s="17">
        <v>96.99</v>
      </c>
      <c r="F1812" s="16">
        <v>0.02</v>
      </c>
      <c r="G1812" s="15" t="s">
        <v>101</v>
      </c>
      <c r="H1812" s="18">
        <v>-66.349999999999994</v>
      </c>
      <c r="I1812" s="19">
        <v>3.28</v>
      </c>
      <c r="J1812" s="19">
        <v>3.97</v>
      </c>
      <c r="K1812" s="19" t="s">
        <v>44</v>
      </c>
      <c r="L1812" s="19" t="s">
        <v>52</v>
      </c>
      <c r="M1812" s="15" t="s">
        <v>1685</v>
      </c>
      <c r="N1812" s="15" t="s">
        <v>36</v>
      </c>
      <c r="O1812" s="15" t="s">
        <v>77</v>
      </c>
      <c r="P1812" s="20" t="s">
        <v>1326</v>
      </c>
      <c r="Q1812" s="15" t="s">
        <v>79</v>
      </c>
      <c r="R1812" s="4"/>
      <c r="S1812" s="4"/>
    </row>
    <row r="1813" spans="1:19" ht="21" customHeight="1" x14ac:dyDescent="0.25">
      <c r="A1813" s="14">
        <f>DATE(2012,12,31)-920</f>
        <v>40354</v>
      </c>
      <c r="B1813" s="15" t="s">
        <v>1096</v>
      </c>
      <c r="C1813" s="15" t="s">
        <v>85</v>
      </c>
      <c r="D1813" s="16">
        <v>7</v>
      </c>
      <c r="E1813" s="17">
        <v>44.74</v>
      </c>
      <c r="F1813" s="16">
        <v>0.04</v>
      </c>
      <c r="G1813" s="15" t="s">
        <v>32</v>
      </c>
      <c r="H1813" s="18">
        <v>-20.102</v>
      </c>
      <c r="I1813" s="19">
        <v>5.74</v>
      </c>
      <c r="J1813" s="19">
        <v>5.01</v>
      </c>
      <c r="K1813" s="19" t="s">
        <v>44</v>
      </c>
      <c r="L1813" s="19" t="s">
        <v>52</v>
      </c>
      <c r="M1813" s="15" t="s">
        <v>1685</v>
      </c>
      <c r="N1813" s="15" t="s">
        <v>36</v>
      </c>
      <c r="O1813" s="15" t="s">
        <v>170</v>
      </c>
      <c r="P1813" s="20" t="s">
        <v>834</v>
      </c>
      <c r="Q1813" s="15" t="s">
        <v>83</v>
      </c>
      <c r="R1813" s="4"/>
      <c r="S1813" s="4"/>
    </row>
    <row r="1814" spans="1:19" ht="21" customHeight="1" x14ac:dyDescent="0.25">
      <c r="A1814" s="14">
        <f>DATE(2012,12,31)-920</f>
        <v>40354</v>
      </c>
      <c r="B1814" s="15" t="s">
        <v>1096</v>
      </c>
      <c r="C1814" s="15" t="s">
        <v>85</v>
      </c>
      <c r="D1814" s="16">
        <v>21</v>
      </c>
      <c r="E1814" s="17">
        <v>90.78</v>
      </c>
      <c r="F1814" s="16">
        <v>0.06</v>
      </c>
      <c r="G1814" s="15" t="s">
        <v>32</v>
      </c>
      <c r="H1814" s="18">
        <v>-71.840499999999992</v>
      </c>
      <c r="I1814" s="19">
        <v>4.24</v>
      </c>
      <c r="J1814" s="19">
        <v>5.41</v>
      </c>
      <c r="K1814" s="19" t="s">
        <v>44</v>
      </c>
      <c r="L1814" s="19" t="s">
        <v>52</v>
      </c>
      <c r="M1814" s="15" t="s">
        <v>1685</v>
      </c>
      <c r="N1814" s="15" t="s">
        <v>36</v>
      </c>
      <c r="O1814" s="15" t="s">
        <v>170</v>
      </c>
      <c r="P1814" s="20" t="s">
        <v>415</v>
      </c>
      <c r="Q1814" s="15" t="s">
        <v>83</v>
      </c>
      <c r="R1814" s="4"/>
      <c r="S1814" s="4"/>
    </row>
    <row r="1815" spans="1:19" ht="21" customHeight="1" x14ac:dyDescent="0.25">
      <c r="A1815" s="14">
        <f>DATE(2012,12,31)-1003</f>
        <v>40271</v>
      </c>
      <c r="B1815" s="15" t="s">
        <v>1219</v>
      </c>
      <c r="C1815" s="15" t="s">
        <v>51</v>
      </c>
      <c r="D1815" s="16">
        <v>31</v>
      </c>
      <c r="E1815" s="17">
        <v>2712.07</v>
      </c>
      <c r="F1815" s="16">
        <v>0.09</v>
      </c>
      <c r="G1815" s="15" t="s">
        <v>32</v>
      </c>
      <c r="H1815" s="18">
        <v>-435.56</v>
      </c>
      <c r="I1815" s="19">
        <v>95.43</v>
      </c>
      <c r="J1815" s="19">
        <v>19.989999999999998</v>
      </c>
      <c r="K1815" s="19" t="s">
        <v>44</v>
      </c>
      <c r="L1815" s="19" t="s">
        <v>52</v>
      </c>
      <c r="M1815" s="15" t="s">
        <v>1685</v>
      </c>
      <c r="N1815" s="15" t="s">
        <v>36</v>
      </c>
      <c r="O1815" s="15" t="s">
        <v>37</v>
      </c>
      <c r="P1815" s="20" t="s">
        <v>379</v>
      </c>
      <c r="Q1815" s="15" t="s">
        <v>83</v>
      </c>
      <c r="R1815" s="4"/>
      <c r="S1815" s="4"/>
    </row>
    <row r="1816" spans="1:19" ht="21" customHeight="1" x14ac:dyDescent="0.25">
      <c r="A1816" s="14">
        <f>DATE(2012,12,31)-351</f>
        <v>40923</v>
      </c>
      <c r="B1816" s="15" t="s">
        <v>1356</v>
      </c>
      <c r="C1816" s="15" t="s">
        <v>85</v>
      </c>
      <c r="D1816" s="16">
        <v>42</v>
      </c>
      <c r="E1816" s="17">
        <v>290.68</v>
      </c>
      <c r="F1816" s="16">
        <v>0.03</v>
      </c>
      <c r="G1816" s="15" t="s">
        <v>32</v>
      </c>
      <c r="H1816" s="18">
        <v>-93.5</v>
      </c>
      <c r="I1816" s="19">
        <v>6.78</v>
      </c>
      <c r="J1816" s="19">
        <v>6.18</v>
      </c>
      <c r="K1816" s="19" t="s">
        <v>124</v>
      </c>
      <c r="L1816" s="19" t="s">
        <v>158</v>
      </c>
      <c r="M1816" s="15" t="s">
        <v>158</v>
      </c>
      <c r="N1816" s="15" t="s">
        <v>36</v>
      </c>
      <c r="O1816" s="15" t="s">
        <v>117</v>
      </c>
      <c r="P1816" s="20" t="s">
        <v>499</v>
      </c>
      <c r="Q1816" s="15" t="s">
        <v>83</v>
      </c>
      <c r="R1816" s="4"/>
      <c r="S1816" s="4"/>
    </row>
    <row r="1817" spans="1:19" ht="21" customHeight="1" x14ac:dyDescent="0.25">
      <c r="A1817" s="14">
        <f>DATE(2012,12,31)-1363</f>
        <v>39911</v>
      </c>
      <c r="B1817" s="15" t="s">
        <v>1191</v>
      </c>
      <c r="C1817" s="15" t="s">
        <v>85</v>
      </c>
      <c r="D1817" s="16">
        <v>39</v>
      </c>
      <c r="E1817" s="17">
        <v>1357.53</v>
      </c>
      <c r="F1817" s="16">
        <v>0.05</v>
      </c>
      <c r="G1817" s="15" t="s">
        <v>32</v>
      </c>
      <c r="H1817" s="18">
        <v>562.91999999999996</v>
      </c>
      <c r="I1817" s="19">
        <v>35.44</v>
      </c>
      <c r="J1817" s="19">
        <v>5.09</v>
      </c>
      <c r="K1817" s="19" t="s">
        <v>111</v>
      </c>
      <c r="L1817" s="19" t="s">
        <v>407</v>
      </c>
      <c r="M1817" s="15" t="s">
        <v>407</v>
      </c>
      <c r="N1817" s="15" t="s">
        <v>36</v>
      </c>
      <c r="O1817" s="15" t="s">
        <v>117</v>
      </c>
      <c r="P1817" s="20" t="s">
        <v>1298</v>
      </c>
      <c r="Q1817" s="15" t="s">
        <v>83</v>
      </c>
      <c r="R1817" s="4"/>
      <c r="S1817" s="4"/>
    </row>
    <row r="1818" spans="1:19" ht="21" customHeight="1" x14ac:dyDescent="0.25">
      <c r="A1818" s="14">
        <f>DATE(2012,12,31)-1258</f>
        <v>40016</v>
      </c>
      <c r="B1818" s="15" t="s">
        <v>1090</v>
      </c>
      <c r="C1818" s="15" t="s">
        <v>85</v>
      </c>
      <c r="D1818" s="16">
        <v>32</v>
      </c>
      <c r="E1818" s="17">
        <v>136.19999999999999</v>
      </c>
      <c r="F1818" s="16">
        <v>0.09</v>
      </c>
      <c r="G1818" s="15" t="s">
        <v>101</v>
      </c>
      <c r="H1818" s="18">
        <v>-154.30700000000002</v>
      </c>
      <c r="I1818" s="19">
        <v>3.89</v>
      </c>
      <c r="J1818" s="19">
        <v>7.01</v>
      </c>
      <c r="K1818" s="19" t="s">
        <v>33</v>
      </c>
      <c r="L1818" s="19" t="s">
        <v>59</v>
      </c>
      <c r="M1818" s="15" t="s">
        <v>1361</v>
      </c>
      <c r="N1818" s="15" t="s">
        <v>36</v>
      </c>
      <c r="O1818" s="15" t="s">
        <v>170</v>
      </c>
      <c r="P1818" s="20" t="s">
        <v>711</v>
      </c>
      <c r="Q1818" s="15" t="s">
        <v>83</v>
      </c>
      <c r="R1818" s="4"/>
      <c r="S1818" s="4"/>
    </row>
    <row r="1819" spans="1:19" ht="21" customHeight="1" x14ac:dyDescent="0.25">
      <c r="A1819" s="14">
        <f>DATE(2012,12,31)-27</f>
        <v>41247</v>
      </c>
      <c r="B1819" s="15" t="s">
        <v>606</v>
      </c>
      <c r="C1819" s="15" t="s">
        <v>31</v>
      </c>
      <c r="D1819" s="16">
        <v>34</v>
      </c>
      <c r="E1819" s="17">
        <v>210.06</v>
      </c>
      <c r="F1819" s="16">
        <v>0.08</v>
      </c>
      <c r="G1819" s="15" t="s">
        <v>32</v>
      </c>
      <c r="H1819" s="18">
        <v>-135</v>
      </c>
      <c r="I1819" s="19">
        <v>6.48</v>
      </c>
      <c r="J1819" s="19">
        <v>7.37</v>
      </c>
      <c r="K1819" s="19" t="s">
        <v>33</v>
      </c>
      <c r="L1819" s="19" t="s">
        <v>34</v>
      </c>
      <c r="M1819" s="15" t="s">
        <v>1359</v>
      </c>
      <c r="N1819" s="15" t="s">
        <v>36</v>
      </c>
      <c r="O1819" s="15" t="s">
        <v>117</v>
      </c>
      <c r="P1819" s="20" t="s">
        <v>998</v>
      </c>
      <c r="Q1819" s="15" t="s">
        <v>83</v>
      </c>
      <c r="R1819" s="4"/>
      <c r="S1819" s="4"/>
    </row>
    <row r="1820" spans="1:19" ht="21" customHeight="1" x14ac:dyDescent="0.25">
      <c r="A1820" s="14">
        <f>DATE(2012,12,31)-1349</f>
        <v>39925</v>
      </c>
      <c r="B1820" s="15" t="s">
        <v>1078</v>
      </c>
      <c r="C1820" s="15" t="s">
        <v>43</v>
      </c>
      <c r="D1820" s="16">
        <v>33</v>
      </c>
      <c r="E1820" s="17">
        <v>3387.32</v>
      </c>
      <c r="F1820" s="16">
        <v>0.05</v>
      </c>
      <c r="G1820" s="15" t="s">
        <v>32</v>
      </c>
      <c r="H1820" s="18">
        <v>1413.52</v>
      </c>
      <c r="I1820" s="19">
        <v>100.98</v>
      </c>
      <c r="J1820" s="19">
        <v>7.18</v>
      </c>
      <c r="K1820" s="19" t="s">
        <v>33</v>
      </c>
      <c r="L1820" s="19" t="s">
        <v>59</v>
      </c>
      <c r="M1820" s="15" t="s">
        <v>1361</v>
      </c>
      <c r="N1820" s="15" t="s">
        <v>64</v>
      </c>
      <c r="O1820" s="15" t="s">
        <v>72</v>
      </c>
      <c r="P1820" s="20" t="s">
        <v>1686</v>
      </c>
      <c r="Q1820" s="15" t="s">
        <v>83</v>
      </c>
      <c r="R1820" s="4"/>
      <c r="S1820" s="4"/>
    </row>
    <row r="1821" spans="1:19" ht="21" customHeight="1" x14ac:dyDescent="0.25">
      <c r="A1821" s="14">
        <f>DATE(2012,12,31)-984</f>
        <v>40290</v>
      </c>
      <c r="B1821" s="15" t="s">
        <v>1687</v>
      </c>
      <c r="C1821" s="15" t="s">
        <v>43</v>
      </c>
      <c r="D1821" s="16">
        <v>46</v>
      </c>
      <c r="E1821" s="17">
        <v>187.92</v>
      </c>
      <c r="F1821" s="16">
        <v>0.08</v>
      </c>
      <c r="G1821" s="15" t="s">
        <v>32</v>
      </c>
      <c r="H1821" s="18">
        <v>-2149.8000000000002</v>
      </c>
      <c r="I1821" s="19">
        <v>3.25</v>
      </c>
      <c r="J1821" s="19">
        <v>49</v>
      </c>
      <c r="K1821" s="19" t="s">
        <v>69</v>
      </c>
      <c r="L1821" s="19" t="s">
        <v>215</v>
      </c>
      <c r="M1821" s="15" t="s">
        <v>1388</v>
      </c>
      <c r="N1821" s="15" t="s">
        <v>36</v>
      </c>
      <c r="O1821" s="15" t="s">
        <v>176</v>
      </c>
      <c r="P1821" s="20" t="s">
        <v>1424</v>
      </c>
      <c r="Q1821" s="15" t="s">
        <v>39</v>
      </c>
      <c r="R1821" s="4"/>
      <c r="S1821" s="4"/>
    </row>
    <row r="1822" spans="1:19" ht="21" customHeight="1" x14ac:dyDescent="0.25">
      <c r="A1822" s="14">
        <f>DATE(2012,12,31)-383</f>
        <v>40891</v>
      </c>
      <c r="B1822" s="15" t="s">
        <v>1204</v>
      </c>
      <c r="C1822" s="15" t="s">
        <v>43</v>
      </c>
      <c r="D1822" s="16">
        <v>34</v>
      </c>
      <c r="E1822" s="17">
        <v>3577.11</v>
      </c>
      <c r="F1822" s="16">
        <v>0.1</v>
      </c>
      <c r="G1822" s="15" t="s">
        <v>58</v>
      </c>
      <c r="H1822" s="18">
        <v>-1620.41</v>
      </c>
      <c r="I1822" s="19">
        <v>114.98</v>
      </c>
      <c r="J1822" s="19">
        <v>58.72</v>
      </c>
      <c r="K1822" s="19" t="s">
        <v>97</v>
      </c>
      <c r="L1822" s="19" t="s">
        <v>98</v>
      </c>
      <c r="M1822" s="15" t="s">
        <v>1162</v>
      </c>
      <c r="N1822" s="15" t="s">
        <v>54</v>
      </c>
      <c r="O1822" s="15" t="s">
        <v>134</v>
      </c>
      <c r="P1822" s="20" t="s">
        <v>1494</v>
      </c>
      <c r="Q1822" s="15" t="s">
        <v>63</v>
      </c>
      <c r="R1822" s="4"/>
      <c r="S1822" s="4"/>
    </row>
    <row r="1823" spans="1:19" ht="21" customHeight="1" x14ac:dyDescent="0.25">
      <c r="A1823" s="14">
        <f>DATE(2012,12,31)-889</f>
        <v>40385</v>
      </c>
      <c r="B1823" s="15" t="s">
        <v>1688</v>
      </c>
      <c r="C1823" s="15" t="s">
        <v>43</v>
      </c>
      <c r="D1823" s="16">
        <v>15</v>
      </c>
      <c r="E1823" s="17">
        <v>150.19999999999999</v>
      </c>
      <c r="F1823" s="16">
        <v>0.02</v>
      </c>
      <c r="G1823" s="15" t="s">
        <v>32</v>
      </c>
      <c r="H1823" s="18">
        <v>12.97</v>
      </c>
      <c r="I1823" s="19">
        <v>9.27</v>
      </c>
      <c r="J1823" s="19">
        <v>4.3899999999999997</v>
      </c>
      <c r="K1823" s="19" t="s">
        <v>124</v>
      </c>
      <c r="L1823" s="19" t="s">
        <v>493</v>
      </c>
      <c r="M1823" s="15" t="s">
        <v>1588</v>
      </c>
      <c r="N1823" s="15" t="s">
        <v>36</v>
      </c>
      <c r="O1823" s="15" t="s">
        <v>117</v>
      </c>
      <c r="P1823" s="20" t="s">
        <v>434</v>
      </c>
      <c r="Q1823" s="15" t="s">
        <v>79</v>
      </c>
      <c r="R1823" s="4"/>
      <c r="S1823" s="4"/>
    </row>
    <row r="1824" spans="1:19" ht="21" customHeight="1" x14ac:dyDescent="0.25">
      <c r="A1824" s="14">
        <f>DATE(2012,12,31)-1142</f>
        <v>40132</v>
      </c>
      <c r="B1824" s="15" t="s">
        <v>1689</v>
      </c>
      <c r="C1824" s="15" t="s">
        <v>85</v>
      </c>
      <c r="D1824" s="16">
        <v>12</v>
      </c>
      <c r="E1824" s="17">
        <v>81.430000000000007</v>
      </c>
      <c r="F1824" s="16">
        <v>0.08</v>
      </c>
      <c r="G1824" s="15" t="s">
        <v>32</v>
      </c>
      <c r="H1824" s="18">
        <v>-44.66</v>
      </c>
      <c r="I1824" s="19">
        <v>6.48</v>
      </c>
      <c r="J1824" s="19">
        <v>7.03</v>
      </c>
      <c r="K1824" s="19" t="s">
        <v>44</v>
      </c>
      <c r="L1824" s="19" t="s">
        <v>120</v>
      </c>
      <c r="M1824" s="15" t="s">
        <v>121</v>
      </c>
      <c r="N1824" s="15" t="s">
        <v>36</v>
      </c>
      <c r="O1824" s="15" t="s">
        <v>117</v>
      </c>
      <c r="P1824" s="20" t="s">
        <v>1348</v>
      </c>
      <c r="Q1824" s="15" t="s">
        <v>83</v>
      </c>
      <c r="R1824" s="4"/>
      <c r="S1824" s="4"/>
    </row>
    <row r="1825" spans="1:19" ht="21" customHeight="1" x14ac:dyDescent="0.25">
      <c r="A1825" s="14">
        <f>DATE(2012,12,31)-1142</f>
        <v>40132</v>
      </c>
      <c r="B1825" s="15" t="s">
        <v>1689</v>
      </c>
      <c r="C1825" s="15" t="s">
        <v>85</v>
      </c>
      <c r="D1825" s="16">
        <v>39</v>
      </c>
      <c r="E1825" s="17">
        <v>883.15</v>
      </c>
      <c r="F1825" s="16">
        <v>0.01</v>
      </c>
      <c r="G1825" s="15" t="s">
        <v>32</v>
      </c>
      <c r="H1825" s="18">
        <v>-1148.19</v>
      </c>
      <c r="I1825" s="19">
        <v>20.34</v>
      </c>
      <c r="J1825" s="19">
        <v>35</v>
      </c>
      <c r="K1825" s="19" t="s">
        <v>44</v>
      </c>
      <c r="L1825" s="19" t="s">
        <v>89</v>
      </c>
      <c r="M1825" s="15" t="s">
        <v>1341</v>
      </c>
      <c r="N1825" s="15" t="s">
        <v>36</v>
      </c>
      <c r="O1825" s="15" t="s">
        <v>37</v>
      </c>
      <c r="P1825" s="20" t="s">
        <v>1690</v>
      </c>
      <c r="Q1825" s="15" t="s">
        <v>39</v>
      </c>
      <c r="R1825" s="4"/>
      <c r="S1825" s="4"/>
    </row>
    <row r="1826" spans="1:19" ht="21" customHeight="1" x14ac:dyDescent="0.25">
      <c r="A1826" s="14">
        <f>DATE(2012,12,31)-866</f>
        <v>40408</v>
      </c>
      <c r="B1826" s="15" t="s">
        <v>1421</v>
      </c>
      <c r="C1826" s="15" t="s">
        <v>43</v>
      </c>
      <c r="D1826" s="16">
        <v>7</v>
      </c>
      <c r="E1826" s="17">
        <v>283.57</v>
      </c>
      <c r="F1826" s="16">
        <v>0.02</v>
      </c>
      <c r="G1826" s="15" t="s">
        <v>32</v>
      </c>
      <c r="H1826" s="18">
        <v>71.209999999999994</v>
      </c>
      <c r="I1826" s="19">
        <v>37.94</v>
      </c>
      <c r="J1826" s="19">
        <v>5.08</v>
      </c>
      <c r="K1826" s="19" t="s">
        <v>44</v>
      </c>
      <c r="L1826" s="19" t="s">
        <v>89</v>
      </c>
      <c r="M1826" s="15" t="s">
        <v>1341</v>
      </c>
      <c r="N1826" s="15" t="s">
        <v>36</v>
      </c>
      <c r="O1826" s="15" t="s">
        <v>117</v>
      </c>
      <c r="P1826" s="20" t="s">
        <v>902</v>
      </c>
      <c r="Q1826" s="15" t="s">
        <v>79</v>
      </c>
      <c r="R1826" s="4"/>
      <c r="S1826" s="4"/>
    </row>
    <row r="1827" spans="1:19" ht="21" customHeight="1" x14ac:dyDescent="0.25">
      <c r="A1827" s="14">
        <f>DATE(2012,12,31)-1113</f>
        <v>40161</v>
      </c>
      <c r="B1827" s="15" t="s">
        <v>1438</v>
      </c>
      <c r="C1827" s="15" t="s">
        <v>31</v>
      </c>
      <c r="D1827" s="16">
        <v>46</v>
      </c>
      <c r="E1827" s="17">
        <v>590.42999999999995</v>
      </c>
      <c r="F1827" s="16">
        <v>0.09</v>
      </c>
      <c r="G1827" s="15" t="s">
        <v>32</v>
      </c>
      <c r="H1827" s="18">
        <v>82.594499999999996</v>
      </c>
      <c r="I1827" s="19">
        <v>12.95</v>
      </c>
      <c r="J1827" s="19">
        <v>4.9800000000000004</v>
      </c>
      <c r="K1827" s="19" t="s">
        <v>124</v>
      </c>
      <c r="L1827" s="19" t="s">
        <v>164</v>
      </c>
      <c r="M1827" s="15" t="s">
        <v>1228</v>
      </c>
      <c r="N1827" s="15" t="s">
        <v>36</v>
      </c>
      <c r="O1827" s="15" t="s">
        <v>170</v>
      </c>
      <c r="P1827" s="20" t="s">
        <v>289</v>
      </c>
      <c r="Q1827" s="15" t="s">
        <v>83</v>
      </c>
      <c r="R1827" s="4"/>
      <c r="S1827" s="4"/>
    </row>
    <row r="1828" spans="1:19" ht="21" customHeight="1" x14ac:dyDescent="0.25">
      <c r="A1828" s="14">
        <f>DATE(2012,12,31)-1113</f>
        <v>40161</v>
      </c>
      <c r="B1828" s="15" t="s">
        <v>1438</v>
      </c>
      <c r="C1828" s="15" t="s">
        <v>31</v>
      </c>
      <c r="D1828" s="16">
        <v>8</v>
      </c>
      <c r="E1828" s="17">
        <v>216.33</v>
      </c>
      <c r="F1828" s="16">
        <v>0</v>
      </c>
      <c r="G1828" s="15" t="s">
        <v>32</v>
      </c>
      <c r="H1828" s="18">
        <v>-17.364999999999998</v>
      </c>
      <c r="I1828" s="19">
        <v>24.92</v>
      </c>
      <c r="J1828" s="19">
        <v>12.98</v>
      </c>
      <c r="K1828" s="19" t="s">
        <v>33</v>
      </c>
      <c r="L1828" s="19" t="s">
        <v>59</v>
      </c>
      <c r="M1828" s="15" t="s">
        <v>1361</v>
      </c>
      <c r="N1828" s="15" t="s">
        <v>36</v>
      </c>
      <c r="O1828" s="15" t="s">
        <v>170</v>
      </c>
      <c r="P1828" s="20" t="s">
        <v>171</v>
      </c>
      <c r="Q1828" s="15" t="s">
        <v>83</v>
      </c>
      <c r="R1828" s="4"/>
      <c r="S1828" s="4"/>
    </row>
    <row r="1829" spans="1:19" ht="21" customHeight="1" x14ac:dyDescent="0.25">
      <c r="A1829" s="14">
        <f>DATE(2012,12,31)-1030</f>
        <v>40244</v>
      </c>
      <c r="B1829" s="15" t="s">
        <v>1012</v>
      </c>
      <c r="C1829" s="15" t="s">
        <v>51</v>
      </c>
      <c r="D1829" s="16">
        <v>36</v>
      </c>
      <c r="E1829" s="17">
        <v>1211</v>
      </c>
      <c r="F1829" s="16">
        <v>0</v>
      </c>
      <c r="G1829" s="15" t="s">
        <v>32</v>
      </c>
      <c r="H1829" s="18">
        <v>-27.99</v>
      </c>
      <c r="I1829" s="19">
        <v>30.98</v>
      </c>
      <c r="J1829" s="19">
        <v>6.5</v>
      </c>
      <c r="K1829" s="19" t="s">
        <v>44</v>
      </c>
      <c r="L1829" s="19" t="s">
        <v>52</v>
      </c>
      <c r="M1829" s="15" t="s">
        <v>1685</v>
      </c>
      <c r="N1829" s="15" t="s">
        <v>64</v>
      </c>
      <c r="O1829" s="15" t="s">
        <v>72</v>
      </c>
      <c r="P1829" s="20" t="s">
        <v>1346</v>
      </c>
      <c r="Q1829" s="15" t="s">
        <v>83</v>
      </c>
      <c r="R1829" s="4"/>
      <c r="S1829" s="4"/>
    </row>
    <row r="1830" spans="1:19" ht="21" customHeight="1" x14ac:dyDescent="0.25">
      <c r="A1830" s="14">
        <f>DATE(2012,12,31)-1030</f>
        <v>40244</v>
      </c>
      <c r="B1830" s="15" t="s">
        <v>1012</v>
      </c>
      <c r="C1830" s="15" t="s">
        <v>51</v>
      </c>
      <c r="D1830" s="16">
        <v>28</v>
      </c>
      <c r="E1830" s="17">
        <v>4924.1350000000002</v>
      </c>
      <c r="F1830" s="16">
        <v>7.0000000000000007E-2</v>
      </c>
      <c r="G1830" s="15" t="s">
        <v>32</v>
      </c>
      <c r="H1830" s="18">
        <v>1049.5350000000001</v>
      </c>
      <c r="I1830" s="19">
        <v>205.99</v>
      </c>
      <c r="J1830" s="19">
        <v>8.99</v>
      </c>
      <c r="K1830" s="19" t="s">
        <v>33</v>
      </c>
      <c r="L1830" s="19" t="s">
        <v>93</v>
      </c>
      <c r="M1830" s="15" t="s">
        <v>94</v>
      </c>
      <c r="N1830" s="15" t="s">
        <v>64</v>
      </c>
      <c r="O1830" s="15" t="s">
        <v>65</v>
      </c>
      <c r="P1830" s="20" t="s">
        <v>758</v>
      </c>
      <c r="Q1830" s="15" t="s">
        <v>83</v>
      </c>
      <c r="R1830" s="4"/>
      <c r="S1830" s="4"/>
    </row>
    <row r="1831" spans="1:19" ht="21" customHeight="1" x14ac:dyDescent="0.25">
      <c r="A1831" s="14">
        <f>DATE(2012,12,31)-749</f>
        <v>40525</v>
      </c>
      <c r="B1831" s="15" t="s">
        <v>311</v>
      </c>
      <c r="C1831" s="15" t="s">
        <v>43</v>
      </c>
      <c r="D1831" s="16">
        <v>30</v>
      </c>
      <c r="E1831" s="17">
        <v>990.73</v>
      </c>
      <c r="F1831" s="16">
        <v>0.02</v>
      </c>
      <c r="G1831" s="15" t="s">
        <v>101</v>
      </c>
      <c r="H1831" s="18">
        <v>56.39</v>
      </c>
      <c r="I1831" s="19">
        <v>30.73</v>
      </c>
      <c r="J1831" s="19">
        <v>4</v>
      </c>
      <c r="K1831" s="19" t="s">
        <v>97</v>
      </c>
      <c r="L1831" s="19" t="s">
        <v>195</v>
      </c>
      <c r="M1831" s="15" t="s">
        <v>1413</v>
      </c>
      <c r="N1831" s="15" t="s">
        <v>64</v>
      </c>
      <c r="O1831" s="15" t="s">
        <v>72</v>
      </c>
      <c r="P1831" s="20" t="s">
        <v>971</v>
      </c>
      <c r="Q1831" s="15" t="s">
        <v>83</v>
      </c>
      <c r="R1831" s="4"/>
      <c r="S1831" s="4"/>
    </row>
    <row r="1832" spans="1:19" ht="21" customHeight="1" x14ac:dyDescent="0.25">
      <c r="A1832" s="14">
        <f>DATE(2012,12,31)-439</f>
        <v>40835</v>
      </c>
      <c r="B1832" s="15" t="s">
        <v>782</v>
      </c>
      <c r="C1832" s="15" t="s">
        <v>43</v>
      </c>
      <c r="D1832" s="16">
        <v>43</v>
      </c>
      <c r="E1832" s="17">
        <v>24233.54</v>
      </c>
      <c r="F1832" s="16">
        <v>7.0000000000000007E-2</v>
      </c>
      <c r="G1832" s="15" t="s">
        <v>32</v>
      </c>
      <c r="H1832" s="18">
        <v>6492.6669999999995</v>
      </c>
      <c r="I1832" s="19">
        <v>599.99</v>
      </c>
      <c r="J1832" s="19">
        <v>24.49</v>
      </c>
      <c r="K1832" s="19" t="s">
        <v>44</v>
      </c>
      <c r="L1832" s="19" t="s">
        <v>52</v>
      </c>
      <c r="M1832" s="15" t="s">
        <v>1685</v>
      </c>
      <c r="N1832" s="15" t="s">
        <v>64</v>
      </c>
      <c r="O1832" s="15" t="s">
        <v>460</v>
      </c>
      <c r="P1832" s="20" t="s">
        <v>1691</v>
      </c>
      <c r="Q1832" s="15" t="s">
        <v>39</v>
      </c>
      <c r="R1832" s="4"/>
      <c r="S1832" s="4"/>
    </row>
    <row r="1833" spans="1:19" ht="21" customHeight="1" x14ac:dyDescent="0.25">
      <c r="A1833" s="14">
        <f>DATE(2012,12,31)-439</f>
        <v>40835</v>
      </c>
      <c r="B1833" s="15" t="s">
        <v>782</v>
      </c>
      <c r="C1833" s="15" t="s">
        <v>43</v>
      </c>
      <c r="D1833" s="16">
        <v>45</v>
      </c>
      <c r="E1833" s="17">
        <v>6325.65</v>
      </c>
      <c r="F1833" s="16">
        <v>0.02</v>
      </c>
      <c r="G1833" s="15" t="s">
        <v>58</v>
      </c>
      <c r="H1833" s="18">
        <v>114.46</v>
      </c>
      <c r="I1833" s="19">
        <v>135.99</v>
      </c>
      <c r="J1833" s="19">
        <v>28.63</v>
      </c>
      <c r="K1833" s="19" t="s">
        <v>69</v>
      </c>
      <c r="L1833" s="19" t="s">
        <v>70</v>
      </c>
      <c r="M1833" s="15" t="s">
        <v>1492</v>
      </c>
      <c r="N1833" s="15" t="s">
        <v>54</v>
      </c>
      <c r="O1833" s="15" t="s">
        <v>252</v>
      </c>
      <c r="P1833" s="20" t="s">
        <v>1301</v>
      </c>
      <c r="Q1833" s="15" t="s">
        <v>181</v>
      </c>
      <c r="R1833" s="4"/>
      <c r="S1833" s="4"/>
    </row>
    <row r="1834" spans="1:19" ht="21" customHeight="1" x14ac:dyDescent="0.25">
      <c r="A1834" s="14">
        <f>DATE(2012,12,31)-439</f>
        <v>40835</v>
      </c>
      <c r="B1834" s="15" t="s">
        <v>782</v>
      </c>
      <c r="C1834" s="15" t="s">
        <v>43</v>
      </c>
      <c r="D1834" s="16">
        <v>2</v>
      </c>
      <c r="E1834" s="17">
        <v>380.62</v>
      </c>
      <c r="F1834" s="16">
        <v>0.02</v>
      </c>
      <c r="G1834" s="15" t="s">
        <v>58</v>
      </c>
      <c r="H1834" s="18">
        <v>-301.73</v>
      </c>
      <c r="I1834" s="19">
        <v>179.29</v>
      </c>
      <c r="J1834" s="19">
        <v>29.21</v>
      </c>
      <c r="K1834" s="19" t="s">
        <v>44</v>
      </c>
      <c r="L1834" s="19" t="s">
        <v>89</v>
      </c>
      <c r="M1834" s="15" t="s">
        <v>1341</v>
      </c>
      <c r="N1834" s="15" t="s">
        <v>54</v>
      </c>
      <c r="O1834" s="15" t="s">
        <v>61</v>
      </c>
      <c r="P1834" s="20" t="s">
        <v>592</v>
      </c>
      <c r="Q1834" s="15" t="s">
        <v>63</v>
      </c>
      <c r="R1834" s="4"/>
      <c r="S1834" s="4"/>
    </row>
    <row r="1835" spans="1:19" ht="21" customHeight="1" x14ac:dyDescent="0.25">
      <c r="A1835" s="14">
        <f>DATE(2012,12,31)-884</f>
        <v>40390</v>
      </c>
      <c r="B1835" s="15" t="s">
        <v>251</v>
      </c>
      <c r="C1835" s="15" t="s">
        <v>85</v>
      </c>
      <c r="D1835" s="16">
        <v>13</v>
      </c>
      <c r="E1835" s="17">
        <v>951.31</v>
      </c>
      <c r="F1835" s="16">
        <v>0.06</v>
      </c>
      <c r="G1835" s="15" t="s">
        <v>58</v>
      </c>
      <c r="H1835" s="18">
        <v>-333.07</v>
      </c>
      <c r="I1835" s="19">
        <v>68.81</v>
      </c>
      <c r="J1835" s="19">
        <v>60</v>
      </c>
      <c r="K1835" s="19" t="s">
        <v>44</v>
      </c>
      <c r="L1835" s="19" t="s">
        <v>120</v>
      </c>
      <c r="M1835" s="15" t="s">
        <v>121</v>
      </c>
      <c r="N1835" s="15" t="s">
        <v>36</v>
      </c>
      <c r="O1835" s="15" t="s">
        <v>176</v>
      </c>
      <c r="P1835" s="20" t="s">
        <v>363</v>
      </c>
      <c r="Q1835" s="15" t="s">
        <v>181</v>
      </c>
      <c r="R1835" s="4"/>
      <c r="S1835" s="4"/>
    </row>
    <row r="1836" spans="1:19" ht="21" customHeight="1" x14ac:dyDescent="0.25">
      <c r="A1836" s="14">
        <f>DATE(2012,12,31)-453</f>
        <v>40821</v>
      </c>
      <c r="B1836" s="15" t="s">
        <v>1692</v>
      </c>
      <c r="C1836" s="15" t="s">
        <v>31</v>
      </c>
      <c r="D1836" s="16">
        <v>12</v>
      </c>
      <c r="E1836" s="17">
        <v>502.01</v>
      </c>
      <c r="F1836" s="16">
        <v>0.04</v>
      </c>
      <c r="G1836" s="15" t="s">
        <v>32</v>
      </c>
      <c r="H1836" s="18">
        <v>159.72999999999999</v>
      </c>
      <c r="I1836" s="19">
        <v>39.979999999999997</v>
      </c>
      <c r="J1836" s="19">
        <v>9.1999999999999993</v>
      </c>
      <c r="K1836" s="19" t="s">
        <v>124</v>
      </c>
      <c r="L1836" s="19" t="s">
        <v>125</v>
      </c>
      <c r="M1836" s="15" t="s">
        <v>1297</v>
      </c>
      <c r="N1836" s="15" t="s">
        <v>54</v>
      </c>
      <c r="O1836" s="15" t="s">
        <v>55</v>
      </c>
      <c r="P1836" s="20" t="s">
        <v>1693</v>
      </c>
      <c r="Q1836" s="15" t="s">
        <v>79</v>
      </c>
      <c r="R1836" s="4"/>
      <c r="S1836" s="4"/>
    </row>
    <row r="1837" spans="1:19" ht="21" customHeight="1" x14ac:dyDescent="0.25">
      <c r="A1837" s="14">
        <f>DATE(2012,12,31)-324</f>
        <v>40950</v>
      </c>
      <c r="B1837" s="15" t="s">
        <v>518</v>
      </c>
      <c r="C1837" s="15" t="s">
        <v>85</v>
      </c>
      <c r="D1837" s="16">
        <v>2</v>
      </c>
      <c r="E1837" s="17">
        <v>38.93</v>
      </c>
      <c r="F1837" s="16">
        <v>7.0000000000000007E-2</v>
      </c>
      <c r="G1837" s="15" t="s">
        <v>32</v>
      </c>
      <c r="H1837" s="18">
        <v>-102.432</v>
      </c>
      <c r="I1837" s="19">
        <v>20.99</v>
      </c>
      <c r="J1837" s="19">
        <v>4.8099999999999996</v>
      </c>
      <c r="K1837" s="19" t="s">
        <v>33</v>
      </c>
      <c r="L1837" s="19" t="s">
        <v>93</v>
      </c>
      <c r="M1837" s="15" t="s">
        <v>94</v>
      </c>
      <c r="N1837" s="15" t="s">
        <v>64</v>
      </c>
      <c r="O1837" s="15" t="s">
        <v>65</v>
      </c>
      <c r="P1837" s="20" t="s">
        <v>654</v>
      </c>
      <c r="Q1837" s="15" t="s">
        <v>57</v>
      </c>
      <c r="R1837" s="4"/>
      <c r="S1837" s="4"/>
    </row>
    <row r="1838" spans="1:19" ht="21" customHeight="1" x14ac:dyDescent="0.25">
      <c r="A1838" s="14">
        <f>DATE(2012,12,31)-41</f>
        <v>41233</v>
      </c>
      <c r="B1838" s="15" t="s">
        <v>1040</v>
      </c>
      <c r="C1838" s="15" t="s">
        <v>85</v>
      </c>
      <c r="D1838" s="16">
        <v>26</v>
      </c>
      <c r="E1838" s="17">
        <v>187.16</v>
      </c>
      <c r="F1838" s="16">
        <v>0.01</v>
      </c>
      <c r="G1838" s="15" t="s">
        <v>32</v>
      </c>
      <c r="H1838" s="18">
        <v>29.324999999999999</v>
      </c>
      <c r="I1838" s="19">
        <v>6.75</v>
      </c>
      <c r="J1838" s="19">
        <v>2.99</v>
      </c>
      <c r="K1838" s="19" t="s">
        <v>97</v>
      </c>
      <c r="L1838" s="19" t="s">
        <v>98</v>
      </c>
      <c r="M1838" s="15" t="s">
        <v>1162</v>
      </c>
      <c r="N1838" s="15" t="s">
        <v>36</v>
      </c>
      <c r="O1838" s="15" t="s">
        <v>170</v>
      </c>
      <c r="P1838" s="20" t="s">
        <v>1453</v>
      </c>
      <c r="Q1838" s="15" t="s">
        <v>83</v>
      </c>
      <c r="R1838" s="4"/>
      <c r="S1838" s="4"/>
    </row>
    <row r="1839" spans="1:19" ht="21" customHeight="1" x14ac:dyDescent="0.25">
      <c r="A1839" s="14">
        <f>DATE(2012,12,31)-1325</f>
        <v>39949</v>
      </c>
      <c r="B1839" s="15" t="s">
        <v>942</v>
      </c>
      <c r="C1839" s="15" t="s">
        <v>51</v>
      </c>
      <c r="D1839" s="16">
        <v>18</v>
      </c>
      <c r="E1839" s="17">
        <v>513.08000000000004</v>
      </c>
      <c r="F1839" s="16">
        <v>0.03</v>
      </c>
      <c r="G1839" s="15" t="s">
        <v>32</v>
      </c>
      <c r="H1839" s="18">
        <v>198.9425</v>
      </c>
      <c r="I1839" s="19">
        <v>28.53</v>
      </c>
      <c r="J1839" s="19">
        <v>1.49</v>
      </c>
      <c r="K1839" s="19" t="s">
        <v>124</v>
      </c>
      <c r="L1839" s="19" t="s">
        <v>160</v>
      </c>
      <c r="M1839" s="15" t="s">
        <v>1621</v>
      </c>
      <c r="N1839" s="15" t="s">
        <v>36</v>
      </c>
      <c r="O1839" s="15" t="s">
        <v>170</v>
      </c>
      <c r="P1839" s="20" t="s">
        <v>1566</v>
      </c>
      <c r="Q1839" s="15" t="s">
        <v>83</v>
      </c>
      <c r="R1839" s="4"/>
      <c r="S1839" s="4"/>
    </row>
    <row r="1840" spans="1:19" ht="21" customHeight="1" x14ac:dyDescent="0.25">
      <c r="A1840" s="14">
        <f>DATE(2012,12,31)-1325</f>
        <v>39949</v>
      </c>
      <c r="B1840" s="15" t="s">
        <v>942</v>
      </c>
      <c r="C1840" s="15" t="s">
        <v>51</v>
      </c>
      <c r="D1840" s="16">
        <v>16</v>
      </c>
      <c r="E1840" s="17">
        <v>98.8</v>
      </c>
      <c r="F1840" s="16">
        <v>7.0000000000000007E-2</v>
      </c>
      <c r="G1840" s="15" t="s">
        <v>32</v>
      </c>
      <c r="H1840" s="18">
        <v>-62</v>
      </c>
      <c r="I1840" s="19">
        <v>5.98</v>
      </c>
      <c r="J1840" s="19">
        <v>7.15</v>
      </c>
      <c r="K1840" s="19" t="s">
        <v>124</v>
      </c>
      <c r="L1840" s="19" t="s">
        <v>158</v>
      </c>
      <c r="M1840" s="15" t="s">
        <v>158</v>
      </c>
      <c r="N1840" s="15" t="s">
        <v>36</v>
      </c>
      <c r="O1840" s="15" t="s">
        <v>117</v>
      </c>
      <c r="P1840" s="20" t="s">
        <v>603</v>
      </c>
      <c r="Q1840" s="15" t="s">
        <v>83</v>
      </c>
      <c r="R1840" s="4"/>
      <c r="S1840" s="4"/>
    </row>
    <row r="1841" spans="1:19" ht="21" customHeight="1" x14ac:dyDescent="0.25">
      <c r="A1841" s="14">
        <f>DATE(2012,12,31)-1380</f>
        <v>39894</v>
      </c>
      <c r="B1841" s="15" t="s">
        <v>309</v>
      </c>
      <c r="C1841" s="15" t="s">
        <v>43</v>
      </c>
      <c r="D1841" s="16">
        <v>44</v>
      </c>
      <c r="E1841" s="17">
        <v>7312.86</v>
      </c>
      <c r="F1841" s="16">
        <v>0.03</v>
      </c>
      <c r="G1841" s="15" t="s">
        <v>58</v>
      </c>
      <c r="H1841" s="18">
        <v>1279.3699999999999</v>
      </c>
      <c r="I1841" s="19">
        <v>160.97999999999999</v>
      </c>
      <c r="J1841" s="19">
        <v>30</v>
      </c>
      <c r="K1841" s="19" t="s">
        <v>44</v>
      </c>
      <c r="L1841" s="19" t="s">
        <v>52</v>
      </c>
      <c r="M1841" s="15" t="s">
        <v>1685</v>
      </c>
      <c r="N1841" s="15" t="s">
        <v>54</v>
      </c>
      <c r="O1841" s="15" t="s">
        <v>252</v>
      </c>
      <c r="P1841" s="20" t="s">
        <v>726</v>
      </c>
      <c r="Q1841" s="15" t="s">
        <v>181</v>
      </c>
      <c r="R1841" s="4"/>
      <c r="S1841" s="4"/>
    </row>
    <row r="1842" spans="1:19" ht="21" customHeight="1" x14ac:dyDescent="0.25">
      <c r="A1842" s="14">
        <f>DATE(2012,12,31)-1380</f>
        <v>39894</v>
      </c>
      <c r="B1842" s="15" t="s">
        <v>309</v>
      </c>
      <c r="C1842" s="15" t="s">
        <v>43</v>
      </c>
      <c r="D1842" s="16">
        <v>39</v>
      </c>
      <c r="E1842" s="17">
        <v>605.16</v>
      </c>
      <c r="F1842" s="16">
        <v>0.09</v>
      </c>
      <c r="G1842" s="15" t="s">
        <v>32</v>
      </c>
      <c r="H1842" s="18">
        <v>154.65</v>
      </c>
      <c r="I1842" s="19">
        <v>15.98</v>
      </c>
      <c r="J1842" s="19">
        <v>4</v>
      </c>
      <c r="K1842" s="19" t="s">
        <v>44</v>
      </c>
      <c r="L1842" s="19" t="s">
        <v>52</v>
      </c>
      <c r="M1842" s="15" t="s">
        <v>1685</v>
      </c>
      <c r="N1842" s="15" t="s">
        <v>64</v>
      </c>
      <c r="O1842" s="15" t="s">
        <v>72</v>
      </c>
      <c r="P1842" s="20" t="s">
        <v>344</v>
      </c>
      <c r="Q1842" s="15" t="s">
        <v>83</v>
      </c>
      <c r="R1842" s="4"/>
      <c r="S1842" s="4"/>
    </row>
    <row r="1843" spans="1:19" ht="21" customHeight="1" x14ac:dyDescent="0.25">
      <c r="A1843" s="14">
        <f>DATE(2012,12,31)-1207</f>
        <v>40067</v>
      </c>
      <c r="B1843" s="15" t="s">
        <v>616</v>
      </c>
      <c r="C1843" s="15" t="s">
        <v>51</v>
      </c>
      <c r="D1843" s="16">
        <v>40</v>
      </c>
      <c r="E1843" s="17">
        <v>460.68</v>
      </c>
      <c r="F1843" s="16">
        <v>0.01</v>
      </c>
      <c r="G1843" s="15" t="s">
        <v>32</v>
      </c>
      <c r="H1843" s="18">
        <v>-116.76</v>
      </c>
      <c r="I1843" s="19">
        <v>10.9</v>
      </c>
      <c r="J1843" s="19">
        <v>7.46</v>
      </c>
      <c r="K1843" s="19" t="s">
        <v>44</v>
      </c>
      <c r="L1843" s="19" t="s">
        <v>52</v>
      </c>
      <c r="M1843" s="15" t="s">
        <v>1685</v>
      </c>
      <c r="N1843" s="15" t="s">
        <v>36</v>
      </c>
      <c r="O1843" s="15" t="s">
        <v>37</v>
      </c>
      <c r="P1843" s="20" t="s">
        <v>940</v>
      </c>
      <c r="Q1843" s="15" t="s">
        <v>83</v>
      </c>
      <c r="R1843" s="4"/>
      <c r="S1843" s="4"/>
    </row>
    <row r="1844" spans="1:19" ht="21" customHeight="1" x14ac:dyDescent="0.25">
      <c r="A1844" s="14">
        <f>DATE(2012,12,31)-1207</f>
        <v>40067</v>
      </c>
      <c r="B1844" s="15" t="s">
        <v>616</v>
      </c>
      <c r="C1844" s="15" t="s">
        <v>51</v>
      </c>
      <c r="D1844" s="16">
        <v>49</v>
      </c>
      <c r="E1844" s="17">
        <v>318.75849999999997</v>
      </c>
      <c r="F1844" s="16">
        <v>0.1</v>
      </c>
      <c r="G1844" s="15" t="s">
        <v>32</v>
      </c>
      <c r="H1844" s="18">
        <v>-160.952</v>
      </c>
      <c r="I1844" s="19">
        <v>7.99</v>
      </c>
      <c r="J1844" s="19">
        <v>5.03</v>
      </c>
      <c r="K1844" s="19" t="s">
        <v>44</v>
      </c>
      <c r="L1844" s="19" t="s">
        <v>52</v>
      </c>
      <c r="M1844" s="15" t="s">
        <v>1685</v>
      </c>
      <c r="N1844" s="15" t="s">
        <v>64</v>
      </c>
      <c r="O1844" s="15" t="s">
        <v>65</v>
      </c>
      <c r="P1844" s="20" t="s">
        <v>66</v>
      </c>
      <c r="Q1844" s="15" t="s">
        <v>57</v>
      </c>
      <c r="R1844" s="4"/>
      <c r="S1844" s="4"/>
    </row>
    <row r="1845" spans="1:19" ht="21" customHeight="1" x14ac:dyDescent="0.25">
      <c r="A1845" s="14">
        <f>DATE(2012,12,31)-236</f>
        <v>41038</v>
      </c>
      <c r="B1845" s="15" t="s">
        <v>537</v>
      </c>
      <c r="C1845" s="15" t="s">
        <v>31</v>
      </c>
      <c r="D1845" s="16">
        <v>22</v>
      </c>
      <c r="E1845" s="17">
        <v>763.85</v>
      </c>
      <c r="F1845" s="16">
        <v>0.09</v>
      </c>
      <c r="G1845" s="15" t="s">
        <v>32</v>
      </c>
      <c r="H1845" s="18">
        <v>-126.6</v>
      </c>
      <c r="I1845" s="19">
        <v>34.979999999999997</v>
      </c>
      <c r="J1845" s="19">
        <v>7.53</v>
      </c>
      <c r="K1845" s="19" t="s">
        <v>44</v>
      </c>
      <c r="L1845" s="19" t="s">
        <v>80</v>
      </c>
      <c r="M1845" s="15" t="s">
        <v>1200</v>
      </c>
      <c r="N1845" s="15" t="s">
        <v>64</v>
      </c>
      <c r="O1845" s="15" t="s">
        <v>72</v>
      </c>
      <c r="P1845" s="20" t="s">
        <v>1694</v>
      </c>
      <c r="Q1845" s="15" t="s">
        <v>83</v>
      </c>
      <c r="R1845" s="4"/>
      <c r="S1845" s="4"/>
    </row>
    <row r="1846" spans="1:19" ht="21" customHeight="1" x14ac:dyDescent="0.25">
      <c r="A1846" s="14">
        <f>DATE(2012,12,31)-236</f>
        <v>41038</v>
      </c>
      <c r="B1846" s="15" t="s">
        <v>537</v>
      </c>
      <c r="C1846" s="15" t="s">
        <v>31</v>
      </c>
      <c r="D1846" s="16">
        <v>2</v>
      </c>
      <c r="E1846" s="17">
        <v>12.59</v>
      </c>
      <c r="F1846" s="16">
        <v>0.02</v>
      </c>
      <c r="G1846" s="15" t="s">
        <v>32</v>
      </c>
      <c r="H1846" s="18">
        <v>-5.92</v>
      </c>
      <c r="I1846" s="19">
        <v>6.3</v>
      </c>
      <c r="J1846" s="19">
        <v>0.5</v>
      </c>
      <c r="K1846" s="19" t="s">
        <v>33</v>
      </c>
      <c r="L1846" s="19" t="s">
        <v>59</v>
      </c>
      <c r="M1846" s="15" t="s">
        <v>1361</v>
      </c>
      <c r="N1846" s="15" t="s">
        <v>36</v>
      </c>
      <c r="O1846" s="15" t="s">
        <v>114</v>
      </c>
      <c r="P1846" s="20" t="s">
        <v>916</v>
      </c>
      <c r="Q1846" s="15" t="s">
        <v>83</v>
      </c>
      <c r="R1846" s="4"/>
      <c r="S1846" s="4"/>
    </row>
    <row r="1847" spans="1:19" ht="21" customHeight="1" x14ac:dyDescent="0.25">
      <c r="A1847" s="14">
        <f>DATE(2012,12,31)-141</f>
        <v>41133</v>
      </c>
      <c r="B1847" s="15" t="s">
        <v>892</v>
      </c>
      <c r="C1847" s="15" t="s">
        <v>51</v>
      </c>
      <c r="D1847" s="16">
        <v>22</v>
      </c>
      <c r="E1847" s="17">
        <v>9062.44</v>
      </c>
      <c r="F1847" s="16">
        <v>0.05</v>
      </c>
      <c r="G1847" s="15" t="s">
        <v>32</v>
      </c>
      <c r="H1847" s="18">
        <v>3858.2774999999997</v>
      </c>
      <c r="I1847" s="19">
        <v>420.98</v>
      </c>
      <c r="J1847" s="19">
        <v>19.989999999999998</v>
      </c>
      <c r="K1847" s="19" t="s">
        <v>44</v>
      </c>
      <c r="L1847" s="19" t="s">
        <v>120</v>
      </c>
      <c r="M1847" s="15" t="s">
        <v>121</v>
      </c>
      <c r="N1847" s="15" t="s">
        <v>36</v>
      </c>
      <c r="O1847" s="15" t="s">
        <v>170</v>
      </c>
      <c r="P1847" s="20" t="s">
        <v>466</v>
      </c>
      <c r="Q1847" s="15" t="s">
        <v>83</v>
      </c>
      <c r="R1847" s="4"/>
      <c r="S1847" s="4"/>
    </row>
    <row r="1848" spans="1:19" ht="21" customHeight="1" x14ac:dyDescent="0.25">
      <c r="A1848" s="14">
        <f>DATE(2012,12,31)-141</f>
        <v>41133</v>
      </c>
      <c r="B1848" s="15" t="s">
        <v>892</v>
      </c>
      <c r="C1848" s="15" t="s">
        <v>51</v>
      </c>
      <c r="D1848" s="16">
        <v>49</v>
      </c>
      <c r="E1848" s="17">
        <v>1662.57</v>
      </c>
      <c r="F1848" s="16">
        <v>0.1</v>
      </c>
      <c r="G1848" s="15" t="s">
        <v>32</v>
      </c>
      <c r="H1848" s="18">
        <v>674.99350000000004</v>
      </c>
      <c r="I1848" s="19">
        <v>37.700000000000003</v>
      </c>
      <c r="J1848" s="19">
        <v>2.99</v>
      </c>
      <c r="K1848" s="19" t="s">
        <v>124</v>
      </c>
      <c r="L1848" s="19" t="s">
        <v>160</v>
      </c>
      <c r="M1848" s="15" t="s">
        <v>1621</v>
      </c>
      <c r="N1848" s="15" t="s">
        <v>36</v>
      </c>
      <c r="O1848" s="15" t="s">
        <v>170</v>
      </c>
      <c r="P1848" s="20" t="s">
        <v>391</v>
      </c>
      <c r="Q1848" s="15" t="s">
        <v>83</v>
      </c>
      <c r="R1848" s="4"/>
      <c r="S1848" s="4"/>
    </row>
    <row r="1849" spans="1:19" ht="21" customHeight="1" x14ac:dyDescent="0.25">
      <c r="A1849" s="14">
        <f>DATE(2012,12,31)-1264</f>
        <v>40010</v>
      </c>
      <c r="B1849" s="15" t="s">
        <v>1123</v>
      </c>
      <c r="C1849" s="15" t="s">
        <v>43</v>
      </c>
      <c r="D1849" s="16">
        <v>47</v>
      </c>
      <c r="E1849" s="17">
        <v>1020.61</v>
      </c>
      <c r="F1849" s="16">
        <v>0.04</v>
      </c>
      <c r="G1849" s="15" t="s">
        <v>32</v>
      </c>
      <c r="H1849" s="18">
        <v>-209.61</v>
      </c>
      <c r="I1849" s="19">
        <v>21.66</v>
      </c>
      <c r="J1849" s="19">
        <v>13.99</v>
      </c>
      <c r="K1849" s="19" t="s">
        <v>124</v>
      </c>
      <c r="L1849" s="19" t="s">
        <v>160</v>
      </c>
      <c r="M1849" s="15" t="s">
        <v>1621</v>
      </c>
      <c r="N1849" s="15" t="s">
        <v>36</v>
      </c>
      <c r="O1849" s="15" t="s">
        <v>176</v>
      </c>
      <c r="P1849" s="20" t="s">
        <v>1695</v>
      </c>
      <c r="Q1849" s="15" t="s">
        <v>57</v>
      </c>
      <c r="R1849" s="4"/>
      <c r="S1849" s="4"/>
    </row>
    <row r="1850" spans="1:19" ht="21" customHeight="1" x14ac:dyDescent="0.25">
      <c r="A1850" s="14">
        <f>DATE(2012,12,31)-1264</f>
        <v>40010</v>
      </c>
      <c r="B1850" s="15" t="s">
        <v>1123</v>
      </c>
      <c r="C1850" s="15" t="s">
        <v>43</v>
      </c>
      <c r="D1850" s="16">
        <v>18</v>
      </c>
      <c r="E1850" s="17">
        <v>243.51</v>
      </c>
      <c r="F1850" s="16">
        <v>0.02</v>
      </c>
      <c r="G1850" s="15" t="s">
        <v>32</v>
      </c>
      <c r="H1850" s="18">
        <v>-159.86000000000001</v>
      </c>
      <c r="I1850" s="19">
        <v>12.99</v>
      </c>
      <c r="J1850" s="19">
        <v>14.37</v>
      </c>
      <c r="K1850" s="19" t="s">
        <v>33</v>
      </c>
      <c r="L1850" s="19" t="s">
        <v>145</v>
      </c>
      <c r="M1850" s="15" t="s">
        <v>1555</v>
      </c>
      <c r="N1850" s="15" t="s">
        <v>54</v>
      </c>
      <c r="O1850" s="15" t="s">
        <v>55</v>
      </c>
      <c r="P1850" s="20" t="s">
        <v>1696</v>
      </c>
      <c r="Q1850" s="15" t="s">
        <v>39</v>
      </c>
      <c r="R1850" s="4"/>
      <c r="S1850" s="4"/>
    </row>
    <row r="1851" spans="1:19" ht="21" customHeight="1" x14ac:dyDescent="0.25">
      <c r="A1851" s="14">
        <f>DATE(2012,12,31)-1264</f>
        <v>40010</v>
      </c>
      <c r="B1851" s="15" t="s">
        <v>1123</v>
      </c>
      <c r="C1851" s="15" t="s">
        <v>43</v>
      </c>
      <c r="D1851" s="16">
        <v>22</v>
      </c>
      <c r="E1851" s="17">
        <v>755.6</v>
      </c>
      <c r="F1851" s="16">
        <v>0.05</v>
      </c>
      <c r="G1851" s="15" t="s">
        <v>32</v>
      </c>
      <c r="H1851" s="18">
        <v>223.44</v>
      </c>
      <c r="I1851" s="19">
        <v>35.44</v>
      </c>
      <c r="J1851" s="19">
        <v>7.5</v>
      </c>
      <c r="K1851" s="19" t="s">
        <v>33</v>
      </c>
      <c r="L1851" s="19" t="s">
        <v>145</v>
      </c>
      <c r="M1851" s="15" t="s">
        <v>1555</v>
      </c>
      <c r="N1851" s="15" t="s">
        <v>36</v>
      </c>
      <c r="O1851" s="15" t="s">
        <v>117</v>
      </c>
      <c r="P1851" s="20" t="s">
        <v>1697</v>
      </c>
      <c r="Q1851" s="15" t="s">
        <v>83</v>
      </c>
      <c r="R1851" s="4"/>
      <c r="S1851" s="4"/>
    </row>
    <row r="1852" spans="1:19" ht="21" customHeight="1" x14ac:dyDescent="0.25">
      <c r="A1852" s="14">
        <f>DATE(2012,12,31)-1264</f>
        <v>40010</v>
      </c>
      <c r="B1852" s="15" t="s">
        <v>1123</v>
      </c>
      <c r="C1852" s="15" t="s">
        <v>43</v>
      </c>
      <c r="D1852" s="16">
        <v>45</v>
      </c>
      <c r="E1852" s="17">
        <v>592.73</v>
      </c>
      <c r="F1852" s="16">
        <v>0.02</v>
      </c>
      <c r="G1852" s="15" t="s">
        <v>32</v>
      </c>
      <c r="H1852" s="18">
        <v>75.010000000000005</v>
      </c>
      <c r="I1852" s="19">
        <v>12.98</v>
      </c>
      <c r="J1852" s="19">
        <v>3.14</v>
      </c>
      <c r="K1852" s="19" t="s">
        <v>33</v>
      </c>
      <c r="L1852" s="19" t="s">
        <v>145</v>
      </c>
      <c r="M1852" s="15" t="s">
        <v>1555</v>
      </c>
      <c r="N1852" s="15" t="s">
        <v>36</v>
      </c>
      <c r="O1852" s="15" t="s">
        <v>47</v>
      </c>
      <c r="P1852" s="20" t="s">
        <v>152</v>
      </c>
      <c r="Q1852" s="15" t="s">
        <v>49</v>
      </c>
      <c r="R1852" s="4"/>
      <c r="S1852" s="4"/>
    </row>
    <row r="1853" spans="1:19" ht="21" customHeight="1" x14ac:dyDescent="0.25">
      <c r="A1853" s="14">
        <f>DATE(2012,12,31)-1328</f>
        <v>39946</v>
      </c>
      <c r="B1853" s="15" t="s">
        <v>1007</v>
      </c>
      <c r="C1853" s="15" t="s">
        <v>51</v>
      </c>
      <c r="D1853" s="16">
        <v>34</v>
      </c>
      <c r="E1853" s="17">
        <v>89.4</v>
      </c>
      <c r="F1853" s="16">
        <v>0.08</v>
      </c>
      <c r="G1853" s="15" t="s">
        <v>101</v>
      </c>
      <c r="H1853" s="18">
        <v>22.22</v>
      </c>
      <c r="I1853" s="19">
        <v>2.62</v>
      </c>
      <c r="J1853" s="19">
        <v>0.8</v>
      </c>
      <c r="K1853" s="19" t="s">
        <v>33</v>
      </c>
      <c r="L1853" s="19" t="s">
        <v>145</v>
      </c>
      <c r="M1853" s="15" t="s">
        <v>1555</v>
      </c>
      <c r="N1853" s="15" t="s">
        <v>36</v>
      </c>
      <c r="O1853" s="15" t="s">
        <v>105</v>
      </c>
      <c r="P1853" s="20" t="s">
        <v>915</v>
      </c>
      <c r="Q1853" s="15" t="s">
        <v>79</v>
      </c>
      <c r="R1853" s="4"/>
      <c r="S1853" s="4"/>
    </row>
    <row r="1854" spans="1:19" ht="21" customHeight="1" x14ac:dyDescent="0.25">
      <c r="A1854" s="14">
        <f>DATE(2012,12,31)-120</f>
        <v>41154</v>
      </c>
      <c r="B1854" s="15" t="s">
        <v>1589</v>
      </c>
      <c r="C1854" s="15" t="s">
        <v>43</v>
      </c>
      <c r="D1854" s="16">
        <v>24</v>
      </c>
      <c r="E1854" s="17">
        <v>116.82</v>
      </c>
      <c r="F1854" s="16">
        <v>0.02</v>
      </c>
      <c r="G1854" s="15" t="s">
        <v>32</v>
      </c>
      <c r="H1854" s="18">
        <v>-42.05</v>
      </c>
      <c r="I1854" s="19">
        <v>4.7699999999999996</v>
      </c>
      <c r="J1854" s="19">
        <v>2.39</v>
      </c>
      <c r="K1854" s="19" t="s">
        <v>33</v>
      </c>
      <c r="L1854" s="19" t="s">
        <v>145</v>
      </c>
      <c r="M1854" s="15" t="s">
        <v>1555</v>
      </c>
      <c r="N1854" s="15" t="s">
        <v>64</v>
      </c>
      <c r="O1854" s="15" t="s">
        <v>72</v>
      </c>
      <c r="P1854" s="20" t="s">
        <v>1328</v>
      </c>
      <c r="Q1854" s="15" t="s">
        <v>49</v>
      </c>
      <c r="R1854" s="4"/>
      <c r="S1854" s="4"/>
    </row>
    <row r="1855" spans="1:19" ht="21" customHeight="1" x14ac:dyDescent="0.25">
      <c r="A1855" s="14">
        <f>DATE(2012,12,31)-120</f>
        <v>41154</v>
      </c>
      <c r="B1855" s="15" t="s">
        <v>1589</v>
      </c>
      <c r="C1855" s="15" t="s">
        <v>43</v>
      </c>
      <c r="D1855" s="16">
        <v>45</v>
      </c>
      <c r="E1855" s="17">
        <v>483.64</v>
      </c>
      <c r="F1855" s="16">
        <v>0.1</v>
      </c>
      <c r="G1855" s="15" t="s">
        <v>32</v>
      </c>
      <c r="H1855" s="18">
        <v>28.39</v>
      </c>
      <c r="I1855" s="19">
        <v>10.98</v>
      </c>
      <c r="J1855" s="19">
        <v>3.37</v>
      </c>
      <c r="K1855" s="19" t="s">
        <v>33</v>
      </c>
      <c r="L1855" s="19" t="s">
        <v>145</v>
      </c>
      <c r="M1855" s="15" t="s">
        <v>1555</v>
      </c>
      <c r="N1855" s="15" t="s">
        <v>36</v>
      </c>
      <c r="O1855" s="15" t="s">
        <v>47</v>
      </c>
      <c r="P1855" s="20" t="s">
        <v>1698</v>
      </c>
      <c r="Q1855" s="15" t="s">
        <v>49</v>
      </c>
      <c r="R1855" s="4"/>
      <c r="S1855" s="4"/>
    </row>
    <row r="1856" spans="1:19" ht="21" customHeight="1" x14ac:dyDescent="0.25">
      <c r="A1856" s="14">
        <f>DATE(2012,12,31)-46</f>
        <v>41228</v>
      </c>
      <c r="B1856" s="15" t="s">
        <v>1509</v>
      </c>
      <c r="C1856" s="15" t="s">
        <v>31</v>
      </c>
      <c r="D1856" s="16">
        <v>44</v>
      </c>
      <c r="E1856" s="17">
        <v>268.33999999999997</v>
      </c>
      <c r="F1856" s="16">
        <v>0.09</v>
      </c>
      <c r="G1856" s="15" t="s">
        <v>32</v>
      </c>
      <c r="H1856" s="18">
        <v>-240.83</v>
      </c>
      <c r="I1856" s="19">
        <v>6.48</v>
      </c>
      <c r="J1856" s="19">
        <v>8.8800000000000008</v>
      </c>
      <c r="K1856" s="19" t="s">
        <v>33</v>
      </c>
      <c r="L1856" s="19" t="s">
        <v>145</v>
      </c>
      <c r="M1856" s="15" t="s">
        <v>1555</v>
      </c>
      <c r="N1856" s="15" t="s">
        <v>36</v>
      </c>
      <c r="O1856" s="15" t="s">
        <v>117</v>
      </c>
      <c r="P1856" s="20" t="s">
        <v>753</v>
      </c>
      <c r="Q1856" s="15" t="s">
        <v>83</v>
      </c>
      <c r="R1856" s="4"/>
      <c r="S1856" s="4"/>
    </row>
    <row r="1857" spans="1:19" ht="21" customHeight="1" x14ac:dyDescent="0.25">
      <c r="A1857" s="14">
        <f>DATE(2012,12,31)-983</f>
        <v>40291</v>
      </c>
      <c r="B1857" s="15" t="s">
        <v>640</v>
      </c>
      <c r="C1857" s="15" t="s">
        <v>43</v>
      </c>
      <c r="D1857" s="16">
        <v>24</v>
      </c>
      <c r="E1857" s="17">
        <v>104.89</v>
      </c>
      <c r="F1857" s="16">
        <v>7.0000000000000007E-2</v>
      </c>
      <c r="G1857" s="15" t="s">
        <v>101</v>
      </c>
      <c r="H1857" s="18">
        <v>22.839500000000001</v>
      </c>
      <c r="I1857" s="19">
        <v>3.8</v>
      </c>
      <c r="J1857" s="19">
        <v>1.49</v>
      </c>
      <c r="K1857" s="19" t="s">
        <v>33</v>
      </c>
      <c r="L1857" s="19" t="s">
        <v>34</v>
      </c>
      <c r="M1857" s="15" t="s">
        <v>1359</v>
      </c>
      <c r="N1857" s="15" t="s">
        <v>36</v>
      </c>
      <c r="O1857" s="15" t="s">
        <v>170</v>
      </c>
      <c r="P1857" s="20" t="s">
        <v>611</v>
      </c>
      <c r="Q1857" s="15" t="s">
        <v>83</v>
      </c>
      <c r="R1857" s="4"/>
      <c r="S1857" s="4"/>
    </row>
    <row r="1858" spans="1:19" ht="21" customHeight="1" x14ac:dyDescent="0.25">
      <c r="A1858" s="14">
        <f>DATE(2012,12,31)-785</f>
        <v>40489</v>
      </c>
      <c r="B1858" s="15" t="s">
        <v>359</v>
      </c>
      <c r="C1858" s="15" t="s">
        <v>85</v>
      </c>
      <c r="D1858" s="16">
        <v>35</v>
      </c>
      <c r="E1858" s="17">
        <v>4890.58</v>
      </c>
      <c r="F1858" s="16">
        <v>0.05</v>
      </c>
      <c r="G1858" s="15" t="s">
        <v>32</v>
      </c>
      <c r="H1858" s="18">
        <v>310.51</v>
      </c>
      <c r="I1858" s="19">
        <v>140.85</v>
      </c>
      <c r="J1858" s="19">
        <v>19.989999999999998</v>
      </c>
      <c r="K1858" s="19" t="s">
        <v>33</v>
      </c>
      <c r="L1858" s="19" t="s">
        <v>59</v>
      </c>
      <c r="M1858" s="15" t="s">
        <v>1361</v>
      </c>
      <c r="N1858" s="15" t="s">
        <v>36</v>
      </c>
      <c r="O1858" s="15" t="s">
        <v>37</v>
      </c>
      <c r="P1858" s="20" t="s">
        <v>634</v>
      </c>
      <c r="Q1858" s="15" t="s">
        <v>83</v>
      </c>
      <c r="R1858" s="4"/>
      <c r="S1858" s="4"/>
    </row>
    <row r="1859" spans="1:19" ht="21" customHeight="1" x14ac:dyDescent="0.25">
      <c r="A1859" s="14">
        <f>DATE(2012,12,31)-970</f>
        <v>40304</v>
      </c>
      <c r="B1859" s="15" t="s">
        <v>406</v>
      </c>
      <c r="C1859" s="15" t="s">
        <v>85</v>
      </c>
      <c r="D1859" s="16">
        <v>20</v>
      </c>
      <c r="E1859" s="17">
        <v>3331.81</v>
      </c>
      <c r="F1859" s="16">
        <v>0.08</v>
      </c>
      <c r="G1859" s="15" t="s">
        <v>32</v>
      </c>
      <c r="H1859" s="18">
        <v>484.15</v>
      </c>
      <c r="I1859" s="19">
        <v>179.99</v>
      </c>
      <c r="J1859" s="19">
        <v>19.989999999999998</v>
      </c>
      <c r="K1859" s="19" t="s">
        <v>33</v>
      </c>
      <c r="L1859" s="19" t="s">
        <v>145</v>
      </c>
      <c r="M1859" s="15" t="s">
        <v>1555</v>
      </c>
      <c r="N1859" s="15" t="s">
        <v>64</v>
      </c>
      <c r="O1859" s="15" t="s">
        <v>72</v>
      </c>
      <c r="P1859" s="20" t="s">
        <v>763</v>
      </c>
      <c r="Q1859" s="15" t="s">
        <v>83</v>
      </c>
      <c r="R1859" s="4"/>
      <c r="S1859" s="4"/>
    </row>
    <row r="1860" spans="1:19" ht="21" customHeight="1" x14ac:dyDescent="0.25">
      <c r="A1860" s="14">
        <f>DATE(2012,12,31)-1197</f>
        <v>40077</v>
      </c>
      <c r="B1860" s="15" t="s">
        <v>558</v>
      </c>
      <c r="C1860" s="15" t="s">
        <v>31</v>
      </c>
      <c r="D1860" s="16">
        <v>16</v>
      </c>
      <c r="E1860" s="17">
        <v>96.04</v>
      </c>
      <c r="F1860" s="16">
        <v>0.05</v>
      </c>
      <c r="G1860" s="15" t="s">
        <v>32</v>
      </c>
      <c r="H1860" s="18">
        <v>-50.75</v>
      </c>
      <c r="I1860" s="19">
        <v>5.74</v>
      </c>
      <c r="J1860" s="19">
        <v>5.3</v>
      </c>
      <c r="K1860" s="19" t="s">
        <v>33</v>
      </c>
      <c r="L1860" s="19" t="s">
        <v>145</v>
      </c>
      <c r="M1860" s="15" t="s">
        <v>1555</v>
      </c>
      <c r="N1860" s="15" t="s">
        <v>36</v>
      </c>
      <c r="O1860" s="15" t="s">
        <v>47</v>
      </c>
      <c r="P1860" s="20" t="s">
        <v>1699</v>
      </c>
      <c r="Q1860" s="15" t="s">
        <v>49</v>
      </c>
      <c r="R1860" s="4"/>
      <c r="S1860" s="4"/>
    </row>
    <row r="1861" spans="1:19" ht="21" customHeight="1" x14ac:dyDescent="0.25">
      <c r="A1861" s="14">
        <f>DATE(2012,12,31)-1265</f>
        <v>40009</v>
      </c>
      <c r="B1861" s="15" t="s">
        <v>1018</v>
      </c>
      <c r="C1861" s="15" t="s">
        <v>85</v>
      </c>
      <c r="D1861" s="16">
        <v>24</v>
      </c>
      <c r="E1861" s="17">
        <v>66.12</v>
      </c>
      <c r="F1861" s="16">
        <v>0.09</v>
      </c>
      <c r="G1861" s="15" t="s">
        <v>32</v>
      </c>
      <c r="H1861" s="18">
        <v>4.8499999999999996</v>
      </c>
      <c r="I1861" s="19">
        <v>2.88</v>
      </c>
      <c r="J1861" s="19">
        <v>0.7</v>
      </c>
      <c r="K1861" s="19" t="s">
        <v>33</v>
      </c>
      <c r="L1861" s="19" t="s">
        <v>59</v>
      </c>
      <c r="M1861" s="15" t="s">
        <v>1361</v>
      </c>
      <c r="N1861" s="15" t="s">
        <v>36</v>
      </c>
      <c r="O1861" s="15" t="s">
        <v>77</v>
      </c>
      <c r="P1861" s="20" t="s">
        <v>1022</v>
      </c>
      <c r="Q1861" s="15" t="s">
        <v>79</v>
      </c>
      <c r="R1861" s="4"/>
      <c r="S1861" s="4"/>
    </row>
    <row r="1862" spans="1:19" ht="21" customHeight="1" x14ac:dyDescent="0.25">
      <c r="A1862" s="14">
        <f>DATE(2012,12,31)-502</f>
        <v>40772</v>
      </c>
      <c r="B1862" s="15" t="s">
        <v>602</v>
      </c>
      <c r="C1862" s="15" t="s">
        <v>85</v>
      </c>
      <c r="D1862" s="16">
        <v>41</v>
      </c>
      <c r="E1862" s="17">
        <v>10714.78</v>
      </c>
      <c r="F1862" s="16">
        <v>0</v>
      </c>
      <c r="G1862" s="15" t="s">
        <v>58</v>
      </c>
      <c r="H1862" s="18">
        <v>-627.64115700000002</v>
      </c>
      <c r="I1862" s="19">
        <v>259.70999999999998</v>
      </c>
      <c r="J1862" s="19">
        <v>66.67</v>
      </c>
      <c r="K1862" s="19" t="s">
        <v>33</v>
      </c>
      <c r="L1862" s="19" t="s">
        <v>145</v>
      </c>
      <c r="M1862" s="15" t="s">
        <v>1555</v>
      </c>
      <c r="N1862" s="15" t="s">
        <v>54</v>
      </c>
      <c r="O1862" s="15" t="s">
        <v>61</v>
      </c>
      <c r="P1862" s="20" t="s">
        <v>1293</v>
      </c>
      <c r="Q1862" s="15" t="s">
        <v>63</v>
      </c>
      <c r="R1862" s="4"/>
      <c r="S1862" s="4"/>
    </row>
    <row r="1863" spans="1:19" ht="21" customHeight="1" x14ac:dyDescent="0.25">
      <c r="A1863" s="14">
        <f>DATE(2012,12,31)-199</f>
        <v>41075</v>
      </c>
      <c r="B1863" s="15" t="s">
        <v>290</v>
      </c>
      <c r="C1863" s="15" t="s">
        <v>43</v>
      </c>
      <c r="D1863" s="16">
        <v>35</v>
      </c>
      <c r="E1863" s="17">
        <v>750.03</v>
      </c>
      <c r="F1863" s="16">
        <v>7.0000000000000007E-2</v>
      </c>
      <c r="G1863" s="15" t="s">
        <v>32</v>
      </c>
      <c r="H1863" s="18">
        <v>-1072.97</v>
      </c>
      <c r="I1863" s="19">
        <v>20.34</v>
      </c>
      <c r="J1863" s="19">
        <v>35</v>
      </c>
      <c r="K1863" s="19" t="s">
        <v>33</v>
      </c>
      <c r="L1863" s="19" t="s">
        <v>145</v>
      </c>
      <c r="M1863" s="15" t="s">
        <v>1555</v>
      </c>
      <c r="N1863" s="15" t="s">
        <v>36</v>
      </c>
      <c r="O1863" s="15" t="s">
        <v>37</v>
      </c>
      <c r="P1863" s="20" t="s">
        <v>1690</v>
      </c>
      <c r="Q1863" s="15" t="s">
        <v>39</v>
      </c>
      <c r="R1863" s="4"/>
      <c r="S1863" s="4"/>
    </row>
    <row r="1864" spans="1:19" ht="21" customHeight="1" x14ac:dyDescent="0.25">
      <c r="A1864" s="14">
        <f>DATE(2012,12,31)-1416</f>
        <v>39858</v>
      </c>
      <c r="B1864" s="15" t="s">
        <v>516</v>
      </c>
      <c r="C1864" s="15" t="s">
        <v>31</v>
      </c>
      <c r="D1864" s="16">
        <v>4</v>
      </c>
      <c r="E1864" s="17">
        <v>256.77</v>
      </c>
      <c r="F1864" s="16">
        <v>0.04</v>
      </c>
      <c r="G1864" s="15" t="s">
        <v>32</v>
      </c>
      <c r="H1864" s="18">
        <v>173.89</v>
      </c>
      <c r="I1864" s="19">
        <v>60.65</v>
      </c>
      <c r="J1864" s="19">
        <v>12.23</v>
      </c>
      <c r="K1864" s="19" t="s">
        <v>33</v>
      </c>
      <c r="L1864" s="19" t="s">
        <v>145</v>
      </c>
      <c r="M1864" s="15" t="s">
        <v>1555</v>
      </c>
      <c r="N1864" s="15" t="s">
        <v>54</v>
      </c>
      <c r="O1864" s="15" t="s">
        <v>55</v>
      </c>
      <c r="P1864" s="20" t="s">
        <v>1317</v>
      </c>
      <c r="Q1864" s="15" t="s">
        <v>57</v>
      </c>
      <c r="R1864" s="4"/>
      <c r="S1864" s="4"/>
    </row>
    <row r="1865" spans="1:19" ht="21" customHeight="1" x14ac:dyDescent="0.25">
      <c r="A1865" s="14">
        <f>DATE(2012,12,31)-939</f>
        <v>40335</v>
      </c>
      <c r="B1865" s="15" t="s">
        <v>900</v>
      </c>
      <c r="C1865" s="15" t="s">
        <v>43</v>
      </c>
      <c r="D1865" s="16">
        <v>4</v>
      </c>
      <c r="E1865" s="17">
        <v>33.64</v>
      </c>
      <c r="F1865" s="16">
        <v>7.0000000000000007E-2</v>
      </c>
      <c r="G1865" s="15" t="s">
        <v>32</v>
      </c>
      <c r="H1865" s="18">
        <v>-35.17</v>
      </c>
      <c r="I1865" s="19">
        <v>8.1199999999999992</v>
      </c>
      <c r="J1865" s="19">
        <v>2.83</v>
      </c>
      <c r="K1865" s="19" t="s">
        <v>33</v>
      </c>
      <c r="L1865" s="19" t="s">
        <v>145</v>
      </c>
      <c r="M1865" s="15" t="s">
        <v>1555</v>
      </c>
      <c r="N1865" s="15" t="s">
        <v>64</v>
      </c>
      <c r="O1865" s="15" t="s">
        <v>72</v>
      </c>
      <c r="P1865" s="20" t="s">
        <v>879</v>
      </c>
      <c r="Q1865" s="15" t="s">
        <v>49</v>
      </c>
      <c r="R1865" s="4"/>
      <c r="S1865" s="4"/>
    </row>
    <row r="1866" spans="1:19" ht="21" customHeight="1" x14ac:dyDescent="0.25">
      <c r="A1866" s="14">
        <f>DATE(2012,12,31)-939</f>
        <v>40335</v>
      </c>
      <c r="B1866" s="15" t="s">
        <v>900</v>
      </c>
      <c r="C1866" s="15" t="s">
        <v>43</v>
      </c>
      <c r="D1866" s="16">
        <v>29</v>
      </c>
      <c r="E1866" s="17">
        <v>701.94</v>
      </c>
      <c r="F1866" s="16">
        <v>0.01</v>
      </c>
      <c r="G1866" s="15" t="s">
        <v>32</v>
      </c>
      <c r="H1866" s="18">
        <v>158.91</v>
      </c>
      <c r="I1866" s="19">
        <v>23.99</v>
      </c>
      <c r="J1866" s="19">
        <v>6.3</v>
      </c>
      <c r="K1866" s="19" t="s">
        <v>69</v>
      </c>
      <c r="L1866" s="19" t="s">
        <v>70</v>
      </c>
      <c r="M1866" s="15" t="s">
        <v>1492</v>
      </c>
      <c r="N1866" s="15" t="s">
        <v>64</v>
      </c>
      <c r="O1866" s="15" t="s">
        <v>122</v>
      </c>
      <c r="P1866" s="20" t="s">
        <v>1205</v>
      </c>
      <c r="Q1866" s="15" t="s">
        <v>57</v>
      </c>
      <c r="R1866" s="4"/>
      <c r="S1866" s="4"/>
    </row>
    <row r="1867" spans="1:19" ht="21" customHeight="1" x14ac:dyDescent="0.25">
      <c r="A1867" s="14">
        <f>DATE(2012,12,31)-1067</f>
        <v>40207</v>
      </c>
      <c r="B1867" s="15" t="s">
        <v>1700</v>
      </c>
      <c r="C1867" s="15" t="s">
        <v>85</v>
      </c>
      <c r="D1867" s="16">
        <v>29</v>
      </c>
      <c r="E1867" s="17">
        <v>150.28</v>
      </c>
      <c r="F1867" s="16">
        <v>0.04</v>
      </c>
      <c r="G1867" s="15" t="s">
        <v>32</v>
      </c>
      <c r="H1867" s="18">
        <v>-50.86</v>
      </c>
      <c r="I1867" s="19">
        <v>4.9800000000000004</v>
      </c>
      <c r="J1867" s="19">
        <v>4.7</v>
      </c>
      <c r="K1867" s="19" t="s">
        <v>69</v>
      </c>
      <c r="L1867" s="19" t="s">
        <v>70</v>
      </c>
      <c r="M1867" s="15" t="s">
        <v>1492</v>
      </c>
      <c r="N1867" s="15" t="s">
        <v>36</v>
      </c>
      <c r="O1867" s="15" t="s">
        <v>117</v>
      </c>
      <c r="P1867" s="20" t="s">
        <v>1563</v>
      </c>
      <c r="Q1867" s="15" t="s">
        <v>83</v>
      </c>
      <c r="R1867" s="4"/>
      <c r="S1867" s="4"/>
    </row>
    <row r="1868" spans="1:19" ht="21" customHeight="1" x14ac:dyDescent="0.25">
      <c r="A1868" s="14">
        <f>DATE(2012,12,31)-810</f>
        <v>40464</v>
      </c>
      <c r="B1868" s="15" t="s">
        <v>1701</v>
      </c>
      <c r="C1868" s="15" t="s">
        <v>43</v>
      </c>
      <c r="D1868" s="16">
        <v>22</v>
      </c>
      <c r="E1868" s="17">
        <v>971.82</v>
      </c>
      <c r="F1868" s="16">
        <v>7.0000000000000007E-2</v>
      </c>
      <c r="G1868" s="15" t="s">
        <v>32</v>
      </c>
      <c r="H1868" s="18">
        <v>326.39</v>
      </c>
      <c r="I1868" s="19">
        <v>43.98</v>
      </c>
      <c r="J1868" s="19">
        <v>1.99</v>
      </c>
      <c r="K1868" s="19" t="s">
        <v>69</v>
      </c>
      <c r="L1868" s="19" t="s">
        <v>70</v>
      </c>
      <c r="M1868" s="15" t="s">
        <v>1492</v>
      </c>
      <c r="N1868" s="15" t="s">
        <v>64</v>
      </c>
      <c r="O1868" s="15" t="s">
        <v>72</v>
      </c>
      <c r="P1868" s="20" t="s">
        <v>1702</v>
      </c>
      <c r="Q1868" s="15" t="s">
        <v>49</v>
      </c>
      <c r="R1868" s="4"/>
      <c r="S1868" s="4"/>
    </row>
    <row r="1869" spans="1:19" ht="21" customHeight="1" x14ac:dyDescent="0.25">
      <c r="A1869" s="14">
        <f>DATE(2012,12,31)-361</f>
        <v>40913</v>
      </c>
      <c r="B1869" s="15" t="s">
        <v>598</v>
      </c>
      <c r="C1869" s="15" t="s">
        <v>51</v>
      </c>
      <c r="D1869" s="16">
        <v>33</v>
      </c>
      <c r="E1869" s="17">
        <v>154.44</v>
      </c>
      <c r="F1869" s="16">
        <v>0.06</v>
      </c>
      <c r="G1869" s="15" t="s">
        <v>32</v>
      </c>
      <c r="H1869" s="18">
        <v>54.62</v>
      </c>
      <c r="I1869" s="19">
        <v>4.76</v>
      </c>
      <c r="J1869" s="19">
        <v>0.88</v>
      </c>
      <c r="K1869" s="19" t="s">
        <v>69</v>
      </c>
      <c r="L1869" s="19" t="s">
        <v>75</v>
      </c>
      <c r="M1869" s="15" t="s">
        <v>1569</v>
      </c>
      <c r="N1869" s="15" t="s">
        <v>36</v>
      </c>
      <c r="O1869" s="15" t="s">
        <v>117</v>
      </c>
      <c r="P1869" s="20" t="s">
        <v>599</v>
      </c>
      <c r="Q1869" s="15" t="s">
        <v>79</v>
      </c>
      <c r="R1869" s="4"/>
      <c r="S1869" s="4"/>
    </row>
    <row r="1870" spans="1:19" ht="21" customHeight="1" x14ac:dyDescent="0.25">
      <c r="A1870" s="14">
        <f>DATE(2012,12,31)-1088</f>
        <v>40186</v>
      </c>
      <c r="B1870" s="15" t="s">
        <v>1703</v>
      </c>
      <c r="C1870" s="15" t="s">
        <v>51</v>
      </c>
      <c r="D1870" s="16">
        <v>24</v>
      </c>
      <c r="E1870" s="17">
        <v>436.48349999999999</v>
      </c>
      <c r="F1870" s="16">
        <v>0.01</v>
      </c>
      <c r="G1870" s="15" t="s">
        <v>32</v>
      </c>
      <c r="H1870" s="18">
        <v>0.8460000000000012</v>
      </c>
      <c r="I1870" s="19">
        <v>20.99</v>
      </c>
      <c r="J1870" s="19">
        <v>4.8099999999999996</v>
      </c>
      <c r="K1870" s="19" t="s">
        <v>69</v>
      </c>
      <c r="L1870" s="19" t="s">
        <v>215</v>
      </c>
      <c r="M1870" s="15" t="s">
        <v>1388</v>
      </c>
      <c r="N1870" s="15" t="s">
        <v>64</v>
      </c>
      <c r="O1870" s="15" t="s">
        <v>65</v>
      </c>
      <c r="P1870" s="20" t="s">
        <v>654</v>
      </c>
      <c r="Q1870" s="15" t="s">
        <v>57</v>
      </c>
      <c r="R1870" s="4"/>
      <c r="S1870" s="4"/>
    </row>
    <row r="1871" spans="1:19" ht="21" customHeight="1" x14ac:dyDescent="0.25">
      <c r="A1871" s="14">
        <f>DATE(2012,12,31)-432</f>
        <v>40842</v>
      </c>
      <c r="B1871" s="15" t="s">
        <v>444</v>
      </c>
      <c r="C1871" s="15" t="s">
        <v>85</v>
      </c>
      <c r="D1871" s="16">
        <v>26</v>
      </c>
      <c r="E1871" s="17">
        <v>106.03</v>
      </c>
      <c r="F1871" s="16">
        <v>0.09</v>
      </c>
      <c r="G1871" s="15" t="s">
        <v>32</v>
      </c>
      <c r="H1871" s="18">
        <v>42.89</v>
      </c>
      <c r="I1871" s="19">
        <v>4.13</v>
      </c>
      <c r="J1871" s="19">
        <v>0.5</v>
      </c>
      <c r="K1871" s="19" t="s">
        <v>69</v>
      </c>
      <c r="L1871" s="19" t="s">
        <v>215</v>
      </c>
      <c r="M1871" s="15" t="s">
        <v>1388</v>
      </c>
      <c r="N1871" s="15" t="s">
        <v>36</v>
      </c>
      <c r="O1871" s="15" t="s">
        <v>114</v>
      </c>
      <c r="P1871" s="20" t="s">
        <v>653</v>
      </c>
      <c r="Q1871" s="15" t="s">
        <v>83</v>
      </c>
      <c r="R1871" s="4"/>
      <c r="S1871" s="4"/>
    </row>
    <row r="1872" spans="1:19" ht="21" customHeight="1" x14ac:dyDescent="0.25">
      <c r="A1872" s="14">
        <f>DATE(2012,12,31)-807</f>
        <v>40467</v>
      </c>
      <c r="B1872" s="15" t="s">
        <v>459</v>
      </c>
      <c r="C1872" s="15" t="s">
        <v>43</v>
      </c>
      <c r="D1872" s="16">
        <v>3</v>
      </c>
      <c r="E1872" s="17">
        <v>173.33</v>
      </c>
      <c r="F1872" s="16">
        <v>0.09</v>
      </c>
      <c r="G1872" s="15" t="s">
        <v>32</v>
      </c>
      <c r="H1872" s="18">
        <v>-121.39</v>
      </c>
      <c r="I1872" s="19">
        <v>52.99</v>
      </c>
      <c r="J1872" s="19">
        <v>19.989999999999998</v>
      </c>
      <c r="K1872" s="19" t="s">
        <v>69</v>
      </c>
      <c r="L1872" s="19" t="s">
        <v>215</v>
      </c>
      <c r="M1872" s="15" t="s">
        <v>1704</v>
      </c>
      <c r="N1872" s="15" t="s">
        <v>36</v>
      </c>
      <c r="O1872" s="15" t="s">
        <v>37</v>
      </c>
      <c r="P1872" s="20" t="s">
        <v>1594</v>
      </c>
      <c r="Q1872" s="15" t="s">
        <v>83</v>
      </c>
      <c r="R1872" s="4"/>
      <c r="S1872" s="4"/>
    </row>
    <row r="1873" spans="1:19" ht="21" customHeight="1" x14ac:dyDescent="0.25">
      <c r="A1873" s="14">
        <f>DATE(2012,12,31)-807</f>
        <v>40467</v>
      </c>
      <c r="B1873" s="15" t="s">
        <v>459</v>
      </c>
      <c r="C1873" s="15" t="s">
        <v>43</v>
      </c>
      <c r="D1873" s="16">
        <v>31</v>
      </c>
      <c r="E1873" s="17">
        <v>972.35</v>
      </c>
      <c r="F1873" s="16">
        <v>0.05</v>
      </c>
      <c r="G1873" s="15" t="s">
        <v>32</v>
      </c>
      <c r="H1873" s="18">
        <v>10.96</v>
      </c>
      <c r="I1873" s="19">
        <v>30.73</v>
      </c>
      <c r="J1873" s="19">
        <v>4</v>
      </c>
      <c r="K1873" s="19" t="s">
        <v>111</v>
      </c>
      <c r="L1873" s="19" t="s">
        <v>442</v>
      </c>
      <c r="M1873" s="15" t="s">
        <v>443</v>
      </c>
      <c r="N1873" s="15" t="s">
        <v>64</v>
      </c>
      <c r="O1873" s="15" t="s">
        <v>72</v>
      </c>
      <c r="P1873" s="20" t="s">
        <v>971</v>
      </c>
      <c r="Q1873" s="15" t="s">
        <v>83</v>
      </c>
      <c r="R1873" s="4"/>
      <c r="S1873" s="4"/>
    </row>
    <row r="1874" spans="1:19" ht="21" customHeight="1" x14ac:dyDescent="0.25">
      <c r="A1874" s="14">
        <f>DATE(2012,12,31)-807</f>
        <v>40467</v>
      </c>
      <c r="B1874" s="15" t="s">
        <v>459</v>
      </c>
      <c r="C1874" s="15" t="s">
        <v>43</v>
      </c>
      <c r="D1874" s="16">
        <v>47</v>
      </c>
      <c r="E1874" s="17">
        <v>231.29</v>
      </c>
      <c r="F1874" s="16">
        <v>0.09</v>
      </c>
      <c r="G1874" s="15" t="s">
        <v>101</v>
      </c>
      <c r="H1874" s="18">
        <v>-147.85550000000001</v>
      </c>
      <c r="I1874" s="19">
        <v>4.91</v>
      </c>
      <c r="J1874" s="19">
        <v>5.68</v>
      </c>
      <c r="K1874" s="19" t="s">
        <v>111</v>
      </c>
      <c r="L1874" s="19" t="s">
        <v>112</v>
      </c>
      <c r="M1874" s="15" t="s">
        <v>1601</v>
      </c>
      <c r="N1874" s="15" t="s">
        <v>36</v>
      </c>
      <c r="O1874" s="15" t="s">
        <v>170</v>
      </c>
      <c r="P1874" s="20" t="s">
        <v>1284</v>
      </c>
      <c r="Q1874" s="15" t="s">
        <v>83</v>
      </c>
      <c r="R1874" s="4"/>
      <c r="S1874" s="4"/>
    </row>
    <row r="1875" spans="1:19" ht="21" customHeight="1" x14ac:dyDescent="0.25">
      <c r="A1875" s="14">
        <f>DATE(2012,12,31)-1123</f>
        <v>40151</v>
      </c>
      <c r="B1875" s="15" t="s">
        <v>1207</v>
      </c>
      <c r="C1875" s="15" t="s">
        <v>51</v>
      </c>
      <c r="D1875" s="16">
        <v>3</v>
      </c>
      <c r="E1875" s="17">
        <v>292.95999999999998</v>
      </c>
      <c r="F1875" s="16">
        <v>0.09</v>
      </c>
      <c r="G1875" s="15" t="s">
        <v>32</v>
      </c>
      <c r="H1875" s="18">
        <v>-322.95</v>
      </c>
      <c r="I1875" s="19">
        <v>99.99</v>
      </c>
      <c r="J1875" s="19">
        <v>19.989999999999998</v>
      </c>
      <c r="K1875" s="19" t="s">
        <v>111</v>
      </c>
      <c r="L1875" s="19" t="s">
        <v>407</v>
      </c>
      <c r="M1875" s="15" t="s">
        <v>407</v>
      </c>
      <c r="N1875" s="15" t="s">
        <v>64</v>
      </c>
      <c r="O1875" s="15" t="s">
        <v>72</v>
      </c>
      <c r="P1875" s="20" t="s">
        <v>496</v>
      </c>
      <c r="Q1875" s="15" t="s">
        <v>83</v>
      </c>
      <c r="R1875" s="4"/>
      <c r="S1875" s="4"/>
    </row>
    <row r="1876" spans="1:19" ht="21" customHeight="1" x14ac:dyDescent="0.25">
      <c r="A1876" s="14">
        <f>DATE(2012,12,31)-1123</f>
        <v>40151</v>
      </c>
      <c r="B1876" s="15" t="s">
        <v>1207</v>
      </c>
      <c r="C1876" s="15" t="s">
        <v>51</v>
      </c>
      <c r="D1876" s="16">
        <v>13</v>
      </c>
      <c r="E1876" s="17">
        <v>2206.991</v>
      </c>
      <c r="F1876" s="16">
        <v>0.04</v>
      </c>
      <c r="G1876" s="15" t="s">
        <v>32</v>
      </c>
      <c r="H1876" s="18">
        <v>-1.6280000000000201</v>
      </c>
      <c r="I1876" s="19">
        <v>205.99</v>
      </c>
      <c r="J1876" s="19">
        <v>5.26</v>
      </c>
      <c r="K1876" s="19" t="s">
        <v>44</v>
      </c>
      <c r="L1876" s="19" t="s">
        <v>89</v>
      </c>
      <c r="M1876" s="15" t="s">
        <v>1341</v>
      </c>
      <c r="N1876" s="15" t="s">
        <v>64</v>
      </c>
      <c r="O1876" s="15" t="s">
        <v>65</v>
      </c>
      <c r="P1876" s="20" t="s">
        <v>650</v>
      </c>
      <c r="Q1876" s="15" t="s">
        <v>83</v>
      </c>
      <c r="R1876" s="4"/>
      <c r="S1876" s="4"/>
    </row>
    <row r="1877" spans="1:19" ht="21" customHeight="1" x14ac:dyDescent="0.25">
      <c r="A1877" s="14">
        <f>DATE(2012,12,31)-2</f>
        <v>41272</v>
      </c>
      <c r="B1877" s="15" t="s">
        <v>1055</v>
      </c>
      <c r="C1877" s="15" t="s">
        <v>85</v>
      </c>
      <c r="D1877" s="16">
        <v>27</v>
      </c>
      <c r="E1877" s="17">
        <v>176.1</v>
      </c>
      <c r="F1877" s="16">
        <v>0.09</v>
      </c>
      <c r="G1877" s="15" t="s">
        <v>32</v>
      </c>
      <c r="H1877" s="18">
        <v>-75.709999999999994</v>
      </c>
      <c r="I1877" s="19">
        <v>6.78</v>
      </c>
      <c r="J1877" s="19">
        <v>6.18</v>
      </c>
      <c r="K1877" s="19" t="s">
        <v>44</v>
      </c>
      <c r="L1877" s="19" t="s">
        <v>80</v>
      </c>
      <c r="M1877" s="15" t="s">
        <v>1200</v>
      </c>
      <c r="N1877" s="15" t="s">
        <v>36</v>
      </c>
      <c r="O1877" s="15" t="s">
        <v>117</v>
      </c>
      <c r="P1877" s="20" t="s">
        <v>499</v>
      </c>
      <c r="Q1877" s="15" t="s">
        <v>83</v>
      </c>
      <c r="R1877" s="4"/>
      <c r="S1877" s="4"/>
    </row>
    <row r="1878" spans="1:19" ht="21" customHeight="1" x14ac:dyDescent="0.25">
      <c r="A1878" s="14">
        <f>DATE(2012,12,31)-1231</f>
        <v>40043</v>
      </c>
      <c r="B1878" s="15" t="s">
        <v>492</v>
      </c>
      <c r="C1878" s="15" t="s">
        <v>85</v>
      </c>
      <c r="D1878" s="16">
        <v>23</v>
      </c>
      <c r="E1878" s="17">
        <v>123.15</v>
      </c>
      <c r="F1878" s="16">
        <v>0.05</v>
      </c>
      <c r="G1878" s="15" t="s">
        <v>32</v>
      </c>
      <c r="H1878" s="18">
        <v>22.98</v>
      </c>
      <c r="I1878" s="19">
        <v>5.18</v>
      </c>
      <c r="J1878" s="19">
        <v>2.04</v>
      </c>
      <c r="K1878" s="19" t="s">
        <v>44</v>
      </c>
      <c r="L1878" s="19" t="s">
        <v>120</v>
      </c>
      <c r="M1878" s="15" t="s">
        <v>121</v>
      </c>
      <c r="N1878" s="15" t="s">
        <v>36</v>
      </c>
      <c r="O1878" s="15" t="s">
        <v>117</v>
      </c>
      <c r="P1878" s="20" t="s">
        <v>1443</v>
      </c>
      <c r="Q1878" s="15" t="s">
        <v>79</v>
      </c>
      <c r="R1878" s="4"/>
      <c r="S1878" s="4"/>
    </row>
    <row r="1879" spans="1:19" ht="21" customHeight="1" x14ac:dyDescent="0.25">
      <c r="A1879" s="14">
        <f>DATE(2012,12,31)-946</f>
        <v>40328</v>
      </c>
      <c r="B1879" s="15" t="s">
        <v>426</v>
      </c>
      <c r="C1879" s="15" t="s">
        <v>31</v>
      </c>
      <c r="D1879" s="16">
        <v>41</v>
      </c>
      <c r="E1879" s="17">
        <v>316.61</v>
      </c>
      <c r="F1879" s="16">
        <v>0.03</v>
      </c>
      <c r="G1879" s="15" t="s">
        <v>32</v>
      </c>
      <c r="H1879" s="18">
        <v>110.34</v>
      </c>
      <c r="I1879" s="19">
        <v>7.4</v>
      </c>
      <c r="J1879" s="19">
        <v>1.71</v>
      </c>
      <c r="K1879" s="19" t="s">
        <v>44</v>
      </c>
      <c r="L1879" s="19" t="s">
        <v>45</v>
      </c>
      <c r="M1879" s="15" t="s">
        <v>1572</v>
      </c>
      <c r="N1879" s="15" t="s">
        <v>36</v>
      </c>
      <c r="O1879" s="15" t="s">
        <v>117</v>
      </c>
      <c r="P1879" s="20" t="s">
        <v>1560</v>
      </c>
      <c r="Q1879" s="15" t="s">
        <v>79</v>
      </c>
      <c r="R1879" s="4"/>
      <c r="S1879" s="4"/>
    </row>
    <row r="1880" spans="1:19" ht="21" customHeight="1" x14ac:dyDescent="0.25">
      <c r="A1880" s="14">
        <f>DATE(2012,12,31)-953</f>
        <v>40321</v>
      </c>
      <c r="B1880" s="15" t="s">
        <v>1080</v>
      </c>
      <c r="C1880" s="15" t="s">
        <v>51</v>
      </c>
      <c r="D1880" s="16">
        <v>33</v>
      </c>
      <c r="E1880" s="17">
        <v>121</v>
      </c>
      <c r="F1880" s="16">
        <v>0.09</v>
      </c>
      <c r="G1880" s="15" t="s">
        <v>32</v>
      </c>
      <c r="H1880" s="18">
        <v>51.21</v>
      </c>
      <c r="I1880" s="19">
        <v>3.75</v>
      </c>
      <c r="J1880" s="19">
        <v>0.5</v>
      </c>
      <c r="K1880" s="19" t="s">
        <v>44</v>
      </c>
      <c r="L1880" s="19" t="s">
        <v>120</v>
      </c>
      <c r="M1880" s="15" t="s">
        <v>121</v>
      </c>
      <c r="N1880" s="15" t="s">
        <v>36</v>
      </c>
      <c r="O1880" s="15" t="s">
        <v>114</v>
      </c>
      <c r="P1880" s="20" t="s">
        <v>982</v>
      </c>
      <c r="Q1880" s="15" t="s">
        <v>83</v>
      </c>
      <c r="R1880" s="4"/>
      <c r="S1880" s="4"/>
    </row>
    <row r="1881" spans="1:19" ht="21" customHeight="1" x14ac:dyDescent="0.25">
      <c r="A1881" s="14">
        <f>DATE(2012,12,31)-953</f>
        <v>40321</v>
      </c>
      <c r="B1881" s="15" t="s">
        <v>1080</v>
      </c>
      <c r="C1881" s="15" t="s">
        <v>51</v>
      </c>
      <c r="D1881" s="16">
        <v>27</v>
      </c>
      <c r="E1881" s="17">
        <v>1484.1849999999999</v>
      </c>
      <c r="F1881" s="16">
        <v>0.02</v>
      </c>
      <c r="G1881" s="15" t="s">
        <v>32</v>
      </c>
      <c r="H1881" s="18">
        <v>239.24699999999999</v>
      </c>
      <c r="I1881" s="19">
        <v>65.989999999999995</v>
      </c>
      <c r="J1881" s="19">
        <v>4.99</v>
      </c>
      <c r="K1881" s="19" t="s">
        <v>44</v>
      </c>
      <c r="L1881" s="19" t="s">
        <v>120</v>
      </c>
      <c r="M1881" s="15" t="s">
        <v>121</v>
      </c>
      <c r="N1881" s="15" t="s">
        <v>64</v>
      </c>
      <c r="O1881" s="15" t="s">
        <v>65</v>
      </c>
      <c r="P1881" s="20" t="s">
        <v>1705</v>
      </c>
      <c r="Q1881" s="15" t="s">
        <v>83</v>
      </c>
      <c r="R1881" s="4"/>
      <c r="S1881" s="4"/>
    </row>
    <row r="1882" spans="1:19" ht="21" customHeight="1" x14ac:dyDescent="0.25">
      <c r="A1882" s="14">
        <f>DATE(2012,12,31)-953</f>
        <v>40321</v>
      </c>
      <c r="B1882" s="15" t="s">
        <v>1080</v>
      </c>
      <c r="C1882" s="15" t="s">
        <v>51</v>
      </c>
      <c r="D1882" s="16">
        <v>31</v>
      </c>
      <c r="E1882" s="17">
        <v>259.58999999999997</v>
      </c>
      <c r="F1882" s="16">
        <v>0.06</v>
      </c>
      <c r="G1882" s="15" t="s">
        <v>32</v>
      </c>
      <c r="H1882" s="18">
        <v>34.79</v>
      </c>
      <c r="I1882" s="19">
        <v>8.5</v>
      </c>
      <c r="J1882" s="19">
        <v>1.99</v>
      </c>
      <c r="K1882" s="19" t="s">
        <v>33</v>
      </c>
      <c r="L1882" s="19" t="s">
        <v>128</v>
      </c>
      <c r="M1882" s="15" t="s">
        <v>129</v>
      </c>
      <c r="N1882" s="15" t="s">
        <v>64</v>
      </c>
      <c r="O1882" s="15" t="s">
        <v>72</v>
      </c>
      <c r="P1882" s="20" t="s">
        <v>928</v>
      </c>
      <c r="Q1882" s="15" t="s">
        <v>49</v>
      </c>
      <c r="R1882" s="4"/>
      <c r="S1882" s="4"/>
    </row>
    <row r="1883" spans="1:19" ht="21" customHeight="1" x14ac:dyDescent="0.25">
      <c r="A1883" s="14">
        <f>DATE(2012,12,31)-953</f>
        <v>40321</v>
      </c>
      <c r="B1883" s="15" t="s">
        <v>1080</v>
      </c>
      <c r="C1883" s="15" t="s">
        <v>51</v>
      </c>
      <c r="D1883" s="16">
        <v>16</v>
      </c>
      <c r="E1883" s="17">
        <v>34.93</v>
      </c>
      <c r="F1883" s="16">
        <v>0.04</v>
      </c>
      <c r="G1883" s="15" t="s">
        <v>32</v>
      </c>
      <c r="H1883" s="18">
        <v>-5.0000000000000711E-2</v>
      </c>
      <c r="I1883" s="19">
        <v>2.1800000000000002</v>
      </c>
      <c r="J1883" s="19">
        <v>0.78</v>
      </c>
      <c r="K1883" s="19" t="s">
        <v>33</v>
      </c>
      <c r="L1883" s="19" t="s">
        <v>128</v>
      </c>
      <c r="M1883" s="15" t="s">
        <v>129</v>
      </c>
      <c r="N1883" s="15" t="s">
        <v>36</v>
      </c>
      <c r="O1883" s="15" t="s">
        <v>105</v>
      </c>
      <c r="P1883" s="20" t="s">
        <v>1706</v>
      </c>
      <c r="Q1883" s="15" t="s">
        <v>79</v>
      </c>
      <c r="R1883" s="4"/>
      <c r="S1883" s="4"/>
    </row>
    <row r="1884" spans="1:19" ht="21" customHeight="1" x14ac:dyDescent="0.25">
      <c r="A1884" s="14">
        <f>DATE(2012,12,31)-953</f>
        <v>40321</v>
      </c>
      <c r="B1884" s="15" t="s">
        <v>1080</v>
      </c>
      <c r="C1884" s="15" t="s">
        <v>51</v>
      </c>
      <c r="D1884" s="16">
        <v>33</v>
      </c>
      <c r="E1884" s="17">
        <v>431.06</v>
      </c>
      <c r="F1884" s="16">
        <v>0.02</v>
      </c>
      <c r="G1884" s="15" t="s">
        <v>32</v>
      </c>
      <c r="H1884" s="18">
        <v>-26.78</v>
      </c>
      <c r="I1884" s="19">
        <v>12.28</v>
      </c>
      <c r="J1884" s="19">
        <v>6.13</v>
      </c>
      <c r="K1884" s="19" t="s">
        <v>33</v>
      </c>
      <c r="L1884" s="19" t="s">
        <v>93</v>
      </c>
      <c r="M1884" s="15" t="s">
        <v>94</v>
      </c>
      <c r="N1884" s="15" t="s">
        <v>36</v>
      </c>
      <c r="O1884" s="15" t="s">
        <v>37</v>
      </c>
      <c r="P1884" s="20" t="s">
        <v>1707</v>
      </c>
      <c r="Q1884" s="15" t="s">
        <v>83</v>
      </c>
      <c r="R1884" s="4"/>
      <c r="S1884" s="4"/>
    </row>
    <row r="1885" spans="1:19" ht="21" customHeight="1" x14ac:dyDescent="0.25">
      <c r="A1885" s="14">
        <f>DATE(2012,12,31)-1394</f>
        <v>39880</v>
      </c>
      <c r="B1885" s="15" t="s">
        <v>1708</v>
      </c>
      <c r="C1885" s="15" t="s">
        <v>31</v>
      </c>
      <c r="D1885" s="16">
        <v>11</v>
      </c>
      <c r="E1885" s="17">
        <v>3571.84</v>
      </c>
      <c r="F1885" s="16">
        <v>0.01</v>
      </c>
      <c r="G1885" s="15" t="s">
        <v>58</v>
      </c>
      <c r="H1885" s="18">
        <v>403.81</v>
      </c>
      <c r="I1885" s="19">
        <v>300.98</v>
      </c>
      <c r="J1885" s="19">
        <v>64.73</v>
      </c>
      <c r="K1885" s="19" t="s">
        <v>33</v>
      </c>
      <c r="L1885" s="19" t="s">
        <v>128</v>
      </c>
      <c r="M1885" s="15" t="s">
        <v>129</v>
      </c>
      <c r="N1885" s="15" t="s">
        <v>54</v>
      </c>
      <c r="O1885" s="15" t="s">
        <v>252</v>
      </c>
      <c r="P1885" s="20" t="s">
        <v>1015</v>
      </c>
      <c r="Q1885" s="15" t="s">
        <v>181</v>
      </c>
      <c r="R1885" s="4"/>
      <c r="S1885" s="4"/>
    </row>
    <row r="1886" spans="1:19" ht="21" customHeight="1" x14ac:dyDescent="0.25">
      <c r="A1886" s="14">
        <f>DATE(2012,12,31)-1394</f>
        <v>39880</v>
      </c>
      <c r="B1886" s="15" t="s">
        <v>1708</v>
      </c>
      <c r="C1886" s="15" t="s">
        <v>31</v>
      </c>
      <c r="D1886" s="16">
        <v>33</v>
      </c>
      <c r="E1886" s="17">
        <v>310.44</v>
      </c>
      <c r="F1886" s="16">
        <v>0.03</v>
      </c>
      <c r="G1886" s="15" t="s">
        <v>32</v>
      </c>
      <c r="H1886" s="18">
        <v>-90.21</v>
      </c>
      <c r="I1886" s="19">
        <v>8.74</v>
      </c>
      <c r="J1886" s="19">
        <v>8.2899999999999991</v>
      </c>
      <c r="K1886" s="19" t="s">
        <v>33</v>
      </c>
      <c r="L1886" s="19" t="s">
        <v>128</v>
      </c>
      <c r="M1886" s="15" t="s">
        <v>129</v>
      </c>
      <c r="N1886" s="15" t="s">
        <v>36</v>
      </c>
      <c r="O1886" s="15" t="s">
        <v>189</v>
      </c>
      <c r="P1886" s="20" t="s">
        <v>581</v>
      </c>
      <c r="Q1886" s="15" t="s">
        <v>83</v>
      </c>
      <c r="R1886" s="4"/>
      <c r="S1886" s="4"/>
    </row>
    <row r="1887" spans="1:19" ht="21" customHeight="1" x14ac:dyDescent="0.25">
      <c r="A1887" s="14">
        <f>DATE(2012,12,31)-145</f>
        <v>41129</v>
      </c>
      <c r="B1887" s="15" t="s">
        <v>582</v>
      </c>
      <c r="C1887" s="15" t="s">
        <v>85</v>
      </c>
      <c r="D1887" s="16">
        <v>2</v>
      </c>
      <c r="E1887" s="17">
        <v>27.83</v>
      </c>
      <c r="F1887" s="16">
        <v>0.09</v>
      </c>
      <c r="G1887" s="15" t="s">
        <v>32</v>
      </c>
      <c r="H1887" s="18">
        <v>-22.14</v>
      </c>
      <c r="I1887" s="19">
        <v>9.7100000000000009</v>
      </c>
      <c r="J1887" s="19">
        <v>9.4499999999999993</v>
      </c>
      <c r="K1887" s="19" t="s">
        <v>97</v>
      </c>
      <c r="L1887" s="19" t="s">
        <v>98</v>
      </c>
      <c r="M1887" s="15" t="s">
        <v>1162</v>
      </c>
      <c r="N1887" s="15" t="s">
        <v>36</v>
      </c>
      <c r="O1887" s="15" t="s">
        <v>37</v>
      </c>
      <c r="P1887" s="20" t="s">
        <v>130</v>
      </c>
      <c r="Q1887" s="15" t="s">
        <v>83</v>
      </c>
      <c r="R1887" s="4"/>
      <c r="S1887" s="4"/>
    </row>
    <row r="1888" spans="1:19" ht="21" customHeight="1" x14ac:dyDescent="0.25">
      <c r="A1888" s="14">
        <f>DATE(2012,12,31)-631</f>
        <v>40643</v>
      </c>
      <c r="B1888" s="15" t="s">
        <v>974</v>
      </c>
      <c r="C1888" s="15" t="s">
        <v>85</v>
      </c>
      <c r="D1888" s="16">
        <v>13</v>
      </c>
      <c r="E1888" s="17">
        <v>563.17999999999995</v>
      </c>
      <c r="F1888" s="16">
        <v>0.02</v>
      </c>
      <c r="G1888" s="15" t="s">
        <v>101</v>
      </c>
      <c r="H1888" s="18">
        <v>67.98</v>
      </c>
      <c r="I1888" s="19">
        <v>40.98</v>
      </c>
      <c r="J1888" s="19">
        <v>7.2</v>
      </c>
      <c r="K1888" s="19" t="s">
        <v>97</v>
      </c>
      <c r="L1888" s="19" t="s">
        <v>283</v>
      </c>
      <c r="M1888" s="15" t="s">
        <v>1471</v>
      </c>
      <c r="N1888" s="15" t="s">
        <v>36</v>
      </c>
      <c r="O1888" s="15" t="s">
        <v>176</v>
      </c>
      <c r="P1888" s="20" t="s">
        <v>1657</v>
      </c>
      <c r="Q1888" s="15" t="s">
        <v>83</v>
      </c>
      <c r="R1888" s="4"/>
      <c r="S1888" s="4"/>
    </row>
    <row r="1889" spans="1:19" ht="21" customHeight="1" x14ac:dyDescent="0.25">
      <c r="A1889" s="14">
        <f>DATE(2012,12,31)-631</f>
        <v>40643</v>
      </c>
      <c r="B1889" s="15" t="s">
        <v>974</v>
      </c>
      <c r="C1889" s="15" t="s">
        <v>85</v>
      </c>
      <c r="D1889" s="16">
        <v>16</v>
      </c>
      <c r="E1889" s="17">
        <v>47.45</v>
      </c>
      <c r="F1889" s="16">
        <v>0.05</v>
      </c>
      <c r="G1889" s="15" t="s">
        <v>32</v>
      </c>
      <c r="H1889" s="18">
        <v>1.071</v>
      </c>
      <c r="I1889" s="19">
        <v>2.88</v>
      </c>
      <c r="J1889" s="19">
        <v>1.49</v>
      </c>
      <c r="K1889" s="19" t="s">
        <v>97</v>
      </c>
      <c r="L1889" s="19" t="s">
        <v>98</v>
      </c>
      <c r="M1889" s="15" t="s">
        <v>1162</v>
      </c>
      <c r="N1889" s="15" t="s">
        <v>36</v>
      </c>
      <c r="O1889" s="15" t="s">
        <v>170</v>
      </c>
      <c r="P1889" s="20" t="s">
        <v>806</v>
      </c>
      <c r="Q1889" s="15" t="s">
        <v>83</v>
      </c>
      <c r="R1889" s="4"/>
      <c r="S1889" s="4"/>
    </row>
    <row r="1890" spans="1:19" ht="21" customHeight="1" x14ac:dyDescent="0.25">
      <c r="A1890" s="14">
        <f>DATE(2012,12,31)-29</f>
        <v>41245</v>
      </c>
      <c r="B1890" s="15" t="s">
        <v>474</v>
      </c>
      <c r="C1890" s="15" t="s">
        <v>43</v>
      </c>
      <c r="D1890" s="16">
        <v>2</v>
      </c>
      <c r="E1890" s="17">
        <v>16.97</v>
      </c>
      <c r="F1890" s="16">
        <v>0.04</v>
      </c>
      <c r="G1890" s="15" t="s">
        <v>32</v>
      </c>
      <c r="H1890" s="18">
        <v>-8.8000000000000007</v>
      </c>
      <c r="I1890" s="19">
        <v>8.34</v>
      </c>
      <c r="J1890" s="19">
        <v>0.96</v>
      </c>
      <c r="K1890" s="19" t="s">
        <v>97</v>
      </c>
      <c r="L1890" s="19" t="s">
        <v>195</v>
      </c>
      <c r="M1890" s="15" t="s">
        <v>1413</v>
      </c>
      <c r="N1890" s="15" t="s">
        <v>54</v>
      </c>
      <c r="O1890" s="15" t="s">
        <v>55</v>
      </c>
      <c r="P1890" s="20" t="s">
        <v>890</v>
      </c>
      <c r="Q1890" s="15" t="s">
        <v>79</v>
      </c>
      <c r="R1890" s="4"/>
      <c r="S1890" s="4"/>
    </row>
    <row r="1891" spans="1:19" ht="21" customHeight="1" x14ac:dyDescent="0.25">
      <c r="A1891" s="14">
        <f>DATE(2012,12,31)-29</f>
        <v>41245</v>
      </c>
      <c r="B1891" s="15" t="s">
        <v>474</v>
      </c>
      <c r="C1891" s="15" t="s">
        <v>43</v>
      </c>
      <c r="D1891" s="16">
        <v>42</v>
      </c>
      <c r="E1891" s="17">
        <v>4077.7559999999994</v>
      </c>
      <c r="F1891" s="16">
        <v>0.04</v>
      </c>
      <c r="G1891" s="15" t="s">
        <v>32</v>
      </c>
      <c r="H1891" s="18">
        <v>1086.9570000000001</v>
      </c>
      <c r="I1891" s="19">
        <v>110.99</v>
      </c>
      <c r="J1891" s="19">
        <v>8.99</v>
      </c>
      <c r="K1891" s="19" t="s">
        <v>44</v>
      </c>
      <c r="L1891" s="19" t="s">
        <v>89</v>
      </c>
      <c r="M1891" s="15" t="s">
        <v>1341</v>
      </c>
      <c r="N1891" s="15" t="s">
        <v>64</v>
      </c>
      <c r="O1891" s="15" t="s">
        <v>65</v>
      </c>
      <c r="P1891" s="20" t="s">
        <v>811</v>
      </c>
      <c r="Q1891" s="15" t="s">
        <v>83</v>
      </c>
      <c r="R1891" s="4"/>
      <c r="S1891" s="4"/>
    </row>
    <row r="1892" spans="1:19" ht="21" customHeight="1" x14ac:dyDescent="0.25">
      <c r="A1892" s="14">
        <f>DATE(2012,12,31)-228</f>
        <v>41046</v>
      </c>
      <c r="B1892" s="15" t="s">
        <v>1709</v>
      </c>
      <c r="C1892" s="15" t="s">
        <v>85</v>
      </c>
      <c r="D1892" s="16">
        <v>7</v>
      </c>
      <c r="E1892" s="17">
        <v>40.11</v>
      </c>
      <c r="F1892" s="16">
        <v>7.0000000000000007E-2</v>
      </c>
      <c r="G1892" s="15" t="s">
        <v>32</v>
      </c>
      <c r="H1892" s="18">
        <v>-43.71</v>
      </c>
      <c r="I1892" s="19">
        <v>5.0199999999999996</v>
      </c>
      <c r="J1892" s="19">
        <v>5.14</v>
      </c>
      <c r="K1892" s="19" t="s">
        <v>124</v>
      </c>
      <c r="L1892" s="19" t="s">
        <v>493</v>
      </c>
      <c r="M1892" s="15" t="s">
        <v>1588</v>
      </c>
      <c r="N1892" s="15" t="s">
        <v>64</v>
      </c>
      <c r="O1892" s="15" t="s">
        <v>72</v>
      </c>
      <c r="P1892" s="20" t="s">
        <v>563</v>
      </c>
      <c r="Q1892" s="15" t="s">
        <v>49</v>
      </c>
      <c r="R1892" s="4"/>
      <c r="S1892" s="4"/>
    </row>
    <row r="1893" spans="1:19" ht="21" customHeight="1" x14ac:dyDescent="0.25">
      <c r="A1893" s="14">
        <f>DATE(2012,12,31)-124</f>
        <v>41150</v>
      </c>
      <c r="B1893" s="15" t="s">
        <v>1177</v>
      </c>
      <c r="C1893" s="15" t="s">
        <v>85</v>
      </c>
      <c r="D1893" s="16">
        <v>15</v>
      </c>
      <c r="E1893" s="17">
        <v>106.1</v>
      </c>
      <c r="F1893" s="16">
        <v>0.09</v>
      </c>
      <c r="G1893" s="15" t="s">
        <v>101</v>
      </c>
      <c r="H1893" s="18">
        <v>-65.67</v>
      </c>
      <c r="I1893" s="19">
        <v>6.48</v>
      </c>
      <c r="J1893" s="19">
        <v>8.19</v>
      </c>
      <c r="K1893" s="19" t="s">
        <v>124</v>
      </c>
      <c r="L1893" s="19" t="s">
        <v>493</v>
      </c>
      <c r="M1893" s="15" t="s">
        <v>1588</v>
      </c>
      <c r="N1893" s="15" t="s">
        <v>36</v>
      </c>
      <c r="O1893" s="15" t="s">
        <v>117</v>
      </c>
      <c r="P1893" s="20" t="s">
        <v>118</v>
      </c>
      <c r="Q1893" s="15" t="s">
        <v>83</v>
      </c>
      <c r="R1893" s="4"/>
      <c r="S1893" s="4"/>
    </row>
    <row r="1894" spans="1:19" ht="21" customHeight="1" x14ac:dyDescent="0.25">
      <c r="A1894" s="14">
        <f>DATE(2012,12,31)-137</f>
        <v>41137</v>
      </c>
      <c r="B1894" s="15" t="s">
        <v>516</v>
      </c>
      <c r="C1894" s="15" t="s">
        <v>31</v>
      </c>
      <c r="D1894" s="16">
        <v>17</v>
      </c>
      <c r="E1894" s="17">
        <v>822.91</v>
      </c>
      <c r="F1894" s="16">
        <v>0.09</v>
      </c>
      <c r="G1894" s="15" t="s">
        <v>32</v>
      </c>
      <c r="H1894" s="18">
        <v>-94.76</v>
      </c>
      <c r="I1894" s="19">
        <v>49.43</v>
      </c>
      <c r="J1894" s="19">
        <v>19.989999999999998</v>
      </c>
      <c r="K1894" s="19" t="s">
        <v>124</v>
      </c>
      <c r="L1894" s="19" t="s">
        <v>160</v>
      </c>
      <c r="M1894" s="15" t="s">
        <v>1621</v>
      </c>
      <c r="N1894" s="15" t="s">
        <v>36</v>
      </c>
      <c r="O1894" s="15" t="s">
        <v>176</v>
      </c>
      <c r="P1894" s="20" t="s">
        <v>1710</v>
      </c>
      <c r="Q1894" s="15" t="s">
        <v>83</v>
      </c>
      <c r="R1894" s="4"/>
      <c r="S1894" s="4"/>
    </row>
    <row r="1895" spans="1:19" ht="21" customHeight="1" x14ac:dyDescent="0.25">
      <c r="A1895" s="14">
        <f>DATE(2012,12,31)-1448</f>
        <v>39826</v>
      </c>
      <c r="B1895" s="15" t="s">
        <v>1480</v>
      </c>
      <c r="C1895" s="15" t="s">
        <v>31</v>
      </c>
      <c r="D1895" s="16">
        <v>3</v>
      </c>
      <c r="E1895" s="17">
        <v>445.34</v>
      </c>
      <c r="F1895" s="16">
        <v>0.03</v>
      </c>
      <c r="G1895" s="15" t="s">
        <v>58</v>
      </c>
      <c r="H1895" s="18">
        <v>-377.90190000000001</v>
      </c>
      <c r="I1895" s="19">
        <v>145.44999999999999</v>
      </c>
      <c r="J1895" s="19">
        <v>17.850000000000001</v>
      </c>
      <c r="K1895" s="19" t="s">
        <v>124</v>
      </c>
      <c r="L1895" s="19" t="s">
        <v>160</v>
      </c>
      <c r="M1895" s="15" t="s">
        <v>1621</v>
      </c>
      <c r="N1895" s="15" t="s">
        <v>64</v>
      </c>
      <c r="O1895" s="15" t="s">
        <v>122</v>
      </c>
      <c r="P1895" s="20" t="s">
        <v>299</v>
      </c>
      <c r="Q1895" s="15" t="s">
        <v>181</v>
      </c>
      <c r="R1895" s="4"/>
      <c r="S1895" s="4"/>
    </row>
    <row r="1896" spans="1:19" ht="21" customHeight="1" x14ac:dyDescent="0.25">
      <c r="A1896" s="14">
        <f>DATE(2012,12,31)-1448</f>
        <v>39826</v>
      </c>
      <c r="B1896" s="15" t="s">
        <v>1480</v>
      </c>
      <c r="C1896" s="15" t="s">
        <v>31</v>
      </c>
      <c r="D1896" s="16">
        <v>13</v>
      </c>
      <c r="E1896" s="17">
        <v>660.99</v>
      </c>
      <c r="F1896" s="16">
        <v>0.02</v>
      </c>
      <c r="G1896" s="15" t="s">
        <v>32</v>
      </c>
      <c r="H1896" s="18">
        <v>267.67</v>
      </c>
      <c r="I1896" s="19">
        <v>48.04</v>
      </c>
      <c r="J1896" s="19">
        <v>5.09</v>
      </c>
      <c r="K1896" s="19" t="s">
        <v>124</v>
      </c>
      <c r="L1896" s="19" t="s">
        <v>493</v>
      </c>
      <c r="M1896" s="15" t="s">
        <v>1588</v>
      </c>
      <c r="N1896" s="15" t="s">
        <v>36</v>
      </c>
      <c r="O1896" s="15" t="s">
        <v>117</v>
      </c>
      <c r="P1896" s="20" t="s">
        <v>1267</v>
      </c>
      <c r="Q1896" s="15" t="s">
        <v>83</v>
      </c>
      <c r="R1896" s="4"/>
      <c r="S1896" s="4"/>
    </row>
    <row r="1897" spans="1:19" ht="21" customHeight="1" x14ac:dyDescent="0.25">
      <c r="A1897" s="14">
        <f>DATE(2012,12,31)-1428</f>
        <v>39846</v>
      </c>
      <c r="B1897" s="15" t="s">
        <v>944</v>
      </c>
      <c r="C1897" s="15" t="s">
        <v>43</v>
      </c>
      <c r="D1897" s="16">
        <v>38</v>
      </c>
      <c r="E1897" s="17">
        <v>3152.75</v>
      </c>
      <c r="F1897" s="16">
        <v>0.04</v>
      </c>
      <c r="G1897" s="15" t="s">
        <v>32</v>
      </c>
      <c r="H1897" s="18">
        <v>1166.4000000000001</v>
      </c>
      <c r="I1897" s="19">
        <v>83.1</v>
      </c>
      <c r="J1897" s="19">
        <v>6.13</v>
      </c>
      <c r="K1897" s="19" t="s">
        <v>124</v>
      </c>
      <c r="L1897" s="19" t="s">
        <v>493</v>
      </c>
      <c r="M1897" s="15" t="s">
        <v>1588</v>
      </c>
      <c r="N1897" s="15" t="s">
        <v>64</v>
      </c>
      <c r="O1897" s="15" t="s">
        <v>72</v>
      </c>
      <c r="P1897" s="20" t="s">
        <v>1095</v>
      </c>
      <c r="Q1897" s="15" t="s">
        <v>83</v>
      </c>
      <c r="R1897" s="4"/>
      <c r="S1897" s="4"/>
    </row>
    <row r="1898" spans="1:19" ht="21" customHeight="1" x14ac:dyDescent="0.25">
      <c r="A1898" s="14">
        <f>DATE(2012,12,31)-1428</f>
        <v>39846</v>
      </c>
      <c r="B1898" s="15" t="s">
        <v>944</v>
      </c>
      <c r="C1898" s="15" t="s">
        <v>43</v>
      </c>
      <c r="D1898" s="16">
        <v>42</v>
      </c>
      <c r="E1898" s="17">
        <v>3609.88</v>
      </c>
      <c r="F1898" s="16">
        <v>7.0000000000000007E-2</v>
      </c>
      <c r="G1898" s="15" t="s">
        <v>32</v>
      </c>
      <c r="H1898" s="18">
        <v>-1396.22</v>
      </c>
      <c r="I1898" s="19">
        <v>90.98</v>
      </c>
      <c r="J1898" s="19">
        <v>56.2</v>
      </c>
      <c r="K1898" s="19" t="s">
        <v>124</v>
      </c>
      <c r="L1898" s="19" t="s">
        <v>160</v>
      </c>
      <c r="M1898" s="15" t="s">
        <v>1621</v>
      </c>
      <c r="N1898" s="15" t="s">
        <v>54</v>
      </c>
      <c r="O1898" s="15" t="s">
        <v>55</v>
      </c>
      <c r="P1898" s="20" t="s">
        <v>1038</v>
      </c>
      <c r="Q1898" s="15" t="s">
        <v>57</v>
      </c>
      <c r="R1898" s="4"/>
      <c r="S1898" s="4"/>
    </row>
    <row r="1899" spans="1:19" ht="21" customHeight="1" x14ac:dyDescent="0.25">
      <c r="A1899" s="14">
        <f>DATE(2012,12,31)-1345</f>
        <v>39929</v>
      </c>
      <c r="B1899" s="15" t="s">
        <v>361</v>
      </c>
      <c r="C1899" s="15" t="s">
        <v>43</v>
      </c>
      <c r="D1899" s="16">
        <v>34</v>
      </c>
      <c r="E1899" s="17">
        <v>109.86</v>
      </c>
      <c r="F1899" s="16">
        <v>7.0000000000000007E-2</v>
      </c>
      <c r="G1899" s="15" t="s">
        <v>32</v>
      </c>
      <c r="H1899" s="18">
        <v>19.04</v>
      </c>
      <c r="I1899" s="19">
        <v>3.38</v>
      </c>
      <c r="J1899" s="19">
        <v>0.85</v>
      </c>
      <c r="K1899" s="19" t="s">
        <v>124</v>
      </c>
      <c r="L1899" s="19" t="s">
        <v>160</v>
      </c>
      <c r="M1899" s="15" t="s">
        <v>1621</v>
      </c>
      <c r="N1899" s="15" t="s">
        <v>36</v>
      </c>
      <c r="O1899" s="15" t="s">
        <v>77</v>
      </c>
      <c r="P1899" s="20" t="s">
        <v>1618</v>
      </c>
      <c r="Q1899" s="15" t="s">
        <v>79</v>
      </c>
      <c r="R1899" s="4"/>
      <c r="S1899" s="4"/>
    </row>
    <row r="1900" spans="1:19" ht="21" customHeight="1" x14ac:dyDescent="0.25">
      <c r="A1900" s="14">
        <f>DATE(2012,12,31)-774</f>
        <v>40500</v>
      </c>
      <c r="B1900" s="15" t="s">
        <v>1449</v>
      </c>
      <c r="C1900" s="15" t="s">
        <v>85</v>
      </c>
      <c r="D1900" s="16">
        <v>12</v>
      </c>
      <c r="E1900" s="17">
        <v>440.6</v>
      </c>
      <c r="F1900" s="16">
        <v>7.0000000000000007E-2</v>
      </c>
      <c r="G1900" s="15" t="s">
        <v>32</v>
      </c>
      <c r="H1900" s="18">
        <v>2.9700000000000131</v>
      </c>
      <c r="I1900" s="19">
        <v>39.479999999999997</v>
      </c>
      <c r="J1900" s="19">
        <v>1.99</v>
      </c>
      <c r="K1900" s="19" t="s">
        <v>124</v>
      </c>
      <c r="L1900" s="19" t="s">
        <v>168</v>
      </c>
      <c r="M1900" s="15" t="s">
        <v>1624</v>
      </c>
      <c r="N1900" s="15" t="s">
        <v>64</v>
      </c>
      <c r="O1900" s="15" t="s">
        <v>72</v>
      </c>
      <c r="P1900" s="20" t="s">
        <v>218</v>
      </c>
      <c r="Q1900" s="15" t="s">
        <v>49</v>
      </c>
      <c r="R1900" s="4"/>
      <c r="S1900" s="4"/>
    </row>
    <row r="1901" spans="1:19" ht="21" customHeight="1" x14ac:dyDescent="0.25">
      <c r="A1901" s="14">
        <f>DATE(2012,12,31)-774</f>
        <v>40500</v>
      </c>
      <c r="B1901" s="15" t="s">
        <v>1449</v>
      </c>
      <c r="C1901" s="15" t="s">
        <v>85</v>
      </c>
      <c r="D1901" s="16">
        <v>37</v>
      </c>
      <c r="E1901" s="17">
        <v>109.9</v>
      </c>
      <c r="F1901" s="16">
        <v>0.09</v>
      </c>
      <c r="G1901" s="15" t="s">
        <v>101</v>
      </c>
      <c r="H1901" s="18">
        <v>48.52</v>
      </c>
      <c r="I1901" s="19">
        <v>2.61</v>
      </c>
      <c r="J1901" s="19">
        <v>0.5</v>
      </c>
      <c r="K1901" s="19" t="s">
        <v>124</v>
      </c>
      <c r="L1901" s="19" t="s">
        <v>164</v>
      </c>
      <c r="M1901" s="15" t="s">
        <v>1228</v>
      </c>
      <c r="N1901" s="15" t="s">
        <v>36</v>
      </c>
      <c r="O1901" s="15" t="s">
        <v>114</v>
      </c>
      <c r="P1901" s="20" t="s">
        <v>587</v>
      </c>
      <c r="Q1901" s="15" t="s">
        <v>83</v>
      </c>
      <c r="R1901" s="4"/>
      <c r="S1901" s="4"/>
    </row>
    <row r="1902" spans="1:19" ht="21" customHeight="1" x14ac:dyDescent="0.25">
      <c r="A1902" s="14">
        <f>DATE(2012,12,31)-774</f>
        <v>40500</v>
      </c>
      <c r="B1902" s="15" t="s">
        <v>1449</v>
      </c>
      <c r="C1902" s="15" t="s">
        <v>85</v>
      </c>
      <c r="D1902" s="16">
        <v>13</v>
      </c>
      <c r="E1902" s="17">
        <v>315.29000000000002</v>
      </c>
      <c r="F1902" s="16">
        <v>0</v>
      </c>
      <c r="G1902" s="15" t="s">
        <v>32</v>
      </c>
      <c r="H1902" s="18">
        <v>-361.82</v>
      </c>
      <c r="I1902" s="19">
        <v>20.34</v>
      </c>
      <c r="J1902" s="19">
        <v>35</v>
      </c>
      <c r="K1902" s="19" t="s">
        <v>124</v>
      </c>
      <c r="L1902" s="19" t="s">
        <v>125</v>
      </c>
      <c r="M1902" s="15" t="s">
        <v>1297</v>
      </c>
      <c r="N1902" s="15" t="s">
        <v>36</v>
      </c>
      <c r="O1902" s="15" t="s">
        <v>37</v>
      </c>
      <c r="P1902" s="20" t="s">
        <v>1690</v>
      </c>
      <c r="Q1902" s="15" t="s">
        <v>39</v>
      </c>
      <c r="R1902" s="4"/>
      <c r="S1902" s="4"/>
    </row>
    <row r="1903" spans="1:19" ht="21" customHeight="1" x14ac:dyDescent="0.25">
      <c r="A1903" s="14">
        <f>DATE(2012,12,31)-1392</f>
        <v>39882</v>
      </c>
      <c r="B1903" s="15" t="s">
        <v>728</v>
      </c>
      <c r="C1903" s="15" t="s">
        <v>85</v>
      </c>
      <c r="D1903" s="16">
        <v>6</v>
      </c>
      <c r="E1903" s="17">
        <v>608.92999999999995</v>
      </c>
      <c r="F1903" s="16">
        <v>0.01</v>
      </c>
      <c r="G1903" s="15" t="s">
        <v>101</v>
      </c>
      <c r="H1903" s="18">
        <v>-193.95779999999999</v>
      </c>
      <c r="I1903" s="19">
        <v>99.99</v>
      </c>
      <c r="J1903" s="19">
        <v>19.989999999999998</v>
      </c>
      <c r="K1903" s="19" t="s">
        <v>124</v>
      </c>
      <c r="L1903" s="19" t="s">
        <v>319</v>
      </c>
      <c r="M1903" s="15" t="s">
        <v>1711</v>
      </c>
      <c r="N1903" s="15" t="s">
        <v>64</v>
      </c>
      <c r="O1903" s="15" t="s">
        <v>122</v>
      </c>
      <c r="P1903" s="20" t="s">
        <v>1309</v>
      </c>
      <c r="Q1903" s="15" t="s">
        <v>83</v>
      </c>
      <c r="R1903" s="4"/>
      <c r="S1903" s="4"/>
    </row>
    <row r="1904" spans="1:19" ht="21" customHeight="1" x14ac:dyDescent="0.25">
      <c r="A1904" s="14">
        <f>DATE(2012,12,31)-272</f>
        <v>41002</v>
      </c>
      <c r="B1904" s="15" t="s">
        <v>564</v>
      </c>
      <c r="C1904" s="15" t="s">
        <v>43</v>
      </c>
      <c r="D1904" s="16">
        <v>18</v>
      </c>
      <c r="E1904" s="17">
        <v>2703.37</v>
      </c>
      <c r="F1904" s="16">
        <v>0.09</v>
      </c>
      <c r="G1904" s="15" t="s">
        <v>58</v>
      </c>
      <c r="H1904" s="18">
        <v>-231.6</v>
      </c>
      <c r="I1904" s="19">
        <v>150.97999999999999</v>
      </c>
      <c r="J1904" s="19">
        <v>57.2</v>
      </c>
      <c r="K1904" s="19" t="s">
        <v>44</v>
      </c>
      <c r="L1904" s="19" t="s">
        <v>52</v>
      </c>
      <c r="M1904" s="15" t="s">
        <v>1685</v>
      </c>
      <c r="N1904" s="15" t="s">
        <v>54</v>
      </c>
      <c r="O1904" s="15" t="s">
        <v>252</v>
      </c>
      <c r="P1904" s="20" t="s">
        <v>1712</v>
      </c>
      <c r="Q1904" s="15" t="s">
        <v>181</v>
      </c>
      <c r="R1904" s="4"/>
      <c r="S1904" s="4"/>
    </row>
    <row r="1905" spans="1:19" ht="21" customHeight="1" x14ac:dyDescent="0.25">
      <c r="A1905" s="14">
        <f>DATE(2012,12,31)-272</f>
        <v>41002</v>
      </c>
      <c r="B1905" s="15" t="s">
        <v>564</v>
      </c>
      <c r="C1905" s="15" t="s">
        <v>43</v>
      </c>
      <c r="D1905" s="16">
        <v>39</v>
      </c>
      <c r="E1905" s="17">
        <v>1538.17</v>
      </c>
      <c r="F1905" s="16">
        <v>0.02</v>
      </c>
      <c r="G1905" s="15" t="s">
        <v>32</v>
      </c>
      <c r="H1905" s="18">
        <v>-1119.6400000000001</v>
      </c>
      <c r="I1905" s="19">
        <v>38.94</v>
      </c>
      <c r="J1905" s="19">
        <v>35</v>
      </c>
      <c r="K1905" s="19" t="s">
        <v>44</v>
      </c>
      <c r="L1905" s="19" t="s">
        <v>52</v>
      </c>
      <c r="M1905" s="15" t="s">
        <v>1685</v>
      </c>
      <c r="N1905" s="15" t="s">
        <v>36</v>
      </c>
      <c r="O1905" s="15" t="s">
        <v>37</v>
      </c>
      <c r="P1905" s="20" t="s">
        <v>38</v>
      </c>
      <c r="Q1905" s="15" t="s">
        <v>39</v>
      </c>
      <c r="R1905" s="4"/>
      <c r="S1905" s="4"/>
    </row>
    <row r="1906" spans="1:19" ht="21" customHeight="1" x14ac:dyDescent="0.25">
      <c r="A1906" s="14">
        <f>DATE(2012,12,31)-623</f>
        <v>40651</v>
      </c>
      <c r="B1906" s="15" t="s">
        <v>762</v>
      </c>
      <c r="C1906" s="15" t="s">
        <v>51</v>
      </c>
      <c r="D1906" s="16">
        <v>46</v>
      </c>
      <c r="E1906" s="17">
        <v>1824.13</v>
      </c>
      <c r="F1906" s="16">
        <v>0.05</v>
      </c>
      <c r="G1906" s="15" t="s">
        <v>32</v>
      </c>
      <c r="H1906" s="18">
        <v>104.51</v>
      </c>
      <c r="I1906" s="19">
        <v>39.979999999999997</v>
      </c>
      <c r="J1906" s="19">
        <v>7.12</v>
      </c>
      <c r="K1906" s="19" t="s">
        <v>44</v>
      </c>
      <c r="L1906" s="19" t="s">
        <v>52</v>
      </c>
      <c r="M1906" s="15" t="s">
        <v>1685</v>
      </c>
      <c r="N1906" s="15" t="s">
        <v>64</v>
      </c>
      <c r="O1906" s="15" t="s">
        <v>72</v>
      </c>
      <c r="P1906" s="20" t="s">
        <v>1468</v>
      </c>
      <c r="Q1906" s="15" t="s">
        <v>83</v>
      </c>
      <c r="R1906" s="4"/>
      <c r="S1906" s="4"/>
    </row>
    <row r="1907" spans="1:19" ht="21" customHeight="1" x14ac:dyDescent="0.25">
      <c r="A1907" s="14">
        <f>DATE(2012,12,31)-623</f>
        <v>40651</v>
      </c>
      <c r="B1907" s="15" t="s">
        <v>762</v>
      </c>
      <c r="C1907" s="15" t="s">
        <v>51</v>
      </c>
      <c r="D1907" s="16">
        <v>27</v>
      </c>
      <c r="E1907" s="17">
        <v>151.38</v>
      </c>
      <c r="F1907" s="16">
        <v>0.04</v>
      </c>
      <c r="G1907" s="15" t="s">
        <v>32</v>
      </c>
      <c r="H1907" s="18">
        <v>-55.61</v>
      </c>
      <c r="I1907" s="19">
        <v>5.58</v>
      </c>
      <c r="J1907" s="19">
        <v>5.3</v>
      </c>
      <c r="K1907" s="19" t="s">
        <v>44</v>
      </c>
      <c r="L1907" s="19" t="s">
        <v>52</v>
      </c>
      <c r="M1907" s="15" t="s">
        <v>1685</v>
      </c>
      <c r="N1907" s="15" t="s">
        <v>36</v>
      </c>
      <c r="O1907" s="15" t="s">
        <v>189</v>
      </c>
      <c r="P1907" s="20" t="s">
        <v>849</v>
      </c>
      <c r="Q1907" s="15" t="s">
        <v>83</v>
      </c>
      <c r="R1907" s="4"/>
      <c r="S1907" s="4"/>
    </row>
    <row r="1908" spans="1:19" ht="21" customHeight="1" x14ac:dyDescent="0.25">
      <c r="A1908" s="14">
        <f>DATE(2012,12,31)-1340</f>
        <v>39934</v>
      </c>
      <c r="B1908" s="15" t="s">
        <v>1066</v>
      </c>
      <c r="C1908" s="15" t="s">
        <v>85</v>
      </c>
      <c r="D1908" s="16">
        <v>28</v>
      </c>
      <c r="E1908" s="17">
        <v>149</v>
      </c>
      <c r="F1908" s="16">
        <v>0.06</v>
      </c>
      <c r="G1908" s="15" t="s">
        <v>32</v>
      </c>
      <c r="H1908" s="18">
        <v>-119.48</v>
      </c>
      <c r="I1908" s="19">
        <v>4.9800000000000004</v>
      </c>
      <c r="J1908" s="19">
        <v>7.44</v>
      </c>
      <c r="K1908" s="19" t="s">
        <v>44</v>
      </c>
      <c r="L1908" s="19" t="s">
        <v>52</v>
      </c>
      <c r="M1908" s="15" t="s">
        <v>1685</v>
      </c>
      <c r="N1908" s="15" t="s">
        <v>36</v>
      </c>
      <c r="O1908" s="15" t="s">
        <v>117</v>
      </c>
      <c r="P1908" s="20" t="s">
        <v>266</v>
      </c>
      <c r="Q1908" s="15" t="s">
        <v>83</v>
      </c>
      <c r="R1908" s="4"/>
      <c r="S1908" s="4"/>
    </row>
    <row r="1909" spans="1:19" ht="21" customHeight="1" x14ac:dyDescent="0.25">
      <c r="A1909" s="14">
        <f>DATE(2012,12,31)-1340</f>
        <v>39934</v>
      </c>
      <c r="B1909" s="15" t="s">
        <v>1066</v>
      </c>
      <c r="C1909" s="15" t="s">
        <v>85</v>
      </c>
      <c r="D1909" s="16">
        <v>49</v>
      </c>
      <c r="E1909" s="17">
        <v>334.29</v>
      </c>
      <c r="F1909" s="16">
        <v>0.01</v>
      </c>
      <c r="G1909" s="15" t="s">
        <v>32</v>
      </c>
      <c r="H1909" s="18">
        <v>-157.28</v>
      </c>
      <c r="I1909" s="19">
        <v>6.48</v>
      </c>
      <c r="J1909" s="19">
        <v>7.37</v>
      </c>
      <c r="K1909" s="19" t="s">
        <v>44</v>
      </c>
      <c r="L1909" s="19" t="s">
        <v>52</v>
      </c>
      <c r="M1909" s="15" t="s">
        <v>1685</v>
      </c>
      <c r="N1909" s="15" t="s">
        <v>36</v>
      </c>
      <c r="O1909" s="15" t="s">
        <v>117</v>
      </c>
      <c r="P1909" s="20" t="s">
        <v>998</v>
      </c>
      <c r="Q1909" s="15" t="s">
        <v>83</v>
      </c>
      <c r="R1909" s="4"/>
      <c r="S1909" s="4"/>
    </row>
    <row r="1910" spans="1:19" ht="21" customHeight="1" x14ac:dyDescent="0.25">
      <c r="A1910" s="14">
        <f>DATE(2012,12,31)-1439</f>
        <v>39835</v>
      </c>
      <c r="B1910" s="15" t="s">
        <v>431</v>
      </c>
      <c r="C1910" s="15" t="s">
        <v>31</v>
      </c>
      <c r="D1910" s="16">
        <v>32</v>
      </c>
      <c r="E1910" s="17">
        <v>28180.080000000002</v>
      </c>
      <c r="F1910" s="16">
        <v>0.02</v>
      </c>
      <c r="G1910" s="15" t="s">
        <v>58</v>
      </c>
      <c r="H1910" s="18">
        <v>7513.88</v>
      </c>
      <c r="I1910" s="19">
        <v>880.98</v>
      </c>
      <c r="J1910" s="19">
        <v>44.55</v>
      </c>
      <c r="K1910" s="19" t="s">
        <v>44</v>
      </c>
      <c r="L1910" s="19" t="s">
        <v>52</v>
      </c>
      <c r="M1910" s="15" t="s">
        <v>1685</v>
      </c>
      <c r="N1910" s="15" t="s">
        <v>54</v>
      </c>
      <c r="O1910" s="15" t="s">
        <v>134</v>
      </c>
      <c r="P1910" s="20" t="s">
        <v>668</v>
      </c>
      <c r="Q1910" s="15" t="s">
        <v>63</v>
      </c>
      <c r="R1910" s="4"/>
      <c r="S1910" s="4"/>
    </row>
    <row r="1911" spans="1:19" ht="21" customHeight="1" x14ac:dyDescent="0.25">
      <c r="A1911" s="14">
        <f>DATE(2012,12,31)-458</f>
        <v>40816</v>
      </c>
      <c r="B1911" s="15" t="s">
        <v>812</v>
      </c>
      <c r="C1911" s="15" t="s">
        <v>51</v>
      </c>
      <c r="D1911" s="16">
        <v>49</v>
      </c>
      <c r="E1911" s="17">
        <v>682.77</v>
      </c>
      <c r="F1911" s="16">
        <v>0.05</v>
      </c>
      <c r="G1911" s="15" t="s">
        <v>32</v>
      </c>
      <c r="H1911" s="18">
        <v>165.2</v>
      </c>
      <c r="I1911" s="19">
        <v>14.48</v>
      </c>
      <c r="J1911" s="19">
        <v>1.99</v>
      </c>
      <c r="K1911" s="19" t="s">
        <v>44</v>
      </c>
      <c r="L1911" s="19" t="s">
        <v>80</v>
      </c>
      <c r="M1911" s="15" t="s">
        <v>1200</v>
      </c>
      <c r="N1911" s="15" t="s">
        <v>64</v>
      </c>
      <c r="O1911" s="15" t="s">
        <v>72</v>
      </c>
      <c r="P1911" s="20" t="s">
        <v>658</v>
      </c>
      <c r="Q1911" s="15" t="s">
        <v>49</v>
      </c>
      <c r="R1911" s="4"/>
      <c r="S1911" s="4"/>
    </row>
    <row r="1912" spans="1:19" ht="21" customHeight="1" x14ac:dyDescent="0.25">
      <c r="A1912" s="14">
        <f>DATE(2012,12,31)-311</f>
        <v>40963</v>
      </c>
      <c r="B1912" s="15" t="s">
        <v>1178</v>
      </c>
      <c r="C1912" s="15" t="s">
        <v>85</v>
      </c>
      <c r="D1912" s="16">
        <v>42</v>
      </c>
      <c r="E1912" s="17">
        <v>282.61</v>
      </c>
      <c r="F1912" s="16">
        <v>0.02</v>
      </c>
      <c r="G1912" s="15" t="s">
        <v>32</v>
      </c>
      <c r="H1912" s="18">
        <v>-106.36</v>
      </c>
      <c r="I1912" s="19">
        <v>6.24</v>
      </c>
      <c r="J1912" s="19">
        <v>5.22</v>
      </c>
      <c r="K1912" s="19" t="s">
        <v>44</v>
      </c>
      <c r="L1912" s="19" t="s">
        <v>52</v>
      </c>
      <c r="M1912" s="15" t="s">
        <v>1685</v>
      </c>
      <c r="N1912" s="15" t="s">
        <v>54</v>
      </c>
      <c r="O1912" s="15" t="s">
        <v>55</v>
      </c>
      <c r="P1912" s="20" t="s">
        <v>341</v>
      </c>
      <c r="Q1912" s="15" t="s">
        <v>83</v>
      </c>
      <c r="R1912" s="4"/>
      <c r="S1912" s="4"/>
    </row>
    <row r="1913" spans="1:19" ht="21" customHeight="1" x14ac:dyDescent="0.25">
      <c r="A1913" s="14">
        <f>DATE(2012,12,31)-222</f>
        <v>41052</v>
      </c>
      <c r="B1913" s="15" t="s">
        <v>245</v>
      </c>
      <c r="C1913" s="15" t="s">
        <v>85</v>
      </c>
      <c r="D1913" s="16">
        <v>27</v>
      </c>
      <c r="E1913" s="17">
        <v>116.37</v>
      </c>
      <c r="F1913" s="16">
        <v>0.04</v>
      </c>
      <c r="G1913" s="15" t="s">
        <v>101</v>
      </c>
      <c r="H1913" s="18">
        <v>57.63</v>
      </c>
      <c r="I1913" s="19">
        <v>3.69</v>
      </c>
      <c r="J1913" s="19">
        <v>0.5</v>
      </c>
      <c r="K1913" s="19" t="s">
        <v>44</v>
      </c>
      <c r="L1913" s="19" t="s">
        <v>52</v>
      </c>
      <c r="M1913" s="15" t="s">
        <v>1685</v>
      </c>
      <c r="N1913" s="15" t="s">
        <v>36</v>
      </c>
      <c r="O1913" s="15" t="s">
        <v>114</v>
      </c>
      <c r="P1913" s="20" t="s">
        <v>224</v>
      </c>
      <c r="Q1913" s="15" t="s">
        <v>83</v>
      </c>
      <c r="R1913" s="4"/>
      <c r="S1913" s="4"/>
    </row>
    <row r="1914" spans="1:19" ht="21" customHeight="1" x14ac:dyDescent="0.25">
      <c r="A1914" s="14">
        <f>DATE(2012,12,31)-478</f>
        <v>40796</v>
      </c>
      <c r="B1914" s="15" t="s">
        <v>616</v>
      </c>
      <c r="C1914" s="15" t="s">
        <v>31</v>
      </c>
      <c r="D1914" s="16">
        <v>6</v>
      </c>
      <c r="E1914" s="17">
        <v>209</v>
      </c>
      <c r="F1914" s="16">
        <v>0.08</v>
      </c>
      <c r="G1914" s="15" t="s">
        <v>32</v>
      </c>
      <c r="H1914" s="18">
        <v>12.32</v>
      </c>
      <c r="I1914" s="19">
        <v>35.44</v>
      </c>
      <c r="J1914" s="19">
        <v>7.5</v>
      </c>
      <c r="K1914" s="19" t="s">
        <v>44</v>
      </c>
      <c r="L1914" s="19" t="s">
        <v>236</v>
      </c>
      <c r="M1914" s="15" t="s">
        <v>237</v>
      </c>
      <c r="N1914" s="15" t="s">
        <v>36</v>
      </c>
      <c r="O1914" s="15" t="s">
        <v>117</v>
      </c>
      <c r="P1914" s="20" t="s">
        <v>1697</v>
      </c>
      <c r="Q1914" s="15" t="s">
        <v>83</v>
      </c>
      <c r="R1914" s="4"/>
      <c r="S1914" s="4"/>
    </row>
    <row r="1915" spans="1:19" ht="21" customHeight="1" x14ac:dyDescent="0.25">
      <c r="A1915" s="14">
        <f>DATE(2012,12,31)-1460</f>
        <v>39814</v>
      </c>
      <c r="B1915" s="15" t="s">
        <v>764</v>
      </c>
      <c r="C1915" s="15" t="s">
        <v>43</v>
      </c>
      <c r="D1915" s="16">
        <v>9</v>
      </c>
      <c r="E1915" s="17">
        <v>872.48</v>
      </c>
      <c r="F1915" s="16">
        <v>0.08</v>
      </c>
      <c r="G1915" s="15" t="s">
        <v>101</v>
      </c>
      <c r="H1915" s="18">
        <v>-342.91</v>
      </c>
      <c r="I1915" s="19">
        <v>95.99</v>
      </c>
      <c r="J1915" s="19">
        <v>35</v>
      </c>
      <c r="K1915" s="19" t="s">
        <v>44</v>
      </c>
      <c r="L1915" s="19" t="s">
        <v>52</v>
      </c>
      <c r="M1915" s="15" t="s">
        <v>1685</v>
      </c>
      <c r="N1915" s="15" t="s">
        <v>36</v>
      </c>
      <c r="O1915" s="15" t="s">
        <v>37</v>
      </c>
      <c r="P1915" s="20" t="s">
        <v>137</v>
      </c>
      <c r="Q1915" s="15" t="s">
        <v>39</v>
      </c>
      <c r="R1915" s="4"/>
      <c r="S1915" s="4"/>
    </row>
    <row r="1916" spans="1:19" ht="21" customHeight="1" x14ac:dyDescent="0.25">
      <c r="A1916" s="14">
        <f>DATE(2012,12,31)-602</f>
        <v>40672</v>
      </c>
      <c r="B1916" s="15" t="s">
        <v>1163</v>
      </c>
      <c r="C1916" s="15" t="s">
        <v>51</v>
      </c>
      <c r="D1916" s="16">
        <v>26</v>
      </c>
      <c r="E1916" s="17">
        <v>3617.64</v>
      </c>
      <c r="F1916" s="16">
        <v>7.0000000000000007E-2</v>
      </c>
      <c r="G1916" s="15" t="s">
        <v>58</v>
      </c>
      <c r="H1916" s="18">
        <v>-354.12520000000006</v>
      </c>
      <c r="I1916" s="19">
        <v>146.34</v>
      </c>
      <c r="J1916" s="19">
        <v>43.75</v>
      </c>
      <c r="K1916" s="19" t="s">
        <v>44</v>
      </c>
      <c r="L1916" s="19" t="s">
        <v>52</v>
      </c>
      <c r="M1916" s="15" t="s">
        <v>1685</v>
      </c>
      <c r="N1916" s="15" t="s">
        <v>54</v>
      </c>
      <c r="O1916" s="15" t="s">
        <v>61</v>
      </c>
      <c r="P1916" s="20" t="s">
        <v>953</v>
      </c>
      <c r="Q1916" s="15" t="s">
        <v>63</v>
      </c>
      <c r="R1916" s="4"/>
      <c r="S1916" s="4"/>
    </row>
    <row r="1917" spans="1:19" ht="21" customHeight="1" x14ac:dyDescent="0.25">
      <c r="A1917" s="14">
        <f>DATE(2012,12,31)-967</f>
        <v>40307</v>
      </c>
      <c r="B1917" s="15" t="s">
        <v>827</v>
      </c>
      <c r="C1917" s="15" t="s">
        <v>43</v>
      </c>
      <c r="D1917" s="16">
        <v>10</v>
      </c>
      <c r="E1917" s="17">
        <v>44.08</v>
      </c>
      <c r="F1917" s="16">
        <v>0.08</v>
      </c>
      <c r="G1917" s="15" t="s">
        <v>32</v>
      </c>
      <c r="H1917" s="18">
        <v>6.79</v>
      </c>
      <c r="I1917" s="19">
        <v>4.4800000000000004</v>
      </c>
      <c r="J1917" s="19">
        <v>1.22</v>
      </c>
      <c r="K1917" s="19" t="s">
        <v>44</v>
      </c>
      <c r="L1917" s="19" t="s">
        <v>52</v>
      </c>
      <c r="M1917" s="15" t="s">
        <v>1685</v>
      </c>
      <c r="N1917" s="15" t="s">
        <v>36</v>
      </c>
      <c r="O1917" s="15" t="s">
        <v>117</v>
      </c>
      <c r="P1917" s="20" t="s">
        <v>1678</v>
      </c>
      <c r="Q1917" s="15" t="s">
        <v>79</v>
      </c>
      <c r="R1917" s="4"/>
      <c r="S1917" s="4"/>
    </row>
    <row r="1918" spans="1:19" ht="21" customHeight="1" x14ac:dyDescent="0.25">
      <c r="A1918" s="14">
        <f>DATE(2012,12,31)-1320</f>
        <v>39954</v>
      </c>
      <c r="B1918" s="15" t="s">
        <v>779</v>
      </c>
      <c r="C1918" s="15" t="s">
        <v>85</v>
      </c>
      <c r="D1918" s="16">
        <v>36</v>
      </c>
      <c r="E1918" s="17">
        <v>281.70999999999998</v>
      </c>
      <c r="F1918" s="16">
        <v>0.02</v>
      </c>
      <c r="G1918" s="15" t="s">
        <v>32</v>
      </c>
      <c r="H1918" s="18">
        <v>117.38</v>
      </c>
      <c r="I1918" s="19">
        <v>7.64</v>
      </c>
      <c r="J1918" s="19">
        <v>1.39</v>
      </c>
      <c r="K1918" s="19" t="s">
        <v>44</v>
      </c>
      <c r="L1918" s="19" t="s">
        <v>52</v>
      </c>
      <c r="M1918" s="15" t="s">
        <v>1685</v>
      </c>
      <c r="N1918" s="15" t="s">
        <v>36</v>
      </c>
      <c r="O1918" s="15" t="s">
        <v>189</v>
      </c>
      <c r="P1918" s="20" t="s">
        <v>1272</v>
      </c>
      <c r="Q1918" s="15" t="s">
        <v>83</v>
      </c>
      <c r="R1918" s="4"/>
      <c r="S1918" s="4"/>
    </row>
    <row r="1919" spans="1:19" ht="21" customHeight="1" x14ac:dyDescent="0.25">
      <c r="A1919" s="14">
        <f>DATE(2012,12,31)-1171</f>
        <v>40103</v>
      </c>
      <c r="B1919" s="15" t="s">
        <v>1713</v>
      </c>
      <c r="C1919" s="15" t="s">
        <v>31</v>
      </c>
      <c r="D1919" s="16">
        <v>32</v>
      </c>
      <c r="E1919" s="17">
        <v>2421.44</v>
      </c>
      <c r="F1919" s="16">
        <v>0.09</v>
      </c>
      <c r="G1919" s="15" t="s">
        <v>32</v>
      </c>
      <c r="H1919" s="18">
        <v>-949.09</v>
      </c>
      <c r="I1919" s="19">
        <v>78.8</v>
      </c>
      <c r="J1919" s="19">
        <v>35</v>
      </c>
      <c r="K1919" s="19" t="s">
        <v>44</v>
      </c>
      <c r="L1919" s="19" t="s">
        <v>52</v>
      </c>
      <c r="M1919" s="15" t="s">
        <v>1685</v>
      </c>
      <c r="N1919" s="15" t="s">
        <v>36</v>
      </c>
      <c r="O1919" s="15" t="s">
        <v>37</v>
      </c>
      <c r="P1919" s="20" t="s">
        <v>1714</v>
      </c>
      <c r="Q1919" s="15" t="s">
        <v>39</v>
      </c>
      <c r="R1919" s="4"/>
      <c r="S1919" s="4"/>
    </row>
    <row r="1920" spans="1:19" ht="21" customHeight="1" x14ac:dyDescent="0.25">
      <c r="A1920" s="14">
        <f>DATE(2012,12,31)-924</f>
        <v>40350</v>
      </c>
      <c r="B1920" s="15" t="s">
        <v>1715</v>
      </c>
      <c r="C1920" s="15" t="s">
        <v>85</v>
      </c>
      <c r="D1920" s="16">
        <v>8</v>
      </c>
      <c r="E1920" s="17">
        <v>55</v>
      </c>
      <c r="F1920" s="16">
        <v>0.05</v>
      </c>
      <c r="G1920" s="15" t="s">
        <v>32</v>
      </c>
      <c r="H1920" s="18">
        <v>-23.620999999999999</v>
      </c>
      <c r="I1920" s="19">
        <v>6.28</v>
      </c>
      <c r="J1920" s="19">
        <v>5.36</v>
      </c>
      <c r="K1920" s="19" t="s">
        <v>33</v>
      </c>
      <c r="L1920" s="19" t="s">
        <v>34</v>
      </c>
      <c r="M1920" s="15" t="s">
        <v>1716</v>
      </c>
      <c r="N1920" s="15" t="s">
        <v>36</v>
      </c>
      <c r="O1920" s="15" t="s">
        <v>170</v>
      </c>
      <c r="P1920" s="20" t="s">
        <v>517</v>
      </c>
      <c r="Q1920" s="15" t="s">
        <v>83</v>
      </c>
      <c r="R1920" s="4"/>
      <c r="S1920" s="4"/>
    </row>
    <row r="1921" spans="1:19" ht="21" customHeight="1" x14ac:dyDescent="0.25">
      <c r="A1921" s="14">
        <f>DATE(2012,12,31)-924</f>
        <v>40350</v>
      </c>
      <c r="B1921" s="15" t="s">
        <v>1715</v>
      </c>
      <c r="C1921" s="15" t="s">
        <v>85</v>
      </c>
      <c r="D1921" s="16">
        <v>7</v>
      </c>
      <c r="E1921" s="17">
        <v>51.66</v>
      </c>
      <c r="F1921" s="16">
        <v>0.06</v>
      </c>
      <c r="G1921" s="15" t="s">
        <v>32</v>
      </c>
      <c r="H1921" s="18">
        <v>7.4</v>
      </c>
      <c r="I1921" s="19">
        <v>7.64</v>
      </c>
      <c r="J1921" s="19">
        <v>1.39</v>
      </c>
      <c r="K1921" s="19" t="s">
        <v>33</v>
      </c>
      <c r="L1921" s="19" t="s">
        <v>59</v>
      </c>
      <c r="M1921" s="15" t="s">
        <v>1361</v>
      </c>
      <c r="N1921" s="15" t="s">
        <v>36</v>
      </c>
      <c r="O1921" s="15" t="s">
        <v>189</v>
      </c>
      <c r="P1921" s="20" t="s">
        <v>1717</v>
      </c>
      <c r="Q1921" s="15" t="s">
        <v>83</v>
      </c>
      <c r="R1921" s="4"/>
      <c r="S1921" s="4"/>
    </row>
    <row r="1922" spans="1:19" ht="21" customHeight="1" x14ac:dyDescent="0.25">
      <c r="A1922" s="14">
        <f>DATE(2012,12,31)-924</f>
        <v>40350</v>
      </c>
      <c r="B1922" s="15" t="s">
        <v>1715</v>
      </c>
      <c r="C1922" s="15" t="s">
        <v>85</v>
      </c>
      <c r="D1922" s="16">
        <v>37</v>
      </c>
      <c r="E1922" s="17">
        <v>107.73</v>
      </c>
      <c r="F1922" s="16">
        <v>0.08</v>
      </c>
      <c r="G1922" s="15" t="s">
        <v>32</v>
      </c>
      <c r="H1922" s="18">
        <v>39.81</v>
      </c>
      <c r="I1922" s="19">
        <v>3.15</v>
      </c>
      <c r="J1922" s="19">
        <v>0.5</v>
      </c>
      <c r="K1922" s="19" t="s">
        <v>33</v>
      </c>
      <c r="L1922" s="19" t="s">
        <v>59</v>
      </c>
      <c r="M1922" s="15" t="s">
        <v>1361</v>
      </c>
      <c r="N1922" s="15" t="s">
        <v>36</v>
      </c>
      <c r="O1922" s="15" t="s">
        <v>114</v>
      </c>
      <c r="P1922" s="20" t="s">
        <v>1718</v>
      </c>
      <c r="Q1922" s="15" t="s">
        <v>83</v>
      </c>
      <c r="R1922" s="4"/>
      <c r="S1922" s="4"/>
    </row>
    <row r="1923" spans="1:19" ht="21" customHeight="1" x14ac:dyDescent="0.25">
      <c r="A1923" s="14">
        <f>DATE(2012,12,31)-537</f>
        <v>40737</v>
      </c>
      <c r="B1923" s="15" t="s">
        <v>265</v>
      </c>
      <c r="C1923" s="15" t="s">
        <v>85</v>
      </c>
      <c r="D1923" s="16">
        <v>31</v>
      </c>
      <c r="E1923" s="17">
        <v>123.93</v>
      </c>
      <c r="F1923" s="16">
        <v>0.1</v>
      </c>
      <c r="G1923" s="15" t="s">
        <v>32</v>
      </c>
      <c r="H1923" s="18">
        <v>11.93</v>
      </c>
      <c r="I1923" s="19">
        <v>4.28</v>
      </c>
      <c r="J1923" s="19">
        <v>0.94</v>
      </c>
      <c r="K1923" s="19" t="s">
        <v>69</v>
      </c>
      <c r="L1923" s="19" t="s">
        <v>70</v>
      </c>
      <c r="M1923" s="15" t="s">
        <v>1492</v>
      </c>
      <c r="N1923" s="15" t="s">
        <v>36</v>
      </c>
      <c r="O1923" s="15" t="s">
        <v>77</v>
      </c>
      <c r="P1923" s="20" t="s">
        <v>600</v>
      </c>
      <c r="Q1923" s="15" t="s">
        <v>79</v>
      </c>
      <c r="R1923" s="4"/>
      <c r="S1923" s="4"/>
    </row>
    <row r="1924" spans="1:19" ht="21" customHeight="1" x14ac:dyDescent="0.25">
      <c r="A1924" s="14">
        <f>DATE(2012,12,31)-1366</f>
        <v>39908</v>
      </c>
      <c r="B1924" s="15" t="s">
        <v>1719</v>
      </c>
      <c r="C1924" s="15" t="s">
        <v>43</v>
      </c>
      <c r="D1924" s="16">
        <v>45</v>
      </c>
      <c r="E1924" s="17">
        <v>1553.38</v>
      </c>
      <c r="F1924" s="16">
        <v>0.1</v>
      </c>
      <c r="G1924" s="15" t="s">
        <v>32</v>
      </c>
      <c r="H1924" s="18">
        <v>180.88</v>
      </c>
      <c r="I1924" s="19">
        <v>36.549999999999997</v>
      </c>
      <c r="J1924" s="19">
        <v>13.89</v>
      </c>
      <c r="K1924" s="19" t="s">
        <v>69</v>
      </c>
      <c r="L1924" s="19" t="s">
        <v>215</v>
      </c>
      <c r="M1924" s="15" t="s">
        <v>1704</v>
      </c>
      <c r="N1924" s="15" t="s">
        <v>36</v>
      </c>
      <c r="O1924" s="15" t="s">
        <v>77</v>
      </c>
      <c r="P1924" s="20" t="s">
        <v>150</v>
      </c>
      <c r="Q1924" s="15" t="s">
        <v>79</v>
      </c>
      <c r="R1924" s="4"/>
      <c r="S1924" s="4"/>
    </row>
    <row r="1925" spans="1:19" ht="21" customHeight="1" x14ac:dyDescent="0.25">
      <c r="A1925" s="14">
        <f>DATE(2012,12,31)-858</f>
        <v>40416</v>
      </c>
      <c r="B1925" s="15" t="s">
        <v>502</v>
      </c>
      <c r="C1925" s="15" t="s">
        <v>51</v>
      </c>
      <c r="D1925" s="16">
        <v>29</v>
      </c>
      <c r="E1925" s="17">
        <v>597.66</v>
      </c>
      <c r="F1925" s="16">
        <v>0.08</v>
      </c>
      <c r="G1925" s="15" t="s">
        <v>32</v>
      </c>
      <c r="H1925" s="18">
        <v>-178</v>
      </c>
      <c r="I1925" s="19">
        <v>21.66</v>
      </c>
      <c r="J1925" s="19">
        <v>13.99</v>
      </c>
      <c r="K1925" s="19" t="s">
        <v>44</v>
      </c>
      <c r="L1925" s="19" t="s">
        <v>89</v>
      </c>
      <c r="M1925" s="15" t="s">
        <v>1341</v>
      </c>
      <c r="N1925" s="15" t="s">
        <v>36</v>
      </c>
      <c r="O1925" s="15" t="s">
        <v>176</v>
      </c>
      <c r="P1925" s="20" t="s">
        <v>1695</v>
      </c>
      <c r="Q1925" s="15" t="s">
        <v>57</v>
      </c>
      <c r="R1925" s="4"/>
      <c r="S1925" s="4"/>
    </row>
    <row r="1926" spans="1:19" ht="21" customHeight="1" x14ac:dyDescent="0.25">
      <c r="A1926" s="14">
        <f>DATE(2012,12,31)-858</f>
        <v>40416</v>
      </c>
      <c r="B1926" s="15" t="s">
        <v>502</v>
      </c>
      <c r="C1926" s="15" t="s">
        <v>51</v>
      </c>
      <c r="D1926" s="16">
        <v>45</v>
      </c>
      <c r="E1926" s="17">
        <v>1403.741</v>
      </c>
      <c r="F1926" s="16">
        <v>0.01</v>
      </c>
      <c r="G1926" s="15" t="s">
        <v>32</v>
      </c>
      <c r="H1926" s="18">
        <v>622.25099999999998</v>
      </c>
      <c r="I1926" s="19">
        <v>35.99</v>
      </c>
      <c r="J1926" s="19">
        <v>3.3</v>
      </c>
      <c r="K1926" s="19" t="s">
        <v>44</v>
      </c>
      <c r="L1926" s="19" t="s">
        <v>80</v>
      </c>
      <c r="M1926" s="15" t="s">
        <v>1200</v>
      </c>
      <c r="N1926" s="15" t="s">
        <v>64</v>
      </c>
      <c r="O1926" s="15" t="s">
        <v>65</v>
      </c>
      <c r="P1926" s="20" t="s">
        <v>1720</v>
      </c>
      <c r="Q1926" s="15" t="s">
        <v>49</v>
      </c>
      <c r="R1926" s="4"/>
      <c r="S1926" s="4"/>
    </row>
    <row r="1927" spans="1:19" ht="21" customHeight="1" x14ac:dyDescent="0.25">
      <c r="A1927" s="14">
        <f>DATE(2012,12,31)-858</f>
        <v>40416</v>
      </c>
      <c r="B1927" s="15" t="s">
        <v>502</v>
      </c>
      <c r="C1927" s="15" t="s">
        <v>51</v>
      </c>
      <c r="D1927" s="16">
        <v>10</v>
      </c>
      <c r="E1927" s="17">
        <v>1246.3634999999999</v>
      </c>
      <c r="F1927" s="16">
        <v>0.06</v>
      </c>
      <c r="G1927" s="15" t="s">
        <v>32</v>
      </c>
      <c r="H1927" s="18">
        <v>-339.10799999999995</v>
      </c>
      <c r="I1927" s="19">
        <v>155.99</v>
      </c>
      <c r="J1927" s="19">
        <v>8.99</v>
      </c>
      <c r="K1927" s="19" t="s">
        <v>44</v>
      </c>
      <c r="L1927" s="19" t="s">
        <v>89</v>
      </c>
      <c r="M1927" s="15" t="s">
        <v>1341</v>
      </c>
      <c r="N1927" s="15" t="s">
        <v>64</v>
      </c>
      <c r="O1927" s="15" t="s">
        <v>65</v>
      </c>
      <c r="P1927" s="20" t="s">
        <v>438</v>
      </c>
      <c r="Q1927" s="15" t="s">
        <v>83</v>
      </c>
      <c r="R1927" s="4"/>
      <c r="S1927" s="4"/>
    </row>
    <row r="1928" spans="1:19" ht="21" customHeight="1" x14ac:dyDescent="0.25">
      <c r="A1928" s="14">
        <f>DATE(2012,12,31)-858</f>
        <v>40416</v>
      </c>
      <c r="B1928" s="15" t="s">
        <v>502</v>
      </c>
      <c r="C1928" s="15" t="s">
        <v>51</v>
      </c>
      <c r="D1928" s="16">
        <v>12</v>
      </c>
      <c r="E1928" s="17">
        <v>2050.712</v>
      </c>
      <c r="F1928" s="16">
        <v>0.05</v>
      </c>
      <c r="G1928" s="15" t="s">
        <v>58</v>
      </c>
      <c r="H1928" s="18">
        <v>-381.04</v>
      </c>
      <c r="I1928" s="19">
        <v>218.75</v>
      </c>
      <c r="J1928" s="19">
        <v>69.64</v>
      </c>
      <c r="K1928" s="19" t="s">
        <v>97</v>
      </c>
      <c r="L1928" s="19" t="s">
        <v>98</v>
      </c>
      <c r="M1928" s="15" t="s">
        <v>1162</v>
      </c>
      <c r="N1928" s="15" t="s">
        <v>54</v>
      </c>
      <c r="O1928" s="15" t="s">
        <v>61</v>
      </c>
      <c r="P1928" s="20" t="s">
        <v>425</v>
      </c>
      <c r="Q1928" s="15" t="s">
        <v>63</v>
      </c>
      <c r="R1928" s="4"/>
      <c r="S1928" s="4"/>
    </row>
    <row r="1929" spans="1:19" ht="21" customHeight="1" x14ac:dyDescent="0.25">
      <c r="A1929" s="14">
        <f>DATE(2012,12,31)-631</f>
        <v>40643</v>
      </c>
      <c r="B1929" s="15" t="s">
        <v>30</v>
      </c>
      <c r="C1929" s="15" t="s">
        <v>43</v>
      </c>
      <c r="D1929" s="16">
        <v>30</v>
      </c>
      <c r="E1929" s="17">
        <v>501.32</v>
      </c>
      <c r="F1929" s="16">
        <v>0.04</v>
      </c>
      <c r="G1929" s="15" t="s">
        <v>32</v>
      </c>
      <c r="H1929" s="18">
        <v>-119.0825</v>
      </c>
      <c r="I1929" s="19">
        <v>15.99</v>
      </c>
      <c r="J1929" s="19">
        <v>13.18</v>
      </c>
      <c r="K1929" s="19" t="s">
        <v>124</v>
      </c>
      <c r="L1929" s="19" t="s">
        <v>164</v>
      </c>
      <c r="M1929" s="15" t="s">
        <v>1228</v>
      </c>
      <c r="N1929" s="15" t="s">
        <v>36</v>
      </c>
      <c r="O1929" s="15" t="s">
        <v>170</v>
      </c>
      <c r="P1929" s="20" t="s">
        <v>479</v>
      </c>
      <c r="Q1929" s="15" t="s">
        <v>83</v>
      </c>
      <c r="R1929" s="4"/>
      <c r="S1929" s="4"/>
    </row>
    <row r="1930" spans="1:19" ht="21" customHeight="1" x14ac:dyDescent="0.25">
      <c r="A1930" s="14">
        <f>DATE(2012,12,31)-631</f>
        <v>40643</v>
      </c>
      <c r="B1930" s="15" t="s">
        <v>30</v>
      </c>
      <c r="C1930" s="15" t="s">
        <v>43</v>
      </c>
      <c r="D1930" s="16">
        <v>23</v>
      </c>
      <c r="E1930" s="17">
        <v>275.16000000000003</v>
      </c>
      <c r="F1930" s="16">
        <v>0.05</v>
      </c>
      <c r="G1930" s="15" t="s">
        <v>101</v>
      </c>
      <c r="H1930" s="18">
        <v>43.35</v>
      </c>
      <c r="I1930" s="19">
        <v>11.34</v>
      </c>
      <c r="J1930" s="19">
        <v>5.01</v>
      </c>
      <c r="K1930" s="19" t="s">
        <v>69</v>
      </c>
      <c r="L1930" s="19" t="s">
        <v>70</v>
      </c>
      <c r="M1930" s="15" t="s">
        <v>1492</v>
      </c>
      <c r="N1930" s="15" t="s">
        <v>36</v>
      </c>
      <c r="O1930" s="15" t="s">
        <v>117</v>
      </c>
      <c r="P1930" s="20" t="s">
        <v>1425</v>
      </c>
      <c r="Q1930" s="15" t="s">
        <v>83</v>
      </c>
      <c r="R1930" s="4"/>
      <c r="S1930" s="4"/>
    </row>
    <row r="1931" spans="1:19" ht="21" customHeight="1" x14ac:dyDescent="0.25">
      <c r="A1931" s="14">
        <f>DATE(2012,12,31)-631</f>
        <v>40643</v>
      </c>
      <c r="B1931" s="15" t="s">
        <v>30</v>
      </c>
      <c r="C1931" s="15" t="s">
        <v>43</v>
      </c>
      <c r="D1931" s="16">
        <v>37</v>
      </c>
      <c r="E1931" s="17">
        <v>1302.99</v>
      </c>
      <c r="F1931" s="16">
        <v>0.02</v>
      </c>
      <c r="G1931" s="15" t="s">
        <v>32</v>
      </c>
      <c r="H1931" s="18">
        <v>545.49</v>
      </c>
      <c r="I1931" s="19">
        <v>35.44</v>
      </c>
      <c r="J1931" s="19">
        <v>5.09</v>
      </c>
      <c r="K1931" s="19" t="s">
        <v>33</v>
      </c>
      <c r="L1931" s="19" t="s">
        <v>93</v>
      </c>
      <c r="M1931" s="15" t="s">
        <v>94</v>
      </c>
      <c r="N1931" s="15" t="s">
        <v>36</v>
      </c>
      <c r="O1931" s="15" t="s">
        <v>117</v>
      </c>
      <c r="P1931" s="20" t="s">
        <v>1298</v>
      </c>
      <c r="Q1931" s="15" t="s">
        <v>83</v>
      </c>
      <c r="R1931" s="4"/>
      <c r="S1931" s="4"/>
    </row>
    <row r="1932" spans="1:19" ht="21" customHeight="1" x14ac:dyDescent="0.25">
      <c r="A1932" s="14">
        <f>DATE(2012,12,31)-761</f>
        <v>40513</v>
      </c>
      <c r="B1932" s="15" t="s">
        <v>313</v>
      </c>
      <c r="C1932" s="15" t="s">
        <v>85</v>
      </c>
      <c r="D1932" s="16">
        <v>5</v>
      </c>
      <c r="E1932" s="17">
        <v>118.06</v>
      </c>
      <c r="F1932" s="16">
        <v>0.05</v>
      </c>
      <c r="G1932" s="15" t="s">
        <v>32</v>
      </c>
      <c r="H1932" s="18">
        <v>2.63</v>
      </c>
      <c r="I1932" s="19">
        <v>22.23</v>
      </c>
      <c r="J1932" s="19">
        <v>5.08</v>
      </c>
      <c r="K1932" s="19" t="s">
        <v>33</v>
      </c>
      <c r="L1932" s="19" t="s">
        <v>145</v>
      </c>
      <c r="M1932" s="15" t="s">
        <v>1555</v>
      </c>
      <c r="N1932" s="15" t="s">
        <v>54</v>
      </c>
      <c r="O1932" s="15" t="s">
        <v>55</v>
      </c>
      <c r="P1932" s="20" t="s">
        <v>1139</v>
      </c>
      <c r="Q1932" s="15" t="s">
        <v>49</v>
      </c>
      <c r="R1932" s="4"/>
      <c r="S1932" s="4"/>
    </row>
    <row r="1933" spans="1:19" ht="21" customHeight="1" x14ac:dyDescent="0.25">
      <c r="A1933" s="14">
        <f>DATE(2012,12,31)-1100</f>
        <v>40174</v>
      </c>
      <c r="B1933" s="15" t="s">
        <v>833</v>
      </c>
      <c r="C1933" s="15" t="s">
        <v>31</v>
      </c>
      <c r="D1933" s="16">
        <v>19</v>
      </c>
      <c r="E1933" s="17">
        <v>55.27</v>
      </c>
      <c r="F1933" s="16">
        <v>0.05</v>
      </c>
      <c r="G1933" s="15" t="s">
        <v>32</v>
      </c>
      <c r="H1933" s="18">
        <v>19.12</v>
      </c>
      <c r="I1933" s="19">
        <v>2.89</v>
      </c>
      <c r="J1933" s="19">
        <v>0.5</v>
      </c>
      <c r="K1933" s="19" t="s">
        <v>33</v>
      </c>
      <c r="L1933" s="19" t="s">
        <v>59</v>
      </c>
      <c r="M1933" s="15" t="s">
        <v>1361</v>
      </c>
      <c r="N1933" s="15" t="s">
        <v>36</v>
      </c>
      <c r="O1933" s="15" t="s">
        <v>114</v>
      </c>
      <c r="P1933" s="20" t="s">
        <v>115</v>
      </c>
      <c r="Q1933" s="15" t="s">
        <v>83</v>
      </c>
      <c r="R1933" s="4"/>
      <c r="S1933" s="4"/>
    </row>
    <row r="1934" spans="1:19" ht="21" customHeight="1" x14ac:dyDescent="0.25">
      <c r="A1934" s="14">
        <f>DATE(2012,12,31)-1381</f>
        <v>39893</v>
      </c>
      <c r="B1934" s="15" t="s">
        <v>1423</v>
      </c>
      <c r="C1934" s="15" t="s">
        <v>51</v>
      </c>
      <c r="D1934" s="16">
        <v>30</v>
      </c>
      <c r="E1934" s="17">
        <v>186.79</v>
      </c>
      <c r="F1934" s="16">
        <v>0.09</v>
      </c>
      <c r="G1934" s="15" t="s">
        <v>32</v>
      </c>
      <c r="H1934" s="18">
        <v>-88.6</v>
      </c>
      <c r="I1934" s="19">
        <v>6.48</v>
      </c>
      <c r="J1934" s="19">
        <v>6.35</v>
      </c>
      <c r="K1934" s="19" t="s">
        <v>33</v>
      </c>
      <c r="L1934" s="19" t="s">
        <v>34</v>
      </c>
      <c r="M1934" s="15" t="s">
        <v>1716</v>
      </c>
      <c r="N1934" s="15" t="s">
        <v>36</v>
      </c>
      <c r="O1934" s="15" t="s">
        <v>117</v>
      </c>
      <c r="P1934" s="20" t="s">
        <v>1122</v>
      </c>
      <c r="Q1934" s="15" t="s">
        <v>83</v>
      </c>
      <c r="R1934" s="4"/>
      <c r="S1934" s="4"/>
    </row>
    <row r="1935" spans="1:19" ht="21" customHeight="1" x14ac:dyDescent="0.25">
      <c r="A1935" s="14">
        <f>DATE(2012,12,31)-1106</f>
        <v>40168</v>
      </c>
      <c r="B1935" s="15" t="s">
        <v>1404</v>
      </c>
      <c r="C1935" s="15" t="s">
        <v>51</v>
      </c>
      <c r="D1935" s="16">
        <v>27</v>
      </c>
      <c r="E1935" s="17">
        <v>2609.5300000000002</v>
      </c>
      <c r="F1935" s="16">
        <v>0</v>
      </c>
      <c r="G1935" s="15" t="s">
        <v>32</v>
      </c>
      <c r="H1935" s="18">
        <v>911.66</v>
      </c>
      <c r="I1935" s="19">
        <v>90.48</v>
      </c>
      <c r="J1935" s="19">
        <v>19.989999999999998</v>
      </c>
      <c r="K1935" s="19" t="s">
        <v>33</v>
      </c>
      <c r="L1935" s="19" t="s">
        <v>34</v>
      </c>
      <c r="M1935" s="15" t="s">
        <v>1716</v>
      </c>
      <c r="N1935" s="15" t="s">
        <v>36</v>
      </c>
      <c r="O1935" s="15" t="s">
        <v>189</v>
      </c>
      <c r="P1935" s="20" t="s">
        <v>963</v>
      </c>
      <c r="Q1935" s="15" t="s">
        <v>83</v>
      </c>
      <c r="R1935" s="4"/>
      <c r="S1935" s="4"/>
    </row>
    <row r="1936" spans="1:19" ht="21" customHeight="1" x14ac:dyDescent="0.25">
      <c r="A1936" s="14">
        <f>DATE(2012,12,31)-873</f>
        <v>40401</v>
      </c>
      <c r="B1936" s="15" t="s">
        <v>1721</v>
      </c>
      <c r="C1936" s="15" t="s">
        <v>51</v>
      </c>
      <c r="D1936" s="16">
        <v>7</v>
      </c>
      <c r="E1936" s="17">
        <v>37.299999999999997</v>
      </c>
      <c r="F1936" s="16">
        <v>0</v>
      </c>
      <c r="G1936" s="15" t="s">
        <v>32</v>
      </c>
      <c r="H1936" s="18">
        <v>5.03</v>
      </c>
      <c r="I1936" s="19">
        <v>4.84</v>
      </c>
      <c r="J1936" s="19">
        <v>0.71</v>
      </c>
      <c r="K1936" s="19" t="s">
        <v>33</v>
      </c>
      <c r="L1936" s="19" t="s">
        <v>59</v>
      </c>
      <c r="M1936" s="15" t="s">
        <v>1361</v>
      </c>
      <c r="N1936" s="15" t="s">
        <v>36</v>
      </c>
      <c r="O1936" s="15" t="s">
        <v>77</v>
      </c>
      <c r="P1936" s="20" t="s">
        <v>901</v>
      </c>
      <c r="Q1936" s="15" t="s">
        <v>79</v>
      </c>
      <c r="R1936" s="4"/>
      <c r="S1936" s="4"/>
    </row>
    <row r="1937" spans="1:19" ht="21" customHeight="1" x14ac:dyDescent="0.25">
      <c r="A1937" s="14">
        <f>DATE(2012,12,31)-484</f>
        <v>40790</v>
      </c>
      <c r="B1937" s="15" t="s">
        <v>1722</v>
      </c>
      <c r="C1937" s="15" t="s">
        <v>85</v>
      </c>
      <c r="D1937" s="16">
        <v>49</v>
      </c>
      <c r="E1937" s="17">
        <v>12979.1</v>
      </c>
      <c r="F1937" s="16">
        <v>0.03</v>
      </c>
      <c r="G1937" s="15" t="s">
        <v>58</v>
      </c>
      <c r="H1937" s="18">
        <v>2820.44</v>
      </c>
      <c r="I1937" s="19">
        <v>258.98</v>
      </c>
      <c r="J1937" s="19">
        <v>54.31</v>
      </c>
      <c r="K1937" s="19" t="s">
        <v>33</v>
      </c>
      <c r="L1937" s="19" t="s">
        <v>145</v>
      </c>
      <c r="M1937" s="15" t="s">
        <v>1555</v>
      </c>
      <c r="N1937" s="15" t="s">
        <v>54</v>
      </c>
      <c r="O1937" s="15" t="s">
        <v>252</v>
      </c>
      <c r="P1937" s="20" t="s">
        <v>1723</v>
      </c>
      <c r="Q1937" s="15" t="s">
        <v>181</v>
      </c>
      <c r="R1937" s="4"/>
      <c r="S1937" s="4"/>
    </row>
    <row r="1938" spans="1:19" ht="21" customHeight="1" x14ac:dyDescent="0.25">
      <c r="A1938" s="14">
        <f>DATE(2012,12,31)-248</f>
        <v>41026</v>
      </c>
      <c r="B1938" s="15" t="s">
        <v>1724</v>
      </c>
      <c r="C1938" s="15" t="s">
        <v>51</v>
      </c>
      <c r="D1938" s="16">
        <v>47</v>
      </c>
      <c r="E1938" s="17">
        <v>1446.97</v>
      </c>
      <c r="F1938" s="16">
        <v>0</v>
      </c>
      <c r="G1938" s="15" t="s">
        <v>32</v>
      </c>
      <c r="H1938" s="18">
        <v>531.47</v>
      </c>
      <c r="I1938" s="19">
        <v>29.89</v>
      </c>
      <c r="J1938" s="19">
        <v>1.99</v>
      </c>
      <c r="K1938" s="19" t="s">
        <v>33</v>
      </c>
      <c r="L1938" s="19" t="s">
        <v>59</v>
      </c>
      <c r="M1938" s="15" t="s">
        <v>1361</v>
      </c>
      <c r="N1938" s="15" t="s">
        <v>64</v>
      </c>
      <c r="O1938" s="15" t="s">
        <v>72</v>
      </c>
      <c r="P1938" s="20" t="s">
        <v>825</v>
      </c>
      <c r="Q1938" s="15" t="s">
        <v>49</v>
      </c>
      <c r="R1938" s="4"/>
      <c r="S1938" s="4"/>
    </row>
    <row r="1939" spans="1:19" ht="21" customHeight="1" x14ac:dyDescent="0.25">
      <c r="A1939" s="14">
        <f>DATE(2012,12,31)-265</f>
        <v>41009</v>
      </c>
      <c r="B1939" s="15" t="s">
        <v>961</v>
      </c>
      <c r="C1939" s="15" t="s">
        <v>85</v>
      </c>
      <c r="D1939" s="16">
        <v>31</v>
      </c>
      <c r="E1939" s="17">
        <v>89.18</v>
      </c>
      <c r="F1939" s="16">
        <v>0.04</v>
      </c>
      <c r="G1939" s="15" t="s">
        <v>32</v>
      </c>
      <c r="H1939" s="18">
        <v>21.73</v>
      </c>
      <c r="I1939" s="19">
        <v>2.94</v>
      </c>
      <c r="J1939" s="19">
        <v>0.81</v>
      </c>
      <c r="K1939" s="19" t="s">
        <v>33</v>
      </c>
      <c r="L1939" s="19" t="s">
        <v>145</v>
      </c>
      <c r="M1939" s="15" t="s">
        <v>1555</v>
      </c>
      <c r="N1939" s="15" t="s">
        <v>36</v>
      </c>
      <c r="O1939" s="15" t="s">
        <v>77</v>
      </c>
      <c r="P1939" s="20" t="s">
        <v>1584</v>
      </c>
      <c r="Q1939" s="15" t="s">
        <v>79</v>
      </c>
      <c r="R1939" s="4"/>
      <c r="S1939" s="4"/>
    </row>
    <row r="1940" spans="1:19" ht="21" customHeight="1" x14ac:dyDescent="0.25">
      <c r="A1940" s="14">
        <f>DATE(2012,12,31)-265</f>
        <v>41009</v>
      </c>
      <c r="B1940" s="15" t="s">
        <v>961</v>
      </c>
      <c r="C1940" s="15" t="s">
        <v>85</v>
      </c>
      <c r="D1940" s="16">
        <v>50</v>
      </c>
      <c r="E1940" s="17">
        <v>1540.2850000000001</v>
      </c>
      <c r="F1940" s="16">
        <v>0.05</v>
      </c>
      <c r="G1940" s="15" t="s">
        <v>32</v>
      </c>
      <c r="H1940" s="18">
        <v>829.64700000000005</v>
      </c>
      <c r="I1940" s="19">
        <v>35.99</v>
      </c>
      <c r="J1940" s="19">
        <v>1.25</v>
      </c>
      <c r="K1940" s="19" t="s">
        <v>33</v>
      </c>
      <c r="L1940" s="19" t="s">
        <v>145</v>
      </c>
      <c r="M1940" s="15" t="s">
        <v>1555</v>
      </c>
      <c r="N1940" s="15" t="s">
        <v>64</v>
      </c>
      <c r="O1940" s="15" t="s">
        <v>65</v>
      </c>
      <c r="P1940" s="20" t="s">
        <v>1725</v>
      </c>
      <c r="Q1940" s="15" t="s">
        <v>49</v>
      </c>
      <c r="R1940" s="4"/>
      <c r="S1940" s="4"/>
    </row>
    <row r="1941" spans="1:19" ht="21" customHeight="1" x14ac:dyDescent="0.25">
      <c r="A1941" s="14">
        <f>DATE(2012,12,31)-772</f>
        <v>40502</v>
      </c>
      <c r="B1941" s="15" t="s">
        <v>1310</v>
      </c>
      <c r="C1941" s="15" t="s">
        <v>51</v>
      </c>
      <c r="D1941" s="16">
        <v>44</v>
      </c>
      <c r="E1941" s="17">
        <v>614.34</v>
      </c>
      <c r="F1941" s="16">
        <v>0.02</v>
      </c>
      <c r="G1941" s="15" t="s">
        <v>32</v>
      </c>
      <c r="H1941" s="18">
        <v>-171.7</v>
      </c>
      <c r="I1941" s="19">
        <v>14.03</v>
      </c>
      <c r="J1941" s="19">
        <v>9.3699999999999992</v>
      </c>
      <c r="K1941" s="19" t="s">
        <v>33</v>
      </c>
      <c r="L1941" s="19" t="s">
        <v>145</v>
      </c>
      <c r="M1941" s="15" t="s">
        <v>1555</v>
      </c>
      <c r="N1941" s="15" t="s">
        <v>36</v>
      </c>
      <c r="O1941" s="15" t="s">
        <v>37</v>
      </c>
      <c r="P1941" s="20" t="s">
        <v>969</v>
      </c>
      <c r="Q1941" s="15" t="s">
        <v>83</v>
      </c>
      <c r="R1941" s="4"/>
      <c r="S1941" s="4"/>
    </row>
    <row r="1942" spans="1:19" ht="21" customHeight="1" x14ac:dyDescent="0.25">
      <c r="A1942" s="14">
        <f>DATE(2012,12,31)-1179</f>
        <v>40095</v>
      </c>
      <c r="B1942" s="15" t="s">
        <v>1726</v>
      </c>
      <c r="C1942" s="15" t="s">
        <v>85</v>
      </c>
      <c r="D1942" s="16">
        <v>25</v>
      </c>
      <c r="E1942" s="17">
        <v>901.32</v>
      </c>
      <c r="F1942" s="16">
        <v>0.1</v>
      </c>
      <c r="G1942" s="15" t="s">
        <v>101</v>
      </c>
      <c r="H1942" s="18">
        <v>338.01</v>
      </c>
      <c r="I1942" s="19">
        <v>37.94</v>
      </c>
      <c r="J1942" s="19">
        <v>5.08</v>
      </c>
      <c r="K1942" s="19" t="s">
        <v>33</v>
      </c>
      <c r="L1942" s="19" t="s">
        <v>59</v>
      </c>
      <c r="M1942" s="15" t="s">
        <v>1361</v>
      </c>
      <c r="N1942" s="15" t="s">
        <v>36</v>
      </c>
      <c r="O1942" s="15" t="s">
        <v>117</v>
      </c>
      <c r="P1942" s="20" t="s">
        <v>902</v>
      </c>
      <c r="Q1942" s="15" t="s">
        <v>79</v>
      </c>
      <c r="R1942" s="4"/>
      <c r="S1942" s="4"/>
    </row>
    <row r="1943" spans="1:19" ht="21" customHeight="1" x14ac:dyDescent="0.25">
      <c r="A1943" s="14">
        <f>DATE(2012,12,31)-1179</f>
        <v>40095</v>
      </c>
      <c r="B1943" s="15" t="s">
        <v>1726</v>
      </c>
      <c r="C1943" s="15" t="s">
        <v>85</v>
      </c>
      <c r="D1943" s="16">
        <v>24</v>
      </c>
      <c r="E1943" s="17">
        <v>207.21</v>
      </c>
      <c r="F1943" s="16">
        <v>0.06</v>
      </c>
      <c r="G1943" s="15" t="s">
        <v>32</v>
      </c>
      <c r="H1943" s="18">
        <v>-78.64</v>
      </c>
      <c r="I1943" s="19">
        <v>8.57</v>
      </c>
      <c r="J1943" s="19">
        <v>6.14</v>
      </c>
      <c r="K1943" s="19" t="s">
        <v>69</v>
      </c>
      <c r="L1943" s="19" t="s">
        <v>70</v>
      </c>
      <c r="M1943" s="15" t="s">
        <v>1492</v>
      </c>
      <c r="N1943" s="15" t="s">
        <v>36</v>
      </c>
      <c r="O1943" s="15" t="s">
        <v>47</v>
      </c>
      <c r="P1943" s="20" t="s">
        <v>1727</v>
      </c>
      <c r="Q1943" s="15" t="s">
        <v>49</v>
      </c>
      <c r="R1943" s="4"/>
      <c r="S1943" s="4"/>
    </row>
    <row r="1944" spans="1:19" ht="21" customHeight="1" x14ac:dyDescent="0.25">
      <c r="A1944" s="14">
        <f>DATE(2012,12,31)-176</f>
        <v>41098</v>
      </c>
      <c r="B1944" s="15" t="s">
        <v>394</v>
      </c>
      <c r="C1944" s="15" t="s">
        <v>51</v>
      </c>
      <c r="D1944" s="16">
        <v>28</v>
      </c>
      <c r="E1944" s="17">
        <v>4332.3</v>
      </c>
      <c r="F1944" s="16">
        <v>0.08</v>
      </c>
      <c r="G1944" s="15" t="s">
        <v>58</v>
      </c>
      <c r="H1944" s="18">
        <v>2066.12</v>
      </c>
      <c r="I1944" s="19">
        <v>200.97</v>
      </c>
      <c r="J1944" s="19">
        <v>15.59</v>
      </c>
      <c r="K1944" s="19" t="s">
        <v>69</v>
      </c>
      <c r="L1944" s="19" t="s">
        <v>75</v>
      </c>
      <c r="M1944" s="15" t="s">
        <v>1569</v>
      </c>
      <c r="N1944" s="15" t="s">
        <v>64</v>
      </c>
      <c r="O1944" s="15" t="s">
        <v>122</v>
      </c>
      <c r="P1944" s="20" t="s">
        <v>1728</v>
      </c>
      <c r="Q1944" s="15" t="s">
        <v>181</v>
      </c>
      <c r="R1944" s="4"/>
      <c r="S1944" s="4"/>
    </row>
    <row r="1945" spans="1:19" ht="21" customHeight="1" x14ac:dyDescent="0.25">
      <c r="A1945" s="14">
        <f>DATE(2012,12,31)-176</f>
        <v>41098</v>
      </c>
      <c r="B1945" s="15" t="s">
        <v>394</v>
      </c>
      <c r="C1945" s="15" t="s">
        <v>51</v>
      </c>
      <c r="D1945" s="16">
        <v>39</v>
      </c>
      <c r="E1945" s="17">
        <v>220.09</v>
      </c>
      <c r="F1945" s="16">
        <v>0.04</v>
      </c>
      <c r="G1945" s="15" t="s">
        <v>32</v>
      </c>
      <c r="H1945" s="18">
        <v>-1795.74</v>
      </c>
      <c r="I1945" s="19">
        <v>4.4800000000000004</v>
      </c>
      <c r="J1945" s="19">
        <v>49</v>
      </c>
      <c r="K1945" s="19" t="s">
        <v>69</v>
      </c>
      <c r="L1945" s="19" t="s">
        <v>75</v>
      </c>
      <c r="M1945" s="15" t="s">
        <v>1569</v>
      </c>
      <c r="N1945" s="15" t="s">
        <v>36</v>
      </c>
      <c r="O1945" s="15" t="s">
        <v>176</v>
      </c>
      <c r="P1945" s="20" t="s">
        <v>314</v>
      </c>
      <c r="Q1945" s="15" t="s">
        <v>39</v>
      </c>
      <c r="R1945" s="4"/>
      <c r="S1945" s="4"/>
    </row>
    <row r="1946" spans="1:19" ht="21" customHeight="1" x14ac:dyDescent="0.25">
      <c r="A1946" s="14">
        <f>DATE(2012,12,31)-176</f>
        <v>41098</v>
      </c>
      <c r="B1946" s="15" t="s">
        <v>394</v>
      </c>
      <c r="C1946" s="15" t="s">
        <v>51</v>
      </c>
      <c r="D1946" s="16">
        <v>49</v>
      </c>
      <c r="E1946" s="17">
        <v>1220.23</v>
      </c>
      <c r="F1946" s="16">
        <v>0</v>
      </c>
      <c r="G1946" s="15" t="s">
        <v>32</v>
      </c>
      <c r="H1946" s="18">
        <v>172.62</v>
      </c>
      <c r="I1946" s="19">
        <v>22.84</v>
      </c>
      <c r="J1946" s="19">
        <v>11.54</v>
      </c>
      <c r="K1946" s="19" t="s">
        <v>69</v>
      </c>
      <c r="L1946" s="19" t="s">
        <v>70</v>
      </c>
      <c r="M1946" s="15" t="s">
        <v>1492</v>
      </c>
      <c r="N1946" s="15" t="s">
        <v>36</v>
      </c>
      <c r="O1946" s="15" t="s">
        <v>117</v>
      </c>
      <c r="P1946" s="20" t="s">
        <v>203</v>
      </c>
      <c r="Q1946" s="15" t="s">
        <v>83</v>
      </c>
      <c r="R1946" s="4"/>
      <c r="S1946" s="4"/>
    </row>
    <row r="1947" spans="1:19" ht="21" customHeight="1" x14ac:dyDescent="0.25">
      <c r="A1947" s="14">
        <f>DATE(2012,12,31)-176</f>
        <v>41098</v>
      </c>
      <c r="B1947" s="15" t="s">
        <v>394</v>
      </c>
      <c r="C1947" s="15" t="s">
        <v>51</v>
      </c>
      <c r="D1947" s="16">
        <v>27</v>
      </c>
      <c r="E1947" s="17">
        <v>6152.8</v>
      </c>
      <c r="F1947" s="16">
        <v>0.04</v>
      </c>
      <c r="G1947" s="15" t="s">
        <v>58</v>
      </c>
      <c r="H1947" s="18">
        <v>554.54999999999995</v>
      </c>
      <c r="I1947" s="19">
        <v>225.02</v>
      </c>
      <c r="J1947" s="19">
        <v>28.66</v>
      </c>
      <c r="K1947" s="19" t="s">
        <v>69</v>
      </c>
      <c r="L1947" s="19" t="s">
        <v>215</v>
      </c>
      <c r="M1947" s="15" t="s">
        <v>1704</v>
      </c>
      <c r="N1947" s="15" t="s">
        <v>36</v>
      </c>
      <c r="O1947" s="15" t="s">
        <v>37</v>
      </c>
      <c r="P1947" s="20" t="s">
        <v>722</v>
      </c>
      <c r="Q1947" s="15" t="s">
        <v>181</v>
      </c>
      <c r="R1947" s="4"/>
      <c r="S1947" s="4"/>
    </row>
    <row r="1948" spans="1:19" ht="21" customHeight="1" x14ac:dyDescent="0.25">
      <c r="A1948" s="14">
        <f>DATE(2012,12,31)-1223</f>
        <v>40051</v>
      </c>
      <c r="B1948" s="15" t="s">
        <v>1729</v>
      </c>
      <c r="C1948" s="15" t="s">
        <v>31</v>
      </c>
      <c r="D1948" s="16">
        <v>26</v>
      </c>
      <c r="E1948" s="17">
        <v>188.05</v>
      </c>
      <c r="F1948" s="16">
        <v>0.04</v>
      </c>
      <c r="G1948" s="15" t="s">
        <v>101</v>
      </c>
      <c r="H1948" s="18">
        <v>-21.41</v>
      </c>
      <c r="I1948" s="19">
        <v>6.48</v>
      </c>
      <c r="J1948" s="19">
        <v>5.16</v>
      </c>
      <c r="K1948" s="19" t="s">
        <v>69</v>
      </c>
      <c r="L1948" s="19" t="s">
        <v>215</v>
      </c>
      <c r="M1948" s="15" t="s">
        <v>1704</v>
      </c>
      <c r="N1948" s="15" t="s">
        <v>36</v>
      </c>
      <c r="O1948" s="15" t="s">
        <v>117</v>
      </c>
      <c r="P1948" s="20" t="s">
        <v>1730</v>
      </c>
      <c r="Q1948" s="15" t="s">
        <v>83</v>
      </c>
      <c r="R1948" s="4"/>
      <c r="S1948" s="4"/>
    </row>
    <row r="1949" spans="1:19" ht="21" customHeight="1" x14ac:dyDescent="0.25">
      <c r="A1949" s="14">
        <f>DATE(2012,12,31)-580</f>
        <v>40694</v>
      </c>
      <c r="B1949" s="15" t="s">
        <v>1537</v>
      </c>
      <c r="C1949" s="15" t="s">
        <v>85</v>
      </c>
      <c r="D1949" s="16">
        <v>32</v>
      </c>
      <c r="E1949" s="17">
        <v>381.24</v>
      </c>
      <c r="F1949" s="16">
        <v>0.04</v>
      </c>
      <c r="G1949" s="15" t="s">
        <v>32</v>
      </c>
      <c r="H1949" s="18">
        <v>67.599999999999994</v>
      </c>
      <c r="I1949" s="19">
        <v>11.34</v>
      </c>
      <c r="J1949" s="19">
        <v>5.01</v>
      </c>
      <c r="K1949" s="19" t="s">
        <v>69</v>
      </c>
      <c r="L1949" s="19" t="s">
        <v>215</v>
      </c>
      <c r="M1949" s="15" t="s">
        <v>1704</v>
      </c>
      <c r="N1949" s="15" t="s">
        <v>36</v>
      </c>
      <c r="O1949" s="15" t="s">
        <v>117</v>
      </c>
      <c r="P1949" s="20" t="s">
        <v>1425</v>
      </c>
      <c r="Q1949" s="15" t="s">
        <v>83</v>
      </c>
      <c r="R1949" s="4"/>
      <c r="S1949" s="4"/>
    </row>
    <row r="1950" spans="1:19" ht="21" customHeight="1" x14ac:dyDescent="0.25">
      <c r="A1950" s="14">
        <f>DATE(2012,12,31)-1073</f>
        <v>40201</v>
      </c>
      <c r="B1950" s="15" t="s">
        <v>1731</v>
      </c>
      <c r="C1950" s="15" t="s">
        <v>31</v>
      </c>
      <c r="D1950" s="16">
        <v>11</v>
      </c>
      <c r="E1950" s="17">
        <v>808.673</v>
      </c>
      <c r="F1950" s="16">
        <v>0.06</v>
      </c>
      <c r="G1950" s="15" t="s">
        <v>32</v>
      </c>
      <c r="H1950" s="18">
        <v>-10.67</v>
      </c>
      <c r="I1950" s="19">
        <v>85.99</v>
      </c>
      <c r="J1950" s="19">
        <v>0.99</v>
      </c>
      <c r="K1950" s="19" t="s">
        <v>111</v>
      </c>
      <c r="L1950" s="19" t="s">
        <v>112</v>
      </c>
      <c r="M1950" s="15" t="s">
        <v>1732</v>
      </c>
      <c r="N1950" s="15" t="s">
        <v>64</v>
      </c>
      <c r="O1950" s="15" t="s">
        <v>65</v>
      </c>
      <c r="P1950" s="20" t="s">
        <v>1595</v>
      </c>
      <c r="Q1950" s="15" t="s">
        <v>79</v>
      </c>
      <c r="R1950" s="4"/>
      <c r="S1950" s="4"/>
    </row>
    <row r="1951" spans="1:19" ht="21" customHeight="1" x14ac:dyDescent="0.25">
      <c r="A1951" s="14">
        <f>DATE(2012,12,31)-1367</f>
        <v>39907</v>
      </c>
      <c r="B1951" s="15" t="s">
        <v>1295</v>
      </c>
      <c r="C1951" s="15" t="s">
        <v>85</v>
      </c>
      <c r="D1951" s="16">
        <v>47</v>
      </c>
      <c r="E1951" s="17">
        <v>228.46</v>
      </c>
      <c r="F1951" s="16">
        <v>0.01</v>
      </c>
      <c r="G1951" s="15" t="s">
        <v>32</v>
      </c>
      <c r="H1951" s="18">
        <v>112.06</v>
      </c>
      <c r="I1951" s="19">
        <v>4.91</v>
      </c>
      <c r="J1951" s="19">
        <v>0.5</v>
      </c>
      <c r="K1951" s="19" t="s">
        <v>44</v>
      </c>
      <c r="L1951" s="19" t="s">
        <v>45</v>
      </c>
      <c r="M1951" s="15" t="s">
        <v>1572</v>
      </c>
      <c r="N1951" s="15" t="s">
        <v>36</v>
      </c>
      <c r="O1951" s="15" t="s">
        <v>114</v>
      </c>
      <c r="P1951" s="20" t="s">
        <v>400</v>
      </c>
      <c r="Q1951" s="15" t="s">
        <v>83</v>
      </c>
      <c r="R1951" s="4"/>
      <c r="S1951" s="4"/>
    </row>
    <row r="1952" spans="1:19" ht="21" customHeight="1" x14ac:dyDescent="0.25">
      <c r="A1952" s="14">
        <f>DATE(2012,12,31)-1367</f>
        <v>39907</v>
      </c>
      <c r="B1952" s="15" t="s">
        <v>1295</v>
      </c>
      <c r="C1952" s="15" t="s">
        <v>85</v>
      </c>
      <c r="D1952" s="16">
        <v>19</v>
      </c>
      <c r="E1952" s="17">
        <v>77.61</v>
      </c>
      <c r="F1952" s="16">
        <v>0.09</v>
      </c>
      <c r="G1952" s="15" t="s">
        <v>101</v>
      </c>
      <c r="H1952" s="18">
        <v>16.79</v>
      </c>
      <c r="I1952" s="19">
        <v>4</v>
      </c>
      <c r="J1952" s="19">
        <v>1.3</v>
      </c>
      <c r="K1952" s="19" t="s">
        <v>44</v>
      </c>
      <c r="L1952" s="19" t="s">
        <v>80</v>
      </c>
      <c r="M1952" s="15" t="s">
        <v>1200</v>
      </c>
      <c r="N1952" s="15" t="s">
        <v>36</v>
      </c>
      <c r="O1952" s="15" t="s">
        <v>117</v>
      </c>
      <c r="P1952" s="20" t="s">
        <v>958</v>
      </c>
      <c r="Q1952" s="15" t="s">
        <v>79</v>
      </c>
      <c r="R1952" s="4"/>
      <c r="S1952" s="4"/>
    </row>
    <row r="1953" spans="1:19" ht="21" customHeight="1" x14ac:dyDescent="0.25">
      <c r="A1953" s="14">
        <f>DATE(2012,12,31)-98</f>
        <v>41176</v>
      </c>
      <c r="B1953" s="15" t="s">
        <v>1037</v>
      </c>
      <c r="C1953" s="15" t="s">
        <v>85</v>
      </c>
      <c r="D1953" s="16">
        <v>30</v>
      </c>
      <c r="E1953" s="17">
        <v>2052.8200000000002</v>
      </c>
      <c r="F1953" s="16">
        <v>0.05</v>
      </c>
      <c r="G1953" s="15" t="s">
        <v>32</v>
      </c>
      <c r="H1953" s="18">
        <v>-870.61</v>
      </c>
      <c r="I1953" s="19">
        <v>70.709999999999994</v>
      </c>
      <c r="J1953" s="19">
        <v>37.58</v>
      </c>
      <c r="K1953" s="19" t="s">
        <v>44</v>
      </c>
      <c r="L1953" s="19" t="s">
        <v>89</v>
      </c>
      <c r="M1953" s="15" t="s">
        <v>1341</v>
      </c>
      <c r="N1953" s="15" t="s">
        <v>54</v>
      </c>
      <c r="O1953" s="15" t="s">
        <v>55</v>
      </c>
      <c r="P1953" s="20" t="s">
        <v>1158</v>
      </c>
      <c r="Q1953" s="15" t="s">
        <v>79</v>
      </c>
      <c r="R1953" s="4"/>
      <c r="S1953" s="4"/>
    </row>
    <row r="1954" spans="1:19" ht="21" customHeight="1" x14ac:dyDescent="0.25">
      <c r="A1954" s="14">
        <f>DATE(2012,12,31)-447</f>
        <v>40827</v>
      </c>
      <c r="B1954" s="15" t="s">
        <v>1086</v>
      </c>
      <c r="C1954" s="15" t="s">
        <v>51</v>
      </c>
      <c r="D1954" s="16">
        <v>46</v>
      </c>
      <c r="E1954" s="17">
        <v>1905.79</v>
      </c>
      <c r="F1954" s="16">
        <v>0.01</v>
      </c>
      <c r="G1954" s="15" t="s">
        <v>32</v>
      </c>
      <c r="H1954" s="18">
        <v>675.65</v>
      </c>
      <c r="I1954" s="19">
        <v>39.479999999999997</v>
      </c>
      <c r="J1954" s="19">
        <v>1.99</v>
      </c>
      <c r="K1954" s="19" t="s">
        <v>44</v>
      </c>
      <c r="L1954" s="19" t="s">
        <v>120</v>
      </c>
      <c r="M1954" s="15" t="s">
        <v>121</v>
      </c>
      <c r="N1954" s="15" t="s">
        <v>64</v>
      </c>
      <c r="O1954" s="15" t="s">
        <v>72</v>
      </c>
      <c r="P1954" s="20" t="s">
        <v>218</v>
      </c>
      <c r="Q1954" s="15" t="s">
        <v>49</v>
      </c>
      <c r="R1954" s="4"/>
      <c r="S1954" s="4"/>
    </row>
    <row r="1955" spans="1:19" ht="21" customHeight="1" x14ac:dyDescent="0.25">
      <c r="A1955" s="14">
        <f>DATE(2012,12,31)-152</f>
        <v>41122</v>
      </c>
      <c r="B1955" s="15" t="s">
        <v>1733</v>
      </c>
      <c r="C1955" s="15" t="s">
        <v>43</v>
      </c>
      <c r="D1955" s="16">
        <v>34</v>
      </c>
      <c r="E1955" s="17">
        <v>180.27</v>
      </c>
      <c r="F1955" s="16">
        <v>0.01</v>
      </c>
      <c r="G1955" s="15" t="s">
        <v>32</v>
      </c>
      <c r="H1955" s="18">
        <v>-59.71</v>
      </c>
      <c r="I1955" s="19">
        <v>4.95</v>
      </c>
      <c r="J1955" s="19">
        <v>5.32</v>
      </c>
      <c r="K1955" s="19" t="s">
        <v>44</v>
      </c>
      <c r="L1955" s="19" t="s">
        <v>89</v>
      </c>
      <c r="M1955" s="15" t="s">
        <v>1341</v>
      </c>
      <c r="N1955" s="15" t="s">
        <v>54</v>
      </c>
      <c r="O1955" s="15" t="s">
        <v>55</v>
      </c>
      <c r="P1955" s="20" t="s">
        <v>1734</v>
      </c>
      <c r="Q1955" s="15" t="s">
        <v>83</v>
      </c>
      <c r="R1955" s="4"/>
      <c r="S1955" s="4"/>
    </row>
    <row r="1956" spans="1:19" ht="21" customHeight="1" x14ac:dyDescent="0.25">
      <c r="A1956" s="14">
        <f>DATE(2012,12,31)-152</f>
        <v>41122</v>
      </c>
      <c r="B1956" s="15" t="s">
        <v>1733</v>
      </c>
      <c r="C1956" s="15" t="s">
        <v>43</v>
      </c>
      <c r="D1956" s="16">
        <v>39</v>
      </c>
      <c r="E1956" s="17">
        <v>626.96</v>
      </c>
      <c r="F1956" s="16">
        <v>0</v>
      </c>
      <c r="G1956" s="15" t="s">
        <v>32</v>
      </c>
      <c r="H1956" s="18">
        <v>-35.92</v>
      </c>
      <c r="I1956" s="19">
        <v>14.98</v>
      </c>
      <c r="J1956" s="19">
        <v>7.69</v>
      </c>
      <c r="K1956" s="19" t="s">
        <v>44</v>
      </c>
      <c r="L1956" s="19" t="s">
        <v>120</v>
      </c>
      <c r="M1956" s="15" t="s">
        <v>121</v>
      </c>
      <c r="N1956" s="15" t="s">
        <v>36</v>
      </c>
      <c r="O1956" s="15" t="s">
        <v>37</v>
      </c>
      <c r="P1956" s="20" t="s">
        <v>1089</v>
      </c>
      <c r="Q1956" s="15" t="s">
        <v>83</v>
      </c>
      <c r="R1956" s="4"/>
      <c r="S1956" s="4"/>
    </row>
    <row r="1957" spans="1:19" ht="21" customHeight="1" x14ac:dyDescent="0.25">
      <c r="A1957" s="14">
        <f>DATE(2012,12,31)-152</f>
        <v>41122</v>
      </c>
      <c r="B1957" s="15" t="s">
        <v>1733</v>
      </c>
      <c r="C1957" s="15" t="s">
        <v>43</v>
      </c>
      <c r="D1957" s="16">
        <v>18</v>
      </c>
      <c r="E1957" s="17">
        <v>236.31</v>
      </c>
      <c r="F1957" s="16">
        <v>0.04</v>
      </c>
      <c r="G1957" s="15" t="s">
        <v>101</v>
      </c>
      <c r="H1957" s="18">
        <v>-2.2400000000000002</v>
      </c>
      <c r="I1957" s="19">
        <v>11.97</v>
      </c>
      <c r="J1957" s="19">
        <v>4.9800000000000004</v>
      </c>
      <c r="K1957" s="19" t="s">
        <v>44</v>
      </c>
      <c r="L1957" s="19" t="s">
        <v>80</v>
      </c>
      <c r="M1957" s="15" t="s">
        <v>1200</v>
      </c>
      <c r="N1957" s="15" t="s">
        <v>36</v>
      </c>
      <c r="O1957" s="15" t="s">
        <v>176</v>
      </c>
      <c r="P1957" s="20" t="s">
        <v>1735</v>
      </c>
      <c r="Q1957" s="15" t="s">
        <v>83</v>
      </c>
      <c r="R1957" s="4"/>
      <c r="S1957" s="4"/>
    </row>
    <row r="1958" spans="1:19" ht="21" customHeight="1" x14ac:dyDescent="0.25">
      <c r="A1958" s="14">
        <f>DATE(2012,12,31)-300</f>
        <v>40974</v>
      </c>
      <c r="B1958" s="15" t="s">
        <v>1362</v>
      </c>
      <c r="C1958" s="15" t="s">
        <v>51</v>
      </c>
      <c r="D1958" s="16">
        <v>24</v>
      </c>
      <c r="E1958" s="17">
        <v>170.7</v>
      </c>
      <c r="F1958" s="16">
        <v>0</v>
      </c>
      <c r="G1958" s="15" t="s">
        <v>32</v>
      </c>
      <c r="H1958" s="18">
        <v>-37.880000000000003</v>
      </c>
      <c r="I1958" s="19">
        <v>6.48</v>
      </c>
      <c r="J1958" s="19">
        <v>2.74</v>
      </c>
      <c r="K1958" s="19" t="s">
        <v>44</v>
      </c>
      <c r="L1958" s="19" t="s">
        <v>80</v>
      </c>
      <c r="M1958" s="15" t="s">
        <v>1200</v>
      </c>
      <c r="N1958" s="15" t="s">
        <v>64</v>
      </c>
      <c r="O1958" s="15" t="s">
        <v>72</v>
      </c>
      <c r="P1958" s="20" t="s">
        <v>1244</v>
      </c>
      <c r="Q1958" s="15" t="s">
        <v>49</v>
      </c>
      <c r="R1958" s="4"/>
      <c r="S1958" s="4"/>
    </row>
    <row r="1959" spans="1:19" ht="21" customHeight="1" x14ac:dyDescent="0.25">
      <c r="A1959" s="14">
        <f>DATE(2012,12,31)-300</f>
        <v>40974</v>
      </c>
      <c r="B1959" s="15" t="s">
        <v>1362</v>
      </c>
      <c r="C1959" s="15" t="s">
        <v>51</v>
      </c>
      <c r="D1959" s="16">
        <v>21</v>
      </c>
      <c r="E1959" s="17">
        <v>1839.4480000000001</v>
      </c>
      <c r="F1959" s="16">
        <v>7.0000000000000007E-2</v>
      </c>
      <c r="G1959" s="15" t="s">
        <v>32</v>
      </c>
      <c r="H1959" s="18">
        <v>-742.88</v>
      </c>
      <c r="I1959" s="19">
        <v>111.96</v>
      </c>
      <c r="J1959" s="19">
        <v>69</v>
      </c>
      <c r="K1959" s="19" t="s">
        <v>33</v>
      </c>
      <c r="L1959" s="19" t="s">
        <v>93</v>
      </c>
      <c r="M1959" s="15" t="s">
        <v>94</v>
      </c>
      <c r="N1959" s="15" t="s">
        <v>54</v>
      </c>
      <c r="O1959" s="15" t="s">
        <v>61</v>
      </c>
      <c r="P1959" s="20" t="s">
        <v>1736</v>
      </c>
      <c r="Q1959" s="15" t="s">
        <v>39</v>
      </c>
      <c r="R1959" s="4"/>
      <c r="S1959" s="4"/>
    </row>
    <row r="1960" spans="1:19" ht="21" customHeight="1" x14ac:dyDescent="0.25">
      <c r="A1960" s="14">
        <f>DATE(2012,12,31)-173</f>
        <v>41101</v>
      </c>
      <c r="B1960" s="15" t="s">
        <v>1291</v>
      </c>
      <c r="C1960" s="15" t="s">
        <v>31</v>
      </c>
      <c r="D1960" s="16">
        <v>9</v>
      </c>
      <c r="E1960" s="17">
        <v>1137.6199999999999</v>
      </c>
      <c r="F1960" s="16">
        <v>0.05</v>
      </c>
      <c r="G1960" s="15" t="s">
        <v>58</v>
      </c>
      <c r="H1960" s="18">
        <v>-284.68</v>
      </c>
      <c r="I1960" s="19">
        <v>124.49</v>
      </c>
      <c r="J1960" s="19">
        <v>51.94</v>
      </c>
      <c r="K1960" s="19" t="s">
        <v>33</v>
      </c>
      <c r="L1960" s="19" t="s">
        <v>145</v>
      </c>
      <c r="M1960" s="15" t="s">
        <v>1555</v>
      </c>
      <c r="N1960" s="15" t="s">
        <v>54</v>
      </c>
      <c r="O1960" s="15" t="s">
        <v>61</v>
      </c>
      <c r="P1960" s="20" t="s">
        <v>220</v>
      </c>
      <c r="Q1960" s="15" t="s">
        <v>63</v>
      </c>
      <c r="R1960" s="4"/>
      <c r="S1960" s="4"/>
    </row>
    <row r="1961" spans="1:19" ht="21" customHeight="1" x14ac:dyDescent="0.25">
      <c r="A1961" s="14">
        <f>DATE(2012,12,31)-939</f>
        <v>40335</v>
      </c>
      <c r="B1961" s="15" t="s">
        <v>768</v>
      </c>
      <c r="C1961" s="15" t="s">
        <v>51</v>
      </c>
      <c r="D1961" s="16">
        <v>30</v>
      </c>
      <c r="E1961" s="17">
        <v>160.68</v>
      </c>
      <c r="F1961" s="16">
        <v>0.08</v>
      </c>
      <c r="G1961" s="15" t="s">
        <v>101</v>
      </c>
      <c r="H1961" s="18">
        <v>77.75</v>
      </c>
      <c r="I1961" s="19">
        <v>4.9800000000000004</v>
      </c>
      <c r="J1961" s="19">
        <v>0.49</v>
      </c>
      <c r="K1961" s="19" t="s">
        <v>33</v>
      </c>
      <c r="L1961" s="19" t="s">
        <v>128</v>
      </c>
      <c r="M1961" s="15" t="s">
        <v>129</v>
      </c>
      <c r="N1961" s="15" t="s">
        <v>36</v>
      </c>
      <c r="O1961" s="15" t="s">
        <v>114</v>
      </c>
      <c r="P1961" s="20" t="s">
        <v>304</v>
      </c>
      <c r="Q1961" s="15" t="s">
        <v>83</v>
      </c>
      <c r="R1961" s="4"/>
      <c r="S1961" s="4"/>
    </row>
    <row r="1962" spans="1:19" ht="21" customHeight="1" x14ac:dyDescent="0.25">
      <c r="A1962" s="14">
        <f>DATE(2012,12,31)-665</f>
        <v>40609</v>
      </c>
      <c r="B1962" s="15" t="s">
        <v>831</v>
      </c>
      <c r="C1962" s="15" t="s">
        <v>51</v>
      </c>
      <c r="D1962" s="16">
        <v>12</v>
      </c>
      <c r="E1962" s="17">
        <v>27.05</v>
      </c>
      <c r="F1962" s="16">
        <v>0</v>
      </c>
      <c r="G1962" s="15" t="s">
        <v>101</v>
      </c>
      <c r="H1962" s="18">
        <v>0.99999999999999933</v>
      </c>
      <c r="I1962" s="19">
        <v>1.82</v>
      </c>
      <c r="J1962" s="19">
        <v>0.83</v>
      </c>
      <c r="K1962" s="19" t="s">
        <v>33</v>
      </c>
      <c r="L1962" s="19" t="s">
        <v>128</v>
      </c>
      <c r="M1962" s="15" t="s">
        <v>129</v>
      </c>
      <c r="N1962" s="15" t="s">
        <v>36</v>
      </c>
      <c r="O1962" s="15" t="s">
        <v>77</v>
      </c>
      <c r="P1962" s="20" t="s">
        <v>1737</v>
      </c>
      <c r="Q1962" s="15" t="s">
        <v>79</v>
      </c>
      <c r="R1962" s="4"/>
      <c r="S1962" s="4"/>
    </row>
    <row r="1963" spans="1:19" ht="21" customHeight="1" x14ac:dyDescent="0.25">
      <c r="A1963" s="14">
        <f>DATE(2012,12,31)-1045</f>
        <v>40229</v>
      </c>
      <c r="B1963" s="15" t="s">
        <v>779</v>
      </c>
      <c r="C1963" s="15" t="s">
        <v>43</v>
      </c>
      <c r="D1963" s="16">
        <v>36</v>
      </c>
      <c r="E1963" s="17">
        <v>711.1</v>
      </c>
      <c r="F1963" s="16">
        <v>0.08</v>
      </c>
      <c r="G1963" s="15" t="s">
        <v>32</v>
      </c>
      <c r="H1963" s="18">
        <v>241.077</v>
      </c>
      <c r="I1963" s="19">
        <v>21.38</v>
      </c>
      <c r="J1963" s="19">
        <v>2.99</v>
      </c>
      <c r="K1963" s="19" t="s">
        <v>97</v>
      </c>
      <c r="L1963" s="19" t="s">
        <v>98</v>
      </c>
      <c r="M1963" s="15" t="s">
        <v>1162</v>
      </c>
      <c r="N1963" s="15" t="s">
        <v>36</v>
      </c>
      <c r="O1963" s="15" t="s">
        <v>170</v>
      </c>
      <c r="P1963" s="20" t="s">
        <v>1738</v>
      </c>
      <c r="Q1963" s="15" t="s">
        <v>83</v>
      </c>
      <c r="R1963" s="4"/>
      <c r="S1963" s="4"/>
    </row>
    <row r="1964" spans="1:19" ht="21" customHeight="1" x14ac:dyDescent="0.25">
      <c r="A1964" s="14">
        <f>DATE(2012,12,31)-1045</f>
        <v>40229</v>
      </c>
      <c r="B1964" s="15" t="s">
        <v>779</v>
      </c>
      <c r="C1964" s="15" t="s">
        <v>43</v>
      </c>
      <c r="D1964" s="16">
        <v>48</v>
      </c>
      <c r="E1964" s="17">
        <v>498.16</v>
      </c>
      <c r="F1964" s="16">
        <v>0.03</v>
      </c>
      <c r="G1964" s="15" t="s">
        <v>32</v>
      </c>
      <c r="H1964" s="18">
        <v>40.61</v>
      </c>
      <c r="I1964" s="19">
        <v>9.99</v>
      </c>
      <c r="J1964" s="19">
        <v>5.12</v>
      </c>
      <c r="K1964" s="19" t="s">
        <v>97</v>
      </c>
      <c r="L1964" s="19" t="s">
        <v>195</v>
      </c>
      <c r="M1964" s="15" t="s">
        <v>1413</v>
      </c>
      <c r="N1964" s="15" t="s">
        <v>36</v>
      </c>
      <c r="O1964" s="15" t="s">
        <v>117</v>
      </c>
      <c r="P1964" s="20" t="s">
        <v>920</v>
      </c>
      <c r="Q1964" s="15" t="s">
        <v>83</v>
      </c>
      <c r="R1964" s="4"/>
      <c r="S1964" s="4"/>
    </row>
    <row r="1965" spans="1:19" ht="21" customHeight="1" x14ac:dyDescent="0.25">
      <c r="A1965" s="14">
        <f>DATE(2012,12,31)-959</f>
        <v>40315</v>
      </c>
      <c r="B1965" s="15" t="s">
        <v>580</v>
      </c>
      <c r="C1965" s="15" t="s">
        <v>43</v>
      </c>
      <c r="D1965" s="16">
        <v>47</v>
      </c>
      <c r="E1965" s="17">
        <v>1837.15</v>
      </c>
      <c r="F1965" s="16">
        <v>0.06</v>
      </c>
      <c r="G1965" s="15" t="s">
        <v>32</v>
      </c>
      <c r="H1965" s="18">
        <v>196.58</v>
      </c>
      <c r="I1965" s="19">
        <v>40.97</v>
      </c>
      <c r="J1965" s="19">
        <v>8.99</v>
      </c>
      <c r="K1965" s="19" t="s">
        <v>97</v>
      </c>
      <c r="L1965" s="19" t="s">
        <v>283</v>
      </c>
      <c r="M1965" s="15" t="s">
        <v>1471</v>
      </c>
      <c r="N1965" s="15" t="s">
        <v>36</v>
      </c>
      <c r="O1965" s="15" t="s">
        <v>77</v>
      </c>
      <c r="P1965" s="20" t="s">
        <v>938</v>
      </c>
      <c r="Q1965" s="15" t="s">
        <v>49</v>
      </c>
      <c r="R1965" s="4"/>
      <c r="S1965" s="4"/>
    </row>
    <row r="1966" spans="1:19" ht="21" customHeight="1" x14ac:dyDescent="0.25">
      <c r="A1966" s="14">
        <f>DATE(2012,12,31)-959</f>
        <v>40315</v>
      </c>
      <c r="B1966" s="15" t="s">
        <v>580</v>
      </c>
      <c r="C1966" s="15" t="s">
        <v>43</v>
      </c>
      <c r="D1966" s="16">
        <v>5</v>
      </c>
      <c r="E1966" s="17">
        <v>540.22</v>
      </c>
      <c r="F1966" s="16">
        <v>0.06</v>
      </c>
      <c r="G1966" s="15" t="s">
        <v>32</v>
      </c>
      <c r="H1966" s="18">
        <v>-253.38</v>
      </c>
      <c r="I1966" s="19">
        <v>101.41</v>
      </c>
      <c r="J1966" s="19">
        <v>35</v>
      </c>
      <c r="K1966" s="19" t="s">
        <v>97</v>
      </c>
      <c r="L1966" s="19" t="s">
        <v>283</v>
      </c>
      <c r="M1966" s="15" t="s">
        <v>1471</v>
      </c>
      <c r="N1966" s="15" t="s">
        <v>36</v>
      </c>
      <c r="O1966" s="15" t="s">
        <v>37</v>
      </c>
      <c r="P1966" s="20" t="s">
        <v>1411</v>
      </c>
      <c r="Q1966" s="15" t="s">
        <v>39</v>
      </c>
      <c r="R1966" s="4"/>
      <c r="S1966" s="4"/>
    </row>
    <row r="1967" spans="1:19" ht="21" customHeight="1" x14ac:dyDescent="0.25">
      <c r="A1967" s="14">
        <f>DATE(2012,12,31)-959</f>
        <v>40315</v>
      </c>
      <c r="B1967" s="15" t="s">
        <v>580</v>
      </c>
      <c r="C1967" s="15" t="s">
        <v>43</v>
      </c>
      <c r="D1967" s="16">
        <v>40</v>
      </c>
      <c r="E1967" s="17">
        <v>2035.3929999999998</v>
      </c>
      <c r="F1967" s="16">
        <v>0.01</v>
      </c>
      <c r="G1967" s="15" t="s">
        <v>32</v>
      </c>
      <c r="H1967" s="18">
        <v>1152.693</v>
      </c>
      <c r="I1967" s="19">
        <v>55.99</v>
      </c>
      <c r="J1967" s="19">
        <v>1.25</v>
      </c>
      <c r="K1967" s="19" t="s">
        <v>97</v>
      </c>
      <c r="L1967" s="19" t="s">
        <v>98</v>
      </c>
      <c r="M1967" s="15" t="s">
        <v>1162</v>
      </c>
      <c r="N1967" s="15" t="s">
        <v>64</v>
      </c>
      <c r="O1967" s="15" t="s">
        <v>65</v>
      </c>
      <c r="P1967" s="20" t="s">
        <v>815</v>
      </c>
      <c r="Q1967" s="15" t="s">
        <v>49</v>
      </c>
      <c r="R1967" s="4"/>
      <c r="S1967" s="4"/>
    </row>
    <row r="1968" spans="1:19" ht="21" customHeight="1" x14ac:dyDescent="0.25">
      <c r="A1968" s="14">
        <f>DATE(2012,12,31)-1217</f>
        <v>40057</v>
      </c>
      <c r="B1968" s="15" t="s">
        <v>108</v>
      </c>
      <c r="C1968" s="15" t="s">
        <v>51</v>
      </c>
      <c r="D1968" s="16">
        <v>21</v>
      </c>
      <c r="E1968" s="17">
        <v>441.7</v>
      </c>
      <c r="F1968" s="16">
        <v>0.08</v>
      </c>
      <c r="G1968" s="15" t="s">
        <v>32</v>
      </c>
      <c r="H1968" s="18">
        <v>167.18</v>
      </c>
      <c r="I1968" s="19">
        <v>22.23</v>
      </c>
      <c r="J1968" s="19">
        <v>3.63</v>
      </c>
      <c r="K1968" s="19" t="s">
        <v>124</v>
      </c>
      <c r="L1968" s="19" t="s">
        <v>160</v>
      </c>
      <c r="M1968" s="15" t="s">
        <v>1621</v>
      </c>
      <c r="N1968" s="15" t="s">
        <v>54</v>
      </c>
      <c r="O1968" s="15" t="s">
        <v>55</v>
      </c>
      <c r="P1968" s="20" t="s">
        <v>1739</v>
      </c>
      <c r="Q1968" s="15" t="s">
        <v>49</v>
      </c>
      <c r="R1968" s="4"/>
      <c r="S1968" s="4"/>
    </row>
    <row r="1969" spans="1:19" ht="21" customHeight="1" x14ac:dyDescent="0.25">
      <c r="A1969" s="14">
        <f>DATE(2012,12,31)-817</f>
        <v>40457</v>
      </c>
      <c r="B1969" s="15" t="s">
        <v>336</v>
      </c>
      <c r="C1969" s="15" t="s">
        <v>51</v>
      </c>
      <c r="D1969" s="16">
        <v>31</v>
      </c>
      <c r="E1969" s="17">
        <v>1476.12</v>
      </c>
      <c r="F1969" s="16">
        <v>0.03</v>
      </c>
      <c r="G1969" s="15" t="s">
        <v>58</v>
      </c>
      <c r="H1969" s="18">
        <v>-1401.1712000000002</v>
      </c>
      <c r="I1969" s="19">
        <v>44.43</v>
      </c>
      <c r="J1969" s="19">
        <v>46.59</v>
      </c>
      <c r="K1969" s="19" t="s">
        <v>124</v>
      </c>
      <c r="L1969" s="19" t="s">
        <v>160</v>
      </c>
      <c r="M1969" s="15" t="s">
        <v>1621</v>
      </c>
      <c r="N1969" s="15" t="s">
        <v>54</v>
      </c>
      <c r="O1969" s="15" t="s">
        <v>61</v>
      </c>
      <c r="P1969" s="20" t="s">
        <v>1314</v>
      </c>
      <c r="Q1969" s="15" t="s">
        <v>63</v>
      </c>
      <c r="R1969" s="4"/>
      <c r="S1969" s="4"/>
    </row>
    <row r="1970" spans="1:19" ht="21" customHeight="1" x14ac:dyDescent="0.25">
      <c r="A1970" s="14">
        <f>DATE(2012,12,31)-803</f>
        <v>40471</v>
      </c>
      <c r="B1970" s="15" t="s">
        <v>774</v>
      </c>
      <c r="C1970" s="15" t="s">
        <v>31</v>
      </c>
      <c r="D1970" s="16">
        <v>13</v>
      </c>
      <c r="E1970" s="17">
        <v>1764.97</v>
      </c>
      <c r="F1970" s="16">
        <v>7.0000000000000007E-2</v>
      </c>
      <c r="G1970" s="15" t="s">
        <v>58</v>
      </c>
      <c r="H1970" s="18">
        <v>-383.5</v>
      </c>
      <c r="I1970" s="19">
        <v>130.97999999999999</v>
      </c>
      <c r="J1970" s="19">
        <v>54.74</v>
      </c>
      <c r="K1970" s="19" t="s">
        <v>124</v>
      </c>
      <c r="L1970" s="19" t="s">
        <v>493</v>
      </c>
      <c r="M1970" s="15" t="s">
        <v>1588</v>
      </c>
      <c r="N1970" s="15" t="s">
        <v>54</v>
      </c>
      <c r="O1970" s="15" t="s">
        <v>134</v>
      </c>
      <c r="P1970" s="20" t="s">
        <v>135</v>
      </c>
      <c r="Q1970" s="15" t="s">
        <v>63</v>
      </c>
      <c r="R1970" s="4"/>
      <c r="S1970" s="4"/>
    </row>
    <row r="1971" spans="1:19" ht="21" customHeight="1" x14ac:dyDescent="0.25">
      <c r="A1971" s="14">
        <f>DATE(2012,12,31)-803</f>
        <v>40471</v>
      </c>
      <c r="B1971" s="15" t="s">
        <v>774</v>
      </c>
      <c r="C1971" s="15" t="s">
        <v>31</v>
      </c>
      <c r="D1971" s="16">
        <v>50</v>
      </c>
      <c r="E1971" s="17">
        <v>238.34</v>
      </c>
      <c r="F1971" s="16">
        <v>0.04</v>
      </c>
      <c r="G1971" s="15" t="s">
        <v>32</v>
      </c>
      <c r="H1971" s="18">
        <v>-7.36</v>
      </c>
      <c r="I1971" s="19">
        <v>4.76</v>
      </c>
      <c r="J1971" s="19">
        <v>3.01</v>
      </c>
      <c r="K1971" s="19" t="s">
        <v>124</v>
      </c>
      <c r="L1971" s="19" t="s">
        <v>493</v>
      </c>
      <c r="M1971" s="15" t="s">
        <v>1588</v>
      </c>
      <c r="N1971" s="15" t="s">
        <v>36</v>
      </c>
      <c r="O1971" s="15" t="s">
        <v>117</v>
      </c>
      <c r="P1971" s="20" t="s">
        <v>1331</v>
      </c>
      <c r="Q1971" s="15" t="s">
        <v>79</v>
      </c>
      <c r="R1971" s="4"/>
      <c r="S1971" s="4"/>
    </row>
    <row r="1972" spans="1:19" ht="21" customHeight="1" x14ac:dyDescent="0.25">
      <c r="A1972" s="14">
        <f>DATE(2012,12,31)-1256</f>
        <v>40018</v>
      </c>
      <c r="B1972" s="15" t="s">
        <v>185</v>
      </c>
      <c r="C1972" s="15" t="s">
        <v>31</v>
      </c>
      <c r="D1972" s="16">
        <v>1</v>
      </c>
      <c r="E1972" s="17">
        <v>68.45</v>
      </c>
      <c r="F1972" s="16">
        <v>0.02</v>
      </c>
      <c r="G1972" s="15" t="s">
        <v>101</v>
      </c>
      <c r="H1972" s="18">
        <v>-25.76</v>
      </c>
      <c r="I1972" s="19">
        <v>50.98</v>
      </c>
      <c r="J1972" s="19">
        <v>13.66</v>
      </c>
      <c r="K1972" s="19" t="s">
        <v>124</v>
      </c>
      <c r="L1972" s="19" t="s">
        <v>160</v>
      </c>
      <c r="M1972" s="15" t="s">
        <v>1621</v>
      </c>
      <c r="N1972" s="15" t="s">
        <v>36</v>
      </c>
      <c r="O1972" s="15" t="s">
        <v>176</v>
      </c>
      <c r="P1972" s="20" t="s">
        <v>1098</v>
      </c>
      <c r="Q1972" s="15" t="s">
        <v>83</v>
      </c>
      <c r="R1972" s="4"/>
      <c r="S1972" s="4"/>
    </row>
    <row r="1973" spans="1:19" ht="21" customHeight="1" x14ac:dyDescent="0.25">
      <c r="A1973" s="14">
        <f>DATE(2012,12,31)-515</f>
        <v>40759</v>
      </c>
      <c r="B1973" s="15" t="s">
        <v>1740</v>
      </c>
      <c r="C1973" s="15" t="s">
        <v>51</v>
      </c>
      <c r="D1973" s="16">
        <v>22</v>
      </c>
      <c r="E1973" s="17">
        <v>8218.16</v>
      </c>
      <c r="F1973" s="16">
        <v>0.09</v>
      </c>
      <c r="G1973" s="15" t="s">
        <v>58</v>
      </c>
      <c r="H1973" s="18">
        <v>-774.14480000000015</v>
      </c>
      <c r="I1973" s="19">
        <v>376.13</v>
      </c>
      <c r="J1973" s="19">
        <v>85.63</v>
      </c>
      <c r="K1973" s="19" t="s">
        <v>124</v>
      </c>
      <c r="L1973" s="19" t="s">
        <v>164</v>
      </c>
      <c r="M1973" s="15" t="s">
        <v>1228</v>
      </c>
      <c r="N1973" s="15" t="s">
        <v>54</v>
      </c>
      <c r="O1973" s="15" t="s">
        <v>61</v>
      </c>
      <c r="P1973" s="20" t="s">
        <v>1159</v>
      </c>
      <c r="Q1973" s="15" t="s">
        <v>63</v>
      </c>
      <c r="R1973" s="4"/>
      <c r="S1973" s="4"/>
    </row>
    <row r="1974" spans="1:19" ht="21" customHeight="1" x14ac:dyDescent="0.25">
      <c r="A1974" s="14">
        <f>DATE(2012,12,31)-1365</f>
        <v>39909</v>
      </c>
      <c r="B1974" s="15" t="s">
        <v>340</v>
      </c>
      <c r="C1974" s="15" t="s">
        <v>85</v>
      </c>
      <c r="D1974" s="16">
        <v>29</v>
      </c>
      <c r="E1974" s="17">
        <v>65.16</v>
      </c>
      <c r="F1974" s="16">
        <v>0.03</v>
      </c>
      <c r="G1974" s="15" t="s">
        <v>32</v>
      </c>
      <c r="H1974" s="18">
        <v>-7.04</v>
      </c>
      <c r="I1974" s="19">
        <v>2.1800000000000002</v>
      </c>
      <c r="J1974" s="19">
        <v>1.38</v>
      </c>
      <c r="K1974" s="19" t="s">
        <v>124</v>
      </c>
      <c r="L1974" s="19" t="s">
        <v>158</v>
      </c>
      <c r="M1974" s="15" t="s">
        <v>158</v>
      </c>
      <c r="N1974" s="15" t="s">
        <v>36</v>
      </c>
      <c r="O1974" s="15" t="s">
        <v>105</v>
      </c>
      <c r="P1974" s="20" t="s">
        <v>1741</v>
      </c>
      <c r="Q1974" s="15" t="s">
        <v>79</v>
      </c>
      <c r="R1974" s="4"/>
      <c r="S1974" s="4"/>
    </row>
    <row r="1975" spans="1:19" ht="21" customHeight="1" x14ac:dyDescent="0.25">
      <c r="A1975" s="14">
        <f>DATE(2012,12,31)-1365</f>
        <v>39909</v>
      </c>
      <c r="B1975" s="15" t="s">
        <v>340</v>
      </c>
      <c r="C1975" s="15" t="s">
        <v>85</v>
      </c>
      <c r="D1975" s="16">
        <v>38</v>
      </c>
      <c r="E1975" s="17">
        <v>6532.48</v>
      </c>
      <c r="F1975" s="16">
        <v>0.01</v>
      </c>
      <c r="G1975" s="15" t="s">
        <v>58</v>
      </c>
      <c r="H1975" s="18">
        <v>538.52</v>
      </c>
      <c r="I1975" s="19">
        <v>170.98</v>
      </c>
      <c r="J1975" s="19">
        <v>35.89</v>
      </c>
      <c r="K1975" s="19" t="s">
        <v>124</v>
      </c>
      <c r="L1975" s="19" t="s">
        <v>164</v>
      </c>
      <c r="M1975" s="15" t="s">
        <v>1228</v>
      </c>
      <c r="N1975" s="15" t="s">
        <v>54</v>
      </c>
      <c r="O1975" s="15" t="s">
        <v>134</v>
      </c>
      <c r="P1975" s="20" t="s">
        <v>1742</v>
      </c>
      <c r="Q1975" s="15" t="s">
        <v>63</v>
      </c>
      <c r="R1975" s="4"/>
      <c r="S1975" s="4"/>
    </row>
    <row r="1976" spans="1:19" ht="21" customHeight="1" x14ac:dyDescent="0.25">
      <c r="A1976" s="14">
        <f>DATE(2012,12,31)-1365</f>
        <v>39909</v>
      </c>
      <c r="B1976" s="15" t="s">
        <v>340</v>
      </c>
      <c r="C1976" s="15" t="s">
        <v>85</v>
      </c>
      <c r="D1976" s="16">
        <v>41</v>
      </c>
      <c r="E1976" s="17">
        <v>241.9</v>
      </c>
      <c r="F1976" s="16">
        <v>0.05</v>
      </c>
      <c r="G1976" s="15" t="s">
        <v>32</v>
      </c>
      <c r="H1976" s="18">
        <v>-136.69999999999999</v>
      </c>
      <c r="I1976" s="19">
        <v>5.77</v>
      </c>
      <c r="J1976" s="19">
        <v>5.92</v>
      </c>
      <c r="K1976" s="19" t="s">
        <v>124</v>
      </c>
      <c r="L1976" s="19" t="s">
        <v>319</v>
      </c>
      <c r="M1976" s="15" t="s">
        <v>1711</v>
      </c>
      <c r="N1976" s="15" t="s">
        <v>54</v>
      </c>
      <c r="O1976" s="15" t="s">
        <v>55</v>
      </c>
      <c r="P1976" s="20" t="s">
        <v>1076</v>
      </c>
      <c r="Q1976" s="15" t="s">
        <v>57</v>
      </c>
      <c r="R1976" s="4"/>
      <c r="S1976" s="4"/>
    </row>
    <row r="1977" spans="1:19" ht="21" customHeight="1" x14ac:dyDescent="0.25">
      <c r="A1977" s="14">
        <f>DATE(2012,12,31)-1235</f>
        <v>40039</v>
      </c>
      <c r="B1977" s="15" t="s">
        <v>1701</v>
      </c>
      <c r="C1977" s="15" t="s">
        <v>43</v>
      </c>
      <c r="D1977" s="16">
        <v>24</v>
      </c>
      <c r="E1977" s="17">
        <v>158.78</v>
      </c>
      <c r="F1977" s="16">
        <v>0.04</v>
      </c>
      <c r="G1977" s="15" t="s">
        <v>32</v>
      </c>
      <c r="H1977" s="18">
        <v>-38.380000000000003</v>
      </c>
      <c r="I1977" s="19">
        <v>6.28</v>
      </c>
      <c r="J1977" s="19">
        <v>5.41</v>
      </c>
      <c r="K1977" s="19" t="s">
        <v>124</v>
      </c>
      <c r="L1977" s="19" t="s">
        <v>319</v>
      </c>
      <c r="M1977" s="15" t="s">
        <v>1711</v>
      </c>
      <c r="N1977" s="15" t="s">
        <v>54</v>
      </c>
      <c r="O1977" s="15" t="s">
        <v>55</v>
      </c>
      <c r="P1977" s="20" t="s">
        <v>1743</v>
      </c>
      <c r="Q1977" s="15" t="s">
        <v>83</v>
      </c>
      <c r="R1977" s="4"/>
      <c r="S1977" s="4"/>
    </row>
    <row r="1978" spans="1:19" ht="21" customHeight="1" x14ac:dyDescent="0.25">
      <c r="A1978" s="14">
        <f>DATE(2012,12,31)-1235</f>
        <v>40039</v>
      </c>
      <c r="B1978" s="15" t="s">
        <v>1701</v>
      </c>
      <c r="C1978" s="15" t="s">
        <v>43</v>
      </c>
      <c r="D1978" s="16">
        <v>46</v>
      </c>
      <c r="E1978" s="17">
        <v>3296.0619999999999</v>
      </c>
      <c r="F1978" s="16">
        <v>0.06</v>
      </c>
      <c r="G1978" s="15" t="s">
        <v>32</v>
      </c>
      <c r="H1978" s="18">
        <v>591.91199999999992</v>
      </c>
      <c r="I1978" s="19">
        <v>85.99</v>
      </c>
      <c r="J1978" s="19">
        <v>10.78</v>
      </c>
      <c r="K1978" s="19" t="s">
        <v>44</v>
      </c>
      <c r="L1978" s="19" t="s">
        <v>52</v>
      </c>
      <c r="M1978" s="15" t="s">
        <v>1685</v>
      </c>
      <c r="N1978" s="15" t="s">
        <v>64</v>
      </c>
      <c r="O1978" s="15" t="s">
        <v>65</v>
      </c>
      <c r="P1978" s="20" t="s">
        <v>1156</v>
      </c>
      <c r="Q1978" s="15" t="s">
        <v>83</v>
      </c>
      <c r="R1978" s="4"/>
      <c r="S1978" s="4"/>
    </row>
    <row r="1979" spans="1:19" ht="21" customHeight="1" x14ac:dyDescent="0.25">
      <c r="A1979" s="14">
        <f>DATE(2012,12,31)-449</f>
        <v>40825</v>
      </c>
      <c r="B1979" s="15" t="s">
        <v>1509</v>
      </c>
      <c r="C1979" s="15" t="s">
        <v>51</v>
      </c>
      <c r="D1979" s="16">
        <v>1</v>
      </c>
      <c r="E1979" s="17">
        <v>40.1</v>
      </c>
      <c r="F1979" s="16">
        <v>0.09</v>
      </c>
      <c r="G1979" s="15" t="s">
        <v>32</v>
      </c>
      <c r="H1979" s="18">
        <v>-16.0655</v>
      </c>
      <c r="I1979" s="19">
        <v>30.98</v>
      </c>
      <c r="J1979" s="19">
        <v>11.63</v>
      </c>
      <c r="K1979" s="19" t="s">
        <v>44</v>
      </c>
      <c r="L1979" s="19" t="s">
        <v>52</v>
      </c>
      <c r="M1979" s="15" t="s">
        <v>1685</v>
      </c>
      <c r="N1979" s="15" t="s">
        <v>36</v>
      </c>
      <c r="O1979" s="15" t="s">
        <v>170</v>
      </c>
      <c r="P1979" s="20" t="s">
        <v>1419</v>
      </c>
      <c r="Q1979" s="15" t="s">
        <v>83</v>
      </c>
      <c r="R1979" s="4"/>
      <c r="S1979" s="4"/>
    </row>
    <row r="1980" spans="1:19" ht="21" customHeight="1" x14ac:dyDescent="0.25">
      <c r="A1980" s="14">
        <f>DATE(2012,12,31)-449</f>
        <v>40825</v>
      </c>
      <c r="B1980" s="15" t="s">
        <v>1509</v>
      </c>
      <c r="C1980" s="15" t="s">
        <v>51</v>
      </c>
      <c r="D1980" s="16">
        <v>42</v>
      </c>
      <c r="E1980" s="17">
        <v>1414.05</v>
      </c>
      <c r="F1980" s="16">
        <v>0.09</v>
      </c>
      <c r="G1980" s="15" t="s">
        <v>32</v>
      </c>
      <c r="H1980" s="18">
        <v>161.483</v>
      </c>
      <c r="I1980" s="19">
        <v>34.54</v>
      </c>
      <c r="J1980" s="19">
        <v>14.72</v>
      </c>
      <c r="K1980" s="19" t="s">
        <v>44</v>
      </c>
      <c r="L1980" s="19" t="s">
        <v>52</v>
      </c>
      <c r="M1980" s="15" t="s">
        <v>1685</v>
      </c>
      <c r="N1980" s="15" t="s">
        <v>36</v>
      </c>
      <c r="O1980" s="15" t="s">
        <v>170</v>
      </c>
      <c r="P1980" s="20" t="s">
        <v>1306</v>
      </c>
      <c r="Q1980" s="15" t="s">
        <v>83</v>
      </c>
      <c r="R1980" s="4"/>
      <c r="S1980" s="4"/>
    </row>
    <row r="1981" spans="1:19" ht="21" customHeight="1" x14ac:dyDescent="0.25">
      <c r="A1981" s="14">
        <f>DATE(2012,12,31)-859</f>
        <v>40415</v>
      </c>
      <c r="B1981" s="15" t="s">
        <v>1166</v>
      </c>
      <c r="C1981" s="15" t="s">
        <v>43</v>
      </c>
      <c r="D1981" s="16">
        <v>4</v>
      </c>
      <c r="E1981" s="17">
        <v>5.31</v>
      </c>
      <c r="F1981" s="16">
        <v>0</v>
      </c>
      <c r="G1981" s="15" t="s">
        <v>32</v>
      </c>
      <c r="H1981" s="18">
        <v>-1.5</v>
      </c>
      <c r="I1981" s="19">
        <v>1.1399999999999999</v>
      </c>
      <c r="J1981" s="19">
        <v>0.7</v>
      </c>
      <c r="K1981" s="19" t="s">
        <v>44</v>
      </c>
      <c r="L1981" s="19" t="s">
        <v>52</v>
      </c>
      <c r="M1981" s="15" t="s">
        <v>1685</v>
      </c>
      <c r="N1981" s="15" t="s">
        <v>36</v>
      </c>
      <c r="O1981" s="15" t="s">
        <v>105</v>
      </c>
      <c r="P1981" s="20" t="s">
        <v>1551</v>
      </c>
      <c r="Q1981" s="15" t="s">
        <v>79</v>
      </c>
      <c r="R1981" s="4"/>
      <c r="S1981" s="4"/>
    </row>
    <row r="1982" spans="1:19" ht="21" customHeight="1" x14ac:dyDescent="0.25">
      <c r="A1982" s="14">
        <f>DATE(2012,12,31)-945</f>
        <v>40329</v>
      </c>
      <c r="B1982" s="15" t="s">
        <v>681</v>
      </c>
      <c r="C1982" s="15" t="s">
        <v>31</v>
      </c>
      <c r="D1982" s="16">
        <v>24</v>
      </c>
      <c r="E1982" s="17">
        <v>103.11</v>
      </c>
      <c r="F1982" s="16">
        <v>0.06</v>
      </c>
      <c r="G1982" s="15" t="s">
        <v>32</v>
      </c>
      <c r="H1982" s="18">
        <v>-95.41</v>
      </c>
      <c r="I1982" s="19">
        <v>4.18</v>
      </c>
      <c r="J1982" s="19">
        <v>6.92</v>
      </c>
      <c r="K1982" s="19" t="s">
        <v>44</v>
      </c>
      <c r="L1982" s="19" t="s">
        <v>52</v>
      </c>
      <c r="M1982" s="15" t="s">
        <v>1685</v>
      </c>
      <c r="N1982" s="15" t="s">
        <v>54</v>
      </c>
      <c r="O1982" s="15" t="s">
        <v>55</v>
      </c>
      <c r="P1982" s="20" t="s">
        <v>1744</v>
      </c>
      <c r="Q1982" s="15" t="s">
        <v>83</v>
      </c>
      <c r="R1982" s="4"/>
      <c r="S1982" s="4"/>
    </row>
    <row r="1983" spans="1:19" ht="21" customHeight="1" x14ac:dyDescent="0.25">
      <c r="A1983" s="14">
        <f>DATE(2012,12,31)-945</f>
        <v>40329</v>
      </c>
      <c r="B1983" s="15" t="s">
        <v>681</v>
      </c>
      <c r="C1983" s="15" t="s">
        <v>31</v>
      </c>
      <c r="D1983" s="16">
        <v>35</v>
      </c>
      <c r="E1983" s="17">
        <v>1599.0709999999999</v>
      </c>
      <c r="F1983" s="16">
        <v>0.04</v>
      </c>
      <c r="G1983" s="15" t="s">
        <v>32</v>
      </c>
      <c r="H1983" s="18">
        <v>296.65800000000002</v>
      </c>
      <c r="I1983" s="19">
        <v>55.99</v>
      </c>
      <c r="J1983" s="19">
        <v>3.3</v>
      </c>
      <c r="K1983" s="19" t="s">
        <v>44</v>
      </c>
      <c r="L1983" s="19" t="s">
        <v>236</v>
      </c>
      <c r="M1983" s="15" t="s">
        <v>237</v>
      </c>
      <c r="N1983" s="15" t="s">
        <v>64</v>
      </c>
      <c r="O1983" s="15" t="s">
        <v>65</v>
      </c>
      <c r="P1983" s="20" t="s">
        <v>1212</v>
      </c>
      <c r="Q1983" s="15" t="s">
        <v>49</v>
      </c>
      <c r="R1983" s="4"/>
      <c r="S1983" s="4"/>
    </row>
    <row r="1984" spans="1:19" ht="21" customHeight="1" x14ac:dyDescent="0.25">
      <c r="A1984" s="14">
        <f>DATE(2012,12,31)-945</f>
        <v>40329</v>
      </c>
      <c r="B1984" s="15" t="s">
        <v>681</v>
      </c>
      <c r="C1984" s="15" t="s">
        <v>31</v>
      </c>
      <c r="D1984" s="16">
        <v>31</v>
      </c>
      <c r="E1984" s="17">
        <v>968.23500000000001</v>
      </c>
      <c r="F1984" s="16">
        <v>0.05</v>
      </c>
      <c r="G1984" s="15" t="s">
        <v>32</v>
      </c>
      <c r="H1984" s="18">
        <v>-158.60900000000001</v>
      </c>
      <c r="I1984" s="19">
        <v>35.99</v>
      </c>
      <c r="J1984" s="19">
        <v>5</v>
      </c>
      <c r="K1984" s="19" t="s">
        <v>44</v>
      </c>
      <c r="L1984" s="19" t="s">
        <v>52</v>
      </c>
      <c r="M1984" s="15" t="s">
        <v>1685</v>
      </c>
      <c r="N1984" s="15" t="s">
        <v>64</v>
      </c>
      <c r="O1984" s="15" t="s">
        <v>65</v>
      </c>
      <c r="P1984" s="20" t="s">
        <v>1745</v>
      </c>
      <c r="Q1984" s="15" t="s">
        <v>83</v>
      </c>
      <c r="R1984" s="4"/>
      <c r="S1984" s="4"/>
    </row>
    <row r="1985" spans="1:19" ht="21" customHeight="1" x14ac:dyDescent="0.25">
      <c r="A1985" s="14">
        <f>DATE(2012,12,31)-1030</f>
        <v>40244</v>
      </c>
      <c r="B1985" s="15" t="s">
        <v>1746</v>
      </c>
      <c r="C1985" s="15" t="s">
        <v>43</v>
      </c>
      <c r="D1985" s="16">
        <v>8</v>
      </c>
      <c r="E1985" s="17">
        <v>351.49</v>
      </c>
      <c r="F1985" s="16">
        <v>0.03</v>
      </c>
      <c r="G1985" s="15" t="s">
        <v>32</v>
      </c>
      <c r="H1985" s="18">
        <v>107.321</v>
      </c>
      <c r="I1985" s="19">
        <v>41.94</v>
      </c>
      <c r="J1985" s="19">
        <v>2.99</v>
      </c>
      <c r="K1985" s="19" t="s">
        <v>44</v>
      </c>
      <c r="L1985" s="19" t="s">
        <v>52</v>
      </c>
      <c r="M1985" s="15" t="s">
        <v>1685</v>
      </c>
      <c r="N1985" s="15" t="s">
        <v>36</v>
      </c>
      <c r="O1985" s="15" t="s">
        <v>170</v>
      </c>
      <c r="P1985" s="20" t="s">
        <v>1469</v>
      </c>
      <c r="Q1985" s="15" t="s">
        <v>83</v>
      </c>
      <c r="R1985" s="4"/>
      <c r="S1985" s="4"/>
    </row>
    <row r="1986" spans="1:19" ht="21" customHeight="1" x14ac:dyDescent="0.25">
      <c r="A1986" s="14">
        <f>DATE(2012,12,31)-1030</f>
        <v>40244</v>
      </c>
      <c r="B1986" s="15" t="s">
        <v>1746</v>
      </c>
      <c r="C1986" s="15" t="s">
        <v>43</v>
      </c>
      <c r="D1986" s="16">
        <v>16</v>
      </c>
      <c r="E1986" s="17">
        <v>74.13</v>
      </c>
      <c r="F1986" s="16">
        <v>0.08</v>
      </c>
      <c r="G1986" s="15" t="s">
        <v>32</v>
      </c>
      <c r="H1986" s="18">
        <v>-69.34</v>
      </c>
      <c r="I1986" s="19">
        <v>4.28</v>
      </c>
      <c r="J1986" s="19">
        <v>6.72</v>
      </c>
      <c r="K1986" s="19" t="s">
        <v>44</v>
      </c>
      <c r="L1986" s="19" t="s">
        <v>52</v>
      </c>
      <c r="M1986" s="15" t="s">
        <v>1685</v>
      </c>
      <c r="N1986" s="15" t="s">
        <v>36</v>
      </c>
      <c r="O1986" s="15" t="s">
        <v>117</v>
      </c>
      <c r="P1986" s="20" t="s">
        <v>792</v>
      </c>
      <c r="Q1986" s="15" t="s">
        <v>83</v>
      </c>
      <c r="R1986" s="4"/>
      <c r="S1986" s="4"/>
    </row>
    <row r="1987" spans="1:19" ht="21" customHeight="1" x14ac:dyDescent="0.25">
      <c r="A1987" s="14">
        <f>DATE(2012,12,31)-1030</f>
        <v>40244</v>
      </c>
      <c r="B1987" s="15" t="s">
        <v>1746</v>
      </c>
      <c r="C1987" s="15" t="s">
        <v>43</v>
      </c>
      <c r="D1987" s="16">
        <v>45</v>
      </c>
      <c r="E1987" s="17">
        <v>195.03</v>
      </c>
      <c r="F1987" s="16">
        <v>0.09</v>
      </c>
      <c r="G1987" s="15" t="s">
        <v>32</v>
      </c>
      <c r="H1987" s="18">
        <v>-148.87</v>
      </c>
      <c r="I1987" s="19">
        <v>4.28</v>
      </c>
      <c r="J1987" s="19">
        <v>5.74</v>
      </c>
      <c r="K1987" s="19" t="s">
        <v>44</v>
      </c>
      <c r="L1987" s="19" t="s">
        <v>45</v>
      </c>
      <c r="M1987" s="15" t="s">
        <v>1572</v>
      </c>
      <c r="N1987" s="15" t="s">
        <v>36</v>
      </c>
      <c r="O1987" s="15" t="s">
        <v>117</v>
      </c>
      <c r="P1987" s="20" t="s">
        <v>1747</v>
      </c>
      <c r="Q1987" s="15" t="s">
        <v>83</v>
      </c>
      <c r="R1987" s="4"/>
      <c r="S1987" s="4"/>
    </row>
    <row r="1988" spans="1:19" ht="21" customHeight="1" x14ac:dyDescent="0.25">
      <c r="A1988" s="14">
        <f>DATE(2012,12,31)-1390</f>
        <v>39884</v>
      </c>
      <c r="B1988" s="15" t="s">
        <v>1268</v>
      </c>
      <c r="C1988" s="15" t="s">
        <v>31</v>
      </c>
      <c r="D1988" s="16">
        <v>39</v>
      </c>
      <c r="E1988" s="17">
        <v>1233.4775</v>
      </c>
      <c r="F1988" s="16">
        <v>0.01</v>
      </c>
      <c r="G1988" s="15" t="s">
        <v>32</v>
      </c>
      <c r="H1988" s="18">
        <v>453.798</v>
      </c>
      <c r="I1988" s="19">
        <v>35.99</v>
      </c>
      <c r="J1988" s="19">
        <v>5.99</v>
      </c>
      <c r="K1988" s="19" t="s">
        <v>44</v>
      </c>
      <c r="L1988" s="19" t="s">
        <v>52</v>
      </c>
      <c r="M1988" s="15" t="s">
        <v>1685</v>
      </c>
      <c r="N1988" s="15" t="s">
        <v>64</v>
      </c>
      <c r="O1988" s="15" t="s">
        <v>65</v>
      </c>
      <c r="P1988" s="20" t="s">
        <v>1577</v>
      </c>
      <c r="Q1988" s="15" t="s">
        <v>79</v>
      </c>
      <c r="R1988" s="4"/>
      <c r="S1988" s="4"/>
    </row>
    <row r="1989" spans="1:19" ht="21" customHeight="1" x14ac:dyDescent="0.25">
      <c r="A1989" s="14">
        <f>DATE(2012,12,31)-1288</f>
        <v>39986</v>
      </c>
      <c r="B1989" s="15" t="s">
        <v>1748</v>
      </c>
      <c r="C1989" s="15" t="s">
        <v>31</v>
      </c>
      <c r="D1989" s="16">
        <v>23</v>
      </c>
      <c r="E1989" s="17">
        <v>2433.5500000000002</v>
      </c>
      <c r="F1989" s="16">
        <v>0.05</v>
      </c>
      <c r="G1989" s="15" t="s">
        <v>32</v>
      </c>
      <c r="H1989" s="18">
        <v>355.93200000000002</v>
      </c>
      <c r="I1989" s="19">
        <v>125.99</v>
      </c>
      <c r="J1989" s="19">
        <v>8.08</v>
      </c>
      <c r="K1989" s="19" t="s">
        <v>44</v>
      </c>
      <c r="L1989" s="19" t="s">
        <v>52</v>
      </c>
      <c r="M1989" s="15" t="s">
        <v>1685</v>
      </c>
      <c r="N1989" s="15" t="s">
        <v>64</v>
      </c>
      <c r="O1989" s="15" t="s">
        <v>65</v>
      </c>
      <c r="P1989" s="20" t="s">
        <v>174</v>
      </c>
      <c r="Q1989" s="15" t="s">
        <v>83</v>
      </c>
      <c r="R1989" s="4"/>
      <c r="S1989" s="4"/>
    </row>
    <row r="1990" spans="1:19" ht="21" customHeight="1" x14ac:dyDescent="0.25">
      <c r="A1990" s="14">
        <f>DATE(2012,12,31)-188</f>
        <v>41086</v>
      </c>
      <c r="B1990" s="15" t="s">
        <v>104</v>
      </c>
      <c r="C1990" s="15" t="s">
        <v>43</v>
      </c>
      <c r="D1990" s="16">
        <v>19</v>
      </c>
      <c r="E1990" s="17">
        <v>676.79</v>
      </c>
      <c r="F1990" s="16">
        <v>0</v>
      </c>
      <c r="G1990" s="15" t="s">
        <v>32</v>
      </c>
      <c r="H1990" s="18">
        <v>213.2</v>
      </c>
      <c r="I1990" s="19">
        <v>33.29</v>
      </c>
      <c r="J1990" s="19">
        <v>1.99</v>
      </c>
      <c r="K1990" s="19" t="s">
        <v>44</v>
      </c>
      <c r="L1990" s="19" t="s">
        <v>52</v>
      </c>
      <c r="M1990" s="15" t="s">
        <v>1685</v>
      </c>
      <c r="N1990" s="15" t="s">
        <v>64</v>
      </c>
      <c r="O1990" s="15" t="s">
        <v>72</v>
      </c>
      <c r="P1990" s="20" t="s">
        <v>1749</v>
      </c>
      <c r="Q1990" s="15" t="s">
        <v>49</v>
      </c>
      <c r="R1990" s="4"/>
      <c r="S1990" s="4"/>
    </row>
    <row r="1991" spans="1:19" ht="21" customHeight="1" x14ac:dyDescent="0.25">
      <c r="A1991" s="14">
        <f>DATE(2012,12,31)-1418</f>
        <v>39856</v>
      </c>
      <c r="B1991" s="15" t="s">
        <v>1724</v>
      </c>
      <c r="C1991" s="15" t="s">
        <v>43</v>
      </c>
      <c r="D1991" s="16">
        <v>22</v>
      </c>
      <c r="E1991" s="17">
        <v>3220.58</v>
      </c>
      <c r="F1991" s="16">
        <v>0.04</v>
      </c>
      <c r="G1991" s="15" t="s">
        <v>32</v>
      </c>
      <c r="H1991" s="18">
        <v>1046.69</v>
      </c>
      <c r="I1991" s="19">
        <v>150.97999999999999</v>
      </c>
      <c r="J1991" s="19">
        <v>13.99</v>
      </c>
      <c r="K1991" s="19" t="s">
        <v>44</v>
      </c>
      <c r="L1991" s="19" t="s">
        <v>52</v>
      </c>
      <c r="M1991" s="15" t="s">
        <v>1685</v>
      </c>
      <c r="N1991" s="15" t="s">
        <v>64</v>
      </c>
      <c r="O1991" s="15" t="s">
        <v>122</v>
      </c>
      <c r="P1991" s="20" t="s">
        <v>123</v>
      </c>
      <c r="Q1991" s="15" t="s">
        <v>57</v>
      </c>
      <c r="R1991" s="4"/>
      <c r="S1991" s="4"/>
    </row>
    <row r="1992" spans="1:19" ht="21" customHeight="1" x14ac:dyDescent="0.25">
      <c r="A1992" s="14">
        <f>DATE(2012,12,31)-1418</f>
        <v>39856</v>
      </c>
      <c r="B1992" s="15" t="s">
        <v>1724</v>
      </c>
      <c r="C1992" s="15" t="s">
        <v>43</v>
      </c>
      <c r="D1992" s="16">
        <v>14</v>
      </c>
      <c r="E1992" s="17">
        <v>2367.9899999999998</v>
      </c>
      <c r="F1992" s="16">
        <v>0.04</v>
      </c>
      <c r="G1992" s="15" t="s">
        <v>32</v>
      </c>
      <c r="H1992" s="18">
        <v>320.10000000000002</v>
      </c>
      <c r="I1992" s="19">
        <v>176.19</v>
      </c>
      <c r="J1992" s="19">
        <v>11.87</v>
      </c>
      <c r="K1992" s="19" t="s">
        <v>44</v>
      </c>
      <c r="L1992" s="19" t="s">
        <v>52</v>
      </c>
      <c r="M1992" s="15" t="s">
        <v>1685</v>
      </c>
      <c r="N1992" s="15" t="s">
        <v>36</v>
      </c>
      <c r="O1992" s="15" t="s">
        <v>37</v>
      </c>
      <c r="P1992" s="20" t="s">
        <v>1750</v>
      </c>
      <c r="Q1992" s="15" t="s">
        <v>83</v>
      </c>
      <c r="R1992" s="4"/>
      <c r="S1992" s="4"/>
    </row>
    <row r="1993" spans="1:19" ht="21" customHeight="1" x14ac:dyDescent="0.25">
      <c r="A1993" s="14">
        <f>DATE(2012,12,31)-319</f>
        <v>40955</v>
      </c>
      <c r="B1993" s="15" t="s">
        <v>1536</v>
      </c>
      <c r="C1993" s="15" t="s">
        <v>85</v>
      </c>
      <c r="D1993" s="16">
        <v>4</v>
      </c>
      <c r="E1993" s="17">
        <v>31.18</v>
      </c>
      <c r="F1993" s="16">
        <v>0</v>
      </c>
      <c r="G1993" s="15" t="s">
        <v>32</v>
      </c>
      <c r="H1993" s="18">
        <v>-17.16</v>
      </c>
      <c r="I1993" s="19">
        <v>6.24</v>
      </c>
      <c r="J1993" s="19">
        <v>5.22</v>
      </c>
      <c r="K1993" s="19" t="s">
        <v>44</v>
      </c>
      <c r="L1993" s="19" t="s">
        <v>52</v>
      </c>
      <c r="M1993" s="15" t="s">
        <v>1685</v>
      </c>
      <c r="N1993" s="15" t="s">
        <v>54</v>
      </c>
      <c r="O1993" s="15" t="s">
        <v>55</v>
      </c>
      <c r="P1993" s="20" t="s">
        <v>341</v>
      </c>
      <c r="Q1993" s="15" t="s">
        <v>83</v>
      </c>
      <c r="R1993" s="4"/>
      <c r="S1993" s="4"/>
    </row>
    <row r="1994" spans="1:19" ht="21" customHeight="1" x14ac:dyDescent="0.25">
      <c r="A1994" s="14">
        <f>DATE(2012,12,31)-319</f>
        <v>40955</v>
      </c>
      <c r="B1994" s="15" t="s">
        <v>1536</v>
      </c>
      <c r="C1994" s="15" t="s">
        <v>85</v>
      </c>
      <c r="D1994" s="16">
        <v>8</v>
      </c>
      <c r="E1994" s="17">
        <v>21.99</v>
      </c>
      <c r="F1994" s="16">
        <v>0.02</v>
      </c>
      <c r="G1994" s="15" t="s">
        <v>32</v>
      </c>
      <c r="H1994" s="18">
        <v>4.63</v>
      </c>
      <c r="I1994" s="19">
        <v>2.61</v>
      </c>
      <c r="J1994" s="19">
        <v>0.5</v>
      </c>
      <c r="K1994" s="19" t="s">
        <v>44</v>
      </c>
      <c r="L1994" s="19" t="s">
        <v>52</v>
      </c>
      <c r="M1994" s="15" t="s">
        <v>1685</v>
      </c>
      <c r="N1994" s="15" t="s">
        <v>36</v>
      </c>
      <c r="O1994" s="15" t="s">
        <v>114</v>
      </c>
      <c r="P1994" s="20" t="s">
        <v>587</v>
      </c>
      <c r="Q1994" s="15" t="s">
        <v>83</v>
      </c>
      <c r="R1994" s="4"/>
      <c r="S1994" s="4"/>
    </row>
    <row r="1995" spans="1:19" ht="21" customHeight="1" x14ac:dyDescent="0.25">
      <c r="A1995" s="14">
        <f>DATE(2012,12,31)-171</f>
        <v>41103</v>
      </c>
      <c r="B1995" s="15" t="s">
        <v>406</v>
      </c>
      <c r="C1995" s="15" t="s">
        <v>85</v>
      </c>
      <c r="D1995" s="16">
        <v>44</v>
      </c>
      <c r="E1995" s="17">
        <v>2277.0300000000002</v>
      </c>
      <c r="F1995" s="16">
        <v>7.0000000000000007E-2</v>
      </c>
      <c r="G1995" s="15" t="s">
        <v>32</v>
      </c>
      <c r="H1995" s="18">
        <v>964.1</v>
      </c>
      <c r="I1995" s="19">
        <v>55.48</v>
      </c>
      <c r="J1995" s="19">
        <v>6.79</v>
      </c>
      <c r="K1995" s="19" t="s">
        <v>44</v>
      </c>
      <c r="L1995" s="19" t="s">
        <v>236</v>
      </c>
      <c r="M1995" s="15" t="s">
        <v>237</v>
      </c>
      <c r="N1995" s="15" t="s">
        <v>36</v>
      </c>
      <c r="O1995" s="15" t="s">
        <v>117</v>
      </c>
      <c r="P1995" s="20" t="s">
        <v>1482</v>
      </c>
      <c r="Q1995" s="15" t="s">
        <v>83</v>
      </c>
      <c r="R1995" s="4"/>
      <c r="S1995" s="4"/>
    </row>
    <row r="1996" spans="1:19" ht="21" customHeight="1" x14ac:dyDescent="0.25">
      <c r="A1996" s="14">
        <f>DATE(2012,12,31)-318</f>
        <v>40956</v>
      </c>
      <c r="B1996" s="15" t="s">
        <v>1000</v>
      </c>
      <c r="C1996" s="15" t="s">
        <v>51</v>
      </c>
      <c r="D1996" s="16">
        <v>24</v>
      </c>
      <c r="E1996" s="17">
        <v>68.88</v>
      </c>
      <c r="F1996" s="16">
        <v>0</v>
      </c>
      <c r="G1996" s="15" t="s">
        <v>32</v>
      </c>
      <c r="H1996" s="18">
        <v>1.3090000000000002</v>
      </c>
      <c r="I1996" s="19">
        <v>2.78</v>
      </c>
      <c r="J1996" s="19">
        <v>1.49</v>
      </c>
      <c r="K1996" s="19" t="s">
        <v>44</v>
      </c>
      <c r="L1996" s="19" t="s">
        <v>89</v>
      </c>
      <c r="M1996" s="15" t="s">
        <v>1341</v>
      </c>
      <c r="N1996" s="15" t="s">
        <v>36</v>
      </c>
      <c r="O1996" s="15" t="s">
        <v>170</v>
      </c>
      <c r="P1996" s="20" t="s">
        <v>1672</v>
      </c>
      <c r="Q1996" s="15" t="s">
        <v>83</v>
      </c>
      <c r="R1996" s="4"/>
      <c r="S1996" s="4"/>
    </row>
    <row r="1997" spans="1:19" ht="21" customHeight="1" x14ac:dyDescent="0.25">
      <c r="A1997" s="14">
        <f>DATE(2012,12,31)-200</f>
        <v>41074</v>
      </c>
      <c r="B1997" s="15" t="s">
        <v>1733</v>
      </c>
      <c r="C1997" s="15" t="s">
        <v>85</v>
      </c>
      <c r="D1997" s="16">
        <v>22</v>
      </c>
      <c r="E1997" s="17">
        <v>263.63</v>
      </c>
      <c r="F1997" s="16">
        <v>0.03</v>
      </c>
      <c r="G1997" s="15" t="s">
        <v>32</v>
      </c>
      <c r="H1997" s="18">
        <v>48.86</v>
      </c>
      <c r="I1997" s="19">
        <v>11.55</v>
      </c>
      <c r="J1997" s="19">
        <v>2.36</v>
      </c>
      <c r="K1997" s="19" t="s">
        <v>69</v>
      </c>
      <c r="L1997" s="19" t="s">
        <v>70</v>
      </c>
      <c r="M1997" s="15" t="s">
        <v>1492</v>
      </c>
      <c r="N1997" s="15" t="s">
        <v>36</v>
      </c>
      <c r="O1997" s="15" t="s">
        <v>77</v>
      </c>
      <c r="P1997" s="20" t="s">
        <v>996</v>
      </c>
      <c r="Q1997" s="15" t="s">
        <v>79</v>
      </c>
      <c r="R1997" s="4"/>
      <c r="S1997" s="4"/>
    </row>
    <row r="1998" spans="1:19" ht="21" customHeight="1" x14ac:dyDescent="0.25">
      <c r="A1998" s="14">
        <f>DATE(2012,12,31)-603</f>
        <v>40671</v>
      </c>
      <c r="B1998" s="15" t="s">
        <v>1311</v>
      </c>
      <c r="C1998" s="15" t="s">
        <v>51</v>
      </c>
      <c r="D1998" s="16">
        <v>35</v>
      </c>
      <c r="E1998" s="17">
        <v>1078.58</v>
      </c>
      <c r="F1998" s="16">
        <v>0.03</v>
      </c>
      <c r="G1998" s="15" t="s">
        <v>32</v>
      </c>
      <c r="H1998" s="18">
        <v>8.9999999999999751</v>
      </c>
      <c r="I1998" s="19">
        <v>30.73</v>
      </c>
      <c r="J1998" s="19">
        <v>4</v>
      </c>
      <c r="K1998" s="19" t="s">
        <v>69</v>
      </c>
      <c r="L1998" s="19" t="s">
        <v>75</v>
      </c>
      <c r="M1998" s="15" t="s">
        <v>1569</v>
      </c>
      <c r="N1998" s="15" t="s">
        <v>64</v>
      </c>
      <c r="O1998" s="15" t="s">
        <v>72</v>
      </c>
      <c r="P1998" s="20" t="s">
        <v>971</v>
      </c>
      <c r="Q1998" s="15" t="s">
        <v>83</v>
      </c>
      <c r="R1998" s="4"/>
      <c r="S1998" s="4"/>
    </row>
    <row r="1999" spans="1:19" ht="21" customHeight="1" x14ac:dyDescent="0.25">
      <c r="A1999" s="14">
        <f>DATE(2012,12,31)-1054</f>
        <v>40220</v>
      </c>
      <c r="B1999" s="15" t="s">
        <v>1751</v>
      </c>
      <c r="C1999" s="15" t="s">
        <v>85</v>
      </c>
      <c r="D1999" s="16">
        <v>17</v>
      </c>
      <c r="E1999" s="17">
        <v>454.09</v>
      </c>
      <c r="F1999" s="16">
        <v>0.1</v>
      </c>
      <c r="G1999" s="15" t="s">
        <v>32</v>
      </c>
      <c r="H1999" s="18">
        <v>29.7</v>
      </c>
      <c r="I1999" s="19">
        <v>28.15</v>
      </c>
      <c r="J1999" s="19">
        <v>6.17</v>
      </c>
      <c r="K1999" s="19" t="s">
        <v>124</v>
      </c>
      <c r="L1999" s="19" t="s">
        <v>125</v>
      </c>
      <c r="M1999" s="15" t="s">
        <v>1297</v>
      </c>
      <c r="N1999" s="15" t="s">
        <v>36</v>
      </c>
      <c r="O1999" s="15" t="s">
        <v>77</v>
      </c>
      <c r="P1999" s="20" t="s">
        <v>608</v>
      </c>
      <c r="Q1999" s="15" t="s">
        <v>49</v>
      </c>
      <c r="R1999" s="4"/>
      <c r="S1999" s="4"/>
    </row>
    <row r="2000" spans="1:19" ht="21" customHeight="1" x14ac:dyDescent="0.25">
      <c r="A2000" s="14">
        <f>DATE(2012,12,31)-503</f>
        <v>40771</v>
      </c>
      <c r="B2000" s="15" t="s">
        <v>1752</v>
      </c>
      <c r="C2000" s="15" t="s">
        <v>85</v>
      </c>
      <c r="D2000" s="16">
        <v>4</v>
      </c>
      <c r="E2000" s="17">
        <v>14.75</v>
      </c>
      <c r="F2000" s="16">
        <v>0.03</v>
      </c>
      <c r="G2000" s="15" t="s">
        <v>32</v>
      </c>
      <c r="H2000" s="18">
        <v>-2.4900000000000002</v>
      </c>
      <c r="I2000" s="19">
        <v>3.29</v>
      </c>
      <c r="J2000" s="19">
        <v>1.35</v>
      </c>
      <c r="K2000" s="19" t="s">
        <v>44</v>
      </c>
      <c r="L2000" s="19" t="s">
        <v>52</v>
      </c>
      <c r="M2000" s="15" t="s">
        <v>1685</v>
      </c>
      <c r="N2000" s="15" t="s">
        <v>36</v>
      </c>
      <c r="O2000" s="15" t="s">
        <v>105</v>
      </c>
      <c r="P2000" s="20" t="s">
        <v>866</v>
      </c>
      <c r="Q2000" s="15" t="s">
        <v>79</v>
      </c>
      <c r="R2000" s="4"/>
      <c r="S2000" s="4"/>
    </row>
    <row r="2001" spans="1:19" ht="21" customHeight="1" x14ac:dyDescent="0.25">
      <c r="A2001" s="14">
        <f>DATE(2012,12,31)-323</f>
        <v>40951</v>
      </c>
      <c r="B2001" s="15" t="s">
        <v>602</v>
      </c>
      <c r="C2001" s="15" t="s">
        <v>85</v>
      </c>
      <c r="D2001" s="16">
        <v>32</v>
      </c>
      <c r="E2001" s="17">
        <v>2409.96</v>
      </c>
      <c r="F2001" s="16">
        <v>7.0000000000000007E-2</v>
      </c>
      <c r="G2001" s="15" t="s">
        <v>32</v>
      </c>
      <c r="H2001" s="18">
        <v>575.1</v>
      </c>
      <c r="I2001" s="19">
        <v>80.98</v>
      </c>
      <c r="J2001" s="19">
        <v>4.5</v>
      </c>
      <c r="K2001" s="19" t="s">
        <v>44</v>
      </c>
      <c r="L2001" s="19" t="s">
        <v>52</v>
      </c>
      <c r="M2001" s="15" t="s">
        <v>1685</v>
      </c>
      <c r="N2001" s="15" t="s">
        <v>36</v>
      </c>
      <c r="O2001" s="15" t="s">
        <v>176</v>
      </c>
      <c r="P2001" s="20" t="s">
        <v>301</v>
      </c>
      <c r="Q2001" s="15" t="s">
        <v>83</v>
      </c>
      <c r="R2001" s="4"/>
      <c r="S2001" s="4"/>
    </row>
    <row r="2002" spans="1:19" ht="21" customHeight="1" x14ac:dyDescent="0.25">
      <c r="A2002" s="14">
        <f>DATE(2012,12,31)-1455</f>
        <v>39819</v>
      </c>
      <c r="B2002" s="15" t="s">
        <v>1421</v>
      </c>
      <c r="C2002" s="15" t="s">
        <v>43</v>
      </c>
      <c r="D2002" s="16">
        <v>23</v>
      </c>
      <c r="E2002" s="17">
        <v>3674.08</v>
      </c>
      <c r="F2002" s="16">
        <v>0.01</v>
      </c>
      <c r="G2002" s="15" t="s">
        <v>58</v>
      </c>
      <c r="H2002" s="18">
        <v>112.44</v>
      </c>
      <c r="I2002" s="19">
        <v>150.97999999999999</v>
      </c>
      <c r="J2002" s="19">
        <v>30</v>
      </c>
      <c r="K2002" s="19" t="s">
        <v>44</v>
      </c>
      <c r="L2002" s="19" t="s">
        <v>80</v>
      </c>
      <c r="M2002" s="15" t="s">
        <v>1200</v>
      </c>
      <c r="N2002" s="15" t="s">
        <v>54</v>
      </c>
      <c r="O2002" s="15" t="s">
        <v>252</v>
      </c>
      <c r="P2002" s="20" t="s">
        <v>1303</v>
      </c>
      <c r="Q2002" s="15" t="s">
        <v>181</v>
      </c>
      <c r="R2002" s="4"/>
      <c r="S2002" s="4"/>
    </row>
    <row r="2003" spans="1:19" ht="21" customHeight="1" x14ac:dyDescent="0.25">
      <c r="A2003" s="14">
        <f>DATE(2012,12,31)-1455</f>
        <v>39819</v>
      </c>
      <c r="B2003" s="15" t="s">
        <v>1421</v>
      </c>
      <c r="C2003" s="15" t="s">
        <v>43</v>
      </c>
      <c r="D2003" s="16">
        <v>46</v>
      </c>
      <c r="E2003" s="17">
        <v>1413.89</v>
      </c>
      <c r="F2003" s="16">
        <v>0.01</v>
      </c>
      <c r="G2003" s="15" t="s">
        <v>101</v>
      </c>
      <c r="H2003" s="18">
        <v>-40.72</v>
      </c>
      <c r="I2003" s="19">
        <v>28.28</v>
      </c>
      <c r="J2003" s="19">
        <v>13.99</v>
      </c>
      <c r="K2003" s="19" t="s">
        <v>44</v>
      </c>
      <c r="L2003" s="19" t="s">
        <v>120</v>
      </c>
      <c r="M2003" s="15" t="s">
        <v>121</v>
      </c>
      <c r="N2003" s="15" t="s">
        <v>36</v>
      </c>
      <c r="O2003" s="15" t="s">
        <v>37</v>
      </c>
      <c r="P2003" s="20" t="s">
        <v>883</v>
      </c>
      <c r="Q2003" s="15" t="s">
        <v>57</v>
      </c>
      <c r="R2003" s="4"/>
      <c r="S2003" s="4"/>
    </row>
    <row r="2004" spans="1:19" ht="21" customHeight="1" x14ac:dyDescent="0.25">
      <c r="A2004" s="14">
        <f>DATE(2012,12,31)-1455</f>
        <v>39819</v>
      </c>
      <c r="B2004" s="15" t="s">
        <v>1421</v>
      </c>
      <c r="C2004" s="15" t="s">
        <v>43</v>
      </c>
      <c r="D2004" s="16">
        <v>2</v>
      </c>
      <c r="E2004" s="17">
        <v>61.718499999999999</v>
      </c>
      <c r="F2004" s="16">
        <v>0.03</v>
      </c>
      <c r="G2004" s="15" t="s">
        <v>32</v>
      </c>
      <c r="H2004" s="18">
        <v>-164.04300000000001</v>
      </c>
      <c r="I2004" s="19">
        <v>35.99</v>
      </c>
      <c r="J2004" s="19">
        <v>1.1000000000000001</v>
      </c>
      <c r="K2004" s="19" t="s">
        <v>69</v>
      </c>
      <c r="L2004" s="19" t="s">
        <v>70</v>
      </c>
      <c r="M2004" s="15" t="s">
        <v>1492</v>
      </c>
      <c r="N2004" s="15" t="s">
        <v>64</v>
      </c>
      <c r="O2004" s="15" t="s">
        <v>65</v>
      </c>
      <c r="P2004" s="20" t="s">
        <v>501</v>
      </c>
      <c r="Q2004" s="15" t="s">
        <v>83</v>
      </c>
      <c r="R2004" s="4"/>
      <c r="S2004" s="4"/>
    </row>
    <row r="2005" spans="1:19" ht="21" customHeight="1" x14ac:dyDescent="0.25">
      <c r="A2005" s="14">
        <f>DATE(2012,12,31)-932</f>
        <v>40342</v>
      </c>
      <c r="B2005" s="15" t="s">
        <v>1302</v>
      </c>
      <c r="C2005" s="15" t="s">
        <v>31</v>
      </c>
      <c r="D2005" s="16">
        <v>20</v>
      </c>
      <c r="E2005" s="17">
        <v>42.22</v>
      </c>
      <c r="F2005" s="16">
        <v>0.04</v>
      </c>
      <c r="G2005" s="15" t="s">
        <v>32</v>
      </c>
      <c r="H2005" s="18">
        <v>-7.7279999999999998</v>
      </c>
      <c r="I2005" s="19">
        <v>2.08</v>
      </c>
      <c r="J2005" s="19">
        <v>1.49</v>
      </c>
      <c r="K2005" s="19" t="s">
        <v>97</v>
      </c>
      <c r="L2005" s="19" t="s">
        <v>98</v>
      </c>
      <c r="M2005" s="15" t="s">
        <v>1162</v>
      </c>
      <c r="N2005" s="15" t="s">
        <v>36</v>
      </c>
      <c r="O2005" s="15" t="s">
        <v>170</v>
      </c>
      <c r="P2005" s="20" t="s">
        <v>1285</v>
      </c>
      <c r="Q2005" s="15" t="s">
        <v>83</v>
      </c>
      <c r="R2005" s="4"/>
      <c r="S2005" s="4"/>
    </row>
    <row r="2006" spans="1:19" ht="21" customHeight="1" x14ac:dyDescent="0.25">
      <c r="A2006" s="14">
        <f>DATE(2012,12,31)-932</f>
        <v>40342</v>
      </c>
      <c r="B2006" s="15" t="s">
        <v>1302</v>
      </c>
      <c r="C2006" s="15" t="s">
        <v>31</v>
      </c>
      <c r="D2006" s="16">
        <v>4</v>
      </c>
      <c r="E2006" s="17">
        <v>653.44000000000005</v>
      </c>
      <c r="F2006" s="16">
        <v>0.06</v>
      </c>
      <c r="G2006" s="15" t="s">
        <v>58</v>
      </c>
      <c r="H2006" s="18">
        <v>-187.75</v>
      </c>
      <c r="I2006" s="19">
        <v>160.97999999999999</v>
      </c>
      <c r="J2006" s="19">
        <v>30</v>
      </c>
      <c r="K2006" s="19" t="s">
        <v>124</v>
      </c>
      <c r="L2006" s="19" t="s">
        <v>160</v>
      </c>
      <c r="M2006" s="15" t="s">
        <v>1621</v>
      </c>
      <c r="N2006" s="15" t="s">
        <v>54</v>
      </c>
      <c r="O2006" s="15" t="s">
        <v>252</v>
      </c>
      <c r="P2006" s="20" t="s">
        <v>726</v>
      </c>
      <c r="Q2006" s="15" t="s">
        <v>181</v>
      </c>
      <c r="R2006" s="4"/>
      <c r="S2006" s="4"/>
    </row>
    <row r="2007" spans="1:19" ht="21" customHeight="1" x14ac:dyDescent="0.25">
      <c r="A2007" s="14">
        <f>DATE(2012,12,31)-1292</f>
        <v>39982</v>
      </c>
      <c r="B2007" s="15" t="s">
        <v>412</v>
      </c>
      <c r="C2007" s="15" t="s">
        <v>85</v>
      </c>
      <c r="D2007" s="16">
        <v>11</v>
      </c>
      <c r="E2007" s="17">
        <v>110.79</v>
      </c>
      <c r="F2007" s="16">
        <v>0.1</v>
      </c>
      <c r="G2007" s="15" t="s">
        <v>32</v>
      </c>
      <c r="H2007" s="18">
        <v>-11.13</v>
      </c>
      <c r="I2007" s="19">
        <v>10.48</v>
      </c>
      <c r="J2007" s="19">
        <v>2.89</v>
      </c>
      <c r="K2007" s="19" t="s">
        <v>124</v>
      </c>
      <c r="L2007" s="19" t="s">
        <v>493</v>
      </c>
      <c r="M2007" s="15" t="s">
        <v>1588</v>
      </c>
      <c r="N2007" s="15" t="s">
        <v>36</v>
      </c>
      <c r="O2007" s="15" t="s">
        <v>77</v>
      </c>
      <c r="P2007" s="20" t="s">
        <v>1753</v>
      </c>
      <c r="Q2007" s="15" t="s">
        <v>49</v>
      </c>
      <c r="R2007" s="4"/>
      <c r="S2007" s="4"/>
    </row>
    <row r="2008" spans="1:19" ht="21" customHeight="1" x14ac:dyDescent="0.25">
      <c r="A2008" s="14">
        <f>DATE(2012,12,31)-1248</f>
        <v>40026</v>
      </c>
      <c r="B2008" s="15" t="s">
        <v>1480</v>
      </c>
      <c r="C2008" s="15" t="s">
        <v>85</v>
      </c>
      <c r="D2008" s="16">
        <v>30</v>
      </c>
      <c r="E2008" s="17">
        <v>192.41</v>
      </c>
      <c r="F2008" s="16">
        <v>0.03</v>
      </c>
      <c r="G2008" s="15" t="s">
        <v>32</v>
      </c>
      <c r="H2008" s="18">
        <v>-55.947499999999998</v>
      </c>
      <c r="I2008" s="19">
        <v>6.37</v>
      </c>
      <c r="J2008" s="19">
        <v>5.19</v>
      </c>
      <c r="K2008" s="19" t="s">
        <v>124</v>
      </c>
      <c r="L2008" s="19" t="s">
        <v>125</v>
      </c>
      <c r="M2008" s="15" t="s">
        <v>1297</v>
      </c>
      <c r="N2008" s="15" t="s">
        <v>36</v>
      </c>
      <c r="O2008" s="15" t="s">
        <v>170</v>
      </c>
      <c r="P2008" s="20" t="s">
        <v>383</v>
      </c>
      <c r="Q2008" s="15" t="s">
        <v>83</v>
      </c>
      <c r="R2008" s="4"/>
      <c r="S2008" s="4"/>
    </row>
    <row r="2009" spans="1:19" ht="21" customHeight="1" x14ac:dyDescent="0.25">
      <c r="A2009" s="14">
        <f>DATE(2012,12,31)-1139</f>
        <v>40135</v>
      </c>
      <c r="B2009" s="15" t="s">
        <v>850</v>
      </c>
      <c r="C2009" s="15" t="s">
        <v>51</v>
      </c>
      <c r="D2009" s="16">
        <v>4</v>
      </c>
      <c r="E2009" s="17">
        <v>174.55</v>
      </c>
      <c r="F2009" s="16">
        <v>0.05</v>
      </c>
      <c r="G2009" s="15" t="s">
        <v>101</v>
      </c>
      <c r="H2009" s="18">
        <v>-114.39</v>
      </c>
      <c r="I2009" s="19">
        <v>39.99</v>
      </c>
      <c r="J2009" s="19">
        <v>10.25</v>
      </c>
      <c r="K2009" s="19" t="s">
        <v>33</v>
      </c>
      <c r="L2009" s="19" t="s">
        <v>128</v>
      </c>
      <c r="M2009" s="15" t="s">
        <v>129</v>
      </c>
      <c r="N2009" s="15" t="s">
        <v>64</v>
      </c>
      <c r="O2009" s="15" t="s">
        <v>72</v>
      </c>
      <c r="P2009" s="20" t="s">
        <v>1754</v>
      </c>
      <c r="Q2009" s="15" t="s">
        <v>83</v>
      </c>
      <c r="R2009" s="4"/>
      <c r="S2009" s="4"/>
    </row>
    <row r="2010" spans="1:19" ht="21" customHeight="1" x14ac:dyDescent="0.25">
      <c r="A2010" s="14">
        <f>DATE(2012,12,31)-1065</f>
        <v>40209</v>
      </c>
      <c r="B2010" s="15" t="s">
        <v>1755</v>
      </c>
      <c r="C2010" s="15" t="s">
        <v>31</v>
      </c>
      <c r="D2010" s="16">
        <v>34</v>
      </c>
      <c r="E2010" s="17">
        <v>6580.16</v>
      </c>
      <c r="F2010" s="16">
        <v>0.1</v>
      </c>
      <c r="G2010" s="15" t="s">
        <v>58</v>
      </c>
      <c r="H2010" s="18">
        <v>2786.35</v>
      </c>
      <c r="I2010" s="19">
        <v>200.97</v>
      </c>
      <c r="J2010" s="19">
        <v>15.59</v>
      </c>
      <c r="K2010" s="19" t="s">
        <v>44</v>
      </c>
      <c r="L2010" s="19" t="s">
        <v>236</v>
      </c>
      <c r="M2010" s="15" t="s">
        <v>237</v>
      </c>
      <c r="N2010" s="15" t="s">
        <v>64</v>
      </c>
      <c r="O2010" s="15" t="s">
        <v>122</v>
      </c>
      <c r="P2010" s="20" t="s">
        <v>1728</v>
      </c>
      <c r="Q2010" s="15" t="s">
        <v>181</v>
      </c>
      <c r="R2010" s="4"/>
      <c r="S2010" s="4"/>
    </row>
    <row r="2011" spans="1:19" ht="21" customHeight="1" x14ac:dyDescent="0.25">
      <c r="A2011" s="14">
        <f>DATE(2012,12,31)-1344</f>
        <v>39930</v>
      </c>
      <c r="B2011" s="15" t="s">
        <v>1528</v>
      </c>
      <c r="C2011" s="15" t="s">
        <v>31</v>
      </c>
      <c r="D2011" s="16">
        <v>38</v>
      </c>
      <c r="E2011" s="17">
        <v>10823.84</v>
      </c>
      <c r="F2011" s="16">
        <v>0.09</v>
      </c>
      <c r="G2011" s="15" t="s">
        <v>32</v>
      </c>
      <c r="H2011" s="18">
        <v>3857.43</v>
      </c>
      <c r="I2011" s="19">
        <v>300.97000000000003</v>
      </c>
      <c r="J2011" s="19">
        <v>7.18</v>
      </c>
      <c r="K2011" s="19" t="s">
        <v>69</v>
      </c>
      <c r="L2011" s="19" t="s">
        <v>70</v>
      </c>
      <c r="M2011" s="15" t="s">
        <v>1756</v>
      </c>
      <c r="N2011" s="15" t="s">
        <v>64</v>
      </c>
      <c r="O2011" s="15" t="s">
        <v>72</v>
      </c>
      <c r="P2011" s="20" t="s">
        <v>717</v>
      </c>
      <c r="Q2011" s="15" t="s">
        <v>83</v>
      </c>
      <c r="R2011" s="4"/>
      <c r="S2011" s="4"/>
    </row>
    <row r="2012" spans="1:19" ht="21" customHeight="1" x14ac:dyDescent="0.25">
      <c r="A2012" s="14">
        <f>DATE(2012,12,31)-478</f>
        <v>40796</v>
      </c>
      <c r="B2012" s="15" t="s">
        <v>1619</v>
      </c>
      <c r="C2012" s="15" t="s">
        <v>51</v>
      </c>
      <c r="D2012" s="16">
        <v>5</v>
      </c>
      <c r="E2012" s="17">
        <v>522.05999999999995</v>
      </c>
      <c r="F2012" s="16">
        <v>0.06</v>
      </c>
      <c r="G2012" s="15" t="s">
        <v>32</v>
      </c>
      <c r="H2012" s="18">
        <v>319.64</v>
      </c>
      <c r="I2012" s="19">
        <v>105.98</v>
      </c>
      <c r="J2012" s="19">
        <v>13.99</v>
      </c>
      <c r="K2012" s="19" t="s">
        <v>111</v>
      </c>
      <c r="L2012" s="19" t="s">
        <v>258</v>
      </c>
      <c r="M2012" s="15" t="s">
        <v>259</v>
      </c>
      <c r="N2012" s="15" t="s">
        <v>54</v>
      </c>
      <c r="O2012" s="15" t="s">
        <v>55</v>
      </c>
      <c r="P2012" s="20" t="s">
        <v>1151</v>
      </c>
      <c r="Q2012" s="15" t="s">
        <v>57</v>
      </c>
      <c r="R2012" s="4"/>
      <c r="S2012" s="4"/>
    </row>
    <row r="2013" spans="1:19" ht="21" customHeight="1" x14ac:dyDescent="0.25">
      <c r="A2013" s="14">
        <f>DATE(2012,12,31)-478</f>
        <v>40796</v>
      </c>
      <c r="B2013" s="15" t="s">
        <v>1619</v>
      </c>
      <c r="C2013" s="15" t="s">
        <v>51</v>
      </c>
      <c r="D2013" s="16">
        <v>37</v>
      </c>
      <c r="E2013" s="17">
        <v>1218.08</v>
      </c>
      <c r="F2013" s="16">
        <v>0.1</v>
      </c>
      <c r="G2013" s="15" t="s">
        <v>32</v>
      </c>
      <c r="H2013" s="18">
        <v>99.79</v>
      </c>
      <c r="I2013" s="19">
        <v>34.58</v>
      </c>
      <c r="J2013" s="19">
        <v>8.99</v>
      </c>
      <c r="K2013" s="19" t="s">
        <v>44</v>
      </c>
      <c r="L2013" s="19" t="s">
        <v>45</v>
      </c>
      <c r="M2013" s="15" t="s">
        <v>1572</v>
      </c>
      <c r="N2013" s="15" t="s">
        <v>36</v>
      </c>
      <c r="O2013" s="15" t="s">
        <v>77</v>
      </c>
      <c r="P2013" s="20" t="s">
        <v>241</v>
      </c>
      <c r="Q2013" s="15" t="s">
        <v>49</v>
      </c>
      <c r="R2013" s="4"/>
      <c r="S2013" s="4"/>
    </row>
    <row r="2014" spans="1:19" ht="21" customHeight="1" x14ac:dyDescent="0.25">
      <c r="A2014" s="14">
        <f>DATE(2012,12,31)-69</f>
        <v>41205</v>
      </c>
      <c r="B2014" s="15" t="s">
        <v>1058</v>
      </c>
      <c r="C2014" s="15" t="s">
        <v>85</v>
      </c>
      <c r="D2014" s="16">
        <v>34</v>
      </c>
      <c r="E2014" s="17">
        <v>5350.61</v>
      </c>
      <c r="F2014" s="16">
        <v>0.09</v>
      </c>
      <c r="G2014" s="15" t="s">
        <v>58</v>
      </c>
      <c r="H2014" s="18">
        <v>-1059.2</v>
      </c>
      <c r="I2014" s="19">
        <v>170.98</v>
      </c>
      <c r="J2014" s="19">
        <v>60.49</v>
      </c>
      <c r="K2014" s="19" t="s">
        <v>44</v>
      </c>
      <c r="L2014" s="19" t="s">
        <v>80</v>
      </c>
      <c r="M2014" s="15" t="s">
        <v>1200</v>
      </c>
      <c r="N2014" s="15" t="s">
        <v>54</v>
      </c>
      <c r="O2014" s="15" t="s">
        <v>134</v>
      </c>
      <c r="P2014" s="20" t="s">
        <v>1757</v>
      </c>
      <c r="Q2014" s="15" t="s">
        <v>63</v>
      </c>
      <c r="R2014" s="4"/>
      <c r="S2014" s="4"/>
    </row>
    <row r="2015" spans="1:19" ht="21" customHeight="1" x14ac:dyDescent="0.25">
      <c r="A2015" s="14">
        <f>DATE(2012,12,31)-1065</f>
        <v>40209</v>
      </c>
      <c r="B2015" s="15" t="s">
        <v>1758</v>
      </c>
      <c r="C2015" s="15" t="s">
        <v>85</v>
      </c>
      <c r="D2015" s="16">
        <v>7</v>
      </c>
      <c r="E2015" s="17">
        <v>44.05</v>
      </c>
      <c r="F2015" s="16">
        <v>7.0000000000000007E-2</v>
      </c>
      <c r="G2015" s="15" t="s">
        <v>32</v>
      </c>
      <c r="H2015" s="18">
        <v>-21.77</v>
      </c>
      <c r="I2015" s="19">
        <v>5.78</v>
      </c>
      <c r="J2015" s="19">
        <v>5.67</v>
      </c>
      <c r="K2015" s="19" t="s">
        <v>97</v>
      </c>
      <c r="L2015" s="19" t="s">
        <v>98</v>
      </c>
      <c r="M2015" s="15" t="s">
        <v>1162</v>
      </c>
      <c r="N2015" s="15" t="s">
        <v>36</v>
      </c>
      <c r="O2015" s="15" t="s">
        <v>117</v>
      </c>
      <c r="P2015" s="20" t="s">
        <v>557</v>
      </c>
      <c r="Q2015" s="15" t="s">
        <v>83</v>
      </c>
      <c r="R2015" s="4"/>
      <c r="S2015" s="4"/>
    </row>
    <row r="2016" spans="1:19" ht="21" customHeight="1" x14ac:dyDescent="0.25">
      <c r="A2016" s="14">
        <f>DATE(2012,12,31)-1065</f>
        <v>40209</v>
      </c>
      <c r="B2016" s="15" t="s">
        <v>1758</v>
      </c>
      <c r="C2016" s="15" t="s">
        <v>85</v>
      </c>
      <c r="D2016" s="16">
        <v>50</v>
      </c>
      <c r="E2016" s="17">
        <v>3872.38</v>
      </c>
      <c r="F2016" s="16">
        <v>0.1</v>
      </c>
      <c r="G2016" s="15" t="s">
        <v>32</v>
      </c>
      <c r="H2016" s="18">
        <v>1110.3499999999999</v>
      </c>
      <c r="I2016" s="19">
        <v>83.93</v>
      </c>
      <c r="J2016" s="19">
        <v>19.989999999999998</v>
      </c>
      <c r="K2016" s="19" t="s">
        <v>97</v>
      </c>
      <c r="L2016" s="19" t="s">
        <v>98</v>
      </c>
      <c r="M2016" s="15" t="s">
        <v>1162</v>
      </c>
      <c r="N2016" s="15" t="s">
        <v>36</v>
      </c>
      <c r="O2016" s="15" t="s">
        <v>189</v>
      </c>
      <c r="P2016" s="20" t="s">
        <v>1759</v>
      </c>
      <c r="Q2016" s="15" t="s">
        <v>83</v>
      </c>
      <c r="R2016" s="4"/>
      <c r="S2016" s="4"/>
    </row>
    <row r="2017" spans="1:19" ht="21" customHeight="1" x14ac:dyDescent="0.25">
      <c r="A2017" s="14">
        <f>DATE(2012,12,31)-1426</f>
        <v>39848</v>
      </c>
      <c r="B2017" s="15" t="s">
        <v>1760</v>
      </c>
      <c r="C2017" s="15" t="s">
        <v>85</v>
      </c>
      <c r="D2017" s="16">
        <v>32</v>
      </c>
      <c r="E2017" s="17">
        <v>74.34</v>
      </c>
      <c r="F2017" s="16">
        <v>0.05</v>
      </c>
      <c r="G2017" s="15" t="s">
        <v>32</v>
      </c>
      <c r="H2017" s="18">
        <v>-166.55450000000002</v>
      </c>
      <c r="I2017" s="19">
        <v>2.16</v>
      </c>
      <c r="J2017" s="19">
        <v>6.05</v>
      </c>
      <c r="K2017" s="19" t="s">
        <v>124</v>
      </c>
      <c r="L2017" s="19" t="s">
        <v>168</v>
      </c>
      <c r="M2017" s="15" t="s">
        <v>1624</v>
      </c>
      <c r="N2017" s="15" t="s">
        <v>36</v>
      </c>
      <c r="O2017" s="15" t="s">
        <v>170</v>
      </c>
      <c r="P2017" s="20" t="s">
        <v>475</v>
      </c>
      <c r="Q2017" s="15" t="s">
        <v>83</v>
      </c>
      <c r="R2017" s="4"/>
      <c r="S2017" s="4"/>
    </row>
    <row r="2018" spans="1:19" ht="21" customHeight="1" x14ac:dyDescent="0.25">
      <c r="A2018" s="14">
        <f>DATE(2012,12,31)-1426</f>
        <v>39848</v>
      </c>
      <c r="B2018" s="15" t="s">
        <v>1760</v>
      </c>
      <c r="C2018" s="15" t="s">
        <v>85</v>
      </c>
      <c r="D2018" s="16">
        <v>35</v>
      </c>
      <c r="E2018" s="17">
        <v>228.8</v>
      </c>
      <c r="F2018" s="16">
        <v>0.03</v>
      </c>
      <c r="G2018" s="15" t="s">
        <v>32</v>
      </c>
      <c r="H2018" s="18">
        <v>-99.08</v>
      </c>
      <c r="I2018" s="19">
        <v>6.48</v>
      </c>
      <c r="J2018" s="19">
        <v>6.6</v>
      </c>
      <c r="K2018" s="19" t="s">
        <v>33</v>
      </c>
      <c r="L2018" s="19" t="s">
        <v>59</v>
      </c>
      <c r="M2018" s="15" t="s">
        <v>1361</v>
      </c>
      <c r="N2018" s="15" t="s">
        <v>36</v>
      </c>
      <c r="O2018" s="15" t="s">
        <v>117</v>
      </c>
      <c r="P2018" s="20" t="s">
        <v>745</v>
      </c>
      <c r="Q2018" s="15" t="s">
        <v>83</v>
      </c>
      <c r="R2018" s="4"/>
      <c r="S2018" s="4"/>
    </row>
    <row r="2019" spans="1:19" ht="21" customHeight="1" x14ac:dyDescent="0.25">
      <c r="A2019" s="14">
        <f>DATE(2012,12,31)-1426</f>
        <v>39848</v>
      </c>
      <c r="B2019" s="15" t="s">
        <v>1760</v>
      </c>
      <c r="C2019" s="15" t="s">
        <v>85</v>
      </c>
      <c r="D2019" s="16">
        <v>43</v>
      </c>
      <c r="E2019" s="17">
        <v>6089.05</v>
      </c>
      <c r="F2019" s="16">
        <v>0.08</v>
      </c>
      <c r="G2019" s="15" t="s">
        <v>58</v>
      </c>
      <c r="H2019" s="18">
        <v>-2110.56</v>
      </c>
      <c r="I2019" s="19">
        <v>146.05000000000001</v>
      </c>
      <c r="J2019" s="19">
        <v>80.2</v>
      </c>
      <c r="K2019" s="19" t="s">
        <v>33</v>
      </c>
      <c r="L2019" s="19" t="s">
        <v>34</v>
      </c>
      <c r="M2019" s="15" t="s">
        <v>1716</v>
      </c>
      <c r="N2019" s="15" t="s">
        <v>54</v>
      </c>
      <c r="O2019" s="15" t="s">
        <v>61</v>
      </c>
      <c r="P2019" s="20" t="s">
        <v>222</v>
      </c>
      <c r="Q2019" s="15" t="s">
        <v>63</v>
      </c>
      <c r="R2019" s="4"/>
      <c r="S2019" s="4"/>
    </row>
    <row r="2020" spans="1:19" ht="21" customHeight="1" x14ac:dyDescent="0.25">
      <c r="A2020" s="14">
        <f>DATE(2012,12,31)-515</f>
        <v>40759</v>
      </c>
      <c r="B2020" s="15" t="s">
        <v>1336</v>
      </c>
      <c r="C2020" s="15" t="s">
        <v>43</v>
      </c>
      <c r="D2020" s="16">
        <v>10</v>
      </c>
      <c r="E2020" s="17">
        <v>931.14949999999999</v>
      </c>
      <c r="F2020" s="16">
        <v>0.06</v>
      </c>
      <c r="G2020" s="15" t="s">
        <v>32</v>
      </c>
      <c r="H2020" s="18">
        <v>-128.83199999999999</v>
      </c>
      <c r="I2020" s="19">
        <v>110.99</v>
      </c>
      <c r="J2020" s="19">
        <v>2.5</v>
      </c>
      <c r="K2020" s="19" t="s">
        <v>33</v>
      </c>
      <c r="L2020" s="19" t="s">
        <v>145</v>
      </c>
      <c r="M2020" s="15" t="s">
        <v>1555</v>
      </c>
      <c r="N2020" s="15" t="s">
        <v>64</v>
      </c>
      <c r="O2020" s="15" t="s">
        <v>65</v>
      </c>
      <c r="P2020" s="20" t="s">
        <v>1010</v>
      </c>
      <c r="Q2020" s="15" t="s">
        <v>83</v>
      </c>
      <c r="R2020" s="4"/>
      <c r="S2020" s="4"/>
    </row>
    <row r="2021" spans="1:19" ht="21" customHeight="1" x14ac:dyDescent="0.25">
      <c r="A2021" s="14">
        <f>DATE(2012,12,31)-809</f>
        <v>40465</v>
      </c>
      <c r="B2021" s="15" t="s">
        <v>1094</v>
      </c>
      <c r="C2021" s="15" t="s">
        <v>85</v>
      </c>
      <c r="D2021" s="16">
        <v>1</v>
      </c>
      <c r="E2021" s="17">
        <v>184.46</v>
      </c>
      <c r="F2021" s="16">
        <v>0.05</v>
      </c>
      <c r="G2021" s="15" t="s">
        <v>58</v>
      </c>
      <c r="H2021" s="18">
        <v>-106.33</v>
      </c>
      <c r="I2021" s="19">
        <v>160.97999999999999</v>
      </c>
      <c r="J2021" s="19">
        <v>30</v>
      </c>
      <c r="K2021" s="19" t="s">
        <v>33</v>
      </c>
      <c r="L2021" s="19" t="s">
        <v>59</v>
      </c>
      <c r="M2021" s="15" t="s">
        <v>1361</v>
      </c>
      <c r="N2021" s="15" t="s">
        <v>54</v>
      </c>
      <c r="O2021" s="15" t="s">
        <v>252</v>
      </c>
      <c r="P2021" s="20" t="s">
        <v>726</v>
      </c>
      <c r="Q2021" s="15" t="s">
        <v>181</v>
      </c>
      <c r="R2021" s="4"/>
      <c r="S2021" s="4"/>
    </row>
    <row r="2022" spans="1:19" ht="21" customHeight="1" x14ac:dyDescent="0.25">
      <c r="A2022" s="14">
        <f>DATE(2012,12,31)-1029</f>
        <v>40245</v>
      </c>
      <c r="B2022" s="15" t="s">
        <v>591</v>
      </c>
      <c r="C2022" s="15" t="s">
        <v>85</v>
      </c>
      <c r="D2022" s="16">
        <v>37</v>
      </c>
      <c r="E2022" s="17">
        <v>5610.84</v>
      </c>
      <c r="F2022" s="16">
        <v>7.0000000000000007E-2</v>
      </c>
      <c r="G2022" s="15" t="s">
        <v>32</v>
      </c>
      <c r="H2022" s="18">
        <v>2366.5100000000002</v>
      </c>
      <c r="I2022" s="19">
        <v>150.97999999999999</v>
      </c>
      <c r="J2022" s="19">
        <v>13.99</v>
      </c>
      <c r="K2022" s="19" t="s">
        <v>33</v>
      </c>
      <c r="L2022" s="19" t="s">
        <v>145</v>
      </c>
      <c r="M2022" s="15" t="s">
        <v>1761</v>
      </c>
      <c r="N2022" s="15" t="s">
        <v>64</v>
      </c>
      <c r="O2022" s="15" t="s">
        <v>122</v>
      </c>
      <c r="P2022" s="20" t="s">
        <v>123</v>
      </c>
      <c r="Q2022" s="15" t="s">
        <v>57</v>
      </c>
      <c r="R2022" s="4"/>
      <c r="S2022" s="4"/>
    </row>
    <row r="2023" spans="1:19" ht="21" customHeight="1" x14ac:dyDescent="0.25">
      <c r="A2023" s="14">
        <f>DATE(2012,12,31)-1029</f>
        <v>40245</v>
      </c>
      <c r="B2023" s="15" t="s">
        <v>591</v>
      </c>
      <c r="C2023" s="15" t="s">
        <v>85</v>
      </c>
      <c r="D2023" s="16">
        <v>20</v>
      </c>
      <c r="E2023" s="17">
        <v>455.34</v>
      </c>
      <c r="F2023" s="16">
        <v>0.06</v>
      </c>
      <c r="G2023" s="15" t="s">
        <v>58</v>
      </c>
      <c r="H2023" s="18">
        <v>-932.55</v>
      </c>
      <c r="I2023" s="19">
        <v>20.98</v>
      </c>
      <c r="J2023" s="19">
        <v>53.03</v>
      </c>
      <c r="K2023" s="19" t="s">
        <v>33</v>
      </c>
      <c r="L2023" s="19" t="s">
        <v>59</v>
      </c>
      <c r="M2023" s="15" t="s">
        <v>1361</v>
      </c>
      <c r="N2023" s="15" t="s">
        <v>36</v>
      </c>
      <c r="O2023" s="15" t="s">
        <v>37</v>
      </c>
      <c r="P2023" s="20" t="s">
        <v>180</v>
      </c>
      <c r="Q2023" s="15" t="s">
        <v>181</v>
      </c>
      <c r="R2023" s="4"/>
      <c r="S2023" s="4"/>
    </row>
    <row r="2024" spans="1:19" ht="21" customHeight="1" x14ac:dyDescent="0.25">
      <c r="A2024" s="14">
        <f>DATE(2012,12,31)-1029</f>
        <v>40245</v>
      </c>
      <c r="B2024" s="15" t="s">
        <v>591</v>
      </c>
      <c r="C2024" s="15" t="s">
        <v>85</v>
      </c>
      <c r="D2024" s="16">
        <v>35</v>
      </c>
      <c r="E2024" s="17">
        <v>2329.6460000000002</v>
      </c>
      <c r="F2024" s="16">
        <v>0.1</v>
      </c>
      <c r="G2024" s="15" t="s">
        <v>101</v>
      </c>
      <c r="H2024" s="18">
        <v>-310.24400000000003</v>
      </c>
      <c r="I2024" s="19">
        <v>85.99</v>
      </c>
      <c r="J2024" s="19">
        <v>0.99</v>
      </c>
      <c r="K2024" s="19" t="s">
        <v>33</v>
      </c>
      <c r="L2024" s="19" t="s">
        <v>145</v>
      </c>
      <c r="M2024" s="15" t="s">
        <v>1761</v>
      </c>
      <c r="N2024" s="15" t="s">
        <v>64</v>
      </c>
      <c r="O2024" s="15" t="s">
        <v>65</v>
      </c>
      <c r="P2024" s="20" t="s">
        <v>213</v>
      </c>
      <c r="Q2024" s="15" t="s">
        <v>79</v>
      </c>
      <c r="R2024" s="4"/>
      <c r="S2024" s="4"/>
    </row>
    <row r="2025" spans="1:19" ht="21" customHeight="1" x14ac:dyDescent="0.25">
      <c r="A2025" s="14">
        <f>DATE(2012,12,31)-685</f>
        <v>40589</v>
      </c>
      <c r="B2025" s="15" t="s">
        <v>1762</v>
      </c>
      <c r="C2025" s="15" t="s">
        <v>43</v>
      </c>
      <c r="D2025" s="16">
        <v>39</v>
      </c>
      <c r="E2025" s="17">
        <v>4733.88</v>
      </c>
      <c r="F2025" s="16">
        <v>0.02</v>
      </c>
      <c r="G2025" s="15" t="s">
        <v>58</v>
      </c>
      <c r="H2025" s="18">
        <v>239.41</v>
      </c>
      <c r="I2025" s="19">
        <v>119.99</v>
      </c>
      <c r="J2025" s="19">
        <v>56.14</v>
      </c>
      <c r="K2025" s="19" t="s">
        <v>33</v>
      </c>
      <c r="L2025" s="19" t="s">
        <v>145</v>
      </c>
      <c r="M2025" s="15" t="s">
        <v>1761</v>
      </c>
      <c r="N2025" s="15" t="s">
        <v>64</v>
      </c>
      <c r="O2025" s="15" t="s">
        <v>122</v>
      </c>
      <c r="P2025" s="20" t="s">
        <v>1542</v>
      </c>
      <c r="Q2025" s="15" t="s">
        <v>63</v>
      </c>
      <c r="R2025" s="4"/>
      <c r="S2025" s="4"/>
    </row>
    <row r="2026" spans="1:19" ht="21" customHeight="1" x14ac:dyDescent="0.25">
      <c r="A2026" s="14">
        <f>DATE(2012,12,31)-30</f>
        <v>41244</v>
      </c>
      <c r="B2026" s="15" t="s">
        <v>1077</v>
      </c>
      <c r="C2026" s="15" t="s">
        <v>43</v>
      </c>
      <c r="D2026" s="16">
        <v>41</v>
      </c>
      <c r="E2026" s="17">
        <v>3731.59</v>
      </c>
      <c r="F2026" s="16">
        <v>0</v>
      </c>
      <c r="G2026" s="15" t="s">
        <v>58</v>
      </c>
      <c r="H2026" s="18">
        <v>-605.52</v>
      </c>
      <c r="I2026" s="19">
        <v>89.99</v>
      </c>
      <c r="J2026" s="19">
        <v>42</v>
      </c>
      <c r="K2026" s="19" t="s">
        <v>33</v>
      </c>
      <c r="L2026" s="19" t="s">
        <v>59</v>
      </c>
      <c r="M2026" s="15" t="s">
        <v>1361</v>
      </c>
      <c r="N2026" s="15" t="s">
        <v>54</v>
      </c>
      <c r="O2026" s="15" t="s">
        <v>252</v>
      </c>
      <c r="P2026" s="20" t="s">
        <v>848</v>
      </c>
      <c r="Q2026" s="15" t="s">
        <v>181</v>
      </c>
      <c r="R2026" s="4"/>
      <c r="S2026" s="4"/>
    </row>
    <row r="2027" spans="1:19" ht="21" customHeight="1" x14ac:dyDescent="0.25">
      <c r="A2027" s="14">
        <f>DATE(2012,12,31)-30</f>
        <v>41244</v>
      </c>
      <c r="B2027" s="15" t="s">
        <v>1077</v>
      </c>
      <c r="C2027" s="15" t="s">
        <v>43</v>
      </c>
      <c r="D2027" s="16">
        <v>9</v>
      </c>
      <c r="E2027" s="17">
        <v>33367.85</v>
      </c>
      <c r="F2027" s="16">
        <v>0.01</v>
      </c>
      <c r="G2027" s="15" t="s">
        <v>32</v>
      </c>
      <c r="H2027" s="18">
        <v>3992.52</v>
      </c>
      <c r="I2027" s="19">
        <v>3499.99</v>
      </c>
      <c r="J2027" s="19">
        <v>24.49</v>
      </c>
      <c r="K2027" s="19" t="s">
        <v>69</v>
      </c>
      <c r="L2027" s="19" t="s">
        <v>70</v>
      </c>
      <c r="M2027" s="15" t="s">
        <v>1756</v>
      </c>
      <c r="N2027" s="15" t="s">
        <v>64</v>
      </c>
      <c r="O2027" s="15" t="s">
        <v>460</v>
      </c>
      <c r="P2027" s="20" t="s">
        <v>1763</v>
      </c>
      <c r="Q2027" s="15" t="s">
        <v>39</v>
      </c>
      <c r="R2027" s="4"/>
      <c r="S2027" s="4"/>
    </row>
    <row r="2028" spans="1:19" ht="21" customHeight="1" x14ac:dyDescent="0.25">
      <c r="A2028" s="14">
        <f>DATE(2012,12,31)-30</f>
        <v>41244</v>
      </c>
      <c r="B2028" s="15" t="s">
        <v>1077</v>
      </c>
      <c r="C2028" s="15" t="s">
        <v>43</v>
      </c>
      <c r="D2028" s="16">
        <v>44</v>
      </c>
      <c r="E2028" s="17">
        <v>1299.9100000000001</v>
      </c>
      <c r="F2028" s="16">
        <v>0.06</v>
      </c>
      <c r="G2028" s="15" t="s">
        <v>32</v>
      </c>
      <c r="H2028" s="18">
        <v>439.26</v>
      </c>
      <c r="I2028" s="19">
        <v>30.98</v>
      </c>
      <c r="J2028" s="19">
        <v>5.76</v>
      </c>
      <c r="K2028" s="19" t="s">
        <v>69</v>
      </c>
      <c r="L2028" s="19" t="s">
        <v>75</v>
      </c>
      <c r="M2028" s="15" t="s">
        <v>1569</v>
      </c>
      <c r="N2028" s="15" t="s">
        <v>36</v>
      </c>
      <c r="O2028" s="15" t="s">
        <v>117</v>
      </c>
      <c r="P2028" s="20" t="s">
        <v>713</v>
      </c>
      <c r="Q2028" s="15" t="s">
        <v>83</v>
      </c>
      <c r="R2028" s="4"/>
      <c r="S2028" s="4"/>
    </row>
    <row r="2029" spans="1:19" ht="21" customHeight="1" x14ac:dyDescent="0.25">
      <c r="A2029" s="14">
        <f>DATE(2012,12,31)-123</f>
        <v>41151</v>
      </c>
      <c r="B2029" s="15" t="s">
        <v>1628</v>
      </c>
      <c r="C2029" s="15" t="s">
        <v>51</v>
      </c>
      <c r="D2029" s="16">
        <v>27</v>
      </c>
      <c r="E2029" s="17">
        <v>1428.64</v>
      </c>
      <c r="F2029" s="16">
        <v>0.09</v>
      </c>
      <c r="G2029" s="15" t="s">
        <v>32</v>
      </c>
      <c r="H2029" s="18">
        <v>494.26</v>
      </c>
      <c r="I2029" s="19">
        <v>54.96</v>
      </c>
      <c r="J2029" s="19">
        <v>10.75</v>
      </c>
      <c r="K2029" s="19" t="s">
        <v>69</v>
      </c>
      <c r="L2029" s="19" t="s">
        <v>75</v>
      </c>
      <c r="M2029" s="15" t="s">
        <v>1569</v>
      </c>
      <c r="N2029" s="15" t="s">
        <v>36</v>
      </c>
      <c r="O2029" s="15" t="s">
        <v>117</v>
      </c>
      <c r="P2029" s="20" t="s">
        <v>1611</v>
      </c>
      <c r="Q2029" s="15" t="s">
        <v>83</v>
      </c>
      <c r="R2029" s="4"/>
      <c r="S2029" s="4"/>
    </row>
    <row r="2030" spans="1:19" ht="21" customHeight="1" x14ac:dyDescent="0.25">
      <c r="A2030" s="14">
        <f>DATE(2012,12,31)-585</f>
        <v>40689</v>
      </c>
      <c r="B2030" s="15" t="s">
        <v>1000</v>
      </c>
      <c r="C2030" s="15" t="s">
        <v>43</v>
      </c>
      <c r="D2030" s="16">
        <v>44</v>
      </c>
      <c r="E2030" s="17">
        <v>823.63</v>
      </c>
      <c r="F2030" s="16">
        <v>0.03</v>
      </c>
      <c r="G2030" s="15" t="s">
        <v>32</v>
      </c>
      <c r="H2030" s="18">
        <v>375.02</v>
      </c>
      <c r="I2030" s="19">
        <v>18.649999999999999</v>
      </c>
      <c r="J2030" s="19">
        <v>3.77</v>
      </c>
      <c r="K2030" s="19" t="s">
        <v>69</v>
      </c>
      <c r="L2030" s="19" t="s">
        <v>75</v>
      </c>
      <c r="M2030" s="15" t="s">
        <v>1569</v>
      </c>
      <c r="N2030" s="15" t="s">
        <v>54</v>
      </c>
      <c r="O2030" s="15" t="s">
        <v>55</v>
      </c>
      <c r="P2030" s="20" t="s">
        <v>1764</v>
      </c>
      <c r="Q2030" s="15" t="s">
        <v>49</v>
      </c>
      <c r="R2030" s="4"/>
      <c r="S2030" s="4"/>
    </row>
    <row r="2031" spans="1:19" ht="21" customHeight="1" x14ac:dyDescent="0.25">
      <c r="A2031" s="14">
        <f>DATE(2012,12,31)-585</f>
        <v>40689</v>
      </c>
      <c r="B2031" s="15" t="s">
        <v>1000</v>
      </c>
      <c r="C2031" s="15" t="s">
        <v>43</v>
      </c>
      <c r="D2031" s="16">
        <v>42</v>
      </c>
      <c r="E2031" s="17">
        <v>286.73</v>
      </c>
      <c r="F2031" s="16">
        <v>0.05</v>
      </c>
      <c r="G2031" s="15" t="s">
        <v>32</v>
      </c>
      <c r="H2031" s="18">
        <v>-141.51</v>
      </c>
      <c r="I2031" s="19">
        <v>6.48</v>
      </c>
      <c r="J2031" s="19">
        <v>7.49</v>
      </c>
      <c r="K2031" s="19" t="s">
        <v>69</v>
      </c>
      <c r="L2031" s="19" t="s">
        <v>70</v>
      </c>
      <c r="M2031" s="15" t="s">
        <v>1756</v>
      </c>
      <c r="N2031" s="15" t="s">
        <v>36</v>
      </c>
      <c r="O2031" s="15" t="s">
        <v>117</v>
      </c>
      <c r="P2031" s="20" t="s">
        <v>985</v>
      </c>
      <c r="Q2031" s="15" t="s">
        <v>83</v>
      </c>
      <c r="R2031" s="4"/>
      <c r="S2031" s="4"/>
    </row>
    <row r="2032" spans="1:19" ht="21" customHeight="1" x14ac:dyDescent="0.25">
      <c r="A2032" s="14">
        <f>DATE(2012,12,31)-225</f>
        <v>41049</v>
      </c>
      <c r="B2032" s="15" t="s">
        <v>539</v>
      </c>
      <c r="C2032" s="15" t="s">
        <v>85</v>
      </c>
      <c r="D2032" s="16">
        <v>34</v>
      </c>
      <c r="E2032" s="17">
        <v>214.03</v>
      </c>
      <c r="F2032" s="16">
        <v>0.02</v>
      </c>
      <c r="G2032" s="15" t="s">
        <v>32</v>
      </c>
      <c r="H2032" s="18">
        <v>-138.91999999999999</v>
      </c>
      <c r="I2032" s="19">
        <v>5.78</v>
      </c>
      <c r="J2032" s="19">
        <v>7.96</v>
      </c>
      <c r="K2032" s="19" t="s">
        <v>69</v>
      </c>
      <c r="L2032" s="19" t="s">
        <v>75</v>
      </c>
      <c r="M2032" s="15" t="s">
        <v>1569</v>
      </c>
      <c r="N2032" s="15" t="s">
        <v>36</v>
      </c>
      <c r="O2032" s="15" t="s">
        <v>117</v>
      </c>
      <c r="P2032" s="20" t="s">
        <v>1017</v>
      </c>
      <c r="Q2032" s="15" t="s">
        <v>83</v>
      </c>
      <c r="R2032" s="4"/>
      <c r="S2032" s="4"/>
    </row>
    <row r="2033" spans="1:19" ht="21" customHeight="1" x14ac:dyDescent="0.25">
      <c r="A2033" s="14">
        <f>DATE(2012,12,31)-778</f>
        <v>40496</v>
      </c>
      <c r="B2033" s="15" t="s">
        <v>1765</v>
      </c>
      <c r="C2033" s="15" t="s">
        <v>31</v>
      </c>
      <c r="D2033" s="16">
        <v>28</v>
      </c>
      <c r="E2033" s="17">
        <v>574.99</v>
      </c>
      <c r="F2033" s="16">
        <v>0.06</v>
      </c>
      <c r="G2033" s="15" t="s">
        <v>32</v>
      </c>
      <c r="H2033" s="18">
        <v>-148.87</v>
      </c>
      <c r="I2033" s="19">
        <v>20.97</v>
      </c>
      <c r="J2033" s="19">
        <v>6.5</v>
      </c>
      <c r="K2033" s="19" t="s">
        <v>69</v>
      </c>
      <c r="L2033" s="19" t="s">
        <v>75</v>
      </c>
      <c r="M2033" s="15" t="s">
        <v>1569</v>
      </c>
      <c r="N2033" s="15" t="s">
        <v>64</v>
      </c>
      <c r="O2033" s="15" t="s">
        <v>72</v>
      </c>
      <c r="P2033" s="20" t="s">
        <v>393</v>
      </c>
      <c r="Q2033" s="15" t="s">
        <v>83</v>
      </c>
      <c r="R2033" s="4"/>
      <c r="S2033" s="4"/>
    </row>
    <row r="2034" spans="1:19" ht="21" customHeight="1" x14ac:dyDescent="0.25">
      <c r="A2034" s="14">
        <f>DATE(2012,12,31)-556</f>
        <v>40718</v>
      </c>
      <c r="B2034" s="15" t="s">
        <v>1766</v>
      </c>
      <c r="C2034" s="15" t="s">
        <v>43</v>
      </c>
      <c r="D2034" s="16">
        <v>44</v>
      </c>
      <c r="E2034" s="17">
        <v>839.7</v>
      </c>
      <c r="F2034" s="16">
        <v>7.0000000000000007E-2</v>
      </c>
      <c r="G2034" s="15" t="s">
        <v>32</v>
      </c>
      <c r="H2034" s="18">
        <v>211.79</v>
      </c>
      <c r="I2034" s="19">
        <v>19.98</v>
      </c>
      <c r="J2034" s="19">
        <v>5.77</v>
      </c>
      <c r="K2034" s="19" t="s">
        <v>69</v>
      </c>
      <c r="L2034" s="19" t="s">
        <v>75</v>
      </c>
      <c r="M2034" s="15" t="s">
        <v>1569</v>
      </c>
      <c r="N2034" s="15" t="s">
        <v>36</v>
      </c>
      <c r="O2034" s="15" t="s">
        <v>117</v>
      </c>
      <c r="P2034" s="20" t="s">
        <v>1535</v>
      </c>
      <c r="Q2034" s="15" t="s">
        <v>83</v>
      </c>
      <c r="R2034" s="4"/>
      <c r="S2034" s="4"/>
    </row>
    <row r="2035" spans="1:19" ht="21" customHeight="1" x14ac:dyDescent="0.25">
      <c r="A2035" s="14">
        <f>DATE(2012,12,31)-556</f>
        <v>40718</v>
      </c>
      <c r="B2035" s="15" t="s">
        <v>1766</v>
      </c>
      <c r="C2035" s="15" t="s">
        <v>43</v>
      </c>
      <c r="D2035" s="16">
        <v>46</v>
      </c>
      <c r="E2035" s="17">
        <v>1662.5</v>
      </c>
      <c r="F2035" s="16">
        <v>0.01</v>
      </c>
      <c r="G2035" s="15" t="s">
        <v>32</v>
      </c>
      <c r="H2035" s="18">
        <v>289.02</v>
      </c>
      <c r="I2035" s="19">
        <v>34.58</v>
      </c>
      <c r="J2035" s="19">
        <v>8.99</v>
      </c>
      <c r="K2035" s="19" t="s">
        <v>69</v>
      </c>
      <c r="L2035" s="19" t="s">
        <v>215</v>
      </c>
      <c r="M2035" s="15" t="s">
        <v>1704</v>
      </c>
      <c r="N2035" s="15" t="s">
        <v>36</v>
      </c>
      <c r="O2035" s="15" t="s">
        <v>77</v>
      </c>
      <c r="P2035" s="20" t="s">
        <v>241</v>
      </c>
      <c r="Q2035" s="15" t="s">
        <v>49</v>
      </c>
      <c r="R2035" s="4"/>
      <c r="S2035" s="4"/>
    </row>
    <row r="2036" spans="1:19" ht="21" customHeight="1" x14ac:dyDescent="0.25">
      <c r="A2036" s="14">
        <f>DATE(2012,12,31)-695</f>
        <v>40579</v>
      </c>
      <c r="B2036" s="15" t="s">
        <v>911</v>
      </c>
      <c r="C2036" s="15" t="s">
        <v>43</v>
      </c>
      <c r="D2036" s="16">
        <v>14</v>
      </c>
      <c r="E2036" s="17">
        <v>438.47</v>
      </c>
      <c r="F2036" s="16">
        <v>0.02</v>
      </c>
      <c r="G2036" s="15" t="s">
        <v>101</v>
      </c>
      <c r="H2036" s="18">
        <v>157.88749999999999</v>
      </c>
      <c r="I2036" s="19">
        <v>30.56</v>
      </c>
      <c r="J2036" s="19">
        <v>2.99</v>
      </c>
      <c r="K2036" s="19" t="s">
        <v>69</v>
      </c>
      <c r="L2036" s="19" t="s">
        <v>215</v>
      </c>
      <c r="M2036" s="15" t="s">
        <v>1704</v>
      </c>
      <c r="N2036" s="15" t="s">
        <v>36</v>
      </c>
      <c r="O2036" s="15" t="s">
        <v>170</v>
      </c>
      <c r="P2036" s="20" t="s">
        <v>1381</v>
      </c>
      <c r="Q2036" s="15" t="s">
        <v>83</v>
      </c>
      <c r="R2036" s="4"/>
      <c r="S2036" s="4"/>
    </row>
    <row r="2037" spans="1:19" ht="21" customHeight="1" x14ac:dyDescent="0.25">
      <c r="A2037" s="14">
        <f>DATE(2012,12,31)-1295</f>
        <v>39979</v>
      </c>
      <c r="B2037" s="15" t="s">
        <v>406</v>
      </c>
      <c r="C2037" s="15" t="s">
        <v>85</v>
      </c>
      <c r="D2037" s="16">
        <v>14</v>
      </c>
      <c r="E2037" s="17">
        <v>78.44</v>
      </c>
      <c r="F2037" s="16">
        <v>0.09</v>
      </c>
      <c r="G2037" s="15" t="s">
        <v>32</v>
      </c>
      <c r="H2037" s="18">
        <v>11.0245</v>
      </c>
      <c r="I2037" s="19">
        <v>5.98</v>
      </c>
      <c r="J2037" s="19">
        <v>1.49</v>
      </c>
      <c r="K2037" s="19" t="s">
        <v>111</v>
      </c>
      <c r="L2037" s="19" t="s">
        <v>258</v>
      </c>
      <c r="M2037" s="15" t="s">
        <v>259</v>
      </c>
      <c r="N2037" s="15" t="s">
        <v>36</v>
      </c>
      <c r="O2037" s="15" t="s">
        <v>170</v>
      </c>
      <c r="P2037" s="20" t="s">
        <v>365</v>
      </c>
      <c r="Q2037" s="15" t="s">
        <v>83</v>
      </c>
      <c r="R2037" s="4"/>
      <c r="S2037" s="4"/>
    </row>
    <row r="2038" spans="1:19" ht="21" customHeight="1" x14ac:dyDescent="0.25">
      <c r="A2038" s="14">
        <f>DATE(2012,12,31)-833</f>
        <v>40441</v>
      </c>
      <c r="B2038" s="15" t="s">
        <v>1767</v>
      </c>
      <c r="C2038" s="15" t="s">
        <v>31</v>
      </c>
      <c r="D2038" s="16">
        <v>44</v>
      </c>
      <c r="E2038" s="17">
        <v>3819.42</v>
      </c>
      <c r="F2038" s="16">
        <v>0.1</v>
      </c>
      <c r="G2038" s="15" t="s">
        <v>58</v>
      </c>
      <c r="H2038" s="18">
        <v>-821.87</v>
      </c>
      <c r="I2038" s="19">
        <v>89.99</v>
      </c>
      <c r="J2038" s="19">
        <v>42</v>
      </c>
      <c r="K2038" s="19" t="s">
        <v>44</v>
      </c>
      <c r="L2038" s="19" t="s">
        <v>120</v>
      </c>
      <c r="M2038" s="15" t="s">
        <v>121</v>
      </c>
      <c r="N2038" s="15" t="s">
        <v>54</v>
      </c>
      <c r="O2038" s="15" t="s">
        <v>252</v>
      </c>
      <c r="P2038" s="20" t="s">
        <v>848</v>
      </c>
      <c r="Q2038" s="15" t="s">
        <v>181</v>
      </c>
      <c r="R2038" s="4"/>
      <c r="S2038" s="4"/>
    </row>
    <row r="2039" spans="1:19" ht="21" customHeight="1" x14ac:dyDescent="0.25">
      <c r="A2039" s="14">
        <f>DATE(2012,12,31)-833</f>
        <v>40441</v>
      </c>
      <c r="B2039" s="15" t="s">
        <v>1767</v>
      </c>
      <c r="C2039" s="15" t="s">
        <v>31</v>
      </c>
      <c r="D2039" s="16">
        <v>42</v>
      </c>
      <c r="E2039" s="17">
        <v>208.78</v>
      </c>
      <c r="F2039" s="16">
        <v>0.05</v>
      </c>
      <c r="G2039" s="15" t="s">
        <v>32</v>
      </c>
      <c r="H2039" s="18">
        <v>24.87</v>
      </c>
      <c r="I2039" s="19">
        <v>5.08</v>
      </c>
      <c r="J2039" s="19">
        <v>2.0299999999999998</v>
      </c>
      <c r="K2039" s="19" t="s">
        <v>44</v>
      </c>
      <c r="L2039" s="19" t="s">
        <v>45</v>
      </c>
      <c r="M2039" s="15" t="s">
        <v>1768</v>
      </c>
      <c r="N2039" s="15" t="s">
        <v>54</v>
      </c>
      <c r="O2039" s="15" t="s">
        <v>55</v>
      </c>
      <c r="P2039" s="20" t="s">
        <v>1126</v>
      </c>
      <c r="Q2039" s="15" t="s">
        <v>79</v>
      </c>
      <c r="R2039" s="4"/>
      <c r="S2039" s="4"/>
    </row>
    <row r="2040" spans="1:19" ht="21" customHeight="1" x14ac:dyDescent="0.25">
      <c r="A2040" s="14">
        <f>DATE(2012,12,31)-1365</f>
        <v>39909</v>
      </c>
      <c r="B2040" s="15" t="s">
        <v>1769</v>
      </c>
      <c r="C2040" s="15" t="s">
        <v>51</v>
      </c>
      <c r="D2040" s="16">
        <v>17</v>
      </c>
      <c r="E2040" s="17">
        <v>1556.61</v>
      </c>
      <c r="F2040" s="16">
        <v>0.06</v>
      </c>
      <c r="G2040" s="15" t="s">
        <v>32</v>
      </c>
      <c r="H2040" s="18">
        <v>-485.55</v>
      </c>
      <c r="I2040" s="19">
        <v>89.83</v>
      </c>
      <c r="J2040" s="19">
        <v>35</v>
      </c>
      <c r="K2040" s="19" t="s">
        <v>44</v>
      </c>
      <c r="L2040" s="19" t="s">
        <v>89</v>
      </c>
      <c r="M2040" s="15" t="s">
        <v>1341</v>
      </c>
      <c r="N2040" s="15" t="s">
        <v>36</v>
      </c>
      <c r="O2040" s="15" t="s">
        <v>37</v>
      </c>
      <c r="P2040" s="20" t="s">
        <v>1770</v>
      </c>
      <c r="Q2040" s="15" t="s">
        <v>39</v>
      </c>
      <c r="R2040" s="4"/>
      <c r="S2040" s="4"/>
    </row>
    <row r="2041" spans="1:19" ht="21" customHeight="1" x14ac:dyDescent="0.25">
      <c r="A2041" s="14">
        <f>DATE(2012,12,31)-1365</f>
        <v>39909</v>
      </c>
      <c r="B2041" s="15" t="s">
        <v>1769</v>
      </c>
      <c r="C2041" s="15" t="s">
        <v>51</v>
      </c>
      <c r="D2041" s="16">
        <v>49</v>
      </c>
      <c r="E2041" s="17">
        <v>645.14</v>
      </c>
      <c r="F2041" s="16">
        <v>0.1</v>
      </c>
      <c r="G2041" s="15" t="s">
        <v>32</v>
      </c>
      <c r="H2041" s="18">
        <v>-26.32</v>
      </c>
      <c r="I2041" s="19">
        <v>13.43</v>
      </c>
      <c r="J2041" s="19">
        <v>5.5</v>
      </c>
      <c r="K2041" s="19" t="s">
        <v>44</v>
      </c>
      <c r="L2041" s="19" t="s">
        <v>89</v>
      </c>
      <c r="M2041" s="15" t="s">
        <v>1341</v>
      </c>
      <c r="N2041" s="15" t="s">
        <v>36</v>
      </c>
      <c r="O2041" s="15" t="s">
        <v>37</v>
      </c>
      <c r="P2041" s="20" t="s">
        <v>1109</v>
      </c>
      <c r="Q2041" s="15" t="s">
        <v>83</v>
      </c>
      <c r="R2041" s="4"/>
      <c r="S2041" s="4"/>
    </row>
    <row r="2042" spans="1:19" ht="21" customHeight="1" x14ac:dyDescent="0.25">
      <c r="A2042" s="14">
        <f>DATE(2012,12,31)-1365</f>
        <v>39909</v>
      </c>
      <c r="B2042" s="15" t="s">
        <v>1769</v>
      </c>
      <c r="C2042" s="15" t="s">
        <v>51</v>
      </c>
      <c r="D2042" s="16">
        <v>44</v>
      </c>
      <c r="E2042" s="17">
        <v>4851.5024999999996</v>
      </c>
      <c r="F2042" s="16">
        <v>0.01</v>
      </c>
      <c r="G2042" s="15" t="s">
        <v>32</v>
      </c>
      <c r="H2042" s="18">
        <v>1371.672</v>
      </c>
      <c r="I2042" s="19">
        <v>125.99</v>
      </c>
      <c r="J2042" s="19">
        <v>7.69</v>
      </c>
      <c r="K2042" s="19" t="s">
        <v>44</v>
      </c>
      <c r="L2042" s="19" t="s">
        <v>236</v>
      </c>
      <c r="M2042" s="15" t="s">
        <v>237</v>
      </c>
      <c r="N2042" s="15" t="s">
        <v>64</v>
      </c>
      <c r="O2042" s="15" t="s">
        <v>65</v>
      </c>
      <c r="P2042" s="20" t="s">
        <v>860</v>
      </c>
      <c r="Q2042" s="15" t="s">
        <v>83</v>
      </c>
      <c r="R2042" s="4"/>
      <c r="S2042" s="4"/>
    </row>
    <row r="2043" spans="1:19" ht="21" customHeight="1" x14ac:dyDescent="0.25">
      <c r="A2043" s="14">
        <f>DATE(2012,12,31)-897</f>
        <v>40377</v>
      </c>
      <c r="B2043" s="15" t="s">
        <v>249</v>
      </c>
      <c r="C2043" s="15" t="s">
        <v>85</v>
      </c>
      <c r="D2043" s="16">
        <v>46</v>
      </c>
      <c r="E2043" s="17">
        <v>745.99</v>
      </c>
      <c r="F2043" s="16">
        <v>0.02</v>
      </c>
      <c r="G2043" s="15" t="s">
        <v>32</v>
      </c>
      <c r="H2043" s="18">
        <v>226.09</v>
      </c>
      <c r="I2043" s="19">
        <v>15.98</v>
      </c>
      <c r="J2043" s="19">
        <v>4</v>
      </c>
      <c r="K2043" s="19" t="s">
        <v>44</v>
      </c>
      <c r="L2043" s="19" t="s">
        <v>89</v>
      </c>
      <c r="M2043" s="15" t="s">
        <v>1341</v>
      </c>
      <c r="N2043" s="15" t="s">
        <v>64</v>
      </c>
      <c r="O2043" s="15" t="s">
        <v>72</v>
      </c>
      <c r="P2043" s="20" t="s">
        <v>344</v>
      </c>
      <c r="Q2043" s="15" t="s">
        <v>83</v>
      </c>
      <c r="R2043" s="4"/>
      <c r="S2043" s="4"/>
    </row>
    <row r="2044" spans="1:19" ht="21" customHeight="1" x14ac:dyDescent="0.25">
      <c r="A2044" s="14">
        <f>DATE(2012,12,31)-822</f>
        <v>40452</v>
      </c>
      <c r="B2044" s="15" t="s">
        <v>1302</v>
      </c>
      <c r="C2044" s="15" t="s">
        <v>43</v>
      </c>
      <c r="D2044" s="16">
        <v>22</v>
      </c>
      <c r="E2044" s="17">
        <v>245.96</v>
      </c>
      <c r="F2044" s="16">
        <v>0.03</v>
      </c>
      <c r="G2044" s="15" t="s">
        <v>32</v>
      </c>
      <c r="H2044" s="18">
        <v>-33.82</v>
      </c>
      <c r="I2044" s="19">
        <v>11.29</v>
      </c>
      <c r="J2044" s="19">
        <v>5.03</v>
      </c>
      <c r="K2044" s="19" t="s">
        <v>44</v>
      </c>
      <c r="L2044" s="19" t="s">
        <v>80</v>
      </c>
      <c r="M2044" s="15" t="s">
        <v>1200</v>
      </c>
      <c r="N2044" s="15" t="s">
        <v>36</v>
      </c>
      <c r="O2044" s="15" t="s">
        <v>37</v>
      </c>
      <c r="P2044" s="20" t="s">
        <v>1085</v>
      </c>
      <c r="Q2044" s="15" t="s">
        <v>83</v>
      </c>
      <c r="R2044" s="4"/>
      <c r="S2044" s="4"/>
    </row>
    <row r="2045" spans="1:19" ht="21" customHeight="1" x14ac:dyDescent="0.25">
      <c r="A2045" s="14">
        <f>DATE(2012,12,31)-395</f>
        <v>40879</v>
      </c>
      <c r="B2045" s="15" t="s">
        <v>523</v>
      </c>
      <c r="C2045" s="15" t="s">
        <v>85</v>
      </c>
      <c r="D2045" s="16">
        <v>31</v>
      </c>
      <c r="E2045" s="17">
        <v>953.04549999999995</v>
      </c>
      <c r="F2045" s="16">
        <v>0.02</v>
      </c>
      <c r="G2045" s="15" t="s">
        <v>32</v>
      </c>
      <c r="H2045" s="18">
        <v>298.46699999999998</v>
      </c>
      <c r="I2045" s="19">
        <v>35.99</v>
      </c>
      <c r="J2045" s="19">
        <v>5.99</v>
      </c>
      <c r="K2045" s="19" t="s">
        <v>44</v>
      </c>
      <c r="L2045" s="19" t="s">
        <v>45</v>
      </c>
      <c r="M2045" s="15" t="s">
        <v>1768</v>
      </c>
      <c r="N2045" s="15" t="s">
        <v>64</v>
      </c>
      <c r="O2045" s="15" t="s">
        <v>65</v>
      </c>
      <c r="P2045" s="20" t="s">
        <v>1577</v>
      </c>
      <c r="Q2045" s="15" t="s">
        <v>79</v>
      </c>
      <c r="R2045" s="4"/>
      <c r="S2045" s="4"/>
    </row>
    <row r="2046" spans="1:19" ht="21" customHeight="1" x14ac:dyDescent="0.25">
      <c r="A2046" s="14">
        <f>DATE(2012,12,31)-1451</f>
        <v>39823</v>
      </c>
      <c r="B2046" s="15" t="s">
        <v>1515</v>
      </c>
      <c r="C2046" s="15" t="s">
        <v>85</v>
      </c>
      <c r="D2046" s="16">
        <v>24</v>
      </c>
      <c r="E2046" s="17">
        <v>199.12</v>
      </c>
      <c r="F2046" s="16">
        <v>0.01</v>
      </c>
      <c r="G2046" s="15" t="s">
        <v>32</v>
      </c>
      <c r="H2046" s="18">
        <v>73.33</v>
      </c>
      <c r="I2046" s="19">
        <v>8.34</v>
      </c>
      <c r="J2046" s="19">
        <v>0.96</v>
      </c>
      <c r="K2046" s="19" t="s">
        <v>44</v>
      </c>
      <c r="L2046" s="19" t="s">
        <v>120</v>
      </c>
      <c r="M2046" s="15" t="s">
        <v>121</v>
      </c>
      <c r="N2046" s="15" t="s">
        <v>54</v>
      </c>
      <c r="O2046" s="15" t="s">
        <v>55</v>
      </c>
      <c r="P2046" s="20" t="s">
        <v>890</v>
      </c>
      <c r="Q2046" s="15" t="s">
        <v>79</v>
      </c>
      <c r="R2046" s="4"/>
      <c r="S2046" s="4"/>
    </row>
    <row r="2047" spans="1:19" ht="21" customHeight="1" x14ac:dyDescent="0.25">
      <c r="A2047" s="14">
        <f>DATE(2012,12,31)-1451</f>
        <v>39823</v>
      </c>
      <c r="B2047" s="15" t="s">
        <v>1515</v>
      </c>
      <c r="C2047" s="15" t="s">
        <v>85</v>
      </c>
      <c r="D2047" s="16">
        <v>19</v>
      </c>
      <c r="E2047" s="17">
        <v>63.14</v>
      </c>
      <c r="F2047" s="16">
        <v>0.06</v>
      </c>
      <c r="G2047" s="15" t="s">
        <v>32</v>
      </c>
      <c r="H2047" s="18">
        <v>-53.75</v>
      </c>
      <c r="I2047" s="19">
        <v>3.28</v>
      </c>
      <c r="J2047" s="19">
        <v>3.97</v>
      </c>
      <c r="K2047" s="19" t="s">
        <v>44</v>
      </c>
      <c r="L2047" s="19" t="s">
        <v>89</v>
      </c>
      <c r="M2047" s="15" t="s">
        <v>1341</v>
      </c>
      <c r="N2047" s="15" t="s">
        <v>36</v>
      </c>
      <c r="O2047" s="15" t="s">
        <v>77</v>
      </c>
      <c r="P2047" s="20" t="s">
        <v>1326</v>
      </c>
      <c r="Q2047" s="15" t="s">
        <v>79</v>
      </c>
      <c r="R2047" s="4"/>
      <c r="S2047" s="4"/>
    </row>
    <row r="2048" spans="1:19" ht="21" customHeight="1" x14ac:dyDescent="0.25">
      <c r="A2048" s="14">
        <f>DATE(2012,12,31)-854</f>
        <v>40420</v>
      </c>
      <c r="B2048" s="15" t="s">
        <v>1026</v>
      </c>
      <c r="C2048" s="15" t="s">
        <v>85</v>
      </c>
      <c r="D2048" s="16">
        <v>41</v>
      </c>
      <c r="E2048" s="17">
        <v>320.42</v>
      </c>
      <c r="F2048" s="16">
        <v>0.03</v>
      </c>
      <c r="G2048" s="15" t="s">
        <v>101</v>
      </c>
      <c r="H2048" s="18">
        <v>-66.366500000000002</v>
      </c>
      <c r="I2048" s="19">
        <v>7.68</v>
      </c>
      <c r="J2048" s="19">
        <v>6.16</v>
      </c>
      <c r="K2048" s="19" t="s">
        <v>33</v>
      </c>
      <c r="L2048" s="19" t="s">
        <v>93</v>
      </c>
      <c r="M2048" s="15" t="s">
        <v>94</v>
      </c>
      <c r="N2048" s="15" t="s">
        <v>36</v>
      </c>
      <c r="O2048" s="15" t="s">
        <v>170</v>
      </c>
      <c r="P2048" s="20" t="s">
        <v>1201</v>
      </c>
      <c r="Q2048" s="15" t="s">
        <v>83</v>
      </c>
      <c r="R2048" s="4"/>
      <c r="S2048" s="4"/>
    </row>
    <row r="2049" spans="1:19" ht="21" customHeight="1" x14ac:dyDescent="0.25">
      <c r="A2049" s="14">
        <f>DATE(2012,12,31)-854</f>
        <v>40420</v>
      </c>
      <c r="B2049" s="15" t="s">
        <v>1026</v>
      </c>
      <c r="C2049" s="15" t="s">
        <v>85</v>
      </c>
      <c r="D2049" s="16">
        <v>35</v>
      </c>
      <c r="E2049" s="17">
        <v>266.64</v>
      </c>
      <c r="F2049" s="16">
        <v>7.0000000000000007E-2</v>
      </c>
      <c r="G2049" s="15" t="s">
        <v>32</v>
      </c>
      <c r="H2049" s="18">
        <v>-36.76</v>
      </c>
      <c r="I2049" s="19">
        <v>7.96</v>
      </c>
      <c r="J2049" s="19">
        <v>4.95</v>
      </c>
      <c r="K2049" s="19" t="s">
        <v>33</v>
      </c>
      <c r="L2049" s="19" t="s">
        <v>128</v>
      </c>
      <c r="M2049" s="15" t="s">
        <v>129</v>
      </c>
      <c r="N2049" s="15" t="s">
        <v>54</v>
      </c>
      <c r="O2049" s="15" t="s">
        <v>55</v>
      </c>
      <c r="P2049" s="20" t="s">
        <v>1114</v>
      </c>
      <c r="Q2049" s="15" t="s">
        <v>83</v>
      </c>
      <c r="R2049" s="4"/>
      <c r="S2049" s="4"/>
    </row>
    <row r="2050" spans="1:19" ht="21" customHeight="1" x14ac:dyDescent="0.25">
      <c r="A2050" s="14">
        <f>DATE(2012,12,31)-1426</f>
        <v>39848</v>
      </c>
      <c r="B2050" s="15" t="s">
        <v>183</v>
      </c>
      <c r="C2050" s="15" t="s">
        <v>85</v>
      </c>
      <c r="D2050" s="16">
        <v>47</v>
      </c>
      <c r="E2050" s="17">
        <v>671.03</v>
      </c>
      <c r="F2050" s="16">
        <v>7.0000000000000007E-2</v>
      </c>
      <c r="G2050" s="15" t="s">
        <v>32</v>
      </c>
      <c r="H2050" s="18">
        <v>67.864000000000004</v>
      </c>
      <c r="I2050" s="19">
        <v>14.48</v>
      </c>
      <c r="J2050" s="19">
        <v>6.46</v>
      </c>
      <c r="K2050" s="19" t="s">
        <v>33</v>
      </c>
      <c r="L2050" s="19" t="s">
        <v>128</v>
      </c>
      <c r="M2050" s="15" t="s">
        <v>129</v>
      </c>
      <c r="N2050" s="15" t="s">
        <v>36</v>
      </c>
      <c r="O2050" s="15" t="s">
        <v>170</v>
      </c>
      <c r="P2050" s="20" t="s">
        <v>646</v>
      </c>
      <c r="Q2050" s="15" t="s">
        <v>83</v>
      </c>
      <c r="R2050" s="4"/>
      <c r="S2050" s="4"/>
    </row>
    <row r="2051" spans="1:19" ht="21" customHeight="1" x14ac:dyDescent="0.25">
      <c r="A2051" s="14">
        <f>DATE(2012,12,31)-76</f>
        <v>41198</v>
      </c>
      <c r="B2051" s="15" t="s">
        <v>892</v>
      </c>
      <c r="C2051" s="15" t="s">
        <v>31</v>
      </c>
      <c r="D2051" s="16">
        <v>17</v>
      </c>
      <c r="E2051" s="17">
        <v>363.54</v>
      </c>
      <c r="F2051" s="16">
        <v>0.08</v>
      </c>
      <c r="G2051" s="15" t="s">
        <v>32</v>
      </c>
      <c r="H2051" s="18">
        <v>4.75</v>
      </c>
      <c r="I2051" s="19">
        <v>22.01</v>
      </c>
      <c r="J2051" s="19">
        <v>5.53</v>
      </c>
      <c r="K2051" s="19" t="s">
        <v>33</v>
      </c>
      <c r="L2051" s="19" t="s">
        <v>128</v>
      </c>
      <c r="M2051" s="15" t="s">
        <v>129</v>
      </c>
      <c r="N2051" s="15" t="s">
        <v>36</v>
      </c>
      <c r="O2051" s="15" t="s">
        <v>77</v>
      </c>
      <c r="P2051" s="20" t="s">
        <v>709</v>
      </c>
      <c r="Q2051" s="15" t="s">
        <v>49</v>
      </c>
      <c r="R2051" s="4"/>
      <c r="S2051" s="4"/>
    </row>
    <row r="2052" spans="1:19" ht="21" customHeight="1" x14ac:dyDescent="0.25">
      <c r="A2052" s="14">
        <f>DATE(2012,12,31)-1072</f>
        <v>40202</v>
      </c>
      <c r="B2052" s="15" t="s">
        <v>1026</v>
      </c>
      <c r="C2052" s="15" t="s">
        <v>43</v>
      </c>
      <c r="D2052" s="16">
        <v>38</v>
      </c>
      <c r="E2052" s="17">
        <v>1325.06</v>
      </c>
      <c r="F2052" s="16">
        <v>0.06</v>
      </c>
      <c r="G2052" s="15" t="s">
        <v>32</v>
      </c>
      <c r="H2052" s="18">
        <v>-180.23</v>
      </c>
      <c r="I2052" s="19">
        <v>35.770000000000003</v>
      </c>
      <c r="J2052" s="19">
        <v>9.02</v>
      </c>
      <c r="K2052" s="19" t="s">
        <v>97</v>
      </c>
      <c r="L2052" s="19" t="s">
        <v>132</v>
      </c>
      <c r="M2052" s="15" t="s">
        <v>133</v>
      </c>
      <c r="N2052" s="15" t="s">
        <v>64</v>
      </c>
      <c r="O2052" s="15" t="s">
        <v>72</v>
      </c>
      <c r="P2052" s="20" t="s">
        <v>1771</v>
      </c>
      <c r="Q2052" s="15" t="s">
        <v>83</v>
      </c>
      <c r="R2052" s="4"/>
      <c r="S2052" s="4"/>
    </row>
    <row r="2053" spans="1:19" ht="21" customHeight="1" x14ac:dyDescent="0.25">
      <c r="A2053" s="14">
        <f>DATE(2012,12,31)-411</f>
        <v>40863</v>
      </c>
      <c r="B2053" s="15" t="s">
        <v>406</v>
      </c>
      <c r="C2053" s="15" t="s">
        <v>51</v>
      </c>
      <c r="D2053" s="16">
        <v>48</v>
      </c>
      <c r="E2053" s="17">
        <v>257.75</v>
      </c>
      <c r="F2053" s="16">
        <v>0.02</v>
      </c>
      <c r="G2053" s="15" t="s">
        <v>32</v>
      </c>
      <c r="H2053" s="18">
        <v>-66.260000000000005</v>
      </c>
      <c r="I2053" s="19">
        <v>4.9800000000000004</v>
      </c>
      <c r="J2053" s="19">
        <v>4.75</v>
      </c>
      <c r="K2053" s="19" t="s">
        <v>97</v>
      </c>
      <c r="L2053" s="19" t="s">
        <v>195</v>
      </c>
      <c r="M2053" s="15" t="s">
        <v>1413</v>
      </c>
      <c r="N2053" s="15" t="s">
        <v>36</v>
      </c>
      <c r="O2053" s="15" t="s">
        <v>117</v>
      </c>
      <c r="P2053" s="20" t="s">
        <v>528</v>
      </c>
      <c r="Q2053" s="15" t="s">
        <v>83</v>
      </c>
      <c r="R2053" s="4"/>
      <c r="S2053" s="4"/>
    </row>
    <row r="2054" spans="1:19" ht="21" customHeight="1" x14ac:dyDescent="0.25">
      <c r="A2054" s="14">
        <f>DATE(2012,12,31)-411</f>
        <v>40863</v>
      </c>
      <c r="B2054" s="15" t="s">
        <v>406</v>
      </c>
      <c r="C2054" s="15" t="s">
        <v>51</v>
      </c>
      <c r="D2054" s="16">
        <v>24</v>
      </c>
      <c r="E2054" s="17">
        <v>39.69</v>
      </c>
      <c r="F2054" s="16">
        <v>0.05</v>
      </c>
      <c r="G2054" s="15" t="s">
        <v>32</v>
      </c>
      <c r="H2054" s="18">
        <v>-1.78</v>
      </c>
      <c r="I2054" s="19">
        <v>1.68</v>
      </c>
      <c r="J2054" s="19">
        <v>1</v>
      </c>
      <c r="K2054" s="19" t="s">
        <v>97</v>
      </c>
      <c r="L2054" s="19" t="s">
        <v>567</v>
      </c>
      <c r="M2054" s="15" t="s">
        <v>568</v>
      </c>
      <c r="N2054" s="15" t="s">
        <v>36</v>
      </c>
      <c r="O2054" s="15" t="s">
        <v>77</v>
      </c>
      <c r="P2054" s="20" t="s">
        <v>1772</v>
      </c>
      <c r="Q2054" s="15" t="s">
        <v>79</v>
      </c>
      <c r="R2054" s="4"/>
      <c r="S2054" s="4"/>
    </row>
    <row r="2055" spans="1:19" ht="21" customHeight="1" x14ac:dyDescent="0.25">
      <c r="A2055" s="14">
        <f>DATE(2012,12,31)-411</f>
        <v>40863</v>
      </c>
      <c r="B2055" s="15" t="s">
        <v>406</v>
      </c>
      <c r="C2055" s="15" t="s">
        <v>51</v>
      </c>
      <c r="D2055" s="16">
        <v>48</v>
      </c>
      <c r="E2055" s="17">
        <v>5139.8819999999996</v>
      </c>
      <c r="F2055" s="16">
        <v>0.01</v>
      </c>
      <c r="G2055" s="15" t="s">
        <v>32</v>
      </c>
      <c r="H2055" s="18">
        <v>1275.6690000000001</v>
      </c>
      <c r="I2055" s="19">
        <v>125.99</v>
      </c>
      <c r="J2055" s="19">
        <v>8.99</v>
      </c>
      <c r="K2055" s="19" t="s">
        <v>97</v>
      </c>
      <c r="L2055" s="19" t="s">
        <v>98</v>
      </c>
      <c r="M2055" s="15" t="s">
        <v>1162</v>
      </c>
      <c r="N2055" s="15" t="s">
        <v>64</v>
      </c>
      <c r="O2055" s="15" t="s">
        <v>65</v>
      </c>
      <c r="P2055" s="20" t="s">
        <v>1553</v>
      </c>
      <c r="Q2055" s="15" t="s">
        <v>83</v>
      </c>
      <c r="R2055" s="4"/>
      <c r="S2055" s="4"/>
    </row>
    <row r="2056" spans="1:19" ht="21" customHeight="1" x14ac:dyDescent="0.25">
      <c r="A2056" s="14">
        <f>DATE(2012,12,31)-722</f>
        <v>40552</v>
      </c>
      <c r="B2056" s="15" t="s">
        <v>1515</v>
      </c>
      <c r="C2056" s="15" t="s">
        <v>85</v>
      </c>
      <c r="D2056" s="16">
        <v>39</v>
      </c>
      <c r="E2056" s="17">
        <v>268.94</v>
      </c>
      <c r="F2056" s="16">
        <v>0.02</v>
      </c>
      <c r="G2056" s="15" t="s">
        <v>32</v>
      </c>
      <c r="H2056" s="18">
        <v>-87.52</v>
      </c>
      <c r="I2056" s="19">
        <v>6.48</v>
      </c>
      <c r="J2056" s="19">
        <v>6.41</v>
      </c>
      <c r="K2056" s="19" t="s">
        <v>97</v>
      </c>
      <c r="L2056" s="19" t="s">
        <v>98</v>
      </c>
      <c r="M2056" s="15" t="s">
        <v>1162</v>
      </c>
      <c r="N2056" s="15" t="s">
        <v>36</v>
      </c>
      <c r="O2056" s="15" t="s">
        <v>117</v>
      </c>
      <c r="P2056" s="20" t="s">
        <v>1773</v>
      </c>
      <c r="Q2056" s="15" t="s">
        <v>83</v>
      </c>
      <c r="R2056" s="4"/>
      <c r="S2056" s="4"/>
    </row>
    <row r="2057" spans="1:19" ht="21" customHeight="1" x14ac:dyDescent="0.25">
      <c r="A2057" s="14">
        <f>DATE(2012,12,31)-722</f>
        <v>40552</v>
      </c>
      <c r="B2057" s="15" t="s">
        <v>1515</v>
      </c>
      <c r="C2057" s="15" t="s">
        <v>85</v>
      </c>
      <c r="D2057" s="16">
        <v>38</v>
      </c>
      <c r="E2057" s="17">
        <v>847.82</v>
      </c>
      <c r="F2057" s="16">
        <v>0.05</v>
      </c>
      <c r="G2057" s="15" t="s">
        <v>58</v>
      </c>
      <c r="H2057" s="18">
        <v>-1348.5</v>
      </c>
      <c r="I2057" s="19">
        <v>20.98</v>
      </c>
      <c r="J2057" s="19">
        <v>45</v>
      </c>
      <c r="K2057" s="19" t="s">
        <v>97</v>
      </c>
      <c r="L2057" s="19" t="s">
        <v>283</v>
      </c>
      <c r="M2057" s="15" t="s">
        <v>1471</v>
      </c>
      <c r="N2057" s="15" t="s">
        <v>36</v>
      </c>
      <c r="O2057" s="15" t="s">
        <v>37</v>
      </c>
      <c r="P2057" s="20" t="s">
        <v>899</v>
      </c>
      <c r="Q2057" s="15" t="s">
        <v>181</v>
      </c>
      <c r="R2057" s="4"/>
      <c r="S2057" s="4"/>
    </row>
    <row r="2058" spans="1:19" ht="21" customHeight="1" x14ac:dyDescent="0.25">
      <c r="A2058" s="14">
        <f>DATE(2012,12,31)-117</f>
        <v>41157</v>
      </c>
      <c r="B2058" s="15" t="s">
        <v>384</v>
      </c>
      <c r="C2058" s="15" t="s">
        <v>51</v>
      </c>
      <c r="D2058" s="16">
        <v>40</v>
      </c>
      <c r="E2058" s="17">
        <v>1992.45</v>
      </c>
      <c r="F2058" s="16">
        <v>0.05</v>
      </c>
      <c r="G2058" s="15" t="s">
        <v>58</v>
      </c>
      <c r="H2058" s="18">
        <v>-1609.92</v>
      </c>
      <c r="I2058" s="19">
        <v>48.58</v>
      </c>
      <c r="J2058" s="19">
        <v>54.11</v>
      </c>
      <c r="K2058" s="19" t="s">
        <v>124</v>
      </c>
      <c r="L2058" s="19" t="s">
        <v>493</v>
      </c>
      <c r="M2058" s="15" t="s">
        <v>1588</v>
      </c>
      <c r="N2058" s="15" t="s">
        <v>54</v>
      </c>
      <c r="O2058" s="15" t="s">
        <v>134</v>
      </c>
      <c r="P2058" s="20" t="s">
        <v>217</v>
      </c>
      <c r="Q2058" s="15" t="s">
        <v>63</v>
      </c>
      <c r="R2058" s="4"/>
      <c r="S2058" s="4"/>
    </row>
    <row r="2059" spans="1:19" ht="21" customHeight="1" x14ac:dyDescent="0.25">
      <c r="A2059" s="14">
        <f>DATE(2012,12,31)-358</f>
        <v>40916</v>
      </c>
      <c r="B2059" s="15" t="s">
        <v>1214</v>
      </c>
      <c r="C2059" s="15" t="s">
        <v>31</v>
      </c>
      <c r="D2059" s="16">
        <v>15</v>
      </c>
      <c r="E2059" s="17">
        <v>310.87</v>
      </c>
      <c r="F2059" s="16">
        <v>7.0000000000000007E-2</v>
      </c>
      <c r="G2059" s="15" t="s">
        <v>32</v>
      </c>
      <c r="H2059" s="18">
        <v>-21.48</v>
      </c>
      <c r="I2059" s="19">
        <v>20.95</v>
      </c>
      <c r="J2059" s="19">
        <v>4</v>
      </c>
      <c r="K2059" s="19" t="s">
        <v>124</v>
      </c>
      <c r="L2059" s="19" t="s">
        <v>160</v>
      </c>
      <c r="M2059" s="15" t="s">
        <v>1621</v>
      </c>
      <c r="N2059" s="15" t="s">
        <v>64</v>
      </c>
      <c r="O2059" s="15" t="s">
        <v>72</v>
      </c>
      <c r="P2059" s="20" t="s">
        <v>1259</v>
      </c>
      <c r="Q2059" s="15" t="s">
        <v>83</v>
      </c>
      <c r="R2059" s="4"/>
      <c r="S2059" s="4"/>
    </row>
    <row r="2060" spans="1:19" ht="21" customHeight="1" x14ac:dyDescent="0.25">
      <c r="A2060" s="14">
        <f>DATE(2012,12,31)-165</f>
        <v>41109</v>
      </c>
      <c r="B2060" s="15" t="s">
        <v>1748</v>
      </c>
      <c r="C2060" s="15" t="s">
        <v>85</v>
      </c>
      <c r="D2060" s="16">
        <v>50</v>
      </c>
      <c r="E2060" s="17">
        <v>8532.152</v>
      </c>
      <c r="F2060" s="16">
        <v>0.04</v>
      </c>
      <c r="G2060" s="15" t="s">
        <v>58</v>
      </c>
      <c r="H2060" s="18">
        <v>-513.79042000000004</v>
      </c>
      <c r="I2060" s="19">
        <v>212.6</v>
      </c>
      <c r="J2060" s="19">
        <v>52.2</v>
      </c>
      <c r="K2060" s="19" t="s">
        <v>124</v>
      </c>
      <c r="L2060" s="19" t="s">
        <v>164</v>
      </c>
      <c r="M2060" s="15" t="s">
        <v>1228</v>
      </c>
      <c r="N2060" s="15" t="s">
        <v>54</v>
      </c>
      <c r="O2060" s="15" t="s">
        <v>61</v>
      </c>
      <c r="P2060" s="20" t="s">
        <v>615</v>
      </c>
      <c r="Q2060" s="15" t="s">
        <v>63</v>
      </c>
      <c r="R2060" s="4"/>
      <c r="S2060" s="4"/>
    </row>
    <row r="2061" spans="1:19" ht="21" customHeight="1" x14ac:dyDescent="0.25">
      <c r="A2061" s="14">
        <f>DATE(2012,12,31)-165</f>
        <v>41109</v>
      </c>
      <c r="B2061" s="15" t="s">
        <v>1748</v>
      </c>
      <c r="C2061" s="15" t="s">
        <v>85</v>
      </c>
      <c r="D2061" s="16">
        <v>33</v>
      </c>
      <c r="E2061" s="17">
        <v>2269.41</v>
      </c>
      <c r="F2061" s="16">
        <v>0.05</v>
      </c>
      <c r="G2061" s="15" t="s">
        <v>32</v>
      </c>
      <c r="H2061" s="18">
        <v>630.17999999999995</v>
      </c>
      <c r="I2061" s="19">
        <v>70.97</v>
      </c>
      <c r="J2061" s="19">
        <v>3.5</v>
      </c>
      <c r="K2061" s="19" t="s">
        <v>124</v>
      </c>
      <c r="L2061" s="19" t="s">
        <v>160</v>
      </c>
      <c r="M2061" s="15" t="s">
        <v>1621</v>
      </c>
      <c r="N2061" s="15" t="s">
        <v>36</v>
      </c>
      <c r="O2061" s="15" t="s">
        <v>176</v>
      </c>
      <c r="P2061" s="20" t="s">
        <v>339</v>
      </c>
      <c r="Q2061" s="15" t="s">
        <v>83</v>
      </c>
      <c r="R2061" s="4"/>
      <c r="S2061" s="4"/>
    </row>
    <row r="2062" spans="1:19" ht="21" customHeight="1" x14ac:dyDescent="0.25">
      <c r="A2062" s="14">
        <f>DATE(2012,12,31)-1091</f>
        <v>40183</v>
      </c>
      <c r="B2062" s="15" t="s">
        <v>812</v>
      </c>
      <c r="C2062" s="15" t="s">
        <v>51</v>
      </c>
      <c r="D2062" s="16">
        <v>31</v>
      </c>
      <c r="E2062" s="17">
        <v>111.48</v>
      </c>
      <c r="F2062" s="16">
        <v>0.09</v>
      </c>
      <c r="G2062" s="15" t="s">
        <v>32</v>
      </c>
      <c r="H2062" s="18">
        <v>29.57</v>
      </c>
      <c r="I2062" s="19">
        <v>3.85</v>
      </c>
      <c r="J2062" s="19">
        <v>0.7</v>
      </c>
      <c r="K2062" s="19" t="s">
        <v>124</v>
      </c>
      <c r="L2062" s="19" t="s">
        <v>160</v>
      </c>
      <c r="M2062" s="15" t="s">
        <v>1621</v>
      </c>
      <c r="N2062" s="15" t="s">
        <v>36</v>
      </c>
      <c r="O2062" s="15" t="s">
        <v>77</v>
      </c>
      <c r="P2062" s="20" t="s">
        <v>225</v>
      </c>
      <c r="Q2062" s="15" t="s">
        <v>79</v>
      </c>
      <c r="R2062" s="4"/>
      <c r="S2062" s="4"/>
    </row>
    <row r="2063" spans="1:19" ht="21" customHeight="1" x14ac:dyDescent="0.25">
      <c r="A2063" s="14">
        <f>DATE(2012,12,31)-1091</f>
        <v>40183</v>
      </c>
      <c r="B2063" s="15" t="s">
        <v>812</v>
      </c>
      <c r="C2063" s="15" t="s">
        <v>51</v>
      </c>
      <c r="D2063" s="16">
        <v>44</v>
      </c>
      <c r="E2063" s="17">
        <v>2322.8119999999999</v>
      </c>
      <c r="F2063" s="16">
        <v>0.1</v>
      </c>
      <c r="G2063" s="15" t="s">
        <v>101</v>
      </c>
      <c r="H2063" s="18">
        <v>454.38299999999998</v>
      </c>
      <c r="I2063" s="19">
        <v>65.989999999999995</v>
      </c>
      <c r="J2063" s="19">
        <v>4.2</v>
      </c>
      <c r="K2063" s="19" t="s">
        <v>124</v>
      </c>
      <c r="L2063" s="19" t="s">
        <v>160</v>
      </c>
      <c r="M2063" s="15" t="s">
        <v>1621</v>
      </c>
      <c r="N2063" s="15" t="s">
        <v>64</v>
      </c>
      <c r="O2063" s="15" t="s">
        <v>65</v>
      </c>
      <c r="P2063" s="20" t="s">
        <v>1774</v>
      </c>
      <c r="Q2063" s="15" t="s">
        <v>83</v>
      </c>
      <c r="R2063" s="4"/>
      <c r="S2063" s="4"/>
    </row>
    <row r="2064" spans="1:19" ht="21" customHeight="1" x14ac:dyDescent="0.25">
      <c r="A2064" s="14">
        <f>DATE(2012,12,31)-1218</f>
        <v>40056</v>
      </c>
      <c r="B2064" s="15" t="s">
        <v>1227</v>
      </c>
      <c r="C2064" s="15" t="s">
        <v>31</v>
      </c>
      <c r="D2064" s="16">
        <v>2</v>
      </c>
      <c r="E2064" s="17">
        <v>42.3</v>
      </c>
      <c r="F2064" s="16">
        <v>0.06</v>
      </c>
      <c r="G2064" s="15" t="s">
        <v>32</v>
      </c>
      <c r="H2064" s="18">
        <v>-25.38</v>
      </c>
      <c r="I2064" s="19">
        <v>19.23</v>
      </c>
      <c r="J2064" s="19">
        <v>6.15</v>
      </c>
      <c r="K2064" s="19" t="s">
        <v>124</v>
      </c>
      <c r="L2064" s="19" t="s">
        <v>160</v>
      </c>
      <c r="M2064" s="15" t="s">
        <v>1621</v>
      </c>
      <c r="N2064" s="15" t="s">
        <v>54</v>
      </c>
      <c r="O2064" s="15" t="s">
        <v>55</v>
      </c>
      <c r="P2064" s="20" t="s">
        <v>1187</v>
      </c>
      <c r="Q2064" s="15" t="s">
        <v>49</v>
      </c>
      <c r="R2064" s="4"/>
      <c r="S2064" s="4"/>
    </row>
    <row r="2065" spans="1:19" ht="21" customHeight="1" x14ac:dyDescent="0.25">
      <c r="A2065" s="14">
        <f>DATE(2012,12,31)-292</f>
        <v>40982</v>
      </c>
      <c r="B2065" s="15" t="s">
        <v>663</v>
      </c>
      <c r="C2065" s="15" t="s">
        <v>85</v>
      </c>
      <c r="D2065" s="16">
        <v>43</v>
      </c>
      <c r="E2065" s="17">
        <v>2009.05</v>
      </c>
      <c r="F2065" s="16">
        <v>0.04</v>
      </c>
      <c r="G2065" s="15" t="s">
        <v>58</v>
      </c>
      <c r="H2065" s="18">
        <v>33.988949999999996</v>
      </c>
      <c r="I2065" s="19">
        <v>44.43</v>
      </c>
      <c r="J2065" s="19">
        <v>46.59</v>
      </c>
      <c r="K2065" s="19" t="s">
        <v>124</v>
      </c>
      <c r="L2065" s="19" t="s">
        <v>164</v>
      </c>
      <c r="M2065" s="15" t="s">
        <v>1228</v>
      </c>
      <c r="N2065" s="15" t="s">
        <v>54</v>
      </c>
      <c r="O2065" s="15" t="s">
        <v>61</v>
      </c>
      <c r="P2065" s="20" t="s">
        <v>1314</v>
      </c>
      <c r="Q2065" s="15" t="s">
        <v>63</v>
      </c>
      <c r="R2065" s="4"/>
      <c r="S2065" s="4"/>
    </row>
    <row r="2066" spans="1:19" ht="21" customHeight="1" x14ac:dyDescent="0.25">
      <c r="A2066" s="14">
        <f>DATE(2012,12,31)-1179</f>
        <v>40095</v>
      </c>
      <c r="B2066" s="15" t="s">
        <v>416</v>
      </c>
      <c r="C2066" s="15" t="s">
        <v>51</v>
      </c>
      <c r="D2066" s="16">
        <v>20</v>
      </c>
      <c r="E2066" s="17">
        <v>94.86</v>
      </c>
      <c r="F2066" s="16">
        <v>0.08</v>
      </c>
      <c r="G2066" s="15" t="s">
        <v>32</v>
      </c>
      <c r="H2066" s="18">
        <v>39.69</v>
      </c>
      <c r="I2066" s="19">
        <v>4.91</v>
      </c>
      <c r="J2066" s="19">
        <v>0.5</v>
      </c>
      <c r="K2066" s="19" t="s">
        <v>124</v>
      </c>
      <c r="L2066" s="19" t="s">
        <v>164</v>
      </c>
      <c r="M2066" s="15" t="s">
        <v>1228</v>
      </c>
      <c r="N2066" s="15" t="s">
        <v>36</v>
      </c>
      <c r="O2066" s="15" t="s">
        <v>114</v>
      </c>
      <c r="P2066" s="20" t="s">
        <v>400</v>
      </c>
      <c r="Q2066" s="15" t="s">
        <v>83</v>
      </c>
      <c r="R2066" s="4"/>
      <c r="S2066" s="4"/>
    </row>
    <row r="2067" spans="1:19" ht="21" customHeight="1" x14ac:dyDescent="0.25">
      <c r="A2067" s="14">
        <f>DATE(2012,12,31)-1179</f>
        <v>40095</v>
      </c>
      <c r="B2067" s="15" t="s">
        <v>416</v>
      </c>
      <c r="C2067" s="15" t="s">
        <v>51</v>
      </c>
      <c r="D2067" s="16">
        <v>25</v>
      </c>
      <c r="E2067" s="17">
        <v>744.12</v>
      </c>
      <c r="F2067" s="16">
        <v>0.02</v>
      </c>
      <c r="G2067" s="15" t="s">
        <v>32</v>
      </c>
      <c r="H2067" s="18">
        <v>146.51</v>
      </c>
      <c r="I2067" s="19">
        <v>28.15</v>
      </c>
      <c r="J2067" s="19">
        <v>6.17</v>
      </c>
      <c r="K2067" s="19" t="s">
        <v>124</v>
      </c>
      <c r="L2067" s="19" t="s">
        <v>164</v>
      </c>
      <c r="M2067" s="15" t="s">
        <v>1228</v>
      </c>
      <c r="N2067" s="15" t="s">
        <v>36</v>
      </c>
      <c r="O2067" s="15" t="s">
        <v>77</v>
      </c>
      <c r="P2067" s="20" t="s">
        <v>608</v>
      </c>
      <c r="Q2067" s="15" t="s">
        <v>49</v>
      </c>
      <c r="R2067" s="4"/>
      <c r="S2067" s="4"/>
    </row>
    <row r="2068" spans="1:19" ht="21" customHeight="1" x14ac:dyDescent="0.25">
      <c r="A2068" s="14">
        <f>DATE(2012,12,31)-763</f>
        <v>40511</v>
      </c>
      <c r="B2068" s="15" t="s">
        <v>606</v>
      </c>
      <c r="C2068" s="15" t="s">
        <v>43</v>
      </c>
      <c r="D2068" s="16">
        <v>37</v>
      </c>
      <c r="E2068" s="17">
        <v>438.07</v>
      </c>
      <c r="F2068" s="16">
        <v>0</v>
      </c>
      <c r="G2068" s="15" t="s">
        <v>101</v>
      </c>
      <c r="H2068" s="18">
        <v>12.06</v>
      </c>
      <c r="I2068" s="19">
        <v>10.89</v>
      </c>
      <c r="J2068" s="19">
        <v>4.5</v>
      </c>
      <c r="K2068" s="19" t="s">
        <v>124</v>
      </c>
      <c r="L2068" s="19" t="s">
        <v>158</v>
      </c>
      <c r="M2068" s="15" t="s">
        <v>158</v>
      </c>
      <c r="N2068" s="15" t="s">
        <v>36</v>
      </c>
      <c r="O2068" s="15" t="s">
        <v>176</v>
      </c>
      <c r="P2068" s="20" t="s">
        <v>250</v>
      </c>
      <c r="Q2068" s="15" t="s">
        <v>83</v>
      </c>
      <c r="R2068" s="4"/>
      <c r="S2068" s="4"/>
    </row>
    <row r="2069" spans="1:19" ht="21" customHeight="1" x14ac:dyDescent="0.25">
      <c r="A2069" s="14">
        <f>DATE(2012,12,31)-763</f>
        <v>40511</v>
      </c>
      <c r="B2069" s="15" t="s">
        <v>606</v>
      </c>
      <c r="C2069" s="15" t="s">
        <v>43</v>
      </c>
      <c r="D2069" s="16">
        <v>19</v>
      </c>
      <c r="E2069" s="17">
        <v>116.37</v>
      </c>
      <c r="F2069" s="16">
        <v>0.03</v>
      </c>
      <c r="G2069" s="15" t="s">
        <v>32</v>
      </c>
      <c r="H2069" s="18">
        <v>-32.6</v>
      </c>
      <c r="I2069" s="19">
        <v>5.58</v>
      </c>
      <c r="J2069" s="19">
        <v>5.3</v>
      </c>
      <c r="K2069" s="19" t="s">
        <v>124</v>
      </c>
      <c r="L2069" s="19" t="s">
        <v>164</v>
      </c>
      <c r="M2069" s="15" t="s">
        <v>1228</v>
      </c>
      <c r="N2069" s="15" t="s">
        <v>36</v>
      </c>
      <c r="O2069" s="15" t="s">
        <v>189</v>
      </c>
      <c r="P2069" s="20" t="s">
        <v>849</v>
      </c>
      <c r="Q2069" s="15" t="s">
        <v>83</v>
      </c>
      <c r="R2069" s="4"/>
      <c r="S2069" s="4"/>
    </row>
    <row r="2070" spans="1:19" ht="21" customHeight="1" x14ac:dyDescent="0.25">
      <c r="A2070" s="14">
        <f>DATE(2012,12,31)-1051</f>
        <v>40223</v>
      </c>
      <c r="B2070" s="15" t="s">
        <v>808</v>
      </c>
      <c r="C2070" s="15" t="s">
        <v>85</v>
      </c>
      <c r="D2070" s="16">
        <v>29</v>
      </c>
      <c r="E2070" s="17">
        <v>1576.223</v>
      </c>
      <c r="F2070" s="16">
        <v>0.05</v>
      </c>
      <c r="G2070" s="15" t="s">
        <v>32</v>
      </c>
      <c r="H2070" s="18">
        <v>286.11900000000003</v>
      </c>
      <c r="I2070" s="19">
        <v>65.989999999999995</v>
      </c>
      <c r="J2070" s="19">
        <v>3.99</v>
      </c>
      <c r="K2070" s="19" t="s">
        <v>124</v>
      </c>
      <c r="L2070" s="19" t="s">
        <v>319</v>
      </c>
      <c r="M2070" s="15" t="s">
        <v>1711</v>
      </c>
      <c r="N2070" s="15" t="s">
        <v>64</v>
      </c>
      <c r="O2070" s="15" t="s">
        <v>65</v>
      </c>
      <c r="P2070" s="20" t="s">
        <v>1775</v>
      </c>
      <c r="Q2070" s="15" t="s">
        <v>83</v>
      </c>
      <c r="R2070" s="4"/>
      <c r="S2070" s="4"/>
    </row>
    <row r="2071" spans="1:19" ht="21" customHeight="1" x14ac:dyDescent="0.25">
      <c r="A2071" s="14">
        <f>DATE(2012,12,31)-1071</f>
        <v>40203</v>
      </c>
      <c r="B2071" s="15" t="s">
        <v>273</v>
      </c>
      <c r="C2071" s="15" t="s">
        <v>43</v>
      </c>
      <c r="D2071" s="16">
        <v>48</v>
      </c>
      <c r="E2071" s="17">
        <v>9062.73</v>
      </c>
      <c r="F2071" s="16">
        <v>0.09</v>
      </c>
      <c r="G2071" s="15" t="s">
        <v>32</v>
      </c>
      <c r="H2071" s="18">
        <v>3122.78</v>
      </c>
      <c r="I2071" s="19">
        <v>207.48</v>
      </c>
      <c r="J2071" s="19">
        <v>0.99</v>
      </c>
      <c r="K2071" s="19" t="s">
        <v>124</v>
      </c>
      <c r="L2071" s="19" t="s">
        <v>319</v>
      </c>
      <c r="M2071" s="15" t="s">
        <v>1711</v>
      </c>
      <c r="N2071" s="15" t="s">
        <v>36</v>
      </c>
      <c r="O2071" s="15" t="s">
        <v>176</v>
      </c>
      <c r="P2071" s="20" t="s">
        <v>349</v>
      </c>
      <c r="Q2071" s="15" t="s">
        <v>83</v>
      </c>
      <c r="R2071" s="4"/>
      <c r="S2071" s="4"/>
    </row>
    <row r="2072" spans="1:19" ht="21" customHeight="1" x14ac:dyDescent="0.25">
      <c r="A2072" s="14">
        <f>DATE(2012,12,31)-1071</f>
        <v>40203</v>
      </c>
      <c r="B2072" s="15" t="s">
        <v>273</v>
      </c>
      <c r="C2072" s="15" t="s">
        <v>43</v>
      </c>
      <c r="D2072" s="16">
        <v>27</v>
      </c>
      <c r="E2072" s="17">
        <v>1584.1</v>
      </c>
      <c r="F2072" s="16">
        <v>7.0000000000000007E-2</v>
      </c>
      <c r="G2072" s="15" t="s">
        <v>58</v>
      </c>
      <c r="H2072" s="18">
        <v>-478.22</v>
      </c>
      <c r="I2072" s="19">
        <v>58.14</v>
      </c>
      <c r="J2072" s="19">
        <v>36.61</v>
      </c>
      <c r="K2072" s="19" t="s">
        <v>124</v>
      </c>
      <c r="L2072" s="19" t="s">
        <v>319</v>
      </c>
      <c r="M2072" s="15" t="s">
        <v>1711</v>
      </c>
      <c r="N2072" s="15" t="s">
        <v>54</v>
      </c>
      <c r="O2072" s="15" t="s">
        <v>134</v>
      </c>
      <c r="P2072" s="20" t="s">
        <v>1299</v>
      </c>
      <c r="Q2072" s="15" t="s">
        <v>63</v>
      </c>
      <c r="R2072" s="4"/>
      <c r="S2072" s="4"/>
    </row>
    <row r="2073" spans="1:19" ht="21" customHeight="1" x14ac:dyDescent="0.25">
      <c r="A2073" s="14">
        <f>DATE(2012,12,31)-357</f>
        <v>40917</v>
      </c>
      <c r="B2073" s="15" t="s">
        <v>136</v>
      </c>
      <c r="C2073" s="15" t="s">
        <v>51</v>
      </c>
      <c r="D2073" s="16">
        <v>39</v>
      </c>
      <c r="E2073" s="17">
        <v>278.90199999999999</v>
      </c>
      <c r="F2073" s="16">
        <v>0.04</v>
      </c>
      <c r="G2073" s="15" t="s">
        <v>101</v>
      </c>
      <c r="H2073" s="18">
        <v>-104.467</v>
      </c>
      <c r="I2073" s="19">
        <v>7.99</v>
      </c>
      <c r="J2073" s="19">
        <v>5.03</v>
      </c>
      <c r="K2073" s="19" t="s">
        <v>44</v>
      </c>
      <c r="L2073" s="19" t="s">
        <v>52</v>
      </c>
      <c r="M2073" s="15" t="s">
        <v>1685</v>
      </c>
      <c r="N2073" s="15" t="s">
        <v>64</v>
      </c>
      <c r="O2073" s="15" t="s">
        <v>65</v>
      </c>
      <c r="P2073" s="20" t="s">
        <v>66</v>
      </c>
      <c r="Q2073" s="15" t="s">
        <v>57</v>
      </c>
      <c r="R2073" s="4"/>
      <c r="S2073" s="4"/>
    </row>
    <row r="2074" spans="1:19" ht="21" customHeight="1" x14ac:dyDescent="0.25">
      <c r="A2074" s="14">
        <f>DATE(2012,12,31)-1418</f>
        <v>39856</v>
      </c>
      <c r="B2074" s="15" t="s">
        <v>1776</v>
      </c>
      <c r="C2074" s="15" t="s">
        <v>31</v>
      </c>
      <c r="D2074" s="16">
        <v>15</v>
      </c>
      <c r="E2074" s="17">
        <v>103.62</v>
      </c>
      <c r="F2074" s="16">
        <v>0.1</v>
      </c>
      <c r="G2074" s="15" t="s">
        <v>32</v>
      </c>
      <c r="H2074" s="18">
        <v>39.979999999999997</v>
      </c>
      <c r="I2074" s="19">
        <v>7.31</v>
      </c>
      <c r="J2074" s="19">
        <v>0.49</v>
      </c>
      <c r="K2074" s="19" t="s">
        <v>44</v>
      </c>
      <c r="L2074" s="19" t="s">
        <v>52</v>
      </c>
      <c r="M2074" s="15" t="s">
        <v>1685</v>
      </c>
      <c r="N2074" s="15" t="s">
        <v>36</v>
      </c>
      <c r="O2074" s="15" t="s">
        <v>114</v>
      </c>
      <c r="P2074" s="20" t="s">
        <v>656</v>
      </c>
      <c r="Q2074" s="15" t="s">
        <v>83</v>
      </c>
      <c r="R2074" s="4"/>
      <c r="S2074" s="4"/>
    </row>
    <row r="2075" spans="1:19" ht="21" customHeight="1" x14ac:dyDescent="0.25">
      <c r="A2075" s="14">
        <f>DATE(2012,12,31)-1418</f>
        <v>39856</v>
      </c>
      <c r="B2075" s="15" t="s">
        <v>1776</v>
      </c>
      <c r="C2075" s="15" t="s">
        <v>31</v>
      </c>
      <c r="D2075" s="16">
        <v>20</v>
      </c>
      <c r="E2075" s="17">
        <v>124.84</v>
      </c>
      <c r="F2075" s="16">
        <v>0.08</v>
      </c>
      <c r="G2075" s="15" t="s">
        <v>32</v>
      </c>
      <c r="H2075" s="18">
        <v>10.56</v>
      </c>
      <c r="I2075" s="19">
        <v>6.7</v>
      </c>
      <c r="J2075" s="19">
        <v>1.56</v>
      </c>
      <c r="K2075" s="19" t="s">
        <v>44</v>
      </c>
      <c r="L2075" s="19" t="s">
        <v>52</v>
      </c>
      <c r="M2075" s="15" t="s">
        <v>1685</v>
      </c>
      <c r="N2075" s="15" t="s">
        <v>36</v>
      </c>
      <c r="O2075" s="15" t="s">
        <v>77</v>
      </c>
      <c r="P2075" s="20" t="s">
        <v>1777</v>
      </c>
      <c r="Q2075" s="15" t="s">
        <v>79</v>
      </c>
      <c r="R2075" s="4"/>
      <c r="S2075" s="4"/>
    </row>
    <row r="2076" spans="1:19" ht="21" customHeight="1" x14ac:dyDescent="0.25">
      <c r="A2076" s="14">
        <f>DATE(2012,12,31)-234</f>
        <v>41040</v>
      </c>
      <c r="B2076" s="15" t="s">
        <v>1778</v>
      </c>
      <c r="C2076" s="15" t="s">
        <v>43</v>
      </c>
      <c r="D2076" s="16">
        <v>6</v>
      </c>
      <c r="E2076" s="17">
        <v>3378.18</v>
      </c>
      <c r="F2076" s="16">
        <v>0.08</v>
      </c>
      <c r="G2076" s="15" t="s">
        <v>32</v>
      </c>
      <c r="H2076" s="18">
        <v>-1352.68</v>
      </c>
      <c r="I2076" s="19">
        <v>599.99</v>
      </c>
      <c r="J2076" s="19">
        <v>24.49</v>
      </c>
      <c r="K2076" s="19" t="s">
        <v>44</v>
      </c>
      <c r="L2076" s="19" t="s">
        <v>52</v>
      </c>
      <c r="M2076" s="15" t="s">
        <v>1685</v>
      </c>
      <c r="N2076" s="15" t="s">
        <v>64</v>
      </c>
      <c r="O2076" s="15" t="s">
        <v>460</v>
      </c>
      <c r="P2076" s="20" t="s">
        <v>1779</v>
      </c>
      <c r="Q2076" s="15" t="s">
        <v>39</v>
      </c>
      <c r="R2076" s="4"/>
      <c r="S2076" s="4"/>
    </row>
    <row r="2077" spans="1:19" ht="21" customHeight="1" x14ac:dyDescent="0.25">
      <c r="A2077" s="14">
        <f>DATE(2012,12,31)-234</f>
        <v>41040</v>
      </c>
      <c r="B2077" s="15" t="s">
        <v>1778</v>
      </c>
      <c r="C2077" s="15" t="s">
        <v>43</v>
      </c>
      <c r="D2077" s="16">
        <v>26</v>
      </c>
      <c r="E2077" s="17">
        <v>1443.2660000000001</v>
      </c>
      <c r="F2077" s="16">
        <v>0.08</v>
      </c>
      <c r="G2077" s="15" t="s">
        <v>32</v>
      </c>
      <c r="H2077" s="18">
        <v>156.114</v>
      </c>
      <c r="I2077" s="19">
        <v>65.989999999999995</v>
      </c>
      <c r="J2077" s="19">
        <v>8.99</v>
      </c>
      <c r="K2077" s="19" t="s">
        <v>44</v>
      </c>
      <c r="L2077" s="19" t="s">
        <v>52</v>
      </c>
      <c r="M2077" s="15" t="s">
        <v>1685</v>
      </c>
      <c r="N2077" s="15" t="s">
        <v>64</v>
      </c>
      <c r="O2077" s="15" t="s">
        <v>65</v>
      </c>
      <c r="P2077" s="20" t="s">
        <v>312</v>
      </c>
      <c r="Q2077" s="15" t="s">
        <v>83</v>
      </c>
      <c r="R2077" s="4"/>
      <c r="S2077" s="4"/>
    </row>
    <row r="2078" spans="1:19" ht="21" customHeight="1" x14ac:dyDescent="0.25">
      <c r="A2078" s="14">
        <f>DATE(2012,12,31)-373</f>
        <v>40901</v>
      </c>
      <c r="B2078" s="15" t="s">
        <v>1780</v>
      </c>
      <c r="C2078" s="15" t="s">
        <v>85</v>
      </c>
      <c r="D2078" s="16">
        <v>9</v>
      </c>
      <c r="E2078" s="17">
        <v>3800.4</v>
      </c>
      <c r="F2078" s="16">
        <v>0.03</v>
      </c>
      <c r="G2078" s="15" t="s">
        <v>101</v>
      </c>
      <c r="H2078" s="18">
        <v>1234.5740000000001</v>
      </c>
      <c r="I2078" s="19">
        <v>420.98</v>
      </c>
      <c r="J2078" s="19">
        <v>19.989999999999998</v>
      </c>
      <c r="K2078" s="19" t="s">
        <v>44</v>
      </c>
      <c r="L2078" s="19" t="s">
        <v>52</v>
      </c>
      <c r="M2078" s="15" t="s">
        <v>1685</v>
      </c>
      <c r="N2078" s="15" t="s">
        <v>36</v>
      </c>
      <c r="O2078" s="15" t="s">
        <v>170</v>
      </c>
      <c r="P2078" s="20" t="s">
        <v>466</v>
      </c>
      <c r="Q2078" s="15" t="s">
        <v>83</v>
      </c>
      <c r="R2078" s="4"/>
      <c r="S2078" s="4"/>
    </row>
    <row r="2079" spans="1:19" ht="21" customHeight="1" x14ac:dyDescent="0.25">
      <c r="A2079" s="14">
        <f>DATE(2012,12,31)-978</f>
        <v>40296</v>
      </c>
      <c r="B2079" s="15" t="s">
        <v>1355</v>
      </c>
      <c r="C2079" s="15" t="s">
        <v>31</v>
      </c>
      <c r="D2079" s="16">
        <v>24</v>
      </c>
      <c r="E2079" s="17">
        <v>391.23</v>
      </c>
      <c r="F2079" s="16">
        <v>7.0000000000000007E-2</v>
      </c>
      <c r="G2079" s="15" t="s">
        <v>32</v>
      </c>
      <c r="H2079" s="18">
        <v>-27.98</v>
      </c>
      <c r="I2079" s="19">
        <v>16.91</v>
      </c>
      <c r="J2079" s="19">
        <v>6.25</v>
      </c>
      <c r="K2079" s="19" t="s">
        <v>44</v>
      </c>
      <c r="L2079" s="19" t="s">
        <v>52</v>
      </c>
      <c r="M2079" s="15" t="s">
        <v>1685</v>
      </c>
      <c r="N2079" s="15" t="s">
        <v>36</v>
      </c>
      <c r="O2079" s="15" t="s">
        <v>37</v>
      </c>
      <c r="P2079" s="20" t="s">
        <v>1586</v>
      </c>
      <c r="Q2079" s="15" t="s">
        <v>83</v>
      </c>
      <c r="R2079" s="4"/>
      <c r="S2079" s="4"/>
    </row>
    <row r="2080" spans="1:19" ht="21" customHeight="1" x14ac:dyDescent="0.25">
      <c r="A2080" s="14">
        <f>DATE(2012,12,31)-976</f>
        <v>40298</v>
      </c>
      <c r="B2080" s="15" t="s">
        <v>1781</v>
      </c>
      <c r="C2080" s="15" t="s">
        <v>43</v>
      </c>
      <c r="D2080" s="16">
        <v>44</v>
      </c>
      <c r="E2080" s="17">
        <v>174.9</v>
      </c>
      <c r="F2080" s="16">
        <v>0.06</v>
      </c>
      <c r="G2080" s="15" t="s">
        <v>101</v>
      </c>
      <c r="H2080" s="18">
        <v>-150.90299999999999</v>
      </c>
      <c r="I2080" s="19">
        <v>3.58</v>
      </c>
      <c r="J2080" s="19">
        <v>5.47</v>
      </c>
      <c r="K2080" s="19" t="s">
        <v>44</v>
      </c>
      <c r="L2080" s="19" t="s">
        <v>52</v>
      </c>
      <c r="M2080" s="15" t="s">
        <v>1685</v>
      </c>
      <c r="N2080" s="15" t="s">
        <v>36</v>
      </c>
      <c r="O2080" s="15" t="s">
        <v>170</v>
      </c>
      <c r="P2080" s="20" t="s">
        <v>297</v>
      </c>
      <c r="Q2080" s="15" t="s">
        <v>83</v>
      </c>
      <c r="R2080" s="4"/>
      <c r="S2080" s="4"/>
    </row>
    <row r="2081" spans="1:19" ht="21" customHeight="1" x14ac:dyDescent="0.25">
      <c r="A2081" s="14">
        <f>DATE(2012,12,31)-976</f>
        <v>40298</v>
      </c>
      <c r="B2081" s="15" t="s">
        <v>1781</v>
      </c>
      <c r="C2081" s="15" t="s">
        <v>43</v>
      </c>
      <c r="D2081" s="16">
        <v>48</v>
      </c>
      <c r="E2081" s="17">
        <v>103.8</v>
      </c>
      <c r="F2081" s="16">
        <v>0.1</v>
      </c>
      <c r="G2081" s="15" t="s">
        <v>32</v>
      </c>
      <c r="H2081" s="18">
        <v>-150.53</v>
      </c>
      <c r="I2081" s="19">
        <v>2.23</v>
      </c>
      <c r="J2081" s="19">
        <v>4.57</v>
      </c>
      <c r="K2081" s="19" t="s">
        <v>44</v>
      </c>
      <c r="L2081" s="19" t="s">
        <v>80</v>
      </c>
      <c r="M2081" s="15" t="s">
        <v>1200</v>
      </c>
      <c r="N2081" s="15" t="s">
        <v>54</v>
      </c>
      <c r="O2081" s="15" t="s">
        <v>55</v>
      </c>
      <c r="P2081" s="20" t="s">
        <v>1249</v>
      </c>
      <c r="Q2081" s="15" t="s">
        <v>49</v>
      </c>
      <c r="R2081" s="4"/>
      <c r="S2081" s="4"/>
    </row>
    <row r="2082" spans="1:19" ht="21" customHeight="1" x14ac:dyDescent="0.25">
      <c r="A2082" s="14">
        <f>DATE(2012,12,31)-976</f>
        <v>40298</v>
      </c>
      <c r="B2082" s="15" t="s">
        <v>1781</v>
      </c>
      <c r="C2082" s="15" t="s">
        <v>43</v>
      </c>
      <c r="D2082" s="16">
        <v>19</v>
      </c>
      <c r="E2082" s="17">
        <v>2557.5100000000002</v>
      </c>
      <c r="F2082" s="16">
        <v>0.01</v>
      </c>
      <c r="G2082" s="15" t="s">
        <v>58</v>
      </c>
      <c r="H2082" s="18">
        <v>-168.48</v>
      </c>
      <c r="I2082" s="19">
        <v>124.49</v>
      </c>
      <c r="J2082" s="19">
        <v>51.94</v>
      </c>
      <c r="K2082" s="19" t="s">
        <v>69</v>
      </c>
      <c r="L2082" s="19" t="s">
        <v>70</v>
      </c>
      <c r="M2082" s="15" t="s">
        <v>1756</v>
      </c>
      <c r="N2082" s="15" t="s">
        <v>54</v>
      </c>
      <c r="O2082" s="15" t="s">
        <v>61</v>
      </c>
      <c r="P2082" s="20" t="s">
        <v>220</v>
      </c>
      <c r="Q2082" s="15" t="s">
        <v>63</v>
      </c>
      <c r="R2082" s="4"/>
      <c r="S2082" s="4"/>
    </row>
    <row r="2083" spans="1:19" ht="21" customHeight="1" x14ac:dyDescent="0.25">
      <c r="A2083" s="14">
        <f>DATE(2012,12,31)-605</f>
        <v>40669</v>
      </c>
      <c r="B2083" s="15" t="s">
        <v>1782</v>
      </c>
      <c r="C2083" s="15" t="s">
        <v>31</v>
      </c>
      <c r="D2083" s="16">
        <v>38</v>
      </c>
      <c r="E2083" s="17">
        <v>978.4</v>
      </c>
      <c r="F2083" s="16">
        <v>7.0000000000000007E-2</v>
      </c>
      <c r="G2083" s="15" t="s">
        <v>58</v>
      </c>
      <c r="H2083" s="18">
        <v>-211.58</v>
      </c>
      <c r="I2083" s="19">
        <v>25.98</v>
      </c>
      <c r="J2083" s="19">
        <v>14.36</v>
      </c>
      <c r="K2083" s="19" t="s">
        <v>44</v>
      </c>
      <c r="L2083" s="19" t="s">
        <v>120</v>
      </c>
      <c r="M2083" s="15" t="s">
        <v>121</v>
      </c>
      <c r="N2083" s="15" t="s">
        <v>54</v>
      </c>
      <c r="O2083" s="15" t="s">
        <v>252</v>
      </c>
      <c r="P2083" s="20" t="s">
        <v>1431</v>
      </c>
      <c r="Q2083" s="15" t="s">
        <v>181</v>
      </c>
      <c r="R2083" s="4"/>
      <c r="S2083" s="4"/>
    </row>
    <row r="2084" spans="1:19" ht="21" customHeight="1" x14ac:dyDescent="0.25">
      <c r="A2084" s="14">
        <f>DATE(2012,12,31)-605</f>
        <v>40669</v>
      </c>
      <c r="B2084" s="15" t="s">
        <v>1782</v>
      </c>
      <c r="C2084" s="15" t="s">
        <v>31</v>
      </c>
      <c r="D2084" s="16">
        <v>47</v>
      </c>
      <c r="E2084" s="17">
        <v>5126.4179999999997</v>
      </c>
      <c r="F2084" s="16">
        <v>0.03</v>
      </c>
      <c r="G2084" s="15" t="s">
        <v>32</v>
      </c>
      <c r="H2084" s="18">
        <v>1557.6390000000001</v>
      </c>
      <c r="I2084" s="19">
        <v>125.99</v>
      </c>
      <c r="J2084" s="19">
        <v>2.5</v>
      </c>
      <c r="K2084" s="19" t="s">
        <v>33</v>
      </c>
      <c r="L2084" s="19" t="s">
        <v>59</v>
      </c>
      <c r="M2084" s="15" t="s">
        <v>1361</v>
      </c>
      <c r="N2084" s="15" t="s">
        <v>64</v>
      </c>
      <c r="O2084" s="15" t="s">
        <v>65</v>
      </c>
      <c r="P2084" s="20" t="s">
        <v>1340</v>
      </c>
      <c r="Q2084" s="15" t="s">
        <v>83</v>
      </c>
      <c r="R2084" s="4"/>
      <c r="S2084" s="4"/>
    </row>
    <row r="2085" spans="1:19" ht="21" customHeight="1" x14ac:dyDescent="0.25">
      <c r="A2085" s="14">
        <f>DATE(2012,12,31)-461</f>
        <v>40813</v>
      </c>
      <c r="B2085" s="15" t="s">
        <v>649</v>
      </c>
      <c r="C2085" s="15" t="s">
        <v>51</v>
      </c>
      <c r="D2085" s="16">
        <v>6</v>
      </c>
      <c r="E2085" s="17">
        <v>473.9855</v>
      </c>
      <c r="F2085" s="16">
        <v>0.06</v>
      </c>
      <c r="G2085" s="15" t="s">
        <v>32</v>
      </c>
      <c r="H2085" s="18">
        <v>-301.67500000000001</v>
      </c>
      <c r="I2085" s="19">
        <v>95.99</v>
      </c>
      <c r="J2085" s="19">
        <v>4.9000000000000004</v>
      </c>
      <c r="K2085" s="19" t="s">
        <v>44</v>
      </c>
      <c r="L2085" s="19" t="s">
        <v>89</v>
      </c>
      <c r="M2085" s="15" t="s">
        <v>1341</v>
      </c>
      <c r="N2085" s="15" t="s">
        <v>64</v>
      </c>
      <c r="O2085" s="15" t="s">
        <v>65</v>
      </c>
      <c r="P2085" s="20" t="s">
        <v>477</v>
      </c>
      <c r="Q2085" s="15" t="s">
        <v>83</v>
      </c>
      <c r="R2085" s="4"/>
      <c r="S2085" s="4"/>
    </row>
    <row r="2086" spans="1:19" ht="21" customHeight="1" x14ac:dyDescent="0.25">
      <c r="A2086" s="14">
        <f>DATE(2012,12,31)-1416</f>
        <v>39858</v>
      </c>
      <c r="B2086" s="15" t="s">
        <v>435</v>
      </c>
      <c r="C2086" s="15" t="s">
        <v>51</v>
      </c>
      <c r="D2086" s="16">
        <v>47</v>
      </c>
      <c r="E2086" s="17">
        <v>1003.43</v>
      </c>
      <c r="F2086" s="16">
        <v>0.01</v>
      </c>
      <c r="G2086" s="15" t="s">
        <v>32</v>
      </c>
      <c r="H2086" s="18">
        <v>208.06</v>
      </c>
      <c r="I2086" s="19">
        <v>19.98</v>
      </c>
      <c r="J2086" s="19">
        <v>8.68</v>
      </c>
      <c r="K2086" s="19" t="s">
        <v>44</v>
      </c>
      <c r="L2086" s="19" t="s">
        <v>89</v>
      </c>
      <c r="M2086" s="15" t="s">
        <v>1341</v>
      </c>
      <c r="N2086" s="15" t="s">
        <v>36</v>
      </c>
      <c r="O2086" s="15" t="s">
        <v>117</v>
      </c>
      <c r="P2086" s="20" t="s">
        <v>1274</v>
      </c>
      <c r="Q2086" s="15" t="s">
        <v>83</v>
      </c>
      <c r="R2086" s="4"/>
      <c r="S2086" s="4"/>
    </row>
    <row r="2087" spans="1:19" ht="21" customHeight="1" x14ac:dyDescent="0.25">
      <c r="A2087" s="14">
        <f>DATE(2012,12,31)-1403</f>
        <v>39871</v>
      </c>
      <c r="B2087" s="15" t="s">
        <v>219</v>
      </c>
      <c r="C2087" s="15" t="s">
        <v>31</v>
      </c>
      <c r="D2087" s="16">
        <v>16</v>
      </c>
      <c r="E2087" s="17">
        <v>1685.941</v>
      </c>
      <c r="F2087" s="16">
        <v>7.0000000000000007E-2</v>
      </c>
      <c r="G2087" s="15" t="s">
        <v>101</v>
      </c>
      <c r="H2087" s="18">
        <v>21.024000000000001</v>
      </c>
      <c r="I2087" s="19">
        <v>125.99</v>
      </c>
      <c r="J2087" s="19">
        <v>8.8000000000000007</v>
      </c>
      <c r="K2087" s="19" t="s">
        <v>44</v>
      </c>
      <c r="L2087" s="19" t="s">
        <v>45</v>
      </c>
      <c r="M2087" s="15" t="s">
        <v>1768</v>
      </c>
      <c r="N2087" s="15" t="s">
        <v>64</v>
      </c>
      <c r="O2087" s="15" t="s">
        <v>65</v>
      </c>
      <c r="P2087" s="20" t="s">
        <v>536</v>
      </c>
      <c r="Q2087" s="15" t="s">
        <v>83</v>
      </c>
      <c r="R2087" s="4"/>
      <c r="S2087" s="4"/>
    </row>
    <row r="2088" spans="1:19" ht="21" customHeight="1" x14ac:dyDescent="0.25">
      <c r="A2088" s="14">
        <f>DATE(2012,12,31)-583</f>
        <v>40691</v>
      </c>
      <c r="B2088" s="15" t="s">
        <v>1054</v>
      </c>
      <c r="C2088" s="15" t="s">
        <v>85</v>
      </c>
      <c r="D2088" s="16">
        <v>6</v>
      </c>
      <c r="E2088" s="17">
        <v>647.78</v>
      </c>
      <c r="F2088" s="16">
        <v>0</v>
      </c>
      <c r="G2088" s="15" t="s">
        <v>58</v>
      </c>
      <c r="H2088" s="18">
        <v>-144.87</v>
      </c>
      <c r="I2088" s="19">
        <v>100.98</v>
      </c>
      <c r="J2088" s="19">
        <v>35.840000000000003</v>
      </c>
      <c r="K2088" s="19" t="s">
        <v>97</v>
      </c>
      <c r="L2088" s="19" t="s">
        <v>98</v>
      </c>
      <c r="M2088" s="15" t="s">
        <v>1162</v>
      </c>
      <c r="N2088" s="15" t="s">
        <v>54</v>
      </c>
      <c r="O2088" s="15" t="s">
        <v>134</v>
      </c>
      <c r="P2088" s="20" t="s">
        <v>440</v>
      </c>
      <c r="Q2088" s="15" t="s">
        <v>63</v>
      </c>
      <c r="R2088" s="4"/>
      <c r="S2088" s="4"/>
    </row>
    <row r="2089" spans="1:19" ht="21" customHeight="1" x14ac:dyDescent="0.25">
      <c r="A2089" s="14">
        <f>DATE(2012,12,31)-827</f>
        <v>40447</v>
      </c>
      <c r="B2089" s="15" t="s">
        <v>1007</v>
      </c>
      <c r="C2089" s="15" t="s">
        <v>31</v>
      </c>
      <c r="D2089" s="16">
        <v>48</v>
      </c>
      <c r="E2089" s="17">
        <v>525</v>
      </c>
      <c r="F2089" s="16">
        <v>0.03</v>
      </c>
      <c r="G2089" s="15" t="s">
        <v>32</v>
      </c>
      <c r="H2089" s="18">
        <v>63.5</v>
      </c>
      <c r="I2089" s="19">
        <v>10.48</v>
      </c>
      <c r="J2089" s="19">
        <v>2.89</v>
      </c>
      <c r="K2089" s="19" t="s">
        <v>97</v>
      </c>
      <c r="L2089" s="19" t="s">
        <v>283</v>
      </c>
      <c r="M2089" s="15" t="s">
        <v>1471</v>
      </c>
      <c r="N2089" s="15" t="s">
        <v>36</v>
      </c>
      <c r="O2089" s="15" t="s">
        <v>77</v>
      </c>
      <c r="P2089" s="20" t="s">
        <v>1753</v>
      </c>
      <c r="Q2089" s="15" t="s">
        <v>49</v>
      </c>
      <c r="R2089" s="4"/>
      <c r="S2089" s="4"/>
    </row>
    <row r="2090" spans="1:19" ht="21" customHeight="1" x14ac:dyDescent="0.25">
      <c r="A2090" s="14">
        <f>DATE(2012,12,31)-594</f>
        <v>40680</v>
      </c>
      <c r="B2090" s="15" t="s">
        <v>854</v>
      </c>
      <c r="C2090" s="15" t="s">
        <v>85</v>
      </c>
      <c r="D2090" s="16">
        <v>34</v>
      </c>
      <c r="E2090" s="17">
        <v>2779.2</v>
      </c>
      <c r="F2090" s="16">
        <v>0.02</v>
      </c>
      <c r="G2090" s="15" t="s">
        <v>32</v>
      </c>
      <c r="H2090" s="18">
        <v>889.57</v>
      </c>
      <c r="I2090" s="19">
        <v>80.98</v>
      </c>
      <c r="J2090" s="19">
        <v>7.18</v>
      </c>
      <c r="K2090" s="19" t="s">
        <v>124</v>
      </c>
      <c r="L2090" s="19" t="s">
        <v>160</v>
      </c>
      <c r="M2090" s="15" t="s">
        <v>1621</v>
      </c>
      <c r="N2090" s="15" t="s">
        <v>64</v>
      </c>
      <c r="O2090" s="15" t="s">
        <v>72</v>
      </c>
      <c r="P2090" s="20" t="s">
        <v>1641</v>
      </c>
      <c r="Q2090" s="15" t="s">
        <v>83</v>
      </c>
      <c r="R2090" s="4"/>
      <c r="S2090" s="4"/>
    </row>
    <row r="2091" spans="1:19" ht="21" customHeight="1" x14ac:dyDescent="0.25">
      <c r="A2091" s="14">
        <f>DATE(2012,12,31)-594</f>
        <v>40680</v>
      </c>
      <c r="B2091" s="15" t="s">
        <v>854</v>
      </c>
      <c r="C2091" s="15" t="s">
        <v>85</v>
      </c>
      <c r="D2091" s="16">
        <v>26</v>
      </c>
      <c r="E2091" s="17">
        <v>65.209999999999994</v>
      </c>
      <c r="F2091" s="16">
        <v>0.08</v>
      </c>
      <c r="G2091" s="15" t="s">
        <v>32</v>
      </c>
      <c r="H2091" s="18">
        <v>-41.6</v>
      </c>
      <c r="I2091" s="19">
        <v>2.6</v>
      </c>
      <c r="J2091" s="19">
        <v>2.4</v>
      </c>
      <c r="K2091" s="19" t="s">
        <v>44</v>
      </c>
      <c r="L2091" s="19" t="s">
        <v>52</v>
      </c>
      <c r="M2091" s="15" t="s">
        <v>1685</v>
      </c>
      <c r="N2091" s="15" t="s">
        <v>36</v>
      </c>
      <c r="O2091" s="15" t="s">
        <v>77</v>
      </c>
      <c r="P2091" s="20" t="s">
        <v>1783</v>
      </c>
      <c r="Q2091" s="15" t="s">
        <v>79</v>
      </c>
      <c r="R2091" s="4"/>
      <c r="S2091" s="4"/>
    </row>
    <row r="2092" spans="1:19" ht="21" customHeight="1" x14ac:dyDescent="0.25">
      <c r="A2092" s="14">
        <f>DATE(2012,12,31)-528</f>
        <v>40746</v>
      </c>
      <c r="B2092" s="15" t="s">
        <v>648</v>
      </c>
      <c r="C2092" s="15" t="s">
        <v>51</v>
      </c>
      <c r="D2092" s="16">
        <v>46</v>
      </c>
      <c r="E2092" s="17">
        <v>231.35</v>
      </c>
      <c r="F2092" s="16">
        <v>0.03</v>
      </c>
      <c r="G2092" s="15" t="s">
        <v>32</v>
      </c>
      <c r="H2092" s="18">
        <v>-81.86</v>
      </c>
      <c r="I2092" s="19">
        <v>4.9800000000000004</v>
      </c>
      <c r="J2092" s="19">
        <v>4.7</v>
      </c>
      <c r="K2092" s="19" t="s">
        <v>111</v>
      </c>
      <c r="L2092" s="19" t="s">
        <v>442</v>
      </c>
      <c r="M2092" s="15" t="s">
        <v>443</v>
      </c>
      <c r="N2092" s="15" t="s">
        <v>36</v>
      </c>
      <c r="O2092" s="15" t="s">
        <v>117</v>
      </c>
      <c r="P2092" s="20" t="s">
        <v>1563</v>
      </c>
      <c r="Q2092" s="15" t="s">
        <v>83</v>
      </c>
      <c r="R2092" s="4"/>
      <c r="S2092" s="4"/>
    </row>
    <row r="2093" spans="1:19" ht="21" customHeight="1" x14ac:dyDescent="0.25">
      <c r="A2093" s="14">
        <f>DATE(2012,12,31)-949</f>
        <v>40325</v>
      </c>
      <c r="B2093" s="15" t="s">
        <v>1020</v>
      </c>
      <c r="C2093" s="15" t="s">
        <v>85</v>
      </c>
      <c r="D2093" s="16">
        <v>14</v>
      </c>
      <c r="E2093" s="17">
        <v>12043.88</v>
      </c>
      <c r="F2093" s="16">
        <v>7.0000000000000007E-2</v>
      </c>
      <c r="G2093" s="15" t="s">
        <v>58</v>
      </c>
      <c r="H2093" s="18">
        <v>2011.31</v>
      </c>
      <c r="I2093" s="19">
        <v>880.98</v>
      </c>
      <c r="J2093" s="19">
        <v>44.55</v>
      </c>
      <c r="K2093" s="19" t="s">
        <v>97</v>
      </c>
      <c r="L2093" s="19" t="s">
        <v>98</v>
      </c>
      <c r="M2093" s="15" t="s">
        <v>1162</v>
      </c>
      <c r="N2093" s="15" t="s">
        <v>54</v>
      </c>
      <c r="O2093" s="15" t="s">
        <v>134</v>
      </c>
      <c r="P2093" s="20" t="s">
        <v>668</v>
      </c>
      <c r="Q2093" s="15" t="s">
        <v>63</v>
      </c>
      <c r="R2093" s="4"/>
      <c r="S2093" s="4"/>
    </row>
    <row r="2094" spans="1:19" ht="21" customHeight="1" x14ac:dyDescent="0.25">
      <c r="A2094" s="14">
        <f>DATE(2012,12,31)-949</f>
        <v>40325</v>
      </c>
      <c r="B2094" s="15" t="s">
        <v>1020</v>
      </c>
      <c r="C2094" s="15" t="s">
        <v>85</v>
      </c>
      <c r="D2094" s="16">
        <v>14</v>
      </c>
      <c r="E2094" s="17">
        <v>195.12</v>
      </c>
      <c r="F2094" s="16">
        <v>0</v>
      </c>
      <c r="G2094" s="15" t="s">
        <v>32</v>
      </c>
      <c r="H2094" s="18">
        <v>-6.32</v>
      </c>
      <c r="I2094" s="19">
        <v>13.48</v>
      </c>
      <c r="J2094" s="19">
        <v>4.51</v>
      </c>
      <c r="K2094" s="19" t="s">
        <v>124</v>
      </c>
      <c r="L2094" s="19" t="s">
        <v>160</v>
      </c>
      <c r="M2094" s="15" t="s">
        <v>1621</v>
      </c>
      <c r="N2094" s="15" t="s">
        <v>36</v>
      </c>
      <c r="O2094" s="15" t="s">
        <v>37</v>
      </c>
      <c r="P2094" s="20" t="s">
        <v>515</v>
      </c>
      <c r="Q2094" s="15" t="s">
        <v>83</v>
      </c>
      <c r="R2094" s="4"/>
      <c r="S2094" s="4"/>
    </row>
    <row r="2095" spans="1:19" ht="21" customHeight="1" x14ac:dyDescent="0.25">
      <c r="A2095" s="14">
        <f>DATE(2012,12,31)-170</f>
        <v>41104</v>
      </c>
      <c r="B2095" s="15" t="s">
        <v>589</v>
      </c>
      <c r="C2095" s="15" t="s">
        <v>85</v>
      </c>
      <c r="D2095" s="16">
        <v>27</v>
      </c>
      <c r="E2095" s="17">
        <v>898.9</v>
      </c>
      <c r="F2095" s="16">
        <v>0.03</v>
      </c>
      <c r="G2095" s="15" t="s">
        <v>32</v>
      </c>
      <c r="H2095" s="18">
        <v>325.88</v>
      </c>
      <c r="I2095" s="19">
        <v>31.78</v>
      </c>
      <c r="J2095" s="19">
        <v>1.99</v>
      </c>
      <c r="K2095" s="19" t="s">
        <v>124</v>
      </c>
      <c r="L2095" s="19" t="s">
        <v>164</v>
      </c>
      <c r="M2095" s="15" t="s">
        <v>1228</v>
      </c>
      <c r="N2095" s="15" t="s">
        <v>64</v>
      </c>
      <c r="O2095" s="15" t="s">
        <v>72</v>
      </c>
      <c r="P2095" s="20" t="s">
        <v>421</v>
      </c>
      <c r="Q2095" s="15" t="s">
        <v>49</v>
      </c>
      <c r="R2095" s="4"/>
      <c r="S2095" s="4"/>
    </row>
    <row r="2096" spans="1:19" ht="21" customHeight="1" x14ac:dyDescent="0.25">
      <c r="A2096" s="14">
        <f>DATE(2012,12,31)-797</f>
        <v>40477</v>
      </c>
      <c r="B2096" s="15" t="s">
        <v>394</v>
      </c>
      <c r="C2096" s="15" t="s">
        <v>85</v>
      </c>
      <c r="D2096" s="16">
        <v>8</v>
      </c>
      <c r="E2096" s="17">
        <v>279.77</v>
      </c>
      <c r="F2096" s="16">
        <v>7.0000000000000007E-2</v>
      </c>
      <c r="G2096" s="15" t="s">
        <v>32</v>
      </c>
      <c r="H2096" s="18">
        <v>-14.02</v>
      </c>
      <c r="I2096" s="19">
        <v>34.76</v>
      </c>
      <c r="J2096" s="19">
        <v>8.2200000000000006</v>
      </c>
      <c r="K2096" s="19" t="s">
        <v>124</v>
      </c>
      <c r="L2096" s="19" t="s">
        <v>168</v>
      </c>
      <c r="M2096" s="15" t="s">
        <v>1624</v>
      </c>
      <c r="N2096" s="15" t="s">
        <v>36</v>
      </c>
      <c r="O2096" s="15" t="s">
        <v>37</v>
      </c>
      <c r="P2096" s="20" t="s">
        <v>694</v>
      </c>
      <c r="Q2096" s="15" t="s">
        <v>83</v>
      </c>
      <c r="R2096" s="4"/>
      <c r="S2096" s="4"/>
    </row>
    <row r="2097" spans="1:19" ht="21" customHeight="1" x14ac:dyDescent="0.25">
      <c r="A2097" s="14">
        <f>DATE(2012,12,31)-797</f>
        <v>40477</v>
      </c>
      <c r="B2097" s="15" t="s">
        <v>394</v>
      </c>
      <c r="C2097" s="15" t="s">
        <v>85</v>
      </c>
      <c r="D2097" s="16">
        <v>8</v>
      </c>
      <c r="E2097" s="17">
        <v>154.21</v>
      </c>
      <c r="F2097" s="16">
        <v>0.03</v>
      </c>
      <c r="G2097" s="15" t="s">
        <v>58</v>
      </c>
      <c r="H2097" s="18">
        <v>-160.38999999999999</v>
      </c>
      <c r="I2097" s="19">
        <v>15.23</v>
      </c>
      <c r="J2097" s="19">
        <v>27.75</v>
      </c>
      <c r="K2097" s="19" t="s">
        <v>33</v>
      </c>
      <c r="L2097" s="19" t="s">
        <v>59</v>
      </c>
      <c r="M2097" s="15" t="s">
        <v>1361</v>
      </c>
      <c r="N2097" s="15" t="s">
        <v>54</v>
      </c>
      <c r="O2097" s="15" t="s">
        <v>61</v>
      </c>
      <c r="P2097" s="20" t="s">
        <v>1635</v>
      </c>
      <c r="Q2097" s="15" t="s">
        <v>63</v>
      </c>
      <c r="R2097" s="4"/>
      <c r="S2097" s="4"/>
    </row>
    <row r="2098" spans="1:19" ht="21" customHeight="1" x14ac:dyDescent="0.25">
      <c r="A2098" s="14">
        <f>DATE(2012,12,31)-1419</f>
        <v>39855</v>
      </c>
      <c r="B2098" s="15" t="s">
        <v>491</v>
      </c>
      <c r="C2098" s="15" t="s">
        <v>51</v>
      </c>
      <c r="D2098" s="16">
        <v>48</v>
      </c>
      <c r="E2098" s="17">
        <v>8475.9619999999995</v>
      </c>
      <c r="F2098" s="16">
        <v>0.05</v>
      </c>
      <c r="G2098" s="15" t="s">
        <v>101</v>
      </c>
      <c r="H2098" s="18">
        <v>2497.9409999999998</v>
      </c>
      <c r="I2098" s="19">
        <v>205.99</v>
      </c>
      <c r="J2098" s="19">
        <v>8.99</v>
      </c>
      <c r="K2098" s="19" t="s">
        <v>33</v>
      </c>
      <c r="L2098" s="19" t="s">
        <v>34</v>
      </c>
      <c r="M2098" s="15" t="s">
        <v>1716</v>
      </c>
      <c r="N2098" s="15" t="s">
        <v>64</v>
      </c>
      <c r="O2098" s="15" t="s">
        <v>65</v>
      </c>
      <c r="P2098" s="20" t="s">
        <v>758</v>
      </c>
      <c r="Q2098" s="15" t="s">
        <v>83</v>
      </c>
      <c r="R2098" s="4"/>
      <c r="S2098" s="4"/>
    </row>
    <row r="2099" spans="1:19" ht="21" customHeight="1" x14ac:dyDescent="0.25">
      <c r="A2099" s="14">
        <f>DATE(2012,12,31)-1419</f>
        <v>39855</v>
      </c>
      <c r="B2099" s="15" t="s">
        <v>491</v>
      </c>
      <c r="C2099" s="15" t="s">
        <v>51</v>
      </c>
      <c r="D2099" s="16">
        <v>18</v>
      </c>
      <c r="E2099" s="17">
        <v>3015.4939999999997</v>
      </c>
      <c r="F2099" s="16">
        <v>0.08</v>
      </c>
      <c r="G2099" s="15" t="s">
        <v>32</v>
      </c>
      <c r="H2099" s="18">
        <v>251.541</v>
      </c>
      <c r="I2099" s="19">
        <v>205.99</v>
      </c>
      <c r="J2099" s="19">
        <v>8.99</v>
      </c>
      <c r="K2099" s="19" t="s">
        <v>33</v>
      </c>
      <c r="L2099" s="19" t="s">
        <v>59</v>
      </c>
      <c r="M2099" s="15" t="s">
        <v>1361</v>
      </c>
      <c r="N2099" s="15" t="s">
        <v>64</v>
      </c>
      <c r="O2099" s="15" t="s">
        <v>65</v>
      </c>
      <c r="P2099" s="20" t="s">
        <v>1464</v>
      </c>
      <c r="Q2099" s="15" t="s">
        <v>83</v>
      </c>
      <c r="R2099" s="4"/>
      <c r="S2099" s="4"/>
    </row>
    <row r="2100" spans="1:19" ht="21" customHeight="1" x14ac:dyDescent="0.25">
      <c r="A2100" s="14">
        <f>DATE(2012,12,31)-376</f>
        <v>40898</v>
      </c>
      <c r="B2100" s="15" t="s">
        <v>1784</v>
      </c>
      <c r="C2100" s="15" t="s">
        <v>43</v>
      </c>
      <c r="D2100" s="16">
        <v>46</v>
      </c>
      <c r="E2100" s="17">
        <v>1200.1300000000001</v>
      </c>
      <c r="F2100" s="16">
        <v>0.09</v>
      </c>
      <c r="G2100" s="15" t="s">
        <v>101</v>
      </c>
      <c r="H2100" s="18">
        <v>-7.8</v>
      </c>
      <c r="I2100" s="19">
        <v>28.15</v>
      </c>
      <c r="J2100" s="19">
        <v>8.99</v>
      </c>
      <c r="K2100" s="19" t="s">
        <v>33</v>
      </c>
      <c r="L2100" s="19" t="s">
        <v>34</v>
      </c>
      <c r="M2100" s="15" t="s">
        <v>1716</v>
      </c>
      <c r="N2100" s="15" t="s">
        <v>36</v>
      </c>
      <c r="O2100" s="15" t="s">
        <v>77</v>
      </c>
      <c r="P2100" s="20" t="s">
        <v>1180</v>
      </c>
      <c r="Q2100" s="15" t="s">
        <v>49</v>
      </c>
      <c r="R2100" s="4"/>
      <c r="S2100" s="4"/>
    </row>
    <row r="2101" spans="1:19" ht="21" customHeight="1" x14ac:dyDescent="0.25">
      <c r="A2101" s="14">
        <f>DATE(2012,12,31)-376</f>
        <v>40898</v>
      </c>
      <c r="B2101" s="15" t="s">
        <v>1784</v>
      </c>
      <c r="C2101" s="15" t="s">
        <v>43</v>
      </c>
      <c r="D2101" s="16">
        <v>28</v>
      </c>
      <c r="E2101" s="17">
        <v>229.43</v>
      </c>
      <c r="F2101" s="16">
        <v>0.08</v>
      </c>
      <c r="G2101" s="15" t="s">
        <v>101</v>
      </c>
      <c r="H2101" s="18">
        <v>61.09</v>
      </c>
      <c r="I2101" s="19">
        <v>7.78</v>
      </c>
      <c r="J2101" s="19">
        <v>2.5</v>
      </c>
      <c r="K2101" s="19" t="s">
        <v>33</v>
      </c>
      <c r="L2101" s="19" t="s">
        <v>59</v>
      </c>
      <c r="M2101" s="15" t="s">
        <v>1361</v>
      </c>
      <c r="N2101" s="15" t="s">
        <v>36</v>
      </c>
      <c r="O2101" s="15" t="s">
        <v>189</v>
      </c>
      <c r="P2101" s="20" t="s">
        <v>1785</v>
      </c>
      <c r="Q2101" s="15" t="s">
        <v>83</v>
      </c>
      <c r="R2101" s="4"/>
      <c r="S2101" s="4"/>
    </row>
    <row r="2102" spans="1:19" ht="21" customHeight="1" x14ac:dyDescent="0.25">
      <c r="A2102" s="14">
        <f>DATE(2012,12,31)-1055</f>
        <v>40219</v>
      </c>
      <c r="B2102" s="15" t="s">
        <v>476</v>
      </c>
      <c r="C2102" s="15" t="s">
        <v>85</v>
      </c>
      <c r="D2102" s="16">
        <v>10</v>
      </c>
      <c r="E2102" s="17">
        <v>633.13</v>
      </c>
      <c r="F2102" s="16">
        <v>0.05</v>
      </c>
      <c r="G2102" s="15" t="s">
        <v>58</v>
      </c>
      <c r="H2102" s="18">
        <v>-203.9</v>
      </c>
      <c r="I2102" s="19">
        <v>58.14</v>
      </c>
      <c r="J2102" s="19">
        <v>36.61</v>
      </c>
      <c r="K2102" s="19" t="s">
        <v>33</v>
      </c>
      <c r="L2102" s="19" t="s">
        <v>59</v>
      </c>
      <c r="M2102" s="15" t="s">
        <v>1361</v>
      </c>
      <c r="N2102" s="15" t="s">
        <v>54</v>
      </c>
      <c r="O2102" s="15" t="s">
        <v>134</v>
      </c>
      <c r="P2102" s="20" t="s">
        <v>1299</v>
      </c>
      <c r="Q2102" s="15" t="s">
        <v>63</v>
      </c>
      <c r="R2102" s="4"/>
      <c r="S2102" s="4"/>
    </row>
    <row r="2103" spans="1:19" ht="21" customHeight="1" x14ac:dyDescent="0.25">
      <c r="A2103" s="14">
        <f>DATE(2012,12,31)-767</f>
        <v>40507</v>
      </c>
      <c r="B2103" s="15" t="s">
        <v>1449</v>
      </c>
      <c r="C2103" s="15" t="s">
        <v>51</v>
      </c>
      <c r="D2103" s="16">
        <v>47</v>
      </c>
      <c r="E2103" s="17">
        <v>306.77</v>
      </c>
      <c r="F2103" s="16">
        <v>0.03</v>
      </c>
      <c r="G2103" s="15" t="s">
        <v>32</v>
      </c>
      <c r="H2103" s="18">
        <v>-102.06</v>
      </c>
      <c r="I2103" s="19">
        <v>6.24</v>
      </c>
      <c r="J2103" s="19">
        <v>5.22</v>
      </c>
      <c r="K2103" s="19" t="s">
        <v>33</v>
      </c>
      <c r="L2103" s="19" t="s">
        <v>145</v>
      </c>
      <c r="M2103" s="15" t="s">
        <v>1761</v>
      </c>
      <c r="N2103" s="15" t="s">
        <v>54</v>
      </c>
      <c r="O2103" s="15" t="s">
        <v>55</v>
      </c>
      <c r="P2103" s="20" t="s">
        <v>341</v>
      </c>
      <c r="Q2103" s="15" t="s">
        <v>83</v>
      </c>
      <c r="R2103" s="4"/>
      <c r="S2103" s="4"/>
    </row>
    <row r="2104" spans="1:19" ht="21" customHeight="1" x14ac:dyDescent="0.25">
      <c r="A2104" s="14">
        <f>DATE(2012,12,31)-1123</f>
        <v>40151</v>
      </c>
      <c r="B2104" s="15" t="s">
        <v>1041</v>
      </c>
      <c r="C2104" s="15" t="s">
        <v>31</v>
      </c>
      <c r="D2104" s="16">
        <v>48</v>
      </c>
      <c r="E2104" s="17">
        <v>410.35</v>
      </c>
      <c r="F2104" s="16">
        <v>0.1</v>
      </c>
      <c r="G2104" s="15" t="s">
        <v>101</v>
      </c>
      <c r="H2104" s="18">
        <v>114.02</v>
      </c>
      <c r="I2104" s="19">
        <v>9.11</v>
      </c>
      <c r="J2104" s="19">
        <v>2.15</v>
      </c>
      <c r="K2104" s="19" t="s">
        <v>33</v>
      </c>
      <c r="L2104" s="19" t="s">
        <v>59</v>
      </c>
      <c r="M2104" s="15" t="s">
        <v>1361</v>
      </c>
      <c r="N2104" s="15" t="s">
        <v>36</v>
      </c>
      <c r="O2104" s="15" t="s">
        <v>117</v>
      </c>
      <c r="P2104" s="20" t="s">
        <v>1374</v>
      </c>
      <c r="Q2104" s="15" t="s">
        <v>79</v>
      </c>
      <c r="R2104" s="4"/>
      <c r="S2104" s="4"/>
    </row>
    <row r="2105" spans="1:19" ht="21" customHeight="1" x14ac:dyDescent="0.25">
      <c r="A2105" s="14">
        <f>DATE(2012,12,31)-300</f>
        <v>40974</v>
      </c>
      <c r="B2105" s="15" t="s">
        <v>944</v>
      </c>
      <c r="C2105" s="15" t="s">
        <v>31</v>
      </c>
      <c r="D2105" s="16">
        <v>42</v>
      </c>
      <c r="E2105" s="17">
        <v>1681.6</v>
      </c>
      <c r="F2105" s="16">
        <v>7.0000000000000007E-2</v>
      </c>
      <c r="G2105" s="15" t="s">
        <v>32</v>
      </c>
      <c r="H2105" s="18">
        <v>167.37</v>
      </c>
      <c r="I2105" s="19">
        <v>39.99</v>
      </c>
      <c r="J2105" s="19">
        <v>10.25</v>
      </c>
      <c r="K2105" s="19" t="s">
        <v>69</v>
      </c>
      <c r="L2105" s="19" t="s">
        <v>75</v>
      </c>
      <c r="M2105" s="15" t="s">
        <v>1786</v>
      </c>
      <c r="N2105" s="15" t="s">
        <v>64</v>
      </c>
      <c r="O2105" s="15" t="s">
        <v>72</v>
      </c>
      <c r="P2105" s="20" t="s">
        <v>1754</v>
      </c>
      <c r="Q2105" s="15" t="s">
        <v>83</v>
      </c>
      <c r="R2105" s="4"/>
      <c r="S2105" s="4"/>
    </row>
    <row r="2106" spans="1:19" ht="21" customHeight="1" x14ac:dyDescent="0.25">
      <c r="A2106" s="14">
        <f>DATE(2012,12,31)-864</f>
        <v>40410</v>
      </c>
      <c r="B2106" s="15" t="s">
        <v>1208</v>
      </c>
      <c r="C2106" s="15" t="s">
        <v>43</v>
      </c>
      <c r="D2106" s="16">
        <v>11</v>
      </c>
      <c r="E2106" s="17">
        <v>1378.72</v>
      </c>
      <c r="F2106" s="16">
        <v>7.0000000000000007E-2</v>
      </c>
      <c r="G2106" s="15" t="s">
        <v>58</v>
      </c>
      <c r="H2106" s="18">
        <v>-640.6</v>
      </c>
      <c r="I2106" s="19">
        <v>122.99</v>
      </c>
      <c r="J2106" s="19">
        <v>70.2</v>
      </c>
      <c r="K2106" s="19" t="s">
        <v>69</v>
      </c>
      <c r="L2106" s="19" t="s">
        <v>75</v>
      </c>
      <c r="M2106" s="15" t="s">
        <v>1786</v>
      </c>
      <c r="N2106" s="15" t="s">
        <v>54</v>
      </c>
      <c r="O2106" s="15" t="s">
        <v>252</v>
      </c>
      <c r="P2106" s="20" t="s">
        <v>819</v>
      </c>
      <c r="Q2106" s="15" t="s">
        <v>181</v>
      </c>
      <c r="R2106" s="4"/>
      <c r="S2106" s="4"/>
    </row>
    <row r="2107" spans="1:19" ht="21" customHeight="1" x14ac:dyDescent="0.25">
      <c r="A2107" s="14">
        <f>DATE(2012,12,31)-1129</f>
        <v>40145</v>
      </c>
      <c r="B2107" s="15" t="s">
        <v>732</v>
      </c>
      <c r="C2107" s="15" t="s">
        <v>43</v>
      </c>
      <c r="D2107" s="16">
        <v>27</v>
      </c>
      <c r="E2107" s="17">
        <v>941.4</v>
      </c>
      <c r="F2107" s="16">
        <v>0.05</v>
      </c>
      <c r="G2107" s="15" t="s">
        <v>32</v>
      </c>
      <c r="H2107" s="18">
        <v>369.48</v>
      </c>
      <c r="I2107" s="19">
        <v>35.44</v>
      </c>
      <c r="J2107" s="19">
        <v>5.09</v>
      </c>
      <c r="K2107" s="19" t="s">
        <v>69</v>
      </c>
      <c r="L2107" s="19" t="s">
        <v>70</v>
      </c>
      <c r="M2107" s="15" t="s">
        <v>1756</v>
      </c>
      <c r="N2107" s="15" t="s">
        <v>36</v>
      </c>
      <c r="O2107" s="15" t="s">
        <v>117</v>
      </c>
      <c r="P2107" s="20" t="s">
        <v>1298</v>
      </c>
      <c r="Q2107" s="15" t="s">
        <v>83</v>
      </c>
      <c r="R2107" s="4"/>
      <c r="S2107" s="4"/>
    </row>
    <row r="2108" spans="1:19" ht="21" customHeight="1" x14ac:dyDescent="0.25">
      <c r="A2108" s="14">
        <f>DATE(2012,12,31)-1184</f>
        <v>40090</v>
      </c>
      <c r="B2108" s="15" t="s">
        <v>1189</v>
      </c>
      <c r="C2108" s="15" t="s">
        <v>85</v>
      </c>
      <c r="D2108" s="16">
        <v>24</v>
      </c>
      <c r="E2108" s="17">
        <v>1548.43</v>
      </c>
      <c r="F2108" s="16">
        <v>0.02</v>
      </c>
      <c r="G2108" s="15" t="s">
        <v>32</v>
      </c>
      <c r="H2108" s="18">
        <v>622.89</v>
      </c>
      <c r="I2108" s="19">
        <v>63.94</v>
      </c>
      <c r="J2108" s="19">
        <v>14.48</v>
      </c>
      <c r="K2108" s="19" t="s">
        <v>69</v>
      </c>
      <c r="L2108" s="19" t="s">
        <v>70</v>
      </c>
      <c r="M2108" s="15" t="s">
        <v>1756</v>
      </c>
      <c r="N2108" s="15" t="s">
        <v>54</v>
      </c>
      <c r="O2108" s="15" t="s">
        <v>55</v>
      </c>
      <c r="P2108" s="20" t="s">
        <v>1787</v>
      </c>
      <c r="Q2108" s="15" t="s">
        <v>83</v>
      </c>
      <c r="R2108" s="4"/>
      <c r="S2108" s="4"/>
    </row>
    <row r="2109" spans="1:19" ht="21" customHeight="1" x14ac:dyDescent="0.25">
      <c r="A2109" s="14">
        <f>DATE(2012,12,31)-1184</f>
        <v>40090</v>
      </c>
      <c r="B2109" s="15" t="s">
        <v>1189</v>
      </c>
      <c r="C2109" s="15" t="s">
        <v>85</v>
      </c>
      <c r="D2109" s="16">
        <v>10</v>
      </c>
      <c r="E2109" s="17">
        <v>54.84</v>
      </c>
      <c r="F2109" s="16">
        <v>0.01</v>
      </c>
      <c r="G2109" s="15" t="s">
        <v>32</v>
      </c>
      <c r="H2109" s="18">
        <v>-56.3</v>
      </c>
      <c r="I2109" s="19">
        <v>5.0199999999999996</v>
      </c>
      <c r="J2109" s="19">
        <v>5.14</v>
      </c>
      <c r="K2109" s="19" t="s">
        <v>69</v>
      </c>
      <c r="L2109" s="19" t="s">
        <v>75</v>
      </c>
      <c r="M2109" s="15" t="s">
        <v>1786</v>
      </c>
      <c r="N2109" s="15" t="s">
        <v>64</v>
      </c>
      <c r="O2109" s="15" t="s">
        <v>72</v>
      </c>
      <c r="P2109" s="20" t="s">
        <v>563</v>
      </c>
      <c r="Q2109" s="15" t="s">
        <v>49</v>
      </c>
      <c r="R2109" s="4"/>
      <c r="S2109" s="4"/>
    </row>
    <row r="2110" spans="1:19" ht="21" customHeight="1" x14ac:dyDescent="0.25">
      <c r="A2110" s="14">
        <f>DATE(2012,12,31)-783</f>
        <v>40491</v>
      </c>
      <c r="B2110" s="15" t="s">
        <v>1713</v>
      </c>
      <c r="C2110" s="15" t="s">
        <v>51</v>
      </c>
      <c r="D2110" s="16">
        <v>33</v>
      </c>
      <c r="E2110" s="17">
        <v>207.01</v>
      </c>
      <c r="F2110" s="16">
        <v>0.01</v>
      </c>
      <c r="G2110" s="15" t="s">
        <v>32</v>
      </c>
      <c r="H2110" s="18">
        <v>-36.9</v>
      </c>
      <c r="I2110" s="19">
        <v>5.78</v>
      </c>
      <c r="J2110" s="19">
        <v>4.96</v>
      </c>
      <c r="K2110" s="19" t="s">
        <v>69</v>
      </c>
      <c r="L2110" s="19" t="s">
        <v>70</v>
      </c>
      <c r="M2110" s="15" t="s">
        <v>1756</v>
      </c>
      <c r="N2110" s="15" t="s">
        <v>36</v>
      </c>
      <c r="O2110" s="15" t="s">
        <v>117</v>
      </c>
      <c r="P2110" s="20" t="s">
        <v>636</v>
      </c>
      <c r="Q2110" s="15" t="s">
        <v>83</v>
      </c>
      <c r="R2110" s="4"/>
      <c r="S2110" s="4"/>
    </row>
    <row r="2111" spans="1:19" ht="21" customHeight="1" x14ac:dyDescent="0.25">
      <c r="A2111" s="14">
        <f>DATE(2012,12,31)-1081</f>
        <v>40193</v>
      </c>
      <c r="B2111" s="15" t="s">
        <v>311</v>
      </c>
      <c r="C2111" s="15" t="s">
        <v>85</v>
      </c>
      <c r="D2111" s="16">
        <v>45</v>
      </c>
      <c r="E2111" s="17">
        <v>3753.42</v>
      </c>
      <c r="F2111" s="16">
        <v>0</v>
      </c>
      <c r="G2111" s="15" t="s">
        <v>32</v>
      </c>
      <c r="H2111" s="18">
        <v>1276.25</v>
      </c>
      <c r="I2111" s="19">
        <v>80.98</v>
      </c>
      <c r="J2111" s="19">
        <v>7.18</v>
      </c>
      <c r="K2111" s="19" t="s">
        <v>69</v>
      </c>
      <c r="L2111" s="19" t="s">
        <v>70</v>
      </c>
      <c r="M2111" s="15" t="s">
        <v>1756</v>
      </c>
      <c r="N2111" s="15" t="s">
        <v>64</v>
      </c>
      <c r="O2111" s="15" t="s">
        <v>72</v>
      </c>
      <c r="P2111" s="20" t="s">
        <v>1641</v>
      </c>
      <c r="Q2111" s="15" t="s">
        <v>83</v>
      </c>
      <c r="R2111" s="4"/>
      <c r="S2111" s="4"/>
    </row>
    <row r="2112" spans="1:19" ht="21" customHeight="1" x14ac:dyDescent="0.25">
      <c r="A2112" s="14">
        <f>DATE(2012,12,31)-1081</f>
        <v>40193</v>
      </c>
      <c r="B2112" s="15" t="s">
        <v>311</v>
      </c>
      <c r="C2112" s="15" t="s">
        <v>85</v>
      </c>
      <c r="D2112" s="16">
        <v>23</v>
      </c>
      <c r="E2112" s="17">
        <v>1130.79</v>
      </c>
      <c r="F2112" s="16">
        <v>0.01</v>
      </c>
      <c r="G2112" s="15" t="s">
        <v>32</v>
      </c>
      <c r="H2112" s="18">
        <v>468.19</v>
      </c>
      <c r="I2112" s="19">
        <v>48.91</v>
      </c>
      <c r="J2112" s="19">
        <v>5.97</v>
      </c>
      <c r="K2112" s="19" t="s">
        <v>69</v>
      </c>
      <c r="L2112" s="19" t="s">
        <v>70</v>
      </c>
      <c r="M2112" s="15" t="s">
        <v>1756</v>
      </c>
      <c r="N2112" s="15" t="s">
        <v>36</v>
      </c>
      <c r="O2112" s="15" t="s">
        <v>117</v>
      </c>
      <c r="P2112" s="20" t="s">
        <v>1788</v>
      </c>
      <c r="Q2112" s="15" t="s">
        <v>83</v>
      </c>
      <c r="R2112" s="4"/>
      <c r="S2112" s="4"/>
    </row>
    <row r="2113" spans="1:19" ht="21" customHeight="1" x14ac:dyDescent="0.25">
      <c r="A2113" s="14">
        <f>DATE(2012,12,31)-277</f>
        <v>40997</v>
      </c>
      <c r="B2113" s="15" t="s">
        <v>1268</v>
      </c>
      <c r="C2113" s="15" t="s">
        <v>85</v>
      </c>
      <c r="D2113" s="16">
        <v>23</v>
      </c>
      <c r="E2113" s="17">
        <v>109.43</v>
      </c>
      <c r="F2113" s="16">
        <v>0.09</v>
      </c>
      <c r="G2113" s="15" t="s">
        <v>32</v>
      </c>
      <c r="H2113" s="18">
        <v>21.7685</v>
      </c>
      <c r="I2113" s="19">
        <v>4.82</v>
      </c>
      <c r="J2113" s="19">
        <v>1.49</v>
      </c>
      <c r="K2113" s="19" t="s">
        <v>69</v>
      </c>
      <c r="L2113" s="19" t="s">
        <v>75</v>
      </c>
      <c r="M2113" s="15" t="s">
        <v>1786</v>
      </c>
      <c r="N2113" s="15" t="s">
        <v>36</v>
      </c>
      <c r="O2113" s="15" t="s">
        <v>170</v>
      </c>
      <c r="P2113" s="20" t="s">
        <v>1789</v>
      </c>
      <c r="Q2113" s="15" t="s">
        <v>83</v>
      </c>
      <c r="R2113" s="4"/>
      <c r="S2113" s="4"/>
    </row>
    <row r="2114" spans="1:19" ht="21" customHeight="1" x14ac:dyDescent="0.25">
      <c r="A2114" s="14">
        <f>DATE(2012,12,31)-1154</f>
        <v>40120</v>
      </c>
      <c r="B2114" s="15" t="s">
        <v>1007</v>
      </c>
      <c r="C2114" s="15" t="s">
        <v>31</v>
      </c>
      <c r="D2114" s="16">
        <v>39</v>
      </c>
      <c r="E2114" s="17">
        <v>460.43</v>
      </c>
      <c r="F2114" s="16">
        <v>7.0000000000000007E-2</v>
      </c>
      <c r="G2114" s="15" t="s">
        <v>32</v>
      </c>
      <c r="H2114" s="18">
        <v>-76.180000000000007</v>
      </c>
      <c r="I2114" s="19">
        <v>12.28</v>
      </c>
      <c r="J2114" s="19">
        <v>6.13</v>
      </c>
      <c r="K2114" s="19" t="s">
        <v>69</v>
      </c>
      <c r="L2114" s="19" t="s">
        <v>215</v>
      </c>
      <c r="M2114" s="15" t="s">
        <v>1704</v>
      </c>
      <c r="N2114" s="15" t="s">
        <v>36</v>
      </c>
      <c r="O2114" s="15" t="s">
        <v>37</v>
      </c>
      <c r="P2114" s="20" t="s">
        <v>1707</v>
      </c>
      <c r="Q2114" s="15" t="s">
        <v>83</v>
      </c>
      <c r="R2114" s="4"/>
      <c r="S2114" s="4"/>
    </row>
    <row r="2115" spans="1:19" ht="21" customHeight="1" x14ac:dyDescent="0.25">
      <c r="A2115" s="14">
        <f>DATE(2012,12,31)-704</f>
        <v>40570</v>
      </c>
      <c r="B2115" s="15" t="s">
        <v>292</v>
      </c>
      <c r="C2115" s="15" t="s">
        <v>43</v>
      </c>
      <c r="D2115" s="16">
        <v>42</v>
      </c>
      <c r="E2115" s="17">
        <v>283.58</v>
      </c>
      <c r="F2115" s="16">
        <v>0.03</v>
      </c>
      <c r="G2115" s="15" t="s">
        <v>32</v>
      </c>
      <c r="H2115" s="18">
        <v>-14.23</v>
      </c>
      <c r="I2115" s="19">
        <v>6.64</v>
      </c>
      <c r="J2115" s="19">
        <v>4.95</v>
      </c>
      <c r="K2115" s="19" t="s">
        <v>44</v>
      </c>
      <c r="L2115" s="19" t="s">
        <v>89</v>
      </c>
      <c r="M2115" s="15" t="s">
        <v>1341</v>
      </c>
      <c r="N2115" s="15" t="s">
        <v>54</v>
      </c>
      <c r="O2115" s="15" t="s">
        <v>55</v>
      </c>
      <c r="P2115" s="20" t="s">
        <v>260</v>
      </c>
      <c r="Q2115" s="15" t="s">
        <v>49</v>
      </c>
      <c r="R2115" s="4"/>
      <c r="S2115" s="4"/>
    </row>
    <row r="2116" spans="1:19" ht="21" customHeight="1" x14ac:dyDescent="0.25">
      <c r="A2116" s="14">
        <f>DATE(2012,12,31)-704</f>
        <v>40570</v>
      </c>
      <c r="B2116" s="15" t="s">
        <v>292</v>
      </c>
      <c r="C2116" s="15" t="s">
        <v>43</v>
      </c>
      <c r="D2116" s="16">
        <v>39</v>
      </c>
      <c r="E2116" s="17">
        <v>5403.37</v>
      </c>
      <c r="F2116" s="16">
        <v>0.06</v>
      </c>
      <c r="G2116" s="15" t="s">
        <v>58</v>
      </c>
      <c r="H2116" s="18">
        <v>948.79</v>
      </c>
      <c r="I2116" s="19">
        <v>145.44999999999999</v>
      </c>
      <c r="J2116" s="19">
        <v>17.850000000000001</v>
      </c>
      <c r="K2116" s="19" t="s">
        <v>44</v>
      </c>
      <c r="L2116" s="19" t="s">
        <v>89</v>
      </c>
      <c r="M2116" s="15" t="s">
        <v>1341</v>
      </c>
      <c r="N2116" s="15" t="s">
        <v>64</v>
      </c>
      <c r="O2116" s="15" t="s">
        <v>122</v>
      </c>
      <c r="P2116" s="20" t="s">
        <v>299</v>
      </c>
      <c r="Q2116" s="15" t="s">
        <v>181</v>
      </c>
      <c r="R2116" s="4"/>
      <c r="S2116" s="4"/>
    </row>
    <row r="2117" spans="1:19" ht="21" customHeight="1" x14ac:dyDescent="0.25">
      <c r="A2117" s="14">
        <f>DATE(2012,12,31)-704</f>
        <v>40570</v>
      </c>
      <c r="B2117" s="15" t="s">
        <v>292</v>
      </c>
      <c r="C2117" s="15" t="s">
        <v>43</v>
      </c>
      <c r="D2117" s="16">
        <v>35</v>
      </c>
      <c r="E2117" s="17">
        <v>82.15</v>
      </c>
      <c r="F2117" s="16">
        <v>0.03</v>
      </c>
      <c r="G2117" s="15" t="s">
        <v>32</v>
      </c>
      <c r="H2117" s="18">
        <v>-6.33</v>
      </c>
      <c r="I2117" s="19">
        <v>2.21</v>
      </c>
      <c r="J2117" s="19">
        <v>1.1200000000000001</v>
      </c>
      <c r="K2117" s="19" t="s">
        <v>44</v>
      </c>
      <c r="L2117" s="19" t="s">
        <v>89</v>
      </c>
      <c r="M2117" s="15" t="s">
        <v>1341</v>
      </c>
      <c r="N2117" s="15" t="s">
        <v>36</v>
      </c>
      <c r="O2117" s="15" t="s">
        <v>77</v>
      </c>
      <c r="P2117" s="20" t="s">
        <v>1790</v>
      </c>
      <c r="Q2117" s="15" t="s">
        <v>79</v>
      </c>
      <c r="R2117" s="4"/>
      <c r="S2117" s="4"/>
    </row>
    <row r="2118" spans="1:19" ht="21" customHeight="1" x14ac:dyDescent="0.25">
      <c r="A2118" s="14">
        <f>DATE(2012,12,31)-1222</f>
        <v>40052</v>
      </c>
      <c r="B2118" s="15" t="s">
        <v>1475</v>
      </c>
      <c r="C2118" s="15" t="s">
        <v>51</v>
      </c>
      <c r="D2118" s="16">
        <v>50</v>
      </c>
      <c r="E2118" s="17">
        <v>2066.16</v>
      </c>
      <c r="F2118" s="16">
        <v>0.02</v>
      </c>
      <c r="G2118" s="15" t="s">
        <v>32</v>
      </c>
      <c r="H2118" s="18">
        <v>372.36</v>
      </c>
      <c r="I2118" s="19">
        <v>40.99</v>
      </c>
      <c r="J2118" s="19">
        <v>17.48</v>
      </c>
      <c r="K2118" s="19" t="s">
        <v>44</v>
      </c>
      <c r="L2118" s="19" t="s">
        <v>89</v>
      </c>
      <c r="M2118" s="15" t="s">
        <v>1341</v>
      </c>
      <c r="N2118" s="15" t="s">
        <v>36</v>
      </c>
      <c r="O2118" s="15" t="s">
        <v>117</v>
      </c>
      <c r="P2118" s="20" t="s">
        <v>583</v>
      </c>
      <c r="Q2118" s="15" t="s">
        <v>83</v>
      </c>
      <c r="R2118" s="4"/>
      <c r="S2118" s="4"/>
    </row>
    <row r="2119" spans="1:19" ht="21" customHeight="1" x14ac:dyDescent="0.25">
      <c r="A2119" s="14">
        <f>DATE(2012,12,31)-748</f>
        <v>40526</v>
      </c>
      <c r="B2119" s="15" t="s">
        <v>1484</v>
      </c>
      <c r="C2119" s="15" t="s">
        <v>43</v>
      </c>
      <c r="D2119" s="16">
        <v>11</v>
      </c>
      <c r="E2119" s="17">
        <v>230.72</v>
      </c>
      <c r="F2119" s="16">
        <v>0.08</v>
      </c>
      <c r="G2119" s="15" t="s">
        <v>32</v>
      </c>
      <c r="H2119" s="18">
        <v>-68.760000000000005</v>
      </c>
      <c r="I2119" s="19">
        <v>20.95</v>
      </c>
      <c r="J2119" s="19">
        <v>5.99</v>
      </c>
      <c r="K2119" s="19" t="s">
        <v>44</v>
      </c>
      <c r="L2119" s="19" t="s">
        <v>45</v>
      </c>
      <c r="M2119" s="15" t="s">
        <v>1768</v>
      </c>
      <c r="N2119" s="15" t="s">
        <v>64</v>
      </c>
      <c r="O2119" s="15" t="s">
        <v>72</v>
      </c>
      <c r="P2119" s="20" t="s">
        <v>1259</v>
      </c>
      <c r="Q2119" s="15" t="s">
        <v>83</v>
      </c>
      <c r="R2119" s="4"/>
      <c r="S2119" s="4"/>
    </row>
    <row r="2120" spans="1:19" ht="21" customHeight="1" x14ac:dyDescent="0.25">
      <c r="A2120" s="14">
        <f>DATE(2012,12,31)-748</f>
        <v>40526</v>
      </c>
      <c r="B2120" s="15" t="s">
        <v>1484</v>
      </c>
      <c r="C2120" s="15" t="s">
        <v>43</v>
      </c>
      <c r="D2120" s="16">
        <v>45</v>
      </c>
      <c r="E2120" s="17">
        <v>293.47000000000003</v>
      </c>
      <c r="F2120" s="16">
        <v>0.06</v>
      </c>
      <c r="G2120" s="15" t="s">
        <v>32</v>
      </c>
      <c r="H2120" s="18">
        <v>-205.38</v>
      </c>
      <c r="I2120" s="19">
        <v>6.48</v>
      </c>
      <c r="J2120" s="19">
        <v>8.4</v>
      </c>
      <c r="K2120" s="19" t="s">
        <v>33</v>
      </c>
      <c r="L2120" s="19" t="s">
        <v>93</v>
      </c>
      <c r="M2120" s="15" t="s">
        <v>94</v>
      </c>
      <c r="N2120" s="15" t="s">
        <v>36</v>
      </c>
      <c r="O2120" s="15" t="s">
        <v>117</v>
      </c>
      <c r="P2120" s="20" t="s">
        <v>729</v>
      </c>
      <c r="Q2120" s="15" t="s">
        <v>83</v>
      </c>
      <c r="R2120" s="4"/>
      <c r="S2120" s="4"/>
    </row>
    <row r="2121" spans="1:19" ht="21" customHeight="1" x14ac:dyDescent="0.25">
      <c r="A2121" s="14">
        <f>DATE(2012,12,31)-748</f>
        <v>40526</v>
      </c>
      <c r="B2121" s="15" t="s">
        <v>1484</v>
      </c>
      <c r="C2121" s="15" t="s">
        <v>43</v>
      </c>
      <c r="D2121" s="16">
        <v>33</v>
      </c>
      <c r="E2121" s="17">
        <v>88.7</v>
      </c>
      <c r="F2121" s="16">
        <v>0.06</v>
      </c>
      <c r="G2121" s="15" t="s">
        <v>32</v>
      </c>
      <c r="H2121" s="18">
        <v>-89.13</v>
      </c>
      <c r="I2121" s="19">
        <v>2.52</v>
      </c>
      <c r="J2121" s="19">
        <v>4.28</v>
      </c>
      <c r="K2121" s="19" t="s">
        <v>33</v>
      </c>
      <c r="L2121" s="19" t="s">
        <v>128</v>
      </c>
      <c r="M2121" s="15" t="s">
        <v>129</v>
      </c>
      <c r="N2121" s="15" t="s">
        <v>36</v>
      </c>
      <c r="O2121" s="15" t="s">
        <v>77</v>
      </c>
      <c r="P2121" s="20" t="s">
        <v>1568</v>
      </c>
      <c r="Q2121" s="15" t="s">
        <v>79</v>
      </c>
      <c r="R2121" s="4"/>
      <c r="S2121" s="4"/>
    </row>
    <row r="2122" spans="1:19" ht="21" customHeight="1" x14ac:dyDescent="0.25">
      <c r="A2122" s="14">
        <f>DATE(2012,12,31)-748</f>
        <v>40526</v>
      </c>
      <c r="B2122" s="15" t="s">
        <v>1484</v>
      </c>
      <c r="C2122" s="15" t="s">
        <v>43</v>
      </c>
      <c r="D2122" s="16">
        <v>23</v>
      </c>
      <c r="E2122" s="17">
        <v>262.77999999999997</v>
      </c>
      <c r="F2122" s="16">
        <v>0.04</v>
      </c>
      <c r="G2122" s="15" t="s">
        <v>32</v>
      </c>
      <c r="H2122" s="18">
        <v>19.36</v>
      </c>
      <c r="I2122" s="19">
        <v>10.98</v>
      </c>
      <c r="J2122" s="19">
        <v>3.37</v>
      </c>
      <c r="K2122" s="19" t="s">
        <v>33</v>
      </c>
      <c r="L2122" s="19" t="s">
        <v>93</v>
      </c>
      <c r="M2122" s="15" t="s">
        <v>94</v>
      </c>
      <c r="N2122" s="15" t="s">
        <v>36</v>
      </c>
      <c r="O2122" s="15" t="s">
        <v>47</v>
      </c>
      <c r="P2122" s="20" t="s">
        <v>1698</v>
      </c>
      <c r="Q2122" s="15" t="s">
        <v>49</v>
      </c>
      <c r="R2122" s="4"/>
      <c r="S2122" s="4"/>
    </row>
    <row r="2123" spans="1:19" ht="21" customHeight="1" x14ac:dyDescent="0.25">
      <c r="A2123" s="14">
        <f>DATE(2012,12,31)-748</f>
        <v>40526</v>
      </c>
      <c r="B2123" s="15" t="s">
        <v>1484</v>
      </c>
      <c r="C2123" s="15" t="s">
        <v>43</v>
      </c>
      <c r="D2123" s="16">
        <v>10</v>
      </c>
      <c r="E2123" s="17">
        <v>142.15</v>
      </c>
      <c r="F2123" s="16">
        <v>0.09</v>
      </c>
      <c r="G2123" s="15" t="s">
        <v>32</v>
      </c>
      <c r="H2123" s="18">
        <v>-58.18</v>
      </c>
      <c r="I2123" s="19">
        <v>14.03</v>
      </c>
      <c r="J2123" s="19">
        <v>9.3699999999999992</v>
      </c>
      <c r="K2123" s="19" t="s">
        <v>97</v>
      </c>
      <c r="L2123" s="19" t="s">
        <v>98</v>
      </c>
      <c r="M2123" s="15" t="s">
        <v>1162</v>
      </c>
      <c r="N2123" s="15" t="s">
        <v>36</v>
      </c>
      <c r="O2123" s="15" t="s">
        <v>37</v>
      </c>
      <c r="P2123" s="20" t="s">
        <v>969</v>
      </c>
      <c r="Q2123" s="15" t="s">
        <v>83</v>
      </c>
      <c r="R2123" s="4"/>
      <c r="S2123" s="4"/>
    </row>
    <row r="2124" spans="1:19" ht="21" customHeight="1" x14ac:dyDescent="0.25">
      <c r="A2124" s="14">
        <f>DATE(2012,12,31)-1110</f>
        <v>40164</v>
      </c>
      <c r="B2124" s="15" t="s">
        <v>1778</v>
      </c>
      <c r="C2124" s="15" t="s">
        <v>43</v>
      </c>
      <c r="D2124" s="16">
        <v>13</v>
      </c>
      <c r="E2124" s="17">
        <v>970.47</v>
      </c>
      <c r="F2124" s="16">
        <v>0.1</v>
      </c>
      <c r="G2124" s="15" t="s">
        <v>32</v>
      </c>
      <c r="H2124" s="18">
        <v>192.38</v>
      </c>
      <c r="I2124" s="19">
        <v>81.319999999999993</v>
      </c>
      <c r="J2124" s="19">
        <v>0.99</v>
      </c>
      <c r="K2124" s="19" t="s">
        <v>97</v>
      </c>
      <c r="L2124" s="19" t="s">
        <v>98</v>
      </c>
      <c r="M2124" s="15" t="s">
        <v>1162</v>
      </c>
      <c r="N2124" s="15" t="s">
        <v>36</v>
      </c>
      <c r="O2124" s="15" t="s">
        <v>176</v>
      </c>
      <c r="P2124" s="20" t="s">
        <v>1791</v>
      </c>
      <c r="Q2124" s="15" t="s">
        <v>83</v>
      </c>
      <c r="R2124" s="4"/>
      <c r="S2124" s="4"/>
    </row>
    <row r="2125" spans="1:19" ht="21" customHeight="1" x14ac:dyDescent="0.25">
      <c r="A2125" s="14">
        <f>DATE(2012,12,31)-1138</f>
        <v>40136</v>
      </c>
      <c r="B2125" s="15" t="s">
        <v>403</v>
      </c>
      <c r="C2125" s="15" t="s">
        <v>51</v>
      </c>
      <c r="D2125" s="16">
        <v>17</v>
      </c>
      <c r="E2125" s="17">
        <v>5203.8999999999996</v>
      </c>
      <c r="F2125" s="16">
        <v>7.0000000000000007E-2</v>
      </c>
      <c r="G2125" s="15" t="s">
        <v>58</v>
      </c>
      <c r="H2125" s="18">
        <v>636.20000000000005</v>
      </c>
      <c r="I2125" s="19">
        <v>300.98</v>
      </c>
      <c r="J2125" s="19">
        <v>64.73</v>
      </c>
      <c r="K2125" s="19" t="s">
        <v>97</v>
      </c>
      <c r="L2125" s="19" t="s">
        <v>98</v>
      </c>
      <c r="M2125" s="15" t="s">
        <v>1162</v>
      </c>
      <c r="N2125" s="15" t="s">
        <v>54</v>
      </c>
      <c r="O2125" s="15" t="s">
        <v>252</v>
      </c>
      <c r="P2125" s="20" t="s">
        <v>1015</v>
      </c>
      <c r="Q2125" s="15" t="s">
        <v>181</v>
      </c>
      <c r="R2125" s="4"/>
      <c r="S2125" s="4"/>
    </row>
    <row r="2126" spans="1:19" ht="21" customHeight="1" x14ac:dyDescent="0.25">
      <c r="A2126" s="14">
        <f>DATE(2012,12,31)-1138</f>
        <v>40136</v>
      </c>
      <c r="B2126" s="15" t="s">
        <v>403</v>
      </c>
      <c r="C2126" s="15" t="s">
        <v>51</v>
      </c>
      <c r="D2126" s="16">
        <v>33</v>
      </c>
      <c r="E2126" s="17">
        <v>744.12</v>
      </c>
      <c r="F2126" s="16">
        <v>0.01</v>
      </c>
      <c r="G2126" s="15" t="s">
        <v>58</v>
      </c>
      <c r="H2126" s="18">
        <v>-1163.21</v>
      </c>
      <c r="I2126" s="19">
        <v>20.98</v>
      </c>
      <c r="J2126" s="19">
        <v>45</v>
      </c>
      <c r="K2126" s="19" t="s">
        <v>97</v>
      </c>
      <c r="L2126" s="19" t="s">
        <v>283</v>
      </c>
      <c r="M2126" s="15" t="s">
        <v>1471</v>
      </c>
      <c r="N2126" s="15" t="s">
        <v>36</v>
      </c>
      <c r="O2126" s="15" t="s">
        <v>37</v>
      </c>
      <c r="P2126" s="20" t="s">
        <v>899</v>
      </c>
      <c r="Q2126" s="15" t="s">
        <v>181</v>
      </c>
      <c r="R2126" s="4"/>
      <c r="S2126" s="4"/>
    </row>
    <row r="2127" spans="1:19" ht="21" customHeight="1" x14ac:dyDescent="0.25">
      <c r="A2127" s="14">
        <f>DATE(2012,12,31)-271</f>
        <v>41003</v>
      </c>
      <c r="B2127" s="15" t="s">
        <v>348</v>
      </c>
      <c r="C2127" s="15" t="s">
        <v>43</v>
      </c>
      <c r="D2127" s="16">
        <v>21</v>
      </c>
      <c r="E2127" s="17">
        <v>330.22</v>
      </c>
      <c r="F2127" s="16">
        <v>7.0000000000000007E-2</v>
      </c>
      <c r="G2127" s="15" t="s">
        <v>32</v>
      </c>
      <c r="H2127" s="18">
        <v>-51.715499999999999</v>
      </c>
      <c r="I2127" s="19">
        <v>15.28</v>
      </c>
      <c r="J2127" s="19">
        <v>10.91</v>
      </c>
      <c r="K2127" s="19" t="s">
        <v>124</v>
      </c>
      <c r="L2127" s="19" t="s">
        <v>160</v>
      </c>
      <c r="M2127" s="15" t="s">
        <v>1621</v>
      </c>
      <c r="N2127" s="15" t="s">
        <v>36</v>
      </c>
      <c r="O2127" s="15" t="s">
        <v>170</v>
      </c>
      <c r="P2127" s="20" t="s">
        <v>1540</v>
      </c>
      <c r="Q2127" s="15" t="s">
        <v>83</v>
      </c>
      <c r="R2127" s="4"/>
      <c r="S2127" s="4"/>
    </row>
    <row r="2128" spans="1:19" ht="21" customHeight="1" x14ac:dyDescent="0.25">
      <c r="A2128" s="14">
        <f>DATE(2012,12,31)-1384</f>
        <v>39890</v>
      </c>
      <c r="B2128" s="15" t="s">
        <v>303</v>
      </c>
      <c r="C2128" s="15" t="s">
        <v>85</v>
      </c>
      <c r="D2128" s="16">
        <v>19</v>
      </c>
      <c r="E2128" s="17">
        <v>356.46449999999999</v>
      </c>
      <c r="F2128" s="16">
        <v>0.01</v>
      </c>
      <c r="G2128" s="15" t="s">
        <v>32</v>
      </c>
      <c r="H2128" s="18">
        <v>-9.1079999999999988</v>
      </c>
      <c r="I2128" s="19">
        <v>20.99</v>
      </c>
      <c r="J2128" s="19">
        <v>4.8099999999999996</v>
      </c>
      <c r="K2128" s="19" t="s">
        <v>124</v>
      </c>
      <c r="L2128" s="19" t="s">
        <v>160</v>
      </c>
      <c r="M2128" s="15" t="s">
        <v>1621</v>
      </c>
      <c r="N2128" s="15" t="s">
        <v>64</v>
      </c>
      <c r="O2128" s="15" t="s">
        <v>65</v>
      </c>
      <c r="P2128" s="20" t="s">
        <v>654</v>
      </c>
      <c r="Q2128" s="15" t="s">
        <v>57</v>
      </c>
      <c r="R2128" s="4"/>
      <c r="S2128" s="4"/>
    </row>
    <row r="2129" spans="1:19" ht="21" customHeight="1" x14ac:dyDescent="0.25">
      <c r="A2129" s="14">
        <f>DATE(2012,12,31)-906</f>
        <v>40368</v>
      </c>
      <c r="B2129" s="15" t="s">
        <v>1792</v>
      </c>
      <c r="C2129" s="15" t="s">
        <v>51</v>
      </c>
      <c r="D2129" s="16">
        <v>36</v>
      </c>
      <c r="E2129" s="17">
        <v>1340.93</v>
      </c>
      <c r="F2129" s="16">
        <v>0.09</v>
      </c>
      <c r="G2129" s="15" t="s">
        <v>101</v>
      </c>
      <c r="H2129" s="18">
        <v>154.16</v>
      </c>
      <c r="I2129" s="19">
        <v>39.979999999999997</v>
      </c>
      <c r="J2129" s="19">
        <v>9.1999999999999993</v>
      </c>
      <c r="K2129" s="19" t="s">
        <v>124</v>
      </c>
      <c r="L2129" s="19" t="s">
        <v>160</v>
      </c>
      <c r="M2129" s="15" t="s">
        <v>1621</v>
      </c>
      <c r="N2129" s="15" t="s">
        <v>54</v>
      </c>
      <c r="O2129" s="15" t="s">
        <v>55</v>
      </c>
      <c r="P2129" s="20" t="s">
        <v>1693</v>
      </c>
      <c r="Q2129" s="15" t="s">
        <v>79</v>
      </c>
      <c r="R2129" s="4"/>
      <c r="S2129" s="4"/>
    </row>
    <row r="2130" spans="1:19" ht="21" customHeight="1" x14ac:dyDescent="0.25">
      <c r="A2130" s="14">
        <f>DATE(2012,12,31)-655</f>
        <v>40619</v>
      </c>
      <c r="B2130" s="15" t="s">
        <v>704</v>
      </c>
      <c r="C2130" s="15" t="s">
        <v>85</v>
      </c>
      <c r="D2130" s="16">
        <v>18</v>
      </c>
      <c r="E2130" s="17">
        <v>4605.3599999999997</v>
      </c>
      <c r="F2130" s="16">
        <v>0.02</v>
      </c>
      <c r="G2130" s="15" t="s">
        <v>58</v>
      </c>
      <c r="H2130" s="18">
        <v>678.26</v>
      </c>
      <c r="I2130" s="19">
        <v>243.98</v>
      </c>
      <c r="J2130" s="19">
        <v>43.32</v>
      </c>
      <c r="K2130" s="19" t="s">
        <v>124</v>
      </c>
      <c r="L2130" s="19" t="s">
        <v>160</v>
      </c>
      <c r="M2130" s="15" t="s">
        <v>1621</v>
      </c>
      <c r="N2130" s="15" t="s">
        <v>54</v>
      </c>
      <c r="O2130" s="15" t="s">
        <v>252</v>
      </c>
      <c r="P2130" s="20" t="s">
        <v>666</v>
      </c>
      <c r="Q2130" s="15" t="s">
        <v>181</v>
      </c>
      <c r="R2130" s="4"/>
      <c r="S2130" s="4"/>
    </row>
    <row r="2131" spans="1:19" ht="21" customHeight="1" x14ac:dyDescent="0.25">
      <c r="A2131" s="14">
        <f>DATE(2012,12,31)-655</f>
        <v>40619</v>
      </c>
      <c r="B2131" s="15" t="s">
        <v>704</v>
      </c>
      <c r="C2131" s="15" t="s">
        <v>85</v>
      </c>
      <c r="D2131" s="16">
        <v>42</v>
      </c>
      <c r="E2131" s="17">
        <v>1753.51</v>
      </c>
      <c r="F2131" s="16">
        <v>0.02</v>
      </c>
      <c r="G2131" s="15" t="s">
        <v>32</v>
      </c>
      <c r="H2131" s="18">
        <v>155.72</v>
      </c>
      <c r="I2131" s="19">
        <v>39.979999999999997</v>
      </c>
      <c r="J2131" s="19">
        <v>9.1999999999999993</v>
      </c>
      <c r="K2131" s="19" t="s">
        <v>124</v>
      </c>
      <c r="L2131" s="19" t="s">
        <v>160</v>
      </c>
      <c r="M2131" s="15" t="s">
        <v>1621</v>
      </c>
      <c r="N2131" s="15" t="s">
        <v>54</v>
      </c>
      <c r="O2131" s="15" t="s">
        <v>55</v>
      </c>
      <c r="P2131" s="20" t="s">
        <v>1693</v>
      </c>
      <c r="Q2131" s="15" t="s">
        <v>79</v>
      </c>
      <c r="R2131" s="4"/>
      <c r="S2131" s="4"/>
    </row>
    <row r="2132" spans="1:19" ht="21" customHeight="1" x14ac:dyDescent="0.25">
      <c r="A2132" s="14">
        <f>DATE(2012,12,31)-788</f>
        <v>40486</v>
      </c>
      <c r="B2132" s="15" t="s">
        <v>574</v>
      </c>
      <c r="C2132" s="15" t="s">
        <v>31</v>
      </c>
      <c r="D2132" s="16">
        <v>35</v>
      </c>
      <c r="E2132" s="17">
        <v>5287.16</v>
      </c>
      <c r="F2132" s="16">
        <v>0.05</v>
      </c>
      <c r="G2132" s="15" t="s">
        <v>58</v>
      </c>
      <c r="H2132" s="18">
        <v>-769.05</v>
      </c>
      <c r="I2132" s="19">
        <v>150.97999999999999</v>
      </c>
      <c r="J2132" s="19">
        <v>66.27</v>
      </c>
      <c r="K2132" s="19" t="s">
        <v>124</v>
      </c>
      <c r="L2132" s="19" t="s">
        <v>160</v>
      </c>
      <c r="M2132" s="15" t="s">
        <v>1621</v>
      </c>
      <c r="N2132" s="15" t="s">
        <v>54</v>
      </c>
      <c r="O2132" s="15" t="s">
        <v>134</v>
      </c>
      <c r="P2132" s="20" t="s">
        <v>1113</v>
      </c>
      <c r="Q2132" s="15" t="s">
        <v>63</v>
      </c>
      <c r="R2132" s="4"/>
      <c r="S2132" s="4"/>
    </row>
    <row r="2133" spans="1:19" ht="21" customHeight="1" x14ac:dyDescent="0.25">
      <c r="A2133" s="14">
        <f>DATE(2012,12,31)-1025</f>
        <v>40249</v>
      </c>
      <c r="B2133" s="15" t="s">
        <v>1793</v>
      </c>
      <c r="C2133" s="15" t="s">
        <v>43</v>
      </c>
      <c r="D2133" s="16">
        <v>21</v>
      </c>
      <c r="E2133" s="17">
        <v>2185.9535000000001</v>
      </c>
      <c r="F2133" s="16">
        <v>0.1</v>
      </c>
      <c r="G2133" s="15" t="s">
        <v>32</v>
      </c>
      <c r="H2133" s="18">
        <v>268.01100000000002</v>
      </c>
      <c r="I2133" s="19">
        <v>125.99</v>
      </c>
      <c r="J2133" s="19">
        <v>8.99</v>
      </c>
      <c r="K2133" s="19" t="s">
        <v>124</v>
      </c>
      <c r="L2133" s="19" t="s">
        <v>164</v>
      </c>
      <c r="M2133" s="15" t="s">
        <v>1228</v>
      </c>
      <c r="N2133" s="15" t="s">
        <v>64</v>
      </c>
      <c r="O2133" s="15" t="s">
        <v>65</v>
      </c>
      <c r="P2133" s="20" t="s">
        <v>1550</v>
      </c>
      <c r="Q2133" s="15" t="s">
        <v>83</v>
      </c>
      <c r="R2133" s="4"/>
      <c r="S2133" s="4"/>
    </row>
    <row r="2134" spans="1:19" ht="21" customHeight="1" x14ac:dyDescent="0.25">
      <c r="A2134" s="14">
        <f>DATE(2012,12,31)-1025</f>
        <v>40249</v>
      </c>
      <c r="B2134" s="15" t="s">
        <v>1793</v>
      </c>
      <c r="C2134" s="15" t="s">
        <v>43</v>
      </c>
      <c r="D2134" s="16">
        <v>12</v>
      </c>
      <c r="E2134" s="17">
        <v>1323.5434999999998</v>
      </c>
      <c r="F2134" s="16">
        <v>0</v>
      </c>
      <c r="G2134" s="15" t="s">
        <v>101</v>
      </c>
      <c r="H2134" s="18">
        <v>-34.727000000000004</v>
      </c>
      <c r="I2134" s="19">
        <v>125.99</v>
      </c>
      <c r="J2134" s="19">
        <v>8.08</v>
      </c>
      <c r="K2134" s="19" t="s">
        <v>124</v>
      </c>
      <c r="L2134" s="19" t="s">
        <v>319</v>
      </c>
      <c r="M2134" s="15" t="s">
        <v>1711</v>
      </c>
      <c r="N2134" s="15" t="s">
        <v>64</v>
      </c>
      <c r="O2134" s="15" t="s">
        <v>65</v>
      </c>
      <c r="P2134" s="20" t="s">
        <v>535</v>
      </c>
      <c r="Q2134" s="15" t="s">
        <v>83</v>
      </c>
      <c r="R2134" s="4"/>
      <c r="S2134" s="4"/>
    </row>
    <row r="2135" spans="1:19" ht="21" customHeight="1" x14ac:dyDescent="0.25">
      <c r="A2135" s="14">
        <f>DATE(2012,12,31)-266</f>
        <v>41008</v>
      </c>
      <c r="B2135" s="15" t="s">
        <v>426</v>
      </c>
      <c r="C2135" s="15" t="s">
        <v>43</v>
      </c>
      <c r="D2135" s="16">
        <v>33</v>
      </c>
      <c r="E2135" s="17">
        <v>341.42</v>
      </c>
      <c r="F2135" s="16">
        <v>0.06</v>
      </c>
      <c r="G2135" s="15" t="s">
        <v>32</v>
      </c>
      <c r="H2135" s="18">
        <v>71.50200000000001</v>
      </c>
      <c r="I2135" s="19">
        <v>10.91</v>
      </c>
      <c r="J2135" s="19">
        <v>2.99</v>
      </c>
      <c r="K2135" s="19" t="s">
        <v>124</v>
      </c>
      <c r="L2135" s="19" t="s">
        <v>158</v>
      </c>
      <c r="M2135" s="15" t="s">
        <v>158</v>
      </c>
      <c r="N2135" s="15" t="s">
        <v>36</v>
      </c>
      <c r="O2135" s="15" t="s">
        <v>170</v>
      </c>
      <c r="P2135" s="20" t="s">
        <v>554</v>
      </c>
      <c r="Q2135" s="15" t="s">
        <v>83</v>
      </c>
      <c r="R2135" s="4"/>
      <c r="S2135" s="4"/>
    </row>
    <row r="2136" spans="1:19" ht="21" customHeight="1" x14ac:dyDescent="0.25">
      <c r="A2136" s="14">
        <f>DATE(2012,12,31)-266</f>
        <v>41008</v>
      </c>
      <c r="B2136" s="15" t="s">
        <v>426</v>
      </c>
      <c r="C2136" s="15" t="s">
        <v>43</v>
      </c>
      <c r="D2136" s="16">
        <v>30</v>
      </c>
      <c r="E2136" s="17">
        <v>381.39</v>
      </c>
      <c r="F2136" s="16">
        <v>0.01</v>
      </c>
      <c r="G2136" s="15" t="s">
        <v>101</v>
      </c>
      <c r="H2136" s="18">
        <v>31.24</v>
      </c>
      <c r="I2136" s="19">
        <v>12.07</v>
      </c>
      <c r="J2136" s="19">
        <v>6.2</v>
      </c>
      <c r="K2136" s="19" t="s">
        <v>124</v>
      </c>
      <c r="L2136" s="19" t="s">
        <v>319</v>
      </c>
      <c r="M2136" s="15" t="s">
        <v>1711</v>
      </c>
      <c r="N2136" s="15" t="s">
        <v>54</v>
      </c>
      <c r="O2136" s="15" t="s">
        <v>55</v>
      </c>
      <c r="P2136" s="20" t="s">
        <v>829</v>
      </c>
      <c r="Q2136" s="15" t="s">
        <v>79</v>
      </c>
      <c r="R2136" s="4"/>
      <c r="S2136" s="4"/>
    </row>
    <row r="2137" spans="1:19" ht="21" customHeight="1" x14ac:dyDescent="0.25">
      <c r="A2137" s="14">
        <f>DATE(2012,12,31)-410</f>
        <v>40864</v>
      </c>
      <c r="B2137" s="15" t="s">
        <v>990</v>
      </c>
      <c r="C2137" s="15" t="s">
        <v>85</v>
      </c>
      <c r="D2137" s="16">
        <v>3</v>
      </c>
      <c r="E2137" s="17">
        <v>3581.52</v>
      </c>
      <c r="F2137" s="16">
        <v>7.0000000000000007E-2</v>
      </c>
      <c r="G2137" s="15" t="s">
        <v>32</v>
      </c>
      <c r="H2137" s="18">
        <v>-408.21550000000002</v>
      </c>
      <c r="I2137" s="19">
        <v>1270.99</v>
      </c>
      <c r="J2137" s="19">
        <v>19.989999999999998</v>
      </c>
      <c r="K2137" s="19" t="s">
        <v>44</v>
      </c>
      <c r="L2137" s="19" t="s">
        <v>52</v>
      </c>
      <c r="M2137" s="15" t="s">
        <v>1685</v>
      </c>
      <c r="N2137" s="15" t="s">
        <v>36</v>
      </c>
      <c r="O2137" s="15" t="s">
        <v>170</v>
      </c>
      <c r="P2137" s="20" t="s">
        <v>885</v>
      </c>
      <c r="Q2137" s="15" t="s">
        <v>83</v>
      </c>
      <c r="R2137" s="4"/>
      <c r="S2137" s="4"/>
    </row>
    <row r="2138" spans="1:19" ht="21" customHeight="1" x14ac:dyDescent="0.25">
      <c r="A2138" s="14">
        <f>DATE(2012,12,31)-410</f>
        <v>40864</v>
      </c>
      <c r="B2138" s="15" t="s">
        <v>990</v>
      </c>
      <c r="C2138" s="15" t="s">
        <v>85</v>
      </c>
      <c r="D2138" s="16">
        <v>13</v>
      </c>
      <c r="E2138" s="17">
        <v>90.15</v>
      </c>
      <c r="F2138" s="16">
        <v>7.0000000000000007E-2</v>
      </c>
      <c r="G2138" s="15" t="s">
        <v>32</v>
      </c>
      <c r="H2138" s="18">
        <v>33.049999999999997</v>
      </c>
      <c r="I2138" s="19">
        <v>7.31</v>
      </c>
      <c r="J2138" s="19">
        <v>0.49</v>
      </c>
      <c r="K2138" s="19" t="s">
        <v>44</v>
      </c>
      <c r="L2138" s="19" t="s">
        <v>52</v>
      </c>
      <c r="M2138" s="15" t="s">
        <v>1685</v>
      </c>
      <c r="N2138" s="15" t="s">
        <v>36</v>
      </c>
      <c r="O2138" s="15" t="s">
        <v>114</v>
      </c>
      <c r="P2138" s="20" t="s">
        <v>656</v>
      </c>
      <c r="Q2138" s="15" t="s">
        <v>83</v>
      </c>
      <c r="R2138" s="4"/>
      <c r="S2138" s="4"/>
    </row>
    <row r="2139" spans="1:19" ht="21" customHeight="1" x14ac:dyDescent="0.25">
      <c r="A2139" s="14">
        <f>DATE(2012,12,31)-1430</f>
        <v>39844</v>
      </c>
      <c r="B2139" s="15" t="s">
        <v>144</v>
      </c>
      <c r="C2139" s="15" t="s">
        <v>43</v>
      </c>
      <c r="D2139" s="16">
        <v>36</v>
      </c>
      <c r="E2139" s="17">
        <v>257.91000000000003</v>
      </c>
      <c r="F2139" s="16">
        <v>0</v>
      </c>
      <c r="G2139" s="15" t="s">
        <v>32</v>
      </c>
      <c r="H2139" s="18">
        <v>90.86</v>
      </c>
      <c r="I2139" s="19">
        <v>6.98</v>
      </c>
      <c r="J2139" s="19">
        <v>1.6</v>
      </c>
      <c r="K2139" s="19" t="s">
        <v>44</v>
      </c>
      <c r="L2139" s="19" t="s">
        <v>52</v>
      </c>
      <c r="M2139" s="15" t="s">
        <v>1685</v>
      </c>
      <c r="N2139" s="15" t="s">
        <v>36</v>
      </c>
      <c r="O2139" s="15" t="s">
        <v>117</v>
      </c>
      <c r="P2139" s="20" t="s">
        <v>1345</v>
      </c>
      <c r="Q2139" s="15" t="s">
        <v>79</v>
      </c>
      <c r="R2139" s="4"/>
      <c r="S2139" s="4"/>
    </row>
    <row r="2140" spans="1:19" ht="21" customHeight="1" x14ac:dyDescent="0.25">
      <c r="A2140" s="14">
        <f>DATE(2012,12,31)-890</f>
        <v>40384</v>
      </c>
      <c r="B2140" s="15" t="s">
        <v>610</v>
      </c>
      <c r="C2140" s="15" t="s">
        <v>85</v>
      </c>
      <c r="D2140" s="16">
        <v>18</v>
      </c>
      <c r="E2140" s="17">
        <v>2389.3000000000002</v>
      </c>
      <c r="F2140" s="16">
        <v>0.01</v>
      </c>
      <c r="G2140" s="15" t="s">
        <v>32</v>
      </c>
      <c r="H2140" s="18">
        <v>589.38</v>
      </c>
      <c r="I2140" s="19">
        <v>128.24</v>
      </c>
      <c r="J2140" s="19">
        <v>12.65</v>
      </c>
      <c r="K2140" s="19" t="s">
        <v>44</v>
      </c>
      <c r="L2140" s="19" t="s">
        <v>52</v>
      </c>
      <c r="M2140" s="15" t="s">
        <v>1685</v>
      </c>
      <c r="N2140" s="15" t="s">
        <v>54</v>
      </c>
      <c r="O2140" s="15" t="s">
        <v>252</v>
      </c>
      <c r="P2140" s="20" t="s">
        <v>585</v>
      </c>
      <c r="Q2140" s="15" t="s">
        <v>57</v>
      </c>
      <c r="R2140" s="4"/>
      <c r="S2140" s="4"/>
    </row>
    <row r="2141" spans="1:19" ht="21" customHeight="1" x14ac:dyDescent="0.25">
      <c r="A2141" s="14">
        <f>DATE(2012,12,31)-890</f>
        <v>40384</v>
      </c>
      <c r="B2141" s="15" t="s">
        <v>610</v>
      </c>
      <c r="C2141" s="15" t="s">
        <v>85</v>
      </c>
      <c r="D2141" s="16">
        <v>7</v>
      </c>
      <c r="E2141" s="17">
        <v>222.25800000000001</v>
      </c>
      <c r="F2141" s="16">
        <v>0.03</v>
      </c>
      <c r="G2141" s="15" t="s">
        <v>32</v>
      </c>
      <c r="H2141" s="18">
        <v>-77.901999999999987</v>
      </c>
      <c r="I2141" s="19">
        <v>35.99</v>
      </c>
      <c r="J2141" s="19">
        <v>1.25</v>
      </c>
      <c r="K2141" s="19" t="s">
        <v>44</v>
      </c>
      <c r="L2141" s="19" t="s">
        <v>52</v>
      </c>
      <c r="M2141" s="15" t="s">
        <v>1685</v>
      </c>
      <c r="N2141" s="15" t="s">
        <v>64</v>
      </c>
      <c r="O2141" s="15" t="s">
        <v>65</v>
      </c>
      <c r="P2141" s="20" t="s">
        <v>680</v>
      </c>
      <c r="Q2141" s="15" t="s">
        <v>49</v>
      </c>
      <c r="R2141" s="4"/>
      <c r="S2141" s="4"/>
    </row>
    <row r="2142" spans="1:19" ht="21" customHeight="1" x14ac:dyDescent="0.25">
      <c r="A2142" s="14">
        <f>DATE(2012,12,31)-146</f>
        <v>41128</v>
      </c>
      <c r="B2142" s="15" t="s">
        <v>1075</v>
      </c>
      <c r="C2142" s="15" t="s">
        <v>43</v>
      </c>
      <c r="D2142" s="16">
        <v>38</v>
      </c>
      <c r="E2142" s="17">
        <v>6216.6</v>
      </c>
      <c r="F2142" s="16">
        <v>0.02</v>
      </c>
      <c r="G2142" s="15" t="s">
        <v>32</v>
      </c>
      <c r="H2142" s="18">
        <v>1082.21</v>
      </c>
      <c r="I2142" s="19">
        <v>161.55000000000001</v>
      </c>
      <c r="J2142" s="19">
        <v>19.989999999999998</v>
      </c>
      <c r="K2142" s="19" t="s">
        <v>44</v>
      </c>
      <c r="L2142" s="19" t="s">
        <v>52</v>
      </c>
      <c r="M2142" s="15" t="s">
        <v>1685</v>
      </c>
      <c r="N2142" s="15" t="s">
        <v>36</v>
      </c>
      <c r="O2142" s="15" t="s">
        <v>37</v>
      </c>
      <c r="P2142" s="20" t="s">
        <v>1794</v>
      </c>
      <c r="Q2142" s="15" t="s">
        <v>83</v>
      </c>
      <c r="R2142" s="4"/>
      <c r="S2142" s="4"/>
    </row>
    <row r="2143" spans="1:19" ht="21" customHeight="1" x14ac:dyDescent="0.25">
      <c r="A2143" s="14">
        <f>DATE(2012,12,31)-692</f>
        <v>40582</v>
      </c>
      <c r="B2143" s="15" t="s">
        <v>219</v>
      </c>
      <c r="C2143" s="15" t="s">
        <v>51</v>
      </c>
      <c r="D2143" s="16">
        <v>42</v>
      </c>
      <c r="E2143" s="17">
        <v>229.88</v>
      </c>
      <c r="F2143" s="16">
        <v>0.05</v>
      </c>
      <c r="G2143" s="15" t="s">
        <v>101</v>
      </c>
      <c r="H2143" s="18">
        <v>-75.25</v>
      </c>
      <c r="I2143" s="19">
        <v>5.28</v>
      </c>
      <c r="J2143" s="19">
        <v>5.0599999999999996</v>
      </c>
      <c r="K2143" s="19" t="s">
        <v>44</v>
      </c>
      <c r="L2143" s="19" t="s">
        <v>236</v>
      </c>
      <c r="M2143" s="15" t="s">
        <v>237</v>
      </c>
      <c r="N2143" s="15" t="s">
        <v>36</v>
      </c>
      <c r="O2143" s="15" t="s">
        <v>117</v>
      </c>
      <c r="P2143" s="20" t="s">
        <v>1795</v>
      </c>
      <c r="Q2143" s="15" t="s">
        <v>83</v>
      </c>
      <c r="R2143" s="4"/>
      <c r="S2143" s="4"/>
    </row>
    <row r="2144" spans="1:19" ht="21" customHeight="1" x14ac:dyDescent="0.25">
      <c r="A2144" s="14">
        <f>DATE(2012,12,31)-840</f>
        <v>40434</v>
      </c>
      <c r="B2144" s="15" t="s">
        <v>631</v>
      </c>
      <c r="C2144" s="15" t="s">
        <v>85</v>
      </c>
      <c r="D2144" s="16">
        <v>21</v>
      </c>
      <c r="E2144" s="17">
        <v>101.13</v>
      </c>
      <c r="F2144" s="16">
        <v>0.02</v>
      </c>
      <c r="G2144" s="15" t="s">
        <v>32</v>
      </c>
      <c r="H2144" s="18">
        <v>-74.405000000000001</v>
      </c>
      <c r="I2144" s="19">
        <v>4.54</v>
      </c>
      <c r="J2144" s="19">
        <v>5.83</v>
      </c>
      <c r="K2144" s="19" t="s">
        <v>44</v>
      </c>
      <c r="L2144" s="19" t="s">
        <v>52</v>
      </c>
      <c r="M2144" s="15" t="s">
        <v>1685</v>
      </c>
      <c r="N2144" s="15" t="s">
        <v>36</v>
      </c>
      <c r="O2144" s="15" t="s">
        <v>170</v>
      </c>
      <c r="P2144" s="20" t="s">
        <v>1796</v>
      </c>
      <c r="Q2144" s="15" t="s">
        <v>83</v>
      </c>
      <c r="R2144" s="4"/>
      <c r="S2144" s="4"/>
    </row>
    <row r="2145" spans="1:19" ht="21" customHeight="1" x14ac:dyDescent="0.25">
      <c r="A2145" s="14">
        <f>DATE(2012,12,31)-840</f>
        <v>40434</v>
      </c>
      <c r="B2145" s="15" t="s">
        <v>631</v>
      </c>
      <c r="C2145" s="15" t="s">
        <v>85</v>
      </c>
      <c r="D2145" s="16">
        <v>18</v>
      </c>
      <c r="E2145" s="17">
        <v>526.45000000000005</v>
      </c>
      <c r="F2145" s="16">
        <v>0.02</v>
      </c>
      <c r="G2145" s="15" t="s">
        <v>32</v>
      </c>
      <c r="H2145" s="18">
        <v>-108.14</v>
      </c>
      <c r="I2145" s="19">
        <v>28.48</v>
      </c>
      <c r="J2145" s="19">
        <v>8.99</v>
      </c>
      <c r="K2145" s="19" t="s">
        <v>44</v>
      </c>
      <c r="L2145" s="19" t="s">
        <v>52</v>
      </c>
      <c r="M2145" s="15" t="s">
        <v>1685</v>
      </c>
      <c r="N2145" s="15" t="s">
        <v>64</v>
      </c>
      <c r="O2145" s="15" t="s">
        <v>72</v>
      </c>
      <c r="P2145" s="20" t="s">
        <v>1496</v>
      </c>
      <c r="Q2145" s="15" t="s">
        <v>49</v>
      </c>
      <c r="R2145" s="4"/>
      <c r="S2145" s="4"/>
    </row>
    <row r="2146" spans="1:19" ht="21" customHeight="1" x14ac:dyDescent="0.25">
      <c r="A2146" s="14">
        <f>DATE(2012,12,31)-248</f>
        <v>41026</v>
      </c>
      <c r="B2146" s="15" t="s">
        <v>620</v>
      </c>
      <c r="C2146" s="15" t="s">
        <v>51</v>
      </c>
      <c r="D2146" s="16">
        <v>34</v>
      </c>
      <c r="E2146" s="17">
        <v>1014.87</v>
      </c>
      <c r="F2146" s="16">
        <v>0.04</v>
      </c>
      <c r="G2146" s="15" t="s">
        <v>101</v>
      </c>
      <c r="H2146" s="18">
        <v>319.52</v>
      </c>
      <c r="I2146" s="19">
        <v>29.89</v>
      </c>
      <c r="J2146" s="19">
        <v>1.99</v>
      </c>
      <c r="K2146" s="19" t="s">
        <v>44</v>
      </c>
      <c r="L2146" s="19" t="s">
        <v>52</v>
      </c>
      <c r="M2146" s="15" t="s">
        <v>1685</v>
      </c>
      <c r="N2146" s="15" t="s">
        <v>64</v>
      </c>
      <c r="O2146" s="15" t="s">
        <v>72</v>
      </c>
      <c r="P2146" s="20" t="s">
        <v>825</v>
      </c>
      <c r="Q2146" s="15" t="s">
        <v>49</v>
      </c>
      <c r="R2146" s="4"/>
      <c r="S2146" s="4"/>
    </row>
    <row r="2147" spans="1:19" ht="21" customHeight="1" x14ac:dyDescent="0.25">
      <c r="A2147" s="14">
        <f>DATE(2012,12,31)-946</f>
        <v>40328</v>
      </c>
      <c r="B2147" s="15" t="s">
        <v>1484</v>
      </c>
      <c r="C2147" s="15" t="s">
        <v>43</v>
      </c>
      <c r="D2147" s="16">
        <v>6</v>
      </c>
      <c r="E2147" s="17">
        <v>321.70999999999998</v>
      </c>
      <c r="F2147" s="16">
        <v>0.1</v>
      </c>
      <c r="G2147" s="15" t="s">
        <v>32</v>
      </c>
      <c r="H2147" s="18">
        <v>-2.7254999999999887</v>
      </c>
      <c r="I2147" s="19">
        <v>52.4</v>
      </c>
      <c r="J2147" s="19">
        <v>16.11</v>
      </c>
      <c r="K2147" s="19" t="s">
        <v>44</v>
      </c>
      <c r="L2147" s="19" t="s">
        <v>52</v>
      </c>
      <c r="M2147" s="15" t="s">
        <v>1685</v>
      </c>
      <c r="N2147" s="15" t="s">
        <v>36</v>
      </c>
      <c r="O2147" s="15" t="s">
        <v>170</v>
      </c>
      <c r="P2147" s="20" t="s">
        <v>1797</v>
      </c>
      <c r="Q2147" s="15" t="s">
        <v>83</v>
      </c>
      <c r="R2147" s="4"/>
      <c r="S2147" s="4"/>
    </row>
    <row r="2148" spans="1:19" ht="21" customHeight="1" x14ac:dyDescent="0.25">
      <c r="A2148" s="14">
        <f>DATE(2012,12,31)-836</f>
        <v>40438</v>
      </c>
      <c r="B2148" s="15" t="s">
        <v>1798</v>
      </c>
      <c r="C2148" s="15" t="s">
        <v>85</v>
      </c>
      <c r="D2148" s="16">
        <v>26</v>
      </c>
      <c r="E2148" s="17">
        <v>765.96</v>
      </c>
      <c r="F2148" s="16">
        <v>0.1</v>
      </c>
      <c r="G2148" s="15" t="s">
        <v>32</v>
      </c>
      <c r="H2148" s="18">
        <v>240.06</v>
      </c>
      <c r="I2148" s="19">
        <v>31.78</v>
      </c>
      <c r="J2148" s="19">
        <v>1.99</v>
      </c>
      <c r="K2148" s="19" t="s">
        <v>44</v>
      </c>
      <c r="L2148" s="19" t="s">
        <v>52</v>
      </c>
      <c r="M2148" s="15" t="s">
        <v>1685</v>
      </c>
      <c r="N2148" s="15" t="s">
        <v>64</v>
      </c>
      <c r="O2148" s="15" t="s">
        <v>72</v>
      </c>
      <c r="P2148" s="20" t="s">
        <v>421</v>
      </c>
      <c r="Q2148" s="15" t="s">
        <v>49</v>
      </c>
      <c r="R2148" s="4"/>
      <c r="S2148" s="4"/>
    </row>
    <row r="2149" spans="1:19" ht="21" customHeight="1" x14ac:dyDescent="0.25">
      <c r="A2149" s="14">
        <f>DATE(2012,12,31)-1059</f>
        <v>40215</v>
      </c>
      <c r="B2149" s="15" t="s">
        <v>681</v>
      </c>
      <c r="C2149" s="15" t="s">
        <v>85</v>
      </c>
      <c r="D2149" s="16">
        <v>42</v>
      </c>
      <c r="E2149" s="17">
        <v>223.33</v>
      </c>
      <c r="F2149" s="16">
        <v>0</v>
      </c>
      <c r="G2149" s="15" t="s">
        <v>101</v>
      </c>
      <c r="H2149" s="18">
        <v>-111.89</v>
      </c>
      <c r="I2149" s="19">
        <v>4.9800000000000004</v>
      </c>
      <c r="J2149" s="19">
        <v>4.32</v>
      </c>
      <c r="K2149" s="19" t="s">
        <v>44</v>
      </c>
      <c r="L2149" s="19" t="s">
        <v>52</v>
      </c>
      <c r="M2149" s="15" t="s">
        <v>1685</v>
      </c>
      <c r="N2149" s="15" t="s">
        <v>64</v>
      </c>
      <c r="O2149" s="15" t="s">
        <v>72</v>
      </c>
      <c r="P2149" s="20" t="s">
        <v>1799</v>
      </c>
      <c r="Q2149" s="15" t="s">
        <v>49</v>
      </c>
      <c r="R2149" s="4"/>
      <c r="S2149" s="4"/>
    </row>
    <row r="2150" spans="1:19" ht="21" customHeight="1" x14ac:dyDescent="0.25">
      <c r="A2150" s="14">
        <f>DATE(2012,12,31)-1059</f>
        <v>40215</v>
      </c>
      <c r="B2150" s="15" t="s">
        <v>681</v>
      </c>
      <c r="C2150" s="15" t="s">
        <v>85</v>
      </c>
      <c r="D2150" s="16">
        <v>29</v>
      </c>
      <c r="E2150" s="17">
        <v>1178.04</v>
      </c>
      <c r="F2150" s="16">
        <v>7.0000000000000007E-2</v>
      </c>
      <c r="G2150" s="15" t="s">
        <v>32</v>
      </c>
      <c r="H2150" s="18">
        <v>-53.81</v>
      </c>
      <c r="I2150" s="19">
        <v>40.98</v>
      </c>
      <c r="J2150" s="19">
        <v>6.5</v>
      </c>
      <c r="K2150" s="19" t="s">
        <v>44</v>
      </c>
      <c r="L2150" s="19" t="s">
        <v>52</v>
      </c>
      <c r="M2150" s="15" t="s">
        <v>1685</v>
      </c>
      <c r="N2150" s="15" t="s">
        <v>64</v>
      </c>
      <c r="O2150" s="15" t="s">
        <v>72</v>
      </c>
      <c r="P2150" s="20" t="s">
        <v>1369</v>
      </c>
      <c r="Q2150" s="15" t="s">
        <v>83</v>
      </c>
      <c r="R2150" s="4"/>
      <c r="S2150" s="4"/>
    </row>
    <row r="2151" spans="1:19" ht="21" customHeight="1" x14ac:dyDescent="0.25">
      <c r="A2151" s="14">
        <f>DATE(2012,12,31)-1059</f>
        <v>40215</v>
      </c>
      <c r="B2151" s="15" t="s">
        <v>681</v>
      </c>
      <c r="C2151" s="15" t="s">
        <v>85</v>
      </c>
      <c r="D2151" s="16">
        <v>43</v>
      </c>
      <c r="E2151" s="17">
        <v>121.94</v>
      </c>
      <c r="F2151" s="16">
        <v>0.01</v>
      </c>
      <c r="G2151" s="15" t="s">
        <v>32</v>
      </c>
      <c r="H2151" s="18">
        <v>-51.3</v>
      </c>
      <c r="I2151" s="19">
        <v>2.6</v>
      </c>
      <c r="J2151" s="19">
        <v>2.4</v>
      </c>
      <c r="K2151" s="19" t="s">
        <v>44</v>
      </c>
      <c r="L2151" s="19" t="s">
        <v>52</v>
      </c>
      <c r="M2151" s="15" t="s">
        <v>1685</v>
      </c>
      <c r="N2151" s="15" t="s">
        <v>36</v>
      </c>
      <c r="O2151" s="15" t="s">
        <v>77</v>
      </c>
      <c r="P2151" s="20" t="s">
        <v>1783</v>
      </c>
      <c r="Q2151" s="15" t="s">
        <v>79</v>
      </c>
      <c r="R2151" s="4"/>
      <c r="S2151" s="4"/>
    </row>
    <row r="2152" spans="1:19" ht="21" customHeight="1" x14ac:dyDescent="0.25">
      <c r="A2152" s="14">
        <f>DATE(2012,12,31)-232</f>
        <v>41042</v>
      </c>
      <c r="B2152" s="15" t="s">
        <v>548</v>
      </c>
      <c r="C2152" s="15" t="s">
        <v>85</v>
      </c>
      <c r="D2152" s="16">
        <v>38</v>
      </c>
      <c r="E2152" s="17">
        <v>3988.0894999999996</v>
      </c>
      <c r="F2152" s="16">
        <v>0.02</v>
      </c>
      <c r="G2152" s="15" t="s">
        <v>32</v>
      </c>
      <c r="H2152" s="18">
        <v>969.85799999999995</v>
      </c>
      <c r="I2152" s="19">
        <v>125.99</v>
      </c>
      <c r="J2152" s="19">
        <v>4.2</v>
      </c>
      <c r="K2152" s="19" t="s">
        <v>44</v>
      </c>
      <c r="L2152" s="19" t="s">
        <v>52</v>
      </c>
      <c r="M2152" s="15" t="s">
        <v>1685</v>
      </c>
      <c r="N2152" s="15" t="s">
        <v>64</v>
      </c>
      <c r="O2152" s="15" t="s">
        <v>65</v>
      </c>
      <c r="P2152" s="20" t="s">
        <v>264</v>
      </c>
      <c r="Q2152" s="15" t="s">
        <v>83</v>
      </c>
      <c r="R2152" s="4"/>
      <c r="S2152" s="4"/>
    </row>
    <row r="2153" spans="1:19" ht="21" customHeight="1" x14ac:dyDescent="0.25">
      <c r="A2153" s="14">
        <f>DATE(2012,12,31)-232</f>
        <v>41042</v>
      </c>
      <c r="B2153" s="15" t="s">
        <v>548</v>
      </c>
      <c r="C2153" s="15" t="s">
        <v>85</v>
      </c>
      <c r="D2153" s="16">
        <v>7</v>
      </c>
      <c r="E2153" s="17">
        <v>2202.4499999999998</v>
      </c>
      <c r="F2153" s="16">
        <v>0.01</v>
      </c>
      <c r="G2153" s="15" t="s">
        <v>58</v>
      </c>
      <c r="H2153" s="18">
        <v>-51.280000000000086</v>
      </c>
      <c r="I2153" s="19">
        <v>284.98</v>
      </c>
      <c r="J2153" s="19">
        <v>69.55</v>
      </c>
      <c r="K2153" s="19" t="s">
        <v>44</v>
      </c>
      <c r="L2153" s="19" t="s">
        <v>80</v>
      </c>
      <c r="M2153" s="15" t="s">
        <v>1200</v>
      </c>
      <c r="N2153" s="15" t="s">
        <v>54</v>
      </c>
      <c r="O2153" s="15" t="s">
        <v>252</v>
      </c>
      <c r="P2153" s="20" t="s">
        <v>1647</v>
      </c>
      <c r="Q2153" s="15" t="s">
        <v>181</v>
      </c>
      <c r="R2153" s="4"/>
      <c r="S2153" s="4"/>
    </row>
    <row r="2154" spans="1:19" ht="21" customHeight="1" x14ac:dyDescent="0.25">
      <c r="A2154" s="14">
        <f>DATE(2012,12,31)-232</f>
        <v>41042</v>
      </c>
      <c r="B2154" s="15" t="s">
        <v>548</v>
      </c>
      <c r="C2154" s="15" t="s">
        <v>85</v>
      </c>
      <c r="D2154" s="16">
        <v>46</v>
      </c>
      <c r="E2154" s="17">
        <v>2514.5124999999998</v>
      </c>
      <c r="F2154" s="16">
        <v>0.04</v>
      </c>
      <c r="G2154" s="15" t="s">
        <v>101</v>
      </c>
      <c r="H2154" s="18">
        <v>601.65</v>
      </c>
      <c r="I2154" s="19">
        <v>65.989999999999995</v>
      </c>
      <c r="J2154" s="19">
        <v>4.99</v>
      </c>
      <c r="K2154" s="19" t="s">
        <v>44</v>
      </c>
      <c r="L2154" s="19" t="s">
        <v>52</v>
      </c>
      <c r="M2154" s="15" t="s">
        <v>1685</v>
      </c>
      <c r="N2154" s="15" t="s">
        <v>64</v>
      </c>
      <c r="O2154" s="15" t="s">
        <v>65</v>
      </c>
      <c r="P2154" s="20" t="s">
        <v>1705</v>
      </c>
      <c r="Q2154" s="15" t="s">
        <v>83</v>
      </c>
      <c r="R2154" s="4"/>
      <c r="S2154" s="4"/>
    </row>
    <row r="2155" spans="1:19" ht="21" customHeight="1" x14ac:dyDescent="0.25">
      <c r="A2155" s="14">
        <f>DATE(2012,12,31)-525</f>
        <v>40749</v>
      </c>
      <c r="B2155" s="15" t="s">
        <v>1456</v>
      </c>
      <c r="C2155" s="15" t="s">
        <v>31</v>
      </c>
      <c r="D2155" s="16">
        <v>29</v>
      </c>
      <c r="E2155" s="17">
        <v>2896.14</v>
      </c>
      <c r="F2155" s="16">
        <v>0.08</v>
      </c>
      <c r="G2155" s="15" t="s">
        <v>101</v>
      </c>
      <c r="H2155" s="18">
        <v>366.63</v>
      </c>
      <c r="I2155" s="19">
        <v>99.99</v>
      </c>
      <c r="J2155" s="19">
        <v>19.989999999999998</v>
      </c>
      <c r="K2155" s="19" t="s">
        <v>44</v>
      </c>
      <c r="L2155" s="19" t="s">
        <v>52</v>
      </c>
      <c r="M2155" s="15" t="s">
        <v>1685</v>
      </c>
      <c r="N2155" s="15" t="s">
        <v>64</v>
      </c>
      <c r="O2155" s="15" t="s">
        <v>72</v>
      </c>
      <c r="P2155" s="20" t="s">
        <v>1800</v>
      </c>
      <c r="Q2155" s="15" t="s">
        <v>83</v>
      </c>
      <c r="R2155" s="4"/>
      <c r="S2155" s="4"/>
    </row>
    <row r="2156" spans="1:19" ht="21" customHeight="1" x14ac:dyDescent="0.25">
      <c r="A2156" s="14">
        <f>DATE(2012,12,31)-691</f>
        <v>40583</v>
      </c>
      <c r="B2156" s="15" t="s">
        <v>313</v>
      </c>
      <c r="C2156" s="15" t="s">
        <v>85</v>
      </c>
      <c r="D2156" s="16">
        <v>50</v>
      </c>
      <c r="E2156" s="17">
        <v>1444.96</v>
      </c>
      <c r="F2156" s="16">
        <v>0.09</v>
      </c>
      <c r="G2156" s="15" t="s">
        <v>101</v>
      </c>
      <c r="H2156" s="18">
        <v>-6.34</v>
      </c>
      <c r="I2156" s="19">
        <v>29.1</v>
      </c>
      <c r="J2156" s="19">
        <v>4</v>
      </c>
      <c r="K2156" s="19" t="s">
        <v>44</v>
      </c>
      <c r="L2156" s="19" t="s">
        <v>52</v>
      </c>
      <c r="M2156" s="15" t="s">
        <v>1685</v>
      </c>
      <c r="N2156" s="15" t="s">
        <v>64</v>
      </c>
      <c r="O2156" s="15" t="s">
        <v>72</v>
      </c>
      <c r="P2156" s="20" t="s">
        <v>1350</v>
      </c>
      <c r="Q2156" s="15" t="s">
        <v>83</v>
      </c>
      <c r="R2156" s="4"/>
      <c r="S2156" s="4"/>
    </row>
    <row r="2157" spans="1:19" ht="21" customHeight="1" x14ac:dyDescent="0.25">
      <c r="A2157" s="14">
        <f>DATE(2012,12,31)-691</f>
        <v>40583</v>
      </c>
      <c r="B2157" s="15" t="s">
        <v>313</v>
      </c>
      <c r="C2157" s="15" t="s">
        <v>85</v>
      </c>
      <c r="D2157" s="16">
        <v>10</v>
      </c>
      <c r="E2157" s="17">
        <v>941.62149999999997</v>
      </c>
      <c r="F2157" s="16">
        <v>0.01</v>
      </c>
      <c r="G2157" s="15" t="s">
        <v>32</v>
      </c>
      <c r="H2157" s="18">
        <v>-186.67</v>
      </c>
      <c r="I2157" s="19">
        <v>110.99</v>
      </c>
      <c r="J2157" s="19">
        <v>8.99</v>
      </c>
      <c r="K2157" s="19" t="s">
        <v>111</v>
      </c>
      <c r="L2157" s="19" t="s">
        <v>407</v>
      </c>
      <c r="M2157" s="15" t="s">
        <v>407</v>
      </c>
      <c r="N2157" s="15" t="s">
        <v>64</v>
      </c>
      <c r="O2157" s="15" t="s">
        <v>65</v>
      </c>
      <c r="P2157" s="20" t="s">
        <v>811</v>
      </c>
      <c r="Q2157" s="15" t="s">
        <v>83</v>
      </c>
      <c r="R2157" s="4"/>
      <c r="S2157" s="4"/>
    </row>
    <row r="2158" spans="1:19" ht="21" customHeight="1" x14ac:dyDescent="0.25">
      <c r="A2158" s="14">
        <f>DATE(2012,12,31)-674</f>
        <v>40600</v>
      </c>
      <c r="B2158" s="15" t="s">
        <v>716</v>
      </c>
      <c r="C2158" s="15" t="s">
        <v>85</v>
      </c>
      <c r="D2158" s="16">
        <v>20</v>
      </c>
      <c r="E2158" s="17">
        <v>862.64</v>
      </c>
      <c r="F2158" s="16">
        <v>0.08</v>
      </c>
      <c r="G2158" s="15" t="s">
        <v>32</v>
      </c>
      <c r="H2158" s="18">
        <v>320.80700000000002</v>
      </c>
      <c r="I2158" s="19">
        <v>43.41</v>
      </c>
      <c r="J2158" s="19">
        <v>2.99</v>
      </c>
      <c r="K2158" s="19" t="s">
        <v>33</v>
      </c>
      <c r="L2158" s="19" t="s">
        <v>145</v>
      </c>
      <c r="M2158" s="15" t="s">
        <v>1761</v>
      </c>
      <c r="N2158" s="15" t="s">
        <v>36</v>
      </c>
      <c r="O2158" s="15" t="s">
        <v>170</v>
      </c>
      <c r="P2158" s="20" t="s">
        <v>962</v>
      </c>
      <c r="Q2158" s="15" t="s">
        <v>83</v>
      </c>
      <c r="R2158" s="4"/>
      <c r="S2158" s="4"/>
    </row>
    <row r="2159" spans="1:19" ht="21" customHeight="1" x14ac:dyDescent="0.25">
      <c r="A2159" s="14">
        <f>DATE(2012,12,31)-891</f>
        <v>40383</v>
      </c>
      <c r="B2159" s="15" t="s">
        <v>1500</v>
      </c>
      <c r="C2159" s="15" t="s">
        <v>31</v>
      </c>
      <c r="D2159" s="16">
        <v>48</v>
      </c>
      <c r="E2159" s="17">
        <v>293.3</v>
      </c>
      <c r="F2159" s="16">
        <v>0.04</v>
      </c>
      <c r="G2159" s="15" t="s">
        <v>101</v>
      </c>
      <c r="H2159" s="18">
        <v>-193.48</v>
      </c>
      <c r="I2159" s="19">
        <v>5.98</v>
      </c>
      <c r="J2159" s="19">
        <v>7.5</v>
      </c>
      <c r="K2159" s="19" t="s">
        <v>69</v>
      </c>
      <c r="L2159" s="19" t="s">
        <v>70</v>
      </c>
      <c r="M2159" s="15" t="s">
        <v>1756</v>
      </c>
      <c r="N2159" s="15" t="s">
        <v>36</v>
      </c>
      <c r="O2159" s="15" t="s">
        <v>117</v>
      </c>
      <c r="P2159" s="20" t="s">
        <v>1801</v>
      </c>
      <c r="Q2159" s="15" t="s">
        <v>83</v>
      </c>
      <c r="R2159" s="4"/>
      <c r="S2159" s="4"/>
    </row>
    <row r="2160" spans="1:19" ht="21" customHeight="1" x14ac:dyDescent="0.25">
      <c r="A2160" s="14">
        <f>DATE(2012,12,31)-348</f>
        <v>40926</v>
      </c>
      <c r="B2160" s="15" t="s">
        <v>1680</v>
      </c>
      <c r="C2160" s="15" t="s">
        <v>85</v>
      </c>
      <c r="D2160" s="16">
        <v>5</v>
      </c>
      <c r="E2160" s="17">
        <v>901.37400000000002</v>
      </c>
      <c r="F2160" s="16">
        <v>0.01</v>
      </c>
      <c r="G2160" s="15" t="s">
        <v>32</v>
      </c>
      <c r="H2160" s="18">
        <v>-648.64799999999991</v>
      </c>
      <c r="I2160" s="19">
        <v>205.99</v>
      </c>
      <c r="J2160" s="19">
        <v>2.5</v>
      </c>
      <c r="K2160" s="19" t="s">
        <v>69</v>
      </c>
      <c r="L2160" s="19" t="s">
        <v>75</v>
      </c>
      <c r="M2160" s="15" t="s">
        <v>1786</v>
      </c>
      <c r="N2160" s="15" t="s">
        <v>64</v>
      </c>
      <c r="O2160" s="15" t="s">
        <v>65</v>
      </c>
      <c r="P2160" s="20" t="s">
        <v>1529</v>
      </c>
      <c r="Q2160" s="15" t="s">
        <v>83</v>
      </c>
      <c r="R2160" s="4"/>
      <c r="S2160" s="4"/>
    </row>
    <row r="2161" spans="1:19" ht="21" customHeight="1" x14ac:dyDescent="0.25">
      <c r="A2161" s="14">
        <f>DATE(2012,12,31)-234</f>
        <v>41040</v>
      </c>
      <c r="B2161" s="15" t="s">
        <v>1708</v>
      </c>
      <c r="C2161" s="15" t="s">
        <v>85</v>
      </c>
      <c r="D2161" s="16">
        <v>27</v>
      </c>
      <c r="E2161" s="17">
        <v>156.82</v>
      </c>
      <c r="F2161" s="16">
        <v>0.03</v>
      </c>
      <c r="G2161" s="15" t="s">
        <v>32</v>
      </c>
      <c r="H2161" s="18">
        <v>-37.619999999999997</v>
      </c>
      <c r="I2161" s="19">
        <v>5.68</v>
      </c>
      <c r="J2161" s="19">
        <v>3.6</v>
      </c>
      <c r="K2161" s="19" t="s">
        <v>69</v>
      </c>
      <c r="L2161" s="19" t="s">
        <v>215</v>
      </c>
      <c r="M2161" s="15" t="s">
        <v>1704</v>
      </c>
      <c r="N2161" s="15" t="s">
        <v>36</v>
      </c>
      <c r="O2161" s="15" t="s">
        <v>47</v>
      </c>
      <c r="P2161" s="20" t="s">
        <v>1459</v>
      </c>
      <c r="Q2161" s="15" t="s">
        <v>49</v>
      </c>
      <c r="R2161" s="4"/>
      <c r="S2161" s="4"/>
    </row>
    <row r="2162" spans="1:19" ht="21" customHeight="1" x14ac:dyDescent="0.25">
      <c r="A2162" s="14">
        <f>DATE(2012,12,31)-208</f>
        <v>41066</v>
      </c>
      <c r="B2162" s="15" t="s">
        <v>775</v>
      </c>
      <c r="C2162" s="15" t="s">
        <v>85</v>
      </c>
      <c r="D2162" s="16">
        <v>31</v>
      </c>
      <c r="E2162" s="17">
        <v>426.34</v>
      </c>
      <c r="F2162" s="16">
        <v>0</v>
      </c>
      <c r="G2162" s="15" t="s">
        <v>32</v>
      </c>
      <c r="H2162" s="18">
        <v>73.53</v>
      </c>
      <c r="I2162" s="19">
        <v>12.58</v>
      </c>
      <c r="J2162" s="19">
        <v>5.16</v>
      </c>
      <c r="K2162" s="19" t="s">
        <v>111</v>
      </c>
      <c r="L2162" s="19" t="s">
        <v>112</v>
      </c>
      <c r="M2162" s="15" t="s">
        <v>1732</v>
      </c>
      <c r="N2162" s="15" t="s">
        <v>54</v>
      </c>
      <c r="O2162" s="15" t="s">
        <v>55</v>
      </c>
      <c r="P2162" s="20" t="s">
        <v>840</v>
      </c>
      <c r="Q2162" s="15" t="s">
        <v>83</v>
      </c>
      <c r="R2162" s="4"/>
      <c r="S2162" s="4"/>
    </row>
    <row r="2163" spans="1:19" ht="21" customHeight="1" x14ac:dyDescent="0.25">
      <c r="A2163" s="14">
        <f>DATE(2012,12,31)-283</f>
        <v>40991</v>
      </c>
      <c r="B2163" s="15" t="s">
        <v>974</v>
      </c>
      <c r="C2163" s="15" t="s">
        <v>85</v>
      </c>
      <c r="D2163" s="16">
        <v>12</v>
      </c>
      <c r="E2163" s="17">
        <v>386.71</v>
      </c>
      <c r="F2163" s="16">
        <v>0.01</v>
      </c>
      <c r="G2163" s="15" t="s">
        <v>101</v>
      </c>
      <c r="H2163" s="18">
        <v>-84.12</v>
      </c>
      <c r="I2163" s="19">
        <v>30.98</v>
      </c>
      <c r="J2163" s="19">
        <v>6.5</v>
      </c>
      <c r="K2163" s="19" t="s">
        <v>44</v>
      </c>
      <c r="L2163" s="19" t="s">
        <v>120</v>
      </c>
      <c r="M2163" s="15" t="s">
        <v>121</v>
      </c>
      <c r="N2163" s="15" t="s">
        <v>64</v>
      </c>
      <c r="O2163" s="15" t="s">
        <v>72</v>
      </c>
      <c r="P2163" s="20" t="s">
        <v>706</v>
      </c>
      <c r="Q2163" s="15" t="s">
        <v>83</v>
      </c>
      <c r="R2163" s="4"/>
      <c r="S2163" s="4"/>
    </row>
    <row r="2164" spans="1:19" ht="21" customHeight="1" x14ac:dyDescent="0.25">
      <c r="A2164" s="14">
        <f>DATE(2012,12,31)-283</f>
        <v>40991</v>
      </c>
      <c r="B2164" s="15" t="s">
        <v>974</v>
      </c>
      <c r="C2164" s="15" t="s">
        <v>85</v>
      </c>
      <c r="D2164" s="16">
        <v>34</v>
      </c>
      <c r="E2164" s="17">
        <v>134.06</v>
      </c>
      <c r="F2164" s="16">
        <v>0.09</v>
      </c>
      <c r="G2164" s="15" t="s">
        <v>32</v>
      </c>
      <c r="H2164" s="18">
        <v>5.98</v>
      </c>
      <c r="I2164" s="19">
        <v>4.13</v>
      </c>
      <c r="J2164" s="19">
        <v>1.17</v>
      </c>
      <c r="K2164" s="19" t="s">
        <v>33</v>
      </c>
      <c r="L2164" s="19" t="s">
        <v>128</v>
      </c>
      <c r="M2164" s="15" t="s">
        <v>129</v>
      </c>
      <c r="N2164" s="15" t="s">
        <v>36</v>
      </c>
      <c r="O2164" s="15" t="s">
        <v>77</v>
      </c>
      <c r="P2164" s="20" t="s">
        <v>1802</v>
      </c>
      <c r="Q2164" s="15" t="s">
        <v>79</v>
      </c>
      <c r="R2164" s="4"/>
      <c r="S2164" s="4"/>
    </row>
    <row r="2165" spans="1:19" ht="21" customHeight="1" x14ac:dyDescent="0.25">
      <c r="A2165" s="14">
        <f>DATE(2012,12,31)-880</f>
        <v>40394</v>
      </c>
      <c r="B2165" s="15" t="s">
        <v>1438</v>
      </c>
      <c r="C2165" s="15" t="s">
        <v>85</v>
      </c>
      <c r="D2165" s="16">
        <v>9</v>
      </c>
      <c r="E2165" s="17">
        <v>50.93</v>
      </c>
      <c r="F2165" s="16">
        <v>0.06</v>
      </c>
      <c r="G2165" s="15" t="s">
        <v>32</v>
      </c>
      <c r="H2165" s="18">
        <v>-34.979999999999997</v>
      </c>
      <c r="I2165" s="19">
        <v>5.28</v>
      </c>
      <c r="J2165" s="19">
        <v>6.26</v>
      </c>
      <c r="K2165" s="19" t="s">
        <v>33</v>
      </c>
      <c r="L2165" s="19" t="s">
        <v>128</v>
      </c>
      <c r="M2165" s="15" t="s">
        <v>129</v>
      </c>
      <c r="N2165" s="15" t="s">
        <v>36</v>
      </c>
      <c r="O2165" s="15" t="s">
        <v>117</v>
      </c>
      <c r="P2165" s="20" t="s">
        <v>271</v>
      </c>
      <c r="Q2165" s="15" t="s">
        <v>83</v>
      </c>
      <c r="R2165" s="4"/>
      <c r="S2165" s="4"/>
    </row>
    <row r="2166" spans="1:19" ht="21" customHeight="1" x14ac:dyDescent="0.25">
      <c r="A2166" s="14">
        <f>DATE(2012,12,31)-880</f>
        <v>40394</v>
      </c>
      <c r="B2166" s="15" t="s">
        <v>1438</v>
      </c>
      <c r="C2166" s="15" t="s">
        <v>85</v>
      </c>
      <c r="D2166" s="16">
        <v>44</v>
      </c>
      <c r="E2166" s="17">
        <v>792.8</v>
      </c>
      <c r="F2166" s="16">
        <v>0.08</v>
      </c>
      <c r="G2166" s="15" t="s">
        <v>32</v>
      </c>
      <c r="H2166" s="18">
        <v>26.27</v>
      </c>
      <c r="I2166" s="19">
        <v>18.97</v>
      </c>
      <c r="J2166" s="19">
        <v>9.5399999999999991</v>
      </c>
      <c r="K2166" s="19" t="s">
        <v>124</v>
      </c>
      <c r="L2166" s="19" t="s">
        <v>160</v>
      </c>
      <c r="M2166" s="15" t="s">
        <v>1621</v>
      </c>
      <c r="N2166" s="15" t="s">
        <v>36</v>
      </c>
      <c r="O2166" s="15" t="s">
        <v>117</v>
      </c>
      <c r="P2166" s="20" t="s">
        <v>281</v>
      </c>
      <c r="Q2166" s="15" t="s">
        <v>83</v>
      </c>
      <c r="R2166" s="4"/>
      <c r="S2166" s="4"/>
    </row>
    <row r="2167" spans="1:19" ht="21" customHeight="1" x14ac:dyDescent="0.25">
      <c r="A2167" s="14">
        <f>DATE(2012,12,31)-880</f>
        <v>40394</v>
      </c>
      <c r="B2167" s="15" t="s">
        <v>1438</v>
      </c>
      <c r="C2167" s="15" t="s">
        <v>85</v>
      </c>
      <c r="D2167" s="16">
        <v>14</v>
      </c>
      <c r="E2167" s="17">
        <v>782.45049999999992</v>
      </c>
      <c r="F2167" s="16">
        <v>0.06</v>
      </c>
      <c r="G2167" s="15" t="s">
        <v>32</v>
      </c>
      <c r="H2167" s="18">
        <v>-11.395999999999999</v>
      </c>
      <c r="I2167" s="19">
        <v>65.989999999999995</v>
      </c>
      <c r="J2167" s="19">
        <v>3.99</v>
      </c>
      <c r="K2167" s="19" t="s">
        <v>124</v>
      </c>
      <c r="L2167" s="19" t="s">
        <v>125</v>
      </c>
      <c r="M2167" s="15" t="s">
        <v>1297</v>
      </c>
      <c r="N2167" s="15" t="s">
        <v>64</v>
      </c>
      <c r="O2167" s="15" t="s">
        <v>65</v>
      </c>
      <c r="P2167" s="20" t="s">
        <v>689</v>
      </c>
      <c r="Q2167" s="15" t="s">
        <v>83</v>
      </c>
      <c r="R2167" s="4"/>
      <c r="S2167" s="4"/>
    </row>
    <row r="2168" spans="1:19" ht="21" customHeight="1" x14ac:dyDescent="0.25">
      <c r="A2168" s="14">
        <f>DATE(2012,12,31)-552</f>
        <v>40722</v>
      </c>
      <c r="B2168" s="15" t="s">
        <v>1389</v>
      </c>
      <c r="C2168" s="15" t="s">
        <v>31</v>
      </c>
      <c r="D2168" s="16">
        <v>36</v>
      </c>
      <c r="E2168" s="17">
        <v>123.13</v>
      </c>
      <c r="F2168" s="16">
        <v>0.05</v>
      </c>
      <c r="G2168" s="15" t="s">
        <v>101</v>
      </c>
      <c r="H2168" s="18">
        <v>20.57</v>
      </c>
      <c r="I2168" s="19">
        <v>3.29</v>
      </c>
      <c r="J2168" s="19">
        <v>1.35</v>
      </c>
      <c r="K2168" s="19" t="s">
        <v>97</v>
      </c>
      <c r="L2168" s="19" t="s">
        <v>98</v>
      </c>
      <c r="M2168" s="15" t="s">
        <v>1162</v>
      </c>
      <c r="N2168" s="15" t="s">
        <v>36</v>
      </c>
      <c r="O2168" s="15" t="s">
        <v>105</v>
      </c>
      <c r="P2168" s="20" t="s">
        <v>866</v>
      </c>
      <c r="Q2168" s="15" t="s">
        <v>79</v>
      </c>
      <c r="R2168" s="4"/>
      <c r="S2168" s="4"/>
    </row>
    <row r="2169" spans="1:19" ht="21" customHeight="1" x14ac:dyDescent="0.25">
      <c r="A2169" s="14">
        <f>DATE(2012,12,31)-552</f>
        <v>40722</v>
      </c>
      <c r="B2169" s="15" t="s">
        <v>1389</v>
      </c>
      <c r="C2169" s="15" t="s">
        <v>31</v>
      </c>
      <c r="D2169" s="16">
        <v>9</v>
      </c>
      <c r="E2169" s="17">
        <v>1425.21</v>
      </c>
      <c r="F2169" s="16">
        <v>0.1</v>
      </c>
      <c r="G2169" s="15" t="s">
        <v>58</v>
      </c>
      <c r="H2169" s="18">
        <v>-65.02</v>
      </c>
      <c r="I2169" s="19">
        <v>160.97999999999999</v>
      </c>
      <c r="J2169" s="19">
        <v>30</v>
      </c>
      <c r="K2169" s="19" t="s">
        <v>33</v>
      </c>
      <c r="L2169" s="19" t="s">
        <v>34</v>
      </c>
      <c r="M2169" s="15" t="s">
        <v>1716</v>
      </c>
      <c r="N2169" s="15" t="s">
        <v>54</v>
      </c>
      <c r="O2169" s="15" t="s">
        <v>252</v>
      </c>
      <c r="P2169" s="20" t="s">
        <v>726</v>
      </c>
      <c r="Q2169" s="15" t="s">
        <v>181</v>
      </c>
      <c r="R2169" s="4"/>
      <c r="S2169" s="4"/>
    </row>
    <row r="2170" spans="1:19" ht="21" customHeight="1" x14ac:dyDescent="0.25">
      <c r="A2170" s="14">
        <f>DATE(2012,12,31)-464</f>
        <v>40810</v>
      </c>
      <c r="B2170" s="15" t="s">
        <v>1302</v>
      </c>
      <c r="C2170" s="15" t="s">
        <v>85</v>
      </c>
      <c r="D2170" s="16">
        <v>18</v>
      </c>
      <c r="E2170" s="17">
        <v>35.51</v>
      </c>
      <c r="F2170" s="16">
        <v>0.02</v>
      </c>
      <c r="G2170" s="15" t="s">
        <v>101</v>
      </c>
      <c r="H2170" s="18">
        <v>-13.95</v>
      </c>
      <c r="I2170" s="19">
        <v>1.68</v>
      </c>
      <c r="J2170" s="19">
        <v>1.57</v>
      </c>
      <c r="K2170" s="19" t="s">
        <v>44</v>
      </c>
      <c r="L2170" s="19" t="s">
        <v>89</v>
      </c>
      <c r="M2170" s="15" t="s">
        <v>1341</v>
      </c>
      <c r="N2170" s="15" t="s">
        <v>36</v>
      </c>
      <c r="O2170" s="15" t="s">
        <v>77</v>
      </c>
      <c r="P2170" s="20" t="s">
        <v>838</v>
      </c>
      <c r="Q2170" s="15" t="s">
        <v>79</v>
      </c>
      <c r="R2170" s="4"/>
      <c r="S2170" s="4"/>
    </row>
    <row r="2171" spans="1:19" ht="21" customHeight="1" x14ac:dyDescent="0.25">
      <c r="A2171" s="14">
        <f>DATE(2012,12,31)-464</f>
        <v>40810</v>
      </c>
      <c r="B2171" s="15" t="s">
        <v>1302</v>
      </c>
      <c r="C2171" s="15" t="s">
        <v>85</v>
      </c>
      <c r="D2171" s="16">
        <v>39</v>
      </c>
      <c r="E2171" s="17">
        <v>1105.6600000000001</v>
      </c>
      <c r="F2171" s="16">
        <v>0.02</v>
      </c>
      <c r="G2171" s="15" t="s">
        <v>32</v>
      </c>
      <c r="H2171" s="18">
        <v>-136.19999999999999</v>
      </c>
      <c r="I2171" s="19">
        <v>28.28</v>
      </c>
      <c r="J2171" s="19">
        <v>13.99</v>
      </c>
      <c r="K2171" s="19" t="s">
        <v>97</v>
      </c>
      <c r="L2171" s="19" t="s">
        <v>195</v>
      </c>
      <c r="M2171" s="15" t="s">
        <v>1413</v>
      </c>
      <c r="N2171" s="15" t="s">
        <v>36</v>
      </c>
      <c r="O2171" s="15" t="s">
        <v>37</v>
      </c>
      <c r="P2171" s="20" t="s">
        <v>883</v>
      </c>
      <c r="Q2171" s="15" t="s">
        <v>57</v>
      </c>
      <c r="R2171" s="4"/>
      <c r="S2171" s="4"/>
    </row>
    <row r="2172" spans="1:19" ht="21" customHeight="1" x14ac:dyDescent="0.25">
      <c r="A2172" s="14">
        <f>DATE(2012,12,31)-494</f>
        <v>40780</v>
      </c>
      <c r="B2172" s="15" t="s">
        <v>799</v>
      </c>
      <c r="C2172" s="15" t="s">
        <v>51</v>
      </c>
      <c r="D2172" s="16">
        <v>34</v>
      </c>
      <c r="E2172" s="17">
        <v>8581.25</v>
      </c>
      <c r="F2172" s="16">
        <v>0</v>
      </c>
      <c r="G2172" s="15" t="s">
        <v>58</v>
      </c>
      <c r="H2172" s="18">
        <v>1464.23</v>
      </c>
      <c r="I2172" s="19">
        <v>240.98</v>
      </c>
      <c r="J2172" s="19">
        <v>60.2</v>
      </c>
      <c r="K2172" s="19" t="s">
        <v>44</v>
      </c>
      <c r="L2172" s="19" t="s">
        <v>80</v>
      </c>
      <c r="M2172" s="15" t="s">
        <v>1200</v>
      </c>
      <c r="N2172" s="15" t="s">
        <v>54</v>
      </c>
      <c r="O2172" s="15" t="s">
        <v>134</v>
      </c>
      <c r="P2172" s="20" t="s">
        <v>1552</v>
      </c>
      <c r="Q2172" s="15" t="s">
        <v>63</v>
      </c>
      <c r="R2172" s="4"/>
      <c r="S2172" s="4"/>
    </row>
    <row r="2173" spans="1:19" ht="21" customHeight="1" x14ac:dyDescent="0.25">
      <c r="A2173" s="14">
        <f>DATE(2012,12,31)-494</f>
        <v>40780</v>
      </c>
      <c r="B2173" s="15" t="s">
        <v>799</v>
      </c>
      <c r="C2173" s="15" t="s">
        <v>51</v>
      </c>
      <c r="D2173" s="16">
        <v>21</v>
      </c>
      <c r="E2173" s="17">
        <v>135.99</v>
      </c>
      <c r="F2173" s="16">
        <v>0.09</v>
      </c>
      <c r="G2173" s="15" t="s">
        <v>32</v>
      </c>
      <c r="H2173" s="18">
        <v>-129.24</v>
      </c>
      <c r="I2173" s="19">
        <v>6.48</v>
      </c>
      <c r="J2173" s="19">
        <v>9.68</v>
      </c>
      <c r="K2173" s="19" t="s">
        <v>44</v>
      </c>
      <c r="L2173" s="19" t="s">
        <v>89</v>
      </c>
      <c r="M2173" s="15" t="s">
        <v>1341</v>
      </c>
      <c r="N2173" s="15" t="s">
        <v>36</v>
      </c>
      <c r="O2173" s="15" t="s">
        <v>117</v>
      </c>
      <c r="P2173" s="20" t="s">
        <v>1803</v>
      </c>
      <c r="Q2173" s="15" t="s">
        <v>83</v>
      </c>
      <c r="R2173" s="4"/>
      <c r="S2173" s="4"/>
    </row>
    <row r="2174" spans="1:19" ht="21" customHeight="1" x14ac:dyDescent="0.25">
      <c r="A2174" s="14">
        <f>DATE(2012,12,31)-88</f>
        <v>41186</v>
      </c>
      <c r="B2174" s="15" t="s">
        <v>1804</v>
      </c>
      <c r="C2174" s="15" t="s">
        <v>85</v>
      </c>
      <c r="D2174" s="16">
        <v>40</v>
      </c>
      <c r="E2174" s="17">
        <v>2182.91</v>
      </c>
      <c r="F2174" s="16">
        <v>0.1</v>
      </c>
      <c r="G2174" s="15" t="s">
        <v>101</v>
      </c>
      <c r="H2174" s="18">
        <v>549.45000000000005</v>
      </c>
      <c r="I2174" s="19">
        <v>60.22</v>
      </c>
      <c r="J2174" s="19">
        <v>3.5</v>
      </c>
      <c r="K2174" s="19" t="s">
        <v>33</v>
      </c>
      <c r="L2174" s="19" t="s">
        <v>145</v>
      </c>
      <c r="M2174" s="15" t="s">
        <v>1761</v>
      </c>
      <c r="N2174" s="15" t="s">
        <v>36</v>
      </c>
      <c r="O2174" s="15" t="s">
        <v>176</v>
      </c>
      <c r="P2174" s="20" t="s">
        <v>1805</v>
      </c>
      <c r="Q2174" s="15" t="s">
        <v>83</v>
      </c>
      <c r="R2174" s="4"/>
      <c r="S2174" s="4"/>
    </row>
    <row r="2175" spans="1:19" ht="21" customHeight="1" x14ac:dyDescent="0.25">
      <c r="A2175" s="14">
        <f>DATE(2012,12,31)-88</f>
        <v>41186</v>
      </c>
      <c r="B2175" s="15" t="s">
        <v>1804</v>
      </c>
      <c r="C2175" s="15" t="s">
        <v>85</v>
      </c>
      <c r="D2175" s="16">
        <v>14</v>
      </c>
      <c r="E2175" s="17">
        <v>1144.3499999999999</v>
      </c>
      <c r="F2175" s="16">
        <v>0.05</v>
      </c>
      <c r="G2175" s="15" t="s">
        <v>32</v>
      </c>
      <c r="H2175" s="18">
        <v>-448.6</v>
      </c>
      <c r="I2175" s="19">
        <v>80.98</v>
      </c>
      <c r="J2175" s="19">
        <v>35</v>
      </c>
      <c r="K2175" s="19" t="s">
        <v>69</v>
      </c>
      <c r="L2175" s="19" t="s">
        <v>75</v>
      </c>
      <c r="M2175" s="15" t="s">
        <v>1786</v>
      </c>
      <c r="N2175" s="15" t="s">
        <v>36</v>
      </c>
      <c r="O2175" s="15" t="s">
        <v>37</v>
      </c>
      <c r="P2175" s="20" t="s">
        <v>1806</v>
      </c>
      <c r="Q2175" s="15" t="s">
        <v>39</v>
      </c>
      <c r="R2175" s="4"/>
      <c r="S2175" s="4"/>
    </row>
    <row r="2176" spans="1:19" ht="21" customHeight="1" x14ac:dyDescent="0.25">
      <c r="A2176" s="14">
        <f>DATE(2012,12,31)-88</f>
        <v>41186</v>
      </c>
      <c r="B2176" s="15" t="s">
        <v>1804</v>
      </c>
      <c r="C2176" s="15" t="s">
        <v>85</v>
      </c>
      <c r="D2176" s="16">
        <v>8</v>
      </c>
      <c r="E2176" s="17">
        <v>1496.83</v>
      </c>
      <c r="F2176" s="16">
        <v>7.0000000000000007E-2</v>
      </c>
      <c r="G2176" s="15" t="s">
        <v>58</v>
      </c>
      <c r="H2176" s="18">
        <v>-329.72</v>
      </c>
      <c r="I2176" s="19">
        <v>179.29</v>
      </c>
      <c r="J2176" s="19">
        <v>56.2</v>
      </c>
      <c r="K2176" s="19" t="s">
        <v>44</v>
      </c>
      <c r="L2176" s="19" t="s">
        <v>80</v>
      </c>
      <c r="M2176" s="15" t="s">
        <v>1200</v>
      </c>
      <c r="N2176" s="15" t="s">
        <v>54</v>
      </c>
      <c r="O2176" s="15" t="s">
        <v>61</v>
      </c>
      <c r="P2176" s="20" t="s">
        <v>1807</v>
      </c>
      <c r="Q2176" s="15" t="s">
        <v>63</v>
      </c>
      <c r="R2176" s="4"/>
      <c r="S2176" s="4"/>
    </row>
    <row r="2177" spans="1:19" ht="21" customHeight="1" x14ac:dyDescent="0.25">
      <c r="A2177" s="14">
        <f>DATE(2012,12,31)-1186</f>
        <v>40088</v>
      </c>
      <c r="B2177" s="15" t="s">
        <v>1808</v>
      </c>
      <c r="C2177" s="15" t="s">
        <v>43</v>
      </c>
      <c r="D2177" s="16">
        <v>27</v>
      </c>
      <c r="E2177" s="17">
        <v>7937.59</v>
      </c>
      <c r="F2177" s="16">
        <v>0.03</v>
      </c>
      <c r="G2177" s="15" t="s">
        <v>58</v>
      </c>
      <c r="H2177" s="18">
        <v>1383.24</v>
      </c>
      <c r="I2177" s="19">
        <v>300.98</v>
      </c>
      <c r="J2177" s="19">
        <v>54.92</v>
      </c>
      <c r="K2177" s="19" t="s">
        <v>33</v>
      </c>
      <c r="L2177" s="19" t="s">
        <v>145</v>
      </c>
      <c r="M2177" s="15" t="s">
        <v>1761</v>
      </c>
      <c r="N2177" s="15" t="s">
        <v>54</v>
      </c>
      <c r="O2177" s="15" t="s">
        <v>134</v>
      </c>
      <c r="P2177" s="20" t="s">
        <v>1541</v>
      </c>
      <c r="Q2177" s="15" t="s">
        <v>63</v>
      </c>
      <c r="R2177" s="4"/>
      <c r="S2177" s="4"/>
    </row>
    <row r="2178" spans="1:19" ht="21" customHeight="1" x14ac:dyDescent="0.25">
      <c r="A2178" s="14">
        <f>DATE(2012,12,31)-1186</f>
        <v>40088</v>
      </c>
      <c r="B2178" s="15" t="s">
        <v>1808</v>
      </c>
      <c r="C2178" s="15" t="s">
        <v>43</v>
      </c>
      <c r="D2178" s="16">
        <v>4</v>
      </c>
      <c r="E2178" s="17">
        <v>9396.41</v>
      </c>
      <c r="F2178" s="16">
        <v>0.02</v>
      </c>
      <c r="G2178" s="15" t="s">
        <v>58</v>
      </c>
      <c r="H2178" s="18">
        <v>-4991.4249</v>
      </c>
      <c r="I2178" s="19">
        <v>2550.14</v>
      </c>
      <c r="J2178" s="19">
        <v>29.7</v>
      </c>
      <c r="K2178" s="19" t="s">
        <v>111</v>
      </c>
      <c r="L2178" s="19" t="s">
        <v>112</v>
      </c>
      <c r="M2178" s="15" t="s">
        <v>1732</v>
      </c>
      <c r="N2178" s="15" t="s">
        <v>64</v>
      </c>
      <c r="O2178" s="15" t="s">
        <v>122</v>
      </c>
      <c r="P2178" s="20" t="s">
        <v>731</v>
      </c>
      <c r="Q2178" s="15" t="s">
        <v>181</v>
      </c>
      <c r="R2178" s="4"/>
      <c r="S2178" s="4"/>
    </row>
    <row r="2179" spans="1:19" ht="21" customHeight="1" x14ac:dyDescent="0.25">
      <c r="A2179" s="14">
        <f>DATE(2012,12,31)-266</f>
        <v>41008</v>
      </c>
      <c r="B2179" s="15" t="s">
        <v>548</v>
      </c>
      <c r="C2179" s="15" t="s">
        <v>85</v>
      </c>
      <c r="D2179" s="16">
        <v>48</v>
      </c>
      <c r="E2179" s="17">
        <v>3400.63</v>
      </c>
      <c r="F2179" s="16">
        <v>0.08</v>
      </c>
      <c r="G2179" s="15" t="s">
        <v>58</v>
      </c>
      <c r="H2179" s="18">
        <v>-892.79</v>
      </c>
      <c r="I2179" s="19">
        <v>70.98</v>
      </c>
      <c r="J2179" s="19">
        <v>46.74</v>
      </c>
      <c r="K2179" s="19" t="s">
        <v>44</v>
      </c>
      <c r="L2179" s="19" t="s">
        <v>45</v>
      </c>
      <c r="M2179" s="15" t="s">
        <v>1768</v>
      </c>
      <c r="N2179" s="15" t="s">
        <v>54</v>
      </c>
      <c r="O2179" s="15" t="s">
        <v>134</v>
      </c>
      <c r="P2179" s="20" t="s">
        <v>381</v>
      </c>
      <c r="Q2179" s="15" t="s">
        <v>63</v>
      </c>
      <c r="R2179" s="4"/>
      <c r="S2179" s="4"/>
    </row>
    <row r="2180" spans="1:19" ht="21" customHeight="1" x14ac:dyDescent="0.25">
      <c r="A2180" s="14">
        <f>DATE(2012,12,31)-27</f>
        <v>41247</v>
      </c>
      <c r="B2180" s="15" t="s">
        <v>1189</v>
      </c>
      <c r="C2180" s="15" t="s">
        <v>51</v>
      </c>
      <c r="D2180" s="16">
        <v>1</v>
      </c>
      <c r="E2180" s="17">
        <v>102.9</v>
      </c>
      <c r="F2180" s="16">
        <v>7.0000000000000007E-2</v>
      </c>
      <c r="G2180" s="15" t="s">
        <v>58</v>
      </c>
      <c r="H2180" s="18">
        <v>-81.89</v>
      </c>
      <c r="I2180" s="19">
        <v>48.58</v>
      </c>
      <c r="J2180" s="19">
        <v>54.11</v>
      </c>
      <c r="K2180" s="19" t="s">
        <v>44</v>
      </c>
      <c r="L2180" s="19" t="s">
        <v>89</v>
      </c>
      <c r="M2180" s="15" t="s">
        <v>1809</v>
      </c>
      <c r="N2180" s="15" t="s">
        <v>54</v>
      </c>
      <c r="O2180" s="15" t="s">
        <v>134</v>
      </c>
      <c r="P2180" s="20" t="s">
        <v>217</v>
      </c>
      <c r="Q2180" s="15" t="s">
        <v>63</v>
      </c>
      <c r="R2180" s="4"/>
      <c r="S2180" s="4"/>
    </row>
    <row r="2181" spans="1:19" ht="21" customHeight="1" x14ac:dyDescent="0.25">
      <c r="A2181" s="14">
        <f>DATE(2012,12,31)-545</f>
        <v>40729</v>
      </c>
      <c r="B2181" s="15" t="s">
        <v>1733</v>
      </c>
      <c r="C2181" s="15" t="s">
        <v>51</v>
      </c>
      <c r="D2181" s="16">
        <v>50</v>
      </c>
      <c r="E2181" s="17">
        <v>2510.71</v>
      </c>
      <c r="F2181" s="16">
        <v>0.01</v>
      </c>
      <c r="G2181" s="15" t="s">
        <v>101</v>
      </c>
      <c r="H2181" s="18">
        <v>3.5999999999999943</v>
      </c>
      <c r="I2181" s="19">
        <v>49.43</v>
      </c>
      <c r="J2181" s="19">
        <v>19.989999999999998</v>
      </c>
      <c r="K2181" s="19" t="s">
        <v>44</v>
      </c>
      <c r="L2181" s="19" t="s">
        <v>89</v>
      </c>
      <c r="M2181" s="15" t="s">
        <v>1809</v>
      </c>
      <c r="N2181" s="15" t="s">
        <v>36</v>
      </c>
      <c r="O2181" s="15" t="s">
        <v>176</v>
      </c>
      <c r="P2181" s="20" t="s">
        <v>1710</v>
      </c>
      <c r="Q2181" s="15" t="s">
        <v>83</v>
      </c>
      <c r="R2181" s="4"/>
      <c r="S2181" s="4"/>
    </row>
    <row r="2182" spans="1:19" ht="21" customHeight="1" x14ac:dyDescent="0.25">
      <c r="A2182" s="14">
        <f>DATE(2012,12,31)-77</f>
        <v>41197</v>
      </c>
      <c r="B2182" s="15" t="s">
        <v>939</v>
      </c>
      <c r="C2182" s="15" t="s">
        <v>85</v>
      </c>
      <c r="D2182" s="16">
        <v>43</v>
      </c>
      <c r="E2182" s="17">
        <v>2123.64</v>
      </c>
      <c r="F2182" s="16">
        <v>0.03</v>
      </c>
      <c r="G2182" s="15" t="s">
        <v>32</v>
      </c>
      <c r="H2182" s="18">
        <v>1013.77</v>
      </c>
      <c r="I2182" s="19">
        <v>47.9</v>
      </c>
      <c r="J2182" s="19">
        <v>5.86</v>
      </c>
      <c r="K2182" s="19" t="s">
        <v>44</v>
      </c>
      <c r="L2182" s="19" t="s">
        <v>120</v>
      </c>
      <c r="M2182" s="15" t="s">
        <v>121</v>
      </c>
      <c r="N2182" s="15" t="s">
        <v>36</v>
      </c>
      <c r="O2182" s="15" t="s">
        <v>117</v>
      </c>
      <c r="P2182" s="20" t="s">
        <v>698</v>
      </c>
      <c r="Q2182" s="15" t="s">
        <v>83</v>
      </c>
      <c r="R2182" s="4"/>
      <c r="S2182" s="4"/>
    </row>
    <row r="2183" spans="1:19" ht="21" customHeight="1" x14ac:dyDescent="0.25">
      <c r="A2183" s="14">
        <f>DATE(2012,12,31)-1434</f>
        <v>39840</v>
      </c>
      <c r="B2183" s="15" t="s">
        <v>334</v>
      </c>
      <c r="C2183" s="15" t="s">
        <v>85</v>
      </c>
      <c r="D2183" s="16">
        <v>36</v>
      </c>
      <c r="E2183" s="17">
        <v>100.87</v>
      </c>
      <c r="F2183" s="16">
        <v>0.09</v>
      </c>
      <c r="G2183" s="15" t="s">
        <v>32</v>
      </c>
      <c r="H2183" s="18">
        <v>8.4</v>
      </c>
      <c r="I2183" s="19">
        <v>2.94</v>
      </c>
      <c r="J2183" s="19">
        <v>0.7</v>
      </c>
      <c r="K2183" s="19" t="s">
        <v>33</v>
      </c>
      <c r="L2183" s="19" t="s">
        <v>128</v>
      </c>
      <c r="M2183" s="15" t="s">
        <v>129</v>
      </c>
      <c r="N2183" s="15" t="s">
        <v>36</v>
      </c>
      <c r="O2183" s="15" t="s">
        <v>77</v>
      </c>
      <c r="P2183" s="20" t="s">
        <v>987</v>
      </c>
      <c r="Q2183" s="15" t="s">
        <v>79</v>
      </c>
      <c r="R2183" s="4"/>
      <c r="S2183" s="4"/>
    </row>
    <row r="2184" spans="1:19" ht="21" customHeight="1" x14ac:dyDescent="0.25">
      <c r="A2184" s="14">
        <f>DATE(2012,12,31)-1434</f>
        <v>39840</v>
      </c>
      <c r="B2184" s="15" t="s">
        <v>334</v>
      </c>
      <c r="C2184" s="15" t="s">
        <v>85</v>
      </c>
      <c r="D2184" s="16">
        <v>41</v>
      </c>
      <c r="E2184" s="17">
        <v>1863.02</v>
      </c>
      <c r="F2184" s="16">
        <v>0.03</v>
      </c>
      <c r="G2184" s="15" t="s">
        <v>32</v>
      </c>
      <c r="H2184" s="18">
        <v>360.63</v>
      </c>
      <c r="I2184" s="19">
        <v>43.98</v>
      </c>
      <c r="J2184" s="19">
        <v>8.99</v>
      </c>
      <c r="K2184" s="19" t="s">
        <v>124</v>
      </c>
      <c r="L2184" s="19" t="s">
        <v>493</v>
      </c>
      <c r="M2184" s="15" t="s">
        <v>1810</v>
      </c>
      <c r="N2184" s="15" t="s">
        <v>36</v>
      </c>
      <c r="O2184" s="15" t="s">
        <v>77</v>
      </c>
      <c r="P2184" s="20" t="s">
        <v>173</v>
      </c>
      <c r="Q2184" s="15" t="s">
        <v>49</v>
      </c>
      <c r="R2184" s="4"/>
      <c r="S2184" s="4"/>
    </row>
    <row r="2185" spans="1:19" ht="21" customHeight="1" x14ac:dyDescent="0.25">
      <c r="A2185" s="14">
        <f>DATE(2012,12,31)-1434</f>
        <v>39840</v>
      </c>
      <c r="B2185" s="15" t="s">
        <v>334</v>
      </c>
      <c r="C2185" s="15" t="s">
        <v>85</v>
      </c>
      <c r="D2185" s="16">
        <v>50</v>
      </c>
      <c r="E2185" s="17">
        <v>55.89</v>
      </c>
      <c r="F2185" s="16">
        <v>0.06</v>
      </c>
      <c r="G2185" s="15" t="s">
        <v>32</v>
      </c>
      <c r="H2185" s="18">
        <v>-3.05</v>
      </c>
      <c r="I2185" s="19">
        <v>1.1399999999999999</v>
      </c>
      <c r="J2185" s="19">
        <v>0.7</v>
      </c>
      <c r="K2185" s="19" t="s">
        <v>124</v>
      </c>
      <c r="L2185" s="19" t="s">
        <v>493</v>
      </c>
      <c r="M2185" s="15" t="s">
        <v>1810</v>
      </c>
      <c r="N2185" s="15" t="s">
        <v>36</v>
      </c>
      <c r="O2185" s="15" t="s">
        <v>105</v>
      </c>
      <c r="P2185" s="20" t="s">
        <v>1551</v>
      </c>
      <c r="Q2185" s="15" t="s">
        <v>79</v>
      </c>
      <c r="R2185" s="4"/>
      <c r="S2185" s="4"/>
    </row>
    <row r="2186" spans="1:19" ht="21" customHeight="1" x14ac:dyDescent="0.25">
      <c r="A2186" s="14">
        <f>DATE(2012,12,31)-713</f>
        <v>40561</v>
      </c>
      <c r="B2186" s="15" t="s">
        <v>681</v>
      </c>
      <c r="C2186" s="15" t="s">
        <v>85</v>
      </c>
      <c r="D2186" s="16">
        <v>18</v>
      </c>
      <c r="E2186" s="17">
        <v>5405.44</v>
      </c>
      <c r="F2186" s="16">
        <v>7.0000000000000007E-2</v>
      </c>
      <c r="G2186" s="15" t="s">
        <v>58</v>
      </c>
      <c r="H2186" s="18">
        <v>604.46</v>
      </c>
      <c r="I2186" s="19">
        <v>300.98</v>
      </c>
      <c r="J2186" s="19">
        <v>64.73</v>
      </c>
      <c r="K2186" s="19" t="s">
        <v>124</v>
      </c>
      <c r="L2186" s="19" t="s">
        <v>160</v>
      </c>
      <c r="M2186" s="15" t="s">
        <v>1621</v>
      </c>
      <c r="N2186" s="15" t="s">
        <v>54</v>
      </c>
      <c r="O2186" s="15" t="s">
        <v>252</v>
      </c>
      <c r="P2186" s="20" t="s">
        <v>1015</v>
      </c>
      <c r="Q2186" s="15" t="s">
        <v>181</v>
      </c>
      <c r="R2186" s="4"/>
      <c r="S2186" s="4"/>
    </row>
    <row r="2187" spans="1:19" ht="21" customHeight="1" x14ac:dyDescent="0.25">
      <c r="A2187" s="14">
        <f>DATE(2012,12,31)-1016</f>
        <v>40258</v>
      </c>
      <c r="B2187" s="15" t="s">
        <v>367</v>
      </c>
      <c r="C2187" s="15" t="s">
        <v>85</v>
      </c>
      <c r="D2187" s="16">
        <v>16</v>
      </c>
      <c r="E2187" s="17">
        <v>838.81</v>
      </c>
      <c r="F2187" s="16">
        <v>0.09</v>
      </c>
      <c r="G2187" s="15" t="s">
        <v>32</v>
      </c>
      <c r="H2187" s="18">
        <v>290.77</v>
      </c>
      <c r="I2187" s="19">
        <v>55.48</v>
      </c>
      <c r="J2187" s="19">
        <v>6.79</v>
      </c>
      <c r="K2187" s="19" t="s">
        <v>44</v>
      </c>
      <c r="L2187" s="19" t="s">
        <v>236</v>
      </c>
      <c r="M2187" s="15" t="s">
        <v>237</v>
      </c>
      <c r="N2187" s="15" t="s">
        <v>36</v>
      </c>
      <c r="O2187" s="15" t="s">
        <v>117</v>
      </c>
      <c r="P2187" s="20" t="s">
        <v>1482</v>
      </c>
      <c r="Q2187" s="15" t="s">
        <v>83</v>
      </c>
      <c r="R2187" s="4"/>
      <c r="S2187" s="4"/>
    </row>
    <row r="2188" spans="1:19" ht="21" customHeight="1" x14ac:dyDescent="0.25">
      <c r="A2188" s="14">
        <f>DATE(2012,12,31)-1234</f>
        <v>40040</v>
      </c>
      <c r="B2188" s="15" t="s">
        <v>1308</v>
      </c>
      <c r="C2188" s="15" t="s">
        <v>85</v>
      </c>
      <c r="D2188" s="16">
        <v>37</v>
      </c>
      <c r="E2188" s="17">
        <v>189.6</v>
      </c>
      <c r="F2188" s="16">
        <v>0.02</v>
      </c>
      <c r="G2188" s="15" t="s">
        <v>32</v>
      </c>
      <c r="H2188" s="18">
        <v>89.65</v>
      </c>
      <c r="I2188" s="19">
        <v>4.9800000000000004</v>
      </c>
      <c r="J2188" s="19">
        <v>0.49</v>
      </c>
      <c r="K2188" s="19" t="s">
        <v>44</v>
      </c>
      <c r="L2188" s="19" t="s">
        <v>52</v>
      </c>
      <c r="M2188" s="15" t="s">
        <v>1685</v>
      </c>
      <c r="N2188" s="15" t="s">
        <v>36</v>
      </c>
      <c r="O2188" s="15" t="s">
        <v>114</v>
      </c>
      <c r="P2188" s="20" t="s">
        <v>304</v>
      </c>
      <c r="Q2188" s="15" t="s">
        <v>83</v>
      </c>
      <c r="R2188" s="4"/>
      <c r="S2188" s="4"/>
    </row>
    <row r="2189" spans="1:19" ht="21" customHeight="1" x14ac:dyDescent="0.25">
      <c r="A2189" s="14">
        <f>DATE(2012,12,31)-1234</f>
        <v>40040</v>
      </c>
      <c r="B2189" s="15" t="s">
        <v>1308</v>
      </c>
      <c r="C2189" s="15" t="s">
        <v>85</v>
      </c>
      <c r="D2189" s="16">
        <v>21</v>
      </c>
      <c r="E2189" s="17">
        <v>397.73200000000003</v>
      </c>
      <c r="F2189" s="16">
        <v>0.01</v>
      </c>
      <c r="G2189" s="15" t="s">
        <v>32</v>
      </c>
      <c r="H2189" s="18">
        <v>-26.047999999999998</v>
      </c>
      <c r="I2189" s="19">
        <v>20.99</v>
      </c>
      <c r="J2189" s="19">
        <v>0.99</v>
      </c>
      <c r="K2189" s="19" t="s">
        <v>44</v>
      </c>
      <c r="L2189" s="19" t="s">
        <v>52</v>
      </c>
      <c r="M2189" s="15" t="s">
        <v>1685</v>
      </c>
      <c r="N2189" s="15" t="s">
        <v>64</v>
      </c>
      <c r="O2189" s="15" t="s">
        <v>65</v>
      </c>
      <c r="P2189" s="20" t="s">
        <v>1811</v>
      </c>
      <c r="Q2189" s="15" t="s">
        <v>49</v>
      </c>
      <c r="R2189" s="4"/>
      <c r="S2189" s="4"/>
    </row>
    <row r="2190" spans="1:19" ht="21" customHeight="1" x14ac:dyDescent="0.25">
      <c r="A2190" s="14">
        <f>DATE(2012,12,31)-970</f>
        <v>40304</v>
      </c>
      <c r="B2190" s="15" t="s">
        <v>1812</v>
      </c>
      <c r="C2190" s="15" t="s">
        <v>51</v>
      </c>
      <c r="D2190" s="16">
        <v>9</v>
      </c>
      <c r="E2190" s="17">
        <v>43.23</v>
      </c>
      <c r="F2190" s="16">
        <v>0</v>
      </c>
      <c r="G2190" s="15" t="s">
        <v>32</v>
      </c>
      <c r="H2190" s="18">
        <v>-29.532</v>
      </c>
      <c r="I2190" s="19">
        <v>3.98</v>
      </c>
      <c r="J2190" s="19">
        <v>5.26</v>
      </c>
      <c r="K2190" s="19" t="s">
        <v>44</v>
      </c>
      <c r="L2190" s="19" t="s">
        <v>52</v>
      </c>
      <c r="M2190" s="15" t="s">
        <v>1685</v>
      </c>
      <c r="N2190" s="15" t="s">
        <v>36</v>
      </c>
      <c r="O2190" s="15" t="s">
        <v>170</v>
      </c>
      <c r="P2190" s="20" t="s">
        <v>446</v>
      </c>
      <c r="Q2190" s="15" t="s">
        <v>83</v>
      </c>
      <c r="R2190" s="4"/>
      <c r="S2190" s="4"/>
    </row>
    <row r="2191" spans="1:19" ht="21" customHeight="1" x14ac:dyDescent="0.25">
      <c r="A2191" s="14">
        <f>DATE(2012,12,31)-628</f>
        <v>40646</v>
      </c>
      <c r="B2191" s="15" t="s">
        <v>303</v>
      </c>
      <c r="C2191" s="15" t="s">
        <v>85</v>
      </c>
      <c r="D2191" s="16">
        <v>19</v>
      </c>
      <c r="E2191" s="17">
        <v>71.77</v>
      </c>
      <c r="F2191" s="16">
        <v>0.03</v>
      </c>
      <c r="G2191" s="15" t="s">
        <v>32</v>
      </c>
      <c r="H2191" s="18">
        <v>22.71</v>
      </c>
      <c r="I2191" s="19">
        <v>3.78</v>
      </c>
      <c r="J2191" s="19">
        <v>0.71</v>
      </c>
      <c r="K2191" s="19" t="s">
        <v>69</v>
      </c>
      <c r="L2191" s="19" t="s">
        <v>70</v>
      </c>
      <c r="M2191" s="15" t="s">
        <v>1756</v>
      </c>
      <c r="N2191" s="15" t="s">
        <v>36</v>
      </c>
      <c r="O2191" s="15" t="s">
        <v>105</v>
      </c>
      <c r="P2191" s="20" t="s">
        <v>693</v>
      </c>
      <c r="Q2191" s="15" t="s">
        <v>79</v>
      </c>
      <c r="R2191" s="4"/>
      <c r="S2191" s="4"/>
    </row>
    <row r="2192" spans="1:19" ht="21" customHeight="1" x14ac:dyDescent="0.25">
      <c r="A2192" s="14">
        <f>DATE(2012,12,31)-119</f>
        <v>41155</v>
      </c>
      <c r="B2192" s="15" t="s">
        <v>1813</v>
      </c>
      <c r="C2192" s="15" t="s">
        <v>51</v>
      </c>
      <c r="D2192" s="16">
        <v>29</v>
      </c>
      <c r="E2192" s="17">
        <v>824.51</v>
      </c>
      <c r="F2192" s="16">
        <v>0.01</v>
      </c>
      <c r="G2192" s="15" t="s">
        <v>32</v>
      </c>
      <c r="H2192" s="18">
        <v>0.89999999999998437</v>
      </c>
      <c r="I2192" s="19">
        <v>27.48</v>
      </c>
      <c r="J2192" s="19">
        <v>4</v>
      </c>
      <c r="K2192" s="19" t="s">
        <v>44</v>
      </c>
      <c r="L2192" s="19" t="s">
        <v>89</v>
      </c>
      <c r="M2192" s="15" t="s">
        <v>1809</v>
      </c>
      <c r="N2192" s="15" t="s">
        <v>64</v>
      </c>
      <c r="O2192" s="15" t="s">
        <v>72</v>
      </c>
      <c r="P2192" s="20" t="s">
        <v>1322</v>
      </c>
      <c r="Q2192" s="15" t="s">
        <v>83</v>
      </c>
      <c r="R2192" s="4"/>
      <c r="S2192" s="4"/>
    </row>
    <row r="2193" spans="1:19" ht="21" customHeight="1" x14ac:dyDescent="0.25">
      <c r="A2193" s="14">
        <f>DATE(2012,12,31)-276</f>
        <v>40998</v>
      </c>
      <c r="B2193" s="15" t="s">
        <v>1270</v>
      </c>
      <c r="C2193" s="15" t="s">
        <v>51</v>
      </c>
      <c r="D2193" s="16">
        <v>35</v>
      </c>
      <c r="E2193" s="17">
        <v>2339.64</v>
      </c>
      <c r="F2193" s="16">
        <v>0.1</v>
      </c>
      <c r="G2193" s="15" t="s">
        <v>32</v>
      </c>
      <c r="H2193" s="18">
        <v>-1916.71</v>
      </c>
      <c r="I2193" s="19">
        <v>71.37</v>
      </c>
      <c r="J2193" s="19">
        <v>69</v>
      </c>
      <c r="K2193" s="19" t="s">
        <v>44</v>
      </c>
      <c r="L2193" s="19" t="s">
        <v>120</v>
      </c>
      <c r="M2193" s="15" t="s">
        <v>121</v>
      </c>
      <c r="N2193" s="15" t="s">
        <v>54</v>
      </c>
      <c r="O2193" s="15" t="s">
        <v>61</v>
      </c>
      <c r="P2193" s="20" t="s">
        <v>399</v>
      </c>
      <c r="Q2193" s="15" t="s">
        <v>39</v>
      </c>
      <c r="R2193" s="4"/>
      <c r="S2193" s="4"/>
    </row>
    <row r="2194" spans="1:19" ht="21" customHeight="1" x14ac:dyDescent="0.25">
      <c r="A2194" s="14">
        <f>DATE(2012,12,31)-748</f>
        <v>40526</v>
      </c>
      <c r="B2194" s="15" t="s">
        <v>1589</v>
      </c>
      <c r="C2194" s="15" t="s">
        <v>85</v>
      </c>
      <c r="D2194" s="16">
        <v>33</v>
      </c>
      <c r="E2194" s="17">
        <v>126.88</v>
      </c>
      <c r="F2194" s="16">
        <v>0.05</v>
      </c>
      <c r="G2194" s="15" t="s">
        <v>32</v>
      </c>
      <c r="H2194" s="18">
        <v>12.63</v>
      </c>
      <c r="I2194" s="19">
        <v>3.7</v>
      </c>
      <c r="J2194" s="19">
        <v>1.61</v>
      </c>
      <c r="K2194" s="19" t="s">
        <v>44</v>
      </c>
      <c r="L2194" s="19" t="s">
        <v>45</v>
      </c>
      <c r="M2194" s="15" t="s">
        <v>1768</v>
      </c>
      <c r="N2194" s="15" t="s">
        <v>54</v>
      </c>
      <c r="O2194" s="15" t="s">
        <v>55</v>
      </c>
      <c r="P2194" s="20" t="s">
        <v>1814</v>
      </c>
      <c r="Q2194" s="15" t="s">
        <v>79</v>
      </c>
      <c r="R2194" s="4"/>
      <c r="S2194" s="4"/>
    </row>
    <row r="2195" spans="1:19" ht="21" customHeight="1" x14ac:dyDescent="0.25">
      <c r="A2195" s="14">
        <f>DATE(2012,12,31)-748</f>
        <v>40526</v>
      </c>
      <c r="B2195" s="15" t="s">
        <v>1589</v>
      </c>
      <c r="C2195" s="15" t="s">
        <v>85</v>
      </c>
      <c r="D2195" s="16">
        <v>42</v>
      </c>
      <c r="E2195" s="17">
        <v>906.64</v>
      </c>
      <c r="F2195" s="16">
        <v>7.0000000000000007E-2</v>
      </c>
      <c r="G2195" s="15" t="s">
        <v>101</v>
      </c>
      <c r="H2195" s="18">
        <v>-148.92500000000001</v>
      </c>
      <c r="I2195" s="19">
        <v>22.38</v>
      </c>
      <c r="J2195" s="19">
        <v>15.1</v>
      </c>
      <c r="K2195" s="19" t="s">
        <v>33</v>
      </c>
      <c r="L2195" s="19" t="s">
        <v>128</v>
      </c>
      <c r="M2195" s="15" t="s">
        <v>129</v>
      </c>
      <c r="N2195" s="15" t="s">
        <v>36</v>
      </c>
      <c r="O2195" s="15" t="s">
        <v>170</v>
      </c>
      <c r="P2195" s="20" t="s">
        <v>893</v>
      </c>
      <c r="Q2195" s="15" t="s">
        <v>83</v>
      </c>
      <c r="R2195" s="4"/>
      <c r="S2195" s="4"/>
    </row>
    <row r="2196" spans="1:19" ht="21" customHeight="1" x14ac:dyDescent="0.25">
      <c r="A2196" s="14">
        <f>DATE(2012,12,31)-748</f>
        <v>40526</v>
      </c>
      <c r="B2196" s="15" t="s">
        <v>1589</v>
      </c>
      <c r="C2196" s="15" t="s">
        <v>85</v>
      </c>
      <c r="D2196" s="16">
        <v>45</v>
      </c>
      <c r="E2196" s="17">
        <v>882.96</v>
      </c>
      <c r="F2196" s="16">
        <v>0.06</v>
      </c>
      <c r="G2196" s="15" t="s">
        <v>32</v>
      </c>
      <c r="H2196" s="18">
        <v>11.65</v>
      </c>
      <c r="I2196" s="19">
        <v>19.98</v>
      </c>
      <c r="J2196" s="19">
        <v>4</v>
      </c>
      <c r="K2196" s="19" t="s">
        <v>97</v>
      </c>
      <c r="L2196" s="19" t="s">
        <v>283</v>
      </c>
      <c r="M2196" s="15" t="s">
        <v>1471</v>
      </c>
      <c r="N2196" s="15" t="s">
        <v>64</v>
      </c>
      <c r="O2196" s="15" t="s">
        <v>72</v>
      </c>
      <c r="P2196" s="20" t="s">
        <v>805</v>
      </c>
      <c r="Q2196" s="15" t="s">
        <v>83</v>
      </c>
      <c r="R2196" s="4"/>
      <c r="S2196" s="4"/>
    </row>
    <row r="2197" spans="1:19" ht="21" customHeight="1" x14ac:dyDescent="0.25">
      <c r="A2197" s="14">
        <f>DATE(2012,12,31)-748</f>
        <v>40526</v>
      </c>
      <c r="B2197" s="15" t="s">
        <v>1589</v>
      </c>
      <c r="C2197" s="15" t="s">
        <v>85</v>
      </c>
      <c r="D2197" s="16">
        <v>3</v>
      </c>
      <c r="E2197" s="17">
        <v>58.14</v>
      </c>
      <c r="F2197" s="16">
        <v>0.01</v>
      </c>
      <c r="G2197" s="15" t="s">
        <v>32</v>
      </c>
      <c r="H2197" s="18">
        <v>-96.25</v>
      </c>
      <c r="I2197" s="19">
        <v>20.99</v>
      </c>
      <c r="J2197" s="19">
        <v>4.8099999999999996</v>
      </c>
      <c r="K2197" s="19" t="s">
        <v>97</v>
      </c>
      <c r="L2197" s="19" t="s">
        <v>98</v>
      </c>
      <c r="M2197" s="15" t="s">
        <v>1162</v>
      </c>
      <c r="N2197" s="15" t="s">
        <v>64</v>
      </c>
      <c r="O2197" s="15" t="s">
        <v>65</v>
      </c>
      <c r="P2197" s="20" t="s">
        <v>654</v>
      </c>
      <c r="Q2197" s="15" t="s">
        <v>57</v>
      </c>
      <c r="R2197" s="4"/>
      <c r="S2197" s="4"/>
    </row>
    <row r="2198" spans="1:19" ht="21" customHeight="1" x14ac:dyDescent="0.25">
      <c r="A2198" s="14">
        <f>DATE(2012,12,31)-1340</f>
        <v>39934</v>
      </c>
      <c r="B2198" s="15" t="s">
        <v>429</v>
      </c>
      <c r="C2198" s="15" t="s">
        <v>85</v>
      </c>
      <c r="D2198" s="16">
        <v>43</v>
      </c>
      <c r="E2198" s="17">
        <v>528.6</v>
      </c>
      <c r="F2198" s="16">
        <v>0.01</v>
      </c>
      <c r="G2198" s="15" t="s">
        <v>32</v>
      </c>
      <c r="H2198" s="18">
        <v>52.589500000000001</v>
      </c>
      <c r="I2198" s="19">
        <v>11.7</v>
      </c>
      <c r="J2198" s="19">
        <v>5.63</v>
      </c>
      <c r="K2198" s="19" t="s">
        <v>124</v>
      </c>
      <c r="L2198" s="19" t="s">
        <v>160</v>
      </c>
      <c r="M2198" s="15" t="s">
        <v>1621</v>
      </c>
      <c r="N2198" s="15" t="s">
        <v>36</v>
      </c>
      <c r="O2198" s="15" t="s">
        <v>170</v>
      </c>
      <c r="P2198" s="20" t="s">
        <v>323</v>
      </c>
      <c r="Q2198" s="15" t="s">
        <v>83</v>
      </c>
      <c r="R2198" s="4"/>
      <c r="S2198" s="4"/>
    </row>
    <row r="2199" spans="1:19" ht="21" customHeight="1" x14ac:dyDescent="0.25">
      <c r="A2199" s="14">
        <f>DATE(2012,12,31)-1340</f>
        <v>39934</v>
      </c>
      <c r="B2199" s="15" t="s">
        <v>429</v>
      </c>
      <c r="C2199" s="15" t="s">
        <v>85</v>
      </c>
      <c r="D2199" s="16">
        <v>24</v>
      </c>
      <c r="E2199" s="17">
        <v>107.41</v>
      </c>
      <c r="F2199" s="16">
        <v>0.03</v>
      </c>
      <c r="G2199" s="15" t="s">
        <v>32</v>
      </c>
      <c r="H2199" s="18">
        <v>20.680499999999999</v>
      </c>
      <c r="I2199" s="19">
        <v>4.55</v>
      </c>
      <c r="J2199" s="19">
        <v>1.49</v>
      </c>
      <c r="K2199" s="19" t="s">
        <v>44</v>
      </c>
      <c r="L2199" s="19" t="s">
        <v>52</v>
      </c>
      <c r="M2199" s="15" t="s">
        <v>1685</v>
      </c>
      <c r="N2199" s="15" t="s">
        <v>36</v>
      </c>
      <c r="O2199" s="15" t="s">
        <v>170</v>
      </c>
      <c r="P2199" s="20" t="s">
        <v>1581</v>
      </c>
      <c r="Q2199" s="15" t="s">
        <v>83</v>
      </c>
      <c r="R2199" s="4"/>
      <c r="S2199" s="4"/>
    </row>
    <row r="2200" spans="1:19" ht="21" customHeight="1" x14ac:dyDescent="0.25">
      <c r="A2200" s="14">
        <f>DATE(2012,12,31)-62</f>
        <v>41212</v>
      </c>
      <c r="B2200" s="15" t="s">
        <v>759</v>
      </c>
      <c r="C2200" s="15" t="s">
        <v>43</v>
      </c>
      <c r="D2200" s="16">
        <v>48</v>
      </c>
      <c r="E2200" s="17">
        <v>5198.12</v>
      </c>
      <c r="F2200" s="16">
        <v>0.01</v>
      </c>
      <c r="G2200" s="15" t="s">
        <v>58</v>
      </c>
      <c r="H2200" s="18">
        <v>1481.67</v>
      </c>
      <c r="I2200" s="19">
        <v>100.98</v>
      </c>
      <c r="J2200" s="19">
        <v>15.66</v>
      </c>
      <c r="K2200" s="19" t="s">
        <v>33</v>
      </c>
      <c r="L2200" s="19" t="s">
        <v>93</v>
      </c>
      <c r="M2200" s="15" t="s">
        <v>94</v>
      </c>
      <c r="N2200" s="15" t="s">
        <v>36</v>
      </c>
      <c r="O2200" s="15" t="s">
        <v>176</v>
      </c>
      <c r="P2200" s="20" t="s">
        <v>847</v>
      </c>
      <c r="Q2200" s="15" t="s">
        <v>181</v>
      </c>
      <c r="R2200" s="4"/>
      <c r="S2200" s="4"/>
    </row>
    <row r="2201" spans="1:19" ht="21" customHeight="1" x14ac:dyDescent="0.25">
      <c r="A2201" s="14">
        <f>DATE(2012,12,31)-62</f>
        <v>41212</v>
      </c>
      <c r="B2201" s="15" t="s">
        <v>759</v>
      </c>
      <c r="C2201" s="15" t="s">
        <v>43</v>
      </c>
      <c r="D2201" s="16">
        <v>23</v>
      </c>
      <c r="E2201" s="17">
        <v>188.53</v>
      </c>
      <c r="F2201" s="16">
        <v>0</v>
      </c>
      <c r="G2201" s="15" t="s">
        <v>32</v>
      </c>
      <c r="H2201" s="18">
        <v>-27.49</v>
      </c>
      <c r="I2201" s="19">
        <v>7.35</v>
      </c>
      <c r="J2201" s="19">
        <v>5.96</v>
      </c>
      <c r="K2201" s="19" t="s">
        <v>33</v>
      </c>
      <c r="L2201" s="19" t="s">
        <v>145</v>
      </c>
      <c r="M2201" s="15" t="s">
        <v>1761</v>
      </c>
      <c r="N2201" s="15" t="s">
        <v>36</v>
      </c>
      <c r="O2201" s="15" t="s">
        <v>117</v>
      </c>
      <c r="P2201" s="20" t="s">
        <v>801</v>
      </c>
      <c r="Q2201" s="15" t="s">
        <v>83</v>
      </c>
      <c r="R2201" s="4"/>
      <c r="S2201" s="4"/>
    </row>
    <row r="2202" spans="1:19" ht="21" customHeight="1" x14ac:dyDescent="0.25">
      <c r="A2202" s="14">
        <f>DATE(2012,12,31)-62</f>
        <v>41212</v>
      </c>
      <c r="B2202" s="15" t="s">
        <v>759</v>
      </c>
      <c r="C2202" s="15" t="s">
        <v>43</v>
      </c>
      <c r="D2202" s="16">
        <v>19</v>
      </c>
      <c r="E2202" s="17">
        <v>718.41</v>
      </c>
      <c r="F2202" s="16">
        <v>0.1</v>
      </c>
      <c r="G2202" s="15" t="s">
        <v>32</v>
      </c>
      <c r="H2202" s="18">
        <v>23.94</v>
      </c>
      <c r="I2202" s="19">
        <v>40.99</v>
      </c>
      <c r="J2202" s="19">
        <v>17.48</v>
      </c>
      <c r="K2202" s="19" t="s">
        <v>33</v>
      </c>
      <c r="L2202" s="19" t="s">
        <v>59</v>
      </c>
      <c r="M2202" s="15" t="s">
        <v>1361</v>
      </c>
      <c r="N2202" s="15" t="s">
        <v>36</v>
      </c>
      <c r="O2202" s="15" t="s">
        <v>117</v>
      </c>
      <c r="P2202" s="20" t="s">
        <v>583</v>
      </c>
      <c r="Q2202" s="15" t="s">
        <v>83</v>
      </c>
      <c r="R2202" s="4"/>
      <c r="S2202" s="4"/>
    </row>
    <row r="2203" spans="1:19" ht="21" customHeight="1" x14ac:dyDescent="0.25">
      <c r="A2203" s="14">
        <f>DATE(2012,12,31)-788</f>
        <v>40486</v>
      </c>
      <c r="B2203" s="15" t="s">
        <v>1755</v>
      </c>
      <c r="C2203" s="15" t="s">
        <v>51</v>
      </c>
      <c r="D2203" s="16">
        <v>36</v>
      </c>
      <c r="E2203" s="17">
        <v>275.06</v>
      </c>
      <c r="F2203" s="16">
        <v>0.05</v>
      </c>
      <c r="G2203" s="15" t="s">
        <v>32</v>
      </c>
      <c r="H2203" s="18">
        <v>-237.87</v>
      </c>
      <c r="I2203" s="19">
        <v>7.28</v>
      </c>
      <c r="J2203" s="19">
        <v>11.15</v>
      </c>
      <c r="K2203" s="19" t="s">
        <v>33</v>
      </c>
      <c r="L2203" s="19" t="s">
        <v>145</v>
      </c>
      <c r="M2203" s="15" t="s">
        <v>1761</v>
      </c>
      <c r="N2203" s="15" t="s">
        <v>36</v>
      </c>
      <c r="O2203" s="15" t="s">
        <v>117</v>
      </c>
      <c r="P2203" s="20" t="s">
        <v>1324</v>
      </c>
      <c r="Q2203" s="15" t="s">
        <v>83</v>
      </c>
      <c r="R2203" s="4"/>
      <c r="S2203" s="4"/>
    </row>
    <row r="2204" spans="1:19" ht="21" customHeight="1" x14ac:dyDescent="0.25">
      <c r="A2204" s="14">
        <f>DATE(2012,12,31)-1161</f>
        <v>40113</v>
      </c>
      <c r="B2204" s="15" t="s">
        <v>1491</v>
      </c>
      <c r="C2204" s="15" t="s">
        <v>43</v>
      </c>
      <c r="D2204" s="16">
        <v>39</v>
      </c>
      <c r="E2204" s="17">
        <v>124.01</v>
      </c>
      <c r="F2204" s="16">
        <v>0.08</v>
      </c>
      <c r="G2204" s="15" t="s">
        <v>32</v>
      </c>
      <c r="H2204" s="18">
        <v>-109.02</v>
      </c>
      <c r="I2204" s="19">
        <v>3.28</v>
      </c>
      <c r="J2204" s="19">
        <v>3.97</v>
      </c>
      <c r="K2204" s="19" t="s">
        <v>33</v>
      </c>
      <c r="L2204" s="19" t="s">
        <v>59</v>
      </c>
      <c r="M2204" s="15" t="s">
        <v>1361</v>
      </c>
      <c r="N2204" s="15" t="s">
        <v>36</v>
      </c>
      <c r="O2204" s="15" t="s">
        <v>77</v>
      </c>
      <c r="P2204" s="20" t="s">
        <v>1663</v>
      </c>
      <c r="Q2204" s="15" t="s">
        <v>79</v>
      </c>
      <c r="R2204" s="4"/>
      <c r="S2204" s="4"/>
    </row>
    <row r="2205" spans="1:19" ht="21" customHeight="1" x14ac:dyDescent="0.25">
      <c r="A2205" s="14">
        <f>DATE(2012,12,31)-1161</f>
        <v>40113</v>
      </c>
      <c r="B2205" s="15" t="s">
        <v>1491</v>
      </c>
      <c r="C2205" s="15" t="s">
        <v>43</v>
      </c>
      <c r="D2205" s="16">
        <v>49</v>
      </c>
      <c r="E2205" s="17">
        <v>1836.84</v>
      </c>
      <c r="F2205" s="16">
        <v>0.09</v>
      </c>
      <c r="G2205" s="15" t="s">
        <v>101</v>
      </c>
      <c r="H2205" s="18">
        <v>129.94999999999999</v>
      </c>
      <c r="I2205" s="19">
        <v>40.97</v>
      </c>
      <c r="J2205" s="19">
        <v>8.99</v>
      </c>
      <c r="K2205" s="19" t="s">
        <v>33</v>
      </c>
      <c r="L2205" s="19" t="s">
        <v>59</v>
      </c>
      <c r="M2205" s="15" t="s">
        <v>1361</v>
      </c>
      <c r="N2205" s="15" t="s">
        <v>36</v>
      </c>
      <c r="O2205" s="15" t="s">
        <v>77</v>
      </c>
      <c r="P2205" s="20" t="s">
        <v>938</v>
      </c>
      <c r="Q2205" s="15" t="s">
        <v>49</v>
      </c>
      <c r="R2205" s="4"/>
      <c r="S2205" s="4"/>
    </row>
    <row r="2206" spans="1:19" ht="21" customHeight="1" x14ac:dyDescent="0.25">
      <c r="A2206" s="14">
        <f>DATE(2012,12,31)-826</f>
        <v>40448</v>
      </c>
      <c r="B2206" s="15" t="s">
        <v>714</v>
      </c>
      <c r="C2206" s="15" t="s">
        <v>31</v>
      </c>
      <c r="D2206" s="16">
        <v>8</v>
      </c>
      <c r="E2206" s="17">
        <v>2174.96</v>
      </c>
      <c r="F2206" s="16">
        <v>0.05</v>
      </c>
      <c r="G2206" s="15" t="s">
        <v>58</v>
      </c>
      <c r="H2206" s="18">
        <v>-223.89450000000002</v>
      </c>
      <c r="I2206" s="19">
        <v>264.98</v>
      </c>
      <c r="J2206" s="19">
        <v>17.86</v>
      </c>
      <c r="K2206" s="19" t="s">
        <v>69</v>
      </c>
      <c r="L2206" s="19" t="s">
        <v>70</v>
      </c>
      <c r="M2206" s="15" t="s">
        <v>1756</v>
      </c>
      <c r="N2206" s="15" t="s">
        <v>64</v>
      </c>
      <c r="O2206" s="15" t="s">
        <v>122</v>
      </c>
      <c r="P2206" s="20" t="s">
        <v>780</v>
      </c>
      <c r="Q2206" s="15" t="s">
        <v>181</v>
      </c>
      <c r="R2206" s="4"/>
      <c r="S2206" s="4"/>
    </row>
    <row r="2207" spans="1:19" ht="21" customHeight="1" x14ac:dyDescent="0.25">
      <c r="A2207" s="14">
        <f>DATE(2012,12,31)-630</f>
        <v>40644</v>
      </c>
      <c r="B2207" s="15" t="s">
        <v>1815</v>
      </c>
      <c r="C2207" s="15" t="s">
        <v>51</v>
      </c>
      <c r="D2207" s="16">
        <v>36</v>
      </c>
      <c r="E2207" s="17">
        <v>1837.44</v>
      </c>
      <c r="F2207" s="16">
        <v>0.01</v>
      </c>
      <c r="G2207" s="15" t="s">
        <v>58</v>
      </c>
      <c r="H2207" s="18">
        <v>-1414.41</v>
      </c>
      <c r="I2207" s="19">
        <v>48.58</v>
      </c>
      <c r="J2207" s="19">
        <v>54.11</v>
      </c>
      <c r="K2207" s="19" t="s">
        <v>69</v>
      </c>
      <c r="L2207" s="19" t="s">
        <v>75</v>
      </c>
      <c r="M2207" s="15" t="s">
        <v>1786</v>
      </c>
      <c r="N2207" s="15" t="s">
        <v>54</v>
      </c>
      <c r="O2207" s="15" t="s">
        <v>134</v>
      </c>
      <c r="P2207" s="20" t="s">
        <v>217</v>
      </c>
      <c r="Q2207" s="15" t="s">
        <v>63</v>
      </c>
      <c r="R2207" s="4"/>
      <c r="S2207" s="4"/>
    </row>
    <row r="2208" spans="1:19" ht="21" customHeight="1" x14ac:dyDescent="0.25">
      <c r="A2208" s="14">
        <f>DATE(2012,12,31)-630</f>
        <v>40644</v>
      </c>
      <c r="B2208" s="15" t="s">
        <v>1815</v>
      </c>
      <c r="C2208" s="15" t="s">
        <v>51</v>
      </c>
      <c r="D2208" s="16">
        <v>36</v>
      </c>
      <c r="E2208" s="17">
        <v>3722.29</v>
      </c>
      <c r="F2208" s="16">
        <v>0.04</v>
      </c>
      <c r="G2208" s="15" t="s">
        <v>101</v>
      </c>
      <c r="H2208" s="18">
        <v>950.68</v>
      </c>
      <c r="I2208" s="19">
        <v>105.98</v>
      </c>
      <c r="J2208" s="19">
        <v>13.99</v>
      </c>
      <c r="K2208" s="19" t="s">
        <v>69</v>
      </c>
      <c r="L2208" s="19" t="s">
        <v>75</v>
      </c>
      <c r="M2208" s="15" t="s">
        <v>1786</v>
      </c>
      <c r="N2208" s="15" t="s">
        <v>54</v>
      </c>
      <c r="O2208" s="15" t="s">
        <v>55</v>
      </c>
      <c r="P2208" s="20" t="s">
        <v>1151</v>
      </c>
      <c r="Q2208" s="15" t="s">
        <v>57</v>
      </c>
      <c r="R2208" s="4"/>
      <c r="S2208" s="4"/>
    </row>
    <row r="2209" spans="1:19" ht="21" customHeight="1" x14ac:dyDescent="0.25">
      <c r="A2209" s="14">
        <f>DATE(2012,12,31)-630</f>
        <v>40644</v>
      </c>
      <c r="B2209" s="15" t="s">
        <v>1815</v>
      </c>
      <c r="C2209" s="15" t="s">
        <v>51</v>
      </c>
      <c r="D2209" s="16">
        <v>4</v>
      </c>
      <c r="E2209" s="17">
        <v>28.05</v>
      </c>
      <c r="F2209" s="16">
        <v>0.09</v>
      </c>
      <c r="G2209" s="15" t="s">
        <v>32</v>
      </c>
      <c r="H2209" s="18">
        <v>-5.41</v>
      </c>
      <c r="I2209" s="19">
        <v>7.04</v>
      </c>
      <c r="J2209" s="19">
        <v>2.17</v>
      </c>
      <c r="K2209" s="19" t="s">
        <v>69</v>
      </c>
      <c r="L2209" s="19" t="s">
        <v>70</v>
      </c>
      <c r="M2209" s="15" t="s">
        <v>1756</v>
      </c>
      <c r="N2209" s="15" t="s">
        <v>36</v>
      </c>
      <c r="O2209" s="15" t="s">
        <v>117</v>
      </c>
      <c r="P2209" s="20" t="s">
        <v>1816</v>
      </c>
      <c r="Q2209" s="15" t="s">
        <v>79</v>
      </c>
      <c r="R2209" s="4"/>
      <c r="S2209" s="4"/>
    </row>
    <row r="2210" spans="1:19" ht="21" customHeight="1" x14ac:dyDescent="0.25">
      <c r="A2210" s="14">
        <f>DATE(2012,12,31)-55</f>
        <v>41219</v>
      </c>
      <c r="B2210" s="15" t="s">
        <v>282</v>
      </c>
      <c r="C2210" s="15" t="s">
        <v>31</v>
      </c>
      <c r="D2210" s="16">
        <v>32</v>
      </c>
      <c r="E2210" s="17">
        <v>311.44</v>
      </c>
      <c r="F2210" s="16">
        <v>0.04</v>
      </c>
      <c r="G2210" s="15" t="s">
        <v>32</v>
      </c>
      <c r="H2210" s="18">
        <v>74.069999999999993</v>
      </c>
      <c r="I2210" s="19">
        <v>9.7799999999999994</v>
      </c>
      <c r="J2210" s="19">
        <v>1.99</v>
      </c>
      <c r="K2210" s="19" t="s">
        <v>69</v>
      </c>
      <c r="L2210" s="19" t="s">
        <v>70</v>
      </c>
      <c r="M2210" s="15" t="s">
        <v>1756</v>
      </c>
      <c r="N2210" s="15" t="s">
        <v>64</v>
      </c>
      <c r="O2210" s="15" t="s">
        <v>72</v>
      </c>
      <c r="P2210" s="20" t="s">
        <v>1487</v>
      </c>
      <c r="Q2210" s="15" t="s">
        <v>49</v>
      </c>
      <c r="R2210" s="4"/>
      <c r="S2210" s="4"/>
    </row>
    <row r="2211" spans="1:19" ht="21" customHeight="1" x14ac:dyDescent="0.25">
      <c r="A2211" s="14">
        <f>DATE(2012,12,31)-55</f>
        <v>41219</v>
      </c>
      <c r="B2211" s="15" t="s">
        <v>282</v>
      </c>
      <c r="C2211" s="15" t="s">
        <v>31</v>
      </c>
      <c r="D2211" s="16">
        <v>17</v>
      </c>
      <c r="E2211" s="17">
        <v>215.65</v>
      </c>
      <c r="F2211" s="16">
        <v>0.01</v>
      </c>
      <c r="G2211" s="15" t="s">
        <v>101</v>
      </c>
      <c r="H2211" s="18">
        <v>77.38</v>
      </c>
      <c r="I2211" s="19">
        <v>12.22</v>
      </c>
      <c r="J2211" s="19">
        <v>2.85</v>
      </c>
      <c r="K2211" s="19" t="s">
        <v>69</v>
      </c>
      <c r="L2211" s="19" t="s">
        <v>70</v>
      </c>
      <c r="M2211" s="15" t="s">
        <v>1756</v>
      </c>
      <c r="N2211" s="15" t="s">
        <v>54</v>
      </c>
      <c r="O2211" s="15" t="s">
        <v>55</v>
      </c>
      <c r="P2211" s="20" t="s">
        <v>1073</v>
      </c>
      <c r="Q2211" s="15" t="s">
        <v>49</v>
      </c>
      <c r="R2211" s="4"/>
      <c r="S2211" s="4"/>
    </row>
    <row r="2212" spans="1:19" ht="21" customHeight="1" x14ac:dyDescent="0.25">
      <c r="A2212" s="14">
        <f>DATE(2012,12,31)-387</f>
        <v>40887</v>
      </c>
      <c r="B2212" s="15" t="s">
        <v>207</v>
      </c>
      <c r="C2212" s="15" t="s">
        <v>43</v>
      </c>
      <c r="D2212" s="16">
        <v>15</v>
      </c>
      <c r="E2212" s="17">
        <v>951.09</v>
      </c>
      <c r="F2212" s="16">
        <v>0.02</v>
      </c>
      <c r="G2212" s="15" t="s">
        <v>58</v>
      </c>
      <c r="H2212" s="18">
        <v>-246.32</v>
      </c>
      <c r="I2212" s="19">
        <v>58.14</v>
      </c>
      <c r="J2212" s="19">
        <v>36.61</v>
      </c>
      <c r="K2212" s="19" t="s">
        <v>69</v>
      </c>
      <c r="L2212" s="19" t="s">
        <v>75</v>
      </c>
      <c r="M2212" s="15" t="s">
        <v>1786</v>
      </c>
      <c r="N2212" s="15" t="s">
        <v>54</v>
      </c>
      <c r="O2212" s="15" t="s">
        <v>134</v>
      </c>
      <c r="P2212" s="20" t="s">
        <v>1299</v>
      </c>
      <c r="Q2212" s="15" t="s">
        <v>63</v>
      </c>
      <c r="R2212" s="4"/>
      <c r="S2212" s="4"/>
    </row>
    <row r="2213" spans="1:19" ht="21" customHeight="1" x14ac:dyDescent="0.25">
      <c r="A2213" s="14">
        <f>DATE(2012,12,31)-1235</f>
        <v>40039</v>
      </c>
      <c r="B2213" s="15" t="s">
        <v>30</v>
      </c>
      <c r="C2213" s="15" t="s">
        <v>51</v>
      </c>
      <c r="D2213" s="16">
        <v>15</v>
      </c>
      <c r="E2213" s="17">
        <v>2172.5149999999999</v>
      </c>
      <c r="F2213" s="16">
        <v>0.06</v>
      </c>
      <c r="G2213" s="15" t="s">
        <v>32</v>
      </c>
      <c r="H2213" s="18">
        <v>32.750999999999998</v>
      </c>
      <c r="I2213" s="19">
        <v>175.99</v>
      </c>
      <c r="J2213" s="19">
        <v>8.99</v>
      </c>
      <c r="K2213" s="19" t="s">
        <v>69</v>
      </c>
      <c r="L2213" s="19" t="s">
        <v>75</v>
      </c>
      <c r="M2213" s="15" t="s">
        <v>1786</v>
      </c>
      <c r="N2213" s="15" t="s">
        <v>64</v>
      </c>
      <c r="O2213" s="15" t="s">
        <v>65</v>
      </c>
      <c r="P2213" s="20" t="s">
        <v>1490</v>
      </c>
      <c r="Q2213" s="15" t="s">
        <v>83</v>
      </c>
      <c r="R2213" s="4"/>
      <c r="S2213" s="4"/>
    </row>
    <row r="2214" spans="1:19" ht="21" customHeight="1" x14ac:dyDescent="0.25">
      <c r="A2214" s="14">
        <f>DATE(2012,12,31)-510</f>
        <v>40764</v>
      </c>
      <c r="B2214" s="15" t="s">
        <v>1817</v>
      </c>
      <c r="C2214" s="15" t="s">
        <v>43</v>
      </c>
      <c r="D2214" s="16">
        <v>3</v>
      </c>
      <c r="E2214" s="17">
        <v>10.33</v>
      </c>
      <c r="F2214" s="16">
        <v>0.04</v>
      </c>
      <c r="G2214" s="15" t="s">
        <v>32</v>
      </c>
      <c r="H2214" s="18">
        <v>-3.86</v>
      </c>
      <c r="I2214" s="19">
        <v>2.98</v>
      </c>
      <c r="J2214" s="19">
        <v>1.58</v>
      </c>
      <c r="K2214" s="19" t="s">
        <v>69</v>
      </c>
      <c r="L2214" s="19" t="s">
        <v>70</v>
      </c>
      <c r="M2214" s="15" t="s">
        <v>1756</v>
      </c>
      <c r="N2214" s="15" t="s">
        <v>36</v>
      </c>
      <c r="O2214" s="15" t="s">
        <v>105</v>
      </c>
      <c r="P2214" s="20" t="s">
        <v>1818</v>
      </c>
      <c r="Q2214" s="15" t="s">
        <v>79</v>
      </c>
      <c r="R2214" s="4"/>
      <c r="S2214" s="4"/>
    </row>
    <row r="2215" spans="1:19" ht="21" customHeight="1" x14ac:dyDescent="0.25">
      <c r="A2215" s="14">
        <f>DATE(2012,12,31)-510</f>
        <v>40764</v>
      </c>
      <c r="B2215" s="15" t="s">
        <v>1817</v>
      </c>
      <c r="C2215" s="15" t="s">
        <v>43</v>
      </c>
      <c r="D2215" s="16">
        <v>2</v>
      </c>
      <c r="E2215" s="17">
        <v>14.39</v>
      </c>
      <c r="F2215" s="16">
        <v>7.0000000000000007E-2</v>
      </c>
      <c r="G2215" s="15" t="s">
        <v>32</v>
      </c>
      <c r="H2215" s="18">
        <v>-10.24</v>
      </c>
      <c r="I2215" s="19">
        <v>5.81</v>
      </c>
      <c r="J2215" s="19">
        <v>3.37</v>
      </c>
      <c r="K2215" s="19" t="s">
        <v>69</v>
      </c>
      <c r="L2215" s="19" t="s">
        <v>75</v>
      </c>
      <c r="M2215" s="15" t="s">
        <v>1786</v>
      </c>
      <c r="N2215" s="15" t="s">
        <v>36</v>
      </c>
      <c r="O2215" s="15" t="s">
        <v>105</v>
      </c>
      <c r="P2215" s="20" t="s">
        <v>209</v>
      </c>
      <c r="Q2215" s="15" t="s">
        <v>79</v>
      </c>
      <c r="R2215" s="4"/>
      <c r="S2215" s="4"/>
    </row>
    <row r="2216" spans="1:19" ht="21" customHeight="1" x14ac:dyDescent="0.25">
      <c r="A2216" s="14">
        <f>DATE(2012,12,31)-7</f>
        <v>41267</v>
      </c>
      <c r="B2216" s="15" t="s">
        <v>1108</v>
      </c>
      <c r="C2216" s="15" t="s">
        <v>43</v>
      </c>
      <c r="D2216" s="16">
        <v>7</v>
      </c>
      <c r="E2216" s="17">
        <v>51.03</v>
      </c>
      <c r="F2216" s="16">
        <v>0.09</v>
      </c>
      <c r="G2216" s="15" t="s">
        <v>32</v>
      </c>
      <c r="H2216" s="18">
        <v>-21.378499999999999</v>
      </c>
      <c r="I2216" s="19">
        <v>6.81</v>
      </c>
      <c r="J2216" s="19">
        <v>5.48</v>
      </c>
      <c r="K2216" s="19" t="s">
        <v>69</v>
      </c>
      <c r="L2216" s="19" t="s">
        <v>75</v>
      </c>
      <c r="M2216" s="15" t="s">
        <v>1786</v>
      </c>
      <c r="N2216" s="15" t="s">
        <v>36</v>
      </c>
      <c r="O2216" s="15" t="s">
        <v>170</v>
      </c>
      <c r="P2216" s="20" t="s">
        <v>1533</v>
      </c>
      <c r="Q2216" s="15" t="s">
        <v>83</v>
      </c>
      <c r="R2216" s="4"/>
      <c r="S2216" s="4"/>
    </row>
    <row r="2217" spans="1:19" ht="21" customHeight="1" x14ac:dyDescent="0.25">
      <c r="A2217" s="14">
        <f>DATE(2012,12,31)-1122</f>
        <v>40152</v>
      </c>
      <c r="B2217" s="15" t="s">
        <v>1819</v>
      </c>
      <c r="C2217" s="15" t="s">
        <v>31</v>
      </c>
      <c r="D2217" s="16">
        <v>35</v>
      </c>
      <c r="E2217" s="17">
        <v>436.98</v>
      </c>
      <c r="F2217" s="16">
        <v>7.0000000000000007E-2</v>
      </c>
      <c r="G2217" s="15" t="s">
        <v>32</v>
      </c>
      <c r="H2217" s="18">
        <v>75.61</v>
      </c>
      <c r="I2217" s="19">
        <v>12.64</v>
      </c>
      <c r="J2217" s="19">
        <v>4.9800000000000004</v>
      </c>
      <c r="K2217" s="19" t="s">
        <v>69</v>
      </c>
      <c r="L2217" s="19" t="s">
        <v>215</v>
      </c>
      <c r="M2217" s="15" t="s">
        <v>1704</v>
      </c>
      <c r="N2217" s="15" t="s">
        <v>54</v>
      </c>
      <c r="O2217" s="15" t="s">
        <v>55</v>
      </c>
      <c r="P2217" s="20" t="s">
        <v>166</v>
      </c>
      <c r="Q2217" s="15" t="s">
        <v>49</v>
      </c>
      <c r="R2217" s="4"/>
      <c r="S2217" s="4"/>
    </row>
    <row r="2218" spans="1:19" ht="21" customHeight="1" x14ac:dyDescent="0.25">
      <c r="A2218" s="14">
        <f>DATE(2012,12,31)-361</f>
        <v>40913</v>
      </c>
      <c r="B2218" s="15" t="s">
        <v>390</v>
      </c>
      <c r="C2218" s="15" t="s">
        <v>85</v>
      </c>
      <c r="D2218" s="16">
        <v>28</v>
      </c>
      <c r="E2218" s="17">
        <v>2160.27</v>
      </c>
      <c r="F2218" s="16">
        <v>0.09</v>
      </c>
      <c r="G2218" s="15" t="s">
        <v>32</v>
      </c>
      <c r="H2218" s="18">
        <v>-818.32</v>
      </c>
      <c r="I2218" s="19">
        <v>80.98</v>
      </c>
      <c r="J2218" s="19">
        <v>35</v>
      </c>
      <c r="K2218" s="19" t="s">
        <v>69</v>
      </c>
      <c r="L2218" s="19" t="s">
        <v>215</v>
      </c>
      <c r="M2218" s="15" t="s">
        <v>1704</v>
      </c>
      <c r="N2218" s="15" t="s">
        <v>36</v>
      </c>
      <c r="O2218" s="15" t="s">
        <v>37</v>
      </c>
      <c r="P2218" s="20" t="s">
        <v>1383</v>
      </c>
      <c r="Q2218" s="15" t="s">
        <v>39</v>
      </c>
      <c r="R2218" s="4"/>
      <c r="S2218" s="4"/>
    </row>
    <row r="2219" spans="1:19" ht="21" customHeight="1" x14ac:dyDescent="0.25">
      <c r="A2219" s="14">
        <f>DATE(2012,12,31)-361</f>
        <v>40913</v>
      </c>
      <c r="B2219" s="15" t="s">
        <v>390</v>
      </c>
      <c r="C2219" s="15" t="s">
        <v>85</v>
      </c>
      <c r="D2219" s="16">
        <v>28</v>
      </c>
      <c r="E2219" s="17">
        <v>169.22</v>
      </c>
      <c r="F2219" s="16">
        <v>0.05</v>
      </c>
      <c r="G2219" s="15" t="s">
        <v>32</v>
      </c>
      <c r="H2219" s="18">
        <v>-165.10550000000001</v>
      </c>
      <c r="I2219" s="19">
        <v>5.81</v>
      </c>
      <c r="J2219" s="19">
        <v>8.49</v>
      </c>
      <c r="K2219" s="19" t="s">
        <v>111</v>
      </c>
      <c r="L2219" s="19" t="s">
        <v>442</v>
      </c>
      <c r="M2219" s="15" t="s">
        <v>443</v>
      </c>
      <c r="N2219" s="15" t="s">
        <v>36</v>
      </c>
      <c r="O2219" s="15" t="s">
        <v>170</v>
      </c>
      <c r="P2219" s="20" t="s">
        <v>1190</v>
      </c>
      <c r="Q2219" s="15" t="s">
        <v>83</v>
      </c>
      <c r="R2219" s="4"/>
      <c r="S2219" s="4"/>
    </row>
    <row r="2220" spans="1:19" ht="21" customHeight="1" x14ac:dyDescent="0.25">
      <c r="A2220" s="14">
        <f>DATE(2012,12,31)-361</f>
        <v>40913</v>
      </c>
      <c r="B2220" s="15" t="s">
        <v>390</v>
      </c>
      <c r="C2220" s="15" t="s">
        <v>85</v>
      </c>
      <c r="D2220" s="16">
        <v>10</v>
      </c>
      <c r="E2220" s="17">
        <v>1319.421</v>
      </c>
      <c r="F2220" s="16">
        <v>7.0000000000000007E-2</v>
      </c>
      <c r="G2220" s="15" t="s">
        <v>32</v>
      </c>
      <c r="H2220" s="18">
        <v>-268.87299999999999</v>
      </c>
      <c r="I2220" s="19">
        <v>155.99</v>
      </c>
      <c r="J2220" s="19">
        <v>8.08</v>
      </c>
      <c r="K2220" s="19" t="s">
        <v>44</v>
      </c>
      <c r="L2220" s="19" t="s">
        <v>89</v>
      </c>
      <c r="M2220" s="15" t="s">
        <v>1809</v>
      </c>
      <c r="N2220" s="15" t="s">
        <v>64</v>
      </c>
      <c r="O2220" s="15" t="s">
        <v>65</v>
      </c>
      <c r="P2220" s="20" t="s">
        <v>199</v>
      </c>
      <c r="Q2220" s="15" t="s">
        <v>83</v>
      </c>
      <c r="R2220" s="4"/>
      <c r="S2220" s="4"/>
    </row>
    <row r="2221" spans="1:19" ht="21" customHeight="1" x14ac:dyDescent="0.25">
      <c r="A2221" s="14">
        <f>DATE(2012,12,31)-361</f>
        <v>40913</v>
      </c>
      <c r="B2221" s="15" t="s">
        <v>390</v>
      </c>
      <c r="C2221" s="15" t="s">
        <v>85</v>
      </c>
      <c r="D2221" s="16">
        <v>33</v>
      </c>
      <c r="E2221" s="17">
        <v>550.92999999999995</v>
      </c>
      <c r="F2221" s="16">
        <v>0.1</v>
      </c>
      <c r="G2221" s="15" t="s">
        <v>32</v>
      </c>
      <c r="H2221" s="18">
        <v>-141.6</v>
      </c>
      <c r="I2221" s="19">
        <v>17.7</v>
      </c>
      <c r="J2221" s="19">
        <v>9.4700000000000006</v>
      </c>
      <c r="K2221" s="19" t="s">
        <v>44</v>
      </c>
      <c r="L2221" s="19" t="s">
        <v>80</v>
      </c>
      <c r="M2221" s="15" t="s">
        <v>1200</v>
      </c>
      <c r="N2221" s="15" t="s">
        <v>36</v>
      </c>
      <c r="O2221" s="15" t="s">
        <v>37</v>
      </c>
      <c r="P2221" s="20" t="s">
        <v>269</v>
      </c>
      <c r="Q2221" s="15" t="s">
        <v>83</v>
      </c>
      <c r="R2221" s="4"/>
      <c r="S2221" s="4"/>
    </row>
    <row r="2222" spans="1:19" ht="21" customHeight="1" x14ac:dyDescent="0.25">
      <c r="A2222" s="14">
        <f>DATE(2012,12,31)-229</f>
        <v>41045</v>
      </c>
      <c r="B2222" s="15" t="s">
        <v>1074</v>
      </c>
      <c r="C2222" s="15" t="s">
        <v>51</v>
      </c>
      <c r="D2222" s="16">
        <v>3</v>
      </c>
      <c r="E2222" s="17">
        <v>121.12</v>
      </c>
      <c r="F2222" s="16">
        <v>0.1</v>
      </c>
      <c r="G2222" s="15" t="s">
        <v>32</v>
      </c>
      <c r="H2222" s="18">
        <v>-118.82</v>
      </c>
      <c r="I2222" s="19">
        <v>43.98</v>
      </c>
      <c r="J2222" s="19">
        <v>1.99</v>
      </c>
      <c r="K2222" s="19" t="s">
        <v>44</v>
      </c>
      <c r="L2222" s="19" t="s">
        <v>45</v>
      </c>
      <c r="M2222" s="15" t="s">
        <v>1768</v>
      </c>
      <c r="N2222" s="15" t="s">
        <v>64</v>
      </c>
      <c r="O2222" s="15" t="s">
        <v>72</v>
      </c>
      <c r="P2222" s="20" t="s">
        <v>1702</v>
      </c>
      <c r="Q2222" s="15" t="s">
        <v>49</v>
      </c>
      <c r="R2222" s="4"/>
      <c r="S2222" s="4"/>
    </row>
    <row r="2223" spans="1:19" ht="21" customHeight="1" x14ac:dyDescent="0.25">
      <c r="A2223" s="14">
        <f>DATE(2012,12,31)-895</f>
        <v>40379</v>
      </c>
      <c r="B2223" s="15" t="s">
        <v>1820</v>
      </c>
      <c r="C2223" s="15" t="s">
        <v>51</v>
      </c>
      <c r="D2223" s="16">
        <v>15</v>
      </c>
      <c r="E2223" s="17">
        <v>6933.45</v>
      </c>
      <c r="F2223" s="16">
        <v>0.04</v>
      </c>
      <c r="G2223" s="15" t="s">
        <v>58</v>
      </c>
      <c r="H2223" s="18">
        <v>1200.2049999999999</v>
      </c>
      <c r="I2223" s="19">
        <v>449.99</v>
      </c>
      <c r="J2223" s="19">
        <v>49</v>
      </c>
      <c r="K2223" s="19" t="s">
        <v>44</v>
      </c>
      <c r="L2223" s="19" t="s">
        <v>89</v>
      </c>
      <c r="M2223" s="15" t="s">
        <v>1809</v>
      </c>
      <c r="N2223" s="15" t="s">
        <v>64</v>
      </c>
      <c r="O2223" s="15" t="s">
        <v>460</v>
      </c>
      <c r="P2223" s="20" t="s">
        <v>511</v>
      </c>
      <c r="Q2223" s="15" t="s">
        <v>181</v>
      </c>
      <c r="R2223" s="4"/>
      <c r="S2223" s="4"/>
    </row>
    <row r="2224" spans="1:19" ht="21" customHeight="1" x14ac:dyDescent="0.25">
      <c r="A2224" s="14">
        <f>DATE(2012,12,31)-895</f>
        <v>40379</v>
      </c>
      <c r="B2224" s="15" t="s">
        <v>1820</v>
      </c>
      <c r="C2224" s="15" t="s">
        <v>51</v>
      </c>
      <c r="D2224" s="16">
        <v>14</v>
      </c>
      <c r="E2224" s="17">
        <v>54.99</v>
      </c>
      <c r="F2224" s="16">
        <v>0.06</v>
      </c>
      <c r="G2224" s="15" t="s">
        <v>32</v>
      </c>
      <c r="H2224" s="18">
        <v>8.07</v>
      </c>
      <c r="I2224" s="19">
        <v>4</v>
      </c>
      <c r="J2224" s="19">
        <v>1.3</v>
      </c>
      <c r="K2224" s="19" t="s">
        <v>44</v>
      </c>
      <c r="L2224" s="19" t="s">
        <v>120</v>
      </c>
      <c r="M2224" s="15" t="s">
        <v>121</v>
      </c>
      <c r="N2224" s="15" t="s">
        <v>36</v>
      </c>
      <c r="O2224" s="15" t="s">
        <v>117</v>
      </c>
      <c r="P2224" s="20" t="s">
        <v>958</v>
      </c>
      <c r="Q2224" s="15" t="s">
        <v>79</v>
      </c>
      <c r="R2224" s="4"/>
      <c r="S2224" s="4"/>
    </row>
    <row r="2225" spans="1:19" ht="21" customHeight="1" x14ac:dyDescent="0.25">
      <c r="A2225" s="14">
        <f>DATE(2012,12,31)-712</f>
        <v>40562</v>
      </c>
      <c r="B2225" s="15" t="s">
        <v>305</v>
      </c>
      <c r="C2225" s="15" t="s">
        <v>51</v>
      </c>
      <c r="D2225" s="16">
        <v>9</v>
      </c>
      <c r="E2225" s="17">
        <v>42.21</v>
      </c>
      <c r="F2225" s="16">
        <v>0</v>
      </c>
      <c r="G2225" s="15" t="s">
        <v>101</v>
      </c>
      <c r="H2225" s="18">
        <v>18.21</v>
      </c>
      <c r="I2225" s="19">
        <v>2.88</v>
      </c>
      <c r="J2225" s="19">
        <v>0.99</v>
      </c>
      <c r="K2225" s="19" t="s">
        <v>44</v>
      </c>
      <c r="L2225" s="19" t="s">
        <v>89</v>
      </c>
      <c r="M2225" s="15" t="s">
        <v>1809</v>
      </c>
      <c r="N2225" s="15" t="s">
        <v>36</v>
      </c>
      <c r="O2225" s="15" t="s">
        <v>114</v>
      </c>
      <c r="P2225" s="20" t="s">
        <v>1153</v>
      </c>
      <c r="Q2225" s="15" t="s">
        <v>83</v>
      </c>
      <c r="R2225" s="4"/>
      <c r="S2225" s="4"/>
    </row>
    <row r="2226" spans="1:19" ht="21" customHeight="1" x14ac:dyDescent="0.25">
      <c r="A2226" s="14">
        <f>DATE(2012,12,31)-163</f>
        <v>41111</v>
      </c>
      <c r="B2226" s="15" t="s">
        <v>1821</v>
      </c>
      <c r="C2226" s="15" t="s">
        <v>31</v>
      </c>
      <c r="D2226" s="16">
        <v>31</v>
      </c>
      <c r="E2226" s="17">
        <v>480.43</v>
      </c>
      <c r="F2226" s="16">
        <v>0.06</v>
      </c>
      <c r="G2226" s="15" t="s">
        <v>32</v>
      </c>
      <c r="H2226" s="18">
        <v>50.59</v>
      </c>
      <c r="I2226" s="19">
        <v>14.98</v>
      </c>
      <c r="J2226" s="19">
        <v>8.99</v>
      </c>
      <c r="K2226" s="19" t="s">
        <v>44</v>
      </c>
      <c r="L2226" s="19" t="s">
        <v>120</v>
      </c>
      <c r="M2226" s="15" t="s">
        <v>121</v>
      </c>
      <c r="N2226" s="15" t="s">
        <v>54</v>
      </c>
      <c r="O2226" s="15" t="s">
        <v>55</v>
      </c>
      <c r="P2226" s="20" t="s">
        <v>719</v>
      </c>
      <c r="Q2226" s="15" t="s">
        <v>49</v>
      </c>
      <c r="R2226" s="4"/>
      <c r="S2226" s="4"/>
    </row>
    <row r="2227" spans="1:19" ht="21" customHeight="1" x14ac:dyDescent="0.25">
      <c r="A2227" s="14">
        <f>DATE(2012,12,31)-163</f>
        <v>41111</v>
      </c>
      <c r="B2227" s="15" t="s">
        <v>1821</v>
      </c>
      <c r="C2227" s="15" t="s">
        <v>31</v>
      </c>
      <c r="D2227" s="16">
        <v>44</v>
      </c>
      <c r="E2227" s="17">
        <v>1001.99</v>
      </c>
      <c r="F2227" s="16">
        <v>0.09</v>
      </c>
      <c r="G2227" s="15" t="s">
        <v>32</v>
      </c>
      <c r="H2227" s="18">
        <v>333.53149999999999</v>
      </c>
      <c r="I2227" s="19">
        <v>24.95</v>
      </c>
      <c r="J2227" s="19">
        <v>2.99</v>
      </c>
      <c r="K2227" s="19" t="s">
        <v>44</v>
      </c>
      <c r="L2227" s="19" t="s">
        <v>80</v>
      </c>
      <c r="M2227" s="15" t="s">
        <v>1200</v>
      </c>
      <c r="N2227" s="15" t="s">
        <v>36</v>
      </c>
      <c r="O2227" s="15" t="s">
        <v>170</v>
      </c>
      <c r="P2227" s="20" t="s">
        <v>609</v>
      </c>
      <c r="Q2227" s="15" t="s">
        <v>83</v>
      </c>
      <c r="R2227" s="4"/>
      <c r="S2227" s="4"/>
    </row>
    <row r="2228" spans="1:19" ht="21" customHeight="1" x14ac:dyDescent="0.25">
      <c r="A2228" s="14">
        <f>DATE(2012,12,31)-665</f>
        <v>40609</v>
      </c>
      <c r="B2228" s="15" t="s">
        <v>1822</v>
      </c>
      <c r="C2228" s="15" t="s">
        <v>85</v>
      </c>
      <c r="D2228" s="16">
        <v>44</v>
      </c>
      <c r="E2228" s="17">
        <v>226.18</v>
      </c>
      <c r="F2228" s="16">
        <v>0.01</v>
      </c>
      <c r="G2228" s="15" t="s">
        <v>32</v>
      </c>
      <c r="H2228" s="18">
        <v>-115.54</v>
      </c>
      <c r="I2228" s="19">
        <v>4.82</v>
      </c>
      <c r="J2228" s="19">
        <v>5.72</v>
      </c>
      <c r="K2228" s="19" t="s">
        <v>44</v>
      </c>
      <c r="L2228" s="19" t="s">
        <v>120</v>
      </c>
      <c r="M2228" s="15" t="s">
        <v>121</v>
      </c>
      <c r="N2228" s="15" t="s">
        <v>54</v>
      </c>
      <c r="O2228" s="15" t="s">
        <v>55</v>
      </c>
      <c r="P2228" s="20" t="s">
        <v>1562</v>
      </c>
      <c r="Q2228" s="15" t="s">
        <v>49</v>
      </c>
      <c r="R2228" s="4"/>
      <c r="S2228" s="4"/>
    </row>
    <row r="2229" spans="1:19" ht="21" customHeight="1" x14ac:dyDescent="0.25">
      <c r="A2229" s="14">
        <f>DATE(2012,12,31)-1114</f>
        <v>40160</v>
      </c>
      <c r="B2229" s="15" t="s">
        <v>1525</v>
      </c>
      <c r="C2229" s="15" t="s">
        <v>43</v>
      </c>
      <c r="D2229" s="16">
        <v>25</v>
      </c>
      <c r="E2229" s="17">
        <v>13255.93</v>
      </c>
      <c r="F2229" s="16">
        <v>0.02</v>
      </c>
      <c r="G2229" s="15" t="s">
        <v>58</v>
      </c>
      <c r="H2229" s="18">
        <v>4089.27</v>
      </c>
      <c r="I2229" s="19">
        <v>500.98</v>
      </c>
      <c r="J2229" s="19">
        <v>26</v>
      </c>
      <c r="K2229" s="19" t="s">
        <v>44</v>
      </c>
      <c r="L2229" s="19" t="s">
        <v>80</v>
      </c>
      <c r="M2229" s="15" t="s">
        <v>1823</v>
      </c>
      <c r="N2229" s="15" t="s">
        <v>54</v>
      </c>
      <c r="O2229" s="15" t="s">
        <v>252</v>
      </c>
      <c r="P2229" s="20" t="s">
        <v>577</v>
      </c>
      <c r="Q2229" s="15" t="s">
        <v>181</v>
      </c>
      <c r="R2229" s="4"/>
      <c r="S2229" s="4"/>
    </row>
    <row r="2230" spans="1:19" ht="21" customHeight="1" x14ac:dyDescent="0.25">
      <c r="A2230" s="14">
        <f>DATE(2012,12,31)-169</f>
        <v>41105</v>
      </c>
      <c r="B2230" s="15" t="s">
        <v>144</v>
      </c>
      <c r="C2230" s="15" t="s">
        <v>43</v>
      </c>
      <c r="D2230" s="16">
        <v>31</v>
      </c>
      <c r="E2230" s="17">
        <v>217.14</v>
      </c>
      <c r="F2230" s="16">
        <v>0</v>
      </c>
      <c r="G2230" s="15" t="s">
        <v>32</v>
      </c>
      <c r="H2230" s="18">
        <v>-62.97</v>
      </c>
      <c r="I2230" s="19">
        <v>6.48</v>
      </c>
      <c r="J2230" s="19">
        <v>6.22</v>
      </c>
      <c r="K2230" s="19" t="s">
        <v>44</v>
      </c>
      <c r="L2230" s="19" t="s">
        <v>45</v>
      </c>
      <c r="M2230" s="15" t="s">
        <v>1768</v>
      </c>
      <c r="N2230" s="15" t="s">
        <v>36</v>
      </c>
      <c r="O2230" s="15" t="s">
        <v>117</v>
      </c>
      <c r="P2230" s="20" t="s">
        <v>1323</v>
      </c>
      <c r="Q2230" s="15" t="s">
        <v>83</v>
      </c>
      <c r="R2230" s="4"/>
      <c r="S2230" s="4"/>
    </row>
    <row r="2231" spans="1:19" ht="21" customHeight="1" x14ac:dyDescent="0.25">
      <c r="A2231" s="14">
        <f>DATE(2012,12,31)-169</f>
        <v>41105</v>
      </c>
      <c r="B2231" s="15" t="s">
        <v>144</v>
      </c>
      <c r="C2231" s="15" t="s">
        <v>43</v>
      </c>
      <c r="D2231" s="16">
        <v>22</v>
      </c>
      <c r="E2231" s="17">
        <v>426.7</v>
      </c>
      <c r="F2231" s="16">
        <v>0.06</v>
      </c>
      <c r="G2231" s="15" t="s">
        <v>32</v>
      </c>
      <c r="H2231" s="18">
        <v>104.77</v>
      </c>
      <c r="I2231" s="19">
        <v>19.84</v>
      </c>
      <c r="J2231" s="19">
        <v>4.0999999999999996</v>
      </c>
      <c r="K2231" s="19" t="s">
        <v>33</v>
      </c>
      <c r="L2231" s="19" t="s">
        <v>93</v>
      </c>
      <c r="M2231" s="15" t="s">
        <v>94</v>
      </c>
      <c r="N2231" s="15" t="s">
        <v>36</v>
      </c>
      <c r="O2231" s="15" t="s">
        <v>77</v>
      </c>
      <c r="P2231" s="20" t="s">
        <v>162</v>
      </c>
      <c r="Q2231" s="15" t="s">
        <v>79</v>
      </c>
      <c r="R2231" s="4"/>
      <c r="S2231" s="4"/>
    </row>
    <row r="2232" spans="1:19" ht="21" customHeight="1" x14ac:dyDescent="0.25">
      <c r="A2232" s="14">
        <f>DATE(2012,12,31)-603</f>
        <v>40671</v>
      </c>
      <c r="B2232" s="15" t="s">
        <v>1511</v>
      </c>
      <c r="C2232" s="15" t="s">
        <v>51</v>
      </c>
      <c r="D2232" s="16">
        <v>46</v>
      </c>
      <c r="E2232" s="17">
        <v>2968.66</v>
      </c>
      <c r="F2232" s="16">
        <v>7.0000000000000007E-2</v>
      </c>
      <c r="G2232" s="15" t="s">
        <v>32</v>
      </c>
      <c r="H2232" s="18">
        <v>1077.49</v>
      </c>
      <c r="I2232" s="19">
        <v>63.94</v>
      </c>
      <c r="J2232" s="19">
        <v>14.48</v>
      </c>
      <c r="K2232" s="19" t="s">
        <v>33</v>
      </c>
      <c r="L2232" s="19" t="s">
        <v>93</v>
      </c>
      <c r="M2232" s="15" t="s">
        <v>94</v>
      </c>
      <c r="N2232" s="15" t="s">
        <v>54</v>
      </c>
      <c r="O2232" s="15" t="s">
        <v>55</v>
      </c>
      <c r="P2232" s="20" t="s">
        <v>1787</v>
      </c>
      <c r="Q2232" s="15" t="s">
        <v>83</v>
      </c>
      <c r="R2232" s="4"/>
      <c r="S2232" s="4"/>
    </row>
    <row r="2233" spans="1:19" ht="21" customHeight="1" x14ac:dyDescent="0.25">
      <c r="A2233" s="14">
        <f>DATE(2012,12,31)-65</f>
        <v>41209</v>
      </c>
      <c r="B2233" s="15" t="s">
        <v>612</v>
      </c>
      <c r="C2233" s="15" t="s">
        <v>85</v>
      </c>
      <c r="D2233" s="16">
        <v>26</v>
      </c>
      <c r="E2233" s="17">
        <v>519.96</v>
      </c>
      <c r="F2233" s="16">
        <v>7.0000000000000007E-2</v>
      </c>
      <c r="G2233" s="15" t="s">
        <v>32</v>
      </c>
      <c r="H2233" s="18">
        <v>169.43899999999999</v>
      </c>
      <c r="I2233" s="19">
        <v>21.38</v>
      </c>
      <c r="J2233" s="19">
        <v>2.99</v>
      </c>
      <c r="K2233" s="19" t="s">
        <v>33</v>
      </c>
      <c r="L2233" s="19" t="s">
        <v>128</v>
      </c>
      <c r="M2233" s="15" t="s">
        <v>129</v>
      </c>
      <c r="N2233" s="15" t="s">
        <v>36</v>
      </c>
      <c r="O2233" s="15" t="s">
        <v>170</v>
      </c>
      <c r="P2233" s="20" t="s">
        <v>1738</v>
      </c>
      <c r="Q2233" s="15" t="s">
        <v>83</v>
      </c>
      <c r="R2233" s="4"/>
      <c r="S2233" s="4"/>
    </row>
    <row r="2234" spans="1:19" ht="21" customHeight="1" x14ac:dyDescent="0.25">
      <c r="A2234" s="14">
        <f>DATE(2012,12,31)-1193</f>
        <v>40081</v>
      </c>
      <c r="B2234" s="15" t="s">
        <v>1824</v>
      </c>
      <c r="C2234" s="15" t="s">
        <v>85</v>
      </c>
      <c r="D2234" s="16">
        <v>16</v>
      </c>
      <c r="E2234" s="17">
        <v>3083.04</v>
      </c>
      <c r="F2234" s="16">
        <v>0.06</v>
      </c>
      <c r="G2234" s="15" t="s">
        <v>58</v>
      </c>
      <c r="H2234" s="18">
        <v>872.13</v>
      </c>
      <c r="I2234" s="19">
        <v>200.97</v>
      </c>
      <c r="J2234" s="19">
        <v>15.59</v>
      </c>
      <c r="K2234" s="19" t="s">
        <v>33</v>
      </c>
      <c r="L2234" s="19" t="s">
        <v>93</v>
      </c>
      <c r="M2234" s="15" t="s">
        <v>94</v>
      </c>
      <c r="N2234" s="15" t="s">
        <v>64</v>
      </c>
      <c r="O2234" s="15" t="s">
        <v>122</v>
      </c>
      <c r="P2234" s="20" t="s">
        <v>1728</v>
      </c>
      <c r="Q2234" s="15" t="s">
        <v>181</v>
      </c>
      <c r="R2234" s="4"/>
      <c r="S2234" s="4"/>
    </row>
    <row r="2235" spans="1:19" ht="21" customHeight="1" x14ac:dyDescent="0.25">
      <c r="A2235" s="14">
        <f>DATE(2012,12,31)-1193</f>
        <v>40081</v>
      </c>
      <c r="B2235" s="15" t="s">
        <v>167</v>
      </c>
      <c r="C2235" s="15" t="s">
        <v>85</v>
      </c>
      <c r="D2235" s="16">
        <v>1</v>
      </c>
      <c r="E2235" s="17">
        <v>27.96</v>
      </c>
      <c r="F2235" s="16">
        <v>0.17</v>
      </c>
      <c r="G2235" s="15" t="s">
        <v>32</v>
      </c>
      <c r="H2235" s="18">
        <v>-9.1300000000000008</v>
      </c>
      <c r="I2235" s="19">
        <v>14.89</v>
      </c>
      <c r="J2235" s="19">
        <v>13.56</v>
      </c>
      <c r="K2235" s="19" t="s">
        <v>97</v>
      </c>
      <c r="L2235" s="19" t="s">
        <v>283</v>
      </c>
      <c r="M2235" s="15" t="s">
        <v>1471</v>
      </c>
      <c r="N2235" s="15" t="s">
        <v>54</v>
      </c>
      <c r="O2235" s="15" t="s">
        <v>55</v>
      </c>
      <c r="P2235" s="20" t="s">
        <v>1825</v>
      </c>
      <c r="Q2235" s="15" t="s">
        <v>39</v>
      </c>
      <c r="R2235" s="4"/>
      <c r="S2235" s="4"/>
    </row>
    <row r="2236" spans="1:19" ht="21" customHeight="1" x14ac:dyDescent="0.25">
      <c r="A2236" s="14">
        <f>DATE(2012,12,31)-42</f>
        <v>41232</v>
      </c>
      <c r="B2236" s="15" t="s">
        <v>1166</v>
      </c>
      <c r="C2236" s="15" t="s">
        <v>51</v>
      </c>
      <c r="D2236" s="16">
        <v>43</v>
      </c>
      <c r="E2236" s="17">
        <v>21921.279999999999</v>
      </c>
      <c r="F2236" s="16">
        <v>0.04</v>
      </c>
      <c r="G2236" s="15" t="s">
        <v>58</v>
      </c>
      <c r="H2236" s="18">
        <v>10521.33</v>
      </c>
      <c r="I2236" s="19">
        <v>500.98</v>
      </c>
      <c r="J2236" s="19">
        <v>28.14</v>
      </c>
      <c r="K2236" s="19" t="s">
        <v>97</v>
      </c>
      <c r="L2236" s="19" t="s">
        <v>132</v>
      </c>
      <c r="M2236" s="15" t="s">
        <v>133</v>
      </c>
      <c r="N2236" s="15" t="s">
        <v>64</v>
      </c>
      <c r="O2236" s="15" t="s">
        <v>122</v>
      </c>
      <c r="P2236" s="20" t="s">
        <v>231</v>
      </c>
      <c r="Q2236" s="15" t="s">
        <v>181</v>
      </c>
      <c r="R2236" s="4"/>
      <c r="S2236" s="4"/>
    </row>
    <row r="2237" spans="1:19" ht="21" customHeight="1" x14ac:dyDescent="0.25">
      <c r="A2237" s="14">
        <f>DATE(2012,12,31)-527</f>
        <v>40747</v>
      </c>
      <c r="B2237" s="15" t="s">
        <v>1826</v>
      </c>
      <c r="C2237" s="15" t="s">
        <v>85</v>
      </c>
      <c r="D2237" s="16">
        <v>50</v>
      </c>
      <c r="E2237" s="17">
        <v>514.86</v>
      </c>
      <c r="F2237" s="16">
        <v>0.09</v>
      </c>
      <c r="G2237" s="15" t="s">
        <v>32</v>
      </c>
      <c r="H2237" s="18">
        <v>-53.18</v>
      </c>
      <c r="I2237" s="19">
        <v>10.89</v>
      </c>
      <c r="J2237" s="19">
        <v>4.5</v>
      </c>
      <c r="K2237" s="19" t="s">
        <v>97</v>
      </c>
      <c r="L2237" s="19" t="s">
        <v>132</v>
      </c>
      <c r="M2237" s="15" t="s">
        <v>133</v>
      </c>
      <c r="N2237" s="15" t="s">
        <v>36</v>
      </c>
      <c r="O2237" s="15" t="s">
        <v>176</v>
      </c>
      <c r="P2237" s="20" t="s">
        <v>250</v>
      </c>
      <c r="Q2237" s="15" t="s">
        <v>83</v>
      </c>
      <c r="R2237" s="4"/>
      <c r="S2237" s="4"/>
    </row>
    <row r="2238" spans="1:19" ht="21" customHeight="1" x14ac:dyDescent="0.25">
      <c r="A2238" s="14">
        <f>DATE(2012,12,31)-156</f>
        <v>41118</v>
      </c>
      <c r="B2238" s="15" t="s">
        <v>1086</v>
      </c>
      <c r="C2238" s="15" t="s">
        <v>85</v>
      </c>
      <c r="D2238" s="16">
        <v>49</v>
      </c>
      <c r="E2238" s="17">
        <v>2692.6895</v>
      </c>
      <c r="F2238" s="16">
        <v>0.03</v>
      </c>
      <c r="G2238" s="15" t="s">
        <v>32</v>
      </c>
      <c r="H2238" s="18">
        <v>768.32100000000003</v>
      </c>
      <c r="I2238" s="19">
        <v>65.989999999999995</v>
      </c>
      <c r="J2238" s="19">
        <v>4.2</v>
      </c>
      <c r="K2238" s="19" t="s">
        <v>97</v>
      </c>
      <c r="L2238" s="19" t="s">
        <v>98</v>
      </c>
      <c r="M2238" s="15" t="s">
        <v>1162</v>
      </c>
      <c r="N2238" s="15" t="s">
        <v>64</v>
      </c>
      <c r="O2238" s="15" t="s">
        <v>65</v>
      </c>
      <c r="P2238" s="20" t="s">
        <v>86</v>
      </c>
      <c r="Q2238" s="15" t="s">
        <v>83</v>
      </c>
      <c r="R2238" s="4"/>
      <c r="S2238" s="4"/>
    </row>
    <row r="2239" spans="1:19" ht="21" customHeight="1" x14ac:dyDescent="0.25">
      <c r="A2239" s="14">
        <f>DATE(2012,12,31)-156</f>
        <v>41118</v>
      </c>
      <c r="B2239" s="15" t="s">
        <v>1086</v>
      </c>
      <c r="C2239" s="15" t="s">
        <v>85</v>
      </c>
      <c r="D2239" s="16">
        <v>38</v>
      </c>
      <c r="E2239" s="17">
        <v>151.19</v>
      </c>
      <c r="F2239" s="16">
        <v>0.03</v>
      </c>
      <c r="G2239" s="15" t="s">
        <v>32</v>
      </c>
      <c r="H2239" s="18">
        <v>60.63</v>
      </c>
      <c r="I2239" s="19">
        <v>3.78</v>
      </c>
      <c r="J2239" s="19">
        <v>0.71</v>
      </c>
      <c r="K2239" s="19" t="s">
        <v>97</v>
      </c>
      <c r="L2239" s="19" t="s">
        <v>98</v>
      </c>
      <c r="M2239" s="15" t="s">
        <v>1162</v>
      </c>
      <c r="N2239" s="15" t="s">
        <v>36</v>
      </c>
      <c r="O2239" s="15" t="s">
        <v>105</v>
      </c>
      <c r="P2239" s="20" t="s">
        <v>693</v>
      </c>
      <c r="Q2239" s="15" t="s">
        <v>79</v>
      </c>
      <c r="R2239" s="4"/>
      <c r="S2239" s="4"/>
    </row>
    <row r="2240" spans="1:19" ht="21" customHeight="1" x14ac:dyDescent="0.25">
      <c r="A2240" s="14">
        <f>DATE(2012,12,31)-363</f>
        <v>40911</v>
      </c>
      <c r="B2240" s="15" t="s">
        <v>1351</v>
      </c>
      <c r="C2240" s="15" t="s">
        <v>31</v>
      </c>
      <c r="D2240" s="16">
        <v>22</v>
      </c>
      <c r="E2240" s="17">
        <v>3353.54</v>
      </c>
      <c r="F2240" s="16">
        <v>7.0000000000000007E-2</v>
      </c>
      <c r="G2240" s="15" t="s">
        <v>32</v>
      </c>
      <c r="H2240" s="18">
        <v>1189.96</v>
      </c>
      <c r="I2240" s="19">
        <v>162.93</v>
      </c>
      <c r="J2240" s="19">
        <v>19.989999999999998</v>
      </c>
      <c r="K2240" s="19" t="s">
        <v>97</v>
      </c>
      <c r="L2240" s="19" t="s">
        <v>195</v>
      </c>
      <c r="M2240" s="15" t="s">
        <v>1413</v>
      </c>
      <c r="N2240" s="15" t="s">
        <v>36</v>
      </c>
      <c r="O2240" s="15" t="s">
        <v>189</v>
      </c>
      <c r="P2240" s="20" t="s">
        <v>739</v>
      </c>
      <c r="Q2240" s="15" t="s">
        <v>83</v>
      </c>
      <c r="R2240" s="4"/>
      <c r="S2240" s="4"/>
    </row>
    <row r="2241" spans="1:19" ht="21" customHeight="1" x14ac:dyDescent="0.25">
      <c r="A2241" s="14">
        <f>DATE(2012,12,31)-363</f>
        <v>40911</v>
      </c>
      <c r="B2241" s="15" t="s">
        <v>1351</v>
      </c>
      <c r="C2241" s="15" t="s">
        <v>31</v>
      </c>
      <c r="D2241" s="16">
        <v>26</v>
      </c>
      <c r="E2241" s="17">
        <v>69.38</v>
      </c>
      <c r="F2241" s="16">
        <v>0.08</v>
      </c>
      <c r="G2241" s="15" t="s">
        <v>32</v>
      </c>
      <c r="H2241" s="18">
        <v>-70.73</v>
      </c>
      <c r="I2241" s="19">
        <v>2.52</v>
      </c>
      <c r="J2241" s="19">
        <v>4.28</v>
      </c>
      <c r="K2241" s="19" t="s">
        <v>124</v>
      </c>
      <c r="L2241" s="19" t="s">
        <v>493</v>
      </c>
      <c r="M2241" s="15" t="s">
        <v>1810</v>
      </c>
      <c r="N2241" s="15" t="s">
        <v>36</v>
      </c>
      <c r="O2241" s="15" t="s">
        <v>77</v>
      </c>
      <c r="P2241" s="20" t="s">
        <v>1568</v>
      </c>
      <c r="Q2241" s="15" t="s">
        <v>79</v>
      </c>
      <c r="R2241" s="4"/>
      <c r="S2241" s="4"/>
    </row>
    <row r="2242" spans="1:19" ht="21" customHeight="1" x14ac:dyDescent="0.25">
      <c r="A2242" s="14">
        <f>DATE(2012,12,31)-363</f>
        <v>40911</v>
      </c>
      <c r="B2242" s="15" t="s">
        <v>1351</v>
      </c>
      <c r="C2242" s="15" t="s">
        <v>31</v>
      </c>
      <c r="D2242" s="16">
        <v>26</v>
      </c>
      <c r="E2242" s="17">
        <v>2354.15</v>
      </c>
      <c r="F2242" s="16">
        <v>0.03</v>
      </c>
      <c r="G2242" s="15" t="s">
        <v>58</v>
      </c>
      <c r="H2242" s="18">
        <v>774.79</v>
      </c>
      <c r="I2242" s="19">
        <v>90.97</v>
      </c>
      <c r="J2242" s="19">
        <v>14</v>
      </c>
      <c r="K2242" s="19" t="s">
        <v>124</v>
      </c>
      <c r="L2242" s="19" t="s">
        <v>160</v>
      </c>
      <c r="M2242" s="15" t="s">
        <v>1621</v>
      </c>
      <c r="N2242" s="15" t="s">
        <v>64</v>
      </c>
      <c r="O2242" s="15" t="s">
        <v>122</v>
      </c>
      <c r="P2242" s="20" t="s">
        <v>843</v>
      </c>
      <c r="Q2242" s="15" t="s">
        <v>181</v>
      </c>
      <c r="R2242" s="4"/>
      <c r="S2242" s="4"/>
    </row>
    <row r="2243" spans="1:19" ht="21" customHeight="1" x14ac:dyDescent="0.25">
      <c r="A2243" s="14">
        <f>DATE(2012,12,31)-893</f>
        <v>40381</v>
      </c>
      <c r="B2243" s="15" t="s">
        <v>380</v>
      </c>
      <c r="C2243" s="15" t="s">
        <v>43</v>
      </c>
      <c r="D2243" s="16">
        <v>4</v>
      </c>
      <c r="E2243" s="17">
        <v>136.68</v>
      </c>
      <c r="F2243" s="16">
        <v>0.01</v>
      </c>
      <c r="G2243" s="15" t="s">
        <v>101</v>
      </c>
      <c r="H2243" s="18">
        <v>-125.16</v>
      </c>
      <c r="I2243" s="19">
        <v>30.73</v>
      </c>
      <c r="J2243" s="19">
        <v>4</v>
      </c>
      <c r="K2243" s="19" t="s">
        <v>124</v>
      </c>
      <c r="L2243" s="19" t="s">
        <v>160</v>
      </c>
      <c r="M2243" s="15" t="s">
        <v>1621</v>
      </c>
      <c r="N2243" s="15" t="s">
        <v>64</v>
      </c>
      <c r="O2243" s="15" t="s">
        <v>72</v>
      </c>
      <c r="P2243" s="20" t="s">
        <v>971</v>
      </c>
      <c r="Q2243" s="15" t="s">
        <v>83</v>
      </c>
      <c r="R2243" s="4"/>
      <c r="S2243" s="4"/>
    </row>
    <row r="2244" spans="1:19" ht="21" customHeight="1" x14ac:dyDescent="0.25">
      <c r="A2244" s="14">
        <f>DATE(2012,12,31)-893</f>
        <v>40381</v>
      </c>
      <c r="B2244" s="15" t="s">
        <v>380</v>
      </c>
      <c r="C2244" s="15" t="s">
        <v>43</v>
      </c>
      <c r="D2244" s="16">
        <v>24</v>
      </c>
      <c r="E2244" s="17">
        <v>1452.48</v>
      </c>
      <c r="F2244" s="16">
        <v>7.0000000000000007E-2</v>
      </c>
      <c r="G2244" s="15" t="s">
        <v>101</v>
      </c>
      <c r="H2244" s="18">
        <v>376.52</v>
      </c>
      <c r="I2244" s="19">
        <v>62.18</v>
      </c>
      <c r="J2244" s="19">
        <v>10.84</v>
      </c>
      <c r="K2244" s="19" t="s">
        <v>124</v>
      </c>
      <c r="L2244" s="19" t="s">
        <v>160</v>
      </c>
      <c r="M2244" s="15" t="s">
        <v>1621</v>
      </c>
      <c r="N2244" s="15" t="s">
        <v>54</v>
      </c>
      <c r="O2244" s="15" t="s">
        <v>55</v>
      </c>
      <c r="P2244" s="20" t="s">
        <v>1827</v>
      </c>
      <c r="Q2244" s="15" t="s">
        <v>57</v>
      </c>
      <c r="R2244" s="4"/>
      <c r="S2244" s="4"/>
    </row>
    <row r="2245" spans="1:19" ht="21" customHeight="1" x14ac:dyDescent="0.25">
      <c r="A2245" s="14">
        <f>DATE(2012,12,31)-893</f>
        <v>40381</v>
      </c>
      <c r="B2245" s="15" t="s">
        <v>380</v>
      </c>
      <c r="C2245" s="15" t="s">
        <v>43</v>
      </c>
      <c r="D2245" s="16">
        <v>19</v>
      </c>
      <c r="E2245" s="17">
        <v>3555.29</v>
      </c>
      <c r="F2245" s="16">
        <v>0.09</v>
      </c>
      <c r="G2245" s="15" t="s">
        <v>101</v>
      </c>
      <c r="H2245" s="18">
        <v>183.28</v>
      </c>
      <c r="I2245" s="19">
        <v>193.17</v>
      </c>
      <c r="J2245" s="19">
        <v>19.989999999999998</v>
      </c>
      <c r="K2245" s="19" t="s">
        <v>124</v>
      </c>
      <c r="L2245" s="19" t="s">
        <v>493</v>
      </c>
      <c r="M2245" s="15" t="s">
        <v>1810</v>
      </c>
      <c r="N2245" s="15" t="s">
        <v>36</v>
      </c>
      <c r="O2245" s="15" t="s">
        <v>37</v>
      </c>
      <c r="P2245" s="20" t="s">
        <v>197</v>
      </c>
      <c r="Q2245" s="15" t="s">
        <v>83</v>
      </c>
      <c r="R2245" s="4"/>
      <c r="S2245" s="4"/>
    </row>
    <row r="2246" spans="1:19" ht="21" customHeight="1" x14ac:dyDescent="0.25">
      <c r="A2246" s="14">
        <f>DATE(2012,12,31)-1065</f>
        <v>40209</v>
      </c>
      <c r="B2246" s="15" t="s">
        <v>1648</v>
      </c>
      <c r="C2246" s="15" t="s">
        <v>85</v>
      </c>
      <c r="D2246" s="16">
        <v>36</v>
      </c>
      <c r="E2246" s="17">
        <v>78.510000000000005</v>
      </c>
      <c r="F2246" s="16">
        <v>0.09</v>
      </c>
      <c r="G2246" s="15" t="s">
        <v>32</v>
      </c>
      <c r="H2246" s="18">
        <v>-10.06</v>
      </c>
      <c r="I2246" s="19">
        <v>2.1800000000000002</v>
      </c>
      <c r="J2246" s="19">
        <v>1.38</v>
      </c>
      <c r="K2246" s="19" t="s">
        <v>124</v>
      </c>
      <c r="L2246" s="19" t="s">
        <v>160</v>
      </c>
      <c r="M2246" s="15" t="s">
        <v>1621</v>
      </c>
      <c r="N2246" s="15" t="s">
        <v>36</v>
      </c>
      <c r="O2246" s="15" t="s">
        <v>105</v>
      </c>
      <c r="P2246" s="20" t="s">
        <v>1741</v>
      </c>
      <c r="Q2246" s="15" t="s">
        <v>79</v>
      </c>
      <c r="R2246" s="4"/>
      <c r="S2246" s="4"/>
    </row>
    <row r="2247" spans="1:19" ht="21" customHeight="1" x14ac:dyDescent="0.25">
      <c r="A2247" s="14">
        <f>DATE(2012,12,31)-266</f>
        <v>41008</v>
      </c>
      <c r="B2247" s="15" t="s">
        <v>1067</v>
      </c>
      <c r="C2247" s="15" t="s">
        <v>43</v>
      </c>
      <c r="D2247" s="16">
        <v>8</v>
      </c>
      <c r="E2247" s="17">
        <v>300.2</v>
      </c>
      <c r="F2247" s="16">
        <v>0</v>
      </c>
      <c r="G2247" s="15" t="s">
        <v>32</v>
      </c>
      <c r="H2247" s="18">
        <v>6.4100000000000108</v>
      </c>
      <c r="I2247" s="19">
        <v>34.76</v>
      </c>
      <c r="J2247" s="19">
        <v>8.2200000000000006</v>
      </c>
      <c r="K2247" s="19" t="s">
        <v>124</v>
      </c>
      <c r="L2247" s="19" t="s">
        <v>493</v>
      </c>
      <c r="M2247" s="15" t="s">
        <v>1810</v>
      </c>
      <c r="N2247" s="15" t="s">
        <v>36</v>
      </c>
      <c r="O2247" s="15" t="s">
        <v>37</v>
      </c>
      <c r="P2247" s="20" t="s">
        <v>694</v>
      </c>
      <c r="Q2247" s="15" t="s">
        <v>83</v>
      </c>
      <c r="R2247" s="4"/>
      <c r="S2247" s="4"/>
    </row>
    <row r="2248" spans="1:19" ht="21" customHeight="1" x14ac:dyDescent="0.25">
      <c r="A2248" s="14">
        <f>DATE(2012,12,31)-266</f>
        <v>41008</v>
      </c>
      <c r="B2248" s="15" t="s">
        <v>1067</v>
      </c>
      <c r="C2248" s="15" t="s">
        <v>43</v>
      </c>
      <c r="D2248" s="16">
        <v>29</v>
      </c>
      <c r="E2248" s="17">
        <v>1364.8025</v>
      </c>
      <c r="F2248" s="16">
        <v>7.0000000000000007E-2</v>
      </c>
      <c r="G2248" s="15" t="s">
        <v>32</v>
      </c>
      <c r="H2248" s="18">
        <v>-183.678</v>
      </c>
      <c r="I2248" s="19">
        <v>55.99</v>
      </c>
      <c r="J2248" s="19">
        <v>5</v>
      </c>
      <c r="K2248" s="19" t="s">
        <v>124</v>
      </c>
      <c r="L2248" s="19" t="s">
        <v>164</v>
      </c>
      <c r="M2248" s="15" t="s">
        <v>1228</v>
      </c>
      <c r="N2248" s="15" t="s">
        <v>64</v>
      </c>
      <c r="O2248" s="15" t="s">
        <v>65</v>
      </c>
      <c r="P2248" s="20" t="s">
        <v>1377</v>
      </c>
      <c r="Q2248" s="15" t="s">
        <v>49</v>
      </c>
      <c r="R2248" s="4"/>
      <c r="S2248" s="4"/>
    </row>
    <row r="2249" spans="1:19" ht="21" customHeight="1" x14ac:dyDescent="0.25">
      <c r="A2249" s="14">
        <f>DATE(2012,12,31)-816</f>
        <v>40458</v>
      </c>
      <c r="B2249" s="15" t="s">
        <v>548</v>
      </c>
      <c r="C2249" s="15" t="s">
        <v>43</v>
      </c>
      <c r="D2249" s="16">
        <v>24</v>
      </c>
      <c r="E2249" s="17">
        <v>2435.5135</v>
      </c>
      <c r="F2249" s="16">
        <v>0.08</v>
      </c>
      <c r="G2249" s="15" t="s">
        <v>32</v>
      </c>
      <c r="H2249" s="18">
        <v>315.48599999999999</v>
      </c>
      <c r="I2249" s="19">
        <v>125.99</v>
      </c>
      <c r="J2249" s="19">
        <v>4.2</v>
      </c>
      <c r="K2249" s="19" t="s">
        <v>124</v>
      </c>
      <c r="L2249" s="19" t="s">
        <v>164</v>
      </c>
      <c r="M2249" s="15" t="s">
        <v>1228</v>
      </c>
      <c r="N2249" s="15" t="s">
        <v>64</v>
      </c>
      <c r="O2249" s="15" t="s">
        <v>65</v>
      </c>
      <c r="P2249" s="20" t="s">
        <v>264</v>
      </c>
      <c r="Q2249" s="15" t="s">
        <v>83</v>
      </c>
      <c r="R2249" s="4"/>
      <c r="S2249" s="4"/>
    </row>
    <row r="2250" spans="1:19" ht="21" customHeight="1" x14ac:dyDescent="0.25">
      <c r="A2250" s="14">
        <f>DATE(2012,12,31)-1168</f>
        <v>40106</v>
      </c>
      <c r="B2250" s="15" t="s">
        <v>1828</v>
      </c>
      <c r="C2250" s="15" t="s">
        <v>51</v>
      </c>
      <c r="D2250" s="16">
        <v>44</v>
      </c>
      <c r="E2250" s="17">
        <v>14521.39</v>
      </c>
      <c r="F2250" s="16">
        <v>0.03</v>
      </c>
      <c r="G2250" s="15" t="s">
        <v>32</v>
      </c>
      <c r="H2250" s="18">
        <v>5034.1499999999996</v>
      </c>
      <c r="I2250" s="19">
        <v>320.98</v>
      </c>
      <c r="J2250" s="19">
        <v>24.49</v>
      </c>
      <c r="K2250" s="19" t="s">
        <v>124</v>
      </c>
      <c r="L2250" s="19" t="s">
        <v>168</v>
      </c>
      <c r="M2250" s="15" t="s">
        <v>1624</v>
      </c>
      <c r="N2250" s="15" t="s">
        <v>54</v>
      </c>
      <c r="O2250" s="15" t="s">
        <v>252</v>
      </c>
      <c r="P2250" s="20" t="s">
        <v>1493</v>
      </c>
      <c r="Q2250" s="15" t="s">
        <v>39</v>
      </c>
      <c r="R2250" s="4"/>
      <c r="S2250" s="4"/>
    </row>
    <row r="2251" spans="1:19" ht="21" customHeight="1" x14ac:dyDescent="0.25">
      <c r="A2251" s="14">
        <f>DATE(2012,12,31)-1168</f>
        <v>40106</v>
      </c>
      <c r="B2251" s="15" t="s">
        <v>1828</v>
      </c>
      <c r="C2251" s="15" t="s">
        <v>51</v>
      </c>
      <c r="D2251" s="16">
        <v>39</v>
      </c>
      <c r="E2251" s="17">
        <v>3925.9714999999997</v>
      </c>
      <c r="F2251" s="16">
        <v>0.06</v>
      </c>
      <c r="G2251" s="15" t="s">
        <v>32</v>
      </c>
      <c r="H2251" s="18">
        <v>671.94900000000007</v>
      </c>
      <c r="I2251" s="19">
        <v>125.99</v>
      </c>
      <c r="J2251" s="19">
        <v>8.8000000000000007</v>
      </c>
      <c r="K2251" s="19" t="s">
        <v>124</v>
      </c>
      <c r="L2251" s="19" t="s">
        <v>125</v>
      </c>
      <c r="M2251" s="15" t="s">
        <v>1829</v>
      </c>
      <c r="N2251" s="15" t="s">
        <v>64</v>
      </c>
      <c r="O2251" s="15" t="s">
        <v>65</v>
      </c>
      <c r="P2251" s="20" t="s">
        <v>536</v>
      </c>
      <c r="Q2251" s="15" t="s">
        <v>83</v>
      </c>
      <c r="R2251" s="4"/>
      <c r="S2251" s="4"/>
    </row>
    <row r="2252" spans="1:19" ht="21" customHeight="1" x14ac:dyDescent="0.25">
      <c r="A2252" s="14">
        <f>DATE(2012,12,31)-66</f>
        <v>41208</v>
      </c>
      <c r="B2252" s="15" t="s">
        <v>1830</v>
      </c>
      <c r="C2252" s="15" t="s">
        <v>85</v>
      </c>
      <c r="D2252" s="16">
        <v>23</v>
      </c>
      <c r="E2252" s="17">
        <v>218.71</v>
      </c>
      <c r="F2252" s="16">
        <v>0</v>
      </c>
      <c r="G2252" s="15" t="s">
        <v>101</v>
      </c>
      <c r="H2252" s="18">
        <v>67.23</v>
      </c>
      <c r="I2252" s="19">
        <v>9.11</v>
      </c>
      <c r="J2252" s="19">
        <v>2.15</v>
      </c>
      <c r="K2252" s="19" t="s">
        <v>124</v>
      </c>
      <c r="L2252" s="19" t="s">
        <v>125</v>
      </c>
      <c r="M2252" s="15" t="s">
        <v>1829</v>
      </c>
      <c r="N2252" s="15" t="s">
        <v>36</v>
      </c>
      <c r="O2252" s="15" t="s">
        <v>117</v>
      </c>
      <c r="P2252" s="20" t="s">
        <v>1374</v>
      </c>
      <c r="Q2252" s="15" t="s">
        <v>79</v>
      </c>
      <c r="R2252" s="4"/>
      <c r="S2252" s="4"/>
    </row>
    <row r="2253" spans="1:19" ht="21" customHeight="1" x14ac:dyDescent="0.25">
      <c r="A2253" s="14">
        <f>DATE(2012,12,31)-66</f>
        <v>41208</v>
      </c>
      <c r="B2253" s="15" t="s">
        <v>1830</v>
      </c>
      <c r="C2253" s="15" t="s">
        <v>85</v>
      </c>
      <c r="D2253" s="16">
        <v>19</v>
      </c>
      <c r="E2253" s="17">
        <v>103.68</v>
      </c>
      <c r="F2253" s="16">
        <v>0.08</v>
      </c>
      <c r="G2253" s="15" t="s">
        <v>32</v>
      </c>
      <c r="H2253" s="18">
        <v>-58.16</v>
      </c>
      <c r="I2253" s="19">
        <v>5.28</v>
      </c>
      <c r="J2253" s="19">
        <v>5.85</v>
      </c>
      <c r="K2253" s="19" t="s">
        <v>124</v>
      </c>
      <c r="L2253" s="19" t="s">
        <v>164</v>
      </c>
      <c r="M2253" s="15" t="s">
        <v>1228</v>
      </c>
      <c r="N2253" s="15" t="s">
        <v>36</v>
      </c>
      <c r="O2253" s="15" t="s">
        <v>117</v>
      </c>
      <c r="P2253" s="20" t="s">
        <v>1831</v>
      </c>
      <c r="Q2253" s="15" t="s">
        <v>83</v>
      </c>
      <c r="R2253" s="4"/>
      <c r="S2253" s="4"/>
    </row>
    <row r="2254" spans="1:19" ht="21" customHeight="1" x14ac:dyDescent="0.25">
      <c r="A2254" s="14">
        <f>DATE(2012,12,31)-1313</f>
        <v>39961</v>
      </c>
      <c r="B2254" s="15" t="s">
        <v>418</v>
      </c>
      <c r="C2254" s="15" t="s">
        <v>85</v>
      </c>
      <c r="D2254" s="16">
        <v>30</v>
      </c>
      <c r="E2254" s="17">
        <v>550.29</v>
      </c>
      <c r="F2254" s="16">
        <v>0.03</v>
      </c>
      <c r="G2254" s="15" t="s">
        <v>32</v>
      </c>
      <c r="H2254" s="18">
        <v>-82.5</v>
      </c>
      <c r="I2254" s="19">
        <v>17.7</v>
      </c>
      <c r="J2254" s="19">
        <v>9.4700000000000006</v>
      </c>
      <c r="K2254" s="19" t="s">
        <v>124</v>
      </c>
      <c r="L2254" s="19" t="s">
        <v>125</v>
      </c>
      <c r="M2254" s="15" t="s">
        <v>1829</v>
      </c>
      <c r="N2254" s="15" t="s">
        <v>36</v>
      </c>
      <c r="O2254" s="15" t="s">
        <v>37</v>
      </c>
      <c r="P2254" s="20" t="s">
        <v>269</v>
      </c>
      <c r="Q2254" s="15" t="s">
        <v>83</v>
      </c>
      <c r="R2254" s="4"/>
      <c r="S2254" s="4"/>
    </row>
    <row r="2255" spans="1:19" ht="21" customHeight="1" x14ac:dyDescent="0.25">
      <c r="A2255" s="14">
        <f>DATE(2012,12,31)-1373</f>
        <v>39901</v>
      </c>
      <c r="B2255" s="15" t="s">
        <v>580</v>
      </c>
      <c r="C2255" s="15" t="s">
        <v>51</v>
      </c>
      <c r="D2255" s="16">
        <v>27</v>
      </c>
      <c r="E2255" s="17">
        <v>1068.7</v>
      </c>
      <c r="F2255" s="16">
        <v>0.04</v>
      </c>
      <c r="G2255" s="15" t="s">
        <v>32</v>
      </c>
      <c r="H2255" s="18">
        <v>-89.5</v>
      </c>
      <c r="I2255" s="19">
        <v>40.98</v>
      </c>
      <c r="J2255" s="19">
        <v>6.5</v>
      </c>
      <c r="K2255" s="19" t="s">
        <v>124</v>
      </c>
      <c r="L2255" s="19" t="s">
        <v>164</v>
      </c>
      <c r="M2255" s="15" t="s">
        <v>1228</v>
      </c>
      <c r="N2255" s="15" t="s">
        <v>64</v>
      </c>
      <c r="O2255" s="15" t="s">
        <v>72</v>
      </c>
      <c r="P2255" s="20" t="s">
        <v>1369</v>
      </c>
      <c r="Q2255" s="15" t="s">
        <v>83</v>
      </c>
      <c r="R2255" s="4"/>
      <c r="S2255" s="4"/>
    </row>
    <row r="2256" spans="1:19" ht="21" customHeight="1" x14ac:dyDescent="0.25">
      <c r="A2256" s="14">
        <f>DATE(2012,12,31)-1373</f>
        <v>39901</v>
      </c>
      <c r="B2256" s="15" t="s">
        <v>580</v>
      </c>
      <c r="C2256" s="15" t="s">
        <v>51</v>
      </c>
      <c r="D2256" s="16">
        <v>19</v>
      </c>
      <c r="E2256" s="17">
        <v>568.74350000000004</v>
      </c>
      <c r="F2256" s="16">
        <v>0.05</v>
      </c>
      <c r="G2256" s="15" t="s">
        <v>32</v>
      </c>
      <c r="H2256" s="18">
        <v>143.79300000000001</v>
      </c>
      <c r="I2256" s="19">
        <v>35.99</v>
      </c>
      <c r="J2256" s="19">
        <v>3.3</v>
      </c>
      <c r="K2256" s="19" t="s">
        <v>44</v>
      </c>
      <c r="L2256" s="19" t="s">
        <v>120</v>
      </c>
      <c r="M2256" s="15" t="s">
        <v>121</v>
      </c>
      <c r="N2256" s="15" t="s">
        <v>64</v>
      </c>
      <c r="O2256" s="15" t="s">
        <v>65</v>
      </c>
      <c r="P2256" s="20" t="s">
        <v>1720</v>
      </c>
      <c r="Q2256" s="15" t="s">
        <v>49</v>
      </c>
      <c r="R2256" s="4"/>
      <c r="S2256" s="4"/>
    </row>
    <row r="2257" spans="1:19" ht="21" customHeight="1" x14ac:dyDescent="0.25">
      <c r="A2257" s="14">
        <f>DATE(2012,12,31)-1038</f>
        <v>40236</v>
      </c>
      <c r="B2257" s="15" t="s">
        <v>183</v>
      </c>
      <c r="C2257" s="15" t="s">
        <v>31</v>
      </c>
      <c r="D2257" s="16">
        <v>2</v>
      </c>
      <c r="E2257" s="17">
        <v>13.3</v>
      </c>
      <c r="F2257" s="16">
        <v>0.09</v>
      </c>
      <c r="G2257" s="15" t="s">
        <v>32</v>
      </c>
      <c r="H2257" s="18">
        <v>-7.86</v>
      </c>
      <c r="I2257" s="19">
        <v>7.31</v>
      </c>
      <c r="J2257" s="19">
        <v>0.49</v>
      </c>
      <c r="K2257" s="19" t="s">
        <v>124</v>
      </c>
      <c r="L2257" s="19" t="s">
        <v>158</v>
      </c>
      <c r="M2257" s="15" t="s">
        <v>158</v>
      </c>
      <c r="N2257" s="15" t="s">
        <v>36</v>
      </c>
      <c r="O2257" s="15" t="s">
        <v>114</v>
      </c>
      <c r="P2257" s="20" t="s">
        <v>656</v>
      </c>
      <c r="Q2257" s="15" t="s">
        <v>83</v>
      </c>
      <c r="R2257" s="4"/>
      <c r="S2257" s="4"/>
    </row>
    <row r="2258" spans="1:19" ht="21" customHeight="1" x14ac:dyDescent="0.25">
      <c r="A2258" s="14">
        <f>DATE(2012,12,31)-1038</f>
        <v>40236</v>
      </c>
      <c r="B2258" s="15" t="s">
        <v>183</v>
      </c>
      <c r="C2258" s="15" t="s">
        <v>31</v>
      </c>
      <c r="D2258" s="16">
        <v>27</v>
      </c>
      <c r="E2258" s="17">
        <v>3379.01</v>
      </c>
      <c r="F2258" s="16">
        <v>0.06</v>
      </c>
      <c r="G2258" s="15" t="s">
        <v>58</v>
      </c>
      <c r="H2258" s="18">
        <v>-801.09</v>
      </c>
      <c r="I2258" s="19">
        <v>130.97999999999999</v>
      </c>
      <c r="J2258" s="19">
        <v>54.74</v>
      </c>
      <c r="K2258" s="19" t="s">
        <v>44</v>
      </c>
      <c r="L2258" s="19" t="s">
        <v>80</v>
      </c>
      <c r="M2258" s="15" t="s">
        <v>1823</v>
      </c>
      <c r="N2258" s="15" t="s">
        <v>54</v>
      </c>
      <c r="O2258" s="15" t="s">
        <v>134</v>
      </c>
      <c r="P2258" s="20" t="s">
        <v>135</v>
      </c>
      <c r="Q2258" s="15" t="s">
        <v>63</v>
      </c>
      <c r="R2258" s="4"/>
      <c r="S2258" s="4"/>
    </row>
    <row r="2259" spans="1:19" ht="21" customHeight="1" x14ac:dyDescent="0.25">
      <c r="A2259" s="14">
        <f>DATE(2012,12,31)-1038</f>
        <v>40236</v>
      </c>
      <c r="B2259" s="15" t="s">
        <v>183</v>
      </c>
      <c r="C2259" s="15" t="s">
        <v>31</v>
      </c>
      <c r="D2259" s="16">
        <v>15</v>
      </c>
      <c r="E2259" s="17">
        <v>687.52</v>
      </c>
      <c r="F2259" s="16">
        <v>0.08</v>
      </c>
      <c r="G2259" s="15" t="s">
        <v>32</v>
      </c>
      <c r="H2259" s="18">
        <v>223.76</v>
      </c>
      <c r="I2259" s="19">
        <v>48.91</v>
      </c>
      <c r="J2259" s="19">
        <v>5.81</v>
      </c>
      <c r="K2259" s="19" t="s">
        <v>44</v>
      </c>
      <c r="L2259" s="19" t="s">
        <v>52</v>
      </c>
      <c r="M2259" s="15" t="s">
        <v>1685</v>
      </c>
      <c r="N2259" s="15" t="s">
        <v>36</v>
      </c>
      <c r="O2259" s="15" t="s">
        <v>117</v>
      </c>
      <c r="P2259" s="20" t="s">
        <v>662</v>
      </c>
      <c r="Q2259" s="15" t="s">
        <v>83</v>
      </c>
      <c r="R2259" s="4"/>
      <c r="S2259" s="4"/>
    </row>
    <row r="2260" spans="1:19" ht="21" customHeight="1" x14ac:dyDescent="0.25">
      <c r="A2260" s="14">
        <f>DATE(2012,12,31)-1038</f>
        <v>40236</v>
      </c>
      <c r="B2260" s="15" t="s">
        <v>183</v>
      </c>
      <c r="C2260" s="15" t="s">
        <v>31</v>
      </c>
      <c r="D2260" s="16">
        <v>40</v>
      </c>
      <c r="E2260" s="17">
        <v>4538.66</v>
      </c>
      <c r="F2260" s="16">
        <v>0</v>
      </c>
      <c r="G2260" s="15" t="s">
        <v>32</v>
      </c>
      <c r="H2260" s="18">
        <v>506.86</v>
      </c>
      <c r="I2260" s="19">
        <v>111.03</v>
      </c>
      <c r="J2260" s="19">
        <v>8.64</v>
      </c>
      <c r="K2260" s="19" t="s">
        <v>44</v>
      </c>
      <c r="L2260" s="19" t="s">
        <v>80</v>
      </c>
      <c r="M2260" s="15" t="s">
        <v>1823</v>
      </c>
      <c r="N2260" s="15" t="s">
        <v>36</v>
      </c>
      <c r="O2260" s="15" t="s">
        <v>37</v>
      </c>
      <c r="P2260" s="20" t="s">
        <v>1561</v>
      </c>
      <c r="Q2260" s="15" t="s">
        <v>83</v>
      </c>
      <c r="R2260" s="4"/>
      <c r="S2260" s="4"/>
    </row>
    <row r="2261" spans="1:19" ht="21" customHeight="1" x14ac:dyDescent="0.25">
      <c r="A2261" s="14">
        <f>DATE(2012,12,31)-118</f>
        <v>41156</v>
      </c>
      <c r="B2261" s="15" t="s">
        <v>288</v>
      </c>
      <c r="C2261" s="15" t="s">
        <v>31</v>
      </c>
      <c r="D2261" s="16">
        <v>20</v>
      </c>
      <c r="E2261" s="17">
        <v>2506.38</v>
      </c>
      <c r="F2261" s="16">
        <v>7.0000000000000007E-2</v>
      </c>
      <c r="G2261" s="15" t="s">
        <v>58</v>
      </c>
      <c r="H2261" s="18">
        <v>-500.45710000000014</v>
      </c>
      <c r="I2261" s="19">
        <v>124.49</v>
      </c>
      <c r="J2261" s="19">
        <v>51.94</v>
      </c>
      <c r="K2261" s="19" t="s">
        <v>44</v>
      </c>
      <c r="L2261" s="19" t="s">
        <v>52</v>
      </c>
      <c r="M2261" s="15" t="s">
        <v>1685</v>
      </c>
      <c r="N2261" s="15" t="s">
        <v>54</v>
      </c>
      <c r="O2261" s="15" t="s">
        <v>61</v>
      </c>
      <c r="P2261" s="20" t="s">
        <v>220</v>
      </c>
      <c r="Q2261" s="15" t="s">
        <v>63</v>
      </c>
      <c r="R2261" s="4"/>
      <c r="S2261" s="4"/>
    </row>
    <row r="2262" spans="1:19" ht="21" customHeight="1" x14ac:dyDescent="0.25">
      <c r="A2262" s="14">
        <f>DATE(2012,12,31)-240</f>
        <v>41034</v>
      </c>
      <c r="B2262" s="15" t="s">
        <v>1832</v>
      </c>
      <c r="C2262" s="15" t="s">
        <v>43</v>
      </c>
      <c r="D2262" s="16">
        <v>16</v>
      </c>
      <c r="E2262" s="17">
        <v>102.73</v>
      </c>
      <c r="F2262" s="16">
        <v>0.03</v>
      </c>
      <c r="G2262" s="15" t="s">
        <v>32</v>
      </c>
      <c r="H2262" s="18">
        <v>16.329999999999998</v>
      </c>
      <c r="I2262" s="19">
        <v>5.98</v>
      </c>
      <c r="J2262" s="19">
        <v>2.5</v>
      </c>
      <c r="K2262" s="19" t="s">
        <v>44</v>
      </c>
      <c r="L2262" s="19" t="s">
        <v>52</v>
      </c>
      <c r="M2262" s="15" t="s">
        <v>1685</v>
      </c>
      <c r="N2262" s="15" t="s">
        <v>36</v>
      </c>
      <c r="O2262" s="15" t="s">
        <v>189</v>
      </c>
      <c r="P2262" s="20" t="s">
        <v>513</v>
      </c>
      <c r="Q2262" s="15" t="s">
        <v>83</v>
      </c>
      <c r="R2262" s="4"/>
      <c r="S2262" s="4"/>
    </row>
    <row r="2263" spans="1:19" ht="21" customHeight="1" x14ac:dyDescent="0.25">
      <c r="A2263" s="14">
        <f>DATE(2012,12,31)-544</f>
        <v>40730</v>
      </c>
      <c r="B2263" s="15" t="s">
        <v>502</v>
      </c>
      <c r="C2263" s="15" t="s">
        <v>85</v>
      </c>
      <c r="D2263" s="16">
        <v>1</v>
      </c>
      <c r="E2263" s="17">
        <v>9.69</v>
      </c>
      <c r="F2263" s="16">
        <v>0.05</v>
      </c>
      <c r="G2263" s="15" t="s">
        <v>32</v>
      </c>
      <c r="H2263" s="18">
        <v>-6.78</v>
      </c>
      <c r="I2263" s="19">
        <v>4.9800000000000004</v>
      </c>
      <c r="J2263" s="19">
        <v>4.72</v>
      </c>
      <c r="K2263" s="19" t="s">
        <v>44</v>
      </c>
      <c r="L2263" s="19" t="s">
        <v>52</v>
      </c>
      <c r="M2263" s="15" t="s">
        <v>1685</v>
      </c>
      <c r="N2263" s="15" t="s">
        <v>36</v>
      </c>
      <c r="O2263" s="15" t="s">
        <v>117</v>
      </c>
      <c r="P2263" s="20" t="s">
        <v>308</v>
      </c>
      <c r="Q2263" s="15" t="s">
        <v>83</v>
      </c>
      <c r="R2263" s="4"/>
      <c r="S2263" s="4"/>
    </row>
    <row r="2264" spans="1:19" ht="21" customHeight="1" x14ac:dyDescent="0.25">
      <c r="A2264" s="14">
        <f>DATE(2012,12,31)-544</f>
        <v>40730</v>
      </c>
      <c r="B2264" s="15" t="s">
        <v>502</v>
      </c>
      <c r="C2264" s="15" t="s">
        <v>85</v>
      </c>
      <c r="D2264" s="16">
        <v>48</v>
      </c>
      <c r="E2264" s="17">
        <v>331.99</v>
      </c>
      <c r="F2264" s="16">
        <v>0.03</v>
      </c>
      <c r="G2264" s="15" t="s">
        <v>32</v>
      </c>
      <c r="H2264" s="18">
        <v>45.31</v>
      </c>
      <c r="I2264" s="19">
        <v>7.08</v>
      </c>
      <c r="J2264" s="19">
        <v>2.35</v>
      </c>
      <c r="K2264" s="19" t="s">
        <v>44</v>
      </c>
      <c r="L2264" s="19" t="s">
        <v>52</v>
      </c>
      <c r="M2264" s="15" t="s">
        <v>1685</v>
      </c>
      <c r="N2264" s="15" t="s">
        <v>36</v>
      </c>
      <c r="O2264" s="15" t="s">
        <v>77</v>
      </c>
      <c r="P2264" s="20" t="s">
        <v>1833</v>
      </c>
      <c r="Q2264" s="15" t="s">
        <v>79</v>
      </c>
      <c r="R2264" s="4"/>
      <c r="S2264" s="4"/>
    </row>
    <row r="2265" spans="1:19" ht="21" customHeight="1" x14ac:dyDescent="0.25">
      <c r="A2265" s="14">
        <f>DATE(2012,12,31)-414</f>
        <v>40860</v>
      </c>
      <c r="B2265" s="15" t="s">
        <v>1834</v>
      </c>
      <c r="C2265" s="15" t="s">
        <v>51</v>
      </c>
      <c r="D2265" s="16">
        <v>47</v>
      </c>
      <c r="E2265" s="17">
        <v>14960.096</v>
      </c>
      <c r="F2265" s="16">
        <v>0.01</v>
      </c>
      <c r="G2265" s="15" t="s">
        <v>58</v>
      </c>
      <c r="H2265" s="18">
        <v>-969.0483660000001</v>
      </c>
      <c r="I2265" s="19">
        <v>400.98</v>
      </c>
      <c r="J2265" s="19">
        <v>42.52</v>
      </c>
      <c r="K2265" s="19" t="s">
        <v>69</v>
      </c>
      <c r="L2265" s="19" t="s">
        <v>70</v>
      </c>
      <c r="M2265" s="15" t="s">
        <v>1756</v>
      </c>
      <c r="N2265" s="15" t="s">
        <v>54</v>
      </c>
      <c r="O2265" s="15" t="s">
        <v>61</v>
      </c>
      <c r="P2265" s="20" t="s">
        <v>1001</v>
      </c>
      <c r="Q2265" s="15" t="s">
        <v>63</v>
      </c>
      <c r="R2265" s="4"/>
      <c r="S2265" s="4"/>
    </row>
    <row r="2266" spans="1:19" ht="21" customHeight="1" x14ac:dyDescent="0.25">
      <c r="A2266" s="14">
        <f>DATE(2012,12,31)-730</f>
        <v>40544</v>
      </c>
      <c r="B2266" s="15" t="s">
        <v>292</v>
      </c>
      <c r="C2266" s="15" t="s">
        <v>31</v>
      </c>
      <c r="D2266" s="16">
        <v>11</v>
      </c>
      <c r="E2266" s="17">
        <v>62.84</v>
      </c>
      <c r="F2266" s="16">
        <v>0.06</v>
      </c>
      <c r="G2266" s="15" t="s">
        <v>101</v>
      </c>
      <c r="H2266" s="18">
        <v>9.5299999999999994</v>
      </c>
      <c r="I2266" s="19">
        <v>5.18</v>
      </c>
      <c r="J2266" s="19">
        <v>2.04</v>
      </c>
      <c r="K2266" s="19" t="s">
        <v>69</v>
      </c>
      <c r="L2266" s="19" t="s">
        <v>215</v>
      </c>
      <c r="M2266" s="15" t="s">
        <v>1704</v>
      </c>
      <c r="N2266" s="15" t="s">
        <v>36</v>
      </c>
      <c r="O2266" s="15" t="s">
        <v>117</v>
      </c>
      <c r="P2266" s="20" t="s">
        <v>1443</v>
      </c>
      <c r="Q2266" s="15" t="s">
        <v>79</v>
      </c>
      <c r="R2266" s="4"/>
      <c r="S2266" s="4"/>
    </row>
    <row r="2267" spans="1:19" ht="21" customHeight="1" x14ac:dyDescent="0.25">
      <c r="A2267" s="14">
        <f>DATE(2012,12,31)-898</f>
        <v>40376</v>
      </c>
      <c r="B2267" s="15" t="s">
        <v>1781</v>
      </c>
      <c r="C2267" s="15" t="s">
        <v>51</v>
      </c>
      <c r="D2267" s="16">
        <v>49</v>
      </c>
      <c r="E2267" s="17">
        <v>5610.6120000000001</v>
      </c>
      <c r="F2267" s="16">
        <v>0.01</v>
      </c>
      <c r="G2267" s="15" t="s">
        <v>32</v>
      </c>
      <c r="H2267" s="18">
        <v>2040.8670000000002</v>
      </c>
      <c r="I2267" s="19">
        <v>125.99</v>
      </c>
      <c r="J2267" s="19">
        <v>2.5</v>
      </c>
      <c r="K2267" s="19" t="s">
        <v>33</v>
      </c>
      <c r="L2267" s="19" t="s">
        <v>128</v>
      </c>
      <c r="M2267" s="15" t="s">
        <v>129</v>
      </c>
      <c r="N2267" s="15" t="s">
        <v>64</v>
      </c>
      <c r="O2267" s="15" t="s">
        <v>65</v>
      </c>
      <c r="P2267" s="20" t="s">
        <v>1835</v>
      </c>
      <c r="Q2267" s="15" t="s">
        <v>83</v>
      </c>
      <c r="R2267" s="4"/>
      <c r="S2267" s="4"/>
    </row>
    <row r="2268" spans="1:19" ht="21" customHeight="1" x14ac:dyDescent="0.25">
      <c r="A2268" s="14">
        <f>DATE(2012,12,31)-898</f>
        <v>40376</v>
      </c>
      <c r="B2268" s="15" t="s">
        <v>1781</v>
      </c>
      <c r="C2268" s="15" t="s">
        <v>51</v>
      </c>
      <c r="D2268" s="16">
        <v>37</v>
      </c>
      <c r="E2268" s="17">
        <v>426.64</v>
      </c>
      <c r="F2268" s="16">
        <v>0.09</v>
      </c>
      <c r="G2268" s="15" t="s">
        <v>32</v>
      </c>
      <c r="H2268" s="18">
        <v>96.95</v>
      </c>
      <c r="I2268" s="19">
        <v>12.22</v>
      </c>
      <c r="J2268" s="19">
        <v>2.85</v>
      </c>
      <c r="K2268" s="19" t="s">
        <v>44</v>
      </c>
      <c r="L2268" s="19" t="s">
        <v>52</v>
      </c>
      <c r="M2268" s="15" t="s">
        <v>1685</v>
      </c>
      <c r="N2268" s="15" t="s">
        <v>54</v>
      </c>
      <c r="O2268" s="15" t="s">
        <v>55</v>
      </c>
      <c r="P2268" s="20" t="s">
        <v>1073</v>
      </c>
      <c r="Q2268" s="15" t="s">
        <v>49</v>
      </c>
      <c r="R2268" s="4"/>
      <c r="S2268" s="4"/>
    </row>
    <row r="2269" spans="1:19" ht="21" customHeight="1" x14ac:dyDescent="0.25">
      <c r="A2269" s="14">
        <f>DATE(2012,12,31)-633</f>
        <v>40641</v>
      </c>
      <c r="B2269" s="15" t="s">
        <v>1072</v>
      </c>
      <c r="C2269" s="15" t="s">
        <v>43</v>
      </c>
      <c r="D2269" s="16">
        <v>31</v>
      </c>
      <c r="E2269" s="17">
        <v>894.64</v>
      </c>
      <c r="F2269" s="16">
        <v>0.01</v>
      </c>
      <c r="G2269" s="15" t="s">
        <v>32</v>
      </c>
      <c r="H2269" s="18">
        <v>-27.79</v>
      </c>
      <c r="I2269" s="19">
        <v>27.42</v>
      </c>
      <c r="J2269" s="19">
        <v>19.46</v>
      </c>
      <c r="K2269" s="19" t="s">
        <v>33</v>
      </c>
      <c r="L2269" s="19" t="s">
        <v>59</v>
      </c>
      <c r="M2269" s="15" t="s">
        <v>1361</v>
      </c>
      <c r="N2269" s="15" t="s">
        <v>54</v>
      </c>
      <c r="O2269" s="15" t="s">
        <v>55</v>
      </c>
      <c r="P2269" s="20" t="s">
        <v>1279</v>
      </c>
      <c r="Q2269" s="15" t="s">
        <v>83</v>
      </c>
      <c r="R2269" s="4"/>
      <c r="S2269" s="4"/>
    </row>
    <row r="2270" spans="1:19" ht="21" customHeight="1" x14ac:dyDescent="0.25">
      <c r="A2270" s="14">
        <f>DATE(2012,12,31)-438</f>
        <v>40836</v>
      </c>
      <c r="B2270" s="15" t="s">
        <v>1115</v>
      </c>
      <c r="C2270" s="15" t="s">
        <v>43</v>
      </c>
      <c r="D2270" s="16">
        <v>17</v>
      </c>
      <c r="E2270" s="17">
        <v>1856.9694999999999</v>
      </c>
      <c r="F2270" s="16">
        <v>0</v>
      </c>
      <c r="G2270" s="15" t="s">
        <v>32</v>
      </c>
      <c r="H2270" s="18">
        <v>176.86799999999999</v>
      </c>
      <c r="I2270" s="19">
        <v>125.99</v>
      </c>
      <c r="J2270" s="19">
        <v>8.08</v>
      </c>
      <c r="K2270" s="19" t="s">
        <v>33</v>
      </c>
      <c r="L2270" s="19" t="s">
        <v>145</v>
      </c>
      <c r="M2270" s="15" t="s">
        <v>1761</v>
      </c>
      <c r="N2270" s="15" t="s">
        <v>64</v>
      </c>
      <c r="O2270" s="15" t="s">
        <v>65</v>
      </c>
      <c r="P2270" s="20" t="s">
        <v>535</v>
      </c>
      <c r="Q2270" s="15" t="s">
        <v>83</v>
      </c>
      <c r="R2270" s="4"/>
      <c r="S2270" s="4"/>
    </row>
    <row r="2271" spans="1:19" ht="21" customHeight="1" x14ac:dyDescent="0.25">
      <c r="A2271" s="14">
        <f>DATE(2012,12,31)-1187</f>
        <v>40087</v>
      </c>
      <c r="B2271" s="15" t="s">
        <v>820</v>
      </c>
      <c r="C2271" s="15" t="s">
        <v>43</v>
      </c>
      <c r="D2271" s="16">
        <v>50</v>
      </c>
      <c r="E2271" s="17">
        <v>7156.56</v>
      </c>
      <c r="F2271" s="16">
        <v>0.03</v>
      </c>
      <c r="G2271" s="15" t="s">
        <v>32</v>
      </c>
      <c r="H2271" s="18">
        <v>1871.26</v>
      </c>
      <c r="I2271" s="19">
        <v>142.86000000000001</v>
      </c>
      <c r="J2271" s="19">
        <v>19.989999999999998</v>
      </c>
      <c r="K2271" s="19" t="s">
        <v>124</v>
      </c>
      <c r="L2271" s="19" t="s">
        <v>125</v>
      </c>
      <c r="M2271" s="15" t="s">
        <v>1829</v>
      </c>
      <c r="N2271" s="15" t="s">
        <v>36</v>
      </c>
      <c r="O2271" s="15" t="s">
        <v>37</v>
      </c>
      <c r="P2271" s="20" t="s">
        <v>1019</v>
      </c>
      <c r="Q2271" s="15" t="s">
        <v>83</v>
      </c>
      <c r="R2271" s="4"/>
      <c r="S2271" s="4"/>
    </row>
    <row r="2272" spans="1:19" ht="21" customHeight="1" x14ac:dyDescent="0.25">
      <c r="A2272" s="14">
        <f>DATE(2012,12,31)-966</f>
        <v>40308</v>
      </c>
      <c r="B2272" s="15" t="s">
        <v>1589</v>
      </c>
      <c r="C2272" s="15" t="s">
        <v>51</v>
      </c>
      <c r="D2272" s="16">
        <v>39</v>
      </c>
      <c r="E2272" s="17">
        <v>1538.33</v>
      </c>
      <c r="F2272" s="16">
        <v>0.03</v>
      </c>
      <c r="G2272" s="15" t="s">
        <v>32</v>
      </c>
      <c r="H2272" s="18">
        <v>471.35</v>
      </c>
      <c r="I2272" s="19">
        <v>39.479999999999997</v>
      </c>
      <c r="J2272" s="19">
        <v>1.99</v>
      </c>
      <c r="K2272" s="19" t="s">
        <v>124</v>
      </c>
      <c r="L2272" s="19" t="s">
        <v>160</v>
      </c>
      <c r="M2272" s="15" t="s">
        <v>1621</v>
      </c>
      <c r="N2272" s="15" t="s">
        <v>64</v>
      </c>
      <c r="O2272" s="15" t="s">
        <v>72</v>
      </c>
      <c r="P2272" s="20" t="s">
        <v>218</v>
      </c>
      <c r="Q2272" s="15" t="s">
        <v>49</v>
      </c>
      <c r="R2272" s="4"/>
      <c r="S2272" s="4"/>
    </row>
    <row r="2273" spans="1:19" ht="21" customHeight="1" x14ac:dyDescent="0.25">
      <c r="A2273" s="14">
        <f>DATE(2012,12,31)-966</f>
        <v>40308</v>
      </c>
      <c r="B2273" s="15" t="s">
        <v>1589</v>
      </c>
      <c r="C2273" s="15" t="s">
        <v>51</v>
      </c>
      <c r="D2273" s="16">
        <v>39</v>
      </c>
      <c r="E2273" s="17">
        <v>147.46</v>
      </c>
      <c r="F2273" s="16">
        <v>0.06</v>
      </c>
      <c r="G2273" s="15" t="s">
        <v>32</v>
      </c>
      <c r="H2273" s="18">
        <v>14.13</v>
      </c>
      <c r="I2273" s="19">
        <v>3.71</v>
      </c>
      <c r="J2273" s="19">
        <v>1.93</v>
      </c>
      <c r="K2273" s="19" t="s">
        <v>124</v>
      </c>
      <c r="L2273" s="19" t="s">
        <v>160</v>
      </c>
      <c r="M2273" s="15" t="s">
        <v>1621</v>
      </c>
      <c r="N2273" s="15" t="s">
        <v>36</v>
      </c>
      <c r="O2273" s="15" t="s">
        <v>117</v>
      </c>
      <c r="P2273" s="20" t="s">
        <v>1375</v>
      </c>
      <c r="Q2273" s="15" t="s">
        <v>79</v>
      </c>
      <c r="R2273" s="4"/>
      <c r="S2273" s="4"/>
    </row>
    <row r="2274" spans="1:19" ht="21" customHeight="1" x14ac:dyDescent="0.25">
      <c r="A2274" s="14">
        <f>DATE(2012,12,31)-154</f>
        <v>41120</v>
      </c>
      <c r="B2274" s="15" t="s">
        <v>185</v>
      </c>
      <c r="C2274" s="15" t="s">
        <v>85</v>
      </c>
      <c r="D2274" s="16">
        <v>16</v>
      </c>
      <c r="E2274" s="17">
        <v>113.25</v>
      </c>
      <c r="F2274" s="16">
        <v>0.03</v>
      </c>
      <c r="G2274" s="15" t="s">
        <v>32</v>
      </c>
      <c r="H2274" s="18">
        <v>-43.43</v>
      </c>
      <c r="I2274" s="19">
        <v>6.48</v>
      </c>
      <c r="J2274" s="19">
        <v>6.65</v>
      </c>
      <c r="K2274" s="19" t="s">
        <v>124</v>
      </c>
      <c r="L2274" s="19" t="s">
        <v>319</v>
      </c>
      <c r="M2274" s="15" t="s">
        <v>1711</v>
      </c>
      <c r="N2274" s="15" t="s">
        <v>36</v>
      </c>
      <c r="O2274" s="15" t="s">
        <v>117</v>
      </c>
      <c r="P2274" s="20" t="s">
        <v>1052</v>
      </c>
      <c r="Q2274" s="15" t="s">
        <v>83</v>
      </c>
      <c r="R2274" s="4"/>
      <c r="S2274" s="4"/>
    </row>
    <row r="2275" spans="1:19" ht="21" customHeight="1" x14ac:dyDescent="0.25">
      <c r="A2275" s="14">
        <f>DATE(2012,12,31)-517</f>
        <v>40757</v>
      </c>
      <c r="B2275" s="15" t="s">
        <v>942</v>
      </c>
      <c r="C2275" s="15" t="s">
        <v>85</v>
      </c>
      <c r="D2275" s="16">
        <v>6</v>
      </c>
      <c r="E2275" s="17">
        <v>157.94</v>
      </c>
      <c r="F2275" s="16">
        <v>0.04</v>
      </c>
      <c r="G2275" s="15" t="s">
        <v>101</v>
      </c>
      <c r="H2275" s="18">
        <v>9.15</v>
      </c>
      <c r="I2275" s="19">
        <v>22.98</v>
      </c>
      <c r="J2275" s="19">
        <v>4.5</v>
      </c>
      <c r="K2275" s="19" t="s">
        <v>44</v>
      </c>
      <c r="L2275" s="19" t="s">
        <v>52</v>
      </c>
      <c r="M2275" s="15" t="s">
        <v>1685</v>
      </c>
      <c r="N2275" s="15" t="s">
        <v>36</v>
      </c>
      <c r="O2275" s="15" t="s">
        <v>176</v>
      </c>
      <c r="P2275" s="20" t="s">
        <v>790</v>
      </c>
      <c r="Q2275" s="15" t="s">
        <v>83</v>
      </c>
      <c r="R2275" s="4"/>
      <c r="S2275" s="4"/>
    </row>
    <row r="2276" spans="1:19" ht="21" customHeight="1" x14ac:dyDescent="0.25">
      <c r="A2276" s="14">
        <f>DATE(2012,12,31)-231</f>
        <v>41043</v>
      </c>
      <c r="B2276" s="15" t="s">
        <v>614</v>
      </c>
      <c r="C2276" s="15" t="s">
        <v>85</v>
      </c>
      <c r="D2276" s="16">
        <v>39</v>
      </c>
      <c r="E2276" s="17">
        <v>1343.6</v>
      </c>
      <c r="F2276" s="16">
        <v>0.06</v>
      </c>
      <c r="G2276" s="15" t="s">
        <v>32</v>
      </c>
      <c r="H2276" s="18">
        <v>137.86000000000001</v>
      </c>
      <c r="I2276" s="19">
        <v>35.89</v>
      </c>
      <c r="J2276" s="19">
        <v>14.72</v>
      </c>
      <c r="K2276" s="19" t="s">
        <v>33</v>
      </c>
      <c r="L2276" s="19" t="s">
        <v>145</v>
      </c>
      <c r="M2276" s="15" t="s">
        <v>1761</v>
      </c>
      <c r="N2276" s="15" t="s">
        <v>36</v>
      </c>
      <c r="O2276" s="15" t="s">
        <v>189</v>
      </c>
      <c r="P2276" s="20" t="s">
        <v>1677</v>
      </c>
      <c r="Q2276" s="15" t="s">
        <v>83</v>
      </c>
      <c r="R2276" s="4"/>
      <c r="S2276" s="4"/>
    </row>
    <row r="2277" spans="1:19" ht="21" customHeight="1" x14ac:dyDescent="0.25">
      <c r="A2277" s="14">
        <f>DATE(2012,12,31)-231</f>
        <v>41043</v>
      </c>
      <c r="B2277" s="15" t="s">
        <v>614</v>
      </c>
      <c r="C2277" s="15" t="s">
        <v>85</v>
      </c>
      <c r="D2277" s="16">
        <v>8</v>
      </c>
      <c r="E2277" s="17">
        <v>35.28</v>
      </c>
      <c r="F2277" s="16">
        <v>0</v>
      </c>
      <c r="G2277" s="15" t="s">
        <v>32</v>
      </c>
      <c r="H2277" s="18">
        <v>-39.07</v>
      </c>
      <c r="I2277" s="19">
        <v>3.34</v>
      </c>
      <c r="J2277" s="19">
        <v>7.49</v>
      </c>
      <c r="K2277" s="19" t="s">
        <v>33</v>
      </c>
      <c r="L2277" s="19" t="s">
        <v>59</v>
      </c>
      <c r="M2277" s="15" t="s">
        <v>1361</v>
      </c>
      <c r="N2277" s="15" t="s">
        <v>36</v>
      </c>
      <c r="O2277" s="15" t="s">
        <v>77</v>
      </c>
      <c r="P2277" s="20" t="s">
        <v>1836</v>
      </c>
      <c r="Q2277" s="15" t="s">
        <v>79</v>
      </c>
      <c r="R2277" s="4"/>
      <c r="S2277" s="4"/>
    </row>
    <row r="2278" spans="1:19" ht="21" customHeight="1" x14ac:dyDescent="0.25">
      <c r="A2278" s="14">
        <f>DATE(2012,12,31)-282</f>
        <v>40992</v>
      </c>
      <c r="B2278" s="15" t="s">
        <v>448</v>
      </c>
      <c r="C2278" s="15" t="s">
        <v>85</v>
      </c>
      <c r="D2278" s="16">
        <v>8</v>
      </c>
      <c r="E2278" s="17">
        <v>86.38</v>
      </c>
      <c r="F2278" s="16">
        <v>0.1</v>
      </c>
      <c r="G2278" s="15" t="s">
        <v>32</v>
      </c>
      <c r="H2278" s="18">
        <v>-12.61</v>
      </c>
      <c r="I2278" s="19">
        <v>10.98</v>
      </c>
      <c r="J2278" s="19">
        <v>3.37</v>
      </c>
      <c r="K2278" s="19" t="s">
        <v>33</v>
      </c>
      <c r="L2278" s="19" t="s">
        <v>128</v>
      </c>
      <c r="M2278" s="15" t="s">
        <v>129</v>
      </c>
      <c r="N2278" s="15" t="s">
        <v>36</v>
      </c>
      <c r="O2278" s="15" t="s">
        <v>47</v>
      </c>
      <c r="P2278" s="20" t="s">
        <v>1698</v>
      </c>
      <c r="Q2278" s="15" t="s">
        <v>49</v>
      </c>
      <c r="R2278" s="4"/>
      <c r="S2278" s="4"/>
    </row>
    <row r="2279" spans="1:19" ht="21" customHeight="1" x14ac:dyDescent="0.25">
      <c r="A2279" s="14">
        <f>DATE(2012,12,31)-1245</f>
        <v>40029</v>
      </c>
      <c r="B2279" s="15" t="s">
        <v>1438</v>
      </c>
      <c r="C2279" s="15" t="s">
        <v>43</v>
      </c>
      <c r="D2279" s="16">
        <v>43</v>
      </c>
      <c r="E2279" s="17">
        <v>241.19</v>
      </c>
      <c r="F2279" s="16">
        <v>0.08</v>
      </c>
      <c r="G2279" s="15" t="s">
        <v>32</v>
      </c>
      <c r="H2279" s="18">
        <v>-103.65</v>
      </c>
      <c r="I2279" s="19">
        <v>5.78</v>
      </c>
      <c r="J2279" s="19">
        <v>5.67</v>
      </c>
      <c r="K2279" s="19" t="s">
        <v>44</v>
      </c>
      <c r="L2279" s="19" t="s">
        <v>52</v>
      </c>
      <c r="M2279" s="15" t="s">
        <v>1685</v>
      </c>
      <c r="N2279" s="15" t="s">
        <v>36</v>
      </c>
      <c r="O2279" s="15" t="s">
        <v>117</v>
      </c>
      <c r="P2279" s="20" t="s">
        <v>557</v>
      </c>
      <c r="Q2279" s="15" t="s">
        <v>83</v>
      </c>
      <c r="R2279" s="4"/>
      <c r="S2279" s="4"/>
    </row>
    <row r="2280" spans="1:19" ht="21" customHeight="1" x14ac:dyDescent="0.25">
      <c r="A2280" s="14">
        <f>DATE(2012,12,31)-449</f>
        <v>40825</v>
      </c>
      <c r="B2280" s="15" t="s">
        <v>1837</v>
      </c>
      <c r="C2280" s="15" t="s">
        <v>85</v>
      </c>
      <c r="D2280" s="16">
        <v>40</v>
      </c>
      <c r="E2280" s="17">
        <v>272.01</v>
      </c>
      <c r="F2280" s="16">
        <v>0.01</v>
      </c>
      <c r="G2280" s="15" t="s">
        <v>32</v>
      </c>
      <c r="H2280" s="18">
        <v>-42.45</v>
      </c>
      <c r="I2280" s="19">
        <v>6.48</v>
      </c>
      <c r="J2280" s="19">
        <v>5.14</v>
      </c>
      <c r="K2280" s="19" t="s">
        <v>44</v>
      </c>
      <c r="L2280" s="19" t="s">
        <v>236</v>
      </c>
      <c r="M2280" s="15" t="s">
        <v>237</v>
      </c>
      <c r="N2280" s="15" t="s">
        <v>36</v>
      </c>
      <c r="O2280" s="15" t="s">
        <v>117</v>
      </c>
      <c r="P2280" s="20" t="s">
        <v>302</v>
      </c>
      <c r="Q2280" s="15" t="s">
        <v>83</v>
      </c>
      <c r="R2280" s="4"/>
      <c r="S2280" s="4"/>
    </row>
    <row r="2281" spans="1:19" ht="21" customHeight="1" x14ac:dyDescent="0.25">
      <c r="A2281" s="14">
        <f>DATE(2012,12,31)-449</f>
        <v>40825</v>
      </c>
      <c r="B2281" s="15" t="s">
        <v>1837</v>
      </c>
      <c r="C2281" s="15" t="s">
        <v>85</v>
      </c>
      <c r="D2281" s="16">
        <v>16</v>
      </c>
      <c r="E2281" s="17">
        <v>171.5</v>
      </c>
      <c r="F2281" s="16">
        <v>0.02</v>
      </c>
      <c r="G2281" s="15" t="s">
        <v>32</v>
      </c>
      <c r="H2281" s="18">
        <v>-20.41</v>
      </c>
      <c r="I2281" s="19">
        <v>10.23</v>
      </c>
      <c r="J2281" s="19">
        <v>4.68</v>
      </c>
      <c r="K2281" s="19" t="s">
        <v>33</v>
      </c>
      <c r="L2281" s="19" t="s">
        <v>59</v>
      </c>
      <c r="M2281" s="15" t="s">
        <v>1361</v>
      </c>
      <c r="N2281" s="15" t="s">
        <v>36</v>
      </c>
      <c r="O2281" s="15" t="s">
        <v>47</v>
      </c>
      <c r="P2281" s="20" t="s">
        <v>1167</v>
      </c>
      <c r="Q2281" s="15" t="s">
        <v>49</v>
      </c>
      <c r="R2281" s="4"/>
      <c r="S2281" s="4"/>
    </row>
    <row r="2282" spans="1:19" ht="21" customHeight="1" x14ac:dyDescent="0.25">
      <c r="A2282" s="14">
        <f>DATE(2012,12,31)-148</f>
        <v>41126</v>
      </c>
      <c r="B2282" s="15" t="s">
        <v>1417</v>
      </c>
      <c r="C2282" s="15" t="s">
        <v>85</v>
      </c>
      <c r="D2282" s="16">
        <v>19</v>
      </c>
      <c r="E2282" s="17">
        <v>128.21</v>
      </c>
      <c r="F2282" s="16">
        <v>0.05</v>
      </c>
      <c r="G2282" s="15" t="s">
        <v>32</v>
      </c>
      <c r="H2282" s="18">
        <v>-55.13</v>
      </c>
      <c r="I2282" s="19">
        <v>6.48</v>
      </c>
      <c r="J2282" s="19">
        <v>6.57</v>
      </c>
      <c r="K2282" s="19" t="s">
        <v>33</v>
      </c>
      <c r="L2282" s="19" t="s">
        <v>34</v>
      </c>
      <c r="M2282" s="15" t="s">
        <v>1716</v>
      </c>
      <c r="N2282" s="15" t="s">
        <v>36</v>
      </c>
      <c r="O2282" s="15" t="s">
        <v>117</v>
      </c>
      <c r="P2282" s="20" t="s">
        <v>1838</v>
      </c>
      <c r="Q2282" s="15" t="s">
        <v>83</v>
      </c>
      <c r="R2282" s="4"/>
      <c r="S2282" s="4"/>
    </row>
    <row r="2283" spans="1:19" ht="21" customHeight="1" x14ac:dyDescent="0.25">
      <c r="A2283" s="14">
        <f>DATE(2012,12,31)-596</f>
        <v>40678</v>
      </c>
      <c r="B2283" s="15" t="s">
        <v>961</v>
      </c>
      <c r="C2283" s="15" t="s">
        <v>85</v>
      </c>
      <c r="D2283" s="16">
        <v>12</v>
      </c>
      <c r="E2283" s="17">
        <v>73.5</v>
      </c>
      <c r="F2283" s="16">
        <v>0.03</v>
      </c>
      <c r="G2283" s="15" t="s">
        <v>32</v>
      </c>
      <c r="H2283" s="18">
        <v>5.71</v>
      </c>
      <c r="I2283" s="19">
        <v>5.98</v>
      </c>
      <c r="J2283" s="19">
        <v>2.5</v>
      </c>
      <c r="K2283" s="19" t="s">
        <v>33</v>
      </c>
      <c r="L2283" s="19" t="s">
        <v>145</v>
      </c>
      <c r="M2283" s="15" t="s">
        <v>1761</v>
      </c>
      <c r="N2283" s="15" t="s">
        <v>36</v>
      </c>
      <c r="O2283" s="15" t="s">
        <v>189</v>
      </c>
      <c r="P2283" s="20" t="s">
        <v>513</v>
      </c>
      <c r="Q2283" s="15" t="s">
        <v>83</v>
      </c>
      <c r="R2283" s="4"/>
      <c r="S2283" s="4"/>
    </row>
    <row r="2284" spans="1:19" ht="21" customHeight="1" x14ac:dyDescent="0.25">
      <c r="A2284" s="14">
        <f>DATE(2012,12,31)-1258</f>
        <v>40016</v>
      </c>
      <c r="B2284" s="15" t="s">
        <v>1046</v>
      </c>
      <c r="C2284" s="15" t="s">
        <v>43</v>
      </c>
      <c r="D2284" s="16">
        <v>9</v>
      </c>
      <c r="E2284" s="17">
        <v>252.79</v>
      </c>
      <c r="F2284" s="16">
        <v>0.09</v>
      </c>
      <c r="G2284" s="15" t="s">
        <v>32</v>
      </c>
      <c r="H2284" s="18">
        <v>58.225000000000001</v>
      </c>
      <c r="I2284" s="19">
        <v>30.56</v>
      </c>
      <c r="J2284" s="19">
        <v>2.99</v>
      </c>
      <c r="K2284" s="19" t="s">
        <v>33</v>
      </c>
      <c r="L2284" s="19" t="s">
        <v>34</v>
      </c>
      <c r="M2284" s="15" t="s">
        <v>1716</v>
      </c>
      <c r="N2284" s="15" t="s">
        <v>36</v>
      </c>
      <c r="O2284" s="15" t="s">
        <v>170</v>
      </c>
      <c r="P2284" s="20" t="s">
        <v>1381</v>
      </c>
      <c r="Q2284" s="15" t="s">
        <v>83</v>
      </c>
      <c r="R2284" s="4"/>
      <c r="S2284" s="4"/>
    </row>
    <row r="2285" spans="1:19" ht="21" customHeight="1" x14ac:dyDescent="0.25">
      <c r="A2285" s="14">
        <f>DATE(2012,12,31)-130</f>
        <v>41144</v>
      </c>
      <c r="B2285" s="15" t="s">
        <v>1813</v>
      </c>
      <c r="C2285" s="15" t="s">
        <v>85</v>
      </c>
      <c r="D2285" s="16">
        <v>46</v>
      </c>
      <c r="E2285" s="17">
        <v>134.41999999999999</v>
      </c>
      <c r="F2285" s="16">
        <v>0.05</v>
      </c>
      <c r="G2285" s="15" t="s">
        <v>32</v>
      </c>
      <c r="H2285" s="18">
        <v>9.34</v>
      </c>
      <c r="I2285" s="19">
        <v>2.88</v>
      </c>
      <c r="J2285" s="19">
        <v>1.01</v>
      </c>
      <c r="K2285" s="19" t="s">
        <v>33</v>
      </c>
      <c r="L2285" s="19" t="s">
        <v>59</v>
      </c>
      <c r="M2285" s="15" t="s">
        <v>1361</v>
      </c>
      <c r="N2285" s="15" t="s">
        <v>36</v>
      </c>
      <c r="O2285" s="15" t="s">
        <v>77</v>
      </c>
      <c r="P2285" s="20" t="s">
        <v>1461</v>
      </c>
      <c r="Q2285" s="15" t="s">
        <v>79</v>
      </c>
      <c r="R2285" s="4"/>
      <c r="S2285" s="4"/>
    </row>
    <row r="2286" spans="1:19" ht="21" customHeight="1" x14ac:dyDescent="0.25">
      <c r="A2286" s="14">
        <f>DATE(2012,12,31)-234</f>
        <v>41040</v>
      </c>
      <c r="B2286" s="15" t="s">
        <v>1839</v>
      </c>
      <c r="C2286" s="15" t="s">
        <v>85</v>
      </c>
      <c r="D2286" s="16">
        <v>12</v>
      </c>
      <c r="E2286" s="17">
        <v>94.39</v>
      </c>
      <c r="F2286" s="16">
        <v>0.04</v>
      </c>
      <c r="G2286" s="15" t="s">
        <v>32</v>
      </c>
      <c r="H2286" s="18">
        <v>-29.486000000000001</v>
      </c>
      <c r="I2286" s="19">
        <v>7.1</v>
      </c>
      <c r="J2286" s="19">
        <v>6.05</v>
      </c>
      <c r="K2286" s="19" t="s">
        <v>33</v>
      </c>
      <c r="L2286" s="19" t="s">
        <v>145</v>
      </c>
      <c r="M2286" s="15" t="s">
        <v>1761</v>
      </c>
      <c r="N2286" s="15" t="s">
        <v>36</v>
      </c>
      <c r="O2286" s="15" t="s">
        <v>170</v>
      </c>
      <c r="P2286" s="20" t="s">
        <v>913</v>
      </c>
      <c r="Q2286" s="15" t="s">
        <v>83</v>
      </c>
      <c r="R2286" s="4"/>
      <c r="S2286" s="4"/>
    </row>
    <row r="2287" spans="1:19" ht="21" customHeight="1" x14ac:dyDescent="0.25">
      <c r="A2287" s="14">
        <f>DATE(2012,12,31)-1121</f>
        <v>40153</v>
      </c>
      <c r="B2287" s="15" t="s">
        <v>1106</v>
      </c>
      <c r="C2287" s="15" t="s">
        <v>43</v>
      </c>
      <c r="D2287" s="16">
        <v>14</v>
      </c>
      <c r="E2287" s="17">
        <v>87.23</v>
      </c>
      <c r="F2287" s="16">
        <v>0.09</v>
      </c>
      <c r="G2287" s="15" t="s">
        <v>101</v>
      </c>
      <c r="H2287" s="18">
        <v>-69.528999999999996</v>
      </c>
      <c r="I2287" s="19">
        <v>5.4</v>
      </c>
      <c r="J2287" s="19">
        <v>7.78</v>
      </c>
      <c r="K2287" s="19" t="s">
        <v>69</v>
      </c>
      <c r="L2287" s="19" t="s">
        <v>70</v>
      </c>
      <c r="M2287" s="15" t="s">
        <v>1756</v>
      </c>
      <c r="N2287" s="15" t="s">
        <v>36</v>
      </c>
      <c r="O2287" s="15" t="s">
        <v>170</v>
      </c>
      <c r="P2287" s="20" t="s">
        <v>186</v>
      </c>
      <c r="Q2287" s="15" t="s">
        <v>83</v>
      </c>
      <c r="R2287" s="4"/>
      <c r="S2287" s="4"/>
    </row>
    <row r="2288" spans="1:19" ht="21" customHeight="1" x14ac:dyDescent="0.25">
      <c r="A2288" s="14">
        <f>DATE(2012,12,31)-682</f>
        <v>40592</v>
      </c>
      <c r="B2288" s="15" t="s">
        <v>1840</v>
      </c>
      <c r="C2288" s="15" t="s">
        <v>31</v>
      </c>
      <c r="D2288" s="16">
        <v>50</v>
      </c>
      <c r="E2288" s="17">
        <v>3089.06</v>
      </c>
      <c r="F2288" s="16">
        <v>0</v>
      </c>
      <c r="G2288" s="15" t="s">
        <v>32</v>
      </c>
      <c r="H2288" s="18">
        <v>719.26</v>
      </c>
      <c r="I2288" s="19">
        <v>56.96</v>
      </c>
      <c r="J2288" s="19">
        <v>13.22</v>
      </c>
      <c r="K2288" s="19" t="s">
        <v>69</v>
      </c>
      <c r="L2288" s="19" t="s">
        <v>70</v>
      </c>
      <c r="M2288" s="15" t="s">
        <v>1756</v>
      </c>
      <c r="N2288" s="15" t="s">
        <v>36</v>
      </c>
      <c r="O2288" s="15" t="s">
        <v>176</v>
      </c>
      <c r="P2288" s="20" t="s">
        <v>904</v>
      </c>
      <c r="Q2288" s="15" t="s">
        <v>83</v>
      </c>
      <c r="R2288" s="4"/>
      <c r="S2288" s="4"/>
    </row>
    <row r="2289" spans="1:19" ht="21" customHeight="1" x14ac:dyDescent="0.25">
      <c r="A2289" s="14">
        <f>DATE(2012,12,31)-682</f>
        <v>40592</v>
      </c>
      <c r="B2289" s="15" t="s">
        <v>1840</v>
      </c>
      <c r="C2289" s="15" t="s">
        <v>31</v>
      </c>
      <c r="D2289" s="16">
        <v>47</v>
      </c>
      <c r="E2289" s="17">
        <v>20265.22</v>
      </c>
      <c r="F2289" s="16">
        <v>0.08</v>
      </c>
      <c r="G2289" s="15" t="s">
        <v>58</v>
      </c>
      <c r="H2289" s="18">
        <v>6168.64</v>
      </c>
      <c r="I2289" s="19">
        <v>442.14</v>
      </c>
      <c r="J2289" s="19">
        <v>14.7</v>
      </c>
      <c r="K2289" s="19" t="s">
        <v>69</v>
      </c>
      <c r="L2289" s="19" t="s">
        <v>75</v>
      </c>
      <c r="M2289" s="15" t="s">
        <v>1786</v>
      </c>
      <c r="N2289" s="15" t="s">
        <v>64</v>
      </c>
      <c r="O2289" s="15" t="s">
        <v>122</v>
      </c>
      <c r="P2289" s="20" t="s">
        <v>1160</v>
      </c>
      <c r="Q2289" s="15" t="s">
        <v>181</v>
      </c>
      <c r="R2289" s="4"/>
      <c r="S2289" s="4"/>
    </row>
    <row r="2290" spans="1:19" ht="21" customHeight="1" x14ac:dyDescent="0.25">
      <c r="A2290" s="14">
        <f>DATE(2012,12,31)-850</f>
        <v>40424</v>
      </c>
      <c r="B2290" s="15" t="s">
        <v>1077</v>
      </c>
      <c r="C2290" s="15" t="s">
        <v>85</v>
      </c>
      <c r="D2290" s="16">
        <v>10</v>
      </c>
      <c r="E2290" s="17">
        <v>1642.43</v>
      </c>
      <c r="F2290" s="16">
        <v>0.02</v>
      </c>
      <c r="G2290" s="15" t="s">
        <v>58</v>
      </c>
      <c r="H2290" s="18">
        <v>-423.2</v>
      </c>
      <c r="I2290" s="19">
        <v>150.88999999999999</v>
      </c>
      <c r="J2290" s="19">
        <v>60.2</v>
      </c>
      <c r="K2290" s="19" t="s">
        <v>69</v>
      </c>
      <c r="L2290" s="19" t="s">
        <v>70</v>
      </c>
      <c r="M2290" s="15" t="s">
        <v>1756</v>
      </c>
      <c r="N2290" s="15" t="s">
        <v>54</v>
      </c>
      <c r="O2290" s="15" t="s">
        <v>252</v>
      </c>
      <c r="P2290" s="20" t="s">
        <v>255</v>
      </c>
      <c r="Q2290" s="15" t="s">
        <v>181</v>
      </c>
      <c r="R2290" s="4"/>
      <c r="S2290" s="4"/>
    </row>
    <row r="2291" spans="1:19" ht="21" customHeight="1" x14ac:dyDescent="0.25">
      <c r="A2291" s="14">
        <f>DATE(2012,12,31)-93</f>
        <v>41181</v>
      </c>
      <c r="B2291" s="15" t="s">
        <v>1612</v>
      </c>
      <c r="C2291" s="15" t="s">
        <v>85</v>
      </c>
      <c r="D2291" s="16">
        <v>4</v>
      </c>
      <c r="E2291" s="17">
        <v>80.290000000000006</v>
      </c>
      <c r="F2291" s="16">
        <v>0.03</v>
      </c>
      <c r="G2291" s="15" t="s">
        <v>32</v>
      </c>
      <c r="H2291" s="18">
        <v>-6.57</v>
      </c>
      <c r="I2291" s="19">
        <v>18.97</v>
      </c>
      <c r="J2291" s="19">
        <v>5.21</v>
      </c>
      <c r="K2291" s="19" t="s">
        <v>69</v>
      </c>
      <c r="L2291" s="19" t="s">
        <v>70</v>
      </c>
      <c r="M2291" s="15" t="s">
        <v>1756</v>
      </c>
      <c r="N2291" s="15" t="s">
        <v>36</v>
      </c>
      <c r="O2291" s="15" t="s">
        <v>117</v>
      </c>
      <c r="P2291" s="20" t="s">
        <v>1437</v>
      </c>
      <c r="Q2291" s="15" t="s">
        <v>83</v>
      </c>
      <c r="R2291" s="4"/>
      <c r="S2291" s="4"/>
    </row>
    <row r="2292" spans="1:19" ht="21" customHeight="1" x14ac:dyDescent="0.25">
      <c r="A2292" s="14">
        <f>DATE(2012,12,31)-93</f>
        <v>41181</v>
      </c>
      <c r="B2292" s="15" t="s">
        <v>1612</v>
      </c>
      <c r="C2292" s="15" t="s">
        <v>85</v>
      </c>
      <c r="D2292" s="16">
        <v>36</v>
      </c>
      <c r="E2292" s="17">
        <v>2628.9224999999997</v>
      </c>
      <c r="F2292" s="16">
        <v>0.03</v>
      </c>
      <c r="G2292" s="15" t="s">
        <v>32</v>
      </c>
      <c r="H2292" s="18">
        <v>832.19399999999996</v>
      </c>
      <c r="I2292" s="19">
        <v>85.99</v>
      </c>
      <c r="J2292" s="19">
        <v>0.99</v>
      </c>
      <c r="K2292" s="19" t="s">
        <v>69</v>
      </c>
      <c r="L2292" s="19" t="s">
        <v>70</v>
      </c>
      <c r="M2292" s="15" t="s">
        <v>1756</v>
      </c>
      <c r="N2292" s="15" t="s">
        <v>64</v>
      </c>
      <c r="O2292" s="15" t="s">
        <v>65</v>
      </c>
      <c r="P2292" s="20" t="s">
        <v>1595</v>
      </c>
      <c r="Q2292" s="15" t="s">
        <v>79</v>
      </c>
      <c r="R2292" s="4"/>
      <c r="S2292" s="4"/>
    </row>
    <row r="2293" spans="1:19" ht="21" customHeight="1" x14ac:dyDescent="0.25">
      <c r="A2293" s="14">
        <f>DATE(2012,12,31)-570</f>
        <v>40704</v>
      </c>
      <c r="B2293" s="15" t="s">
        <v>564</v>
      </c>
      <c r="C2293" s="15" t="s">
        <v>85</v>
      </c>
      <c r="D2293" s="16">
        <v>39</v>
      </c>
      <c r="E2293" s="17">
        <v>158.97</v>
      </c>
      <c r="F2293" s="16">
        <v>0.08</v>
      </c>
      <c r="G2293" s="15" t="s">
        <v>32</v>
      </c>
      <c r="H2293" s="18">
        <v>-30.268000000000001</v>
      </c>
      <c r="I2293" s="19">
        <v>4.18</v>
      </c>
      <c r="J2293" s="19">
        <v>2.99</v>
      </c>
      <c r="K2293" s="19" t="s">
        <v>69</v>
      </c>
      <c r="L2293" s="19" t="s">
        <v>70</v>
      </c>
      <c r="M2293" s="15" t="s">
        <v>1756</v>
      </c>
      <c r="N2293" s="15" t="s">
        <v>36</v>
      </c>
      <c r="O2293" s="15" t="s">
        <v>170</v>
      </c>
      <c r="P2293" s="20" t="s">
        <v>1452</v>
      </c>
      <c r="Q2293" s="15" t="s">
        <v>83</v>
      </c>
      <c r="R2293" s="4"/>
      <c r="S2293" s="4"/>
    </row>
    <row r="2294" spans="1:19" ht="21" customHeight="1" x14ac:dyDescent="0.25">
      <c r="A2294" s="14">
        <f>DATE(2012,12,31)-570</f>
        <v>40704</v>
      </c>
      <c r="B2294" s="15" t="s">
        <v>564</v>
      </c>
      <c r="C2294" s="15" t="s">
        <v>85</v>
      </c>
      <c r="D2294" s="16">
        <v>49</v>
      </c>
      <c r="E2294" s="17">
        <v>138.96</v>
      </c>
      <c r="F2294" s="16">
        <v>0.03</v>
      </c>
      <c r="G2294" s="15" t="s">
        <v>32</v>
      </c>
      <c r="H2294" s="18">
        <v>19.87</v>
      </c>
      <c r="I2294" s="19">
        <v>2.88</v>
      </c>
      <c r="J2294" s="19">
        <v>0.7</v>
      </c>
      <c r="K2294" s="19" t="s">
        <v>69</v>
      </c>
      <c r="L2294" s="19" t="s">
        <v>75</v>
      </c>
      <c r="M2294" s="15" t="s">
        <v>1786</v>
      </c>
      <c r="N2294" s="15" t="s">
        <v>36</v>
      </c>
      <c r="O2294" s="15" t="s">
        <v>77</v>
      </c>
      <c r="P2294" s="20" t="s">
        <v>95</v>
      </c>
      <c r="Q2294" s="15" t="s">
        <v>79</v>
      </c>
      <c r="R2294" s="4"/>
      <c r="S2294" s="4"/>
    </row>
    <row r="2295" spans="1:19" ht="21" customHeight="1" x14ac:dyDescent="0.25">
      <c r="A2295" s="14">
        <f>DATE(2012,12,31)-967</f>
        <v>40307</v>
      </c>
      <c r="B2295" s="15" t="s">
        <v>256</v>
      </c>
      <c r="C2295" s="15" t="s">
        <v>43</v>
      </c>
      <c r="D2295" s="16">
        <v>10</v>
      </c>
      <c r="E2295" s="17">
        <v>50.97</v>
      </c>
      <c r="F2295" s="16">
        <v>0.09</v>
      </c>
      <c r="G2295" s="15" t="s">
        <v>32</v>
      </c>
      <c r="H2295" s="18">
        <v>4.45</v>
      </c>
      <c r="I2295" s="19">
        <v>5.16</v>
      </c>
      <c r="J2295" s="19">
        <v>0.73</v>
      </c>
      <c r="K2295" s="19" t="s">
        <v>69</v>
      </c>
      <c r="L2295" s="19" t="s">
        <v>70</v>
      </c>
      <c r="M2295" s="15" t="s">
        <v>1841</v>
      </c>
      <c r="N2295" s="15" t="s">
        <v>36</v>
      </c>
      <c r="O2295" s="15" t="s">
        <v>77</v>
      </c>
      <c r="P2295" s="20" t="s">
        <v>1842</v>
      </c>
      <c r="Q2295" s="15" t="s">
        <v>79</v>
      </c>
      <c r="R2295" s="4"/>
      <c r="S2295" s="4"/>
    </row>
    <row r="2296" spans="1:19" ht="21" customHeight="1" x14ac:dyDescent="0.25">
      <c r="A2296" s="14">
        <f>DATE(2012,12,31)-967</f>
        <v>40307</v>
      </c>
      <c r="B2296" s="15" t="s">
        <v>256</v>
      </c>
      <c r="C2296" s="15" t="s">
        <v>43</v>
      </c>
      <c r="D2296" s="16">
        <v>1</v>
      </c>
      <c r="E2296" s="17">
        <v>4.99</v>
      </c>
      <c r="F2296" s="16">
        <v>0.04</v>
      </c>
      <c r="G2296" s="15" t="s">
        <v>32</v>
      </c>
      <c r="H2296" s="18">
        <v>-3.06</v>
      </c>
      <c r="I2296" s="19">
        <v>3.68</v>
      </c>
      <c r="J2296" s="19">
        <v>1.32</v>
      </c>
      <c r="K2296" s="19" t="s">
        <v>69</v>
      </c>
      <c r="L2296" s="19" t="s">
        <v>215</v>
      </c>
      <c r="M2296" s="15" t="s">
        <v>1704</v>
      </c>
      <c r="N2296" s="15" t="s">
        <v>36</v>
      </c>
      <c r="O2296" s="15" t="s">
        <v>47</v>
      </c>
      <c r="P2296" s="20" t="s">
        <v>1013</v>
      </c>
      <c r="Q2296" s="15" t="s">
        <v>79</v>
      </c>
      <c r="R2296" s="4"/>
      <c r="S2296" s="4"/>
    </row>
    <row r="2297" spans="1:19" ht="21" customHeight="1" x14ac:dyDescent="0.25">
      <c r="A2297" s="14">
        <f>DATE(2012,12,31)-1412</f>
        <v>39862</v>
      </c>
      <c r="B2297" s="15" t="s">
        <v>1612</v>
      </c>
      <c r="C2297" s="15" t="s">
        <v>43</v>
      </c>
      <c r="D2297" s="16">
        <v>30</v>
      </c>
      <c r="E2297" s="17">
        <v>10554.63</v>
      </c>
      <c r="F2297" s="16">
        <v>0.09</v>
      </c>
      <c r="G2297" s="15" t="s">
        <v>58</v>
      </c>
      <c r="H2297" s="18">
        <v>1240.25</v>
      </c>
      <c r="I2297" s="19">
        <v>355.98</v>
      </c>
      <c r="J2297" s="19">
        <v>58.92</v>
      </c>
      <c r="K2297" s="19" t="s">
        <v>111</v>
      </c>
      <c r="L2297" s="19" t="s">
        <v>112</v>
      </c>
      <c r="M2297" s="15" t="s">
        <v>1843</v>
      </c>
      <c r="N2297" s="15" t="s">
        <v>54</v>
      </c>
      <c r="O2297" s="15" t="s">
        <v>252</v>
      </c>
      <c r="P2297" s="20" t="s">
        <v>1466</v>
      </c>
      <c r="Q2297" s="15" t="s">
        <v>181</v>
      </c>
      <c r="R2297" s="4"/>
      <c r="S2297" s="4"/>
    </row>
    <row r="2298" spans="1:19" ht="21" customHeight="1" x14ac:dyDescent="0.25">
      <c r="A2298" s="14">
        <f>DATE(2012,12,31)-1412</f>
        <v>39862</v>
      </c>
      <c r="B2298" s="15" t="s">
        <v>1612</v>
      </c>
      <c r="C2298" s="15" t="s">
        <v>43</v>
      </c>
      <c r="D2298" s="16">
        <v>8</v>
      </c>
      <c r="E2298" s="17">
        <v>1749.64</v>
      </c>
      <c r="F2298" s="16">
        <v>0.04</v>
      </c>
      <c r="G2298" s="15" t="s">
        <v>58</v>
      </c>
      <c r="H2298" s="18">
        <v>-533.23200000000008</v>
      </c>
      <c r="I2298" s="19">
        <v>218.75</v>
      </c>
      <c r="J2298" s="19">
        <v>69.64</v>
      </c>
      <c r="K2298" s="19" t="s">
        <v>44</v>
      </c>
      <c r="L2298" s="19" t="s">
        <v>120</v>
      </c>
      <c r="M2298" s="15" t="s">
        <v>121</v>
      </c>
      <c r="N2298" s="15" t="s">
        <v>54</v>
      </c>
      <c r="O2298" s="15" t="s">
        <v>61</v>
      </c>
      <c r="P2298" s="20" t="s">
        <v>425</v>
      </c>
      <c r="Q2298" s="15" t="s">
        <v>63</v>
      </c>
      <c r="R2298" s="4"/>
      <c r="S2298" s="4"/>
    </row>
    <row r="2299" spans="1:19" ht="21" customHeight="1" x14ac:dyDescent="0.25">
      <c r="A2299" s="14">
        <f>DATE(2012,12,31)-330</f>
        <v>40944</v>
      </c>
      <c r="B2299" s="15" t="s">
        <v>1282</v>
      </c>
      <c r="C2299" s="15" t="s">
        <v>43</v>
      </c>
      <c r="D2299" s="16">
        <v>22</v>
      </c>
      <c r="E2299" s="17">
        <v>75.19</v>
      </c>
      <c r="F2299" s="16">
        <v>0.06</v>
      </c>
      <c r="G2299" s="15" t="s">
        <v>32</v>
      </c>
      <c r="H2299" s="18">
        <v>-59.12</v>
      </c>
      <c r="I2299" s="19">
        <v>3.28</v>
      </c>
      <c r="J2299" s="19">
        <v>3.97</v>
      </c>
      <c r="K2299" s="19" t="s">
        <v>44</v>
      </c>
      <c r="L2299" s="19" t="s">
        <v>45</v>
      </c>
      <c r="M2299" s="15" t="s">
        <v>1768</v>
      </c>
      <c r="N2299" s="15" t="s">
        <v>54</v>
      </c>
      <c r="O2299" s="15" t="s">
        <v>55</v>
      </c>
      <c r="P2299" s="20" t="s">
        <v>1825</v>
      </c>
      <c r="Q2299" s="15" t="s">
        <v>39</v>
      </c>
      <c r="R2299" s="4"/>
      <c r="S2299" s="4"/>
    </row>
    <row r="2300" spans="1:19" ht="21" customHeight="1" x14ac:dyDescent="0.25">
      <c r="A2300" s="14">
        <f>DATE(2012,12,31)-330</f>
        <v>40944</v>
      </c>
      <c r="B2300" s="15" t="s">
        <v>1282</v>
      </c>
      <c r="C2300" s="15" t="s">
        <v>43</v>
      </c>
      <c r="D2300" s="16">
        <v>40</v>
      </c>
      <c r="E2300" s="17">
        <v>3028.86</v>
      </c>
      <c r="F2300" s="16">
        <v>0.04</v>
      </c>
      <c r="G2300" s="15" t="s">
        <v>32</v>
      </c>
      <c r="H2300" s="18">
        <v>-2595.6502000000005</v>
      </c>
      <c r="I2300" s="19">
        <v>71.37</v>
      </c>
      <c r="J2300" s="19">
        <v>69</v>
      </c>
      <c r="K2300" s="19" t="s">
        <v>44</v>
      </c>
      <c r="L2300" s="19" t="s">
        <v>120</v>
      </c>
      <c r="M2300" s="15" t="s">
        <v>121</v>
      </c>
      <c r="N2300" s="15" t="s">
        <v>54</v>
      </c>
      <c r="O2300" s="15" t="s">
        <v>61</v>
      </c>
      <c r="P2300" s="20" t="s">
        <v>399</v>
      </c>
      <c r="Q2300" s="15" t="s">
        <v>39</v>
      </c>
      <c r="R2300" s="4"/>
      <c r="S2300" s="4"/>
    </row>
    <row r="2301" spans="1:19" ht="21" customHeight="1" x14ac:dyDescent="0.25">
      <c r="A2301" s="14">
        <f>DATE(2012,12,31)-750</f>
        <v>40524</v>
      </c>
      <c r="B2301" s="15" t="s">
        <v>1532</v>
      </c>
      <c r="C2301" s="15" t="s">
        <v>43</v>
      </c>
      <c r="D2301" s="16">
        <v>33</v>
      </c>
      <c r="E2301" s="17">
        <v>63.96</v>
      </c>
      <c r="F2301" s="16">
        <v>0.05</v>
      </c>
      <c r="G2301" s="15" t="s">
        <v>32</v>
      </c>
      <c r="H2301" s="18">
        <v>-13.708</v>
      </c>
      <c r="I2301" s="19">
        <v>1.88</v>
      </c>
      <c r="J2301" s="19">
        <v>1.49</v>
      </c>
      <c r="K2301" s="19" t="s">
        <v>44</v>
      </c>
      <c r="L2301" s="19" t="s">
        <v>120</v>
      </c>
      <c r="M2301" s="15" t="s">
        <v>121</v>
      </c>
      <c r="N2301" s="15" t="s">
        <v>36</v>
      </c>
      <c r="O2301" s="15" t="s">
        <v>170</v>
      </c>
      <c r="P2301" s="20" t="s">
        <v>1353</v>
      </c>
      <c r="Q2301" s="15" t="s">
        <v>83</v>
      </c>
      <c r="R2301" s="4"/>
      <c r="S2301" s="4"/>
    </row>
    <row r="2302" spans="1:19" ht="21" customHeight="1" x14ac:dyDescent="0.25">
      <c r="A2302" s="14">
        <f>DATE(2012,12,31)-750</f>
        <v>40524</v>
      </c>
      <c r="B2302" s="15" t="s">
        <v>1532</v>
      </c>
      <c r="C2302" s="15" t="s">
        <v>43</v>
      </c>
      <c r="D2302" s="16">
        <v>23</v>
      </c>
      <c r="E2302" s="17">
        <v>177.23</v>
      </c>
      <c r="F2302" s="16">
        <v>7.0000000000000007E-2</v>
      </c>
      <c r="G2302" s="15" t="s">
        <v>32</v>
      </c>
      <c r="H2302" s="18">
        <v>4.9400000000000004</v>
      </c>
      <c r="I2302" s="19">
        <v>8.14</v>
      </c>
      <c r="J2302" s="19">
        <v>3.12</v>
      </c>
      <c r="K2302" s="19" t="s">
        <v>44</v>
      </c>
      <c r="L2302" s="19" t="s">
        <v>80</v>
      </c>
      <c r="M2302" s="15" t="s">
        <v>1823</v>
      </c>
      <c r="N2302" s="15" t="s">
        <v>36</v>
      </c>
      <c r="O2302" s="15" t="s">
        <v>77</v>
      </c>
      <c r="P2302" s="20" t="s">
        <v>1844</v>
      </c>
      <c r="Q2302" s="15" t="s">
        <v>79</v>
      </c>
      <c r="R2302" s="4"/>
      <c r="S2302" s="4"/>
    </row>
    <row r="2303" spans="1:19" ht="21" customHeight="1" x14ac:dyDescent="0.25">
      <c r="A2303" s="14">
        <f>DATE(2012,12,31)-457</f>
        <v>40817</v>
      </c>
      <c r="B2303" s="15" t="s">
        <v>1713</v>
      </c>
      <c r="C2303" s="15" t="s">
        <v>85</v>
      </c>
      <c r="D2303" s="16">
        <v>26</v>
      </c>
      <c r="E2303" s="17">
        <v>6766.8559999999998</v>
      </c>
      <c r="F2303" s="16">
        <v>0.02</v>
      </c>
      <c r="G2303" s="15" t="s">
        <v>58</v>
      </c>
      <c r="H2303" s="18">
        <v>-774.89068800000007</v>
      </c>
      <c r="I2303" s="19">
        <v>320.64</v>
      </c>
      <c r="J2303" s="19">
        <v>43.57</v>
      </c>
      <c r="K2303" s="19" t="s">
        <v>44</v>
      </c>
      <c r="L2303" s="19" t="s">
        <v>120</v>
      </c>
      <c r="M2303" s="15" t="s">
        <v>121</v>
      </c>
      <c r="N2303" s="15" t="s">
        <v>54</v>
      </c>
      <c r="O2303" s="15" t="s">
        <v>61</v>
      </c>
      <c r="P2303" s="20" t="s">
        <v>1280</v>
      </c>
      <c r="Q2303" s="15" t="s">
        <v>63</v>
      </c>
      <c r="R2303" s="4"/>
      <c r="S2303" s="4"/>
    </row>
    <row r="2304" spans="1:19" ht="21" customHeight="1" x14ac:dyDescent="0.25">
      <c r="A2304" s="14">
        <f>DATE(2012,12,31)-1178</f>
        <v>40096</v>
      </c>
      <c r="B2304" s="15" t="s">
        <v>303</v>
      </c>
      <c r="C2304" s="15" t="s">
        <v>51</v>
      </c>
      <c r="D2304" s="16">
        <v>19</v>
      </c>
      <c r="E2304" s="17">
        <v>659.13</v>
      </c>
      <c r="F2304" s="16">
        <v>0.09</v>
      </c>
      <c r="G2304" s="15" t="s">
        <v>32</v>
      </c>
      <c r="H2304" s="18">
        <v>187.57</v>
      </c>
      <c r="I2304" s="19">
        <v>35.94</v>
      </c>
      <c r="J2304" s="19">
        <v>6.66</v>
      </c>
      <c r="K2304" s="19" t="s">
        <v>44</v>
      </c>
      <c r="L2304" s="19" t="s">
        <v>89</v>
      </c>
      <c r="M2304" s="15" t="s">
        <v>1809</v>
      </c>
      <c r="N2304" s="15" t="s">
        <v>36</v>
      </c>
      <c r="O2304" s="15" t="s">
        <v>189</v>
      </c>
      <c r="P2304" s="20" t="s">
        <v>1845</v>
      </c>
      <c r="Q2304" s="15" t="s">
        <v>83</v>
      </c>
      <c r="R2304" s="4"/>
      <c r="S2304" s="4"/>
    </row>
    <row r="2305" spans="1:19" ht="21" customHeight="1" x14ac:dyDescent="0.25">
      <c r="A2305" s="14">
        <f>DATE(2012,12,31)-1417</f>
        <v>39857</v>
      </c>
      <c r="B2305" s="15" t="s">
        <v>431</v>
      </c>
      <c r="C2305" s="15" t="s">
        <v>51</v>
      </c>
      <c r="D2305" s="16">
        <v>45</v>
      </c>
      <c r="E2305" s="17">
        <v>3699.22</v>
      </c>
      <c r="F2305" s="16">
        <v>0.05</v>
      </c>
      <c r="G2305" s="15" t="s">
        <v>58</v>
      </c>
      <c r="H2305" s="18">
        <v>565.17999999999995</v>
      </c>
      <c r="I2305" s="19">
        <v>80.97</v>
      </c>
      <c r="J2305" s="19">
        <v>30.06</v>
      </c>
      <c r="K2305" s="19" t="s">
        <v>44</v>
      </c>
      <c r="L2305" s="19" t="s">
        <v>120</v>
      </c>
      <c r="M2305" s="15" t="s">
        <v>121</v>
      </c>
      <c r="N2305" s="15" t="s">
        <v>64</v>
      </c>
      <c r="O2305" s="15" t="s">
        <v>122</v>
      </c>
      <c r="P2305" s="20" t="s">
        <v>1545</v>
      </c>
      <c r="Q2305" s="15" t="s">
        <v>63</v>
      </c>
      <c r="R2305" s="4"/>
      <c r="S2305" s="4"/>
    </row>
    <row r="2306" spans="1:19" ht="21" customHeight="1" x14ac:dyDescent="0.25">
      <c r="A2306" s="14">
        <f>DATE(2012,12,31)-1417</f>
        <v>39857</v>
      </c>
      <c r="B2306" s="15" t="s">
        <v>431</v>
      </c>
      <c r="C2306" s="15" t="s">
        <v>51</v>
      </c>
      <c r="D2306" s="16">
        <v>6</v>
      </c>
      <c r="E2306" s="17">
        <v>48.93</v>
      </c>
      <c r="F2306" s="16">
        <v>0</v>
      </c>
      <c r="G2306" s="15" t="s">
        <v>32</v>
      </c>
      <c r="H2306" s="18">
        <v>-38.72</v>
      </c>
      <c r="I2306" s="19">
        <v>6.48</v>
      </c>
      <c r="J2306" s="19">
        <v>10.050000000000001</v>
      </c>
      <c r="K2306" s="19" t="s">
        <v>44</v>
      </c>
      <c r="L2306" s="19" t="s">
        <v>45</v>
      </c>
      <c r="M2306" s="15" t="s">
        <v>1768</v>
      </c>
      <c r="N2306" s="15" t="s">
        <v>36</v>
      </c>
      <c r="O2306" s="15" t="s">
        <v>117</v>
      </c>
      <c r="P2306" s="20" t="s">
        <v>200</v>
      </c>
      <c r="Q2306" s="15" t="s">
        <v>83</v>
      </c>
      <c r="R2306" s="4"/>
      <c r="S2306" s="4"/>
    </row>
    <row r="2307" spans="1:19" ht="21" customHeight="1" x14ac:dyDescent="0.25">
      <c r="A2307" s="14">
        <f>DATE(2012,12,31)-738</f>
        <v>40536</v>
      </c>
      <c r="B2307" s="15" t="s">
        <v>1090</v>
      </c>
      <c r="C2307" s="15" t="s">
        <v>51</v>
      </c>
      <c r="D2307" s="16">
        <v>28</v>
      </c>
      <c r="E2307" s="17">
        <v>51.14</v>
      </c>
      <c r="F2307" s="16">
        <v>0.08</v>
      </c>
      <c r="G2307" s="15" t="s">
        <v>32</v>
      </c>
      <c r="H2307" s="18">
        <v>-81.96</v>
      </c>
      <c r="I2307" s="19">
        <v>1.74</v>
      </c>
      <c r="J2307" s="19">
        <v>4.08</v>
      </c>
      <c r="K2307" s="19" t="s">
        <v>44</v>
      </c>
      <c r="L2307" s="19" t="s">
        <v>45</v>
      </c>
      <c r="M2307" s="15" t="s">
        <v>1768</v>
      </c>
      <c r="N2307" s="15" t="s">
        <v>54</v>
      </c>
      <c r="O2307" s="15" t="s">
        <v>55</v>
      </c>
      <c r="P2307" s="20" t="s">
        <v>935</v>
      </c>
      <c r="Q2307" s="15" t="s">
        <v>49</v>
      </c>
      <c r="R2307" s="4"/>
      <c r="S2307" s="4"/>
    </row>
    <row r="2308" spans="1:19" ht="21" customHeight="1" x14ac:dyDescent="0.25">
      <c r="A2308" s="14">
        <f>DATE(2012,12,31)-888</f>
        <v>40386</v>
      </c>
      <c r="B2308" s="15" t="s">
        <v>1395</v>
      </c>
      <c r="C2308" s="15" t="s">
        <v>31</v>
      </c>
      <c r="D2308" s="16">
        <v>6</v>
      </c>
      <c r="E2308" s="17">
        <v>652.33000000000004</v>
      </c>
      <c r="F2308" s="16">
        <v>0.09</v>
      </c>
      <c r="G2308" s="15" t="s">
        <v>58</v>
      </c>
      <c r="H2308" s="18">
        <v>-227.51</v>
      </c>
      <c r="I2308" s="19">
        <v>113.98</v>
      </c>
      <c r="J2308" s="19">
        <v>30</v>
      </c>
      <c r="K2308" s="19" t="s">
        <v>44</v>
      </c>
      <c r="L2308" s="19" t="s">
        <v>89</v>
      </c>
      <c r="M2308" s="15" t="s">
        <v>1809</v>
      </c>
      <c r="N2308" s="15" t="s">
        <v>54</v>
      </c>
      <c r="O2308" s="15" t="s">
        <v>252</v>
      </c>
      <c r="P2308" s="20" t="s">
        <v>521</v>
      </c>
      <c r="Q2308" s="15" t="s">
        <v>181</v>
      </c>
      <c r="R2308" s="4"/>
      <c r="S2308" s="4"/>
    </row>
    <row r="2309" spans="1:19" ht="21" customHeight="1" x14ac:dyDescent="0.25">
      <c r="A2309" s="14">
        <f>DATE(2012,12,31)-966</f>
        <v>40308</v>
      </c>
      <c r="B2309" s="15" t="s">
        <v>784</v>
      </c>
      <c r="C2309" s="15" t="s">
        <v>51</v>
      </c>
      <c r="D2309" s="16">
        <v>33</v>
      </c>
      <c r="E2309" s="17">
        <v>1209.1680000000001</v>
      </c>
      <c r="F2309" s="16">
        <v>0.03</v>
      </c>
      <c r="G2309" s="15" t="s">
        <v>58</v>
      </c>
      <c r="H2309" s="18">
        <v>-1052.79</v>
      </c>
      <c r="I2309" s="19">
        <v>44.43</v>
      </c>
      <c r="J2309" s="19">
        <v>46.59</v>
      </c>
      <c r="K2309" s="19" t="s">
        <v>44</v>
      </c>
      <c r="L2309" s="19" t="s">
        <v>89</v>
      </c>
      <c r="M2309" s="15" t="s">
        <v>1809</v>
      </c>
      <c r="N2309" s="15" t="s">
        <v>54</v>
      </c>
      <c r="O2309" s="15" t="s">
        <v>61</v>
      </c>
      <c r="P2309" s="20" t="s">
        <v>1314</v>
      </c>
      <c r="Q2309" s="15" t="s">
        <v>63</v>
      </c>
      <c r="R2309" s="4"/>
      <c r="S2309" s="4"/>
    </row>
    <row r="2310" spans="1:19" ht="21" customHeight="1" x14ac:dyDescent="0.25">
      <c r="A2310" s="14">
        <f>DATE(2012,12,31)-670</f>
        <v>40604</v>
      </c>
      <c r="B2310" s="15" t="s">
        <v>643</v>
      </c>
      <c r="C2310" s="15" t="s">
        <v>43</v>
      </c>
      <c r="D2310" s="16">
        <v>46</v>
      </c>
      <c r="E2310" s="17">
        <v>7640.2249999999995</v>
      </c>
      <c r="F2310" s="16">
        <v>7.0000000000000007E-2</v>
      </c>
      <c r="G2310" s="15" t="s">
        <v>32</v>
      </c>
      <c r="H2310" s="18">
        <v>2027.682</v>
      </c>
      <c r="I2310" s="19">
        <v>205.99</v>
      </c>
      <c r="J2310" s="19">
        <v>2.5</v>
      </c>
      <c r="K2310" s="19" t="s">
        <v>44</v>
      </c>
      <c r="L2310" s="19" t="s">
        <v>89</v>
      </c>
      <c r="M2310" s="15" t="s">
        <v>1809</v>
      </c>
      <c r="N2310" s="15" t="s">
        <v>64</v>
      </c>
      <c r="O2310" s="15" t="s">
        <v>65</v>
      </c>
      <c r="P2310" s="20" t="s">
        <v>1529</v>
      </c>
      <c r="Q2310" s="15" t="s">
        <v>83</v>
      </c>
      <c r="R2310" s="4"/>
      <c r="S2310" s="4"/>
    </row>
    <row r="2311" spans="1:19" ht="21" customHeight="1" x14ac:dyDescent="0.25">
      <c r="A2311" s="14">
        <f>DATE(2012,12,31)-995</f>
        <v>40279</v>
      </c>
      <c r="B2311" s="15" t="s">
        <v>648</v>
      </c>
      <c r="C2311" s="15" t="s">
        <v>31</v>
      </c>
      <c r="D2311" s="16">
        <v>40</v>
      </c>
      <c r="E2311" s="17">
        <v>312.63</v>
      </c>
      <c r="F2311" s="16">
        <v>0.01</v>
      </c>
      <c r="G2311" s="15" t="s">
        <v>32</v>
      </c>
      <c r="H2311" s="18">
        <v>167.3</v>
      </c>
      <c r="I2311" s="19">
        <v>7.31</v>
      </c>
      <c r="J2311" s="19">
        <v>0.49</v>
      </c>
      <c r="K2311" s="19" t="s">
        <v>44</v>
      </c>
      <c r="L2311" s="19" t="s">
        <v>120</v>
      </c>
      <c r="M2311" s="15" t="s">
        <v>121</v>
      </c>
      <c r="N2311" s="15" t="s">
        <v>36</v>
      </c>
      <c r="O2311" s="15" t="s">
        <v>114</v>
      </c>
      <c r="P2311" s="20" t="s">
        <v>656</v>
      </c>
      <c r="Q2311" s="15" t="s">
        <v>83</v>
      </c>
      <c r="R2311" s="4"/>
      <c r="S2311" s="4"/>
    </row>
    <row r="2312" spans="1:19" ht="21" customHeight="1" x14ac:dyDescent="0.25">
      <c r="A2312" s="14">
        <f>DATE(2012,12,31)-995</f>
        <v>40279</v>
      </c>
      <c r="B2312" s="15" t="s">
        <v>648</v>
      </c>
      <c r="C2312" s="15" t="s">
        <v>31</v>
      </c>
      <c r="D2312" s="16">
        <v>46</v>
      </c>
      <c r="E2312" s="17">
        <v>441.4</v>
      </c>
      <c r="F2312" s="16">
        <v>0.06</v>
      </c>
      <c r="G2312" s="15" t="s">
        <v>32</v>
      </c>
      <c r="H2312" s="18">
        <v>146.04</v>
      </c>
      <c r="I2312" s="19">
        <v>10.06</v>
      </c>
      <c r="J2312" s="19">
        <v>2.06</v>
      </c>
      <c r="K2312" s="19" t="s">
        <v>44</v>
      </c>
      <c r="L2312" s="19" t="s">
        <v>89</v>
      </c>
      <c r="M2312" s="15" t="s">
        <v>1809</v>
      </c>
      <c r="N2312" s="15" t="s">
        <v>36</v>
      </c>
      <c r="O2312" s="15" t="s">
        <v>117</v>
      </c>
      <c r="P2312" s="20" t="s">
        <v>837</v>
      </c>
      <c r="Q2312" s="15" t="s">
        <v>79</v>
      </c>
      <c r="R2312" s="4"/>
      <c r="S2312" s="4"/>
    </row>
    <row r="2313" spans="1:19" ht="21" customHeight="1" x14ac:dyDescent="0.25">
      <c r="A2313" s="14">
        <f>DATE(2012,12,31)-612</f>
        <v>40662</v>
      </c>
      <c r="B2313" s="15" t="s">
        <v>230</v>
      </c>
      <c r="C2313" s="15" t="s">
        <v>31</v>
      </c>
      <c r="D2313" s="16">
        <v>49</v>
      </c>
      <c r="E2313" s="17">
        <v>1959.43</v>
      </c>
      <c r="F2313" s="16">
        <v>0.09</v>
      </c>
      <c r="G2313" s="15" t="s">
        <v>32</v>
      </c>
      <c r="H2313" s="18">
        <v>467.72</v>
      </c>
      <c r="I2313" s="19">
        <v>42.98</v>
      </c>
      <c r="J2313" s="19">
        <v>4.62</v>
      </c>
      <c r="K2313" s="19" t="s">
        <v>44</v>
      </c>
      <c r="L2313" s="19" t="s">
        <v>120</v>
      </c>
      <c r="M2313" s="15" t="s">
        <v>121</v>
      </c>
      <c r="N2313" s="15" t="s">
        <v>36</v>
      </c>
      <c r="O2313" s="15" t="s">
        <v>176</v>
      </c>
      <c r="P2313" s="20" t="s">
        <v>1670</v>
      </c>
      <c r="Q2313" s="15" t="s">
        <v>83</v>
      </c>
      <c r="R2313" s="4"/>
      <c r="S2313" s="4"/>
    </row>
    <row r="2314" spans="1:19" ht="21" customHeight="1" x14ac:dyDescent="0.25">
      <c r="A2314" s="14">
        <f>DATE(2012,12,31)-612</f>
        <v>40662</v>
      </c>
      <c r="B2314" s="15" t="s">
        <v>230</v>
      </c>
      <c r="C2314" s="15" t="s">
        <v>31</v>
      </c>
      <c r="D2314" s="16">
        <v>39</v>
      </c>
      <c r="E2314" s="17">
        <v>14072.64</v>
      </c>
      <c r="F2314" s="16">
        <v>0.02</v>
      </c>
      <c r="G2314" s="15" t="s">
        <v>58</v>
      </c>
      <c r="H2314" s="18">
        <v>2177.54</v>
      </c>
      <c r="I2314" s="19">
        <v>355.98</v>
      </c>
      <c r="J2314" s="19">
        <v>58.92</v>
      </c>
      <c r="K2314" s="19" t="s">
        <v>33</v>
      </c>
      <c r="L2314" s="19" t="s">
        <v>128</v>
      </c>
      <c r="M2314" s="15" t="s">
        <v>129</v>
      </c>
      <c r="N2314" s="15" t="s">
        <v>54</v>
      </c>
      <c r="O2314" s="15" t="s">
        <v>252</v>
      </c>
      <c r="P2314" s="20" t="s">
        <v>1466</v>
      </c>
      <c r="Q2314" s="15" t="s">
        <v>181</v>
      </c>
      <c r="R2314" s="4"/>
      <c r="S2314" s="4"/>
    </row>
    <row r="2315" spans="1:19" ht="21" customHeight="1" x14ac:dyDescent="0.25">
      <c r="A2315" s="14">
        <f>DATE(2012,12,31)-1383</f>
        <v>39891</v>
      </c>
      <c r="B2315" s="15" t="s">
        <v>637</v>
      </c>
      <c r="C2315" s="15" t="s">
        <v>51</v>
      </c>
      <c r="D2315" s="16">
        <v>39</v>
      </c>
      <c r="E2315" s="17">
        <v>936.80199999999991</v>
      </c>
      <c r="F2315" s="16">
        <v>7.0000000000000007E-2</v>
      </c>
      <c r="G2315" s="15" t="s">
        <v>32</v>
      </c>
      <c r="H2315" s="18">
        <v>-12.078000000000001</v>
      </c>
      <c r="I2315" s="19">
        <v>28.99</v>
      </c>
      <c r="J2315" s="19">
        <v>8.59</v>
      </c>
      <c r="K2315" s="19" t="s">
        <v>33</v>
      </c>
      <c r="L2315" s="19" t="s">
        <v>128</v>
      </c>
      <c r="M2315" s="15" t="s">
        <v>129</v>
      </c>
      <c r="N2315" s="15" t="s">
        <v>64</v>
      </c>
      <c r="O2315" s="15" t="s">
        <v>65</v>
      </c>
      <c r="P2315" s="20" t="s">
        <v>1604</v>
      </c>
      <c r="Q2315" s="15" t="s">
        <v>57</v>
      </c>
      <c r="R2315" s="4"/>
      <c r="S2315" s="4"/>
    </row>
    <row r="2316" spans="1:19" ht="21" customHeight="1" x14ac:dyDescent="0.25">
      <c r="A2316" s="14">
        <f>DATE(2012,12,31)-1149</f>
        <v>40125</v>
      </c>
      <c r="B2316" s="15" t="s">
        <v>956</v>
      </c>
      <c r="C2316" s="15" t="s">
        <v>31</v>
      </c>
      <c r="D2316" s="16">
        <v>29</v>
      </c>
      <c r="E2316" s="17">
        <v>6481.95</v>
      </c>
      <c r="F2316" s="16">
        <v>0.09</v>
      </c>
      <c r="G2316" s="15" t="s">
        <v>58</v>
      </c>
      <c r="H2316" s="18">
        <v>846.23</v>
      </c>
      <c r="I2316" s="19">
        <v>243.98</v>
      </c>
      <c r="J2316" s="19">
        <v>43.32</v>
      </c>
      <c r="K2316" s="19" t="s">
        <v>33</v>
      </c>
      <c r="L2316" s="19" t="s">
        <v>128</v>
      </c>
      <c r="M2316" s="15" t="s">
        <v>129</v>
      </c>
      <c r="N2316" s="15" t="s">
        <v>54</v>
      </c>
      <c r="O2316" s="15" t="s">
        <v>252</v>
      </c>
      <c r="P2316" s="20" t="s">
        <v>666</v>
      </c>
      <c r="Q2316" s="15" t="s">
        <v>181</v>
      </c>
      <c r="R2316" s="4"/>
      <c r="S2316" s="4"/>
    </row>
    <row r="2317" spans="1:19" ht="21" customHeight="1" x14ac:dyDescent="0.25">
      <c r="A2317" s="14">
        <f>DATE(2012,12,31)-187</f>
        <v>41087</v>
      </c>
      <c r="B2317" s="15" t="s">
        <v>1058</v>
      </c>
      <c r="C2317" s="15" t="s">
        <v>51</v>
      </c>
      <c r="D2317" s="16">
        <v>47</v>
      </c>
      <c r="E2317" s="17">
        <v>1943.72</v>
      </c>
      <c r="F2317" s="16">
        <v>0.03</v>
      </c>
      <c r="G2317" s="15" t="s">
        <v>32</v>
      </c>
      <c r="H2317" s="18">
        <v>-1003.58</v>
      </c>
      <c r="I2317" s="19">
        <v>41.47</v>
      </c>
      <c r="J2317" s="19">
        <v>34.200000000000003</v>
      </c>
      <c r="K2317" s="19" t="s">
        <v>33</v>
      </c>
      <c r="L2317" s="19" t="s">
        <v>93</v>
      </c>
      <c r="M2317" s="15" t="s">
        <v>94</v>
      </c>
      <c r="N2317" s="15" t="s">
        <v>54</v>
      </c>
      <c r="O2317" s="15" t="s">
        <v>55</v>
      </c>
      <c r="P2317" s="20" t="s">
        <v>1526</v>
      </c>
      <c r="Q2317" s="15" t="s">
        <v>79</v>
      </c>
      <c r="R2317" s="4"/>
      <c r="S2317" s="4"/>
    </row>
    <row r="2318" spans="1:19" ht="21" customHeight="1" x14ac:dyDescent="0.25">
      <c r="A2318" s="14">
        <f>DATE(2012,12,31)-187</f>
        <v>41087</v>
      </c>
      <c r="B2318" s="15" t="s">
        <v>1058</v>
      </c>
      <c r="C2318" s="15" t="s">
        <v>51</v>
      </c>
      <c r="D2318" s="16">
        <v>6</v>
      </c>
      <c r="E2318" s="17">
        <v>18.37</v>
      </c>
      <c r="F2318" s="16">
        <v>0.01</v>
      </c>
      <c r="G2318" s="15" t="s">
        <v>32</v>
      </c>
      <c r="H2318" s="18">
        <v>-4.0599999999999996</v>
      </c>
      <c r="I2318" s="19">
        <v>2.78</v>
      </c>
      <c r="J2318" s="19">
        <v>1.2</v>
      </c>
      <c r="K2318" s="19" t="s">
        <v>33</v>
      </c>
      <c r="L2318" s="19" t="s">
        <v>128</v>
      </c>
      <c r="M2318" s="15" t="s">
        <v>129</v>
      </c>
      <c r="N2318" s="15" t="s">
        <v>36</v>
      </c>
      <c r="O2318" s="15" t="s">
        <v>77</v>
      </c>
      <c r="P2318" s="20" t="s">
        <v>422</v>
      </c>
      <c r="Q2318" s="15" t="s">
        <v>79</v>
      </c>
      <c r="R2318" s="4"/>
      <c r="S2318" s="4"/>
    </row>
    <row r="2319" spans="1:19" ht="21" customHeight="1" x14ac:dyDescent="0.25">
      <c r="A2319" s="14">
        <f>DATE(2012,12,31)-187</f>
        <v>41087</v>
      </c>
      <c r="B2319" s="15" t="s">
        <v>1058</v>
      </c>
      <c r="C2319" s="15" t="s">
        <v>51</v>
      </c>
      <c r="D2319" s="16">
        <v>49</v>
      </c>
      <c r="E2319" s="17">
        <v>6175.777</v>
      </c>
      <c r="F2319" s="16">
        <v>7.0000000000000007E-2</v>
      </c>
      <c r="G2319" s="15" t="s">
        <v>101</v>
      </c>
      <c r="H2319" s="18">
        <v>1881.5759999999998</v>
      </c>
      <c r="I2319" s="19">
        <v>155.99</v>
      </c>
      <c r="J2319" s="19">
        <v>3.9</v>
      </c>
      <c r="K2319" s="19" t="s">
        <v>33</v>
      </c>
      <c r="L2319" s="19" t="s">
        <v>128</v>
      </c>
      <c r="M2319" s="15" t="s">
        <v>129</v>
      </c>
      <c r="N2319" s="15" t="s">
        <v>64</v>
      </c>
      <c r="O2319" s="15" t="s">
        <v>65</v>
      </c>
      <c r="P2319" s="20" t="s">
        <v>686</v>
      </c>
      <c r="Q2319" s="15" t="s">
        <v>83</v>
      </c>
      <c r="R2319" s="4"/>
      <c r="S2319" s="4"/>
    </row>
    <row r="2320" spans="1:19" ht="21" customHeight="1" x14ac:dyDescent="0.25">
      <c r="A2320" s="14">
        <f>DATE(2012,12,31)-86</f>
        <v>41188</v>
      </c>
      <c r="B2320" s="15" t="s">
        <v>1007</v>
      </c>
      <c r="C2320" s="15" t="s">
        <v>51</v>
      </c>
      <c r="D2320" s="16">
        <v>3</v>
      </c>
      <c r="E2320" s="17">
        <v>24.36</v>
      </c>
      <c r="F2320" s="16">
        <v>7.0000000000000007E-2</v>
      </c>
      <c r="G2320" s="15" t="s">
        <v>32</v>
      </c>
      <c r="H2320" s="18">
        <v>-13.01</v>
      </c>
      <c r="I2320" s="19">
        <v>6.48</v>
      </c>
      <c r="J2320" s="19">
        <v>5.74</v>
      </c>
      <c r="K2320" s="19" t="s">
        <v>97</v>
      </c>
      <c r="L2320" s="19" t="s">
        <v>195</v>
      </c>
      <c r="M2320" s="15" t="s">
        <v>1413</v>
      </c>
      <c r="N2320" s="15" t="s">
        <v>36</v>
      </c>
      <c r="O2320" s="15" t="s">
        <v>117</v>
      </c>
      <c r="P2320" s="20" t="s">
        <v>1559</v>
      </c>
      <c r="Q2320" s="15" t="s">
        <v>83</v>
      </c>
      <c r="R2320" s="4"/>
      <c r="S2320" s="4"/>
    </row>
    <row r="2321" spans="1:19" ht="21" customHeight="1" x14ac:dyDescent="0.25">
      <c r="A2321" s="14">
        <f>DATE(2012,12,31)-617</f>
        <v>40657</v>
      </c>
      <c r="B2321" s="15" t="s">
        <v>804</v>
      </c>
      <c r="C2321" s="15" t="s">
        <v>51</v>
      </c>
      <c r="D2321" s="16">
        <v>47</v>
      </c>
      <c r="E2321" s="17">
        <v>5549.79</v>
      </c>
      <c r="F2321" s="16">
        <v>0.09</v>
      </c>
      <c r="G2321" s="15" t="s">
        <v>58</v>
      </c>
      <c r="H2321" s="18">
        <v>1300.8</v>
      </c>
      <c r="I2321" s="19">
        <v>145.44999999999999</v>
      </c>
      <c r="J2321" s="19">
        <v>17.850000000000001</v>
      </c>
      <c r="K2321" s="19" t="s">
        <v>97</v>
      </c>
      <c r="L2321" s="19" t="s">
        <v>132</v>
      </c>
      <c r="M2321" s="15" t="s">
        <v>133</v>
      </c>
      <c r="N2321" s="15" t="s">
        <v>64</v>
      </c>
      <c r="O2321" s="15" t="s">
        <v>122</v>
      </c>
      <c r="P2321" s="20" t="s">
        <v>299</v>
      </c>
      <c r="Q2321" s="15" t="s">
        <v>181</v>
      </c>
      <c r="R2321" s="4"/>
      <c r="S2321" s="4"/>
    </row>
    <row r="2322" spans="1:19" ht="21" customHeight="1" x14ac:dyDescent="0.25">
      <c r="A2322" s="14">
        <f>DATE(2012,12,31)-250</f>
        <v>41024</v>
      </c>
      <c r="B2322" s="15" t="s">
        <v>1846</v>
      </c>
      <c r="C2322" s="15" t="s">
        <v>43</v>
      </c>
      <c r="D2322" s="16">
        <v>3</v>
      </c>
      <c r="E2322" s="17">
        <v>3.96</v>
      </c>
      <c r="F2322" s="16">
        <v>0.1</v>
      </c>
      <c r="G2322" s="15" t="s">
        <v>32</v>
      </c>
      <c r="H2322" s="18">
        <v>-1.72</v>
      </c>
      <c r="I2322" s="19">
        <v>1.1399999999999999</v>
      </c>
      <c r="J2322" s="19">
        <v>0.7</v>
      </c>
      <c r="K2322" s="19" t="s">
        <v>97</v>
      </c>
      <c r="L2322" s="19" t="s">
        <v>195</v>
      </c>
      <c r="M2322" s="15" t="s">
        <v>1847</v>
      </c>
      <c r="N2322" s="15" t="s">
        <v>36</v>
      </c>
      <c r="O2322" s="15" t="s">
        <v>105</v>
      </c>
      <c r="P2322" s="20" t="s">
        <v>1551</v>
      </c>
      <c r="Q2322" s="15" t="s">
        <v>79</v>
      </c>
      <c r="R2322" s="4"/>
      <c r="S2322" s="4"/>
    </row>
    <row r="2323" spans="1:19" ht="21" customHeight="1" x14ac:dyDescent="0.25">
      <c r="A2323" s="14">
        <f>DATE(2012,12,31)-560</f>
        <v>40714</v>
      </c>
      <c r="B2323" s="15" t="s">
        <v>1125</v>
      </c>
      <c r="C2323" s="15" t="s">
        <v>43</v>
      </c>
      <c r="D2323" s="16">
        <v>15</v>
      </c>
      <c r="E2323" s="17">
        <v>1390.49</v>
      </c>
      <c r="F2323" s="16">
        <v>0.01</v>
      </c>
      <c r="G2323" s="15" t="s">
        <v>32</v>
      </c>
      <c r="H2323" s="18">
        <v>366.8</v>
      </c>
      <c r="I2323" s="19">
        <v>90.48</v>
      </c>
      <c r="J2323" s="19">
        <v>19.989999999999998</v>
      </c>
      <c r="K2323" s="19" t="s">
        <v>97</v>
      </c>
      <c r="L2323" s="19" t="s">
        <v>195</v>
      </c>
      <c r="M2323" s="15" t="s">
        <v>1847</v>
      </c>
      <c r="N2323" s="15" t="s">
        <v>36</v>
      </c>
      <c r="O2323" s="15" t="s">
        <v>189</v>
      </c>
      <c r="P2323" s="20" t="s">
        <v>963</v>
      </c>
      <c r="Q2323" s="15" t="s">
        <v>83</v>
      </c>
      <c r="R2323" s="4"/>
      <c r="S2323" s="4"/>
    </row>
    <row r="2324" spans="1:19" ht="21" customHeight="1" x14ac:dyDescent="0.25">
      <c r="A2324" s="14">
        <f>DATE(2012,12,31)-823</f>
        <v>40451</v>
      </c>
      <c r="B2324" s="15" t="s">
        <v>826</v>
      </c>
      <c r="C2324" s="15" t="s">
        <v>85</v>
      </c>
      <c r="D2324" s="16">
        <v>6</v>
      </c>
      <c r="E2324" s="17">
        <v>157.97</v>
      </c>
      <c r="F2324" s="16">
        <v>0.01</v>
      </c>
      <c r="G2324" s="15" t="s">
        <v>32</v>
      </c>
      <c r="H2324" s="18">
        <v>-42.38</v>
      </c>
      <c r="I2324" s="19">
        <v>22.84</v>
      </c>
      <c r="J2324" s="19">
        <v>16.87</v>
      </c>
      <c r="K2324" s="19" t="s">
        <v>97</v>
      </c>
      <c r="L2324" s="19" t="s">
        <v>132</v>
      </c>
      <c r="M2324" s="15" t="s">
        <v>133</v>
      </c>
      <c r="N2324" s="15" t="s">
        <v>36</v>
      </c>
      <c r="O2324" s="15" t="s">
        <v>117</v>
      </c>
      <c r="P2324" s="20" t="s">
        <v>1848</v>
      </c>
      <c r="Q2324" s="15" t="s">
        <v>83</v>
      </c>
      <c r="R2324" s="4"/>
      <c r="S2324" s="4"/>
    </row>
    <row r="2325" spans="1:19" ht="21" customHeight="1" x14ac:dyDescent="0.25">
      <c r="A2325" s="14">
        <f>DATE(2012,12,31)-1255</f>
        <v>40019</v>
      </c>
      <c r="B2325" s="15" t="s">
        <v>645</v>
      </c>
      <c r="C2325" s="15" t="s">
        <v>51</v>
      </c>
      <c r="D2325" s="16">
        <v>9</v>
      </c>
      <c r="E2325" s="17">
        <v>101.47</v>
      </c>
      <c r="F2325" s="16">
        <v>0.03</v>
      </c>
      <c r="G2325" s="15" t="s">
        <v>32</v>
      </c>
      <c r="H2325" s="18">
        <v>-18.64</v>
      </c>
      <c r="I2325" s="19">
        <v>10.89</v>
      </c>
      <c r="J2325" s="19">
        <v>4.5</v>
      </c>
      <c r="K2325" s="19" t="s">
        <v>124</v>
      </c>
      <c r="L2325" s="19" t="s">
        <v>160</v>
      </c>
      <c r="M2325" s="15" t="s">
        <v>1621</v>
      </c>
      <c r="N2325" s="15" t="s">
        <v>36</v>
      </c>
      <c r="O2325" s="15" t="s">
        <v>176</v>
      </c>
      <c r="P2325" s="20" t="s">
        <v>250</v>
      </c>
      <c r="Q2325" s="15" t="s">
        <v>83</v>
      </c>
      <c r="R2325" s="4"/>
      <c r="S2325" s="4"/>
    </row>
    <row r="2326" spans="1:19" ht="21" customHeight="1" x14ac:dyDescent="0.25">
      <c r="A2326" s="14">
        <f>DATE(2012,12,31)-1455</f>
        <v>39819</v>
      </c>
      <c r="B2326" s="15" t="s">
        <v>392</v>
      </c>
      <c r="C2326" s="15" t="s">
        <v>85</v>
      </c>
      <c r="D2326" s="16">
        <v>17</v>
      </c>
      <c r="E2326" s="17">
        <v>37.06</v>
      </c>
      <c r="F2326" s="16">
        <v>0.03</v>
      </c>
      <c r="G2326" s="15" t="s">
        <v>32</v>
      </c>
      <c r="H2326" s="18">
        <v>0.60999999999999943</v>
      </c>
      <c r="I2326" s="19">
        <v>2.1</v>
      </c>
      <c r="J2326" s="19">
        <v>0.7</v>
      </c>
      <c r="K2326" s="19" t="s">
        <v>124</v>
      </c>
      <c r="L2326" s="19" t="s">
        <v>160</v>
      </c>
      <c r="M2326" s="15" t="s">
        <v>1621</v>
      </c>
      <c r="N2326" s="15" t="s">
        <v>36</v>
      </c>
      <c r="O2326" s="15" t="s">
        <v>77</v>
      </c>
      <c r="P2326" s="20" t="s">
        <v>1849</v>
      </c>
      <c r="Q2326" s="15" t="s">
        <v>79</v>
      </c>
      <c r="R2326" s="4"/>
      <c r="S2326" s="4"/>
    </row>
    <row r="2327" spans="1:19" ht="21" customHeight="1" x14ac:dyDescent="0.25">
      <c r="A2327" s="14">
        <f>DATE(2012,12,31)-1190</f>
        <v>40084</v>
      </c>
      <c r="B2327" s="15" t="s">
        <v>1633</v>
      </c>
      <c r="C2327" s="15" t="s">
        <v>51</v>
      </c>
      <c r="D2327" s="16">
        <v>42</v>
      </c>
      <c r="E2327" s="17">
        <v>1737.06</v>
      </c>
      <c r="F2327" s="16">
        <v>0.02</v>
      </c>
      <c r="G2327" s="15" t="s">
        <v>32</v>
      </c>
      <c r="H2327" s="18">
        <v>339.17</v>
      </c>
      <c r="I2327" s="19">
        <v>39.979999999999997</v>
      </c>
      <c r="J2327" s="19">
        <v>9.1999999999999993</v>
      </c>
      <c r="K2327" s="19" t="s">
        <v>124</v>
      </c>
      <c r="L2327" s="19" t="s">
        <v>160</v>
      </c>
      <c r="M2327" s="15" t="s">
        <v>1621</v>
      </c>
      <c r="N2327" s="15" t="s">
        <v>54</v>
      </c>
      <c r="O2327" s="15" t="s">
        <v>55</v>
      </c>
      <c r="P2327" s="20" t="s">
        <v>1693</v>
      </c>
      <c r="Q2327" s="15" t="s">
        <v>79</v>
      </c>
      <c r="R2327" s="4"/>
      <c r="S2327" s="4"/>
    </row>
    <row r="2328" spans="1:19" ht="21" customHeight="1" x14ac:dyDescent="0.25">
      <c r="A2328" s="14">
        <f>DATE(2012,12,31)-5</f>
        <v>41269</v>
      </c>
      <c r="B2328" s="15" t="s">
        <v>1295</v>
      </c>
      <c r="C2328" s="15" t="s">
        <v>51</v>
      </c>
      <c r="D2328" s="16">
        <v>38</v>
      </c>
      <c r="E2328" s="17">
        <v>95.71</v>
      </c>
      <c r="F2328" s="16">
        <v>0.04</v>
      </c>
      <c r="G2328" s="15" t="s">
        <v>32</v>
      </c>
      <c r="H2328" s="18">
        <v>32.81</v>
      </c>
      <c r="I2328" s="19">
        <v>2.61</v>
      </c>
      <c r="J2328" s="19">
        <v>0.5</v>
      </c>
      <c r="K2328" s="19" t="s">
        <v>124</v>
      </c>
      <c r="L2328" s="19" t="s">
        <v>493</v>
      </c>
      <c r="M2328" s="15" t="s">
        <v>1810</v>
      </c>
      <c r="N2328" s="15" t="s">
        <v>36</v>
      </c>
      <c r="O2328" s="15" t="s">
        <v>114</v>
      </c>
      <c r="P2328" s="20" t="s">
        <v>587</v>
      </c>
      <c r="Q2328" s="15" t="s">
        <v>83</v>
      </c>
      <c r="R2328" s="4"/>
      <c r="S2328" s="4"/>
    </row>
    <row r="2329" spans="1:19" ht="21" customHeight="1" x14ac:dyDescent="0.25">
      <c r="A2329" s="14">
        <f>DATE(2012,12,31)-39</f>
        <v>41235</v>
      </c>
      <c r="B2329" s="15" t="s">
        <v>1189</v>
      </c>
      <c r="C2329" s="15" t="s">
        <v>31</v>
      </c>
      <c r="D2329" s="16">
        <v>49</v>
      </c>
      <c r="E2329" s="17">
        <v>2469.15</v>
      </c>
      <c r="F2329" s="16">
        <v>0.04</v>
      </c>
      <c r="G2329" s="15" t="s">
        <v>32</v>
      </c>
      <c r="H2329" s="18">
        <v>1244.81</v>
      </c>
      <c r="I2329" s="19">
        <v>48.94</v>
      </c>
      <c r="J2329" s="19">
        <v>5.86</v>
      </c>
      <c r="K2329" s="19" t="s">
        <v>124</v>
      </c>
      <c r="L2329" s="19" t="s">
        <v>160</v>
      </c>
      <c r="M2329" s="15" t="s">
        <v>1621</v>
      </c>
      <c r="N2329" s="15" t="s">
        <v>36</v>
      </c>
      <c r="O2329" s="15" t="s">
        <v>117</v>
      </c>
      <c r="P2329" s="20" t="s">
        <v>1146</v>
      </c>
      <c r="Q2329" s="15" t="s">
        <v>83</v>
      </c>
      <c r="R2329" s="4"/>
      <c r="S2329" s="4"/>
    </row>
    <row r="2330" spans="1:19" ht="21" customHeight="1" x14ac:dyDescent="0.25">
      <c r="A2330" s="14">
        <f>DATE(2012,12,31)-621</f>
        <v>40653</v>
      </c>
      <c r="B2330" s="15" t="s">
        <v>728</v>
      </c>
      <c r="C2330" s="15" t="s">
        <v>85</v>
      </c>
      <c r="D2330" s="16">
        <v>44</v>
      </c>
      <c r="E2330" s="17">
        <v>302.58999999999997</v>
      </c>
      <c r="F2330" s="16">
        <v>0.05</v>
      </c>
      <c r="G2330" s="15" t="s">
        <v>101</v>
      </c>
      <c r="H2330" s="18">
        <v>-124.44</v>
      </c>
      <c r="I2330" s="19">
        <v>6.68</v>
      </c>
      <c r="J2330" s="19">
        <v>6.93</v>
      </c>
      <c r="K2330" s="19" t="s">
        <v>124</v>
      </c>
      <c r="L2330" s="19" t="s">
        <v>160</v>
      </c>
      <c r="M2330" s="15" t="s">
        <v>1621</v>
      </c>
      <c r="N2330" s="15" t="s">
        <v>36</v>
      </c>
      <c r="O2330" s="15" t="s">
        <v>117</v>
      </c>
      <c r="P2330" s="20" t="s">
        <v>957</v>
      </c>
      <c r="Q2330" s="15" t="s">
        <v>83</v>
      </c>
      <c r="R2330" s="4"/>
      <c r="S2330" s="4"/>
    </row>
    <row r="2331" spans="1:19" ht="21" customHeight="1" x14ac:dyDescent="0.25">
      <c r="A2331" s="14">
        <f>DATE(2012,12,31)-621</f>
        <v>40653</v>
      </c>
      <c r="B2331" s="15" t="s">
        <v>728</v>
      </c>
      <c r="C2331" s="15" t="s">
        <v>85</v>
      </c>
      <c r="D2331" s="16">
        <v>26</v>
      </c>
      <c r="E2331" s="17">
        <v>2703.45</v>
      </c>
      <c r="F2331" s="16">
        <v>0.01</v>
      </c>
      <c r="G2331" s="15" t="s">
        <v>32</v>
      </c>
      <c r="H2331" s="18">
        <v>-445.04</v>
      </c>
      <c r="I2331" s="19">
        <v>95.99</v>
      </c>
      <c r="J2331" s="19">
        <v>35</v>
      </c>
      <c r="K2331" s="19" t="s">
        <v>124</v>
      </c>
      <c r="L2331" s="19" t="s">
        <v>164</v>
      </c>
      <c r="M2331" s="15" t="s">
        <v>1228</v>
      </c>
      <c r="N2331" s="15" t="s">
        <v>36</v>
      </c>
      <c r="O2331" s="15" t="s">
        <v>37</v>
      </c>
      <c r="P2331" s="20" t="s">
        <v>137</v>
      </c>
      <c r="Q2331" s="15" t="s">
        <v>39</v>
      </c>
      <c r="R2331" s="4"/>
      <c r="S2331" s="4"/>
    </row>
    <row r="2332" spans="1:19" ht="21" customHeight="1" x14ac:dyDescent="0.25">
      <c r="A2332" s="14">
        <f>DATE(2012,12,31)-296</f>
        <v>40978</v>
      </c>
      <c r="B2332" s="15" t="s">
        <v>506</v>
      </c>
      <c r="C2332" s="15" t="s">
        <v>51</v>
      </c>
      <c r="D2332" s="16">
        <v>46</v>
      </c>
      <c r="E2332" s="17">
        <v>2430.34</v>
      </c>
      <c r="F2332" s="16">
        <v>0.08</v>
      </c>
      <c r="G2332" s="15" t="s">
        <v>32</v>
      </c>
      <c r="H2332" s="18">
        <v>752.87</v>
      </c>
      <c r="I2332" s="19">
        <v>55.98</v>
      </c>
      <c r="J2332" s="19">
        <v>13.88</v>
      </c>
      <c r="K2332" s="19" t="s">
        <v>124</v>
      </c>
      <c r="L2332" s="19" t="s">
        <v>164</v>
      </c>
      <c r="M2332" s="15" t="s">
        <v>1228</v>
      </c>
      <c r="N2332" s="15" t="s">
        <v>36</v>
      </c>
      <c r="O2332" s="15" t="s">
        <v>117</v>
      </c>
      <c r="P2332" s="20" t="s">
        <v>1127</v>
      </c>
      <c r="Q2332" s="15" t="s">
        <v>83</v>
      </c>
      <c r="R2332" s="4"/>
      <c r="S2332" s="4"/>
    </row>
    <row r="2333" spans="1:19" ht="21" customHeight="1" x14ac:dyDescent="0.25">
      <c r="A2333" s="14">
        <f>DATE(2012,12,31)-296</f>
        <v>40978</v>
      </c>
      <c r="B2333" s="15" t="s">
        <v>506</v>
      </c>
      <c r="C2333" s="15" t="s">
        <v>51</v>
      </c>
      <c r="D2333" s="16">
        <v>36</v>
      </c>
      <c r="E2333" s="17">
        <v>218.6</v>
      </c>
      <c r="F2333" s="16">
        <v>0.05</v>
      </c>
      <c r="G2333" s="15" t="s">
        <v>101</v>
      </c>
      <c r="H2333" s="18">
        <v>-46.43</v>
      </c>
      <c r="I2333" s="19">
        <v>5.78</v>
      </c>
      <c r="J2333" s="19">
        <v>4.96</v>
      </c>
      <c r="K2333" s="19" t="s">
        <v>124</v>
      </c>
      <c r="L2333" s="19" t="s">
        <v>158</v>
      </c>
      <c r="M2333" s="15" t="s">
        <v>158</v>
      </c>
      <c r="N2333" s="15" t="s">
        <v>36</v>
      </c>
      <c r="O2333" s="15" t="s">
        <v>117</v>
      </c>
      <c r="P2333" s="20" t="s">
        <v>636</v>
      </c>
      <c r="Q2333" s="15" t="s">
        <v>83</v>
      </c>
      <c r="R2333" s="4"/>
      <c r="S2333" s="4"/>
    </row>
    <row r="2334" spans="1:19" ht="21" customHeight="1" x14ac:dyDescent="0.25">
      <c r="A2334" s="14">
        <f>DATE(2012,12,31)-367</f>
        <v>40907</v>
      </c>
      <c r="B2334" s="15" t="s">
        <v>330</v>
      </c>
      <c r="C2334" s="15" t="s">
        <v>31</v>
      </c>
      <c r="D2334" s="16">
        <v>29</v>
      </c>
      <c r="E2334" s="17">
        <v>852.75</v>
      </c>
      <c r="F2334" s="16">
        <v>0.08</v>
      </c>
      <c r="G2334" s="15" t="s">
        <v>32</v>
      </c>
      <c r="H2334" s="18">
        <v>358.73400000000004</v>
      </c>
      <c r="I2334" s="19">
        <v>30.44</v>
      </c>
      <c r="J2334" s="19">
        <v>1.49</v>
      </c>
      <c r="K2334" s="19" t="s">
        <v>124</v>
      </c>
      <c r="L2334" s="19" t="s">
        <v>164</v>
      </c>
      <c r="M2334" s="15" t="s">
        <v>1228</v>
      </c>
      <c r="N2334" s="15" t="s">
        <v>36</v>
      </c>
      <c r="O2334" s="15" t="s">
        <v>170</v>
      </c>
      <c r="P2334" s="20" t="s">
        <v>1850</v>
      </c>
      <c r="Q2334" s="15" t="s">
        <v>83</v>
      </c>
      <c r="R2334" s="4"/>
      <c r="S2334" s="4"/>
    </row>
    <row r="2335" spans="1:19" ht="21" customHeight="1" x14ac:dyDescent="0.25">
      <c r="A2335" s="14">
        <f>DATE(2012,12,31)-367</f>
        <v>40907</v>
      </c>
      <c r="B2335" s="15" t="s">
        <v>330</v>
      </c>
      <c r="C2335" s="15" t="s">
        <v>31</v>
      </c>
      <c r="D2335" s="16">
        <v>26</v>
      </c>
      <c r="E2335" s="17">
        <v>172.33</v>
      </c>
      <c r="F2335" s="16">
        <v>0.04</v>
      </c>
      <c r="G2335" s="15" t="s">
        <v>32</v>
      </c>
      <c r="H2335" s="18">
        <v>-52.21</v>
      </c>
      <c r="I2335" s="19">
        <v>6.48</v>
      </c>
      <c r="J2335" s="19">
        <v>5.74</v>
      </c>
      <c r="K2335" s="19" t="s">
        <v>124</v>
      </c>
      <c r="L2335" s="19" t="s">
        <v>164</v>
      </c>
      <c r="M2335" s="15" t="s">
        <v>1228</v>
      </c>
      <c r="N2335" s="15" t="s">
        <v>36</v>
      </c>
      <c r="O2335" s="15" t="s">
        <v>117</v>
      </c>
      <c r="P2335" s="20" t="s">
        <v>1559</v>
      </c>
      <c r="Q2335" s="15" t="s">
        <v>83</v>
      </c>
      <c r="R2335" s="4"/>
      <c r="S2335" s="4"/>
    </row>
    <row r="2336" spans="1:19" ht="21" customHeight="1" x14ac:dyDescent="0.25">
      <c r="A2336" s="14">
        <f>DATE(2012,12,31)-928</f>
        <v>40346</v>
      </c>
      <c r="B2336" s="15" t="s">
        <v>1432</v>
      </c>
      <c r="C2336" s="15" t="s">
        <v>51</v>
      </c>
      <c r="D2336" s="16">
        <v>4</v>
      </c>
      <c r="E2336" s="17">
        <v>167.37</v>
      </c>
      <c r="F2336" s="16">
        <v>0.1</v>
      </c>
      <c r="G2336" s="15" t="s">
        <v>32</v>
      </c>
      <c r="H2336" s="18">
        <v>-132.15</v>
      </c>
      <c r="I2336" s="19">
        <v>43.22</v>
      </c>
      <c r="J2336" s="19">
        <v>4</v>
      </c>
      <c r="K2336" s="19" t="s">
        <v>124</v>
      </c>
      <c r="L2336" s="19" t="s">
        <v>319</v>
      </c>
      <c r="M2336" s="15" t="s">
        <v>1711</v>
      </c>
      <c r="N2336" s="15" t="s">
        <v>64</v>
      </c>
      <c r="O2336" s="15" t="s">
        <v>72</v>
      </c>
      <c r="P2336" s="20" t="s">
        <v>1446</v>
      </c>
      <c r="Q2336" s="15" t="s">
        <v>83</v>
      </c>
      <c r="R2336" s="4"/>
      <c r="S2336" s="4"/>
    </row>
    <row r="2337" spans="1:19" ht="21" customHeight="1" x14ac:dyDescent="0.25">
      <c r="A2337" s="14">
        <f>DATE(2012,12,31)-928</f>
        <v>40346</v>
      </c>
      <c r="B2337" s="15" t="s">
        <v>1432</v>
      </c>
      <c r="C2337" s="15" t="s">
        <v>51</v>
      </c>
      <c r="D2337" s="16">
        <v>18</v>
      </c>
      <c r="E2337" s="17">
        <v>1026.6385</v>
      </c>
      <c r="F2337" s="16">
        <v>0</v>
      </c>
      <c r="G2337" s="15" t="s">
        <v>32</v>
      </c>
      <c r="H2337" s="18">
        <v>-201.04700000000003</v>
      </c>
      <c r="I2337" s="19">
        <v>65.989999999999995</v>
      </c>
      <c r="J2337" s="19">
        <v>19.989999999999998</v>
      </c>
      <c r="K2337" s="19" t="s">
        <v>44</v>
      </c>
      <c r="L2337" s="19" t="s">
        <v>45</v>
      </c>
      <c r="M2337" s="15" t="s">
        <v>1768</v>
      </c>
      <c r="N2337" s="15" t="s">
        <v>64</v>
      </c>
      <c r="O2337" s="15" t="s">
        <v>65</v>
      </c>
      <c r="P2337" s="20" t="s">
        <v>238</v>
      </c>
      <c r="Q2337" s="15" t="s">
        <v>83</v>
      </c>
      <c r="R2337" s="4"/>
      <c r="S2337" s="4"/>
    </row>
    <row r="2338" spans="1:19" ht="21" customHeight="1" x14ac:dyDescent="0.25">
      <c r="A2338" s="14">
        <f>DATE(2012,12,31)-351</f>
        <v>40923</v>
      </c>
      <c r="B2338" s="15" t="s">
        <v>648</v>
      </c>
      <c r="C2338" s="15" t="s">
        <v>85</v>
      </c>
      <c r="D2338" s="16">
        <v>48</v>
      </c>
      <c r="E2338" s="17">
        <v>1585.6</v>
      </c>
      <c r="F2338" s="16">
        <v>0.08</v>
      </c>
      <c r="G2338" s="15" t="s">
        <v>32</v>
      </c>
      <c r="H2338" s="18">
        <v>632.13</v>
      </c>
      <c r="I2338" s="19">
        <v>35.44</v>
      </c>
      <c r="J2338" s="19">
        <v>4.92</v>
      </c>
      <c r="K2338" s="19" t="s">
        <v>44</v>
      </c>
      <c r="L2338" s="19" t="s">
        <v>236</v>
      </c>
      <c r="M2338" s="15" t="s">
        <v>237</v>
      </c>
      <c r="N2338" s="15" t="s">
        <v>36</v>
      </c>
      <c r="O2338" s="15" t="s">
        <v>117</v>
      </c>
      <c r="P2338" s="20" t="s">
        <v>1851</v>
      </c>
      <c r="Q2338" s="15" t="s">
        <v>83</v>
      </c>
      <c r="R2338" s="4"/>
      <c r="S2338" s="4"/>
    </row>
    <row r="2339" spans="1:19" ht="21" customHeight="1" x14ac:dyDescent="0.25">
      <c r="A2339" s="14">
        <f>DATE(2012,12,31)-351</f>
        <v>40923</v>
      </c>
      <c r="B2339" s="15" t="s">
        <v>648</v>
      </c>
      <c r="C2339" s="15" t="s">
        <v>85</v>
      </c>
      <c r="D2339" s="16">
        <v>30</v>
      </c>
      <c r="E2339" s="17">
        <v>215.85</v>
      </c>
      <c r="F2339" s="16">
        <v>0.09</v>
      </c>
      <c r="G2339" s="15" t="s">
        <v>32</v>
      </c>
      <c r="H2339" s="18">
        <v>60.95</v>
      </c>
      <c r="I2339" s="19">
        <v>7.4</v>
      </c>
      <c r="J2339" s="19">
        <v>1.71</v>
      </c>
      <c r="K2339" s="19" t="s">
        <v>44</v>
      </c>
      <c r="L2339" s="19" t="s">
        <v>52</v>
      </c>
      <c r="M2339" s="15" t="s">
        <v>1685</v>
      </c>
      <c r="N2339" s="15" t="s">
        <v>36</v>
      </c>
      <c r="O2339" s="15" t="s">
        <v>117</v>
      </c>
      <c r="P2339" s="20" t="s">
        <v>1560</v>
      </c>
      <c r="Q2339" s="15" t="s">
        <v>79</v>
      </c>
      <c r="R2339" s="4"/>
      <c r="S2339" s="4"/>
    </row>
    <row r="2340" spans="1:19" ht="21" customHeight="1" x14ac:dyDescent="0.25">
      <c r="A2340" s="14">
        <f>DATE(2012,12,31)-800</f>
        <v>40474</v>
      </c>
      <c r="B2340" s="15" t="s">
        <v>1454</v>
      </c>
      <c r="C2340" s="15" t="s">
        <v>31</v>
      </c>
      <c r="D2340" s="16">
        <v>23</v>
      </c>
      <c r="E2340" s="17">
        <v>158.78</v>
      </c>
      <c r="F2340" s="16">
        <v>7.0000000000000007E-2</v>
      </c>
      <c r="G2340" s="15" t="s">
        <v>32</v>
      </c>
      <c r="H2340" s="18">
        <v>33.26</v>
      </c>
      <c r="I2340" s="19">
        <v>7.04</v>
      </c>
      <c r="J2340" s="19">
        <v>2.17</v>
      </c>
      <c r="K2340" s="19" t="s">
        <v>44</v>
      </c>
      <c r="L2340" s="19" t="s">
        <v>52</v>
      </c>
      <c r="M2340" s="15" t="s">
        <v>1685</v>
      </c>
      <c r="N2340" s="15" t="s">
        <v>36</v>
      </c>
      <c r="O2340" s="15" t="s">
        <v>117</v>
      </c>
      <c r="P2340" s="20" t="s">
        <v>1816</v>
      </c>
      <c r="Q2340" s="15" t="s">
        <v>79</v>
      </c>
      <c r="R2340" s="4"/>
      <c r="S2340" s="4"/>
    </row>
    <row r="2341" spans="1:19" ht="21" customHeight="1" x14ac:dyDescent="0.25">
      <c r="A2341" s="14">
        <f>DATE(2012,12,31)-800</f>
        <v>40474</v>
      </c>
      <c r="B2341" s="15" t="s">
        <v>1454</v>
      </c>
      <c r="C2341" s="15" t="s">
        <v>31</v>
      </c>
      <c r="D2341" s="16">
        <v>33</v>
      </c>
      <c r="E2341" s="17">
        <v>463.42</v>
      </c>
      <c r="F2341" s="16">
        <v>0.08</v>
      </c>
      <c r="G2341" s="15" t="s">
        <v>32</v>
      </c>
      <c r="H2341" s="18">
        <v>14.203500000000002</v>
      </c>
      <c r="I2341" s="19">
        <v>14.45</v>
      </c>
      <c r="J2341" s="19">
        <v>7.17</v>
      </c>
      <c r="K2341" s="19" t="s">
        <v>44</v>
      </c>
      <c r="L2341" s="19" t="s">
        <v>52</v>
      </c>
      <c r="M2341" s="15" t="s">
        <v>1685</v>
      </c>
      <c r="N2341" s="15" t="s">
        <v>36</v>
      </c>
      <c r="O2341" s="15" t="s">
        <v>170</v>
      </c>
      <c r="P2341" s="20" t="s">
        <v>1252</v>
      </c>
      <c r="Q2341" s="15" t="s">
        <v>83</v>
      </c>
      <c r="R2341" s="4"/>
      <c r="S2341" s="4"/>
    </row>
    <row r="2342" spans="1:19" ht="21" customHeight="1" x14ac:dyDescent="0.25">
      <c r="A2342" s="14">
        <f>DATE(2012,12,31)-710</f>
        <v>40564</v>
      </c>
      <c r="B2342" s="15" t="s">
        <v>1266</v>
      </c>
      <c r="C2342" s="15" t="s">
        <v>43</v>
      </c>
      <c r="D2342" s="16">
        <v>4</v>
      </c>
      <c r="E2342" s="17">
        <v>997</v>
      </c>
      <c r="F2342" s="16">
        <v>0.09</v>
      </c>
      <c r="G2342" s="15" t="s">
        <v>58</v>
      </c>
      <c r="H2342" s="18">
        <v>-307.95999999999998</v>
      </c>
      <c r="I2342" s="19">
        <v>258.98</v>
      </c>
      <c r="J2342" s="19">
        <v>54.31</v>
      </c>
      <c r="K2342" s="19" t="s">
        <v>44</v>
      </c>
      <c r="L2342" s="19" t="s">
        <v>52</v>
      </c>
      <c r="M2342" s="15" t="s">
        <v>1685</v>
      </c>
      <c r="N2342" s="15" t="s">
        <v>54</v>
      </c>
      <c r="O2342" s="15" t="s">
        <v>252</v>
      </c>
      <c r="P2342" s="20" t="s">
        <v>1723</v>
      </c>
      <c r="Q2342" s="15" t="s">
        <v>181</v>
      </c>
      <c r="R2342" s="4"/>
      <c r="S2342" s="4"/>
    </row>
    <row r="2343" spans="1:19" ht="21" customHeight="1" x14ac:dyDescent="0.25">
      <c r="A2343" s="14">
        <f>DATE(2012,12,31)-63</f>
        <v>41211</v>
      </c>
      <c r="B2343" s="15" t="s">
        <v>659</v>
      </c>
      <c r="C2343" s="15" t="s">
        <v>43</v>
      </c>
      <c r="D2343" s="16">
        <v>42</v>
      </c>
      <c r="E2343" s="17">
        <v>12837.11</v>
      </c>
      <c r="F2343" s="16">
        <v>0.05</v>
      </c>
      <c r="G2343" s="15" t="s">
        <v>58</v>
      </c>
      <c r="H2343" s="18">
        <v>1881.76</v>
      </c>
      <c r="I2343" s="19">
        <v>320.64</v>
      </c>
      <c r="J2343" s="19">
        <v>43.57</v>
      </c>
      <c r="K2343" s="19" t="s">
        <v>44</v>
      </c>
      <c r="L2343" s="19" t="s">
        <v>52</v>
      </c>
      <c r="M2343" s="15" t="s">
        <v>1685</v>
      </c>
      <c r="N2343" s="15" t="s">
        <v>54</v>
      </c>
      <c r="O2343" s="15" t="s">
        <v>61</v>
      </c>
      <c r="P2343" s="20" t="s">
        <v>1280</v>
      </c>
      <c r="Q2343" s="15" t="s">
        <v>63</v>
      </c>
      <c r="R2343" s="4"/>
      <c r="S2343" s="4"/>
    </row>
    <row r="2344" spans="1:19" ht="21" customHeight="1" x14ac:dyDescent="0.25">
      <c r="A2344" s="14">
        <f>DATE(2012,12,31)-329</f>
        <v>40945</v>
      </c>
      <c r="B2344" s="15" t="s">
        <v>151</v>
      </c>
      <c r="C2344" s="15" t="s">
        <v>43</v>
      </c>
      <c r="D2344" s="16">
        <v>43</v>
      </c>
      <c r="E2344" s="17">
        <v>2357.9085</v>
      </c>
      <c r="F2344" s="16">
        <v>0.06</v>
      </c>
      <c r="G2344" s="15" t="s">
        <v>32</v>
      </c>
      <c r="H2344" s="18">
        <v>538.48800000000006</v>
      </c>
      <c r="I2344" s="19">
        <v>65.989999999999995</v>
      </c>
      <c r="J2344" s="19">
        <v>3.99</v>
      </c>
      <c r="K2344" s="19" t="s">
        <v>44</v>
      </c>
      <c r="L2344" s="19" t="s">
        <v>52</v>
      </c>
      <c r="M2344" s="15" t="s">
        <v>1685</v>
      </c>
      <c r="N2344" s="15" t="s">
        <v>64</v>
      </c>
      <c r="O2344" s="15" t="s">
        <v>65</v>
      </c>
      <c r="P2344" s="20" t="s">
        <v>689</v>
      </c>
      <c r="Q2344" s="15" t="s">
        <v>83</v>
      </c>
      <c r="R2344" s="4"/>
      <c r="S2344" s="4"/>
    </row>
    <row r="2345" spans="1:19" ht="21" customHeight="1" x14ac:dyDescent="0.25">
      <c r="A2345" s="14">
        <f>DATE(2012,12,31)-199</f>
        <v>41075</v>
      </c>
      <c r="B2345" s="15" t="s">
        <v>637</v>
      </c>
      <c r="C2345" s="15" t="s">
        <v>43</v>
      </c>
      <c r="D2345" s="16">
        <v>1</v>
      </c>
      <c r="E2345" s="17">
        <v>379.8</v>
      </c>
      <c r="F2345" s="16">
        <v>0.02</v>
      </c>
      <c r="G2345" s="15" t="s">
        <v>58</v>
      </c>
      <c r="H2345" s="18">
        <v>-183.09</v>
      </c>
      <c r="I2345" s="19">
        <v>320.98</v>
      </c>
      <c r="J2345" s="19">
        <v>58.95</v>
      </c>
      <c r="K2345" s="19" t="s">
        <v>44</v>
      </c>
      <c r="L2345" s="19" t="s">
        <v>52</v>
      </c>
      <c r="M2345" s="15" t="s">
        <v>1685</v>
      </c>
      <c r="N2345" s="15" t="s">
        <v>54</v>
      </c>
      <c r="O2345" s="15" t="s">
        <v>252</v>
      </c>
      <c r="P2345" s="20" t="s">
        <v>287</v>
      </c>
      <c r="Q2345" s="15" t="s">
        <v>181</v>
      </c>
      <c r="R2345" s="4"/>
      <c r="S2345" s="4"/>
    </row>
    <row r="2346" spans="1:19" ht="21" customHeight="1" x14ac:dyDescent="0.25">
      <c r="A2346" s="14">
        <f>DATE(2012,12,31)-199</f>
        <v>41075</v>
      </c>
      <c r="B2346" s="15" t="s">
        <v>637</v>
      </c>
      <c r="C2346" s="15" t="s">
        <v>43</v>
      </c>
      <c r="D2346" s="16">
        <v>48</v>
      </c>
      <c r="E2346" s="17">
        <v>107.7</v>
      </c>
      <c r="F2346" s="16">
        <v>0.06</v>
      </c>
      <c r="G2346" s="15" t="s">
        <v>32</v>
      </c>
      <c r="H2346" s="18">
        <v>14.97</v>
      </c>
      <c r="I2346" s="19">
        <v>2.21</v>
      </c>
      <c r="J2346" s="19">
        <v>1</v>
      </c>
      <c r="K2346" s="19" t="s">
        <v>44</v>
      </c>
      <c r="L2346" s="19" t="s">
        <v>236</v>
      </c>
      <c r="M2346" s="15" t="s">
        <v>237</v>
      </c>
      <c r="N2346" s="15" t="s">
        <v>36</v>
      </c>
      <c r="O2346" s="15" t="s">
        <v>77</v>
      </c>
      <c r="P2346" s="20" t="s">
        <v>211</v>
      </c>
      <c r="Q2346" s="15" t="s">
        <v>79</v>
      </c>
      <c r="R2346" s="4"/>
      <c r="S2346" s="4"/>
    </row>
    <row r="2347" spans="1:19" ht="21" customHeight="1" x14ac:dyDescent="0.25">
      <c r="A2347" s="14">
        <f>DATE(2012,12,31)-991</f>
        <v>40283</v>
      </c>
      <c r="B2347" s="15" t="s">
        <v>256</v>
      </c>
      <c r="C2347" s="15" t="s">
        <v>85</v>
      </c>
      <c r="D2347" s="16">
        <v>25</v>
      </c>
      <c r="E2347" s="17">
        <v>144.84</v>
      </c>
      <c r="F2347" s="16">
        <v>0.09</v>
      </c>
      <c r="G2347" s="15" t="s">
        <v>32</v>
      </c>
      <c r="H2347" s="18">
        <v>-120.99</v>
      </c>
      <c r="I2347" s="19">
        <v>5.78</v>
      </c>
      <c r="J2347" s="19">
        <v>8.09</v>
      </c>
      <c r="K2347" s="19" t="s">
        <v>33</v>
      </c>
      <c r="L2347" s="19" t="s">
        <v>145</v>
      </c>
      <c r="M2347" s="15" t="s">
        <v>1761</v>
      </c>
      <c r="N2347" s="15" t="s">
        <v>36</v>
      </c>
      <c r="O2347" s="15" t="s">
        <v>117</v>
      </c>
      <c r="P2347" s="20" t="s">
        <v>605</v>
      </c>
      <c r="Q2347" s="15" t="s">
        <v>83</v>
      </c>
      <c r="R2347" s="4"/>
      <c r="S2347" s="4"/>
    </row>
    <row r="2348" spans="1:19" ht="21" customHeight="1" x14ac:dyDescent="0.25">
      <c r="A2348" s="14">
        <f>DATE(2012,12,31)-991</f>
        <v>40283</v>
      </c>
      <c r="B2348" s="15" t="s">
        <v>256</v>
      </c>
      <c r="C2348" s="15" t="s">
        <v>85</v>
      </c>
      <c r="D2348" s="16">
        <v>20</v>
      </c>
      <c r="E2348" s="17">
        <v>127.16</v>
      </c>
      <c r="F2348" s="16">
        <v>0.09</v>
      </c>
      <c r="G2348" s="15" t="s">
        <v>32</v>
      </c>
      <c r="H2348" s="18">
        <v>12.88</v>
      </c>
      <c r="I2348" s="19">
        <v>6.7</v>
      </c>
      <c r="J2348" s="19">
        <v>1.56</v>
      </c>
      <c r="K2348" s="19" t="s">
        <v>124</v>
      </c>
      <c r="L2348" s="19" t="s">
        <v>164</v>
      </c>
      <c r="M2348" s="15" t="s">
        <v>1228</v>
      </c>
      <c r="N2348" s="15" t="s">
        <v>36</v>
      </c>
      <c r="O2348" s="15" t="s">
        <v>77</v>
      </c>
      <c r="P2348" s="20" t="s">
        <v>1777</v>
      </c>
      <c r="Q2348" s="15" t="s">
        <v>79</v>
      </c>
      <c r="R2348" s="4"/>
      <c r="S2348" s="4"/>
    </row>
    <row r="2349" spans="1:19" ht="21" customHeight="1" x14ac:dyDescent="0.25">
      <c r="A2349" s="14">
        <f>DATE(2012,12,31)-16</f>
        <v>41258</v>
      </c>
      <c r="B2349" s="15" t="s">
        <v>1511</v>
      </c>
      <c r="C2349" s="15" t="s">
        <v>43</v>
      </c>
      <c r="D2349" s="16">
        <v>3</v>
      </c>
      <c r="E2349" s="17">
        <v>14.74</v>
      </c>
      <c r="F2349" s="16">
        <v>0.06</v>
      </c>
      <c r="G2349" s="15" t="s">
        <v>32</v>
      </c>
      <c r="H2349" s="18">
        <v>-2.72</v>
      </c>
      <c r="I2349" s="19">
        <v>4.4800000000000004</v>
      </c>
      <c r="J2349" s="19">
        <v>1.22</v>
      </c>
      <c r="K2349" s="19" t="s">
        <v>97</v>
      </c>
      <c r="L2349" s="19" t="s">
        <v>195</v>
      </c>
      <c r="M2349" s="15" t="s">
        <v>1847</v>
      </c>
      <c r="N2349" s="15" t="s">
        <v>36</v>
      </c>
      <c r="O2349" s="15" t="s">
        <v>117</v>
      </c>
      <c r="P2349" s="20" t="s">
        <v>1678</v>
      </c>
      <c r="Q2349" s="15" t="s">
        <v>79</v>
      </c>
      <c r="R2349" s="4"/>
      <c r="S2349" s="4"/>
    </row>
    <row r="2350" spans="1:19" ht="21" customHeight="1" x14ac:dyDescent="0.25">
      <c r="A2350" s="14">
        <f>DATE(2012,12,31)-16</f>
        <v>41258</v>
      </c>
      <c r="B2350" s="15" t="s">
        <v>1511</v>
      </c>
      <c r="C2350" s="15" t="s">
        <v>43</v>
      </c>
      <c r="D2350" s="16">
        <v>43</v>
      </c>
      <c r="E2350" s="17">
        <v>117.68</v>
      </c>
      <c r="F2350" s="16">
        <v>0.09</v>
      </c>
      <c r="G2350" s="15" t="s">
        <v>101</v>
      </c>
      <c r="H2350" s="18">
        <v>12.47</v>
      </c>
      <c r="I2350" s="19">
        <v>2.88</v>
      </c>
      <c r="J2350" s="19">
        <v>0.7</v>
      </c>
      <c r="K2350" s="19" t="s">
        <v>33</v>
      </c>
      <c r="L2350" s="19" t="s">
        <v>59</v>
      </c>
      <c r="M2350" s="15" t="s">
        <v>1361</v>
      </c>
      <c r="N2350" s="15" t="s">
        <v>36</v>
      </c>
      <c r="O2350" s="15" t="s">
        <v>77</v>
      </c>
      <c r="P2350" s="20" t="s">
        <v>95</v>
      </c>
      <c r="Q2350" s="15" t="s">
        <v>79</v>
      </c>
      <c r="R2350" s="4"/>
      <c r="S2350" s="4"/>
    </row>
    <row r="2351" spans="1:19" ht="21" customHeight="1" x14ac:dyDescent="0.25">
      <c r="A2351" s="14">
        <f>DATE(2012,12,31)-1455</f>
        <v>39819</v>
      </c>
      <c r="B2351" s="15" t="s">
        <v>1766</v>
      </c>
      <c r="C2351" s="15" t="s">
        <v>43</v>
      </c>
      <c r="D2351" s="16">
        <v>27</v>
      </c>
      <c r="E2351" s="17">
        <v>46.86</v>
      </c>
      <c r="F2351" s="16">
        <v>0.06</v>
      </c>
      <c r="G2351" s="15" t="s">
        <v>32</v>
      </c>
      <c r="H2351" s="18">
        <v>-37.08</v>
      </c>
      <c r="I2351" s="19">
        <v>1.7</v>
      </c>
      <c r="J2351" s="19">
        <v>1.99</v>
      </c>
      <c r="K2351" s="19" t="s">
        <v>124</v>
      </c>
      <c r="L2351" s="19" t="s">
        <v>160</v>
      </c>
      <c r="M2351" s="15" t="s">
        <v>1621</v>
      </c>
      <c r="N2351" s="15" t="s">
        <v>64</v>
      </c>
      <c r="O2351" s="15" t="s">
        <v>72</v>
      </c>
      <c r="P2351" s="20" t="s">
        <v>1852</v>
      </c>
      <c r="Q2351" s="15" t="s">
        <v>49</v>
      </c>
      <c r="R2351" s="4"/>
      <c r="S2351" s="4"/>
    </row>
    <row r="2352" spans="1:19" ht="21" customHeight="1" x14ac:dyDescent="0.25">
      <c r="A2352" s="14">
        <f>DATE(2012,12,31)-1455</f>
        <v>39819</v>
      </c>
      <c r="B2352" s="15" t="s">
        <v>1766</v>
      </c>
      <c r="C2352" s="15" t="s">
        <v>43</v>
      </c>
      <c r="D2352" s="16">
        <v>34</v>
      </c>
      <c r="E2352" s="17">
        <v>1089.5899999999999</v>
      </c>
      <c r="F2352" s="16">
        <v>0.01</v>
      </c>
      <c r="G2352" s="15" t="s">
        <v>32</v>
      </c>
      <c r="H2352" s="18">
        <v>433.24</v>
      </c>
      <c r="I2352" s="19">
        <v>30.98</v>
      </c>
      <c r="J2352" s="19">
        <v>5.09</v>
      </c>
      <c r="K2352" s="19" t="s">
        <v>44</v>
      </c>
      <c r="L2352" s="19" t="s">
        <v>120</v>
      </c>
      <c r="M2352" s="15" t="s">
        <v>121</v>
      </c>
      <c r="N2352" s="15" t="s">
        <v>36</v>
      </c>
      <c r="O2352" s="15" t="s">
        <v>117</v>
      </c>
      <c r="P2352" s="20" t="s">
        <v>1385</v>
      </c>
      <c r="Q2352" s="15" t="s">
        <v>83</v>
      </c>
      <c r="R2352" s="4"/>
      <c r="S2352" s="4"/>
    </row>
    <row r="2353" spans="1:19" ht="21" customHeight="1" x14ac:dyDescent="0.25">
      <c r="A2353" s="14">
        <f>DATE(2012,12,31)-500</f>
        <v>40774</v>
      </c>
      <c r="B2353" s="15" t="s">
        <v>1632</v>
      </c>
      <c r="C2353" s="15" t="s">
        <v>31</v>
      </c>
      <c r="D2353" s="16">
        <v>5</v>
      </c>
      <c r="E2353" s="17">
        <v>397.55</v>
      </c>
      <c r="F2353" s="16">
        <v>0.08</v>
      </c>
      <c r="G2353" s="15" t="s">
        <v>32</v>
      </c>
      <c r="H2353" s="18">
        <v>-152.47</v>
      </c>
      <c r="I2353" s="19">
        <v>83.1</v>
      </c>
      <c r="J2353" s="19">
        <v>6.13</v>
      </c>
      <c r="K2353" s="19" t="s">
        <v>44</v>
      </c>
      <c r="L2353" s="19" t="s">
        <v>120</v>
      </c>
      <c r="M2353" s="15" t="s">
        <v>121</v>
      </c>
      <c r="N2353" s="15" t="s">
        <v>64</v>
      </c>
      <c r="O2353" s="15" t="s">
        <v>72</v>
      </c>
      <c r="P2353" s="20" t="s">
        <v>1095</v>
      </c>
      <c r="Q2353" s="15" t="s">
        <v>83</v>
      </c>
      <c r="R2353" s="4"/>
      <c r="S2353" s="4"/>
    </row>
    <row r="2354" spans="1:19" ht="21" customHeight="1" x14ac:dyDescent="0.25">
      <c r="A2354" s="14">
        <f>DATE(2012,12,31)-500</f>
        <v>40774</v>
      </c>
      <c r="B2354" s="15" t="s">
        <v>1632</v>
      </c>
      <c r="C2354" s="15" t="s">
        <v>31</v>
      </c>
      <c r="D2354" s="16">
        <v>34</v>
      </c>
      <c r="E2354" s="17">
        <v>676.26</v>
      </c>
      <c r="F2354" s="16">
        <v>0.06</v>
      </c>
      <c r="G2354" s="15" t="s">
        <v>32</v>
      </c>
      <c r="H2354" s="18">
        <v>181.98</v>
      </c>
      <c r="I2354" s="19">
        <v>19.98</v>
      </c>
      <c r="J2354" s="19">
        <v>5.77</v>
      </c>
      <c r="K2354" s="19" t="s">
        <v>97</v>
      </c>
      <c r="L2354" s="19" t="s">
        <v>98</v>
      </c>
      <c r="M2354" s="15" t="s">
        <v>1162</v>
      </c>
      <c r="N2354" s="15" t="s">
        <v>36</v>
      </c>
      <c r="O2354" s="15" t="s">
        <v>117</v>
      </c>
      <c r="P2354" s="20" t="s">
        <v>1535</v>
      </c>
      <c r="Q2354" s="15" t="s">
        <v>83</v>
      </c>
      <c r="R2354" s="4"/>
      <c r="S2354" s="4"/>
    </row>
    <row r="2355" spans="1:19" ht="21" customHeight="1" x14ac:dyDescent="0.25">
      <c r="A2355" s="14">
        <f>DATE(2012,12,31)-750</f>
        <v>40524</v>
      </c>
      <c r="B2355" s="15" t="s">
        <v>450</v>
      </c>
      <c r="C2355" s="15" t="s">
        <v>51</v>
      </c>
      <c r="D2355" s="16">
        <v>15</v>
      </c>
      <c r="E2355" s="17">
        <v>126.74</v>
      </c>
      <c r="F2355" s="16">
        <v>0.08</v>
      </c>
      <c r="G2355" s="15" t="s">
        <v>32</v>
      </c>
      <c r="H2355" s="18">
        <v>-18.53</v>
      </c>
      <c r="I2355" s="19">
        <v>8.67</v>
      </c>
      <c r="J2355" s="19">
        <v>3.5</v>
      </c>
      <c r="K2355" s="19" t="s">
        <v>124</v>
      </c>
      <c r="L2355" s="19" t="s">
        <v>160</v>
      </c>
      <c r="M2355" s="15" t="s">
        <v>1621</v>
      </c>
      <c r="N2355" s="15" t="s">
        <v>36</v>
      </c>
      <c r="O2355" s="15" t="s">
        <v>176</v>
      </c>
      <c r="P2355" s="20" t="s">
        <v>841</v>
      </c>
      <c r="Q2355" s="15" t="s">
        <v>83</v>
      </c>
      <c r="R2355" s="4"/>
      <c r="S2355" s="4"/>
    </row>
    <row r="2356" spans="1:19" ht="21" customHeight="1" x14ac:dyDescent="0.25">
      <c r="A2356" s="14">
        <f>DATE(2012,12,31)-411</f>
        <v>40863</v>
      </c>
      <c r="B2356" s="15" t="s">
        <v>1824</v>
      </c>
      <c r="C2356" s="15" t="s">
        <v>85</v>
      </c>
      <c r="D2356" s="16">
        <v>8</v>
      </c>
      <c r="E2356" s="17">
        <v>1383.9190000000001</v>
      </c>
      <c r="F2356" s="16">
        <v>0.05</v>
      </c>
      <c r="G2356" s="15" t="s">
        <v>32</v>
      </c>
      <c r="H2356" s="18">
        <v>-433.488</v>
      </c>
      <c r="I2356" s="19">
        <v>205.99</v>
      </c>
      <c r="J2356" s="19">
        <v>2.5</v>
      </c>
      <c r="K2356" s="19" t="s">
        <v>44</v>
      </c>
      <c r="L2356" s="19" t="s">
        <v>52</v>
      </c>
      <c r="M2356" s="15" t="s">
        <v>1685</v>
      </c>
      <c r="N2356" s="15" t="s">
        <v>64</v>
      </c>
      <c r="O2356" s="15" t="s">
        <v>65</v>
      </c>
      <c r="P2356" s="20" t="s">
        <v>1529</v>
      </c>
      <c r="Q2356" s="15" t="s">
        <v>83</v>
      </c>
      <c r="R2356" s="4"/>
      <c r="S2356" s="4"/>
    </row>
    <row r="2357" spans="1:19" ht="21" customHeight="1" x14ac:dyDescent="0.25">
      <c r="A2357" s="14">
        <f>DATE(2012,12,31)-744</f>
        <v>40530</v>
      </c>
      <c r="B2357" s="15" t="s">
        <v>1792</v>
      </c>
      <c r="C2357" s="15" t="s">
        <v>43</v>
      </c>
      <c r="D2357" s="16">
        <v>42</v>
      </c>
      <c r="E2357" s="17">
        <v>48.41</v>
      </c>
      <c r="F2357" s="16">
        <v>0.06</v>
      </c>
      <c r="G2357" s="15" t="s">
        <v>32</v>
      </c>
      <c r="H2357" s="18">
        <v>-1.46</v>
      </c>
      <c r="I2357" s="19">
        <v>1.1399999999999999</v>
      </c>
      <c r="J2357" s="19">
        <v>0.7</v>
      </c>
      <c r="K2357" s="19" t="s">
        <v>124</v>
      </c>
      <c r="L2357" s="19" t="s">
        <v>160</v>
      </c>
      <c r="M2357" s="15" t="s">
        <v>1621</v>
      </c>
      <c r="N2357" s="15" t="s">
        <v>36</v>
      </c>
      <c r="O2357" s="15" t="s">
        <v>105</v>
      </c>
      <c r="P2357" s="20" t="s">
        <v>1551</v>
      </c>
      <c r="Q2357" s="15" t="s">
        <v>79</v>
      </c>
      <c r="R2357" s="4"/>
      <c r="S2357" s="4"/>
    </row>
    <row r="2358" spans="1:19" ht="21" customHeight="1" x14ac:dyDescent="0.25">
      <c r="A2358" s="14">
        <f>DATE(2012,12,31)-1442</f>
        <v>39832</v>
      </c>
      <c r="B2358" s="15" t="s">
        <v>228</v>
      </c>
      <c r="C2358" s="15" t="s">
        <v>85</v>
      </c>
      <c r="D2358" s="16">
        <v>18</v>
      </c>
      <c r="E2358" s="17">
        <v>3568.45</v>
      </c>
      <c r="F2358" s="16">
        <v>0.09</v>
      </c>
      <c r="G2358" s="15" t="s">
        <v>32</v>
      </c>
      <c r="H2358" s="18">
        <v>1081.6199999999999</v>
      </c>
      <c r="I2358" s="19">
        <v>207.48</v>
      </c>
      <c r="J2358" s="19">
        <v>0.99</v>
      </c>
      <c r="K2358" s="19" t="s">
        <v>33</v>
      </c>
      <c r="L2358" s="19" t="s">
        <v>145</v>
      </c>
      <c r="M2358" s="15" t="s">
        <v>1761</v>
      </c>
      <c r="N2358" s="15" t="s">
        <v>36</v>
      </c>
      <c r="O2358" s="15" t="s">
        <v>176</v>
      </c>
      <c r="P2358" s="20" t="s">
        <v>349</v>
      </c>
      <c r="Q2358" s="15" t="s">
        <v>83</v>
      </c>
      <c r="R2358" s="4"/>
      <c r="S2358" s="4"/>
    </row>
    <row r="2359" spans="1:19" ht="21" customHeight="1" x14ac:dyDescent="0.25">
      <c r="A2359" s="14">
        <f>DATE(2012,12,31)-1175</f>
        <v>40099</v>
      </c>
      <c r="B2359" s="15" t="s">
        <v>88</v>
      </c>
      <c r="C2359" s="15" t="s">
        <v>85</v>
      </c>
      <c r="D2359" s="16">
        <v>31</v>
      </c>
      <c r="E2359" s="17">
        <v>1401.75</v>
      </c>
      <c r="F2359" s="16">
        <v>0.02</v>
      </c>
      <c r="G2359" s="15" t="s">
        <v>32</v>
      </c>
      <c r="H2359" s="18">
        <v>426.44</v>
      </c>
      <c r="I2359" s="19">
        <v>42.98</v>
      </c>
      <c r="J2359" s="19">
        <v>4.62</v>
      </c>
      <c r="K2359" s="19" t="s">
        <v>44</v>
      </c>
      <c r="L2359" s="19" t="s">
        <v>52</v>
      </c>
      <c r="M2359" s="15" t="s">
        <v>1685</v>
      </c>
      <c r="N2359" s="15" t="s">
        <v>36</v>
      </c>
      <c r="O2359" s="15" t="s">
        <v>176</v>
      </c>
      <c r="P2359" s="20" t="s">
        <v>1670</v>
      </c>
      <c r="Q2359" s="15" t="s">
        <v>83</v>
      </c>
      <c r="R2359" s="4"/>
      <c r="S2359" s="4"/>
    </row>
    <row r="2360" spans="1:19" ht="21" customHeight="1" x14ac:dyDescent="0.25">
      <c r="A2360" s="14">
        <f>DATE(2012,12,31)-1173</f>
        <v>40101</v>
      </c>
      <c r="B2360" s="15" t="s">
        <v>1668</v>
      </c>
      <c r="C2360" s="15" t="s">
        <v>51</v>
      </c>
      <c r="D2360" s="16">
        <v>19</v>
      </c>
      <c r="E2360" s="17">
        <v>513.5</v>
      </c>
      <c r="F2360" s="16">
        <v>0.02</v>
      </c>
      <c r="G2360" s="15" t="s">
        <v>32</v>
      </c>
      <c r="H2360" s="18">
        <v>82.96</v>
      </c>
      <c r="I2360" s="19">
        <v>25.99</v>
      </c>
      <c r="J2360" s="19">
        <v>5.37</v>
      </c>
      <c r="K2360" s="19" t="s">
        <v>33</v>
      </c>
      <c r="L2360" s="19" t="s">
        <v>59</v>
      </c>
      <c r="M2360" s="15" t="s">
        <v>1361</v>
      </c>
      <c r="N2360" s="15" t="s">
        <v>36</v>
      </c>
      <c r="O2360" s="15" t="s">
        <v>77</v>
      </c>
      <c r="P2360" s="20" t="s">
        <v>1853</v>
      </c>
      <c r="Q2360" s="15" t="s">
        <v>83</v>
      </c>
      <c r="R2360" s="4"/>
      <c r="S2360" s="4"/>
    </row>
    <row r="2361" spans="1:19" ht="21" customHeight="1" x14ac:dyDescent="0.25">
      <c r="A2361" s="14">
        <f>DATE(2012,12,31)-730</f>
        <v>40544</v>
      </c>
      <c r="B2361" s="15" t="s">
        <v>1338</v>
      </c>
      <c r="C2361" s="15" t="s">
        <v>51</v>
      </c>
      <c r="D2361" s="16">
        <v>15</v>
      </c>
      <c r="E2361" s="17">
        <v>72.67</v>
      </c>
      <c r="F2361" s="16">
        <v>0.04</v>
      </c>
      <c r="G2361" s="15" t="s">
        <v>32</v>
      </c>
      <c r="H2361" s="18">
        <v>-62.37</v>
      </c>
      <c r="I2361" s="19">
        <v>4.28</v>
      </c>
      <c r="J2361" s="19">
        <v>6.72</v>
      </c>
      <c r="K2361" s="19" t="s">
        <v>111</v>
      </c>
      <c r="L2361" s="19" t="s">
        <v>112</v>
      </c>
      <c r="M2361" s="15" t="s">
        <v>1843</v>
      </c>
      <c r="N2361" s="15" t="s">
        <v>36</v>
      </c>
      <c r="O2361" s="15" t="s">
        <v>117</v>
      </c>
      <c r="P2361" s="20" t="s">
        <v>792</v>
      </c>
      <c r="Q2361" s="15" t="s">
        <v>83</v>
      </c>
      <c r="R2361" s="4"/>
      <c r="S2361" s="4"/>
    </row>
    <row r="2362" spans="1:19" ht="21" customHeight="1" x14ac:dyDescent="0.25">
      <c r="A2362" s="14">
        <f>DATE(2012,12,31)-62</f>
        <v>41212</v>
      </c>
      <c r="B2362" s="15" t="s">
        <v>1619</v>
      </c>
      <c r="C2362" s="15" t="s">
        <v>85</v>
      </c>
      <c r="D2362" s="16">
        <v>28</v>
      </c>
      <c r="E2362" s="17">
        <v>80.53</v>
      </c>
      <c r="F2362" s="16">
        <v>0.01</v>
      </c>
      <c r="G2362" s="15" t="s">
        <v>32</v>
      </c>
      <c r="H2362" s="18">
        <v>10.01</v>
      </c>
      <c r="I2362" s="19">
        <v>2.88</v>
      </c>
      <c r="J2362" s="19">
        <v>0.7</v>
      </c>
      <c r="K2362" s="19" t="s">
        <v>44</v>
      </c>
      <c r="L2362" s="19" t="s">
        <v>89</v>
      </c>
      <c r="M2362" s="15" t="s">
        <v>1809</v>
      </c>
      <c r="N2362" s="15" t="s">
        <v>36</v>
      </c>
      <c r="O2362" s="15" t="s">
        <v>77</v>
      </c>
      <c r="P2362" s="20" t="s">
        <v>95</v>
      </c>
      <c r="Q2362" s="15" t="s">
        <v>79</v>
      </c>
      <c r="R2362" s="4"/>
      <c r="S2362" s="4"/>
    </row>
    <row r="2363" spans="1:19" ht="21" customHeight="1" x14ac:dyDescent="0.25">
      <c r="A2363" s="14">
        <f>DATE(2012,12,31)-978</f>
        <v>40296</v>
      </c>
      <c r="B2363" s="15" t="s">
        <v>1671</v>
      </c>
      <c r="C2363" s="15" t="s">
        <v>31</v>
      </c>
      <c r="D2363" s="16">
        <v>30</v>
      </c>
      <c r="E2363" s="17">
        <v>4177.5200000000004</v>
      </c>
      <c r="F2363" s="16">
        <v>0.04</v>
      </c>
      <c r="G2363" s="15" t="s">
        <v>58</v>
      </c>
      <c r="H2363" s="18">
        <v>-443.78</v>
      </c>
      <c r="I2363" s="19">
        <v>140.97999999999999</v>
      </c>
      <c r="J2363" s="19">
        <v>36.090000000000003</v>
      </c>
      <c r="K2363" s="19" t="s">
        <v>44</v>
      </c>
      <c r="L2363" s="19" t="s">
        <v>89</v>
      </c>
      <c r="M2363" s="15" t="s">
        <v>1809</v>
      </c>
      <c r="N2363" s="15" t="s">
        <v>54</v>
      </c>
      <c r="O2363" s="15" t="s">
        <v>134</v>
      </c>
      <c r="P2363" s="20" t="s">
        <v>1039</v>
      </c>
      <c r="Q2363" s="15" t="s">
        <v>63</v>
      </c>
      <c r="R2363" s="4"/>
      <c r="S2363" s="4"/>
    </row>
    <row r="2364" spans="1:19" ht="21" customHeight="1" x14ac:dyDescent="0.25">
      <c r="A2364" s="14">
        <f>DATE(2012,12,31)-978</f>
        <v>40296</v>
      </c>
      <c r="B2364" s="15" t="s">
        <v>1671</v>
      </c>
      <c r="C2364" s="15" t="s">
        <v>31</v>
      </c>
      <c r="D2364" s="16">
        <v>26</v>
      </c>
      <c r="E2364" s="17">
        <v>3351.08</v>
      </c>
      <c r="F2364" s="16">
        <v>0.05</v>
      </c>
      <c r="G2364" s="15" t="s">
        <v>58</v>
      </c>
      <c r="H2364" s="18">
        <v>-1086.43</v>
      </c>
      <c r="I2364" s="19">
        <v>122.99</v>
      </c>
      <c r="J2364" s="19">
        <v>70.2</v>
      </c>
      <c r="K2364" s="19" t="s">
        <v>44</v>
      </c>
      <c r="L2364" s="19" t="s">
        <v>80</v>
      </c>
      <c r="M2364" s="15" t="s">
        <v>1823</v>
      </c>
      <c r="N2364" s="15" t="s">
        <v>54</v>
      </c>
      <c r="O2364" s="15" t="s">
        <v>252</v>
      </c>
      <c r="P2364" s="20" t="s">
        <v>819</v>
      </c>
      <c r="Q2364" s="15" t="s">
        <v>181</v>
      </c>
      <c r="R2364" s="4"/>
      <c r="S2364" s="4"/>
    </row>
    <row r="2365" spans="1:19" ht="21" customHeight="1" x14ac:dyDescent="0.25">
      <c r="A2365" s="14">
        <f>DATE(2012,12,31)-163</f>
        <v>41111</v>
      </c>
      <c r="B2365" s="15" t="s">
        <v>322</v>
      </c>
      <c r="C2365" s="15" t="s">
        <v>85</v>
      </c>
      <c r="D2365" s="16">
        <v>45</v>
      </c>
      <c r="E2365" s="17">
        <v>2604.3150000000001</v>
      </c>
      <c r="F2365" s="16">
        <v>0</v>
      </c>
      <c r="G2365" s="15" t="s">
        <v>32</v>
      </c>
      <c r="H2365" s="18">
        <v>750.87</v>
      </c>
      <c r="I2365" s="19">
        <v>65.989999999999995</v>
      </c>
      <c r="J2365" s="19">
        <v>5.26</v>
      </c>
      <c r="K2365" s="19" t="s">
        <v>124</v>
      </c>
      <c r="L2365" s="19" t="s">
        <v>164</v>
      </c>
      <c r="M2365" s="15" t="s">
        <v>1228</v>
      </c>
      <c r="N2365" s="15" t="s">
        <v>64</v>
      </c>
      <c r="O2365" s="15" t="s">
        <v>65</v>
      </c>
      <c r="P2365" s="20" t="s">
        <v>488</v>
      </c>
      <c r="Q2365" s="15" t="s">
        <v>83</v>
      </c>
      <c r="R2365" s="4"/>
      <c r="S2365" s="4"/>
    </row>
    <row r="2366" spans="1:19" ht="21" customHeight="1" x14ac:dyDescent="0.25">
      <c r="A2366" s="14">
        <f>DATE(2012,12,31)-324</f>
        <v>40950</v>
      </c>
      <c r="B2366" s="15" t="s">
        <v>1854</v>
      </c>
      <c r="C2366" s="15" t="s">
        <v>43</v>
      </c>
      <c r="D2366" s="16">
        <v>50</v>
      </c>
      <c r="E2366" s="17">
        <v>4550.0600000000004</v>
      </c>
      <c r="F2366" s="16">
        <v>0.1</v>
      </c>
      <c r="G2366" s="15" t="s">
        <v>58</v>
      </c>
      <c r="H2366" s="18">
        <v>-1335.32</v>
      </c>
      <c r="I2366" s="19">
        <v>95.98</v>
      </c>
      <c r="J2366" s="19">
        <v>58.2</v>
      </c>
      <c r="K2366" s="19" t="s">
        <v>44</v>
      </c>
      <c r="L2366" s="19" t="s">
        <v>52</v>
      </c>
      <c r="M2366" s="15" t="s">
        <v>1685</v>
      </c>
      <c r="N2366" s="15" t="s">
        <v>54</v>
      </c>
      <c r="O2366" s="15" t="s">
        <v>252</v>
      </c>
      <c r="P2366" s="20" t="s">
        <v>1275</v>
      </c>
      <c r="Q2366" s="15" t="s">
        <v>181</v>
      </c>
      <c r="R2366" s="4"/>
      <c r="S2366" s="4"/>
    </row>
    <row r="2367" spans="1:19" ht="21" customHeight="1" x14ac:dyDescent="0.25">
      <c r="A2367" s="14">
        <f>DATE(2012,12,31)-1163</f>
        <v>40111</v>
      </c>
      <c r="B2367" s="15" t="s">
        <v>282</v>
      </c>
      <c r="C2367" s="15" t="s">
        <v>85</v>
      </c>
      <c r="D2367" s="16">
        <v>39</v>
      </c>
      <c r="E2367" s="17">
        <v>128.31</v>
      </c>
      <c r="F2367" s="16">
        <v>0.05</v>
      </c>
      <c r="G2367" s="15" t="s">
        <v>101</v>
      </c>
      <c r="H2367" s="18">
        <v>-55.72</v>
      </c>
      <c r="I2367" s="19">
        <v>3.14</v>
      </c>
      <c r="J2367" s="19">
        <v>1.92</v>
      </c>
      <c r="K2367" s="19" t="s">
        <v>44</v>
      </c>
      <c r="L2367" s="19" t="s">
        <v>52</v>
      </c>
      <c r="M2367" s="15" t="s">
        <v>1685</v>
      </c>
      <c r="N2367" s="15" t="s">
        <v>36</v>
      </c>
      <c r="O2367" s="15" t="s">
        <v>47</v>
      </c>
      <c r="P2367" s="20" t="s">
        <v>148</v>
      </c>
      <c r="Q2367" s="15" t="s">
        <v>79</v>
      </c>
      <c r="R2367" s="4"/>
      <c r="S2367" s="4"/>
    </row>
    <row r="2368" spans="1:19" ht="21" customHeight="1" x14ac:dyDescent="0.25">
      <c r="A2368" s="14">
        <f>DATE(2012,12,31)-294</f>
        <v>40980</v>
      </c>
      <c r="B2368" s="15" t="s">
        <v>276</v>
      </c>
      <c r="C2368" s="15" t="s">
        <v>51</v>
      </c>
      <c r="D2368" s="16">
        <v>32</v>
      </c>
      <c r="E2368" s="17">
        <v>236.45</v>
      </c>
      <c r="F2368" s="16">
        <v>0.06</v>
      </c>
      <c r="G2368" s="15" t="s">
        <v>32</v>
      </c>
      <c r="H2368" s="18">
        <v>-259.02</v>
      </c>
      <c r="I2368" s="19">
        <v>6.98</v>
      </c>
      <c r="J2368" s="19">
        <v>9.69</v>
      </c>
      <c r="K2368" s="19" t="s">
        <v>44</v>
      </c>
      <c r="L2368" s="19" t="s">
        <v>52</v>
      </c>
      <c r="M2368" s="15" t="s">
        <v>1685</v>
      </c>
      <c r="N2368" s="15" t="s">
        <v>36</v>
      </c>
      <c r="O2368" s="15" t="s">
        <v>37</v>
      </c>
      <c r="P2368" s="20" t="s">
        <v>1855</v>
      </c>
      <c r="Q2368" s="15" t="s">
        <v>83</v>
      </c>
      <c r="R2368" s="4"/>
      <c r="S2368" s="4"/>
    </row>
    <row r="2369" spans="1:19" ht="21" customHeight="1" x14ac:dyDescent="0.25">
      <c r="A2369" s="14">
        <f>DATE(2012,12,31)-1433</f>
        <v>39841</v>
      </c>
      <c r="B2369" s="15" t="s">
        <v>219</v>
      </c>
      <c r="C2369" s="15" t="s">
        <v>85</v>
      </c>
      <c r="D2369" s="16">
        <v>36</v>
      </c>
      <c r="E2369" s="17">
        <v>267.52999999999997</v>
      </c>
      <c r="F2369" s="16">
        <v>0</v>
      </c>
      <c r="G2369" s="15" t="s">
        <v>101</v>
      </c>
      <c r="H2369" s="18">
        <v>85.17</v>
      </c>
      <c r="I2369" s="19">
        <v>6.88</v>
      </c>
      <c r="J2369" s="19">
        <v>2</v>
      </c>
      <c r="K2369" s="19" t="s">
        <v>69</v>
      </c>
      <c r="L2369" s="19" t="s">
        <v>70</v>
      </c>
      <c r="M2369" s="15" t="s">
        <v>1841</v>
      </c>
      <c r="N2369" s="15" t="s">
        <v>36</v>
      </c>
      <c r="O2369" s="15" t="s">
        <v>117</v>
      </c>
      <c r="P2369" s="20" t="s">
        <v>356</v>
      </c>
      <c r="Q2369" s="15" t="s">
        <v>79</v>
      </c>
      <c r="R2369" s="4"/>
      <c r="S2369" s="4"/>
    </row>
    <row r="2370" spans="1:19" ht="21" customHeight="1" x14ac:dyDescent="0.25">
      <c r="A2370" s="14">
        <f>DATE(2012,12,31)-1433</f>
        <v>39841</v>
      </c>
      <c r="B2370" s="15" t="s">
        <v>219</v>
      </c>
      <c r="C2370" s="15" t="s">
        <v>85</v>
      </c>
      <c r="D2370" s="16">
        <v>31</v>
      </c>
      <c r="E2370" s="17">
        <v>1065.26</v>
      </c>
      <c r="F2370" s="16">
        <v>0.03</v>
      </c>
      <c r="G2370" s="15" t="s">
        <v>101</v>
      </c>
      <c r="H2370" s="18">
        <v>-900.27</v>
      </c>
      <c r="I2370" s="19">
        <v>32.479999999999997</v>
      </c>
      <c r="J2370" s="19">
        <v>35</v>
      </c>
      <c r="K2370" s="19" t="s">
        <v>44</v>
      </c>
      <c r="L2370" s="19" t="s">
        <v>45</v>
      </c>
      <c r="M2370" s="15" t="s">
        <v>1768</v>
      </c>
      <c r="N2370" s="15" t="s">
        <v>36</v>
      </c>
      <c r="O2370" s="15" t="s">
        <v>37</v>
      </c>
      <c r="P2370" s="20" t="s">
        <v>1856</v>
      </c>
      <c r="Q2370" s="15" t="s">
        <v>39</v>
      </c>
      <c r="R2370" s="4"/>
      <c r="S2370" s="4"/>
    </row>
    <row r="2371" spans="1:19" ht="21" customHeight="1" x14ac:dyDescent="0.25">
      <c r="A2371" s="14">
        <f>DATE(2012,12,31)-103</f>
        <v>41171</v>
      </c>
      <c r="B2371" s="15" t="s">
        <v>1758</v>
      </c>
      <c r="C2371" s="15" t="s">
        <v>31</v>
      </c>
      <c r="D2371" s="16">
        <v>31</v>
      </c>
      <c r="E2371" s="17">
        <v>3081.471</v>
      </c>
      <c r="F2371" s="16">
        <v>0.09</v>
      </c>
      <c r="G2371" s="15" t="s">
        <v>32</v>
      </c>
      <c r="H2371" s="18">
        <v>574.98299999999995</v>
      </c>
      <c r="I2371" s="19">
        <v>125.99</v>
      </c>
      <c r="J2371" s="19">
        <v>4.2</v>
      </c>
      <c r="K2371" s="19" t="s">
        <v>44</v>
      </c>
      <c r="L2371" s="19" t="s">
        <v>52</v>
      </c>
      <c r="M2371" s="15" t="s">
        <v>1685</v>
      </c>
      <c r="N2371" s="15" t="s">
        <v>64</v>
      </c>
      <c r="O2371" s="15" t="s">
        <v>65</v>
      </c>
      <c r="P2371" s="20" t="s">
        <v>1382</v>
      </c>
      <c r="Q2371" s="15" t="s">
        <v>83</v>
      </c>
      <c r="R2371" s="4"/>
      <c r="S2371" s="4"/>
    </row>
    <row r="2372" spans="1:19" ht="21" customHeight="1" x14ac:dyDescent="0.25">
      <c r="A2372" s="14">
        <f>DATE(2012,12,31)-1435</f>
        <v>39839</v>
      </c>
      <c r="B2372" s="15" t="s">
        <v>265</v>
      </c>
      <c r="C2372" s="15" t="s">
        <v>85</v>
      </c>
      <c r="D2372" s="16">
        <v>49</v>
      </c>
      <c r="E2372" s="17">
        <v>4321.63</v>
      </c>
      <c r="F2372" s="16">
        <v>0.08</v>
      </c>
      <c r="G2372" s="15" t="s">
        <v>32</v>
      </c>
      <c r="H2372" s="18">
        <v>-1549.14</v>
      </c>
      <c r="I2372" s="19">
        <v>90.98</v>
      </c>
      <c r="J2372" s="19">
        <v>56.2</v>
      </c>
      <c r="K2372" s="19" t="s">
        <v>33</v>
      </c>
      <c r="L2372" s="19" t="s">
        <v>93</v>
      </c>
      <c r="M2372" s="15" t="s">
        <v>94</v>
      </c>
      <c r="N2372" s="15" t="s">
        <v>54</v>
      </c>
      <c r="O2372" s="15" t="s">
        <v>55</v>
      </c>
      <c r="P2372" s="20" t="s">
        <v>1038</v>
      </c>
      <c r="Q2372" s="15" t="s">
        <v>57</v>
      </c>
      <c r="R2372" s="4"/>
      <c r="S2372" s="4"/>
    </row>
    <row r="2373" spans="1:19" ht="21" customHeight="1" x14ac:dyDescent="0.25">
      <c r="A2373" s="14">
        <f>DATE(2012,12,31)-1435</f>
        <v>39839</v>
      </c>
      <c r="B2373" s="15" t="s">
        <v>265</v>
      </c>
      <c r="C2373" s="15" t="s">
        <v>85</v>
      </c>
      <c r="D2373" s="16">
        <v>11</v>
      </c>
      <c r="E2373" s="17">
        <v>67.14</v>
      </c>
      <c r="F2373" s="16">
        <v>7.0000000000000007E-2</v>
      </c>
      <c r="G2373" s="15" t="s">
        <v>32</v>
      </c>
      <c r="H2373" s="18">
        <v>-29.98</v>
      </c>
      <c r="I2373" s="19">
        <v>5.98</v>
      </c>
      <c r="J2373" s="19">
        <v>5.35</v>
      </c>
      <c r="K2373" s="19" t="s">
        <v>33</v>
      </c>
      <c r="L2373" s="19" t="s">
        <v>59</v>
      </c>
      <c r="M2373" s="15" t="s">
        <v>1361</v>
      </c>
      <c r="N2373" s="15" t="s">
        <v>36</v>
      </c>
      <c r="O2373" s="15" t="s">
        <v>117</v>
      </c>
      <c r="P2373" s="20" t="s">
        <v>933</v>
      </c>
      <c r="Q2373" s="15" t="s">
        <v>83</v>
      </c>
      <c r="R2373" s="4"/>
      <c r="S2373" s="4"/>
    </row>
    <row r="2374" spans="1:19" ht="21" customHeight="1" x14ac:dyDescent="0.25">
      <c r="A2374" s="14">
        <f>DATE(2012,12,31)-99</f>
        <v>41175</v>
      </c>
      <c r="B2374" s="15" t="s">
        <v>1319</v>
      </c>
      <c r="C2374" s="15" t="s">
        <v>51</v>
      </c>
      <c r="D2374" s="16">
        <v>4</v>
      </c>
      <c r="E2374" s="17">
        <v>2951.97</v>
      </c>
      <c r="F2374" s="16">
        <v>0.09</v>
      </c>
      <c r="G2374" s="15" t="s">
        <v>58</v>
      </c>
      <c r="H2374" s="18">
        <v>-1890.3272999999999</v>
      </c>
      <c r="I2374" s="19">
        <v>810.98</v>
      </c>
      <c r="J2374" s="19">
        <v>16.059999999999999</v>
      </c>
      <c r="K2374" s="19" t="s">
        <v>33</v>
      </c>
      <c r="L2374" s="19" t="s">
        <v>34</v>
      </c>
      <c r="M2374" s="15" t="s">
        <v>1716</v>
      </c>
      <c r="N2374" s="15" t="s">
        <v>64</v>
      </c>
      <c r="O2374" s="15" t="s">
        <v>122</v>
      </c>
      <c r="P2374" s="20" t="s">
        <v>1857</v>
      </c>
      <c r="Q2374" s="15" t="s">
        <v>181</v>
      </c>
      <c r="R2374" s="4"/>
      <c r="S2374" s="4"/>
    </row>
    <row r="2375" spans="1:19" ht="21" customHeight="1" x14ac:dyDescent="0.25">
      <c r="A2375" s="14">
        <f>DATE(2012,12,31)-218</f>
        <v>41056</v>
      </c>
      <c r="B2375" s="15" t="s">
        <v>630</v>
      </c>
      <c r="C2375" s="15" t="s">
        <v>85</v>
      </c>
      <c r="D2375" s="16">
        <v>7</v>
      </c>
      <c r="E2375" s="17">
        <v>2236.16</v>
      </c>
      <c r="F2375" s="16">
        <v>0.05</v>
      </c>
      <c r="G2375" s="15" t="s">
        <v>58</v>
      </c>
      <c r="H2375" s="18">
        <v>-99.160000000000082</v>
      </c>
      <c r="I2375" s="19">
        <v>320.98</v>
      </c>
      <c r="J2375" s="19">
        <v>58.95</v>
      </c>
      <c r="K2375" s="19" t="s">
        <v>33</v>
      </c>
      <c r="L2375" s="19" t="s">
        <v>145</v>
      </c>
      <c r="M2375" s="15" t="s">
        <v>1761</v>
      </c>
      <c r="N2375" s="15" t="s">
        <v>54</v>
      </c>
      <c r="O2375" s="15" t="s">
        <v>252</v>
      </c>
      <c r="P2375" s="20" t="s">
        <v>287</v>
      </c>
      <c r="Q2375" s="15" t="s">
        <v>181</v>
      </c>
      <c r="R2375" s="4"/>
      <c r="S2375" s="4"/>
    </row>
    <row r="2376" spans="1:19" ht="21" customHeight="1" x14ac:dyDescent="0.25">
      <c r="A2376" s="14">
        <f>DATE(2012,12,31)-161</f>
        <v>41113</v>
      </c>
      <c r="B2376" s="15" t="s">
        <v>1858</v>
      </c>
      <c r="C2376" s="15" t="s">
        <v>85</v>
      </c>
      <c r="D2376" s="16">
        <v>32</v>
      </c>
      <c r="E2376" s="17">
        <v>157.85</v>
      </c>
      <c r="F2376" s="16">
        <v>0.06</v>
      </c>
      <c r="G2376" s="15" t="s">
        <v>32</v>
      </c>
      <c r="H2376" s="18">
        <v>22.54</v>
      </c>
      <c r="I2376" s="19">
        <v>5.18</v>
      </c>
      <c r="J2376" s="19">
        <v>2.04</v>
      </c>
      <c r="K2376" s="19" t="s">
        <v>33</v>
      </c>
      <c r="L2376" s="19" t="s">
        <v>145</v>
      </c>
      <c r="M2376" s="15" t="s">
        <v>1761</v>
      </c>
      <c r="N2376" s="15" t="s">
        <v>36</v>
      </c>
      <c r="O2376" s="15" t="s">
        <v>117</v>
      </c>
      <c r="P2376" s="20" t="s">
        <v>1443</v>
      </c>
      <c r="Q2376" s="15" t="s">
        <v>79</v>
      </c>
      <c r="R2376" s="4"/>
      <c r="S2376" s="4"/>
    </row>
    <row r="2377" spans="1:19" ht="21" customHeight="1" x14ac:dyDescent="0.25">
      <c r="A2377" s="14">
        <f>DATE(2012,12,31)-828</f>
        <v>40446</v>
      </c>
      <c r="B2377" s="15" t="s">
        <v>1582</v>
      </c>
      <c r="C2377" s="15" t="s">
        <v>31</v>
      </c>
      <c r="D2377" s="16">
        <v>37</v>
      </c>
      <c r="E2377" s="17">
        <v>2911.64</v>
      </c>
      <c r="F2377" s="16">
        <v>0.02</v>
      </c>
      <c r="G2377" s="15" t="s">
        <v>32</v>
      </c>
      <c r="H2377" s="18">
        <v>225.28</v>
      </c>
      <c r="I2377" s="19">
        <v>73.98</v>
      </c>
      <c r="J2377" s="19">
        <v>14.52</v>
      </c>
      <c r="K2377" s="19" t="s">
        <v>33</v>
      </c>
      <c r="L2377" s="19" t="s">
        <v>145</v>
      </c>
      <c r="M2377" s="15" t="s">
        <v>1761</v>
      </c>
      <c r="N2377" s="15" t="s">
        <v>64</v>
      </c>
      <c r="O2377" s="15" t="s">
        <v>72</v>
      </c>
      <c r="P2377" s="20" t="s">
        <v>842</v>
      </c>
      <c r="Q2377" s="15" t="s">
        <v>83</v>
      </c>
      <c r="R2377" s="4"/>
      <c r="S2377" s="4"/>
    </row>
    <row r="2378" spans="1:19" ht="21" customHeight="1" x14ac:dyDescent="0.25">
      <c r="A2378" s="14">
        <f>DATE(2012,12,31)-1161</f>
        <v>40113</v>
      </c>
      <c r="B2378" s="15" t="s">
        <v>612</v>
      </c>
      <c r="C2378" s="15" t="s">
        <v>43</v>
      </c>
      <c r="D2378" s="16">
        <v>26</v>
      </c>
      <c r="E2378" s="17">
        <v>2951.4380000000001</v>
      </c>
      <c r="F2378" s="16">
        <v>0</v>
      </c>
      <c r="G2378" s="15" t="s">
        <v>32</v>
      </c>
      <c r="H2378" s="18">
        <v>667.27800000000002</v>
      </c>
      <c r="I2378" s="19">
        <v>125.99</v>
      </c>
      <c r="J2378" s="19">
        <v>8.99</v>
      </c>
      <c r="K2378" s="19" t="s">
        <v>33</v>
      </c>
      <c r="L2378" s="19" t="s">
        <v>34</v>
      </c>
      <c r="M2378" s="15" t="s">
        <v>1716</v>
      </c>
      <c r="N2378" s="15" t="s">
        <v>64</v>
      </c>
      <c r="O2378" s="15" t="s">
        <v>65</v>
      </c>
      <c r="P2378" s="20" t="s">
        <v>1679</v>
      </c>
      <c r="Q2378" s="15" t="s">
        <v>83</v>
      </c>
      <c r="R2378" s="4"/>
      <c r="S2378" s="4"/>
    </row>
    <row r="2379" spans="1:19" ht="21" customHeight="1" x14ac:dyDescent="0.25">
      <c r="A2379" s="14">
        <f>DATE(2012,12,31)-612</f>
        <v>40662</v>
      </c>
      <c r="B2379" s="15" t="s">
        <v>1619</v>
      </c>
      <c r="C2379" s="15" t="s">
        <v>43</v>
      </c>
      <c r="D2379" s="16">
        <v>48</v>
      </c>
      <c r="E2379" s="17">
        <v>2283.2199999999998</v>
      </c>
      <c r="F2379" s="16">
        <v>0.03</v>
      </c>
      <c r="G2379" s="15" t="s">
        <v>32</v>
      </c>
      <c r="H2379" s="18">
        <v>1006.72</v>
      </c>
      <c r="I2379" s="19">
        <v>48.91</v>
      </c>
      <c r="J2379" s="19">
        <v>5.97</v>
      </c>
      <c r="K2379" s="19" t="s">
        <v>69</v>
      </c>
      <c r="L2379" s="19" t="s">
        <v>70</v>
      </c>
      <c r="M2379" s="15" t="s">
        <v>1841</v>
      </c>
      <c r="N2379" s="15" t="s">
        <v>36</v>
      </c>
      <c r="O2379" s="15" t="s">
        <v>117</v>
      </c>
      <c r="P2379" s="20" t="s">
        <v>1788</v>
      </c>
      <c r="Q2379" s="15" t="s">
        <v>83</v>
      </c>
      <c r="R2379" s="4"/>
      <c r="S2379" s="4"/>
    </row>
    <row r="2380" spans="1:19" ht="21" customHeight="1" x14ac:dyDescent="0.25">
      <c r="A2380" s="14">
        <f>DATE(2012,12,31)-612</f>
        <v>40662</v>
      </c>
      <c r="B2380" s="15" t="s">
        <v>1619</v>
      </c>
      <c r="C2380" s="15" t="s">
        <v>43</v>
      </c>
      <c r="D2380" s="16">
        <v>49</v>
      </c>
      <c r="E2380" s="17">
        <v>11365.616000000002</v>
      </c>
      <c r="F2380" s="16">
        <v>0.08</v>
      </c>
      <c r="G2380" s="15" t="s">
        <v>58</v>
      </c>
      <c r="H2380" s="18">
        <v>229.22</v>
      </c>
      <c r="I2380" s="19">
        <v>296.18</v>
      </c>
      <c r="J2380" s="19">
        <v>54.12</v>
      </c>
      <c r="K2380" s="19" t="s">
        <v>69</v>
      </c>
      <c r="L2380" s="19" t="s">
        <v>75</v>
      </c>
      <c r="M2380" s="15" t="s">
        <v>1786</v>
      </c>
      <c r="N2380" s="15" t="s">
        <v>54</v>
      </c>
      <c r="O2380" s="15" t="s">
        <v>61</v>
      </c>
      <c r="P2380" s="20" t="s">
        <v>345</v>
      </c>
      <c r="Q2380" s="15" t="s">
        <v>63</v>
      </c>
      <c r="R2380" s="4"/>
      <c r="S2380" s="4"/>
    </row>
    <row r="2381" spans="1:19" ht="21" customHeight="1" x14ac:dyDescent="0.25">
      <c r="A2381" s="14">
        <f>DATE(2012,12,31)-502</f>
        <v>40772</v>
      </c>
      <c r="B2381" s="15" t="s">
        <v>537</v>
      </c>
      <c r="C2381" s="15" t="s">
        <v>85</v>
      </c>
      <c r="D2381" s="16">
        <v>13</v>
      </c>
      <c r="E2381" s="17">
        <v>50.19</v>
      </c>
      <c r="F2381" s="16">
        <v>0.08</v>
      </c>
      <c r="G2381" s="15" t="s">
        <v>32</v>
      </c>
      <c r="H2381" s="18">
        <v>-64.388500000000008</v>
      </c>
      <c r="I2381" s="19">
        <v>3.52</v>
      </c>
      <c r="J2381" s="19">
        <v>6.83</v>
      </c>
      <c r="K2381" s="19" t="s">
        <v>69</v>
      </c>
      <c r="L2381" s="19" t="s">
        <v>75</v>
      </c>
      <c r="M2381" s="15" t="s">
        <v>1786</v>
      </c>
      <c r="N2381" s="15" t="s">
        <v>36</v>
      </c>
      <c r="O2381" s="15" t="s">
        <v>170</v>
      </c>
      <c r="P2381" s="20" t="s">
        <v>1859</v>
      </c>
      <c r="Q2381" s="15" t="s">
        <v>83</v>
      </c>
      <c r="R2381" s="4"/>
      <c r="S2381" s="4"/>
    </row>
    <row r="2382" spans="1:19" ht="21" customHeight="1" x14ac:dyDescent="0.25">
      <c r="A2382" s="14">
        <f>DATE(2012,12,31)-901</f>
        <v>40373</v>
      </c>
      <c r="B2382" s="15" t="s">
        <v>187</v>
      </c>
      <c r="C2382" s="15" t="s">
        <v>43</v>
      </c>
      <c r="D2382" s="16">
        <v>17</v>
      </c>
      <c r="E2382" s="17">
        <v>158.19</v>
      </c>
      <c r="F2382" s="16">
        <v>0.09</v>
      </c>
      <c r="G2382" s="15" t="s">
        <v>32</v>
      </c>
      <c r="H2382" s="18">
        <v>-75.22</v>
      </c>
      <c r="I2382" s="19">
        <v>9.3800000000000008</v>
      </c>
      <c r="J2382" s="19">
        <v>7.28</v>
      </c>
      <c r="K2382" s="19" t="s">
        <v>69</v>
      </c>
      <c r="L2382" s="19" t="s">
        <v>75</v>
      </c>
      <c r="M2382" s="15" t="s">
        <v>1786</v>
      </c>
      <c r="N2382" s="15" t="s">
        <v>36</v>
      </c>
      <c r="O2382" s="15" t="s">
        <v>37</v>
      </c>
      <c r="P2382" s="20" t="s">
        <v>1860</v>
      </c>
      <c r="Q2382" s="15" t="s">
        <v>83</v>
      </c>
      <c r="R2382" s="4"/>
      <c r="S2382" s="4"/>
    </row>
    <row r="2383" spans="1:19" ht="21" customHeight="1" x14ac:dyDescent="0.25">
      <c r="A2383" s="14">
        <f>DATE(2012,12,31)-1139</f>
        <v>40135</v>
      </c>
      <c r="B2383" s="15" t="s">
        <v>854</v>
      </c>
      <c r="C2383" s="15" t="s">
        <v>31</v>
      </c>
      <c r="D2383" s="16">
        <v>37</v>
      </c>
      <c r="E2383" s="17">
        <v>988.42</v>
      </c>
      <c r="F2383" s="16">
        <v>0.09</v>
      </c>
      <c r="G2383" s="15" t="s">
        <v>32</v>
      </c>
      <c r="H2383" s="18">
        <v>253.9375</v>
      </c>
      <c r="I2383" s="19">
        <v>29.17</v>
      </c>
      <c r="J2383" s="19">
        <v>6.27</v>
      </c>
      <c r="K2383" s="19" t="s">
        <v>69</v>
      </c>
      <c r="L2383" s="19" t="s">
        <v>70</v>
      </c>
      <c r="M2383" s="15" t="s">
        <v>1841</v>
      </c>
      <c r="N2383" s="15" t="s">
        <v>36</v>
      </c>
      <c r="O2383" s="15" t="s">
        <v>170</v>
      </c>
      <c r="P2383" s="20" t="s">
        <v>1063</v>
      </c>
      <c r="Q2383" s="15" t="s">
        <v>83</v>
      </c>
      <c r="R2383" s="4"/>
      <c r="S2383" s="4"/>
    </row>
    <row r="2384" spans="1:19" ht="21" customHeight="1" x14ac:dyDescent="0.25">
      <c r="A2384" s="14">
        <f>DATE(2012,12,31)-474</f>
        <v>40800</v>
      </c>
      <c r="B2384" s="15" t="s">
        <v>292</v>
      </c>
      <c r="C2384" s="15" t="s">
        <v>43</v>
      </c>
      <c r="D2384" s="16">
        <v>4</v>
      </c>
      <c r="E2384" s="17">
        <v>5472.12</v>
      </c>
      <c r="F2384" s="16">
        <v>0.06</v>
      </c>
      <c r="G2384" s="15" t="s">
        <v>58</v>
      </c>
      <c r="H2384" s="18">
        <v>-2816.3379</v>
      </c>
      <c r="I2384" s="19">
        <v>1360.14</v>
      </c>
      <c r="J2384" s="19">
        <v>14.7</v>
      </c>
      <c r="K2384" s="19" t="s">
        <v>69</v>
      </c>
      <c r="L2384" s="19" t="s">
        <v>215</v>
      </c>
      <c r="M2384" s="15" t="s">
        <v>1704</v>
      </c>
      <c r="N2384" s="15" t="s">
        <v>64</v>
      </c>
      <c r="O2384" s="15" t="s">
        <v>122</v>
      </c>
      <c r="P2384" s="20" t="s">
        <v>462</v>
      </c>
      <c r="Q2384" s="15" t="s">
        <v>181</v>
      </c>
      <c r="R2384" s="4"/>
      <c r="S2384" s="4"/>
    </row>
    <row r="2385" spans="1:19" ht="21" customHeight="1" x14ac:dyDescent="0.25">
      <c r="A2385" s="14">
        <f>DATE(2012,12,31)-832</f>
        <v>40442</v>
      </c>
      <c r="B2385" s="15" t="s">
        <v>30</v>
      </c>
      <c r="C2385" s="15" t="s">
        <v>51</v>
      </c>
      <c r="D2385" s="16">
        <v>7</v>
      </c>
      <c r="E2385" s="17">
        <v>1810.67</v>
      </c>
      <c r="F2385" s="16">
        <v>0.09</v>
      </c>
      <c r="G2385" s="15" t="s">
        <v>58</v>
      </c>
      <c r="H2385" s="18">
        <v>-541.87</v>
      </c>
      <c r="I2385" s="19">
        <v>270.98</v>
      </c>
      <c r="J2385" s="19">
        <v>50</v>
      </c>
      <c r="K2385" s="19" t="s">
        <v>69</v>
      </c>
      <c r="L2385" s="19" t="s">
        <v>215</v>
      </c>
      <c r="M2385" s="15" t="s">
        <v>1704</v>
      </c>
      <c r="N2385" s="15" t="s">
        <v>54</v>
      </c>
      <c r="O2385" s="15" t="s">
        <v>252</v>
      </c>
      <c r="P2385" s="20" t="s">
        <v>1684</v>
      </c>
      <c r="Q2385" s="15" t="s">
        <v>181</v>
      </c>
      <c r="R2385" s="4"/>
      <c r="S2385" s="4"/>
    </row>
    <row r="2386" spans="1:19" ht="21" customHeight="1" x14ac:dyDescent="0.25">
      <c r="A2386" s="14">
        <f>DATE(2012,12,31)-636</f>
        <v>40638</v>
      </c>
      <c r="B2386" s="15" t="s">
        <v>1861</v>
      </c>
      <c r="C2386" s="15" t="s">
        <v>51</v>
      </c>
      <c r="D2386" s="16">
        <v>38</v>
      </c>
      <c r="E2386" s="17">
        <v>5793.46</v>
      </c>
      <c r="F2386" s="16">
        <v>0.01</v>
      </c>
      <c r="G2386" s="15" t="s">
        <v>32</v>
      </c>
      <c r="H2386" s="18">
        <v>2477.77</v>
      </c>
      <c r="I2386" s="19">
        <v>150.97999999999999</v>
      </c>
      <c r="J2386" s="19">
        <v>13.99</v>
      </c>
      <c r="K2386" s="19" t="s">
        <v>69</v>
      </c>
      <c r="L2386" s="19" t="s">
        <v>215</v>
      </c>
      <c r="M2386" s="15" t="s">
        <v>1704</v>
      </c>
      <c r="N2386" s="15" t="s">
        <v>64</v>
      </c>
      <c r="O2386" s="15" t="s">
        <v>122</v>
      </c>
      <c r="P2386" s="20" t="s">
        <v>123</v>
      </c>
      <c r="Q2386" s="15" t="s">
        <v>57</v>
      </c>
      <c r="R2386" s="4"/>
      <c r="S2386" s="4"/>
    </row>
    <row r="2387" spans="1:19" ht="21" customHeight="1" x14ac:dyDescent="0.25">
      <c r="A2387" s="14">
        <f>DATE(2012,12,31)-636</f>
        <v>40638</v>
      </c>
      <c r="B2387" s="15" t="s">
        <v>1861</v>
      </c>
      <c r="C2387" s="15" t="s">
        <v>51</v>
      </c>
      <c r="D2387" s="16">
        <v>11</v>
      </c>
      <c r="E2387" s="17">
        <v>4558.21</v>
      </c>
      <c r="F2387" s="16">
        <v>0.06</v>
      </c>
      <c r="G2387" s="15" t="s">
        <v>32</v>
      </c>
      <c r="H2387" s="18">
        <v>993.81</v>
      </c>
      <c r="I2387" s="19">
        <v>415.88</v>
      </c>
      <c r="J2387" s="19">
        <v>11.37</v>
      </c>
      <c r="K2387" s="19" t="s">
        <v>69</v>
      </c>
      <c r="L2387" s="19" t="s">
        <v>215</v>
      </c>
      <c r="M2387" s="15" t="s">
        <v>1704</v>
      </c>
      <c r="N2387" s="15" t="s">
        <v>36</v>
      </c>
      <c r="O2387" s="15" t="s">
        <v>37</v>
      </c>
      <c r="P2387" s="20" t="s">
        <v>449</v>
      </c>
      <c r="Q2387" s="15" t="s">
        <v>83</v>
      </c>
      <c r="R2387" s="4"/>
      <c r="S2387" s="4"/>
    </row>
    <row r="2388" spans="1:19" ht="21" customHeight="1" x14ac:dyDescent="0.25">
      <c r="A2388" s="14">
        <f>DATE(2012,12,31)-636</f>
        <v>40638</v>
      </c>
      <c r="B2388" s="15" t="s">
        <v>1861</v>
      </c>
      <c r="C2388" s="15" t="s">
        <v>51</v>
      </c>
      <c r="D2388" s="16">
        <v>26</v>
      </c>
      <c r="E2388" s="17">
        <v>4361.6984999999995</v>
      </c>
      <c r="F2388" s="16">
        <v>0.05</v>
      </c>
      <c r="G2388" s="15" t="s">
        <v>32</v>
      </c>
      <c r="H2388" s="18">
        <v>1069.7850000000001</v>
      </c>
      <c r="I2388" s="19">
        <v>195.99</v>
      </c>
      <c r="J2388" s="19">
        <v>4.2</v>
      </c>
      <c r="K2388" s="19" t="s">
        <v>69</v>
      </c>
      <c r="L2388" s="19" t="s">
        <v>215</v>
      </c>
      <c r="M2388" s="15" t="s">
        <v>1704</v>
      </c>
      <c r="N2388" s="15" t="s">
        <v>64</v>
      </c>
      <c r="O2388" s="15" t="s">
        <v>65</v>
      </c>
      <c r="P2388" s="20" t="s">
        <v>1216</v>
      </c>
      <c r="Q2388" s="15" t="s">
        <v>83</v>
      </c>
      <c r="R2388" s="4"/>
      <c r="S2388" s="4"/>
    </row>
    <row r="2389" spans="1:19" ht="21" customHeight="1" x14ac:dyDescent="0.25">
      <c r="A2389" s="14">
        <f>DATE(2012,12,31)-591</f>
        <v>40683</v>
      </c>
      <c r="B2389" s="15" t="s">
        <v>1090</v>
      </c>
      <c r="C2389" s="15" t="s">
        <v>43</v>
      </c>
      <c r="D2389" s="16">
        <v>37</v>
      </c>
      <c r="E2389" s="17">
        <v>258.54000000000002</v>
      </c>
      <c r="F2389" s="16">
        <v>0.05</v>
      </c>
      <c r="G2389" s="15" t="s">
        <v>32</v>
      </c>
      <c r="H2389" s="18">
        <v>-116.37</v>
      </c>
      <c r="I2389" s="19">
        <v>6.68</v>
      </c>
      <c r="J2389" s="19">
        <v>7.3</v>
      </c>
      <c r="K2389" s="19" t="s">
        <v>111</v>
      </c>
      <c r="L2389" s="19" t="s">
        <v>112</v>
      </c>
      <c r="M2389" s="15" t="s">
        <v>1843</v>
      </c>
      <c r="N2389" s="15" t="s">
        <v>36</v>
      </c>
      <c r="O2389" s="15" t="s">
        <v>117</v>
      </c>
      <c r="P2389" s="20" t="s">
        <v>1862</v>
      </c>
      <c r="Q2389" s="15" t="s">
        <v>83</v>
      </c>
      <c r="R2389" s="4"/>
      <c r="S2389" s="4"/>
    </row>
    <row r="2390" spans="1:19" ht="21" customHeight="1" x14ac:dyDescent="0.25">
      <c r="A2390" s="14">
        <f>DATE(2012,12,31)-591</f>
        <v>40683</v>
      </c>
      <c r="B2390" s="15" t="s">
        <v>1090</v>
      </c>
      <c r="C2390" s="15" t="s">
        <v>43</v>
      </c>
      <c r="D2390" s="16">
        <v>41</v>
      </c>
      <c r="E2390" s="17">
        <v>4610.2894999999999</v>
      </c>
      <c r="F2390" s="16">
        <v>0</v>
      </c>
      <c r="G2390" s="15" t="s">
        <v>32</v>
      </c>
      <c r="H2390" s="18">
        <v>1432.8629999999998</v>
      </c>
      <c r="I2390" s="19">
        <v>125.99</v>
      </c>
      <c r="J2390" s="19">
        <v>2.5</v>
      </c>
      <c r="K2390" s="19" t="s">
        <v>44</v>
      </c>
      <c r="L2390" s="19" t="s">
        <v>89</v>
      </c>
      <c r="M2390" s="15" t="s">
        <v>1809</v>
      </c>
      <c r="N2390" s="15" t="s">
        <v>64</v>
      </c>
      <c r="O2390" s="15" t="s">
        <v>65</v>
      </c>
      <c r="P2390" s="20" t="s">
        <v>1340</v>
      </c>
      <c r="Q2390" s="15" t="s">
        <v>83</v>
      </c>
      <c r="R2390" s="4"/>
      <c r="S2390" s="4"/>
    </row>
    <row r="2391" spans="1:19" ht="21" customHeight="1" x14ac:dyDescent="0.25">
      <c r="A2391" s="14">
        <f>DATE(2012,12,31)-1334</f>
        <v>39940</v>
      </c>
      <c r="B2391" s="15" t="s">
        <v>946</v>
      </c>
      <c r="C2391" s="15" t="s">
        <v>51</v>
      </c>
      <c r="D2391" s="16">
        <v>27</v>
      </c>
      <c r="E2391" s="17">
        <v>130.49</v>
      </c>
      <c r="F2391" s="16">
        <v>7.0000000000000007E-2</v>
      </c>
      <c r="G2391" s="15" t="s">
        <v>101</v>
      </c>
      <c r="H2391" s="18">
        <v>47.09</v>
      </c>
      <c r="I2391" s="19">
        <v>4.76</v>
      </c>
      <c r="J2391" s="19">
        <v>0.88</v>
      </c>
      <c r="K2391" s="19" t="s">
        <v>44</v>
      </c>
      <c r="L2391" s="19" t="s">
        <v>45</v>
      </c>
      <c r="M2391" s="15" t="s">
        <v>1768</v>
      </c>
      <c r="N2391" s="15" t="s">
        <v>36</v>
      </c>
      <c r="O2391" s="15" t="s">
        <v>117</v>
      </c>
      <c r="P2391" s="20" t="s">
        <v>599</v>
      </c>
      <c r="Q2391" s="15" t="s">
        <v>79</v>
      </c>
      <c r="R2391" s="4"/>
      <c r="S2391" s="4"/>
    </row>
    <row r="2392" spans="1:19" ht="21" customHeight="1" x14ac:dyDescent="0.25">
      <c r="A2392" s="14">
        <f>DATE(2012,12,31)-1349</f>
        <v>39925</v>
      </c>
      <c r="B2392" s="15" t="s">
        <v>1438</v>
      </c>
      <c r="C2392" s="15" t="s">
        <v>31</v>
      </c>
      <c r="D2392" s="16">
        <v>29</v>
      </c>
      <c r="E2392" s="17">
        <v>159.11000000000001</v>
      </c>
      <c r="F2392" s="16">
        <v>7.0000000000000007E-2</v>
      </c>
      <c r="G2392" s="15" t="s">
        <v>32</v>
      </c>
      <c r="H2392" s="18">
        <v>64.010000000000005</v>
      </c>
      <c r="I2392" s="19">
        <v>5.43</v>
      </c>
      <c r="J2392" s="19">
        <v>0.95</v>
      </c>
      <c r="K2392" s="19" t="s">
        <v>44</v>
      </c>
      <c r="L2392" s="19" t="s">
        <v>45</v>
      </c>
      <c r="M2392" s="15" t="s">
        <v>1768</v>
      </c>
      <c r="N2392" s="15" t="s">
        <v>36</v>
      </c>
      <c r="O2392" s="15" t="s">
        <v>117</v>
      </c>
      <c r="P2392" s="20" t="s">
        <v>1243</v>
      </c>
      <c r="Q2392" s="15" t="s">
        <v>79</v>
      </c>
      <c r="R2392" s="4"/>
      <c r="S2392" s="4"/>
    </row>
    <row r="2393" spans="1:19" ht="21" customHeight="1" x14ac:dyDescent="0.25">
      <c r="A2393" s="14">
        <f>DATE(2012,12,31)-1124</f>
        <v>40150</v>
      </c>
      <c r="B2393" s="15" t="s">
        <v>1681</v>
      </c>
      <c r="C2393" s="15" t="s">
        <v>43</v>
      </c>
      <c r="D2393" s="16">
        <v>7</v>
      </c>
      <c r="E2393" s="17">
        <v>34.659999999999997</v>
      </c>
      <c r="F2393" s="16">
        <v>0.06</v>
      </c>
      <c r="G2393" s="15" t="s">
        <v>32</v>
      </c>
      <c r="H2393" s="18">
        <v>-20.87</v>
      </c>
      <c r="I2393" s="19">
        <v>4.42</v>
      </c>
      <c r="J2393" s="19">
        <v>4.99</v>
      </c>
      <c r="K2393" s="19" t="s">
        <v>44</v>
      </c>
      <c r="L2393" s="19" t="s">
        <v>89</v>
      </c>
      <c r="M2393" s="15" t="s">
        <v>1809</v>
      </c>
      <c r="N2393" s="15" t="s">
        <v>36</v>
      </c>
      <c r="O2393" s="15" t="s">
        <v>189</v>
      </c>
      <c r="P2393" s="20" t="s">
        <v>405</v>
      </c>
      <c r="Q2393" s="15" t="s">
        <v>83</v>
      </c>
      <c r="R2393" s="4"/>
      <c r="S2393" s="4"/>
    </row>
    <row r="2394" spans="1:19" ht="21" customHeight="1" x14ac:dyDescent="0.25">
      <c r="A2394" s="14">
        <f>DATE(2012,12,31)-896</f>
        <v>40378</v>
      </c>
      <c r="B2394" s="15" t="s">
        <v>1018</v>
      </c>
      <c r="C2394" s="15" t="s">
        <v>85</v>
      </c>
      <c r="D2394" s="16">
        <v>40</v>
      </c>
      <c r="E2394" s="17">
        <v>2405.4575</v>
      </c>
      <c r="F2394" s="16">
        <v>0.01</v>
      </c>
      <c r="G2394" s="15" t="s">
        <v>32</v>
      </c>
      <c r="H2394" s="18">
        <v>571.53599999999994</v>
      </c>
      <c r="I2394" s="19">
        <v>65.989999999999995</v>
      </c>
      <c r="J2394" s="19">
        <v>7.69</v>
      </c>
      <c r="K2394" s="19" t="s">
        <v>44</v>
      </c>
      <c r="L2394" s="19" t="s">
        <v>45</v>
      </c>
      <c r="M2394" s="15" t="s">
        <v>1768</v>
      </c>
      <c r="N2394" s="15" t="s">
        <v>64</v>
      </c>
      <c r="O2394" s="15" t="s">
        <v>65</v>
      </c>
      <c r="P2394" s="20" t="s">
        <v>229</v>
      </c>
      <c r="Q2394" s="15" t="s">
        <v>83</v>
      </c>
      <c r="R2394" s="4"/>
      <c r="S2394" s="4"/>
    </row>
    <row r="2395" spans="1:19" ht="21" customHeight="1" x14ac:dyDescent="0.25">
      <c r="A2395" s="14">
        <f>DATE(2012,12,31)-517</f>
        <v>40757</v>
      </c>
      <c r="B2395" s="15" t="s">
        <v>1177</v>
      </c>
      <c r="C2395" s="15" t="s">
        <v>85</v>
      </c>
      <c r="D2395" s="16">
        <v>23</v>
      </c>
      <c r="E2395" s="17">
        <v>195.61</v>
      </c>
      <c r="F2395" s="16">
        <v>0</v>
      </c>
      <c r="G2395" s="15" t="s">
        <v>32</v>
      </c>
      <c r="H2395" s="18">
        <v>-17.02</v>
      </c>
      <c r="I2395" s="19">
        <v>7.64</v>
      </c>
      <c r="J2395" s="19">
        <v>5.83</v>
      </c>
      <c r="K2395" s="19" t="s">
        <v>44</v>
      </c>
      <c r="L2395" s="19" t="s">
        <v>89</v>
      </c>
      <c r="M2395" s="15" t="s">
        <v>1809</v>
      </c>
      <c r="N2395" s="15" t="s">
        <v>36</v>
      </c>
      <c r="O2395" s="15" t="s">
        <v>117</v>
      </c>
      <c r="P2395" s="20" t="s">
        <v>188</v>
      </c>
      <c r="Q2395" s="15" t="s">
        <v>79</v>
      </c>
      <c r="R2395" s="4"/>
      <c r="S2395" s="4"/>
    </row>
    <row r="2396" spans="1:19" ht="21" customHeight="1" x14ac:dyDescent="0.25">
      <c r="A2396" s="14">
        <f>DATE(2012,12,31)-393</f>
        <v>40881</v>
      </c>
      <c r="B2396" s="15" t="s">
        <v>1438</v>
      </c>
      <c r="C2396" s="15" t="s">
        <v>51</v>
      </c>
      <c r="D2396" s="16">
        <v>44</v>
      </c>
      <c r="E2396" s="17">
        <v>1127.81</v>
      </c>
      <c r="F2396" s="16">
        <v>0.1</v>
      </c>
      <c r="G2396" s="15" t="s">
        <v>32</v>
      </c>
      <c r="H2396" s="18">
        <v>425.08</v>
      </c>
      <c r="I2396" s="19">
        <v>28.48</v>
      </c>
      <c r="J2396" s="19">
        <v>1.99</v>
      </c>
      <c r="K2396" s="19" t="s">
        <v>44</v>
      </c>
      <c r="L2396" s="19" t="s">
        <v>120</v>
      </c>
      <c r="M2396" s="15" t="s">
        <v>121</v>
      </c>
      <c r="N2396" s="15" t="s">
        <v>64</v>
      </c>
      <c r="O2396" s="15" t="s">
        <v>72</v>
      </c>
      <c r="P2396" s="20" t="s">
        <v>382</v>
      </c>
      <c r="Q2396" s="15" t="s">
        <v>49</v>
      </c>
      <c r="R2396" s="4"/>
      <c r="S2396" s="4"/>
    </row>
    <row r="2397" spans="1:19" ht="21" customHeight="1" x14ac:dyDescent="0.25">
      <c r="A2397" s="14">
        <f>DATE(2012,12,31)-430</f>
        <v>40844</v>
      </c>
      <c r="B2397" s="15" t="s">
        <v>172</v>
      </c>
      <c r="C2397" s="15" t="s">
        <v>31</v>
      </c>
      <c r="D2397" s="16">
        <v>39</v>
      </c>
      <c r="E2397" s="17">
        <v>110.38</v>
      </c>
      <c r="F2397" s="16">
        <v>0.05</v>
      </c>
      <c r="G2397" s="15" t="s">
        <v>32</v>
      </c>
      <c r="H2397" s="18">
        <v>-4.8600000000000003</v>
      </c>
      <c r="I2397" s="19">
        <v>2.78</v>
      </c>
      <c r="J2397" s="19">
        <v>1.2</v>
      </c>
      <c r="K2397" s="19" t="s">
        <v>44</v>
      </c>
      <c r="L2397" s="19" t="s">
        <v>89</v>
      </c>
      <c r="M2397" s="15" t="s">
        <v>1809</v>
      </c>
      <c r="N2397" s="15" t="s">
        <v>36</v>
      </c>
      <c r="O2397" s="15" t="s">
        <v>77</v>
      </c>
      <c r="P2397" s="20" t="s">
        <v>422</v>
      </c>
      <c r="Q2397" s="15" t="s">
        <v>79</v>
      </c>
      <c r="R2397" s="4"/>
      <c r="S2397" s="4"/>
    </row>
    <row r="2398" spans="1:19" ht="21" customHeight="1" x14ac:dyDescent="0.25">
      <c r="A2398" s="14">
        <f>DATE(2012,12,31)-505</f>
        <v>40769</v>
      </c>
      <c r="B2398" s="15" t="s">
        <v>1765</v>
      </c>
      <c r="C2398" s="15" t="s">
        <v>85</v>
      </c>
      <c r="D2398" s="16">
        <v>29</v>
      </c>
      <c r="E2398" s="17">
        <v>3218.42</v>
      </c>
      <c r="F2398" s="16">
        <v>0.08</v>
      </c>
      <c r="G2398" s="15" t="s">
        <v>58</v>
      </c>
      <c r="H2398" s="18">
        <v>-1248.58</v>
      </c>
      <c r="I2398" s="19">
        <v>114.98</v>
      </c>
      <c r="J2398" s="19">
        <v>58.72</v>
      </c>
      <c r="K2398" s="19" t="s">
        <v>44</v>
      </c>
      <c r="L2398" s="19" t="s">
        <v>89</v>
      </c>
      <c r="M2398" s="15" t="s">
        <v>1809</v>
      </c>
      <c r="N2398" s="15" t="s">
        <v>54</v>
      </c>
      <c r="O2398" s="15" t="s">
        <v>134</v>
      </c>
      <c r="P2398" s="20" t="s">
        <v>1494</v>
      </c>
      <c r="Q2398" s="15" t="s">
        <v>63</v>
      </c>
      <c r="R2398" s="4"/>
      <c r="S2398" s="4"/>
    </row>
    <row r="2399" spans="1:19" ht="21" customHeight="1" x14ac:dyDescent="0.25">
      <c r="A2399" s="14">
        <f>DATE(2012,12,31)-870</f>
        <v>40404</v>
      </c>
      <c r="B2399" s="15" t="s">
        <v>491</v>
      </c>
      <c r="C2399" s="15" t="s">
        <v>51</v>
      </c>
      <c r="D2399" s="16">
        <v>28</v>
      </c>
      <c r="E2399" s="17">
        <v>101.25</v>
      </c>
      <c r="F2399" s="16">
        <v>0.05</v>
      </c>
      <c r="G2399" s="15" t="s">
        <v>32</v>
      </c>
      <c r="H2399" s="18">
        <v>40.9</v>
      </c>
      <c r="I2399" s="19">
        <v>3.75</v>
      </c>
      <c r="J2399" s="19">
        <v>0.5</v>
      </c>
      <c r="K2399" s="19" t="s">
        <v>44</v>
      </c>
      <c r="L2399" s="19" t="s">
        <v>45</v>
      </c>
      <c r="M2399" s="15" t="s">
        <v>1768</v>
      </c>
      <c r="N2399" s="15" t="s">
        <v>36</v>
      </c>
      <c r="O2399" s="15" t="s">
        <v>114</v>
      </c>
      <c r="P2399" s="20" t="s">
        <v>1666</v>
      </c>
      <c r="Q2399" s="15" t="s">
        <v>83</v>
      </c>
      <c r="R2399" s="4"/>
      <c r="S2399" s="4"/>
    </row>
    <row r="2400" spans="1:19" ht="21" customHeight="1" x14ac:dyDescent="0.25">
      <c r="A2400" s="14">
        <f>DATE(2012,12,31)-546</f>
        <v>40728</v>
      </c>
      <c r="B2400" s="15" t="s">
        <v>1767</v>
      </c>
      <c r="C2400" s="15" t="s">
        <v>43</v>
      </c>
      <c r="D2400" s="16">
        <v>20</v>
      </c>
      <c r="E2400" s="17">
        <v>2162.8164999999999</v>
      </c>
      <c r="F2400" s="16">
        <v>0.01</v>
      </c>
      <c r="G2400" s="15" t="s">
        <v>32</v>
      </c>
      <c r="H2400" s="18">
        <v>223.25399999999999</v>
      </c>
      <c r="I2400" s="19">
        <v>125.99</v>
      </c>
      <c r="J2400" s="19">
        <v>8.99</v>
      </c>
      <c r="K2400" s="19" t="s">
        <v>44</v>
      </c>
      <c r="L2400" s="19" t="s">
        <v>89</v>
      </c>
      <c r="M2400" s="15" t="s">
        <v>1809</v>
      </c>
      <c r="N2400" s="15" t="s">
        <v>64</v>
      </c>
      <c r="O2400" s="15" t="s">
        <v>65</v>
      </c>
      <c r="P2400" s="20" t="s">
        <v>1553</v>
      </c>
      <c r="Q2400" s="15" t="s">
        <v>83</v>
      </c>
      <c r="R2400" s="4"/>
      <c r="S2400" s="4"/>
    </row>
    <row r="2401" spans="1:19" ht="21" customHeight="1" x14ac:dyDescent="0.25">
      <c r="A2401" s="14">
        <f>DATE(2012,12,31)-1314</f>
        <v>39960</v>
      </c>
      <c r="B2401" s="15" t="s">
        <v>1574</v>
      </c>
      <c r="C2401" s="15" t="s">
        <v>43</v>
      </c>
      <c r="D2401" s="16">
        <v>26</v>
      </c>
      <c r="E2401" s="17">
        <v>149.69999999999999</v>
      </c>
      <c r="F2401" s="16">
        <v>0.05</v>
      </c>
      <c r="G2401" s="15" t="s">
        <v>101</v>
      </c>
      <c r="H2401" s="18">
        <v>-132.62950000000001</v>
      </c>
      <c r="I2401" s="19">
        <v>5.4</v>
      </c>
      <c r="J2401" s="19">
        <v>7.78</v>
      </c>
      <c r="K2401" s="19" t="s">
        <v>44</v>
      </c>
      <c r="L2401" s="19" t="s">
        <v>89</v>
      </c>
      <c r="M2401" s="15" t="s">
        <v>1809</v>
      </c>
      <c r="N2401" s="15" t="s">
        <v>36</v>
      </c>
      <c r="O2401" s="15" t="s">
        <v>170</v>
      </c>
      <c r="P2401" s="20" t="s">
        <v>186</v>
      </c>
      <c r="Q2401" s="15" t="s">
        <v>83</v>
      </c>
      <c r="R2401" s="4"/>
      <c r="S2401" s="4"/>
    </row>
    <row r="2402" spans="1:19" ht="21" customHeight="1" x14ac:dyDescent="0.25">
      <c r="A2402" s="14">
        <f>DATE(2012,12,31)-1314</f>
        <v>39960</v>
      </c>
      <c r="B2402" s="15" t="s">
        <v>1574</v>
      </c>
      <c r="C2402" s="15" t="s">
        <v>43</v>
      </c>
      <c r="D2402" s="16">
        <v>41</v>
      </c>
      <c r="E2402" s="17">
        <v>728.12699999999995</v>
      </c>
      <c r="F2402" s="16">
        <v>0.02</v>
      </c>
      <c r="G2402" s="15" t="s">
        <v>32</v>
      </c>
      <c r="H2402" s="18">
        <v>49.787999999999997</v>
      </c>
      <c r="I2402" s="19">
        <v>20.99</v>
      </c>
      <c r="J2402" s="19">
        <v>4.8099999999999996</v>
      </c>
      <c r="K2402" s="19" t="s">
        <v>44</v>
      </c>
      <c r="L2402" s="19" t="s">
        <v>89</v>
      </c>
      <c r="M2402" s="15" t="s">
        <v>1809</v>
      </c>
      <c r="N2402" s="15" t="s">
        <v>64</v>
      </c>
      <c r="O2402" s="15" t="s">
        <v>65</v>
      </c>
      <c r="P2402" s="20" t="s">
        <v>654</v>
      </c>
      <c r="Q2402" s="15" t="s">
        <v>57</v>
      </c>
      <c r="R2402" s="4"/>
      <c r="S2402" s="4"/>
    </row>
    <row r="2403" spans="1:19" ht="21" customHeight="1" x14ac:dyDescent="0.25">
      <c r="A2403" s="14">
        <f>DATE(2012,12,31)-867</f>
        <v>40407</v>
      </c>
      <c r="B2403" s="15" t="s">
        <v>30</v>
      </c>
      <c r="C2403" s="15" t="s">
        <v>43</v>
      </c>
      <c r="D2403" s="16">
        <v>31</v>
      </c>
      <c r="E2403" s="17">
        <v>633.55999999999995</v>
      </c>
      <c r="F2403" s="16">
        <v>0.09</v>
      </c>
      <c r="G2403" s="15" t="s">
        <v>32</v>
      </c>
      <c r="H2403" s="18">
        <v>-158.87</v>
      </c>
      <c r="I2403" s="19">
        <v>20.97</v>
      </c>
      <c r="J2403" s="19">
        <v>6.5</v>
      </c>
      <c r="K2403" s="19" t="s">
        <v>44</v>
      </c>
      <c r="L2403" s="19" t="s">
        <v>89</v>
      </c>
      <c r="M2403" s="15" t="s">
        <v>1809</v>
      </c>
      <c r="N2403" s="15" t="s">
        <v>64</v>
      </c>
      <c r="O2403" s="15" t="s">
        <v>72</v>
      </c>
      <c r="P2403" s="20" t="s">
        <v>393</v>
      </c>
      <c r="Q2403" s="15" t="s">
        <v>83</v>
      </c>
      <c r="R2403" s="4"/>
      <c r="S2403" s="4"/>
    </row>
    <row r="2404" spans="1:19" ht="21" customHeight="1" x14ac:dyDescent="0.25">
      <c r="A2404" s="14">
        <f>DATE(2012,12,31)-852</f>
        <v>40422</v>
      </c>
      <c r="B2404" s="15" t="s">
        <v>459</v>
      </c>
      <c r="C2404" s="15" t="s">
        <v>31</v>
      </c>
      <c r="D2404" s="16">
        <v>5</v>
      </c>
      <c r="E2404" s="17">
        <v>284.67349999999999</v>
      </c>
      <c r="F2404" s="16">
        <v>0.04</v>
      </c>
      <c r="G2404" s="15" t="s">
        <v>101</v>
      </c>
      <c r="H2404" s="18">
        <v>-247.23599999999999</v>
      </c>
      <c r="I2404" s="19">
        <v>65.989999999999995</v>
      </c>
      <c r="J2404" s="19">
        <v>8.99</v>
      </c>
      <c r="K2404" s="19" t="s">
        <v>44</v>
      </c>
      <c r="L2404" s="19" t="s">
        <v>89</v>
      </c>
      <c r="M2404" s="15" t="s">
        <v>1809</v>
      </c>
      <c r="N2404" s="15" t="s">
        <v>64</v>
      </c>
      <c r="O2404" s="15" t="s">
        <v>65</v>
      </c>
      <c r="P2404" s="20" t="s">
        <v>692</v>
      </c>
      <c r="Q2404" s="15" t="s">
        <v>83</v>
      </c>
      <c r="R2404" s="4"/>
      <c r="S2404" s="4"/>
    </row>
    <row r="2405" spans="1:19" ht="21" customHeight="1" x14ac:dyDescent="0.25">
      <c r="A2405" s="14">
        <f>DATE(2012,12,31)-852</f>
        <v>40422</v>
      </c>
      <c r="B2405" s="15" t="s">
        <v>459</v>
      </c>
      <c r="C2405" s="15" t="s">
        <v>31</v>
      </c>
      <c r="D2405" s="16">
        <v>45</v>
      </c>
      <c r="E2405" s="17">
        <v>372.01</v>
      </c>
      <c r="F2405" s="16">
        <v>7.0000000000000007E-2</v>
      </c>
      <c r="G2405" s="15" t="s">
        <v>32</v>
      </c>
      <c r="H2405" s="18">
        <v>-203.68</v>
      </c>
      <c r="I2405" s="19">
        <v>8.4499999999999993</v>
      </c>
      <c r="J2405" s="19">
        <v>7.77</v>
      </c>
      <c r="K2405" s="19" t="s">
        <v>44</v>
      </c>
      <c r="L2405" s="19" t="s">
        <v>45</v>
      </c>
      <c r="M2405" s="15" t="s">
        <v>1768</v>
      </c>
      <c r="N2405" s="15" t="s">
        <v>36</v>
      </c>
      <c r="O2405" s="15" t="s">
        <v>47</v>
      </c>
      <c r="P2405" s="20" t="s">
        <v>1863</v>
      </c>
      <c r="Q2405" s="15" t="s">
        <v>49</v>
      </c>
      <c r="R2405" s="4"/>
      <c r="S2405" s="4"/>
    </row>
    <row r="2406" spans="1:19" ht="21" customHeight="1" x14ac:dyDescent="0.25">
      <c r="A2406" s="14">
        <f>DATE(2012,12,31)-185</f>
        <v>41089</v>
      </c>
      <c r="B2406" s="15" t="s">
        <v>1713</v>
      </c>
      <c r="C2406" s="15" t="s">
        <v>51</v>
      </c>
      <c r="D2406" s="16">
        <v>39</v>
      </c>
      <c r="E2406" s="17">
        <v>3755.43</v>
      </c>
      <c r="F2406" s="16">
        <v>7.0000000000000007E-2</v>
      </c>
      <c r="G2406" s="15" t="s">
        <v>32</v>
      </c>
      <c r="H2406" s="18">
        <v>448.07</v>
      </c>
      <c r="I2406" s="19">
        <v>99.99</v>
      </c>
      <c r="J2406" s="19">
        <v>19.989999999999998</v>
      </c>
      <c r="K2406" s="19" t="s">
        <v>44</v>
      </c>
      <c r="L2406" s="19" t="s">
        <v>120</v>
      </c>
      <c r="M2406" s="15" t="s">
        <v>121</v>
      </c>
      <c r="N2406" s="15" t="s">
        <v>64</v>
      </c>
      <c r="O2406" s="15" t="s">
        <v>72</v>
      </c>
      <c r="P2406" s="20" t="s">
        <v>496</v>
      </c>
      <c r="Q2406" s="15" t="s">
        <v>83</v>
      </c>
      <c r="R2406" s="4"/>
      <c r="S2406" s="4"/>
    </row>
    <row r="2407" spans="1:19" ht="21" customHeight="1" x14ac:dyDescent="0.25">
      <c r="A2407" s="14">
        <f>DATE(2012,12,31)-185</f>
        <v>41089</v>
      </c>
      <c r="B2407" s="15" t="s">
        <v>1713</v>
      </c>
      <c r="C2407" s="15" t="s">
        <v>51</v>
      </c>
      <c r="D2407" s="16">
        <v>32</v>
      </c>
      <c r="E2407" s="17">
        <v>347.93</v>
      </c>
      <c r="F2407" s="16">
        <v>0.1</v>
      </c>
      <c r="G2407" s="15" t="s">
        <v>32</v>
      </c>
      <c r="H2407" s="18">
        <v>34.29</v>
      </c>
      <c r="I2407" s="19">
        <v>11.34</v>
      </c>
      <c r="J2407" s="19">
        <v>5.01</v>
      </c>
      <c r="K2407" s="19" t="s">
        <v>44</v>
      </c>
      <c r="L2407" s="19" t="s">
        <v>89</v>
      </c>
      <c r="M2407" s="15" t="s">
        <v>1809</v>
      </c>
      <c r="N2407" s="15" t="s">
        <v>36</v>
      </c>
      <c r="O2407" s="15" t="s">
        <v>117</v>
      </c>
      <c r="P2407" s="20" t="s">
        <v>1425</v>
      </c>
      <c r="Q2407" s="15" t="s">
        <v>83</v>
      </c>
      <c r="R2407" s="4"/>
      <c r="S2407" s="4"/>
    </row>
    <row r="2408" spans="1:19" ht="21" customHeight="1" x14ac:dyDescent="0.25">
      <c r="A2408" s="14">
        <f>DATE(2012,12,31)-498</f>
        <v>40776</v>
      </c>
      <c r="B2408" s="15" t="s">
        <v>1268</v>
      </c>
      <c r="C2408" s="15" t="s">
        <v>43</v>
      </c>
      <c r="D2408" s="16">
        <v>33</v>
      </c>
      <c r="E2408" s="17">
        <v>249.48</v>
      </c>
      <c r="F2408" s="16">
        <v>0.1</v>
      </c>
      <c r="G2408" s="15" t="s">
        <v>32</v>
      </c>
      <c r="H2408" s="18">
        <v>-73.83</v>
      </c>
      <c r="I2408" s="19">
        <v>8.32</v>
      </c>
      <c r="J2408" s="19">
        <v>2.38</v>
      </c>
      <c r="K2408" s="19" t="s">
        <v>44</v>
      </c>
      <c r="L2408" s="19" t="s">
        <v>89</v>
      </c>
      <c r="M2408" s="15" t="s">
        <v>1809</v>
      </c>
      <c r="N2408" s="15" t="s">
        <v>64</v>
      </c>
      <c r="O2408" s="15" t="s">
        <v>72</v>
      </c>
      <c r="P2408" s="20" t="s">
        <v>876</v>
      </c>
      <c r="Q2408" s="15" t="s">
        <v>49</v>
      </c>
      <c r="R2408" s="4"/>
      <c r="S2408" s="4"/>
    </row>
    <row r="2409" spans="1:19" ht="21" customHeight="1" x14ac:dyDescent="0.25">
      <c r="A2409" s="14">
        <f>DATE(2012,12,31)-1301</f>
        <v>39973</v>
      </c>
      <c r="B2409" s="15" t="s">
        <v>990</v>
      </c>
      <c r="C2409" s="15" t="s">
        <v>85</v>
      </c>
      <c r="D2409" s="16">
        <v>15</v>
      </c>
      <c r="E2409" s="17">
        <v>138.84</v>
      </c>
      <c r="F2409" s="16">
        <v>0</v>
      </c>
      <c r="G2409" s="15" t="s">
        <v>101</v>
      </c>
      <c r="H2409" s="18">
        <v>8.75</v>
      </c>
      <c r="I2409" s="19">
        <v>8.34</v>
      </c>
      <c r="J2409" s="19">
        <v>2.64</v>
      </c>
      <c r="K2409" s="19" t="s">
        <v>44</v>
      </c>
      <c r="L2409" s="19" t="s">
        <v>89</v>
      </c>
      <c r="M2409" s="15" t="s">
        <v>1809</v>
      </c>
      <c r="N2409" s="15" t="s">
        <v>36</v>
      </c>
      <c r="O2409" s="15" t="s">
        <v>47</v>
      </c>
      <c r="P2409" s="20" t="s">
        <v>1864</v>
      </c>
      <c r="Q2409" s="15" t="s">
        <v>49</v>
      </c>
      <c r="R2409" s="4"/>
      <c r="S2409" s="4"/>
    </row>
    <row r="2410" spans="1:19" ht="21" customHeight="1" x14ac:dyDescent="0.25">
      <c r="A2410" s="14">
        <f>DATE(2012,12,31)-227</f>
        <v>41047</v>
      </c>
      <c r="B2410" s="15" t="s">
        <v>455</v>
      </c>
      <c r="C2410" s="15" t="s">
        <v>31</v>
      </c>
      <c r="D2410" s="16">
        <v>42</v>
      </c>
      <c r="E2410" s="17">
        <v>861.41</v>
      </c>
      <c r="F2410" s="16">
        <v>0.01</v>
      </c>
      <c r="G2410" s="15" t="s">
        <v>32</v>
      </c>
      <c r="H2410" s="18">
        <v>128</v>
      </c>
      <c r="I2410" s="19">
        <v>18.97</v>
      </c>
      <c r="J2410" s="19">
        <v>9.5399999999999991</v>
      </c>
      <c r="K2410" s="19" t="s">
        <v>44</v>
      </c>
      <c r="L2410" s="19" t="s">
        <v>45</v>
      </c>
      <c r="M2410" s="15" t="s">
        <v>1768</v>
      </c>
      <c r="N2410" s="15" t="s">
        <v>36</v>
      </c>
      <c r="O2410" s="15" t="s">
        <v>117</v>
      </c>
      <c r="P2410" s="20" t="s">
        <v>281</v>
      </c>
      <c r="Q2410" s="15" t="s">
        <v>83</v>
      </c>
      <c r="R2410" s="4"/>
      <c r="S2410" s="4"/>
    </row>
    <row r="2411" spans="1:19" ht="21" customHeight="1" x14ac:dyDescent="0.25">
      <c r="A2411" s="14">
        <f>DATE(2012,12,31)-1037</f>
        <v>40237</v>
      </c>
      <c r="B2411" s="15" t="s">
        <v>527</v>
      </c>
      <c r="C2411" s="15" t="s">
        <v>31</v>
      </c>
      <c r="D2411" s="16">
        <v>33</v>
      </c>
      <c r="E2411" s="17">
        <v>9473.31</v>
      </c>
      <c r="F2411" s="16">
        <v>0.03</v>
      </c>
      <c r="G2411" s="15" t="s">
        <v>58</v>
      </c>
      <c r="H2411" s="18">
        <v>1939.11</v>
      </c>
      <c r="I2411" s="19">
        <v>294.62</v>
      </c>
      <c r="J2411" s="19">
        <v>42.52</v>
      </c>
      <c r="K2411" s="19" t="s">
        <v>44</v>
      </c>
      <c r="L2411" s="19" t="s">
        <v>120</v>
      </c>
      <c r="M2411" s="15" t="s">
        <v>121</v>
      </c>
      <c r="N2411" s="15" t="s">
        <v>36</v>
      </c>
      <c r="O2411" s="15" t="s">
        <v>176</v>
      </c>
      <c r="P2411" s="20" t="s">
        <v>570</v>
      </c>
      <c r="Q2411" s="15" t="s">
        <v>181</v>
      </c>
      <c r="R2411" s="4"/>
      <c r="S2411" s="4"/>
    </row>
    <row r="2412" spans="1:19" ht="21" customHeight="1" x14ac:dyDescent="0.25">
      <c r="A2412" s="14">
        <f>DATE(2012,12,31)-202</f>
        <v>41072</v>
      </c>
      <c r="B2412" s="15" t="s">
        <v>412</v>
      </c>
      <c r="C2412" s="15" t="s">
        <v>85</v>
      </c>
      <c r="D2412" s="16">
        <v>27</v>
      </c>
      <c r="E2412" s="17">
        <v>399.76</v>
      </c>
      <c r="F2412" s="16">
        <v>0.04</v>
      </c>
      <c r="G2412" s="15" t="s">
        <v>32</v>
      </c>
      <c r="H2412" s="18">
        <v>48.13</v>
      </c>
      <c r="I2412" s="19">
        <v>14.56</v>
      </c>
      <c r="J2412" s="19">
        <v>3.5</v>
      </c>
      <c r="K2412" s="19" t="s">
        <v>33</v>
      </c>
      <c r="L2412" s="19" t="s">
        <v>128</v>
      </c>
      <c r="M2412" s="15" t="s">
        <v>129</v>
      </c>
      <c r="N2412" s="15" t="s">
        <v>36</v>
      </c>
      <c r="O2412" s="15" t="s">
        <v>176</v>
      </c>
      <c r="P2412" s="20" t="s">
        <v>972</v>
      </c>
      <c r="Q2412" s="15" t="s">
        <v>83</v>
      </c>
      <c r="R2412" s="4"/>
      <c r="S2412" s="4"/>
    </row>
    <row r="2413" spans="1:19" ht="21" customHeight="1" x14ac:dyDescent="0.25">
      <c r="A2413" s="14">
        <f>DATE(2012,12,31)-202</f>
        <v>41072</v>
      </c>
      <c r="B2413" s="15" t="s">
        <v>412</v>
      </c>
      <c r="C2413" s="15" t="s">
        <v>85</v>
      </c>
      <c r="D2413" s="16">
        <v>22</v>
      </c>
      <c r="E2413" s="17">
        <v>5393.27</v>
      </c>
      <c r="F2413" s="16">
        <v>0.1</v>
      </c>
      <c r="G2413" s="15" t="s">
        <v>58</v>
      </c>
      <c r="H2413" s="18">
        <v>353.72</v>
      </c>
      <c r="I2413" s="19">
        <v>270.97000000000003</v>
      </c>
      <c r="J2413" s="19">
        <v>28.06</v>
      </c>
      <c r="K2413" s="19" t="s">
        <v>97</v>
      </c>
      <c r="L2413" s="19" t="s">
        <v>98</v>
      </c>
      <c r="M2413" s="15" t="s">
        <v>1162</v>
      </c>
      <c r="N2413" s="15" t="s">
        <v>64</v>
      </c>
      <c r="O2413" s="15" t="s">
        <v>122</v>
      </c>
      <c r="P2413" s="20" t="s">
        <v>1865</v>
      </c>
      <c r="Q2413" s="15" t="s">
        <v>181</v>
      </c>
      <c r="R2413" s="4"/>
      <c r="S2413" s="4"/>
    </row>
    <row r="2414" spans="1:19" ht="21" customHeight="1" x14ac:dyDescent="0.25">
      <c r="A2414" s="14">
        <f>DATE(2012,12,31)-187</f>
        <v>41087</v>
      </c>
      <c r="B2414" s="15" t="s">
        <v>820</v>
      </c>
      <c r="C2414" s="15" t="s">
        <v>31</v>
      </c>
      <c r="D2414" s="16">
        <v>50</v>
      </c>
      <c r="E2414" s="17">
        <v>99.08</v>
      </c>
      <c r="F2414" s="16">
        <v>0.01</v>
      </c>
      <c r="G2414" s="15" t="s">
        <v>101</v>
      </c>
      <c r="H2414" s="18">
        <v>11.28</v>
      </c>
      <c r="I2414" s="19">
        <v>1.76</v>
      </c>
      <c r="J2414" s="19">
        <v>0.7</v>
      </c>
      <c r="K2414" s="19" t="s">
        <v>97</v>
      </c>
      <c r="L2414" s="19" t="s">
        <v>195</v>
      </c>
      <c r="M2414" s="15" t="s">
        <v>1847</v>
      </c>
      <c r="N2414" s="15" t="s">
        <v>36</v>
      </c>
      <c r="O2414" s="15" t="s">
        <v>77</v>
      </c>
      <c r="P2414" s="20" t="s">
        <v>526</v>
      </c>
      <c r="Q2414" s="15" t="s">
        <v>79</v>
      </c>
      <c r="R2414" s="4"/>
      <c r="S2414" s="4"/>
    </row>
    <row r="2415" spans="1:19" ht="21" customHeight="1" x14ac:dyDescent="0.25">
      <c r="A2415" s="14">
        <f>DATE(2012,12,31)-62</f>
        <v>41212</v>
      </c>
      <c r="B2415" s="15" t="s">
        <v>701</v>
      </c>
      <c r="C2415" s="15" t="s">
        <v>85</v>
      </c>
      <c r="D2415" s="16">
        <v>28</v>
      </c>
      <c r="E2415" s="17">
        <v>462.12</v>
      </c>
      <c r="F2415" s="16">
        <v>0</v>
      </c>
      <c r="G2415" s="15" t="s">
        <v>32</v>
      </c>
      <c r="H2415" s="18">
        <v>226.4</v>
      </c>
      <c r="I2415" s="19">
        <v>15.57</v>
      </c>
      <c r="J2415" s="19">
        <v>1.39</v>
      </c>
      <c r="K2415" s="19" t="s">
        <v>97</v>
      </c>
      <c r="L2415" s="19" t="s">
        <v>98</v>
      </c>
      <c r="M2415" s="15" t="s">
        <v>1162</v>
      </c>
      <c r="N2415" s="15" t="s">
        <v>36</v>
      </c>
      <c r="O2415" s="15" t="s">
        <v>189</v>
      </c>
      <c r="P2415" s="20" t="s">
        <v>802</v>
      </c>
      <c r="Q2415" s="15" t="s">
        <v>83</v>
      </c>
      <c r="R2415" s="4"/>
      <c r="S2415" s="4"/>
    </row>
    <row r="2416" spans="1:19" ht="21" customHeight="1" x14ac:dyDescent="0.25">
      <c r="A2416" s="14">
        <f>DATE(2012,12,31)-473</f>
        <v>40801</v>
      </c>
      <c r="B2416" s="15" t="s">
        <v>1866</v>
      </c>
      <c r="C2416" s="15" t="s">
        <v>43</v>
      </c>
      <c r="D2416" s="16">
        <v>28</v>
      </c>
      <c r="E2416" s="17">
        <v>381.79</v>
      </c>
      <c r="F2416" s="16">
        <v>0.08</v>
      </c>
      <c r="G2416" s="15" t="s">
        <v>32</v>
      </c>
      <c r="H2416" s="18">
        <v>73.73</v>
      </c>
      <c r="I2416" s="19">
        <v>14.34</v>
      </c>
      <c r="J2416" s="19">
        <v>5</v>
      </c>
      <c r="K2416" s="19" t="s">
        <v>97</v>
      </c>
      <c r="L2416" s="19" t="s">
        <v>98</v>
      </c>
      <c r="M2416" s="15" t="s">
        <v>1162</v>
      </c>
      <c r="N2416" s="15" t="s">
        <v>54</v>
      </c>
      <c r="O2416" s="15" t="s">
        <v>55</v>
      </c>
      <c r="P2416" s="20" t="s">
        <v>277</v>
      </c>
      <c r="Q2416" s="15" t="s">
        <v>49</v>
      </c>
      <c r="R2416" s="4"/>
      <c r="S2416" s="4"/>
    </row>
    <row r="2417" spans="1:19" ht="21" customHeight="1" x14ac:dyDescent="0.25">
      <c r="A2417" s="14">
        <f>DATE(2012,12,31)-473</f>
        <v>40801</v>
      </c>
      <c r="B2417" s="15" t="s">
        <v>1866</v>
      </c>
      <c r="C2417" s="15" t="s">
        <v>43</v>
      </c>
      <c r="D2417" s="16">
        <v>10</v>
      </c>
      <c r="E2417" s="17">
        <v>1529.3115</v>
      </c>
      <c r="F2417" s="16">
        <v>0.1</v>
      </c>
      <c r="G2417" s="15" t="s">
        <v>32</v>
      </c>
      <c r="H2417" s="18">
        <v>-491.26</v>
      </c>
      <c r="I2417" s="19">
        <v>195.99</v>
      </c>
      <c r="J2417" s="19">
        <v>8.99</v>
      </c>
      <c r="K2417" s="19" t="s">
        <v>97</v>
      </c>
      <c r="L2417" s="19" t="s">
        <v>195</v>
      </c>
      <c r="M2417" s="15" t="s">
        <v>1847</v>
      </c>
      <c r="N2417" s="15" t="s">
        <v>64</v>
      </c>
      <c r="O2417" s="15" t="s">
        <v>65</v>
      </c>
      <c r="P2417" s="20" t="s">
        <v>387</v>
      </c>
      <c r="Q2417" s="15" t="s">
        <v>83</v>
      </c>
      <c r="R2417" s="4"/>
      <c r="S2417" s="4"/>
    </row>
    <row r="2418" spans="1:19" ht="21" customHeight="1" x14ac:dyDescent="0.25">
      <c r="A2418" s="14">
        <f>DATE(2012,12,31)-853</f>
        <v>40421</v>
      </c>
      <c r="B2418" s="15" t="s">
        <v>741</v>
      </c>
      <c r="C2418" s="15" t="s">
        <v>31</v>
      </c>
      <c r="D2418" s="16">
        <v>37</v>
      </c>
      <c r="E2418" s="17">
        <v>105.99</v>
      </c>
      <c r="F2418" s="16">
        <v>0.01</v>
      </c>
      <c r="G2418" s="15" t="s">
        <v>32</v>
      </c>
      <c r="H2418" s="18">
        <v>43.37</v>
      </c>
      <c r="I2418" s="19">
        <v>2.88</v>
      </c>
      <c r="J2418" s="19">
        <v>0.5</v>
      </c>
      <c r="K2418" s="19" t="s">
        <v>97</v>
      </c>
      <c r="L2418" s="19" t="s">
        <v>195</v>
      </c>
      <c r="M2418" s="15" t="s">
        <v>1847</v>
      </c>
      <c r="N2418" s="15" t="s">
        <v>36</v>
      </c>
      <c r="O2418" s="15" t="s">
        <v>114</v>
      </c>
      <c r="P2418" s="20" t="s">
        <v>922</v>
      </c>
      <c r="Q2418" s="15" t="s">
        <v>83</v>
      </c>
      <c r="R2418" s="4"/>
      <c r="S2418" s="4"/>
    </row>
    <row r="2419" spans="1:19" ht="21" customHeight="1" x14ac:dyDescent="0.25">
      <c r="A2419" s="14">
        <f>DATE(2012,12,31)-220</f>
        <v>41054</v>
      </c>
      <c r="B2419" s="15" t="s">
        <v>1766</v>
      </c>
      <c r="C2419" s="15" t="s">
        <v>85</v>
      </c>
      <c r="D2419" s="16">
        <v>1</v>
      </c>
      <c r="E2419" s="17">
        <v>15.73</v>
      </c>
      <c r="F2419" s="16">
        <v>0.09</v>
      </c>
      <c r="G2419" s="15" t="s">
        <v>32</v>
      </c>
      <c r="H2419" s="18">
        <v>-9.17</v>
      </c>
      <c r="I2419" s="19">
        <v>6.48</v>
      </c>
      <c r="J2419" s="19">
        <v>9.5399999999999991</v>
      </c>
      <c r="K2419" s="19" t="s">
        <v>97</v>
      </c>
      <c r="L2419" s="19" t="s">
        <v>132</v>
      </c>
      <c r="M2419" s="15" t="s">
        <v>133</v>
      </c>
      <c r="N2419" s="15" t="s">
        <v>36</v>
      </c>
      <c r="O2419" s="15" t="s">
        <v>117</v>
      </c>
      <c r="P2419" s="20" t="s">
        <v>684</v>
      </c>
      <c r="Q2419" s="15" t="s">
        <v>83</v>
      </c>
      <c r="R2419" s="4"/>
      <c r="S2419" s="4"/>
    </row>
    <row r="2420" spans="1:19" ht="21" customHeight="1" x14ac:dyDescent="0.25">
      <c r="A2420" s="14">
        <f>DATE(2012,12,31)-220</f>
        <v>41054</v>
      </c>
      <c r="B2420" s="15" t="s">
        <v>1766</v>
      </c>
      <c r="C2420" s="15" t="s">
        <v>85</v>
      </c>
      <c r="D2420" s="16">
        <v>35</v>
      </c>
      <c r="E2420" s="17">
        <v>1041.74</v>
      </c>
      <c r="F2420" s="16">
        <v>0.1</v>
      </c>
      <c r="G2420" s="15" t="s">
        <v>32</v>
      </c>
      <c r="H2420" s="18">
        <v>-51.74</v>
      </c>
      <c r="I2420" s="19">
        <v>30.98</v>
      </c>
      <c r="J2420" s="19">
        <v>17.079999999999998</v>
      </c>
      <c r="K2420" s="19" t="s">
        <v>97</v>
      </c>
      <c r="L2420" s="19" t="s">
        <v>98</v>
      </c>
      <c r="M2420" s="15" t="s">
        <v>1162</v>
      </c>
      <c r="N2420" s="15" t="s">
        <v>36</v>
      </c>
      <c r="O2420" s="15" t="s">
        <v>117</v>
      </c>
      <c r="P2420" s="20" t="s">
        <v>1867</v>
      </c>
      <c r="Q2420" s="15" t="s">
        <v>83</v>
      </c>
      <c r="R2420" s="4"/>
      <c r="S2420" s="4"/>
    </row>
    <row r="2421" spans="1:19" ht="21" customHeight="1" x14ac:dyDescent="0.25">
      <c r="A2421" s="14">
        <f>DATE(2012,12,31)-220</f>
        <v>41054</v>
      </c>
      <c r="B2421" s="15" t="s">
        <v>1766</v>
      </c>
      <c r="C2421" s="15" t="s">
        <v>85</v>
      </c>
      <c r="D2421" s="16">
        <v>26</v>
      </c>
      <c r="E2421" s="17">
        <v>4300.6260000000002</v>
      </c>
      <c r="F2421" s="16">
        <v>0.06</v>
      </c>
      <c r="G2421" s="15" t="s">
        <v>32</v>
      </c>
      <c r="H2421" s="18">
        <v>685.20600000000002</v>
      </c>
      <c r="I2421" s="19">
        <v>200.99</v>
      </c>
      <c r="J2421" s="19">
        <v>8.08</v>
      </c>
      <c r="K2421" s="19" t="s">
        <v>97</v>
      </c>
      <c r="L2421" s="19" t="s">
        <v>195</v>
      </c>
      <c r="M2421" s="15" t="s">
        <v>1847</v>
      </c>
      <c r="N2421" s="15" t="s">
        <v>64</v>
      </c>
      <c r="O2421" s="15" t="s">
        <v>65</v>
      </c>
      <c r="P2421" s="20" t="s">
        <v>1145</v>
      </c>
      <c r="Q2421" s="15" t="s">
        <v>83</v>
      </c>
      <c r="R2421" s="4"/>
      <c r="S2421" s="4"/>
    </row>
    <row r="2422" spans="1:19" ht="21" customHeight="1" x14ac:dyDescent="0.25">
      <c r="A2422" s="14">
        <f>DATE(2012,12,31)-815</f>
        <v>40459</v>
      </c>
      <c r="B2422" s="15" t="s">
        <v>149</v>
      </c>
      <c r="C2422" s="15" t="s">
        <v>43</v>
      </c>
      <c r="D2422" s="16">
        <v>31</v>
      </c>
      <c r="E2422" s="17">
        <v>512.87</v>
      </c>
      <c r="F2422" s="16">
        <v>0</v>
      </c>
      <c r="G2422" s="15" t="s">
        <v>32</v>
      </c>
      <c r="H2422" s="18">
        <v>170.69</v>
      </c>
      <c r="I2422" s="19">
        <v>16.48</v>
      </c>
      <c r="J2422" s="19">
        <v>1.99</v>
      </c>
      <c r="K2422" s="19" t="s">
        <v>124</v>
      </c>
      <c r="L2422" s="19" t="s">
        <v>160</v>
      </c>
      <c r="M2422" s="15" t="s">
        <v>1621</v>
      </c>
      <c r="N2422" s="15" t="s">
        <v>64</v>
      </c>
      <c r="O2422" s="15" t="s">
        <v>72</v>
      </c>
      <c r="P2422" s="20" t="s">
        <v>1587</v>
      </c>
      <c r="Q2422" s="15" t="s">
        <v>49</v>
      </c>
      <c r="R2422" s="4"/>
      <c r="S2422" s="4"/>
    </row>
    <row r="2423" spans="1:19" ht="21" customHeight="1" x14ac:dyDescent="0.25">
      <c r="A2423" s="14">
        <f>DATE(2012,12,31)-291</f>
        <v>40983</v>
      </c>
      <c r="B2423" s="15" t="s">
        <v>882</v>
      </c>
      <c r="C2423" s="15" t="s">
        <v>43</v>
      </c>
      <c r="D2423" s="16">
        <v>32</v>
      </c>
      <c r="E2423" s="17">
        <v>102.59</v>
      </c>
      <c r="F2423" s="16">
        <v>0.01</v>
      </c>
      <c r="G2423" s="15" t="s">
        <v>32</v>
      </c>
      <c r="H2423" s="18">
        <v>8.8800000000000008</v>
      </c>
      <c r="I2423" s="19">
        <v>2.98</v>
      </c>
      <c r="J2423" s="19">
        <v>1.58</v>
      </c>
      <c r="K2423" s="19" t="s">
        <v>124</v>
      </c>
      <c r="L2423" s="19" t="s">
        <v>160</v>
      </c>
      <c r="M2423" s="15" t="s">
        <v>1621</v>
      </c>
      <c r="N2423" s="15" t="s">
        <v>36</v>
      </c>
      <c r="O2423" s="15" t="s">
        <v>105</v>
      </c>
      <c r="P2423" s="20" t="s">
        <v>1818</v>
      </c>
      <c r="Q2423" s="15" t="s">
        <v>79</v>
      </c>
      <c r="R2423" s="4"/>
      <c r="S2423" s="4"/>
    </row>
    <row r="2424" spans="1:19" ht="21" customHeight="1" x14ac:dyDescent="0.25">
      <c r="A2424" s="14">
        <f>DATE(2012,12,31)-291</f>
        <v>40983</v>
      </c>
      <c r="B2424" s="15" t="s">
        <v>882</v>
      </c>
      <c r="C2424" s="15" t="s">
        <v>43</v>
      </c>
      <c r="D2424" s="16">
        <v>50</v>
      </c>
      <c r="E2424" s="17">
        <v>1695.65</v>
      </c>
      <c r="F2424" s="16">
        <v>0.02</v>
      </c>
      <c r="G2424" s="15" t="s">
        <v>101</v>
      </c>
      <c r="H2424" s="18">
        <v>51.98</v>
      </c>
      <c r="I2424" s="19">
        <v>32.979999999999997</v>
      </c>
      <c r="J2424" s="19">
        <v>5.5</v>
      </c>
      <c r="K2424" s="19" t="s">
        <v>124</v>
      </c>
      <c r="L2424" s="19" t="s">
        <v>160</v>
      </c>
      <c r="M2424" s="15" t="s">
        <v>1621</v>
      </c>
      <c r="N2424" s="15" t="s">
        <v>64</v>
      </c>
      <c r="O2424" s="15" t="s">
        <v>72</v>
      </c>
      <c r="P2424" s="20" t="s">
        <v>993</v>
      </c>
      <c r="Q2424" s="15" t="s">
        <v>83</v>
      </c>
      <c r="R2424" s="4"/>
      <c r="S2424" s="4"/>
    </row>
    <row r="2425" spans="1:19" ht="21" customHeight="1" x14ac:dyDescent="0.25">
      <c r="A2425" s="14">
        <f>DATE(2012,12,31)-484</f>
        <v>40790</v>
      </c>
      <c r="B2425" s="15" t="s">
        <v>970</v>
      </c>
      <c r="C2425" s="15" t="s">
        <v>31</v>
      </c>
      <c r="D2425" s="16">
        <v>23</v>
      </c>
      <c r="E2425" s="17">
        <v>220.97</v>
      </c>
      <c r="F2425" s="16">
        <v>0.02</v>
      </c>
      <c r="G2425" s="15" t="s">
        <v>32</v>
      </c>
      <c r="H2425" s="18">
        <v>-25.86</v>
      </c>
      <c r="I2425" s="19">
        <v>9.48</v>
      </c>
      <c r="J2425" s="19">
        <v>7.29</v>
      </c>
      <c r="K2425" s="19" t="s">
        <v>124</v>
      </c>
      <c r="L2425" s="19" t="s">
        <v>493</v>
      </c>
      <c r="M2425" s="15" t="s">
        <v>1810</v>
      </c>
      <c r="N2425" s="15" t="s">
        <v>54</v>
      </c>
      <c r="O2425" s="15" t="s">
        <v>55</v>
      </c>
      <c r="P2425" s="20" t="s">
        <v>798</v>
      </c>
      <c r="Q2425" s="15" t="s">
        <v>49</v>
      </c>
      <c r="R2425" s="4"/>
      <c r="S2425" s="4"/>
    </row>
    <row r="2426" spans="1:19" ht="21" customHeight="1" x14ac:dyDescent="0.25">
      <c r="A2426" s="14">
        <f>DATE(2012,12,31)-484</f>
        <v>40790</v>
      </c>
      <c r="B2426" s="15" t="s">
        <v>970</v>
      </c>
      <c r="C2426" s="15" t="s">
        <v>31</v>
      </c>
      <c r="D2426" s="16">
        <v>47</v>
      </c>
      <c r="E2426" s="17">
        <v>21555.599999999999</v>
      </c>
      <c r="F2426" s="16">
        <v>0.02</v>
      </c>
      <c r="G2426" s="15" t="s">
        <v>58</v>
      </c>
      <c r="H2426" s="18">
        <v>8965.83</v>
      </c>
      <c r="I2426" s="19">
        <v>449.99</v>
      </c>
      <c r="J2426" s="19">
        <v>49</v>
      </c>
      <c r="K2426" s="19" t="s">
        <v>124</v>
      </c>
      <c r="L2426" s="19" t="s">
        <v>493</v>
      </c>
      <c r="M2426" s="15" t="s">
        <v>1810</v>
      </c>
      <c r="N2426" s="15" t="s">
        <v>64</v>
      </c>
      <c r="O2426" s="15" t="s">
        <v>460</v>
      </c>
      <c r="P2426" s="20" t="s">
        <v>511</v>
      </c>
      <c r="Q2426" s="15" t="s">
        <v>181</v>
      </c>
      <c r="R2426" s="4"/>
      <c r="S2426" s="4"/>
    </row>
    <row r="2427" spans="1:19" ht="21" customHeight="1" x14ac:dyDescent="0.25">
      <c r="A2427" s="14">
        <f>DATE(2012,12,31)-1044</f>
        <v>40230</v>
      </c>
      <c r="B2427" s="15" t="s">
        <v>627</v>
      </c>
      <c r="C2427" s="15" t="s">
        <v>85</v>
      </c>
      <c r="D2427" s="16">
        <v>38</v>
      </c>
      <c r="E2427" s="17">
        <v>71.12</v>
      </c>
      <c r="F2427" s="16">
        <v>0.1</v>
      </c>
      <c r="G2427" s="15" t="s">
        <v>32</v>
      </c>
      <c r="H2427" s="18">
        <v>-21.89</v>
      </c>
      <c r="I2427" s="19">
        <v>1.98</v>
      </c>
      <c r="J2427" s="19">
        <v>0.7</v>
      </c>
      <c r="K2427" s="19" t="s">
        <v>124</v>
      </c>
      <c r="L2427" s="19" t="s">
        <v>160</v>
      </c>
      <c r="M2427" s="15" t="s">
        <v>1621</v>
      </c>
      <c r="N2427" s="15" t="s">
        <v>36</v>
      </c>
      <c r="O2427" s="15" t="s">
        <v>105</v>
      </c>
      <c r="P2427" s="20" t="s">
        <v>1255</v>
      </c>
      <c r="Q2427" s="15" t="s">
        <v>79</v>
      </c>
      <c r="R2427" s="4"/>
      <c r="S2427" s="4"/>
    </row>
    <row r="2428" spans="1:19" ht="21" customHeight="1" x14ac:dyDescent="0.25">
      <c r="A2428" s="14">
        <f>DATE(2012,12,31)-163</f>
        <v>41111</v>
      </c>
      <c r="B2428" s="15" t="s">
        <v>564</v>
      </c>
      <c r="C2428" s="15" t="s">
        <v>51</v>
      </c>
      <c r="D2428" s="16">
        <v>5</v>
      </c>
      <c r="E2428" s="17">
        <v>489.07</v>
      </c>
      <c r="F2428" s="16">
        <v>0.08</v>
      </c>
      <c r="G2428" s="15" t="s">
        <v>58</v>
      </c>
      <c r="H2428" s="18">
        <v>-197.88</v>
      </c>
      <c r="I2428" s="19">
        <v>89.99</v>
      </c>
      <c r="J2428" s="19">
        <v>42</v>
      </c>
      <c r="K2428" s="19" t="s">
        <v>124</v>
      </c>
      <c r="L2428" s="19" t="s">
        <v>164</v>
      </c>
      <c r="M2428" s="15" t="s">
        <v>1228</v>
      </c>
      <c r="N2428" s="15" t="s">
        <v>54</v>
      </c>
      <c r="O2428" s="15" t="s">
        <v>252</v>
      </c>
      <c r="P2428" s="20" t="s">
        <v>848</v>
      </c>
      <c r="Q2428" s="15" t="s">
        <v>181</v>
      </c>
      <c r="R2428" s="4"/>
      <c r="S2428" s="4"/>
    </row>
    <row r="2429" spans="1:19" ht="21" customHeight="1" x14ac:dyDescent="0.25">
      <c r="A2429" s="14">
        <f>DATE(2012,12,31)-1426</f>
        <v>39848</v>
      </c>
      <c r="B2429" s="15" t="s">
        <v>1217</v>
      </c>
      <c r="C2429" s="15" t="s">
        <v>31</v>
      </c>
      <c r="D2429" s="16">
        <v>2</v>
      </c>
      <c r="E2429" s="17">
        <v>7.01</v>
      </c>
      <c r="F2429" s="16">
        <v>0.03</v>
      </c>
      <c r="G2429" s="15" t="s">
        <v>32</v>
      </c>
      <c r="H2429" s="18">
        <v>-4.2</v>
      </c>
      <c r="I2429" s="19">
        <v>2.94</v>
      </c>
      <c r="J2429" s="19">
        <v>0.96</v>
      </c>
      <c r="K2429" s="19" t="s">
        <v>124</v>
      </c>
      <c r="L2429" s="19" t="s">
        <v>125</v>
      </c>
      <c r="M2429" s="15" t="s">
        <v>1829</v>
      </c>
      <c r="N2429" s="15" t="s">
        <v>36</v>
      </c>
      <c r="O2429" s="15" t="s">
        <v>77</v>
      </c>
      <c r="P2429" s="20" t="s">
        <v>830</v>
      </c>
      <c r="Q2429" s="15" t="s">
        <v>79</v>
      </c>
      <c r="R2429" s="4"/>
      <c r="S2429" s="4"/>
    </row>
    <row r="2430" spans="1:19" ht="21" customHeight="1" x14ac:dyDescent="0.25">
      <c r="A2430" s="14">
        <f>DATE(2012,12,31)-845</f>
        <v>40429</v>
      </c>
      <c r="B2430" s="15" t="s">
        <v>251</v>
      </c>
      <c r="C2430" s="15" t="s">
        <v>85</v>
      </c>
      <c r="D2430" s="16">
        <v>19</v>
      </c>
      <c r="E2430" s="17">
        <v>82.56</v>
      </c>
      <c r="F2430" s="16">
        <v>0.01</v>
      </c>
      <c r="G2430" s="15" t="s">
        <v>32</v>
      </c>
      <c r="H2430" s="18">
        <v>21.74</v>
      </c>
      <c r="I2430" s="19">
        <v>4</v>
      </c>
      <c r="J2430" s="19">
        <v>1.3</v>
      </c>
      <c r="K2430" s="19" t="s">
        <v>124</v>
      </c>
      <c r="L2430" s="19" t="s">
        <v>319</v>
      </c>
      <c r="M2430" s="15" t="s">
        <v>1711</v>
      </c>
      <c r="N2430" s="15" t="s">
        <v>36</v>
      </c>
      <c r="O2430" s="15" t="s">
        <v>117</v>
      </c>
      <c r="P2430" s="20" t="s">
        <v>958</v>
      </c>
      <c r="Q2430" s="15" t="s">
        <v>79</v>
      </c>
      <c r="R2430" s="4"/>
      <c r="S2430" s="4"/>
    </row>
    <row r="2431" spans="1:19" ht="21" customHeight="1" x14ac:dyDescent="0.25">
      <c r="A2431" s="14">
        <f>DATE(2012,12,31)-845</f>
        <v>40429</v>
      </c>
      <c r="B2431" s="15" t="s">
        <v>251</v>
      </c>
      <c r="C2431" s="15" t="s">
        <v>85</v>
      </c>
      <c r="D2431" s="16">
        <v>11</v>
      </c>
      <c r="E2431" s="17">
        <v>141.07</v>
      </c>
      <c r="F2431" s="16">
        <v>0.08</v>
      </c>
      <c r="G2431" s="15" t="s">
        <v>32</v>
      </c>
      <c r="H2431" s="18">
        <v>-5.0999999999999996</v>
      </c>
      <c r="I2431" s="19">
        <v>12.98</v>
      </c>
      <c r="J2431" s="19">
        <v>3.14</v>
      </c>
      <c r="K2431" s="19" t="s">
        <v>44</v>
      </c>
      <c r="L2431" s="19" t="s">
        <v>80</v>
      </c>
      <c r="M2431" s="15" t="s">
        <v>1823</v>
      </c>
      <c r="N2431" s="15" t="s">
        <v>36</v>
      </c>
      <c r="O2431" s="15" t="s">
        <v>47</v>
      </c>
      <c r="P2431" s="20" t="s">
        <v>152</v>
      </c>
      <c r="Q2431" s="15" t="s">
        <v>49</v>
      </c>
      <c r="R2431" s="4"/>
      <c r="S2431" s="4"/>
    </row>
    <row r="2432" spans="1:19" ht="21" customHeight="1" x14ac:dyDescent="0.25">
      <c r="A2432" s="14">
        <f>DATE(2012,12,31)-1132</f>
        <v>40142</v>
      </c>
      <c r="B2432" s="15" t="s">
        <v>172</v>
      </c>
      <c r="C2432" s="15" t="s">
        <v>85</v>
      </c>
      <c r="D2432" s="16">
        <v>49</v>
      </c>
      <c r="E2432" s="17">
        <v>848.92</v>
      </c>
      <c r="F2432" s="16">
        <v>0.04</v>
      </c>
      <c r="G2432" s="15" t="s">
        <v>32</v>
      </c>
      <c r="H2432" s="18">
        <v>296.06</v>
      </c>
      <c r="I2432" s="19">
        <v>17.48</v>
      </c>
      <c r="J2432" s="19">
        <v>1.99</v>
      </c>
      <c r="K2432" s="19" t="s">
        <v>44</v>
      </c>
      <c r="L2432" s="19" t="s">
        <v>52</v>
      </c>
      <c r="M2432" s="15" t="s">
        <v>1685</v>
      </c>
      <c r="N2432" s="15" t="s">
        <v>64</v>
      </c>
      <c r="O2432" s="15" t="s">
        <v>72</v>
      </c>
      <c r="P2432" s="20" t="s">
        <v>1262</v>
      </c>
      <c r="Q2432" s="15" t="s">
        <v>49</v>
      </c>
      <c r="R2432" s="4"/>
      <c r="S2432" s="4"/>
    </row>
    <row r="2433" spans="1:19" ht="21" customHeight="1" x14ac:dyDescent="0.25">
      <c r="A2433" s="14">
        <f>DATE(2012,12,31)-1132</f>
        <v>40142</v>
      </c>
      <c r="B2433" s="15" t="s">
        <v>172</v>
      </c>
      <c r="C2433" s="15" t="s">
        <v>85</v>
      </c>
      <c r="D2433" s="16">
        <v>24</v>
      </c>
      <c r="E2433" s="17">
        <v>6930.97</v>
      </c>
      <c r="F2433" s="16">
        <v>0.05</v>
      </c>
      <c r="G2433" s="15" t="s">
        <v>32</v>
      </c>
      <c r="H2433" s="18">
        <v>2574.12</v>
      </c>
      <c r="I2433" s="19">
        <v>300.98</v>
      </c>
      <c r="J2433" s="19">
        <v>13.99</v>
      </c>
      <c r="K2433" s="19" t="s">
        <v>44</v>
      </c>
      <c r="L2433" s="19" t="s">
        <v>52</v>
      </c>
      <c r="M2433" s="15" t="s">
        <v>1685</v>
      </c>
      <c r="N2433" s="15" t="s">
        <v>64</v>
      </c>
      <c r="O2433" s="15" t="s">
        <v>122</v>
      </c>
      <c r="P2433" s="20" t="s">
        <v>1868</v>
      </c>
      <c r="Q2433" s="15" t="s">
        <v>57</v>
      </c>
      <c r="R2433" s="4"/>
      <c r="S2433" s="4"/>
    </row>
    <row r="2434" spans="1:19" ht="21" customHeight="1" x14ac:dyDescent="0.25">
      <c r="A2434" s="14">
        <f>DATE(2012,12,31)-1132</f>
        <v>40142</v>
      </c>
      <c r="B2434" s="15" t="s">
        <v>172</v>
      </c>
      <c r="C2434" s="15" t="s">
        <v>85</v>
      </c>
      <c r="D2434" s="16">
        <v>13</v>
      </c>
      <c r="E2434" s="17">
        <v>2219.7324999999996</v>
      </c>
      <c r="F2434" s="16">
        <v>0.04</v>
      </c>
      <c r="G2434" s="15" t="s">
        <v>101</v>
      </c>
      <c r="H2434" s="18">
        <v>-69.783999999999992</v>
      </c>
      <c r="I2434" s="19">
        <v>205.99</v>
      </c>
      <c r="J2434" s="19">
        <v>5</v>
      </c>
      <c r="K2434" s="19" t="s">
        <v>44</v>
      </c>
      <c r="L2434" s="19" t="s">
        <v>52</v>
      </c>
      <c r="M2434" s="15" t="s">
        <v>1685</v>
      </c>
      <c r="N2434" s="15" t="s">
        <v>64</v>
      </c>
      <c r="O2434" s="15" t="s">
        <v>65</v>
      </c>
      <c r="P2434" s="20" t="s">
        <v>1869</v>
      </c>
      <c r="Q2434" s="15" t="s">
        <v>83</v>
      </c>
      <c r="R2434" s="4"/>
      <c r="S2434" s="4"/>
    </row>
    <row r="2435" spans="1:19" ht="21" customHeight="1" x14ac:dyDescent="0.25">
      <c r="A2435" s="14">
        <f>DATE(2012,12,31)-1342</f>
        <v>39932</v>
      </c>
      <c r="B2435" s="15" t="s">
        <v>1536</v>
      </c>
      <c r="C2435" s="15" t="s">
        <v>51</v>
      </c>
      <c r="D2435" s="16">
        <v>32</v>
      </c>
      <c r="E2435" s="17">
        <v>1116.03</v>
      </c>
      <c r="F2435" s="16">
        <v>0.04</v>
      </c>
      <c r="G2435" s="15" t="s">
        <v>32</v>
      </c>
      <c r="H2435" s="18">
        <v>203.44</v>
      </c>
      <c r="I2435" s="19">
        <v>34.76</v>
      </c>
      <c r="J2435" s="19">
        <v>5.49</v>
      </c>
      <c r="K2435" s="19" t="s">
        <v>44</v>
      </c>
      <c r="L2435" s="19" t="s">
        <v>52</v>
      </c>
      <c r="M2435" s="15" t="s">
        <v>1685</v>
      </c>
      <c r="N2435" s="15" t="s">
        <v>36</v>
      </c>
      <c r="O2435" s="15" t="s">
        <v>37</v>
      </c>
      <c r="P2435" s="20" t="s">
        <v>906</v>
      </c>
      <c r="Q2435" s="15" t="s">
        <v>83</v>
      </c>
      <c r="R2435" s="4"/>
      <c r="S2435" s="4"/>
    </row>
    <row r="2436" spans="1:19" ht="21" customHeight="1" x14ac:dyDescent="0.25">
      <c r="A2436" s="14">
        <f>DATE(2012,12,31)-1224</f>
        <v>40050</v>
      </c>
      <c r="B2436" s="15" t="s">
        <v>334</v>
      </c>
      <c r="C2436" s="15" t="s">
        <v>85</v>
      </c>
      <c r="D2436" s="16">
        <v>14</v>
      </c>
      <c r="E2436" s="17">
        <v>36.520000000000003</v>
      </c>
      <c r="F2436" s="16">
        <v>7.0000000000000007E-2</v>
      </c>
      <c r="G2436" s="15" t="s">
        <v>32</v>
      </c>
      <c r="H2436" s="18">
        <v>10.050000000000001</v>
      </c>
      <c r="I2436" s="19">
        <v>2.61</v>
      </c>
      <c r="J2436" s="19">
        <v>0.5</v>
      </c>
      <c r="K2436" s="19" t="s">
        <v>44</v>
      </c>
      <c r="L2436" s="19" t="s">
        <v>52</v>
      </c>
      <c r="M2436" s="15" t="s">
        <v>1685</v>
      </c>
      <c r="N2436" s="15" t="s">
        <v>36</v>
      </c>
      <c r="O2436" s="15" t="s">
        <v>114</v>
      </c>
      <c r="P2436" s="20" t="s">
        <v>593</v>
      </c>
      <c r="Q2436" s="15" t="s">
        <v>83</v>
      </c>
      <c r="R2436" s="4"/>
      <c r="S2436" s="4"/>
    </row>
    <row r="2437" spans="1:19" ht="21" customHeight="1" x14ac:dyDescent="0.25">
      <c r="A2437" s="14">
        <f>DATE(2012,12,31)-232</f>
        <v>41042</v>
      </c>
      <c r="B2437" s="15" t="s">
        <v>1134</v>
      </c>
      <c r="C2437" s="15" t="s">
        <v>51</v>
      </c>
      <c r="D2437" s="16">
        <v>43</v>
      </c>
      <c r="E2437" s="17">
        <v>1883.82</v>
      </c>
      <c r="F2437" s="16">
        <v>0.08</v>
      </c>
      <c r="G2437" s="15" t="s">
        <v>32</v>
      </c>
      <c r="H2437" s="18">
        <v>528.77</v>
      </c>
      <c r="I2437" s="19">
        <v>44.01</v>
      </c>
      <c r="J2437" s="19">
        <v>3.5</v>
      </c>
      <c r="K2437" s="19" t="s">
        <v>44</v>
      </c>
      <c r="L2437" s="19" t="s">
        <v>52</v>
      </c>
      <c r="M2437" s="15" t="s">
        <v>1685</v>
      </c>
      <c r="N2437" s="15" t="s">
        <v>36</v>
      </c>
      <c r="O2437" s="15" t="s">
        <v>176</v>
      </c>
      <c r="P2437" s="20" t="s">
        <v>1507</v>
      </c>
      <c r="Q2437" s="15" t="s">
        <v>83</v>
      </c>
      <c r="R2437" s="4"/>
      <c r="S2437" s="4"/>
    </row>
    <row r="2438" spans="1:19" ht="21" customHeight="1" x14ac:dyDescent="0.25">
      <c r="A2438" s="14">
        <f>DATE(2012,12,31)-232</f>
        <v>41042</v>
      </c>
      <c r="B2438" s="15" t="s">
        <v>1134</v>
      </c>
      <c r="C2438" s="15" t="s">
        <v>51</v>
      </c>
      <c r="D2438" s="16">
        <v>22</v>
      </c>
      <c r="E2438" s="17">
        <v>1118.2514999999999</v>
      </c>
      <c r="F2438" s="16">
        <v>0.1</v>
      </c>
      <c r="G2438" s="15" t="s">
        <v>32</v>
      </c>
      <c r="H2438" s="18">
        <v>-59.587000000000003</v>
      </c>
      <c r="I2438" s="19">
        <v>65.989999999999995</v>
      </c>
      <c r="J2438" s="19">
        <v>8.99</v>
      </c>
      <c r="K2438" s="19" t="s">
        <v>44</v>
      </c>
      <c r="L2438" s="19" t="s">
        <v>52</v>
      </c>
      <c r="M2438" s="15" t="s">
        <v>1685</v>
      </c>
      <c r="N2438" s="15" t="s">
        <v>64</v>
      </c>
      <c r="O2438" s="15" t="s">
        <v>65</v>
      </c>
      <c r="P2438" s="20" t="s">
        <v>1234</v>
      </c>
      <c r="Q2438" s="15" t="s">
        <v>83</v>
      </c>
      <c r="R2438" s="4"/>
      <c r="S2438" s="4"/>
    </row>
    <row r="2439" spans="1:19" ht="21" customHeight="1" x14ac:dyDescent="0.25">
      <c r="A2439" s="14">
        <f>DATE(2012,12,31)-232</f>
        <v>41042</v>
      </c>
      <c r="B2439" s="15" t="s">
        <v>1134</v>
      </c>
      <c r="C2439" s="15" t="s">
        <v>51</v>
      </c>
      <c r="D2439" s="16">
        <v>40</v>
      </c>
      <c r="E2439" s="17">
        <v>609.4</v>
      </c>
      <c r="F2439" s="16">
        <v>0.04</v>
      </c>
      <c r="G2439" s="15" t="s">
        <v>32</v>
      </c>
      <c r="H2439" s="18">
        <v>-89.228499999999997</v>
      </c>
      <c r="I2439" s="19">
        <v>15.28</v>
      </c>
      <c r="J2439" s="19">
        <v>10.91</v>
      </c>
      <c r="K2439" s="19" t="s">
        <v>44</v>
      </c>
      <c r="L2439" s="19" t="s">
        <v>52</v>
      </c>
      <c r="M2439" s="15" t="s">
        <v>1685</v>
      </c>
      <c r="N2439" s="15" t="s">
        <v>36</v>
      </c>
      <c r="O2439" s="15" t="s">
        <v>170</v>
      </c>
      <c r="P2439" s="20" t="s">
        <v>1540</v>
      </c>
      <c r="Q2439" s="15" t="s">
        <v>83</v>
      </c>
      <c r="R2439" s="4"/>
      <c r="S2439" s="4"/>
    </row>
    <row r="2440" spans="1:19" ht="21" customHeight="1" x14ac:dyDescent="0.25">
      <c r="A2440" s="14">
        <f>DATE(2012,12,31)-65</f>
        <v>41209</v>
      </c>
      <c r="B2440" s="15" t="s">
        <v>1282</v>
      </c>
      <c r="C2440" s="15" t="s">
        <v>85</v>
      </c>
      <c r="D2440" s="16">
        <v>20</v>
      </c>
      <c r="E2440" s="17">
        <v>2305.75</v>
      </c>
      <c r="F2440" s="16">
        <v>0.03</v>
      </c>
      <c r="G2440" s="15" t="s">
        <v>32</v>
      </c>
      <c r="H2440" s="18">
        <v>-530.67999999999995</v>
      </c>
      <c r="I2440" s="19">
        <v>113.64</v>
      </c>
      <c r="J2440" s="19">
        <v>35</v>
      </c>
      <c r="K2440" s="19" t="s">
        <v>44</v>
      </c>
      <c r="L2440" s="19" t="s">
        <v>52</v>
      </c>
      <c r="M2440" s="15" t="s">
        <v>1685</v>
      </c>
      <c r="N2440" s="15" t="s">
        <v>54</v>
      </c>
      <c r="O2440" s="15" t="s">
        <v>55</v>
      </c>
      <c r="P2440" s="20" t="s">
        <v>341</v>
      </c>
      <c r="Q2440" s="15" t="s">
        <v>83</v>
      </c>
      <c r="R2440" s="4"/>
      <c r="S2440" s="4"/>
    </row>
    <row r="2441" spans="1:19" ht="21" customHeight="1" x14ac:dyDescent="0.25">
      <c r="A2441" s="14">
        <f>DATE(2012,12,31)-224</f>
        <v>41050</v>
      </c>
      <c r="B2441" s="15" t="s">
        <v>149</v>
      </c>
      <c r="C2441" s="15" t="s">
        <v>85</v>
      </c>
      <c r="D2441" s="16">
        <v>21</v>
      </c>
      <c r="E2441" s="17">
        <v>80.45</v>
      </c>
      <c r="F2441" s="16">
        <v>0.09</v>
      </c>
      <c r="G2441" s="15" t="s">
        <v>32</v>
      </c>
      <c r="H2441" s="18">
        <v>-60.961500000000001</v>
      </c>
      <c r="I2441" s="19">
        <v>3.74</v>
      </c>
      <c r="J2441" s="19">
        <v>4.6900000000000004</v>
      </c>
      <c r="K2441" s="19" t="s">
        <v>44</v>
      </c>
      <c r="L2441" s="19" t="s">
        <v>52</v>
      </c>
      <c r="M2441" s="15" t="s">
        <v>1685</v>
      </c>
      <c r="N2441" s="15" t="s">
        <v>36</v>
      </c>
      <c r="O2441" s="15" t="s">
        <v>170</v>
      </c>
      <c r="P2441" s="20" t="s">
        <v>1870</v>
      </c>
      <c r="Q2441" s="15" t="s">
        <v>83</v>
      </c>
      <c r="R2441" s="4"/>
      <c r="S2441" s="4"/>
    </row>
    <row r="2442" spans="1:19" ht="21" customHeight="1" x14ac:dyDescent="0.25">
      <c r="A2442" s="14">
        <f>DATE(2012,12,31)-262</f>
        <v>41012</v>
      </c>
      <c r="B2442" s="15" t="s">
        <v>1605</v>
      </c>
      <c r="C2442" s="15" t="s">
        <v>51</v>
      </c>
      <c r="D2442" s="16">
        <v>48</v>
      </c>
      <c r="E2442" s="17">
        <v>368.99</v>
      </c>
      <c r="F2442" s="16">
        <v>0.09</v>
      </c>
      <c r="G2442" s="15" t="s">
        <v>32</v>
      </c>
      <c r="H2442" s="18">
        <v>-305.91000000000003</v>
      </c>
      <c r="I2442" s="19">
        <v>7.77</v>
      </c>
      <c r="J2442" s="19">
        <v>9.23</v>
      </c>
      <c r="K2442" s="19" t="s">
        <v>44</v>
      </c>
      <c r="L2442" s="19" t="s">
        <v>52</v>
      </c>
      <c r="M2442" s="15" t="s">
        <v>1685</v>
      </c>
      <c r="N2442" s="15" t="s">
        <v>36</v>
      </c>
      <c r="O2442" s="15" t="s">
        <v>176</v>
      </c>
      <c r="P2442" s="20" t="s">
        <v>1365</v>
      </c>
      <c r="Q2442" s="15" t="s">
        <v>83</v>
      </c>
      <c r="R2442" s="4"/>
      <c r="S2442" s="4"/>
    </row>
    <row r="2443" spans="1:19" ht="21" customHeight="1" x14ac:dyDescent="0.25">
      <c r="A2443" s="14">
        <f>DATE(2012,12,31)-262</f>
        <v>41012</v>
      </c>
      <c r="B2443" s="15" t="s">
        <v>1605</v>
      </c>
      <c r="C2443" s="15" t="s">
        <v>51</v>
      </c>
      <c r="D2443" s="16">
        <v>9</v>
      </c>
      <c r="E2443" s="17">
        <v>264.63</v>
      </c>
      <c r="F2443" s="16">
        <v>0.02</v>
      </c>
      <c r="G2443" s="15" t="s">
        <v>101</v>
      </c>
      <c r="H2443" s="18">
        <v>-66.78</v>
      </c>
      <c r="I2443" s="19">
        <v>27.48</v>
      </c>
      <c r="J2443" s="19">
        <v>4</v>
      </c>
      <c r="K2443" s="19" t="s">
        <v>69</v>
      </c>
      <c r="L2443" s="19" t="s">
        <v>70</v>
      </c>
      <c r="M2443" s="15" t="s">
        <v>1841</v>
      </c>
      <c r="N2443" s="15" t="s">
        <v>64</v>
      </c>
      <c r="O2443" s="15" t="s">
        <v>72</v>
      </c>
      <c r="P2443" s="20" t="s">
        <v>1322</v>
      </c>
      <c r="Q2443" s="15" t="s">
        <v>83</v>
      </c>
      <c r="R2443" s="4"/>
      <c r="S2443" s="4"/>
    </row>
    <row r="2444" spans="1:19" ht="21" customHeight="1" x14ac:dyDescent="0.25">
      <c r="A2444" s="14">
        <f>DATE(2012,12,31)-172</f>
        <v>41102</v>
      </c>
      <c r="B2444" s="15" t="s">
        <v>506</v>
      </c>
      <c r="C2444" s="15" t="s">
        <v>31</v>
      </c>
      <c r="D2444" s="16">
        <v>45</v>
      </c>
      <c r="E2444" s="17">
        <v>311.64999999999998</v>
      </c>
      <c r="F2444" s="16">
        <v>0.03</v>
      </c>
      <c r="G2444" s="15" t="s">
        <v>32</v>
      </c>
      <c r="H2444" s="18">
        <v>-71.254000000000005</v>
      </c>
      <c r="I2444" s="19">
        <v>6.81</v>
      </c>
      <c r="J2444" s="19">
        <v>5.48</v>
      </c>
      <c r="K2444" s="19" t="s">
        <v>44</v>
      </c>
      <c r="L2444" s="19" t="s">
        <v>120</v>
      </c>
      <c r="M2444" s="15" t="s">
        <v>121</v>
      </c>
      <c r="N2444" s="15" t="s">
        <v>36</v>
      </c>
      <c r="O2444" s="15" t="s">
        <v>170</v>
      </c>
      <c r="P2444" s="20" t="s">
        <v>1533</v>
      </c>
      <c r="Q2444" s="15" t="s">
        <v>83</v>
      </c>
      <c r="R2444" s="4"/>
      <c r="S2444" s="4"/>
    </row>
    <row r="2445" spans="1:19" ht="21" customHeight="1" x14ac:dyDescent="0.25">
      <c r="A2445" s="14">
        <f>DATE(2012,12,31)-172</f>
        <v>41102</v>
      </c>
      <c r="B2445" s="15" t="s">
        <v>506</v>
      </c>
      <c r="C2445" s="15" t="s">
        <v>31</v>
      </c>
      <c r="D2445" s="16">
        <v>28</v>
      </c>
      <c r="E2445" s="17">
        <v>101.19</v>
      </c>
      <c r="F2445" s="16">
        <v>0.06</v>
      </c>
      <c r="G2445" s="15" t="s">
        <v>32</v>
      </c>
      <c r="H2445" s="18">
        <v>32.47</v>
      </c>
      <c r="I2445" s="19">
        <v>3.78</v>
      </c>
      <c r="J2445" s="19">
        <v>0.71</v>
      </c>
      <c r="K2445" s="19" t="s">
        <v>33</v>
      </c>
      <c r="L2445" s="19" t="s">
        <v>128</v>
      </c>
      <c r="M2445" s="15" t="s">
        <v>129</v>
      </c>
      <c r="N2445" s="15" t="s">
        <v>36</v>
      </c>
      <c r="O2445" s="15" t="s">
        <v>105</v>
      </c>
      <c r="P2445" s="20" t="s">
        <v>693</v>
      </c>
      <c r="Q2445" s="15" t="s">
        <v>79</v>
      </c>
      <c r="R2445" s="4"/>
      <c r="S2445" s="4"/>
    </row>
    <row r="2446" spans="1:19" ht="21" customHeight="1" x14ac:dyDescent="0.25">
      <c r="A2446" s="14">
        <f>DATE(2012,12,31)-1202</f>
        <v>40072</v>
      </c>
      <c r="B2446" s="15" t="s">
        <v>481</v>
      </c>
      <c r="C2446" s="15" t="s">
        <v>31</v>
      </c>
      <c r="D2446" s="16">
        <v>27</v>
      </c>
      <c r="E2446" s="17">
        <v>644.4</v>
      </c>
      <c r="F2446" s="16">
        <v>0.04</v>
      </c>
      <c r="G2446" s="15" t="s">
        <v>32</v>
      </c>
      <c r="H2446" s="18">
        <v>-97.28</v>
      </c>
      <c r="I2446" s="19">
        <v>22.84</v>
      </c>
      <c r="J2446" s="19">
        <v>16.87</v>
      </c>
      <c r="K2446" s="19" t="s">
        <v>124</v>
      </c>
      <c r="L2446" s="19" t="s">
        <v>160</v>
      </c>
      <c r="M2446" s="15" t="s">
        <v>1621</v>
      </c>
      <c r="N2446" s="15" t="s">
        <v>36</v>
      </c>
      <c r="O2446" s="15" t="s">
        <v>117</v>
      </c>
      <c r="P2446" s="20" t="s">
        <v>1848</v>
      </c>
      <c r="Q2446" s="15" t="s">
        <v>83</v>
      </c>
      <c r="R2446" s="4"/>
      <c r="S2446" s="4"/>
    </row>
    <row r="2447" spans="1:19" ht="21" customHeight="1" x14ac:dyDescent="0.25">
      <c r="A2447" s="14">
        <f>DATE(2012,12,31)-473</f>
        <v>40801</v>
      </c>
      <c r="B2447" s="15" t="s">
        <v>1077</v>
      </c>
      <c r="C2447" s="15" t="s">
        <v>43</v>
      </c>
      <c r="D2447" s="16">
        <v>36</v>
      </c>
      <c r="E2447" s="17">
        <v>79.02</v>
      </c>
      <c r="F2447" s="16">
        <v>0.08</v>
      </c>
      <c r="G2447" s="15" t="s">
        <v>32</v>
      </c>
      <c r="H2447" s="18">
        <v>-192.6825</v>
      </c>
      <c r="I2447" s="19">
        <v>2.16</v>
      </c>
      <c r="J2447" s="19">
        <v>6.05</v>
      </c>
      <c r="K2447" s="19" t="s">
        <v>124</v>
      </c>
      <c r="L2447" s="19" t="s">
        <v>160</v>
      </c>
      <c r="M2447" s="15" t="s">
        <v>1621</v>
      </c>
      <c r="N2447" s="15" t="s">
        <v>36</v>
      </c>
      <c r="O2447" s="15" t="s">
        <v>170</v>
      </c>
      <c r="P2447" s="20" t="s">
        <v>475</v>
      </c>
      <c r="Q2447" s="15" t="s">
        <v>83</v>
      </c>
      <c r="R2447" s="4"/>
      <c r="S2447" s="4"/>
    </row>
    <row r="2448" spans="1:19" ht="21" customHeight="1" x14ac:dyDescent="0.25">
      <c r="A2448" s="14">
        <f>DATE(2012,12,31)-1370</f>
        <v>39904</v>
      </c>
      <c r="B2448" s="15" t="s">
        <v>1637</v>
      </c>
      <c r="C2448" s="15" t="s">
        <v>85</v>
      </c>
      <c r="D2448" s="16">
        <v>1</v>
      </c>
      <c r="E2448" s="17">
        <v>17.62</v>
      </c>
      <c r="F2448" s="16">
        <v>0.06</v>
      </c>
      <c r="G2448" s="15" t="s">
        <v>32</v>
      </c>
      <c r="H2448" s="18">
        <v>-15.92</v>
      </c>
      <c r="I2448" s="19">
        <v>11.33</v>
      </c>
      <c r="J2448" s="19">
        <v>6.12</v>
      </c>
      <c r="K2448" s="19" t="s">
        <v>124</v>
      </c>
      <c r="L2448" s="19" t="s">
        <v>160</v>
      </c>
      <c r="M2448" s="15" t="s">
        <v>1621</v>
      </c>
      <c r="N2448" s="15" t="s">
        <v>36</v>
      </c>
      <c r="O2448" s="15" t="s">
        <v>176</v>
      </c>
      <c r="P2448" s="20" t="s">
        <v>1042</v>
      </c>
      <c r="Q2448" s="15" t="s">
        <v>57</v>
      </c>
      <c r="R2448" s="4"/>
      <c r="S2448" s="4"/>
    </row>
    <row r="2449" spans="1:19" ht="21" customHeight="1" x14ac:dyDescent="0.25">
      <c r="A2449" s="14">
        <f>DATE(2012,12,31)-174</f>
        <v>41100</v>
      </c>
      <c r="B2449" s="15" t="s">
        <v>1658</v>
      </c>
      <c r="C2449" s="15" t="s">
        <v>31</v>
      </c>
      <c r="D2449" s="16">
        <v>10</v>
      </c>
      <c r="E2449" s="17">
        <v>1077.28</v>
      </c>
      <c r="F2449" s="16">
        <v>0</v>
      </c>
      <c r="G2449" s="15" t="s">
        <v>58</v>
      </c>
      <c r="H2449" s="18">
        <v>-486.12</v>
      </c>
      <c r="I2449" s="19">
        <v>100.98</v>
      </c>
      <c r="J2449" s="19">
        <v>57.38</v>
      </c>
      <c r="K2449" s="19" t="s">
        <v>33</v>
      </c>
      <c r="L2449" s="19" t="s">
        <v>59</v>
      </c>
      <c r="M2449" s="15" t="s">
        <v>1361</v>
      </c>
      <c r="N2449" s="15" t="s">
        <v>54</v>
      </c>
      <c r="O2449" s="15" t="s">
        <v>134</v>
      </c>
      <c r="P2449" s="20" t="s">
        <v>624</v>
      </c>
      <c r="Q2449" s="15" t="s">
        <v>63</v>
      </c>
      <c r="R2449" s="4"/>
      <c r="S2449" s="4"/>
    </row>
    <row r="2450" spans="1:19" ht="21" customHeight="1" x14ac:dyDescent="0.25">
      <c r="A2450" s="14">
        <f>DATE(2012,12,31)-174</f>
        <v>41100</v>
      </c>
      <c r="B2450" s="15" t="s">
        <v>1658</v>
      </c>
      <c r="C2450" s="15" t="s">
        <v>31</v>
      </c>
      <c r="D2450" s="16">
        <v>16</v>
      </c>
      <c r="E2450" s="17">
        <v>61.52</v>
      </c>
      <c r="F2450" s="16">
        <v>0.02</v>
      </c>
      <c r="G2450" s="15" t="s">
        <v>32</v>
      </c>
      <c r="H2450" s="18">
        <v>-8.89</v>
      </c>
      <c r="I2450" s="19">
        <v>3.69</v>
      </c>
      <c r="J2450" s="19">
        <v>2.5</v>
      </c>
      <c r="K2450" s="19" t="s">
        <v>69</v>
      </c>
      <c r="L2450" s="19" t="s">
        <v>215</v>
      </c>
      <c r="M2450" s="15" t="s">
        <v>1704</v>
      </c>
      <c r="N2450" s="15" t="s">
        <v>36</v>
      </c>
      <c r="O2450" s="15" t="s">
        <v>189</v>
      </c>
      <c r="P2450" s="20" t="s">
        <v>1871</v>
      </c>
      <c r="Q2450" s="15" t="s">
        <v>83</v>
      </c>
      <c r="R2450" s="4"/>
      <c r="S2450" s="4"/>
    </row>
    <row r="2451" spans="1:19" ht="21" customHeight="1" x14ac:dyDescent="0.25">
      <c r="A2451" s="14">
        <f>DATE(2012,12,31)-102</f>
        <v>41172</v>
      </c>
      <c r="B2451" s="15" t="s">
        <v>1282</v>
      </c>
      <c r="C2451" s="15" t="s">
        <v>85</v>
      </c>
      <c r="D2451" s="16">
        <v>8</v>
      </c>
      <c r="E2451" s="17">
        <v>149.51</v>
      </c>
      <c r="F2451" s="16">
        <v>0.02</v>
      </c>
      <c r="G2451" s="15" t="s">
        <v>32</v>
      </c>
      <c r="H2451" s="18">
        <v>-31.11</v>
      </c>
      <c r="I2451" s="19">
        <v>16.98</v>
      </c>
      <c r="J2451" s="19">
        <v>12.39</v>
      </c>
      <c r="K2451" s="19" t="s">
        <v>124</v>
      </c>
      <c r="L2451" s="19" t="s">
        <v>125</v>
      </c>
      <c r="M2451" s="15" t="s">
        <v>1829</v>
      </c>
      <c r="N2451" s="15" t="s">
        <v>54</v>
      </c>
      <c r="O2451" s="15" t="s">
        <v>55</v>
      </c>
      <c r="P2451" s="20" t="s">
        <v>1366</v>
      </c>
      <c r="Q2451" s="15" t="s">
        <v>39</v>
      </c>
      <c r="R2451" s="4"/>
      <c r="S2451" s="4"/>
    </row>
    <row r="2452" spans="1:19" ht="21" customHeight="1" x14ac:dyDescent="0.25">
      <c r="A2452" s="14">
        <f>DATE(2012,12,31)-1083</f>
        <v>40191</v>
      </c>
      <c r="B2452" s="15" t="s">
        <v>1826</v>
      </c>
      <c r="C2452" s="15" t="s">
        <v>43</v>
      </c>
      <c r="D2452" s="16">
        <v>26</v>
      </c>
      <c r="E2452" s="17">
        <v>981.9</v>
      </c>
      <c r="F2452" s="16">
        <v>0.06</v>
      </c>
      <c r="G2452" s="15" t="s">
        <v>32</v>
      </c>
      <c r="H2452" s="18">
        <v>11.38</v>
      </c>
      <c r="I2452" s="19">
        <v>37.76</v>
      </c>
      <c r="J2452" s="19">
        <v>12.9</v>
      </c>
      <c r="K2452" s="19" t="s">
        <v>97</v>
      </c>
      <c r="L2452" s="19" t="s">
        <v>132</v>
      </c>
      <c r="M2452" s="15" t="s">
        <v>133</v>
      </c>
      <c r="N2452" s="15" t="s">
        <v>36</v>
      </c>
      <c r="O2452" s="15" t="s">
        <v>37</v>
      </c>
      <c r="P2452" s="20" t="s">
        <v>1427</v>
      </c>
      <c r="Q2452" s="15" t="s">
        <v>83</v>
      </c>
      <c r="R2452" s="4"/>
      <c r="S2452" s="4"/>
    </row>
    <row r="2453" spans="1:19" ht="21" customHeight="1" x14ac:dyDescent="0.25">
      <c r="A2453" s="14">
        <f>DATE(2012,12,31)-184</f>
        <v>41090</v>
      </c>
      <c r="B2453" s="15" t="s">
        <v>1872</v>
      </c>
      <c r="C2453" s="15" t="s">
        <v>51</v>
      </c>
      <c r="D2453" s="16">
        <v>18</v>
      </c>
      <c r="E2453" s="17">
        <v>78.930000000000007</v>
      </c>
      <c r="F2453" s="16">
        <v>0.04</v>
      </c>
      <c r="G2453" s="15" t="s">
        <v>32</v>
      </c>
      <c r="H2453" s="18">
        <v>-88.607500000000002</v>
      </c>
      <c r="I2453" s="19">
        <v>3.89</v>
      </c>
      <c r="J2453" s="19">
        <v>7.01</v>
      </c>
      <c r="K2453" s="19" t="s">
        <v>97</v>
      </c>
      <c r="L2453" s="19" t="s">
        <v>98</v>
      </c>
      <c r="M2453" s="15" t="s">
        <v>1162</v>
      </c>
      <c r="N2453" s="15" t="s">
        <v>36</v>
      </c>
      <c r="O2453" s="15" t="s">
        <v>170</v>
      </c>
      <c r="P2453" s="20" t="s">
        <v>711</v>
      </c>
      <c r="Q2453" s="15" t="s">
        <v>83</v>
      </c>
      <c r="R2453" s="4"/>
      <c r="S2453" s="4"/>
    </row>
    <row r="2454" spans="1:19" ht="21" customHeight="1" x14ac:dyDescent="0.25">
      <c r="A2454" s="14">
        <f>DATE(2012,12,31)-67</f>
        <v>41207</v>
      </c>
      <c r="B2454" s="15" t="s">
        <v>1163</v>
      </c>
      <c r="C2454" s="15" t="s">
        <v>85</v>
      </c>
      <c r="D2454" s="16">
        <v>34</v>
      </c>
      <c r="E2454" s="17">
        <v>239.3</v>
      </c>
      <c r="F2454" s="16">
        <v>0.06</v>
      </c>
      <c r="G2454" s="15" t="s">
        <v>32</v>
      </c>
      <c r="H2454" s="18">
        <v>41.31</v>
      </c>
      <c r="I2454" s="19">
        <v>6.98</v>
      </c>
      <c r="J2454" s="19">
        <v>2.83</v>
      </c>
      <c r="K2454" s="19" t="s">
        <v>97</v>
      </c>
      <c r="L2454" s="19" t="s">
        <v>283</v>
      </c>
      <c r="M2454" s="15" t="s">
        <v>1471</v>
      </c>
      <c r="N2454" s="15" t="s">
        <v>54</v>
      </c>
      <c r="O2454" s="15" t="s">
        <v>55</v>
      </c>
      <c r="P2454" s="20" t="s">
        <v>1873</v>
      </c>
      <c r="Q2454" s="15" t="s">
        <v>49</v>
      </c>
      <c r="R2454" s="4"/>
      <c r="S2454" s="4"/>
    </row>
    <row r="2455" spans="1:19" ht="21" customHeight="1" x14ac:dyDescent="0.25">
      <c r="A2455" s="14">
        <f>DATE(2012,12,31)-67</f>
        <v>41207</v>
      </c>
      <c r="B2455" s="15" t="s">
        <v>1163</v>
      </c>
      <c r="C2455" s="15" t="s">
        <v>85</v>
      </c>
      <c r="D2455" s="16">
        <v>38</v>
      </c>
      <c r="E2455" s="17">
        <v>260.41000000000003</v>
      </c>
      <c r="F2455" s="16">
        <v>0</v>
      </c>
      <c r="G2455" s="15" t="s">
        <v>101</v>
      </c>
      <c r="H2455" s="18">
        <v>-45.75</v>
      </c>
      <c r="I2455" s="19">
        <v>5.98</v>
      </c>
      <c r="J2455" s="19">
        <v>5.35</v>
      </c>
      <c r="K2455" s="19" t="s">
        <v>124</v>
      </c>
      <c r="L2455" s="19" t="s">
        <v>493</v>
      </c>
      <c r="M2455" s="15" t="s">
        <v>1810</v>
      </c>
      <c r="N2455" s="15" t="s">
        <v>36</v>
      </c>
      <c r="O2455" s="15" t="s">
        <v>117</v>
      </c>
      <c r="P2455" s="20" t="s">
        <v>933</v>
      </c>
      <c r="Q2455" s="15" t="s">
        <v>83</v>
      </c>
      <c r="R2455" s="4"/>
      <c r="S2455" s="4"/>
    </row>
    <row r="2456" spans="1:19" ht="21" customHeight="1" x14ac:dyDescent="0.25">
      <c r="A2456" s="14">
        <f>DATE(2012,12,31)-828</f>
        <v>40446</v>
      </c>
      <c r="B2456" s="15" t="s">
        <v>1874</v>
      </c>
      <c r="C2456" s="15" t="s">
        <v>85</v>
      </c>
      <c r="D2456" s="16">
        <v>21</v>
      </c>
      <c r="E2456" s="17">
        <v>187.14</v>
      </c>
      <c r="F2456" s="16">
        <v>0.02</v>
      </c>
      <c r="G2456" s="15" t="s">
        <v>32</v>
      </c>
      <c r="H2456" s="18">
        <v>21.07</v>
      </c>
      <c r="I2456" s="19">
        <v>8.33</v>
      </c>
      <c r="J2456" s="19">
        <v>1.99</v>
      </c>
      <c r="K2456" s="19" t="s">
        <v>124</v>
      </c>
      <c r="L2456" s="19" t="s">
        <v>125</v>
      </c>
      <c r="M2456" s="15" t="s">
        <v>1829</v>
      </c>
      <c r="N2456" s="15" t="s">
        <v>64</v>
      </c>
      <c r="O2456" s="15" t="s">
        <v>72</v>
      </c>
      <c r="P2456" s="20" t="s">
        <v>966</v>
      </c>
      <c r="Q2456" s="15" t="s">
        <v>49</v>
      </c>
      <c r="R2456" s="4"/>
      <c r="S2456" s="4"/>
    </row>
    <row r="2457" spans="1:19" ht="21" customHeight="1" x14ac:dyDescent="0.25">
      <c r="A2457" s="14">
        <f>DATE(2012,12,31)-828</f>
        <v>40446</v>
      </c>
      <c r="B2457" s="15" t="s">
        <v>1874</v>
      </c>
      <c r="C2457" s="15" t="s">
        <v>85</v>
      </c>
      <c r="D2457" s="16">
        <v>12</v>
      </c>
      <c r="E2457" s="17">
        <v>385.7</v>
      </c>
      <c r="F2457" s="16">
        <v>0</v>
      </c>
      <c r="G2457" s="15" t="s">
        <v>32</v>
      </c>
      <c r="H2457" s="18">
        <v>-109.91</v>
      </c>
      <c r="I2457" s="19">
        <v>30.98</v>
      </c>
      <c r="J2457" s="19">
        <v>6.5</v>
      </c>
      <c r="K2457" s="19" t="s">
        <v>44</v>
      </c>
      <c r="L2457" s="19" t="s">
        <v>52</v>
      </c>
      <c r="M2457" s="15" t="s">
        <v>1685</v>
      </c>
      <c r="N2457" s="15" t="s">
        <v>64</v>
      </c>
      <c r="O2457" s="15" t="s">
        <v>72</v>
      </c>
      <c r="P2457" s="20" t="s">
        <v>1346</v>
      </c>
      <c r="Q2457" s="15" t="s">
        <v>83</v>
      </c>
      <c r="R2457" s="4"/>
      <c r="S2457" s="4"/>
    </row>
    <row r="2458" spans="1:19" ht="21" customHeight="1" x14ac:dyDescent="0.25">
      <c r="A2458" s="14">
        <f>DATE(2012,12,31)-828</f>
        <v>40446</v>
      </c>
      <c r="B2458" s="15" t="s">
        <v>1874</v>
      </c>
      <c r="C2458" s="15" t="s">
        <v>85</v>
      </c>
      <c r="D2458" s="16">
        <v>46</v>
      </c>
      <c r="E2458" s="17">
        <v>1048.3900000000001</v>
      </c>
      <c r="F2458" s="16">
        <v>0.06</v>
      </c>
      <c r="G2458" s="15" t="s">
        <v>101</v>
      </c>
      <c r="H2458" s="18">
        <v>206.56</v>
      </c>
      <c r="I2458" s="19">
        <v>22.98</v>
      </c>
      <c r="J2458" s="19">
        <v>7.58</v>
      </c>
      <c r="K2458" s="19" t="s">
        <v>33</v>
      </c>
      <c r="L2458" s="19" t="s">
        <v>59</v>
      </c>
      <c r="M2458" s="15" t="s">
        <v>1361</v>
      </c>
      <c r="N2458" s="15" t="s">
        <v>54</v>
      </c>
      <c r="O2458" s="15" t="s">
        <v>55</v>
      </c>
      <c r="P2458" s="20" t="s">
        <v>579</v>
      </c>
      <c r="Q2458" s="15" t="s">
        <v>83</v>
      </c>
      <c r="R2458" s="4"/>
      <c r="S2458" s="4"/>
    </row>
    <row r="2459" spans="1:19" ht="21" customHeight="1" x14ac:dyDescent="0.25">
      <c r="A2459" s="14">
        <f>DATE(2012,12,31)-950</f>
        <v>40324</v>
      </c>
      <c r="B2459" s="15" t="s">
        <v>595</v>
      </c>
      <c r="C2459" s="15" t="s">
        <v>85</v>
      </c>
      <c r="D2459" s="16">
        <v>7</v>
      </c>
      <c r="E2459" s="17">
        <v>182.89</v>
      </c>
      <c r="F2459" s="16">
        <v>7.0000000000000007E-2</v>
      </c>
      <c r="G2459" s="15" t="s">
        <v>32</v>
      </c>
      <c r="H2459" s="18">
        <v>-99.3</v>
      </c>
      <c r="I2459" s="19">
        <v>27.48</v>
      </c>
      <c r="J2459" s="19">
        <v>4</v>
      </c>
      <c r="K2459" s="19" t="s">
        <v>44</v>
      </c>
      <c r="L2459" s="19" t="s">
        <v>120</v>
      </c>
      <c r="M2459" s="15" t="s">
        <v>121</v>
      </c>
      <c r="N2459" s="15" t="s">
        <v>64</v>
      </c>
      <c r="O2459" s="15" t="s">
        <v>72</v>
      </c>
      <c r="P2459" s="20" t="s">
        <v>1322</v>
      </c>
      <c r="Q2459" s="15" t="s">
        <v>83</v>
      </c>
      <c r="R2459" s="4"/>
      <c r="S2459" s="4"/>
    </row>
    <row r="2460" spans="1:19" ht="21" customHeight="1" x14ac:dyDescent="0.25">
      <c r="A2460" s="14">
        <f>DATE(2012,12,31)-635</f>
        <v>40639</v>
      </c>
      <c r="B2460" s="15" t="s">
        <v>1467</v>
      </c>
      <c r="C2460" s="15" t="s">
        <v>85</v>
      </c>
      <c r="D2460" s="16">
        <v>16</v>
      </c>
      <c r="E2460" s="17">
        <v>139</v>
      </c>
      <c r="F2460" s="16">
        <v>0.05</v>
      </c>
      <c r="G2460" s="15" t="s">
        <v>101</v>
      </c>
      <c r="H2460" s="18">
        <v>-96.33</v>
      </c>
      <c r="I2460" s="19">
        <v>7.77</v>
      </c>
      <c r="J2460" s="19">
        <v>9.23</v>
      </c>
      <c r="K2460" s="19" t="s">
        <v>33</v>
      </c>
      <c r="L2460" s="19" t="s">
        <v>93</v>
      </c>
      <c r="M2460" s="15" t="s">
        <v>94</v>
      </c>
      <c r="N2460" s="15" t="s">
        <v>36</v>
      </c>
      <c r="O2460" s="15" t="s">
        <v>176</v>
      </c>
      <c r="P2460" s="20" t="s">
        <v>1365</v>
      </c>
      <c r="Q2460" s="15" t="s">
        <v>83</v>
      </c>
      <c r="R2460" s="4"/>
      <c r="S2460" s="4"/>
    </row>
    <row r="2461" spans="1:19" ht="21" customHeight="1" x14ac:dyDescent="0.25">
      <c r="A2461" s="14">
        <f>DATE(2012,12,31)-238</f>
        <v>41036</v>
      </c>
      <c r="B2461" s="15" t="s">
        <v>785</v>
      </c>
      <c r="C2461" s="15" t="s">
        <v>43</v>
      </c>
      <c r="D2461" s="16">
        <v>1</v>
      </c>
      <c r="E2461" s="17">
        <v>28.73</v>
      </c>
      <c r="F2461" s="16">
        <v>0</v>
      </c>
      <c r="G2461" s="15" t="s">
        <v>32</v>
      </c>
      <c r="H2461" s="18">
        <v>-57.04</v>
      </c>
      <c r="I2461" s="19">
        <v>20.97</v>
      </c>
      <c r="J2461" s="19">
        <v>6.5</v>
      </c>
      <c r="K2461" s="19" t="s">
        <v>124</v>
      </c>
      <c r="L2461" s="19" t="s">
        <v>160</v>
      </c>
      <c r="M2461" s="15" t="s">
        <v>1621</v>
      </c>
      <c r="N2461" s="15" t="s">
        <v>64</v>
      </c>
      <c r="O2461" s="15" t="s">
        <v>72</v>
      </c>
      <c r="P2461" s="20" t="s">
        <v>393</v>
      </c>
      <c r="Q2461" s="15" t="s">
        <v>83</v>
      </c>
      <c r="R2461" s="4"/>
      <c r="S2461" s="4"/>
    </row>
    <row r="2462" spans="1:19" ht="21" customHeight="1" x14ac:dyDescent="0.25">
      <c r="A2462" s="14">
        <f>DATE(2012,12,31)-238</f>
        <v>41036</v>
      </c>
      <c r="B2462" s="15" t="s">
        <v>785</v>
      </c>
      <c r="C2462" s="15" t="s">
        <v>43</v>
      </c>
      <c r="D2462" s="16">
        <v>31</v>
      </c>
      <c r="E2462" s="17">
        <v>67.88</v>
      </c>
      <c r="F2462" s="16">
        <v>0.08</v>
      </c>
      <c r="G2462" s="15" t="s">
        <v>101</v>
      </c>
      <c r="H2462" s="18">
        <v>4.87</v>
      </c>
      <c r="I2462" s="19">
        <v>2.1</v>
      </c>
      <c r="J2462" s="19">
        <v>0.7</v>
      </c>
      <c r="K2462" s="19" t="s">
        <v>33</v>
      </c>
      <c r="L2462" s="19" t="s">
        <v>145</v>
      </c>
      <c r="M2462" s="15" t="s">
        <v>1761</v>
      </c>
      <c r="N2462" s="15" t="s">
        <v>36</v>
      </c>
      <c r="O2462" s="15" t="s">
        <v>77</v>
      </c>
      <c r="P2462" s="20" t="s">
        <v>1849</v>
      </c>
      <c r="Q2462" s="15" t="s">
        <v>79</v>
      </c>
      <c r="R2462" s="4"/>
      <c r="S2462" s="4"/>
    </row>
    <row r="2463" spans="1:19" ht="21" customHeight="1" x14ac:dyDescent="0.25">
      <c r="A2463" s="14">
        <f>DATE(2012,12,31)-493</f>
        <v>40781</v>
      </c>
      <c r="B2463" s="15" t="s">
        <v>772</v>
      </c>
      <c r="C2463" s="15" t="s">
        <v>85</v>
      </c>
      <c r="D2463" s="16">
        <v>42</v>
      </c>
      <c r="E2463" s="17">
        <v>2507.48</v>
      </c>
      <c r="F2463" s="16">
        <v>0.04</v>
      </c>
      <c r="G2463" s="15" t="s">
        <v>32</v>
      </c>
      <c r="H2463" s="18">
        <v>762.53</v>
      </c>
      <c r="I2463" s="19">
        <v>60.97</v>
      </c>
      <c r="J2463" s="19">
        <v>4.5</v>
      </c>
      <c r="K2463" s="19" t="s">
        <v>33</v>
      </c>
      <c r="L2463" s="19" t="s">
        <v>145</v>
      </c>
      <c r="M2463" s="15" t="s">
        <v>1761</v>
      </c>
      <c r="N2463" s="15" t="s">
        <v>36</v>
      </c>
      <c r="O2463" s="15" t="s">
        <v>176</v>
      </c>
      <c r="P2463" s="20" t="s">
        <v>571</v>
      </c>
      <c r="Q2463" s="15" t="s">
        <v>83</v>
      </c>
      <c r="R2463" s="4"/>
      <c r="S2463" s="4"/>
    </row>
    <row r="2464" spans="1:19" ht="21" customHeight="1" x14ac:dyDescent="0.25">
      <c r="A2464" s="14">
        <f>DATE(2012,12,31)-417</f>
        <v>40857</v>
      </c>
      <c r="B2464" s="15" t="s">
        <v>1458</v>
      </c>
      <c r="C2464" s="15" t="s">
        <v>85</v>
      </c>
      <c r="D2464" s="16">
        <v>37</v>
      </c>
      <c r="E2464" s="17">
        <v>608.33000000000004</v>
      </c>
      <c r="F2464" s="16">
        <v>0.02</v>
      </c>
      <c r="G2464" s="15" t="s">
        <v>32</v>
      </c>
      <c r="H2464" s="18">
        <v>-70.040000000000006</v>
      </c>
      <c r="I2464" s="19">
        <v>15.31</v>
      </c>
      <c r="J2464" s="19">
        <v>8.7799999999999994</v>
      </c>
      <c r="K2464" s="19" t="s">
        <v>33</v>
      </c>
      <c r="L2464" s="19" t="s">
        <v>145</v>
      </c>
      <c r="M2464" s="15" t="s">
        <v>1761</v>
      </c>
      <c r="N2464" s="15" t="s">
        <v>36</v>
      </c>
      <c r="O2464" s="15" t="s">
        <v>37</v>
      </c>
      <c r="P2464" s="20" t="s">
        <v>1079</v>
      </c>
      <c r="Q2464" s="15" t="s">
        <v>83</v>
      </c>
      <c r="R2464" s="4"/>
      <c r="S2464" s="4"/>
    </row>
    <row r="2465" spans="1:19" ht="21" customHeight="1" x14ac:dyDescent="0.25">
      <c r="A2465" s="14">
        <f>DATE(2012,12,31)-1240</f>
        <v>40034</v>
      </c>
      <c r="B2465" s="15" t="s">
        <v>435</v>
      </c>
      <c r="C2465" s="15" t="s">
        <v>85</v>
      </c>
      <c r="D2465" s="16">
        <v>42</v>
      </c>
      <c r="E2465" s="17">
        <v>865.21</v>
      </c>
      <c r="F2465" s="16">
        <v>7.0000000000000007E-2</v>
      </c>
      <c r="G2465" s="15" t="s">
        <v>32</v>
      </c>
      <c r="H2465" s="18">
        <v>-42.1</v>
      </c>
      <c r="I2465" s="19">
        <v>20.95</v>
      </c>
      <c r="J2465" s="19">
        <v>5.99</v>
      </c>
      <c r="K2465" s="19" t="s">
        <v>33</v>
      </c>
      <c r="L2465" s="19" t="s">
        <v>34</v>
      </c>
      <c r="M2465" s="15" t="s">
        <v>1716</v>
      </c>
      <c r="N2465" s="15" t="s">
        <v>64</v>
      </c>
      <c r="O2465" s="15" t="s">
        <v>72</v>
      </c>
      <c r="P2465" s="20" t="s">
        <v>1259</v>
      </c>
      <c r="Q2465" s="15" t="s">
        <v>83</v>
      </c>
      <c r="R2465" s="4"/>
      <c r="S2465" s="4"/>
    </row>
    <row r="2466" spans="1:19" ht="21" customHeight="1" x14ac:dyDescent="0.25">
      <c r="A2466" s="14">
        <f>DATE(2012,12,31)-812</f>
        <v>40462</v>
      </c>
      <c r="B2466" s="15" t="s">
        <v>1612</v>
      </c>
      <c r="C2466" s="15" t="s">
        <v>85</v>
      </c>
      <c r="D2466" s="16">
        <v>28</v>
      </c>
      <c r="E2466" s="17">
        <v>430.13</v>
      </c>
      <c r="F2466" s="16">
        <v>0.02</v>
      </c>
      <c r="G2466" s="15" t="s">
        <v>32</v>
      </c>
      <c r="H2466" s="18">
        <v>2.33</v>
      </c>
      <c r="I2466" s="19">
        <v>14.42</v>
      </c>
      <c r="J2466" s="19">
        <v>6.75</v>
      </c>
      <c r="K2466" s="19" t="s">
        <v>33</v>
      </c>
      <c r="L2466" s="19" t="s">
        <v>59</v>
      </c>
      <c r="M2466" s="15" t="s">
        <v>1361</v>
      </c>
      <c r="N2466" s="15" t="s">
        <v>36</v>
      </c>
      <c r="O2466" s="15" t="s">
        <v>176</v>
      </c>
      <c r="P2466" s="20" t="s">
        <v>411</v>
      </c>
      <c r="Q2466" s="15" t="s">
        <v>57</v>
      </c>
      <c r="R2466" s="4"/>
      <c r="S2466" s="4"/>
    </row>
    <row r="2467" spans="1:19" ht="21" customHeight="1" x14ac:dyDescent="0.25">
      <c r="A2467" s="14">
        <f>DATE(2012,12,31)-133</f>
        <v>41141</v>
      </c>
      <c r="B2467" s="15" t="s">
        <v>1637</v>
      </c>
      <c r="C2467" s="15" t="s">
        <v>51</v>
      </c>
      <c r="D2467" s="16">
        <v>30</v>
      </c>
      <c r="E2467" s="17">
        <v>975.12</v>
      </c>
      <c r="F2467" s="16">
        <v>0.03</v>
      </c>
      <c r="G2467" s="15" t="s">
        <v>32</v>
      </c>
      <c r="H2467" s="18">
        <v>-6.72</v>
      </c>
      <c r="I2467" s="19">
        <v>30.98</v>
      </c>
      <c r="J2467" s="19">
        <v>19.510000000000002</v>
      </c>
      <c r="K2467" s="19" t="s">
        <v>33</v>
      </c>
      <c r="L2467" s="19" t="s">
        <v>59</v>
      </c>
      <c r="M2467" s="15" t="s">
        <v>1361</v>
      </c>
      <c r="N2467" s="15" t="s">
        <v>36</v>
      </c>
      <c r="O2467" s="15" t="s">
        <v>189</v>
      </c>
      <c r="P2467" s="20" t="s">
        <v>1315</v>
      </c>
      <c r="Q2467" s="15" t="s">
        <v>83</v>
      </c>
      <c r="R2467" s="4"/>
      <c r="S2467" s="4"/>
    </row>
    <row r="2468" spans="1:19" ht="21" customHeight="1" x14ac:dyDescent="0.25">
      <c r="A2468" s="14">
        <f>DATE(2012,12,31)-133</f>
        <v>41141</v>
      </c>
      <c r="B2468" s="15" t="s">
        <v>1637</v>
      </c>
      <c r="C2468" s="15" t="s">
        <v>51</v>
      </c>
      <c r="D2468" s="16">
        <v>21</v>
      </c>
      <c r="E2468" s="17">
        <v>1490.56</v>
      </c>
      <c r="F2468" s="16">
        <v>0.01</v>
      </c>
      <c r="G2468" s="15" t="s">
        <v>58</v>
      </c>
      <c r="H2468" s="18">
        <v>-499.51</v>
      </c>
      <c r="I2468" s="19">
        <v>68.81</v>
      </c>
      <c r="J2468" s="19">
        <v>60</v>
      </c>
      <c r="K2468" s="19" t="s">
        <v>33</v>
      </c>
      <c r="L2468" s="19" t="s">
        <v>59</v>
      </c>
      <c r="M2468" s="15" t="s">
        <v>1361</v>
      </c>
      <c r="N2468" s="15" t="s">
        <v>36</v>
      </c>
      <c r="O2468" s="15" t="s">
        <v>176</v>
      </c>
      <c r="P2468" s="20" t="s">
        <v>363</v>
      </c>
      <c r="Q2468" s="15" t="s">
        <v>181</v>
      </c>
      <c r="R2468" s="4"/>
      <c r="S2468" s="4"/>
    </row>
    <row r="2469" spans="1:19" ht="21" customHeight="1" x14ac:dyDescent="0.25">
      <c r="A2469" s="14">
        <f>DATE(2012,12,31)-133</f>
        <v>41141</v>
      </c>
      <c r="B2469" s="15" t="s">
        <v>1637</v>
      </c>
      <c r="C2469" s="15" t="s">
        <v>51</v>
      </c>
      <c r="D2469" s="16">
        <v>17</v>
      </c>
      <c r="E2469" s="17">
        <v>105.44</v>
      </c>
      <c r="F2469" s="16">
        <v>0</v>
      </c>
      <c r="G2469" s="15" t="s">
        <v>32</v>
      </c>
      <c r="H2469" s="18">
        <v>18.760000000000002</v>
      </c>
      <c r="I2469" s="19">
        <v>5.84</v>
      </c>
      <c r="J2469" s="19">
        <v>1.2</v>
      </c>
      <c r="K2469" s="19" t="s">
        <v>33</v>
      </c>
      <c r="L2469" s="19" t="s">
        <v>59</v>
      </c>
      <c r="M2469" s="15" t="s">
        <v>1361</v>
      </c>
      <c r="N2469" s="15" t="s">
        <v>36</v>
      </c>
      <c r="O2469" s="15" t="s">
        <v>77</v>
      </c>
      <c r="P2469" s="20" t="s">
        <v>1400</v>
      </c>
      <c r="Q2469" s="15" t="s">
        <v>79</v>
      </c>
      <c r="R2469" s="4"/>
      <c r="S2469" s="4"/>
    </row>
    <row r="2470" spans="1:19" ht="21" customHeight="1" x14ac:dyDescent="0.25">
      <c r="A2470" s="14">
        <f>DATE(2012,12,31)-879</f>
        <v>40395</v>
      </c>
      <c r="B2470" s="15" t="s">
        <v>373</v>
      </c>
      <c r="C2470" s="15" t="s">
        <v>85</v>
      </c>
      <c r="D2470" s="16">
        <v>40</v>
      </c>
      <c r="E2470" s="17">
        <v>1567.51</v>
      </c>
      <c r="F2470" s="16">
        <v>0.01</v>
      </c>
      <c r="G2470" s="15" t="s">
        <v>101</v>
      </c>
      <c r="H2470" s="18">
        <v>711.74</v>
      </c>
      <c r="I2470" s="19">
        <v>37.94</v>
      </c>
      <c r="J2470" s="19">
        <v>5.08</v>
      </c>
      <c r="K2470" s="19" t="s">
        <v>33</v>
      </c>
      <c r="L2470" s="19" t="s">
        <v>34</v>
      </c>
      <c r="M2470" s="15" t="s">
        <v>1716</v>
      </c>
      <c r="N2470" s="15" t="s">
        <v>36</v>
      </c>
      <c r="O2470" s="15" t="s">
        <v>117</v>
      </c>
      <c r="P2470" s="20" t="s">
        <v>902</v>
      </c>
      <c r="Q2470" s="15" t="s">
        <v>79</v>
      </c>
      <c r="R2470" s="4"/>
      <c r="S2470" s="4"/>
    </row>
    <row r="2471" spans="1:19" ht="21" customHeight="1" x14ac:dyDescent="0.25">
      <c r="A2471" s="14">
        <f>DATE(2012,12,31)-879</f>
        <v>40395</v>
      </c>
      <c r="B2471" s="15" t="s">
        <v>373</v>
      </c>
      <c r="C2471" s="15" t="s">
        <v>85</v>
      </c>
      <c r="D2471" s="16">
        <v>17</v>
      </c>
      <c r="E2471" s="17">
        <v>1914.65</v>
      </c>
      <c r="F2471" s="16">
        <v>0.01</v>
      </c>
      <c r="G2471" s="15" t="s">
        <v>32</v>
      </c>
      <c r="H2471" s="18">
        <v>73.45</v>
      </c>
      <c r="I2471" s="19">
        <v>111.03</v>
      </c>
      <c r="J2471" s="19">
        <v>8.64</v>
      </c>
      <c r="K2471" s="19" t="s">
        <v>33</v>
      </c>
      <c r="L2471" s="19" t="s">
        <v>145</v>
      </c>
      <c r="M2471" s="15" t="s">
        <v>1761</v>
      </c>
      <c r="N2471" s="15" t="s">
        <v>36</v>
      </c>
      <c r="O2471" s="15" t="s">
        <v>37</v>
      </c>
      <c r="P2471" s="20" t="s">
        <v>1561</v>
      </c>
      <c r="Q2471" s="15" t="s">
        <v>83</v>
      </c>
      <c r="R2471" s="4"/>
      <c r="S2471" s="4"/>
    </row>
    <row r="2472" spans="1:19" ht="21" customHeight="1" x14ac:dyDescent="0.25">
      <c r="A2472" s="14">
        <f>DATE(2012,12,31)-508</f>
        <v>40766</v>
      </c>
      <c r="B2472" s="15" t="s">
        <v>747</v>
      </c>
      <c r="C2472" s="15" t="s">
        <v>31</v>
      </c>
      <c r="D2472" s="16">
        <v>33</v>
      </c>
      <c r="E2472" s="17">
        <v>1053.74</v>
      </c>
      <c r="F2472" s="16">
        <v>7.0000000000000007E-2</v>
      </c>
      <c r="G2472" s="15" t="s">
        <v>32</v>
      </c>
      <c r="H2472" s="18">
        <v>359.53</v>
      </c>
      <c r="I2472" s="19">
        <v>32.479999999999997</v>
      </c>
      <c r="J2472" s="19">
        <v>7.09</v>
      </c>
      <c r="K2472" s="19" t="s">
        <v>69</v>
      </c>
      <c r="L2472" s="19" t="s">
        <v>75</v>
      </c>
      <c r="M2472" s="15" t="s">
        <v>1786</v>
      </c>
      <c r="N2472" s="15" t="s">
        <v>54</v>
      </c>
      <c r="O2472" s="15" t="s">
        <v>55</v>
      </c>
      <c r="P2472" s="20" t="s">
        <v>1875</v>
      </c>
      <c r="Q2472" s="15" t="s">
        <v>83</v>
      </c>
      <c r="R2472" s="4"/>
      <c r="S2472" s="4"/>
    </row>
    <row r="2473" spans="1:19" ht="21" customHeight="1" x14ac:dyDescent="0.25">
      <c r="A2473" s="14">
        <f>DATE(2012,12,31)-113</f>
        <v>41161</v>
      </c>
      <c r="B2473" s="15" t="s">
        <v>1318</v>
      </c>
      <c r="C2473" s="15" t="s">
        <v>85</v>
      </c>
      <c r="D2473" s="16">
        <v>28</v>
      </c>
      <c r="E2473" s="17">
        <v>1201.68</v>
      </c>
      <c r="F2473" s="16">
        <v>0.01</v>
      </c>
      <c r="G2473" s="15" t="s">
        <v>32</v>
      </c>
      <c r="H2473" s="18">
        <v>146.80000000000001</v>
      </c>
      <c r="I2473" s="19">
        <v>40.99</v>
      </c>
      <c r="J2473" s="19">
        <v>19.989999999999998</v>
      </c>
      <c r="K2473" s="19" t="s">
        <v>69</v>
      </c>
      <c r="L2473" s="19" t="s">
        <v>70</v>
      </c>
      <c r="M2473" s="15" t="s">
        <v>1841</v>
      </c>
      <c r="N2473" s="15" t="s">
        <v>36</v>
      </c>
      <c r="O2473" s="15" t="s">
        <v>117</v>
      </c>
      <c r="P2473" s="20" t="s">
        <v>619</v>
      </c>
      <c r="Q2473" s="15" t="s">
        <v>83</v>
      </c>
      <c r="R2473" s="4"/>
      <c r="S2473" s="4"/>
    </row>
    <row r="2474" spans="1:19" ht="21" customHeight="1" x14ac:dyDescent="0.25">
      <c r="A2474" s="14">
        <f>DATE(2012,12,31)-113</f>
        <v>41161</v>
      </c>
      <c r="B2474" s="15" t="s">
        <v>1318</v>
      </c>
      <c r="C2474" s="15" t="s">
        <v>85</v>
      </c>
      <c r="D2474" s="16">
        <v>21</v>
      </c>
      <c r="E2474" s="17">
        <v>2784.57</v>
      </c>
      <c r="F2474" s="16">
        <v>0.05</v>
      </c>
      <c r="G2474" s="15" t="s">
        <v>32</v>
      </c>
      <c r="H2474" s="18">
        <v>847.06</v>
      </c>
      <c r="I2474" s="19">
        <v>136.97999999999999</v>
      </c>
      <c r="J2474" s="19">
        <v>24.49</v>
      </c>
      <c r="K2474" s="19" t="s">
        <v>69</v>
      </c>
      <c r="L2474" s="19" t="s">
        <v>75</v>
      </c>
      <c r="M2474" s="15" t="s">
        <v>1786</v>
      </c>
      <c r="N2474" s="15" t="s">
        <v>54</v>
      </c>
      <c r="O2474" s="15" t="s">
        <v>55</v>
      </c>
      <c r="P2474" s="20" t="s">
        <v>560</v>
      </c>
      <c r="Q2474" s="15" t="s">
        <v>39</v>
      </c>
      <c r="R2474" s="4"/>
      <c r="S2474" s="4"/>
    </row>
    <row r="2475" spans="1:19" ht="21" customHeight="1" x14ac:dyDescent="0.25">
      <c r="A2475" s="14">
        <f>DATE(2012,12,31)-629</f>
        <v>40645</v>
      </c>
      <c r="B2475" s="15" t="s">
        <v>1876</v>
      </c>
      <c r="C2475" s="15" t="s">
        <v>85</v>
      </c>
      <c r="D2475" s="16">
        <v>4</v>
      </c>
      <c r="E2475" s="17">
        <v>473.88</v>
      </c>
      <c r="F2475" s="16">
        <v>0.01</v>
      </c>
      <c r="G2475" s="15" t="s">
        <v>58</v>
      </c>
      <c r="H2475" s="18">
        <v>-183.26</v>
      </c>
      <c r="I2475" s="19">
        <v>110.98</v>
      </c>
      <c r="J2475" s="19">
        <v>30</v>
      </c>
      <c r="K2475" s="19" t="s">
        <v>69</v>
      </c>
      <c r="L2475" s="19" t="s">
        <v>75</v>
      </c>
      <c r="M2475" s="15" t="s">
        <v>1786</v>
      </c>
      <c r="N2475" s="15" t="s">
        <v>54</v>
      </c>
      <c r="O2475" s="15" t="s">
        <v>252</v>
      </c>
      <c r="P2475" s="20" t="s">
        <v>1877</v>
      </c>
      <c r="Q2475" s="15" t="s">
        <v>181</v>
      </c>
      <c r="R2475" s="4"/>
      <c r="S2475" s="4"/>
    </row>
    <row r="2476" spans="1:19" ht="21" customHeight="1" x14ac:dyDescent="0.25">
      <c r="A2476" s="14">
        <f>DATE(2012,12,31)-629</f>
        <v>40645</v>
      </c>
      <c r="B2476" s="15" t="s">
        <v>1876</v>
      </c>
      <c r="C2476" s="15" t="s">
        <v>85</v>
      </c>
      <c r="D2476" s="16">
        <v>50</v>
      </c>
      <c r="E2476" s="17">
        <v>849.03099999999995</v>
      </c>
      <c r="F2476" s="16">
        <v>7.0000000000000007E-2</v>
      </c>
      <c r="G2476" s="15" t="s">
        <v>32</v>
      </c>
      <c r="H2476" s="18">
        <v>-133.309</v>
      </c>
      <c r="I2476" s="19">
        <v>20.99</v>
      </c>
      <c r="J2476" s="19">
        <v>3.3</v>
      </c>
      <c r="K2476" s="19" t="s">
        <v>69</v>
      </c>
      <c r="L2476" s="19" t="s">
        <v>215</v>
      </c>
      <c r="M2476" s="15" t="s">
        <v>1704</v>
      </c>
      <c r="N2476" s="15" t="s">
        <v>64</v>
      </c>
      <c r="O2476" s="15" t="s">
        <v>65</v>
      </c>
      <c r="P2476" s="20" t="s">
        <v>769</v>
      </c>
      <c r="Q2476" s="15" t="s">
        <v>49</v>
      </c>
      <c r="R2476" s="4"/>
      <c r="S2476" s="4"/>
    </row>
    <row r="2477" spans="1:19" ht="21" customHeight="1" x14ac:dyDescent="0.25">
      <c r="A2477" s="14">
        <f>DATE(2012,12,31)-270</f>
        <v>41004</v>
      </c>
      <c r="B2477" s="15" t="s">
        <v>1660</v>
      </c>
      <c r="C2477" s="15" t="s">
        <v>43</v>
      </c>
      <c r="D2477" s="16">
        <v>43</v>
      </c>
      <c r="E2477" s="17">
        <v>87.31</v>
      </c>
      <c r="F2477" s="16">
        <v>0.05</v>
      </c>
      <c r="G2477" s="15" t="s">
        <v>32</v>
      </c>
      <c r="H2477" s="18">
        <v>-15.087999999999999</v>
      </c>
      <c r="I2477" s="19">
        <v>2.08</v>
      </c>
      <c r="J2477" s="19">
        <v>1.49</v>
      </c>
      <c r="K2477" s="19" t="s">
        <v>111</v>
      </c>
      <c r="L2477" s="19" t="s">
        <v>258</v>
      </c>
      <c r="M2477" s="15" t="s">
        <v>259</v>
      </c>
      <c r="N2477" s="15" t="s">
        <v>36</v>
      </c>
      <c r="O2477" s="15" t="s">
        <v>170</v>
      </c>
      <c r="P2477" s="20" t="s">
        <v>1285</v>
      </c>
      <c r="Q2477" s="15" t="s">
        <v>83</v>
      </c>
      <c r="R2477" s="4"/>
      <c r="S2477" s="4"/>
    </row>
    <row r="2478" spans="1:19" ht="21" customHeight="1" x14ac:dyDescent="0.25">
      <c r="A2478" s="14">
        <f>DATE(2012,12,31)-831</f>
        <v>40443</v>
      </c>
      <c r="B2478" s="15" t="s">
        <v>923</v>
      </c>
      <c r="C2478" s="15" t="s">
        <v>31</v>
      </c>
      <c r="D2478" s="16">
        <v>46</v>
      </c>
      <c r="E2478" s="17">
        <v>2660.6105000000002</v>
      </c>
      <c r="F2478" s="16">
        <v>0.03</v>
      </c>
      <c r="G2478" s="15" t="s">
        <v>32</v>
      </c>
      <c r="H2478" s="18">
        <v>618.06600000000003</v>
      </c>
      <c r="I2478" s="19">
        <v>65.989999999999995</v>
      </c>
      <c r="J2478" s="19">
        <v>8.99</v>
      </c>
      <c r="K2478" s="19" t="s">
        <v>111</v>
      </c>
      <c r="L2478" s="19" t="s">
        <v>258</v>
      </c>
      <c r="M2478" s="15" t="s">
        <v>259</v>
      </c>
      <c r="N2478" s="15" t="s">
        <v>64</v>
      </c>
      <c r="O2478" s="15" t="s">
        <v>65</v>
      </c>
      <c r="P2478" s="20" t="s">
        <v>692</v>
      </c>
      <c r="Q2478" s="15" t="s">
        <v>83</v>
      </c>
      <c r="R2478" s="4"/>
      <c r="S2478" s="4"/>
    </row>
    <row r="2479" spans="1:19" ht="21" customHeight="1" x14ac:dyDescent="0.25">
      <c r="A2479" s="14">
        <f>DATE(2012,12,31)-1012</f>
        <v>40262</v>
      </c>
      <c r="B2479" s="15" t="s">
        <v>548</v>
      </c>
      <c r="C2479" s="15" t="s">
        <v>85</v>
      </c>
      <c r="D2479" s="16">
        <v>22</v>
      </c>
      <c r="E2479" s="17">
        <v>5202.8960000000006</v>
      </c>
      <c r="F2479" s="16">
        <v>0.02</v>
      </c>
      <c r="G2479" s="15" t="s">
        <v>58</v>
      </c>
      <c r="H2479" s="18">
        <v>-715.7782060000003</v>
      </c>
      <c r="I2479" s="19">
        <v>296.18</v>
      </c>
      <c r="J2479" s="19">
        <v>54.12</v>
      </c>
      <c r="K2479" s="19" t="s">
        <v>44</v>
      </c>
      <c r="L2479" s="19" t="s">
        <v>89</v>
      </c>
      <c r="M2479" s="15" t="s">
        <v>1809</v>
      </c>
      <c r="N2479" s="15" t="s">
        <v>54</v>
      </c>
      <c r="O2479" s="15" t="s">
        <v>61</v>
      </c>
      <c r="P2479" s="20" t="s">
        <v>345</v>
      </c>
      <c r="Q2479" s="15" t="s">
        <v>63</v>
      </c>
      <c r="R2479" s="4"/>
      <c r="S2479" s="4"/>
    </row>
    <row r="2480" spans="1:19" ht="21" customHeight="1" x14ac:dyDescent="0.25">
      <c r="A2480" s="14">
        <f>DATE(2012,12,31)-676</f>
        <v>40598</v>
      </c>
      <c r="B2480" s="15" t="s">
        <v>512</v>
      </c>
      <c r="C2480" s="15" t="s">
        <v>85</v>
      </c>
      <c r="D2480" s="16">
        <v>38</v>
      </c>
      <c r="E2480" s="17">
        <v>4502.26</v>
      </c>
      <c r="F2480" s="16">
        <v>0.09</v>
      </c>
      <c r="G2480" s="15" t="s">
        <v>58</v>
      </c>
      <c r="H2480" s="18">
        <v>1272.17</v>
      </c>
      <c r="I2480" s="19">
        <v>120.97</v>
      </c>
      <c r="J2480" s="19">
        <v>26.3</v>
      </c>
      <c r="K2480" s="19" t="s">
        <v>44</v>
      </c>
      <c r="L2480" s="19" t="s">
        <v>45</v>
      </c>
      <c r="M2480" s="15" t="s">
        <v>1768</v>
      </c>
      <c r="N2480" s="15" t="s">
        <v>64</v>
      </c>
      <c r="O2480" s="15" t="s">
        <v>122</v>
      </c>
      <c r="P2480" s="20" t="s">
        <v>1878</v>
      </c>
      <c r="Q2480" s="15" t="s">
        <v>181</v>
      </c>
      <c r="R2480" s="4"/>
      <c r="S2480" s="4"/>
    </row>
    <row r="2481" spans="1:19" ht="21" customHeight="1" x14ac:dyDescent="0.25">
      <c r="A2481" s="14">
        <f>DATE(2012,12,31)-676</f>
        <v>40598</v>
      </c>
      <c r="B2481" s="15" t="s">
        <v>512</v>
      </c>
      <c r="C2481" s="15" t="s">
        <v>85</v>
      </c>
      <c r="D2481" s="16">
        <v>34</v>
      </c>
      <c r="E2481" s="17">
        <v>192.23</v>
      </c>
      <c r="F2481" s="16">
        <v>7.0000000000000007E-2</v>
      </c>
      <c r="G2481" s="15" t="s">
        <v>32</v>
      </c>
      <c r="H2481" s="18">
        <v>-149.84</v>
      </c>
      <c r="I2481" s="19">
        <v>5.78</v>
      </c>
      <c r="J2481" s="19">
        <v>7.64</v>
      </c>
      <c r="K2481" s="19" t="s">
        <v>44</v>
      </c>
      <c r="L2481" s="19" t="s">
        <v>89</v>
      </c>
      <c r="M2481" s="15" t="s">
        <v>1809</v>
      </c>
      <c r="N2481" s="15" t="s">
        <v>36</v>
      </c>
      <c r="O2481" s="15" t="s">
        <v>117</v>
      </c>
      <c r="P2481" s="20" t="s">
        <v>1056</v>
      </c>
      <c r="Q2481" s="15" t="s">
        <v>83</v>
      </c>
      <c r="R2481" s="4"/>
      <c r="S2481" s="4"/>
    </row>
    <row r="2482" spans="1:19" ht="21" customHeight="1" x14ac:dyDescent="0.25">
      <c r="A2482" s="14">
        <f>DATE(2012,12,31)-1236</f>
        <v>40038</v>
      </c>
      <c r="B2482" s="15" t="s">
        <v>767</v>
      </c>
      <c r="C2482" s="15" t="s">
        <v>85</v>
      </c>
      <c r="D2482" s="16">
        <v>10</v>
      </c>
      <c r="E2482" s="17">
        <v>65.52</v>
      </c>
      <c r="F2482" s="16">
        <v>7.0000000000000007E-2</v>
      </c>
      <c r="G2482" s="15" t="s">
        <v>32</v>
      </c>
      <c r="H2482" s="18">
        <v>-22.57</v>
      </c>
      <c r="I2482" s="19">
        <v>5.98</v>
      </c>
      <c r="J2482" s="19">
        <v>5.46</v>
      </c>
      <c r="K2482" s="19" t="s">
        <v>44</v>
      </c>
      <c r="L2482" s="19" t="s">
        <v>80</v>
      </c>
      <c r="M2482" s="15" t="s">
        <v>1823</v>
      </c>
      <c r="N2482" s="15" t="s">
        <v>36</v>
      </c>
      <c r="O2482" s="15" t="s">
        <v>117</v>
      </c>
      <c r="P2482" s="20" t="s">
        <v>1879</v>
      </c>
      <c r="Q2482" s="15" t="s">
        <v>83</v>
      </c>
      <c r="R2482" s="4"/>
      <c r="S2482" s="4"/>
    </row>
    <row r="2483" spans="1:19" ht="21" customHeight="1" x14ac:dyDescent="0.25">
      <c r="A2483" s="14">
        <f>DATE(2012,12,31)-1061</f>
        <v>40213</v>
      </c>
      <c r="B2483" s="15" t="s">
        <v>470</v>
      </c>
      <c r="C2483" s="15" t="s">
        <v>85</v>
      </c>
      <c r="D2483" s="16">
        <v>3</v>
      </c>
      <c r="E2483" s="17">
        <v>19.98</v>
      </c>
      <c r="F2483" s="16">
        <v>0.02</v>
      </c>
      <c r="G2483" s="15" t="s">
        <v>32</v>
      </c>
      <c r="H2483" s="18">
        <v>-9.61</v>
      </c>
      <c r="I2483" s="19">
        <v>4.9800000000000004</v>
      </c>
      <c r="J2483" s="19">
        <v>4.75</v>
      </c>
      <c r="K2483" s="19" t="s">
        <v>44</v>
      </c>
      <c r="L2483" s="19" t="s">
        <v>89</v>
      </c>
      <c r="M2483" s="15" t="s">
        <v>1809</v>
      </c>
      <c r="N2483" s="15" t="s">
        <v>36</v>
      </c>
      <c r="O2483" s="15" t="s">
        <v>117</v>
      </c>
      <c r="P2483" s="20" t="s">
        <v>528</v>
      </c>
      <c r="Q2483" s="15" t="s">
        <v>83</v>
      </c>
      <c r="R2483" s="4"/>
      <c r="S2483" s="4"/>
    </row>
    <row r="2484" spans="1:19" ht="21" customHeight="1" x14ac:dyDescent="0.25">
      <c r="A2484" s="14">
        <f>DATE(2012,12,31)-1288</f>
        <v>39986</v>
      </c>
      <c r="B2484" s="15" t="s">
        <v>398</v>
      </c>
      <c r="C2484" s="15" t="s">
        <v>51</v>
      </c>
      <c r="D2484" s="16">
        <v>7</v>
      </c>
      <c r="E2484" s="17">
        <v>1211.98</v>
      </c>
      <c r="F2484" s="16">
        <v>0.1</v>
      </c>
      <c r="G2484" s="15" t="s">
        <v>58</v>
      </c>
      <c r="H2484" s="18">
        <v>-80.83</v>
      </c>
      <c r="I2484" s="19">
        <v>180.98</v>
      </c>
      <c r="J2484" s="19">
        <v>26.2</v>
      </c>
      <c r="K2484" s="19" t="s">
        <v>44</v>
      </c>
      <c r="L2484" s="19" t="s">
        <v>89</v>
      </c>
      <c r="M2484" s="15" t="s">
        <v>1809</v>
      </c>
      <c r="N2484" s="15" t="s">
        <v>54</v>
      </c>
      <c r="O2484" s="15" t="s">
        <v>252</v>
      </c>
      <c r="P2484" s="20" t="s">
        <v>1499</v>
      </c>
      <c r="Q2484" s="15" t="s">
        <v>181</v>
      </c>
      <c r="R2484" s="4"/>
      <c r="S2484" s="4"/>
    </row>
    <row r="2485" spans="1:19" ht="21" customHeight="1" x14ac:dyDescent="0.25">
      <c r="A2485" s="14">
        <f>DATE(2012,12,31)-463</f>
        <v>40811</v>
      </c>
      <c r="B2485" s="15" t="s">
        <v>808</v>
      </c>
      <c r="C2485" s="15" t="s">
        <v>51</v>
      </c>
      <c r="D2485" s="16">
        <v>23</v>
      </c>
      <c r="E2485" s="17">
        <v>8127.51</v>
      </c>
      <c r="F2485" s="16">
        <v>0.01</v>
      </c>
      <c r="G2485" s="15" t="s">
        <v>58</v>
      </c>
      <c r="H2485" s="18">
        <v>1541.25</v>
      </c>
      <c r="I2485" s="19">
        <v>348.21</v>
      </c>
      <c r="J2485" s="19">
        <v>40.19</v>
      </c>
      <c r="K2485" s="19" t="s">
        <v>44</v>
      </c>
      <c r="L2485" s="19" t="s">
        <v>89</v>
      </c>
      <c r="M2485" s="15" t="s">
        <v>1809</v>
      </c>
      <c r="N2485" s="15" t="s">
        <v>54</v>
      </c>
      <c r="O2485" s="15" t="s">
        <v>61</v>
      </c>
      <c r="P2485" s="20" t="s">
        <v>1141</v>
      </c>
      <c r="Q2485" s="15" t="s">
        <v>63</v>
      </c>
      <c r="R2485" s="4"/>
      <c r="S2485" s="4"/>
    </row>
    <row r="2486" spans="1:19" ht="21" customHeight="1" x14ac:dyDescent="0.25">
      <c r="A2486" s="14">
        <f>DATE(2012,12,31)-463</f>
        <v>40811</v>
      </c>
      <c r="B2486" s="15" t="s">
        <v>808</v>
      </c>
      <c r="C2486" s="15" t="s">
        <v>51</v>
      </c>
      <c r="D2486" s="16">
        <v>33</v>
      </c>
      <c r="E2486" s="17">
        <v>5352.9344999999994</v>
      </c>
      <c r="F2486" s="16">
        <v>0.09</v>
      </c>
      <c r="G2486" s="15" t="s">
        <v>32</v>
      </c>
      <c r="H2486" s="18">
        <v>1343.2049999999999</v>
      </c>
      <c r="I2486" s="19">
        <v>195.99</v>
      </c>
      <c r="J2486" s="19">
        <v>4.2</v>
      </c>
      <c r="K2486" s="19" t="s">
        <v>44</v>
      </c>
      <c r="L2486" s="19" t="s">
        <v>120</v>
      </c>
      <c r="M2486" s="15" t="s">
        <v>121</v>
      </c>
      <c r="N2486" s="15" t="s">
        <v>64</v>
      </c>
      <c r="O2486" s="15" t="s">
        <v>65</v>
      </c>
      <c r="P2486" s="20" t="s">
        <v>851</v>
      </c>
      <c r="Q2486" s="15" t="s">
        <v>83</v>
      </c>
      <c r="R2486" s="4"/>
      <c r="S2486" s="4"/>
    </row>
    <row r="2487" spans="1:19" ht="21" customHeight="1" x14ac:dyDescent="0.25">
      <c r="A2487" s="14">
        <f>DATE(2012,12,31)-290</f>
        <v>40984</v>
      </c>
      <c r="B2487" s="15" t="s">
        <v>212</v>
      </c>
      <c r="C2487" s="15" t="s">
        <v>43</v>
      </c>
      <c r="D2487" s="16">
        <v>13</v>
      </c>
      <c r="E2487" s="17">
        <v>83.31</v>
      </c>
      <c r="F2487" s="16">
        <v>0.06</v>
      </c>
      <c r="G2487" s="15" t="s">
        <v>32</v>
      </c>
      <c r="H2487" s="18">
        <v>22.8</v>
      </c>
      <c r="I2487" s="19">
        <v>6.45</v>
      </c>
      <c r="J2487" s="19">
        <v>1.34</v>
      </c>
      <c r="K2487" s="19" t="s">
        <v>44</v>
      </c>
      <c r="L2487" s="19" t="s">
        <v>89</v>
      </c>
      <c r="M2487" s="15" t="s">
        <v>1809</v>
      </c>
      <c r="N2487" s="15" t="s">
        <v>36</v>
      </c>
      <c r="O2487" s="15" t="s">
        <v>117</v>
      </c>
      <c r="P2487" s="20" t="s">
        <v>1880</v>
      </c>
      <c r="Q2487" s="15" t="s">
        <v>79</v>
      </c>
      <c r="R2487" s="4"/>
      <c r="S2487" s="4"/>
    </row>
    <row r="2488" spans="1:19" ht="21" customHeight="1" x14ac:dyDescent="0.25">
      <c r="A2488" s="14">
        <f>DATE(2012,12,31)-125</f>
        <v>41149</v>
      </c>
      <c r="B2488" s="15" t="s">
        <v>1874</v>
      </c>
      <c r="C2488" s="15" t="s">
        <v>43</v>
      </c>
      <c r="D2488" s="16">
        <v>27</v>
      </c>
      <c r="E2488" s="17">
        <v>3316.08</v>
      </c>
      <c r="F2488" s="16">
        <v>0.08</v>
      </c>
      <c r="G2488" s="15" t="s">
        <v>58</v>
      </c>
      <c r="H2488" s="18">
        <v>-514.32000000000005</v>
      </c>
      <c r="I2488" s="19">
        <v>130.97999999999999</v>
      </c>
      <c r="J2488" s="19">
        <v>30</v>
      </c>
      <c r="K2488" s="19" t="s">
        <v>44</v>
      </c>
      <c r="L2488" s="19" t="s">
        <v>89</v>
      </c>
      <c r="M2488" s="15" t="s">
        <v>1809</v>
      </c>
      <c r="N2488" s="15" t="s">
        <v>54</v>
      </c>
      <c r="O2488" s="15" t="s">
        <v>252</v>
      </c>
      <c r="P2488" s="20" t="s">
        <v>980</v>
      </c>
      <c r="Q2488" s="15" t="s">
        <v>181</v>
      </c>
      <c r="R2488" s="4"/>
      <c r="S2488" s="4"/>
    </row>
    <row r="2489" spans="1:19" ht="21" customHeight="1" x14ac:dyDescent="0.25">
      <c r="A2489" s="14">
        <f>DATE(2012,12,31)-1286</f>
        <v>39988</v>
      </c>
      <c r="B2489" s="15" t="s">
        <v>1881</v>
      </c>
      <c r="C2489" s="15" t="s">
        <v>31</v>
      </c>
      <c r="D2489" s="16">
        <v>37</v>
      </c>
      <c r="E2489" s="17">
        <v>347.84</v>
      </c>
      <c r="F2489" s="16">
        <v>0</v>
      </c>
      <c r="G2489" s="15" t="s">
        <v>32</v>
      </c>
      <c r="H2489" s="18">
        <v>-99.25</v>
      </c>
      <c r="I2489" s="19">
        <v>8.74</v>
      </c>
      <c r="J2489" s="19">
        <v>8.2899999999999991</v>
      </c>
      <c r="K2489" s="19" t="s">
        <v>44</v>
      </c>
      <c r="L2489" s="19" t="s">
        <v>89</v>
      </c>
      <c r="M2489" s="15" t="s">
        <v>1809</v>
      </c>
      <c r="N2489" s="15" t="s">
        <v>36</v>
      </c>
      <c r="O2489" s="15" t="s">
        <v>189</v>
      </c>
      <c r="P2489" s="20" t="s">
        <v>581</v>
      </c>
      <c r="Q2489" s="15" t="s">
        <v>83</v>
      </c>
      <c r="R2489" s="4"/>
      <c r="S2489" s="4"/>
    </row>
    <row r="2490" spans="1:19" ht="21" customHeight="1" x14ac:dyDescent="0.25">
      <c r="A2490" s="14">
        <f>DATE(2012,12,31)-573</f>
        <v>40701</v>
      </c>
      <c r="B2490" s="15" t="s">
        <v>895</v>
      </c>
      <c r="C2490" s="15" t="s">
        <v>85</v>
      </c>
      <c r="D2490" s="16">
        <v>48</v>
      </c>
      <c r="E2490" s="17">
        <v>207.08</v>
      </c>
      <c r="F2490" s="16">
        <v>0.09</v>
      </c>
      <c r="G2490" s="15" t="s">
        <v>32</v>
      </c>
      <c r="H2490" s="18">
        <v>-131.82</v>
      </c>
      <c r="I2490" s="19">
        <v>4.28</v>
      </c>
      <c r="J2490" s="19">
        <v>5.17</v>
      </c>
      <c r="K2490" s="19" t="s">
        <v>124</v>
      </c>
      <c r="L2490" s="19" t="s">
        <v>125</v>
      </c>
      <c r="M2490" s="15" t="s">
        <v>1829</v>
      </c>
      <c r="N2490" s="15" t="s">
        <v>36</v>
      </c>
      <c r="O2490" s="15" t="s">
        <v>117</v>
      </c>
      <c r="P2490" s="20" t="s">
        <v>1882</v>
      </c>
      <c r="Q2490" s="15" t="s">
        <v>83</v>
      </c>
      <c r="R2490" s="4"/>
      <c r="S2490" s="4"/>
    </row>
    <row r="2491" spans="1:19" ht="21" customHeight="1" x14ac:dyDescent="0.25">
      <c r="A2491" s="14">
        <f>DATE(2012,12,31)-573</f>
        <v>40701</v>
      </c>
      <c r="B2491" s="15" t="s">
        <v>895</v>
      </c>
      <c r="C2491" s="15" t="s">
        <v>85</v>
      </c>
      <c r="D2491" s="16">
        <v>8</v>
      </c>
      <c r="E2491" s="17">
        <v>234.28</v>
      </c>
      <c r="F2491" s="16">
        <v>0.09</v>
      </c>
      <c r="G2491" s="15" t="s">
        <v>32</v>
      </c>
      <c r="H2491" s="18">
        <v>-65.42</v>
      </c>
      <c r="I2491" s="19">
        <v>28.28</v>
      </c>
      <c r="J2491" s="19">
        <v>13.99</v>
      </c>
      <c r="K2491" s="19" t="s">
        <v>33</v>
      </c>
      <c r="L2491" s="19" t="s">
        <v>93</v>
      </c>
      <c r="M2491" s="15" t="s">
        <v>94</v>
      </c>
      <c r="N2491" s="15" t="s">
        <v>36</v>
      </c>
      <c r="O2491" s="15" t="s">
        <v>37</v>
      </c>
      <c r="P2491" s="20" t="s">
        <v>883</v>
      </c>
      <c r="Q2491" s="15" t="s">
        <v>57</v>
      </c>
      <c r="R2491" s="4"/>
      <c r="S2491" s="4"/>
    </row>
    <row r="2492" spans="1:19" ht="21" customHeight="1" x14ac:dyDescent="0.25">
      <c r="A2492" s="14">
        <f>DATE(2012,12,31)-573</f>
        <v>40701</v>
      </c>
      <c r="B2492" s="15" t="s">
        <v>895</v>
      </c>
      <c r="C2492" s="15" t="s">
        <v>85</v>
      </c>
      <c r="D2492" s="16">
        <v>41</v>
      </c>
      <c r="E2492" s="17">
        <v>1779.8914999999997</v>
      </c>
      <c r="F2492" s="16">
        <v>0.09</v>
      </c>
      <c r="G2492" s="15" t="s">
        <v>32</v>
      </c>
      <c r="H2492" s="18">
        <v>-250.173</v>
      </c>
      <c r="I2492" s="19">
        <v>55.99</v>
      </c>
      <c r="J2492" s="19">
        <v>5</v>
      </c>
      <c r="K2492" s="19" t="s">
        <v>33</v>
      </c>
      <c r="L2492" s="19" t="s">
        <v>93</v>
      </c>
      <c r="M2492" s="15" t="s">
        <v>94</v>
      </c>
      <c r="N2492" s="15" t="s">
        <v>64</v>
      </c>
      <c r="O2492" s="15" t="s">
        <v>65</v>
      </c>
      <c r="P2492" s="20" t="s">
        <v>975</v>
      </c>
      <c r="Q2492" s="15" t="s">
        <v>49</v>
      </c>
      <c r="R2492" s="4"/>
      <c r="S2492" s="4"/>
    </row>
    <row r="2493" spans="1:19" ht="21" customHeight="1" x14ac:dyDescent="0.25">
      <c r="A2493" s="14">
        <f>DATE(2012,12,31)-849</f>
        <v>40425</v>
      </c>
      <c r="B2493" s="15" t="s">
        <v>1026</v>
      </c>
      <c r="C2493" s="15" t="s">
        <v>85</v>
      </c>
      <c r="D2493" s="16">
        <v>47</v>
      </c>
      <c r="E2493" s="17">
        <v>270.32</v>
      </c>
      <c r="F2493" s="16">
        <v>0.06</v>
      </c>
      <c r="G2493" s="15" t="s">
        <v>32</v>
      </c>
      <c r="H2493" s="18">
        <v>-47.15</v>
      </c>
      <c r="I2493" s="19">
        <v>5.81</v>
      </c>
      <c r="J2493" s="19">
        <v>3.37</v>
      </c>
      <c r="K2493" s="19" t="s">
        <v>33</v>
      </c>
      <c r="L2493" s="19" t="s">
        <v>128</v>
      </c>
      <c r="M2493" s="15" t="s">
        <v>129</v>
      </c>
      <c r="N2493" s="15" t="s">
        <v>36</v>
      </c>
      <c r="O2493" s="15" t="s">
        <v>105</v>
      </c>
      <c r="P2493" s="20" t="s">
        <v>209</v>
      </c>
      <c r="Q2493" s="15" t="s">
        <v>79</v>
      </c>
      <c r="R2493" s="4"/>
      <c r="S2493" s="4"/>
    </row>
    <row r="2494" spans="1:19" ht="21" customHeight="1" x14ac:dyDescent="0.25">
      <c r="A2494" s="14">
        <f>DATE(2012,12,31)-849</f>
        <v>40425</v>
      </c>
      <c r="B2494" s="15" t="s">
        <v>1026</v>
      </c>
      <c r="C2494" s="15" t="s">
        <v>85</v>
      </c>
      <c r="D2494" s="16">
        <v>21</v>
      </c>
      <c r="E2494" s="17">
        <v>361.98</v>
      </c>
      <c r="F2494" s="16">
        <v>0</v>
      </c>
      <c r="G2494" s="15" t="s">
        <v>32</v>
      </c>
      <c r="H2494" s="18">
        <v>-55.610399999999998</v>
      </c>
      <c r="I2494" s="19">
        <v>15.99</v>
      </c>
      <c r="J2494" s="19">
        <v>9.4</v>
      </c>
      <c r="K2494" s="19" t="s">
        <v>33</v>
      </c>
      <c r="L2494" s="19" t="s">
        <v>93</v>
      </c>
      <c r="M2494" s="15" t="s">
        <v>94</v>
      </c>
      <c r="N2494" s="15" t="s">
        <v>64</v>
      </c>
      <c r="O2494" s="15" t="s">
        <v>122</v>
      </c>
      <c r="P2494" s="20" t="s">
        <v>324</v>
      </c>
      <c r="Q2494" s="15" t="s">
        <v>83</v>
      </c>
      <c r="R2494" s="4"/>
      <c r="S2494" s="4"/>
    </row>
    <row r="2495" spans="1:19" ht="21" customHeight="1" x14ac:dyDescent="0.25">
      <c r="A2495" s="14">
        <f>DATE(2012,12,31)-1263</f>
        <v>40011</v>
      </c>
      <c r="B2495" s="15" t="s">
        <v>1462</v>
      </c>
      <c r="C2495" s="15" t="s">
        <v>43</v>
      </c>
      <c r="D2495" s="16">
        <v>42</v>
      </c>
      <c r="E2495" s="17">
        <v>82.03</v>
      </c>
      <c r="F2495" s="16">
        <v>0</v>
      </c>
      <c r="G2495" s="15" t="s">
        <v>32</v>
      </c>
      <c r="H2495" s="18">
        <v>-15.5595</v>
      </c>
      <c r="I2495" s="19">
        <v>1.88</v>
      </c>
      <c r="J2495" s="19">
        <v>1.49</v>
      </c>
      <c r="K2495" s="19" t="s">
        <v>33</v>
      </c>
      <c r="L2495" s="19" t="s">
        <v>128</v>
      </c>
      <c r="M2495" s="15" t="s">
        <v>129</v>
      </c>
      <c r="N2495" s="15" t="s">
        <v>36</v>
      </c>
      <c r="O2495" s="15" t="s">
        <v>170</v>
      </c>
      <c r="P2495" s="20" t="s">
        <v>1353</v>
      </c>
      <c r="Q2495" s="15" t="s">
        <v>83</v>
      </c>
      <c r="R2495" s="4"/>
      <c r="S2495" s="4"/>
    </row>
    <row r="2496" spans="1:19" ht="21" customHeight="1" x14ac:dyDescent="0.25">
      <c r="A2496" s="14">
        <f>DATE(2012,12,31)-1263</f>
        <v>40011</v>
      </c>
      <c r="B2496" s="15" t="s">
        <v>1462</v>
      </c>
      <c r="C2496" s="15" t="s">
        <v>43</v>
      </c>
      <c r="D2496" s="16">
        <v>50</v>
      </c>
      <c r="E2496" s="17">
        <v>290.91000000000003</v>
      </c>
      <c r="F2496" s="16">
        <v>0.06</v>
      </c>
      <c r="G2496" s="15" t="s">
        <v>32</v>
      </c>
      <c r="H2496" s="18">
        <v>-108.19</v>
      </c>
      <c r="I2496" s="19">
        <v>5.78</v>
      </c>
      <c r="J2496" s="19">
        <v>5.67</v>
      </c>
      <c r="K2496" s="19" t="s">
        <v>33</v>
      </c>
      <c r="L2496" s="19" t="s">
        <v>93</v>
      </c>
      <c r="M2496" s="15" t="s">
        <v>94</v>
      </c>
      <c r="N2496" s="15" t="s">
        <v>36</v>
      </c>
      <c r="O2496" s="15" t="s">
        <v>117</v>
      </c>
      <c r="P2496" s="20" t="s">
        <v>557</v>
      </c>
      <c r="Q2496" s="15" t="s">
        <v>83</v>
      </c>
      <c r="R2496" s="4"/>
      <c r="S2496" s="4"/>
    </row>
    <row r="2497" spans="1:19" ht="21" customHeight="1" x14ac:dyDescent="0.25">
      <c r="A2497" s="14">
        <f>DATE(2012,12,31)-1155</f>
        <v>40119</v>
      </c>
      <c r="B2497" s="15" t="s">
        <v>1817</v>
      </c>
      <c r="C2497" s="15" t="s">
        <v>31</v>
      </c>
      <c r="D2497" s="16">
        <v>43</v>
      </c>
      <c r="E2497" s="17">
        <v>235.09</v>
      </c>
      <c r="F2497" s="16">
        <v>0.08</v>
      </c>
      <c r="G2497" s="15" t="s">
        <v>32</v>
      </c>
      <c r="H2497" s="18">
        <v>-1987.49</v>
      </c>
      <c r="I2497" s="19">
        <v>4.4800000000000004</v>
      </c>
      <c r="J2497" s="19">
        <v>49</v>
      </c>
      <c r="K2497" s="19" t="s">
        <v>33</v>
      </c>
      <c r="L2497" s="19" t="s">
        <v>128</v>
      </c>
      <c r="M2497" s="15" t="s">
        <v>129</v>
      </c>
      <c r="N2497" s="15" t="s">
        <v>36</v>
      </c>
      <c r="O2497" s="15" t="s">
        <v>176</v>
      </c>
      <c r="P2497" s="20" t="s">
        <v>314</v>
      </c>
      <c r="Q2497" s="15" t="s">
        <v>39</v>
      </c>
      <c r="R2497" s="4"/>
      <c r="S2497" s="4"/>
    </row>
    <row r="2498" spans="1:19" ht="21" customHeight="1" x14ac:dyDescent="0.25">
      <c r="A2498" s="14">
        <f>DATE(2012,12,31)-1155</f>
        <v>40119</v>
      </c>
      <c r="B2498" s="15" t="s">
        <v>1817</v>
      </c>
      <c r="C2498" s="15" t="s">
        <v>31</v>
      </c>
      <c r="D2498" s="16">
        <v>10</v>
      </c>
      <c r="E2498" s="17">
        <v>187.46</v>
      </c>
      <c r="F2498" s="16">
        <v>0</v>
      </c>
      <c r="G2498" s="15" t="s">
        <v>32</v>
      </c>
      <c r="H2498" s="18">
        <v>49.85</v>
      </c>
      <c r="I2498" s="19">
        <v>17.670000000000002</v>
      </c>
      <c r="J2498" s="19">
        <v>8.99</v>
      </c>
      <c r="K2498" s="19" t="s">
        <v>97</v>
      </c>
      <c r="L2498" s="19" t="s">
        <v>283</v>
      </c>
      <c r="M2498" s="15" t="s">
        <v>1471</v>
      </c>
      <c r="N2498" s="15" t="s">
        <v>54</v>
      </c>
      <c r="O2498" s="15" t="s">
        <v>55</v>
      </c>
      <c r="P2498" s="20" t="s">
        <v>458</v>
      </c>
      <c r="Q2498" s="15" t="s">
        <v>49</v>
      </c>
      <c r="R2498" s="4"/>
      <c r="S2498" s="4"/>
    </row>
    <row r="2499" spans="1:19" ht="21" customHeight="1" x14ac:dyDescent="0.25">
      <c r="A2499" s="14">
        <f>DATE(2012,12,31)-1248</f>
        <v>40026</v>
      </c>
      <c r="B2499" s="15" t="s">
        <v>932</v>
      </c>
      <c r="C2499" s="15" t="s">
        <v>43</v>
      </c>
      <c r="D2499" s="16">
        <v>50</v>
      </c>
      <c r="E2499" s="17">
        <v>3075.83</v>
      </c>
      <c r="F2499" s="16">
        <v>0.03</v>
      </c>
      <c r="G2499" s="15" t="s">
        <v>32</v>
      </c>
      <c r="H2499" s="18">
        <v>1207.9100000000001</v>
      </c>
      <c r="I2499" s="19">
        <v>60.98</v>
      </c>
      <c r="J2499" s="19">
        <v>1.99</v>
      </c>
      <c r="K2499" s="19" t="s">
        <v>97</v>
      </c>
      <c r="L2499" s="19" t="s">
        <v>283</v>
      </c>
      <c r="M2499" s="15" t="s">
        <v>1471</v>
      </c>
      <c r="N2499" s="15" t="s">
        <v>64</v>
      </c>
      <c r="O2499" s="15" t="s">
        <v>72</v>
      </c>
      <c r="P2499" s="20" t="s">
        <v>1883</v>
      </c>
      <c r="Q2499" s="15" t="s">
        <v>49</v>
      </c>
      <c r="R2499" s="4"/>
      <c r="S2499" s="4"/>
    </row>
    <row r="2500" spans="1:19" ht="21" customHeight="1" x14ac:dyDescent="0.25">
      <c r="A2500" s="14">
        <f>DATE(2012,12,31)-1248</f>
        <v>40026</v>
      </c>
      <c r="B2500" s="15" t="s">
        <v>932</v>
      </c>
      <c r="C2500" s="15" t="s">
        <v>43</v>
      </c>
      <c r="D2500" s="16">
        <v>24</v>
      </c>
      <c r="E2500" s="17">
        <v>73.37</v>
      </c>
      <c r="F2500" s="16">
        <v>0.04</v>
      </c>
      <c r="G2500" s="15" t="s">
        <v>32</v>
      </c>
      <c r="H2500" s="18">
        <v>16.100000000000001</v>
      </c>
      <c r="I2500" s="19">
        <v>3.08</v>
      </c>
      <c r="J2500" s="19">
        <v>0.99</v>
      </c>
      <c r="K2500" s="19" t="s">
        <v>97</v>
      </c>
      <c r="L2500" s="19" t="s">
        <v>98</v>
      </c>
      <c r="M2500" s="15" t="s">
        <v>1162</v>
      </c>
      <c r="N2500" s="15" t="s">
        <v>36</v>
      </c>
      <c r="O2500" s="15" t="s">
        <v>114</v>
      </c>
      <c r="P2500" s="20" t="s">
        <v>262</v>
      </c>
      <c r="Q2500" s="15" t="s">
        <v>83</v>
      </c>
      <c r="R2500" s="4"/>
      <c r="S2500" s="4"/>
    </row>
    <row r="2501" spans="1:19" ht="21" customHeight="1" x14ac:dyDescent="0.25">
      <c r="A2501" s="14">
        <f>DATE(2012,12,31)-1248</f>
        <v>40026</v>
      </c>
      <c r="B2501" s="15" t="s">
        <v>932</v>
      </c>
      <c r="C2501" s="15" t="s">
        <v>43</v>
      </c>
      <c r="D2501" s="16">
        <v>50</v>
      </c>
      <c r="E2501" s="17">
        <v>527.6</v>
      </c>
      <c r="F2501" s="16">
        <v>0</v>
      </c>
      <c r="G2501" s="15" t="s">
        <v>32</v>
      </c>
      <c r="H2501" s="18">
        <v>221.59</v>
      </c>
      <c r="I2501" s="19">
        <v>10.31</v>
      </c>
      <c r="J2501" s="19">
        <v>1.79</v>
      </c>
      <c r="K2501" s="19" t="s">
        <v>97</v>
      </c>
      <c r="L2501" s="19" t="s">
        <v>195</v>
      </c>
      <c r="M2501" s="15" t="s">
        <v>1847</v>
      </c>
      <c r="N2501" s="15" t="s">
        <v>36</v>
      </c>
      <c r="O2501" s="15" t="s">
        <v>117</v>
      </c>
      <c r="P2501" s="20" t="s">
        <v>1011</v>
      </c>
      <c r="Q2501" s="15" t="s">
        <v>79</v>
      </c>
      <c r="R2501" s="4"/>
      <c r="S2501" s="4"/>
    </row>
    <row r="2502" spans="1:19" ht="21" customHeight="1" x14ac:dyDescent="0.25">
      <c r="A2502" s="14">
        <f>DATE(2012,12,31)-631</f>
        <v>40643</v>
      </c>
      <c r="B2502" s="15" t="s">
        <v>1170</v>
      </c>
      <c r="C2502" s="15" t="s">
        <v>85</v>
      </c>
      <c r="D2502" s="16">
        <v>45</v>
      </c>
      <c r="E2502" s="17">
        <v>4598.7299999999996</v>
      </c>
      <c r="F2502" s="16">
        <v>0.04</v>
      </c>
      <c r="G2502" s="15" t="s">
        <v>32</v>
      </c>
      <c r="H2502" s="18">
        <v>1049.45</v>
      </c>
      <c r="I2502" s="19">
        <v>99.99</v>
      </c>
      <c r="J2502" s="19">
        <v>19.989999999999998</v>
      </c>
      <c r="K2502" s="19" t="s">
        <v>124</v>
      </c>
      <c r="L2502" s="19" t="s">
        <v>160</v>
      </c>
      <c r="M2502" s="15" t="s">
        <v>1621</v>
      </c>
      <c r="N2502" s="15" t="s">
        <v>64</v>
      </c>
      <c r="O2502" s="15" t="s">
        <v>72</v>
      </c>
      <c r="P2502" s="20" t="s">
        <v>1800</v>
      </c>
      <c r="Q2502" s="15" t="s">
        <v>83</v>
      </c>
      <c r="R2502" s="4"/>
      <c r="S2502" s="4"/>
    </row>
    <row r="2503" spans="1:19" ht="21" customHeight="1" x14ac:dyDescent="0.25">
      <c r="A2503" s="14">
        <f>DATE(2012,12,31)-631</f>
        <v>40643</v>
      </c>
      <c r="B2503" s="15" t="s">
        <v>1170</v>
      </c>
      <c r="C2503" s="15" t="s">
        <v>85</v>
      </c>
      <c r="D2503" s="16">
        <v>45</v>
      </c>
      <c r="E2503" s="17">
        <v>2673.08</v>
      </c>
      <c r="F2503" s="16">
        <v>0.01</v>
      </c>
      <c r="G2503" s="15" t="s">
        <v>32</v>
      </c>
      <c r="H2503" s="18">
        <v>-1363.12</v>
      </c>
      <c r="I2503" s="19">
        <v>55.5</v>
      </c>
      <c r="J2503" s="19">
        <v>52.2</v>
      </c>
      <c r="K2503" s="19" t="s">
        <v>124</v>
      </c>
      <c r="L2503" s="19" t="s">
        <v>160</v>
      </c>
      <c r="M2503" s="15" t="s">
        <v>1621</v>
      </c>
      <c r="N2503" s="15" t="s">
        <v>54</v>
      </c>
      <c r="O2503" s="15" t="s">
        <v>55</v>
      </c>
      <c r="P2503" s="20" t="s">
        <v>1884</v>
      </c>
      <c r="Q2503" s="15" t="s">
        <v>57</v>
      </c>
      <c r="R2503" s="4"/>
      <c r="S2503" s="4"/>
    </row>
    <row r="2504" spans="1:19" ht="21" customHeight="1" x14ac:dyDescent="0.25">
      <c r="A2504" s="14">
        <f>DATE(2012,12,31)-631</f>
        <v>40643</v>
      </c>
      <c r="B2504" s="15" t="s">
        <v>1170</v>
      </c>
      <c r="C2504" s="15" t="s">
        <v>85</v>
      </c>
      <c r="D2504" s="16">
        <v>12</v>
      </c>
      <c r="E2504" s="17">
        <v>396.69</v>
      </c>
      <c r="F2504" s="16">
        <v>0.09</v>
      </c>
      <c r="G2504" s="15" t="s">
        <v>101</v>
      </c>
      <c r="H2504" s="18">
        <v>-18.45</v>
      </c>
      <c r="I2504" s="19">
        <v>33.29</v>
      </c>
      <c r="J2504" s="19">
        <v>8.74</v>
      </c>
      <c r="K2504" s="19" t="s">
        <v>124</v>
      </c>
      <c r="L2504" s="19" t="s">
        <v>160</v>
      </c>
      <c r="M2504" s="15" t="s">
        <v>1621</v>
      </c>
      <c r="N2504" s="15" t="s">
        <v>36</v>
      </c>
      <c r="O2504" s="15" t="s">
        <v>37</v>
      </c>
      <c r="P2504" s="20" t="s">
        <v>1885</v>
      </c>
      <c r="Q2504" s="15" t="s">
        <v>83</v>
      </c>
      <c r="R2504" s="4"/>
      <c r="S2504" s="4"/>
    </row>
    <row r="2505" spans="1:19" ht="21" customHeight="1" x14ac:dyDescent="0.25">
      <c r="A2505" s="14">
        <f>DATE(2012,12,31)-274</f>
        <v>41000</v>
      </c>
      <c r="B2505" s="15" t="s">
        <v>119</v>
      </c>
      <c r="C2505" s="15" t="s">
        <v>43</v>
      </c>
      <c r="D2505" s="16">
        <v>34</v>
      </c>
      <c r="E2505" s="17">
        <v>197.45</v>
      </c>
      <c r="F2505" s="16">
        <v>0.06</v>
      </c>
      <c r="G2505" s="15" t="s">
        <v>32</v>
      </c>
      <c r="H2505" s="18">
        <v>65.44</v>
      </c>
      <c r="I2505" s="19">
        <v>5.68</v>
      </c>
      <c r="J2505" s="19">
        <v>1.39</v>
      </c>
      <c r="K2505" s="19" t="s">
        <v>124</v>
      </c>
      <c r="L2505" s="19" t="s">
        <v>160</v>
      </c>
      <c r="M2505" s="15" t="s">
        <v>1621</v>
      </c>
      <c r="N2505" s="15" t="s">
        <v>36</v>
      </c>
      <c r="O2505" s="15" t="s">
        <v>189</v>
      </c>
      <c r="P2505" s="20" t="s">
        <v>202</v>
      </c>
      <c r="Q2505" s="15" t="s">
        <v>83</v>
      </c>
      <c r="R2505" s="4"/>
      <c r="S2505" s="4"/>
    </row>
    <row r="2506" spans="1:19" ht="21" customHeight="1" x14ac:dyDescent="0.25">
      <c r="A2506" s="14">
        <f>DATE(2012,12,31)-274</f>
        <v>41000</v>
      </c>
      <c r="B2506" s="15" t="s">
        <v>119</v>
      </c>
      <c r="C2506" s="15" t="s">
        <v>43</v>
      </c>
      <c r="D2506" s="16">
        <v>36</v>
      </c>
      <c r="E2506" s="17">
        <v>82.98</v>
      </c>
      <c r="F2506" s="16">
        <v>0.08</v>
      </c>
      <c r="G2506" s="15" t="s">
        <v>32</v>
      </c>
      <c r="H2506" s="18">
        <v>-137.87</v>
      </c>
      <c r="I2506" s="19">
        <v>2.2799999999999998</v>
      </c>
      <c r="J2506" s="19">
        <v>5.2</v>
      </c>
      <c r="K2506" s="19" t="s">
        <v>124</v>
      </c>
      <c r="L2506" s="19" t="s">
        <v>160</v>
      </c>
      <c r="M2506" s="15" t="s">
        <v>1621</v>
      </c>
      <c r="N2506" s="15" t="s">
        <v>36</v>
      </c>
      <c r="O2506" s="15" t="s">
        <v>77</v>
      </c>
      <c r="P2506" s="20" t="s">
        <v>1474</v>
      </c>
      <c r="Q2506" s="15" t="s">
        <v>79</v>
      </c>
      <c r="R2506" s="4"/>
      <c r="S2506" s="4"/>
    </row>
    <row r="2507" spans="1:19" ht="21" customHeight="1" x14ac:dyDescent="0.25">
      <c r="A2507" s="14">
        <f>DATE(2012,12,31)-878</f>
        <v>40396</v>
      </c>
      <c r="B2507" s="15" t="s">
        <v>1671</v>
      </c>
      <c r="C2507" s="15" t="s">
        <v>43</v>
      </c>
      <c r="D2507" s="16">
        <v>27</v>
      </c>
      <c r="E2507" s="17">
        <v>9293.82</v>
      </c>
      <c r="F2507" s="16">
        <v>0.08</v>
      </c>
      <c r="G2507" s="15" t="s">
        <v>32</v>
      </c>
      <c r="H2507" s="18">
        <v>2437.17</v>
      </c>
      <c r="I2507" s="19">
        <v>363.25</v>
      </c>
      <c r="J2507" s="19">
        <v>19.989999999999998</v>
      </c>
      <c r="K2507" s="19" t="s">
        <v>124</v>
      </c>
      <c r="L2507" s="19" t="s">
        <v>160</v>
      </c>
      <c r="M2507" s="15" t="s">
        <v>1621</v>
      </c>
      <c r="N2507" s="15" t="s">
        <v>36</v>
      </c>
      <c r="O2507" s="15" t="s">
        <v>176</v>
      </c>
      <c r="P2507" s="20" t="s">
        <v>177</v>
      </c>
      <c r="Q2507" s="15" t="s">
        <v>83</v>
      </c>
      <c r="R2507" s="4"/>
      <c r="S2507" s="4"/>
    </row>
    <row r="2508" spans="1:19" ht="21" customHeight="1" x14ac:dyDescent="0.25">
      <c r="A2508" s="14">
        <f>DATE(2012,12,31)-878</f>
        <v>40396</v>
      </c>
      <c r="B2508" s="15" t="s">
        <v>1671</v>
      </c>
      <c r="C2508" s="15" t="s">
        <v>43</v>
      </c>
      <c r="D2508" s="16">
        <v>27</v>
      </c>
      <c r="E2508" s="17">
        <v>80.790000000000006</v>
      </c>
      <c r="F2508" s="16">
        <v>0</v>
      </c>
      <c r="G2508" s="15" t="s">
        <v>32</v>
      </c>
      <c r="H2508" s="18">
        <v>12.58</v>
      </c>
      <c r="I2508" s="19">
        <v>2.88</v>
      </c>
      <c r="J2508" s="19">
        <v>0.7</v>
      </c>
      <c r="K2508" s="19" t="s">
        <v>124</v>
      </c>
      <c r="L2508" s="19" t="s">
        <v>493</v>
      </c>
      <c r="M2508" s="15" t="s">
        <v>1810</v>
      </c>
      <c r="N2508" s="15" t="s">
        <v>36</v>
      </c>
      <c r="O2508" s="15" t="s">
        <v>77</v>
      </c>
      <c r="P2508" s="20" t="s">
        <v>482</v>
      </c>
      <c r="Q2508" s="15" t="s">
        <v>79</v>
      </c>
      <c r="R2508" s="4"/>
      <c r="S2508" s="4"/>
    </row>
    <row r="2509" spans="1:19" ht="21" customHeight="1" x14ac:dyDescent="0.25">
      <c r="A2509" s="14">
        <f>DATE(2012,12,31)-843</f>
        <v>40431</v>
      </c>
      <c r="B2509" s="15" t="s">
        <v>311</v>
      </c>
      <c r="C2509" s="15" t="s">
        <v>85</v>
      </c>
      <c r="D2509" s="16">
        <v>29</v>
      </c>
      <c r="E2509" s="17">
        <v>1111.23</v>
      </c>
      <c r="F2509" s="16">
        <v>0.1</v>
      </c>
      <c r="G2509" s="15" t="s">
        <v>32</v>
      </c>
      <c r="H2509" s="18">
        <v>21.6</v>
      </c>
      <c r="I2509" s="19">
        <v>40.99</v>
      </c>
      <c r="J2509" s="19">
        <v>19.989999999999998</v>
      </c>
      <c r="K2509" s="19" t="s">
        <v>124</v>
      </c>
      <c r="L2509" s="19" t="s">
        <v>164</v>
      </c>
      <c r="M2509" s="15" t="s">
        <v>1228</v>
      </c>
      <c r="N2509" s="15" t="s">
        <v>36</v>
      </c>
      <c r="O2509" s="15" t="s">
        <v>117</v>
      </c>
      <c r="P2509" s="20" t="s">
        <v>619</v>
      </c>
      <c r="Q2509" s="15" t="s">
        <v>83</v>
      </c>
      <c r="R2509" s="4"/>
      <c r="S2509" s="4"/>
    </row>
    <row r="2510" spans="1:19" ht="21" customHeight="1" x14ac:dyDescent="0.25">
      <c r="A2510" s="14">
        <f>DATE(2012,12,31)-834</f>
        <v>40440</v>
      </c>
      <c r="B2510" s="15" t="s">
        <v>333</v>
      </c>
      <c r="C2510" s="15" t="s">
        <v>85</v>
      </c>
      <c r="D2510" s="16">
        <v>29</v>
      </c>
      <c r="E2510" s="17">
        <v>965.82</v>
      </c>
      <c r="F2510" s="16">
        <v>0.09</v>
      </c>
      <c r="G2510" s="15" t="s">
        <v>32</v>
      </c>
      <c r="H2510" s="18">
        <v>169.15</v>
      </c>
      <c r="I2510" s="19">
        <v>34.99</v>
      </c>
      <c r="J2510" s="19">
        <v>5.5</v>
      </c>
      <c r="K2510" s="19" t="s">
        <v>124</v>
      </c>
      <c r="L2510" s="19" t="s">
        <v>125</v>
      </c>
      <c r="M2510" s="15" t="s">
        <v>1829</v>
      </c>
      <c r="N2510" s="15" t="s">
        <v>64</v>
      </c>
      <c r="O2510" s="15" t="s">
        <v>72</v>
      </c>
      <c r="P2510" s="20" t="s">
        <v>1886</v>
      </c>
      <c r="Q2510" s="15" t="s">
        <v>83</v>
      </c>
      <c r="R2510" s="4"/>
      <c r="S2510" s="4"/>
    </row>
    <row r="2511" spans="1:19" ht="21" customHeight="1" x14ac:dyDescent="0.25">
      <c r="A2511" s="14">
        <f>DATE(2012,12,31)-888</f>
        <v>40386</v>
      </c>
      <c r="B2511" s="15" t="s">
        <v>1752</v>
      </c>
      <c r="C2511" s="15" t="s">
        <v>31</v>
      </c>
      <c r="D2511" s="16">
        <v>3</v>
      </c>
      <c r="E2511" s="17">
        <v>64.5</v>
      </c>
      <c r="F2511" s="16">
        <v>0.05</v>
      </c>
      <c r="G2511" s="15" t="s">
        <v>32</v>
      </c>
      <c r="H2511" s="18">
        <v>-55.11</v>
      </c>
      <c r="I2511" s="19">
        <v>20.89</v>
      </c>
      <c r="J2511" s="19">
        <v>1.99</v>
      </c>
      <c r="K2511" s="19" t="s">
        <v>124</v>
      </c>
      <c r="L2511" s="19" t="s">
        <v>319</v>
      </c>
      <c r="M2511" s="15" t="s">
        <v>1711</v>
      </c>
      <c r="N2511" s="15" t="s">
        <v>64</v>
      </c>
      <c r="O2511" s="15" t="s">
        <v>72</v>
      </c>
      <c r="P2511" s="20" t="s">
        <v>1652</v>
      </c>
      <c r="Q2511" s="15" t="s">
        <v>49</v>
      </c>
      <c r="R2511" s="4"/>
      <c r="S2511" s="4"/>
    </row>
    <row r="2512" spans="1:19" ht="21" customHeight="1" x14ac:dyDescent="0.25">
      <c r="A2512" s="14">
        <f>DATE(2012,12,31)-888</f>
        <v>40386</v>
      </c>
      <c r="B2512" s="15" t="s">
        <v>1752</v>
      </c>
      <c r="C2512" s="15" t="s">
        <v>31</v>
      </c>
      <c r="D2512" s="16">
        <v>25</v>
      </c>
      <c r="E2512" s="17">
        <v>9944.49</v>
      </c>
      <c r="F2512" s="16">
        <v>0.08</v>
      </c>
      <c r="G2512" s="15" t="s">
        <v>58</v>
      </c>
      <c r="H2512" s="18">
        <v>-969.0483660000001</v>
      </c>
      <c r="I2512" s="19">
        <v>400.98</v>
      </c>
      <c r="J2512" s="19">
        <v>76.37</v>
      </c>
      <c r="K2512" s="19" t="s">
        <v>124</v>
      </c>
      <c r="L2512" s="19" t="s">
        <v>319</v>
      </c>
      <c r="M2512" s="15" t="s">
        <v>1711</v>
      </c>
      <c r="N2512" s="15" t="s">
        <v>54</v>
      </c>
      <c r="O2512" s="15" t="s">
        <v>61</v>
      </c>
      <c r="P2512" s="20" t="s">
        <v>1001</v>
      </c>
      <c r="Q2512" s="15" t="s">
        <v>63</v>
      </c>
      <c r="R2512" s="4"/>
      <c r="S2512" s="4"/>
    </row>
    <row r="2513" spans="1:19" ht="21" customHeight="1" x14ac:dyDescent="0.25">
      <c r="A2513" s="14">
        <f>DATE(2012,12,31)-689</f>
        <v>40585</v>
      </c>
      <c r="B2513" s="15" t="s">
        <v>1839</v>
      </c>
      <c r="C2513" s="15" t="s">
        <v>85</v>
      </c>
      <c r="D2513" s="16">
        <v>1</v>
      </c>
      <c r="E2513" s="17">
        <v>172.34</v>
      </c>
      <c r="F2513" s="16">
        <v>0</v>
      </c>
      <c r="G2513" s="15" t="s">
        <v>32</v>
      </c>
      <c r="H2513" s="18">
        <v>-73.22</v>
      </c>
      <c r="I2513" s="19">
        <v>140.81</v>
      </c>
      <c r="J2513" s="19">
        <v>24.49</v>
      </c>
      <c r="K2513" s="19" t="s">
        <v>44</v>
      </c>
      <c r="L2513" s="19" t="s">
        <v>52</v>
      </c>
      <c r="M2513" s="15" t="s">
        <v>1685</v>
      </c>
      <c r="N2513" s="15" t="s">
        <v>54</v>
      </c>
      <c r="O2513" s="15" t="s">
        <v>252</v>
      </c>
      <c r="P2513" s="20" t="s">
        <v>1392</v>
      </c>
      <c r="Q2513" s="15" t="s">
        <v>39</v>
      </c>
      <c r="R2513" s="4"/>
      <c r="S2513" s="4"/>
    </row>
    <row r="2514" spans="1:19" ht="21" customHeight="1" x14ac:dyDescent="0.25">
      <c r="A2514" s="14">
        <f>DATE(2012,12,31)-1152</f>
        <v>40122</v>
      </c>
      <c r="B2514" s="15" t="s">
        <v>620</v>
      </c>
      <c r="C2514" s="15" t="s">
        <v>43</v>
      </c>
      <c r="D2514" s="16">
        <v>20</v>
      </c>
      <c r="E2514" s="17">
        <v>155.80000000000001</v>
      </c>
      <c r="F2514" s="16">
        <v>0</v>
      </c>
      <c r="G2514" s="15" t="s">
        <v>32</v>
      </c>
      <c r="H2514" s="18">
        <v>27.22</v>
      </c>
      <c r="I2514" s="19">
        <v>7.59</v>
      </c>
      <c r="J2514" s="19">
        <v>4</v>
      </c>
      <c r="K2514" s="19" t="s">
        <v>44</v>
      </c>
      <c r="L2514" s="19" t="s">
        <v>52</v>
      </c>
      <c r="M2514" s="15" t="s">
        <v>1685</v>
      </c>
      <c r="N2514" s="15" t="s">
        <v>54</v>
      </c>
      <c r="O2514" s="15" t="s">
        <v>55</v>
      </c>
      <c r="P2514" s="20" t="s">
        <v>951</v>
      </c>
      <c r="Q2514" s="15" t="s">
        <v>79</v>
      </c>
      <c r="R2514" s="4"/>
      <c r="S2514" s="4"/>
    </row>
    <row r="2515" spans="1:19" ht="21" customHeight="1" x14ac:dyDescent="0.25">
      <c r="A2515" s="14">
        <f>DATE(2012,12,31)-473</f>
        <v>40801</v>
      </c>
      <c r="B2515" s="15" t="s">
        <v>903</v>
      </c>
      <c r="C2515" s="15" t="s">
        <v>31</v>
      </c>
      <c r="D2515" s="16">
        <v>18</v>
      </c>
      <c r="E2515" s="17">
        <v>925.03</v>
      </c>
      <c r="F2515" s="16">
        <v>0.06</v>
      </c>
      <c r="G2515" s="15" t="s">
        <v>32</v>
      </c>
      <c r="H2515" s="18">
        <v>-3.680000000000021</v>
      </c>
      <c r="I2515" s="19">
        <v>49.99</v>
      </c>
      <c r="J2515" s="19">
        <v>19.989999999999998</v>
      </c>
      <c r="K2515" s="19" t="s">
        <v>44</v>
      </c>
      <c r="L2515" s="19" t="s">
        <v>236</v>
      </c>
      <c r="M2515" s="15" t="s">
        <v>1887</v>
      </c>
      <c r="N2515" s="15" t="s">
        <v>64</v>
      </c>
      <c r="O2515" s="15" t="s">
        <v>72</v>
      </c>
      <c r="P2515" s="20" t="s">
        <v>1565</v>
      </c>
      <c r="Q2515" s="15" t="s">
        <v>83</v>
      </c>
      <c r="R2515" s="4"/>
      <c r="S2515" s="4"/>
    </row>
    <row r="2516" spans="1:19" ht="21" customHeight="1" x14ac:dyDescent="0.25">
      <c r="A2516" s="14">
        <f>DATE(2012,12,31)-356</f>
        <v>40918</v>
      </c>
      <c r="B2516" s="15" t="s">
        <v>759</v>
      </c>
      <c r="C2516" s="15" t="s">
        <v>31</v>
      </c>
      <c r="D2516" s="16">
        <v>25</v>
      </c>
      <c r="E2516" s="17">
        <v>322.73</v>
      </c>
      <c r="F2516" s="16">
        <v>7.0000000000000007E-2</v>
      </c>
      <c r="G2516" s="15" t="s">
        <v>32</v>
      </c>
      <c r="H2516" s="18">
        <v>101.83</v>
      </c>
      <c r="I2516" s="19">
        <v>13.4</v>
      </c>
      <c r="J2516" s="19">
        <v>4.95</v>
      </c>
      <c r="K2516" s="19" t="s">
        <v>44</v>
      </c>
      <c r="L2516" s="19" t="s">
        <v>52</v>
      </c>
      <c r="M2516" s="15" t="s">
        <v>1685</v>
      </c>
      <c r="N2516" s="15" t="s">
        <v>54</v>
      </c>
      <c r="O2516" s="15" t="s">
        <v>55</v>
      </c>
      <c r="P2516" s="20" t="s">
        <v>1888</v>
      </c>
      <c r="Q2516" s="15" t="s">
        <v>49</v>
      </c>
      <c r="R2516" s="4"/>
      <c r="S2516" s="4"/>
    </row>
    <row r="2517" spans="1:19" ht="21" customHeight="1" x14ac:dyDescent="0.25">
      <c r="A2517" s="14">
        <f>DATE(2012,12,31)-1404</f>
        <v>39870</v>
      </c>
      <c r="B2517" s="15" t="s">
        <v>887</v>
      </c>
      <c r="C2517" s="15" t="s">
        <v>85</v>
      </c>
      <c r="D2517" s="16">
        <v>22</v>
      </c>
      <c r="E2517" s="17">
        <v>184.35</v>
      </c>
      <c r="F2517" s="16">
        <v>7.0000000000000007E-2</v>
      </c>
      <c r="G2517" s="15" t="s">
        <v>32</v>
      </c>
      <c r="H2517" s="18">
        <v>11.95</v>
      </c>
      <c r="I2517" s="19">
        <v>8.33</v>
      </c>
      <c r="J2517" s="19">
        <v>1.99</v>
      </c>
      <c r="K2517" s="19" t="s">
        <v>44</v>
      </c>
      <c r="L2517" s="19" t="s">
        <v>52</v>
      </c>
      <c r="M2517" s="15" t="s">
        <v>1685</v>
      </c>
      <c r="N2517" s="15" t="s">
        <v>64</v>
      </c>
      <c r="O2517" s="15" t="s">
        <v>72</v>
      </c>
      <c r="P2517" s="20" t="s">
        <v>966</v>
      </c>
      <c r="Q2517" s="15" t="s">
        <v>49</v>
      </c>
      <c r="R2517" s="4"/>
      <c r="S2517" s="4"/>
    </row>
    <row r="2518" spans="1:19" ht="21" customHeight="1" x14ac:dyDescent="0.25">
      <c r="A2518" s="14">
        <f>DATE(2012,12,31)-1404</f>
        <v>39870</v>
      </c>
      <c r="B2518" s="15" t="s">
        <v>887</v>
      </c>
      <c r="C2518" s="15" t="s">
        <v>85</v>
      </c>
      <c r="D2518" s="16">
        <v>20</v>
      </c>
      <c r="E2518" s="17">
        <v>10281.790000000001</v>
      </c>
      <c r="F2518" s="16">
        <v>0.03</v>
      </c>
      <c r="G2518" s="15" t="s">
        <v>32</v>
      </c>
      <c r="H2518" s="18">
        <v>3272.9</v>
      </c>
      <c r="I2518" s="19">
        <v>499.99</v>
      </c>
      <c r="J2518" s="19">
        <v>24.49</v>
      </c>
      <c r="K2518" s="19" t="s">
        <v>44</v>
      </c>
      <c r="L2518" s="19" t="s">
        <v>52</v>
      </c>
      <c r="M2518" s="15" t="s">
        <v>1685</v>
      </c>
      <c r="N2518" s="15" t="s">
        <v>64</v>
      </c>
      <c r="O2518" s="15" t="s">
        <v>460</v>
      </c>
      <c r="P2518" s="20" t="s">
        <v>1118</v>
      </c>
      <c r="Q2518" s="15" t="s">
        <v>39</v>
      </c>
      <c r="R2518" s="4"/>
      <c r="S2518" s="4"/>
    </row>
    <row r="2519" spans="1:19" ht="21" customHeight="1" x14ac:dyDescent="0.25">
      <c r="A2519" s="14">
        <f>DATE(2012,12,31)-1063</f>
        <v>40211</v>
      </c>
      <c r="B2519" s="15" t="s">
        <v>1311</v>
      </c>
      <c r="C2519" s="15" t="s">
        <v>31</v>
      </c>
      <c r="D2519" s="16">
        <v>23</v>
      </c>
      <c r="E2519" s="17">
        <v>441.99</v>
      </c>
      <c r="F2519" s="16">
        <v>0.08</v>
      </c>
      <c r="G2519" s="15" t="s">
        <v>101</v>
      </c>
      <c r="H2519" s="18">
        <v>32.36</v>
      </c>
      <c r="I2519" s="19">
        <v>19.98</v>
      </c>
      <c r="J2519" s="19">
        <v>8.68</v>
      </c>
      <c r="K2519" s="19" t="s">
        <v>44</v>
      </c>
      <c r="L2519" s="19" t="s">
        <v>52</v>
      </c>
      <c r="M2519" s="15" t="s">
        <v>1685</v>
      </c>
      <c r="N2519" s="15" t="s">
        <v>36</v>
      </c>
      <c r="O2519" s="15" t="s">
        <v>117</v>
      </c>
      <c r="P2519" s="20" t="s">
        <v>1274</v>
      </c>
      <c r="Q2519" s="15" t="s">
        <v>83</v>
      </c>
      <c r="R2519" s="4"/>
      <c r="S2519" s="4"/>
    </row>
    <row r="2520" spans="1:19" ht="21" customHeight="1" x14ac:dyDescent="0.25">
      <c r="A2520" s="14">
        <f>DATE(2012,12,31)-1063</f>
        <v>40211</v>
      </c>
      <c r="B2520" s="15" t="s">
        <v>1311</v>
      </c>
      <c r="C2520" s="15" t="s">
        <v>31</v>
      </c>
      <c r="D2520" s="16">
        <v>34</v>
      </c>
      <c r="E2520" s="17">
        <v>245.19</v>
      </c>
      <c r="F2520" s="16">
        <v>0.03</v>
      </c>
      <c r="G2520" s="15" t="s">
        <v>32</v>
      </c>
      <c r="H2520" s="18">
        <v>37.99</v>
      </c>
      <c r="I2520" s="19">
        <v>7.08</v>
      </c>
      <c r="J2520" s="19">
        <v>2.35</v>
      </c>
      <c r="K2520" s="19" t="s">
        <v>44</v>
      </c>
      <c r="L2520" s="19" t="s">
        <v>52</v>
      </c>
      <c r="M2520" s="15" t="s">
        <v>1685</v>
      </c>
      <c r="N2520" s="15" t="s">
        <v>36</v>
      </c>
      <c r="O2520" s="15" t="s">
        <v>77</v>
      </c>
      <c r="P2520" s="20" t="s">
        <v>1833</v>
      </c>
      <c r="Q2520" s="15" t="s">
        <v>79</v>
      </c>
      <c r="R2520" s="4"/>
      <c r="S2520" s="4"/>
    </row>
    <row r="2521" spans="1:19" ht="21" customHeight="1" x14ac:dyDescent="0.25">
      <c r="A2521" s="14">
        <f>DATE(2012,12,31)-1179</f>
        <v>40095</v>
      </c>
      <c r="B2521" s="15" t="s">
        <v>1103</v>
      </c>
      <c r="C2521" s="15" t="s">
        <v>43</v>
      </c>
      <c r="D2521" s="16">
        <v>30</v>
      </c>
      <c r="E2521" s="17">
        <v>114.12</v>
      </c>
      <c r="F2521" s="16">
        <v>0.05</v>
      </c>
      <c r="G2521" s="15" t="s">
        <v>32</v>
      </c>
      <c r="H2521" s="18">
        <v>15.725</v>
      </c>
      <c r="I2521" s="19">
        <v>3.8</v>
      </c>
      <c r="J2521" s="19">
        <v>1.49</v>
      </c>
      <c r="K2521" s="19" t="s">
        <v>44</v>
      </c>
      <c r="L2521" s="19" t="s">
        <v>52</v>
      </c>
      <c r="M2521" s="15" t="s">
        <v>1685</v>
      </c>
      <c r="N2521" s="15" t="s">
        <v>36</v>
      </c>
      <c r="O2521" s="15" t="s">
        <v>170</v>
      </c>
      <c r="P2521" s="20" t="s">
        <v>611</v>
      </c>
      <c r="Q2521" s="15" t="s">
        <v>83</v>
      </c>
      <c r="R2521" s="4"/>
      <c r="S2521" s="4"/>
    </row>
    <row r="2522" spans="1:19" ht="21" customHeight="1" x14ac:dyDescent="0.25">
      <c r="A2522" s="14">
        <f>DATE(2012,12,31)-1179</f>
        <v>40095</v>
      </c>
      <c r="B2522" s="15" t="s">
        <v>1103</v>
      </c>
      <c r="C2522" s="15" t="s">
        <v>43</v>
      </c>
      <c r="D2522" s="16">
        <v>15</v>
      </c>
      <c r="E2522" s="17">
        <v>436.05</v>
      </c>
      <c r="F2522" s="16">
        <v>0.09</v>
      </c>
      <c r="G2522" s="15" t="s">
        <v>32</v>
      </c>
      <c r="H2522" s="18">
        <v>-92.58</v>
      </c>
      <c r="I2522" s="19">
        <v>30.73</v>
      </c>
      <c r="J2522" s="19">
        <v>4</v>
      </c>
      <c r="K2522" s="19" t="s">
        <v>44</v>
      </c>
      <c r="L2522" s="19" t="s">
        <v>52</v>
      </c>
      <c r="M2522" s="15" t="s">
        <v>1685</v>
      </c>
      <c r="N2522" s="15" t="s">
        <v>64</v>
      </c>
      <c r="O2522" s="15" t="s">
        <v>72</v>
      </c>
      <c r="P2522" s="20" t="s">
        <v>971</v>
      </c>
      <c r="Q2522" s="15" t="s">
        <v>83</v>
      </c>
      <c r="R2522" s="4"/>
      <c r="S2522" s="4"/>
    </row>
    <row r="2523" spans="1:19" ht="21" customHeight="1" x14ac:dyDescent="0.25">
      <c r="A2523" s="14">
        <f>DATE(2012,12,31)-1179</f>
        <v>40095</v>
      </c>
      <c r="B2523" s="15" t="s">
        <v>1103</v>
      </c>
      <c r="C2523" s="15" t="s">
        <v>43</v>
      </c>
      <c r="D2523" s="16">
        <v>49</v>
      </c>
      <c r="E2523" s="17">
        <v>5247.4835000000003</v>
      </c>
      <c r="F2523" s="16">
        <v>0</v>
      </c>
      <c r="G2523" s="15" t="s">
        <v>32</v>
      </c>
      <c r="H2523" s="18">
        <v>1465.866</v>
      </c>
      <c r="I2523" s="19">
        <v>125.99</v>
      </c>
      <c r="J2523" s="19">
        <v>8.08</v>
      </c>
      <c r="K2523" s="19" t="s">
        <v>44</v>
      </c>
      <c r="L2523" s="19" t="s">
        <v>52</v>
      </c>
      <c r="M2523" s="15" t="s">
        <v>1685</v>
      </c>
      <c r="N2523" s="15" t="s">
        <v>64</v>
      </c>
      <c r="O2523" s="15" t="s">
        <v>65</v>
      </c>
      <c r="P2523" s="20" t="s">
        <v>174</v>
      </c>
      <c r="Q2523" s="15" t="s">
        <v>83</v>
      </c>
      <c r="R2523" s="4"/>
      <c r="S2523" s="4"/>
    </row>
    <row r="2524" spans="1:19" ht="21" customHeight="1" x14ac:dyDescent="0.25">
      <c r="A2524" s="14">
        <f>DATE(2012,12,31)-1347</f>
        <v>39927</v>
      </c>
      <c r="B2524" s="15" t="s">
        <v>1007</v>
      </c>
      <c r="C2524" s="15" t="s">
        <v>43</v>
      </c>
      <c r="D2524" s="16">
        <v>1</v>
      </c>
      <c r="E2524" s="17">
        <v>7.96</v>
      </c>
      <c r="F2524" s="16">
        <v>0</v>
      </c>
      <c r="G2524" s="15" t="s">
        <v>101</v>
      </c>
      <c r="H2524" s="18">
        <v>-0.10999999999999943</v>
      </c>
      <c r="I2524" s="19">
        <v>2.88</v>
      </c>
      <c r="J2524" s="19">
        <v>0.7</v>
      </c>
      <c r="K2524" s="19" t="s">
        <v>44</v>
      </c>
      <c r="L2524" s="19" t="s">
        <v>52</v>
      </c>
      <c r="M2524" s="15" t="s">
        <v>1685</v>
      </c>
      <c r="N2524" s="15" t="s">
        <v>36</v>
      </c>
      <c r="O2524" s="15" t="s">
        <v>77</v>
      </c>
      <c r="P2524" s="20" t="s">
        <v>95</v>
      </c>
      <c r="Q2524" s="15" t="s">
        <v>79</v>
      </c>
      <c r="R2524" s="4"/>
      <c r="S2524" s="4"/>
    </row>
    <row r="2525" spans="1:19" ht="21" customHeight="1" x14ac:dyDescent="0.25">
      <c r="A2525" s="14">
        <f>DATE(2012,12,31)-563</f>
        <v>40711</v>
      </c>
      <c r="B2525" s="15" t="s">
        <v>595</v>
      </c>
      <c r="C2525" s="15" t="s">
        <v>85</v>
      </c>
      <c r="D2525" s="16">
        <v>20</v>
      </c>
      <c r="E2525" s="17">
        <v>148.65</v>
      </c>
      <c r="F2525" s="16">
        <v>0.1</v>
      </c>
      <c r="G2525" s="15" t="s">
        <v>101</v>
      </c>
      <c r="H2525" s="18">
        <v>-142.78</v>
      </c>
      <c r="I2525" s="19">
        <v>7.28</v>
      </c>
      <c r="J2525" s="19">
        <v>11.15</v>
      </c>
      <c r="K2525" s="19" t="s">
        <v>44</v>
      </c>
      <c r="L2525" s="19" t="s">
        <v>236</v>
      </c>
      <c r="M2525" s="15" t="s">
        <v>1887</v>
      </c>
      <c r="N2525" s="15" t="s">
        <v>36</v>
      </c>
      <c r="O2525" s="15" t="s">
        <v>117</v>
      </c>
      <c r="P2525" s="20" t="s">
        <v>1324</v>
      </c>
      <c r="Q2525" s="15" t="s">
        <v>83</v>
      </c>
      <c r="R2525" s="4"/>
      <c r="S2525" s="4"/>
    </row>
    <row r="2526" spans="1:19" ht="21" customHeight="1" x14ac:dyDescent="0.25">
      <c r="A2526" s="14">
        <f>DATE(2012,12,31)-563</f>
        <v>40711</v>
      </c>
      <c r="B2526" s="15" t="s">
        <v>595</v>
      </c>
      <c r="C2526" s="15" t="s">
        <v>85</v>
      </c>
      <c r="D2526" s="16">
        <v>28</v>
      </c>
      <c r="E2526" s="17">
        <v>198.21</v>
      </c>
      <c r="F2526" s="16">
        <v>0.01</v>
      </c>
      <c r="G2526" s="15" t="s">
        <v>101</v>
      </c>
      <c r="H2526" s="18">
        <v>-163.28</v>
      </c>
      <c r="I2526" s="19">
        <v>6.48</v>
      </c>
      <c r="J2526" s="19">
        <v>10.050000000000001</v>
      </c>
      <c r="K2526" s="19" t="s">
        <v>44</v>
      </c>
      <c r="L2526" s="19" t="s">
        <v>52</v>
      </c>
      <c r="M2526" s="15" t="s">
        <v>1685</v>
      </c>
      <c r="N2526" s="15" t="s">
        <v>36</v>
      </c>
      <c r="O2526" s="15" t="s">
        <v>117</v>
      </c>
      <c r="P2526" s="20" t="s">
        <v>200</v>
      </c>
      <c r="Q2526" s="15" t="s">
        <v>83</v>
      </c>
      <c r="R2526" s="4"/>
      <c r="S2526" s="4"/>
    </row>
    <row r="2527" spans="1:19" ht="21" customHeight="1" x14ac:dyDescent="0.25">
      <c r="A2527" s="14">
        <f>DATE(2012,12,31)-897</f>
        <v>40377</v>
      </c>
      <c r="B2527" s="15" t="s">
        <v>762</v>
      </c>
      <c r="C2527" s="15" t="s">
        <v>85</v>
      </c>
      <c r="D2527" s="16">
        <v>39</v>
      </c>
      <c r="E2527" s="17">
        <v>237.89</v>
      </c>
      <c r="F2527" s="16">
        <v>0</v>
      </c>
      <c r="G2527" s="15" t="s">
        <v>32</v>
      </c>
      <c r="H2527" s="18">
        <v>-165.26</v>
      </c>
      <c r="I2527" s="19">
        <v>5.78</v>
      </c>
      <c r="J2527" s="19">
        <v>7.96</v>
      </c>
      <c r="K2527" s="19" t="s">
        <v>44</v>
      </c>
      <c r="L2527" s="19" t="s">
        <v>52</v>
      </c>
      <c r="M2527" s="15" t="s">
        <v>1685</v>
      </c>
      <c r="N2527" s="15" t="s">
        <v>36</v>
      </c>
      <c r="O2527" s="15" t="s">
        <v>117</v>
      </c>
      <c r="P2527" s="20" t="s">
        <v>1017</v>
      </c>
      <c r="Q2527" s="15" t="s">
        <v>83</v>
      </c>
      <c r="R2527" s="4"/>
      <c r="S2527" s="4"/>
    </row>
    <row r="2528" spans="1:19" ht="21" customHeight="1" x14ac:dyDescent="0.25">
      <c r="A2528" s="14">
        <f>DATE(2012,12,31)-31</f>
        <v>41243</v>
      </c>
      <c r="B2528" s="15" t="s">
        <v>1889</v>
      </c>
      <c r="C2528" s="15" t="s">
        <v>43</v>
      </c>
      <c r="D2528" s="16">
        <v>3</v>
      </c>
      <c r="E2528" s="17">
        <v>212.91</v>
      </c>
      <c r="F2528" s="16">
        <v>0</v>
      </c>
      <c r="G2528" s="15" t="s">
        <v>32</v>
      </c>
      <c r="H2528" s="18">
        <v>-65.150000000000006</v>
      </c>
      <c r="I2528" s="19">
        <v>70.97</v>
      </c>
      <c r="J2528" s="19">
        <v>3.5</v>
      </c>
      <c r="K2528" s="19" t="s">
        <v>44</v>
      </c>
      <c r="L2528" s="19" t="s">
        <v>52</v>
      </c>
      <c r="M2528" s="15" t="s">
        <v>1685</v>
      </c>
      <c r="N2528" s="15" t="s">
        <v>36</v>
      </c>
      <c r="O2528" s="15" t="s">
        <v>176</v>
      </c>
      <c r="P2528" s="20" t="s">
        <v>339</v>
      </c>
      <c r="Q2528" s="15" t="s">
        <v>83</v>
      </c>
      <c r="R2528" s="4"/>
      <c r="S2528" s="4"/>
    </row>
    <row r="2529" spans="1:19" ht="21" customHeight="1" x14ac:dyDescent="0.25">
      <c r="A2529" s="14">
        <f>DATE(2012,12,31)-31</f>
        <v>41243</v>
      </c>
      <c r="B2529" s="15" t="s">
        <v>1889</v>
      </c>
      <c r="C2529" s="15" t="s">
        <v>43</v>
      </c>
      <c r="D2529" s="16">
        <v>35</v>
      </c>
      <c r="E2529" s="17">
        <v>1275.6099999999999</v>
      </c>
      <c r="F2529" s="16">
        <v>0.08</v>
      </c>
      <c r="G2529" s="15" t="s">
        <v>32</v>
      </c>
      <c r="H2529" s="18">
        <v>517.33000000000004</v>
      </c>
      <c r="I2529" s="19">
        <v>37.94</v>
      </c>
      <c r="J2529" s="19">
        <v>5.08</v>
      </c>
      <c r="K2529" s="19" t="s">
        <v>44</v>
      </c>
      <c r="L2529" s="19" t="s">
        <v>236</v>
      </c>
      <c r="M2529" s="15" t="s">
        <v>1887</v>
      </c>
      <c r="N2529" s="15" t="s">
        <v>36</v>
      </c>
      <c r="O2529" s="15" t="s">
        <v>117</v>
      </c>
      <c r="P2529" s="20" t="s">
        <v>902</v>
      </c>
      <c r="Q2529" s="15" t="s">
        <v>79</v>
      </c>
      <c r="R2529" s="4"/>
      <c r="S2529" s="4"/>
    </row>
    <row r="2530" spans="1:19" ht="21" customHeight="1" x14ac:dyDescent="0.25">
      <c r="A2530" s="14">
        <f>DATE(2012,12,31)-31</f>
        <v>41243</v>
      </c>
      <c r="B2530" s="15" t="s">
        <v>1889</v>
      </c>
      <c r="C2530" s="15" t="s">
        <v>43</v>
      </c>
      <c r="D2530" s="16">
        <v>3</v>
      </c>
      <c r="E2530" s="17">
        <v>5972.59</v>
      </c>
      <c r="F2530" s="16">
        <v>0.06</v>
      </c>
      <c r="G2530" s="15" t="s">
        <v>58</v>
      </c>
      <c r="H2530" s="18">
        <v>-4852.5293999999994</v>
      </c>
      <c r="I2530" s="19">
        <v>2036.48</v>
      </c>
      <c r="J2530" s="19">
        <v>14.7</v>
      </c>
      <c r="K2530" s="19" t="s">
        <v>44</v>
      </c>
      <c r="L2530" s="19" t="s">
        <v>52</v>
      </c>
      <c r="M2530" s="15" t="s">
        <v>1685</v>
      </c>
      <c r="N2530" s="15" t="s">
        <v>64</v>
      </c>
      <c r="O2530" s="15" t="s">
        <v>122</v>
      </c>
      <c r="P2530" s="20" t="s">
        <v>642</v>
      </c>
      <c r="Q2530" s="15" t="s">
        <v>181</v>
      </c>
      <c r="R2530" s="4"/>
      <c r="S2530" s="4"/>
    </row>
    <row r="2531" spans="1:19" ht="21" customHeight="1" x14ac:dyDescent="0.25">
      <c r="A2531" s="14">
        <f>DATE(2012,12,31)-718</f>
        <v>40556</v>
      </c>
      <c r="B2531" s="15" t="s">
        <v>491</v>
      </c>
      <c r="C2531" s="15" t="s">
        <v>31</v>
      </c>
      <c r="D2531" s="16">
        <v>41</v>
      </c>
      <c r="E2531" s="17">
        <v>1271.0474999999999</v>
      </c>
      <c r="F2531" s="16">
        <v>0</v>
      </c>
      <c r="G2531" s="15" t="s">
        <v>32</v>
      </c>
      <c r="H2531" s="18">
        <v>-158.23500000000001</v>
      </c>
      <c r="I2531" s="19">
        <v>35.99</v>
      </c>
      <c r="J2531" s="19">
        <v>5</v>
      </c>
      <c r="K2531" s="19" t="s">
        <v>44</v>
      </c>
      <c r="L2531" s="19" t="s">
        <v>52</v>
      </c>
      <c r="M2531" s="15" t="s">
        <v>1685</v>
      </c>
      <c r="N2531" s="15" t="s">
        <v>64</v>
      </c>
      <c r="O2531" s="15" t="s">
        <v>65</v>
      </c>
      <c r="P2531" s="20" t="s">
        <v>1745</v>
      </c>
      <c r="Q2531" s="15" t="s">
        <v>83</v>
      </c>
      <c r="R2531" s="4"/>
      <c r="S2531" s="4"/>
    </row>
    <row r="2532" spans="1:19" ht="21" customHeight="1" x14ac:dyDescent="0.25">
      <c r="A2532" s="14">
        <f>DATE(2012,12,31)-1200</f>
        <v>40074</v>
      </c>
      <c r="B2532" s="15" t="s">
        <v>854</v>
      </c>
      <c r="C2532" s="15" t="s">
        <v>85</v>
      </c>
      <c r="D2532" s="16">
        <v>30</v>
      </c>
      <c r="E2532" s="17">
        <v>1394.36</v>
      </c>
      <c r="F2532" s="16">
        <v>0</v>
      </c>
      <c r="G2532" s="15" t="s">
        <v>32</v>
      </c>
      <c r="H2532" s="18">
        <v>271.45</v>
      </c>
      <c r="I2532" s="19">
        <v>43.98</v>
      </c>
      <c r="J2532" s="19">
        <v>8.99</v>
      </c>
      <c r="K2532" s="19" t="s">
        <v>44</v>
      </c>
      <c r="L2532" s="19" t="s">
        <v>52</v>
      </c>
      <c r="M2532" s="15" t="s">
        <v>1685</v>
      </c>
      <c r="N2532" s="15" t="s">
        <v>36</v>
      </c>
      <c r="O2532" s="15" t="s">
        <v>77</v>
      </c>
      <c r="P2532" s="20" t="s">
        <v>173</v>
      </c>
      <c r="Q2532" s="15" t="s">
        <v>49</v>
      </c>
      <c r="R2532" s="4"/>
      <c r="S2532" s="4"/>
    </row>
    <row r="2533" spans="1:19" ht="21" customHeight="1" x14ac:dyDescent="0.25">
      <c r="A2533" s="14">
        <f>DATE(2012,12,31)-263</f>
        <v>41011</v>
      </c>
      <c r="B2533" s="15" t="s">
        <v>223</v>
      </c>
      <c r="C2533" s="15" t="s">
        <v>85</v>
      </c>
      <c r="D2533" s="16">
        <v>35</v>
      </c>
      <c r="E2533" s="17">
        <v>6608.24</v>
      </c>
      <c r="F2533" s="16">
        <v>0.09</v>
      </c>
      <c r="G2533" s="15" t="s">
        <v>32</v>
      </c>
      <c r="H2533" s="18">
        <v>2164.64</v>
      </c>
      <c r="I2533" s="19">
        <v>207.48</v>
      </c>
      <c r="J2533" s="19">
        <v>0.99</v>
      </c>
      <c r="K2533" s="19" t="s">
        <v>124</v>
      </c>
      <c r="L2533" s="19" t="s">
        <v>160</v>
      </c>
      <c r="M2533" s="15" t="s">
        <v>1621</v>
      </c>
      <c r="N2533" s="15" t="s">
        <v>36</v>
      </c>
      <c r="O2533" s="15" t="s">
        <v>176</v>
      </c>
      <c r="P2533" s="20" t="s">
        <v>349</v>
      </c>
      <c r="Q2533" s="15" t="s">
        <v>83</v>
      </c>
      <c r="R2533" s="4"/>
      <c r="S2533" s="4"/>
    </row>
    <row r="2534" spans="1:19" ht="21" customHeight="1" x14ac:dyDescent="0.25">
      <c r="A2534" s="14">
        <f>DATE(2012,12,31)-92</f>
        <v>41182</v>
      </c>
      <c r="B2534" s="15" t="s">
        <v>1890</v>
      </c>
      <c r="C2534" s="15" t="s">
        <v>31</v>
      </c>
      <c r="D2534" s="16">
        <v>21</v>
      </c>
      <c r="E2534" s="17">
        <v>150.16</v>
      </c>
      <c r="F2534" s="16">
        <v>0.09</v>
      </c>
      <c r="G2534" s="15" t="s">
        <v>32</v>
      </c>
      <c r="H2534" s="18">
        <v>-32.78</v>
      </c>
      <c r="I2534" s="19">
        <v>7.28</v>
      </c>
      <c r="J2534" s="19">
        <v>5.47</v>
      </c>
      <c r="K2534" s="19" t="s">
        <v>33</v>
      </c>
      <c r="L2534" s="19" t="s">
        <v>145</v>
      </c>
      <c r="M2534" s="15" t="s">
        <v>1761</v>
      </c>
      <c r="N2534" s="15" t="s">
        <v>36</v>
      </c>
      <c r="O2534" s="15" t="s">
        <v>117</v>
      </c>
      <c r="P2534" s="20" t="s">
        <v>1606</v>
      </c>
      <c r="Q2534" s="15" t="s">
        <v>83</v>
      </c>
      <c r="R2534" s="4"/>
      <c r="S2534" s="4"/>
    </row>
    <row r="2535" spans="1:19" ht="21" customHeight="1" x14ac:dyDescent="0.25">
      <c r="A2535" s="14">
        <f>DATE(2012,12,31)-466</f>
        <v>40808</v>
      </c>
      <c r="B2535" s="15" t="s">
        <v>1080</v>
      </c>
      <c r="C2535" s="15" t="s">
        <v>31</v>
      </c>
      <c r="D2535" s="16">
        <v>20</v>
      </c>
      <c r="E2535" s="17">
        <v>76.89</v>
      </c>
      <c r="F2535" s="16">
        <v>0.03</v>
      </c>
      <c r="G2535" s="15" t="s">
        <v>32</v>
      </c>
      <c r="H2535" s="18">
        <v>31.64</v>
      </c>
      <c r="I2535" s="19">
        <v>3.75</v>
      </c>
      <c r="J2535" s="19">
        <v>0.5</v>
      </c>
      <c r="K2535" s="19" t="s">
        <v>44</v>
      </c>
      <c r="L2535" s="19" t="s">
        <v>89</v>
      </c>
      <c r="M2535" s="15" t="s">
        <v>1809</v>
      </c>
      <c r="N2535" s="15" t="s">
        <v>36</v>
      </c>
      <c r="O2535" s="15" t="s">
        <v>114</v>
      </c>
      <c r="P2535" s="20" t="s">
        <v>982</v>
      </c>
      <c r="Q2535" s="15" t="s">
        <v>83</v>
      </c>
      <c r="R2535" s="4"/>
      <c r="S2535" s="4"/>
    </row>
    <row r="2536" spans="1:19" ht="21" customHeight="1" x14ac:dyDescent="0.25">
      <c r="A2536" s="14">
        <f>DATE(2012,12,31)-391</f>
        <v>40883</v>
      </c>
      <c r="B2536" s="15" t="s">
        <v>1172</v>
      </c>
      <c r="C2536" s="15" t="s">
        <v>43</v>
      </c>
      <c r="D2536" s="16">
        <v>29</v>
      </c>
      <c r="E2536" s="17">
        <v>598.49</v>
      </c>
      <c r="F2536" s="16">
        <v>0.05</v>
      </c>
      <c r="G2536" s="15" t="s">
        <v>32</v>
      </c>
      <c r="H2536" s="18">
        <v>34.159999999999997</v>
      </c>
      <c r="I2536" s="19">
        <v>20.95</v>
      </c>
      <c r="J2536" s="19">
        <v>4</v>
      </c>
      <c r="K2536" s="19" t="s">
        <v>44</v>
      </c>
      <c r="L2536" s="19" t="s">
        <v>80</v>
      </c>
      <c r="M2536" s="15" t="s">
        <v>1823</v>
      </c>
      <c r="N2536" s="15" t="s">
        <v>64</v>
      </c>
      <c r="O2536" s="15" t="s">
        <v>72</v>
      </c>
      <c r="P2536" s="20" t="s">
        <v>1259</v>
      </c>
      <c r="Q2536" s="15" t="s">
        <v>83</v>
      </c>
      <c r="R2536" s="4"/>
      <c r="S2536" s="4"/>
    </row>
    <row r="2537" spans="1:19" ht="21" customHeight="1" x14ac:dyDescent="0.25">
      <c r="A2537" s="14">
        <f>DATE(2012,12,31)-1220</f>
        <v>40054</v>
      </c>
      <c r="B2537" s="15" t="s">
        <v>518</v>
      </c>
      <c r="C2537" s="15" t="s">
        <v>31</v>
      </c>
      <c r="D2537" s="16">
        <v>5</v>
      </c>
      <c r="E2537" s="17">
        <v>1548.45</v>
      </c>
      <c r="F2537" s="16">
        <v>0.03</v>
      </c>
      <c r="G2537" s="15" t="s">
        <v>58</v>
      </c>
      <c r="H2537" s="18">
        <v>-224.2</v>
      </c>
      <c r="I2537" s="19">
        <v>284.98</v>
      </c>
      <c r="J2537" s="19">
        <v>69.55</v>
      </c>
      <c r="K2537" s="19" t="s">
        <v>33</v>
      </c>
      <c r="L2537" s="19" t="s">
        <v>145</v>
      </c>
      <c r="M2537" s="15" t="s">
        <v>1761</v>
      </c>
      <c r="N2537" s="15" t="s">
        <v>54</v>
      </c>
      <c r="O2537" s="15" t="s">
        <v>252</v>
      </c>
      <c r="P2537" s="20" t="s">
        <v>1647</v>
      </c>
      <c r="Q2537" s="15" t="s">
        <v>181</v>
      </c>
      <c r="R2537" s="4"/>
      <c r="S2537" s="4"/>
    </row>
    <row r="2538" spans="1:19" ht="21" customHeight="1" x14ac:dyDescent="0.25">
      <c r="A2538" s="14">
        <f>DATE(2012,12,31)-1220</f>
        <v>40054</v>
      </c>
      <c r="B2538" s="15" t="s">
        <v>518</v>
      </c>
      <c r="C2538" s="15" t="s">
        <v>31</v>
      </c>
      <c r="D2538" s="16">
        <v>3</v>
      </c>
      <c r="E2538" s="17">
        <v>56.07</v>
      </c>
      <c r="F2538" s="16">
        <v>0</v>
      </c>
      <c r="G2538" s="15" t="s">
        <v>32</v>
      </c>
      <c r="H2538" s="18">
        <v>10.49</v>
      </c>
      <c r="I2538" s="19">
        <v>12.99</v>
      </c>
      <c r="J2538" s="19">
        <v>14.37</v>
      </c>
      <c r="K2538" s="19" t="s">
        <v>44</v>
      </c>
      <c r="L2538" s="19" t="s">
        <v>236</v>
      </c>
      <c r="M2538" s="15" t="s">
        <v>1887</v>
      </c>
      <c r="N2538" s="15" t="s">
        <v>54</v>
      </c>
      <c r="O2538" s="15" t="s">
        <v>55</v>
      </c>
      <c r="P2538" s="20" t="s">
        <v>1696</v>
      </c>
      <c r="Q2538" s="15" t="s">
        <v>39</v>
      </c>
      <c r="R2538" s="4"/>
      <c r="S2538" s="4"/>
    </row>
    <row r="2539" spans="1:19" ht="21" customHeight="1" x14ac:dyDescent="0.25">
      <c r="A2539" s="14">
        <f>DATE(2012,12,31)-1454</f>
        <v>39820</v>
      </c>
      <c r="B2539" s="15" t="s">
        <v>1660</v>
      </c>
      <c r="C2539" s="15" t="s">
        <v>85</v>
      </c>
      <c r="D2539" s="16">
        <v>30</v>
      </c>
      <c r="E2539" s="17">
        <v>610.65</v>
      </c>
      <c r="F2539" s="16">
        <v>0.09</v>
      </c>
      <c r="G2539" s="15" t="s">
        <v>101</v>
      </c>
      <c r="H2539" s="18">
        <v>60.273499999999999</v>
      </c>
      <c r="I2539" s="19">
        <v>20.98</v>
      </c>
      <c r="J2539" s="19">
        <v>8.83</v>
      </c>
      <c r="K2539" s="19" t="s">
        <v>33</v>
      </c>
      <c r="L2539" s="19" t="s">
        <v>93</v>
      </c>
      <c r="M2539" s="15" t="s">
        <v>94</v>
      </c>
      <c r="N2539" s="15" t="s">
        <v>36</v>
      </c>
      <c r="O2539" s="15" t="s">
        <v>170</v>
      </c>
      <c r="P2539" s="20" t="s">
        <v>1891</v>
      </c>
      <c r="Q2539" s="15" t="s">
        <v>83</v>
      </c>
      <c r="R2539" s="4"/>
      <c r="S2539" s="4"/>
    </row>
    <row r="2540" spans="1:19" ht="21" customHeight="1" x14ac:dyDescent="0.25">
      <c r="A2540" s="14">
        <f>DATE(2012,12,31)-1454</f>
        <v>39820</v>
      </c>
      <c r="B2540" s="15" t="s">
        <v>1660</v>
      </c>
      <c r="C2540" s="15" t="s">
        <v>85</v>
      </c>
      <c r="D2540" s="16">
        <v>2</v>
      </c>
      <c r="E2540" s="17">
        <v>158.04</v>
      </c>
      <c r="F2540" s="16">
        <v>0.03</v>
      </c>
      <c r="G2540" s="15" t="s">
        <v>32</v>
      </c>
      <c r="H2540" s="18">
        <v>-263.08999999999997</v>
      </c>
      <c r="I2540" s="19">
        <v>73.98</v>
      </c>
      <c r="J2540" s="19">
        <v>14.52</v>
      </c>
      <c r="K2540" s="19" t="s">
        <v>124</v>
      </c>
      <c r="L2540" s="19" t="s">
        <v>160</v>
      </c>
      <c r="M2540" s="15" t="s">
        <v>1621</v>
      </c>
      <c r="N2540" s="15" t="s">
        <v>64</v>
      </c>
      <c r="O2540" s="15" t="s">
        <v>72</v>
      </c>
      <c r="P2540" s="20" t="s">
        <v>842</v>
      </c>
      <c r="Q2540" s="15" t="s">
        <v>83</v>
      </c>
      <c r="R2540" s="4"/>
      <c r="S2540" s="4"/>
    </row>
    <row r="2541" spans="1:19" ht="21" customHeight="1" x14ac:dyDescent="0.25">
      <c r="A2541" s="14">
        <f>DATE(2012,12,31)-660</f>
        <v>40614</v>
      </c>
      <c r="B2541" s="15" t="s">
        <v>504</v>
      </c>
      <c r="C2541" s="15" t="s">
        <v>51</v>
      </c>
      <c r="D2541" s="16">
        <v>42</v>
      </c>
      <c r="E2541" s="17">
        <v>451.32</v>
      </c>
      <c r="F2541" s="16">
        <v>0.04</v>
      </c>
      <c r="G2541" s="15" t="s">
        <v>32</v>
      </c>
      <c r="H2541" s="18">
        <v>1.1599999999999999</v>
      </c>
      <c r="I2541" s="19">
        <v>10.64</v>
      </c>
      <c r="J2541" s="19">
        <v>5.16</v>
      </c>
      <c r="K2541" s="19" t="s">
        <v>44</v>
      </c>
      <c r="L2541" s="19" t="s">
        <v>236</v>
      </c>
      <c r="M2541" s="15" t="s">
        <v>1887</v>
      </c>
      <c r="N2541" s="15" t="s">
        <v>54</v>
      </c>
      <c r="O2541" s="15" t="s">
        <v>55</v>
      </c>
      <c r="P2541" s="20" t="s">
        <v>607</v>
      </c>
      <c r="Q2541" s="15" t="s">
        <v>83</v>
      </c>
      <c r="R2541" s="4"/>
      <c r="S2541" s="4"/>
    </row>
    <row r="2542" spans="1:19" ht="21" customHeight="1" x14ac:dyDescent="0.25">
      <c r="A2542" s="14">
        <f>DATE(2012,12,31)-660</f>
        <v>40614</v>
      </c>
      <c r="B2542" s="15" t="s">
        <v>504</v>
      </c>
      <c r="C2542" s="15" t="s">
        <v>51</v>
      </c>
      <c r="D2542" s="16">
        <v>15</v>
      </c>
      <c r="E2542" s="17">
        <v>217.66</v>
      </c>
      <c r="F2542" s="16">
        <v>0.1</v>
      </c>
      <c r="G2542" s="15" t="s">
        <v>101</v>
      </c>
      <c r="H2542" s="18">
        <v>-24.91</v>
      </c>
      <c r="I2542" s="19">
        <v>14.42</v>
      </c>
      <c r="J2542" s="19">
        <v>6.75</v>
      </c>
      <c r="K2542" s="19" t="s">
        <v>124</v>
      </c>
      <c r="L2542" s="19" t="s">
        <v>160</v>
      </c>
      <c r="M2542" s="15" t="s">
        <v>1621</v>
      </c>
      <c r="N2542" s="15" t="s">
        <v>36</v>
      </c>
      <c r="O2542" s="15" t="s">
        <v>176</v>
      </c>
      <c r="P2542" s="20" t="s">
        <v>411</v>
      </c>
      <c r="Q2542" s="15" t="s">
        <v>57</v>
      </c>
      <c r="R2542" s="4"/>
      <c r="S2542" s="4"/>
    </row>
    <row r="2543" spans="1:19" ht="21" customHeight="1" x14ac:dyDescent="0.25">
      <c r="A2543" s="14">
        <f>DATE(2012,12,31)-660</f>
        <v>40614</v>
      </c>
      <c r="B2543" s="15" t="s">
        <v>504</v>
      </c>
      <c r="C2543" s="15" t="s">
        <v>51</v>
      </c>
      <c r="D2543" s="16">
        <v>5</v>
      </c>
      <c r="E2543" s="17">
        <v>1374.67</v>
      </c>
      <c r="F2543" s="16">
        <v>0.08</v>
      </c>
      <c r="G2543" s="15" t="s">
        <v>58</v>
      </c>
      <c r="H2543" s="18">
        <v>-126.34</v>
      </c>
      <c r="I2543" s="19">
        <v>279.81</v>
      </c>
      <c r="J2543" s="19">
        <v>23.19</v>
      </c>
      <c r="K2543" s="19" t="s">
        <v>124</v>
      </c>
      <c r="L2543" s="19" t="s">
        <v>164</v>
      </c>
      <c r="M2543" s="15" t="s">
        <v>1228</v>
      </c>
      <c r="N2543" s="15" t="s">
        <v>36</v>
      </c>
      <c r="O2543" s="15" t="s">
        <v>176</v>
      </c>
      <c r="P2543" s="20" t="s">
        <v>682</v>
      </c>
      <c r="Q2543" s="15" t="s">
        <v>181</v>
      </c>
      <c r="R2543" s="4"/>
      <c r="S2543" s="4"/>
    </row>
    <row r="2544" spans="1:19" ht="21" customHeight="1" x14ac:dyDescent="0.25">
      <c r="A2544" s="14">
        <f>DATE(2012,12,31)-660</f>
        <v>40614</v>
      </c>
      <c r="B2544" s="15" t="s">
        <v>504</v>
      </c>
      <c r="C2544" s="15" t="s">
        <v>51</v>
      </c>
      <c r="D2544" s="16">
        <v>12</v>
      </c>
      <c r="E2544" s="17">
        <v>76.42</v>
      </c>
      <c r="F2544" s="16">
        <v>0.02</v>
      </c>
      <c r="G2544" s="15" t="s">
        <v>101</v>
      </c>
      <c r="H2544" s="18">
        <v>20.440000000000001</v>
      </c>
      <c r="I2544" s="19">
        <v>5.84</v>
      </c>
      <c r="J2544" s="19">
        <v>0.83</v>
      </c>
      <c r="K2544" s="19" t="s">
        <v>33</v>
      </c>
      <c r="L2544" s="19" t="s">
        <v>145</v>
      </c>
      <c r="M2544" s="15" t="s">
        <v>1761</v>
      </c>
      <c r="N2544" s="15" t="s">
        <v>36</v>
      </c>
      <c r="O2544" s="15" t="s">
        <v>77</v>
      </c>
      <c r="P2544" s="20" t="s">
        <v>335</v>
      </c>
      <c r="Q2544" s="15" t="s">
        <v>79</v>
      </c>
      <c r="R2544" s="4"/>
      <c r="S2544" s="4"/>
    </row>
    <row r="2545" spans="1:19" ht="21" customHeight="1" x14ac:dyDescent="0.25">
      <c r="A2545" s="14">
        <f>DATE(2012,12,31)-278</f>
        <v>40996</v>
      </c>
      <c r="B2545" s="15" t="s">
        <v>1892</v>
      </c>
      <c r="C2545" s="15" t="s">
        <v>51</v>
      </c>
      <c r="D2545" s="16">
        <v>27</v>
      </c>
      <c r="E2545" s="17">
        <v>4891.8599999999997</v>
      </c>
      <c r="F2545" s="16">
        <v>0.02</v>
      </c>
      <c r="G2545" s="15" t="s">
        <v>58</v>
      </c>
      <c r="H2545" s="18">
        <v>253.14</v>
      </c>
      <c r="I2545" s="19">
        <v>180.98</v>
      </c>
      <c r="J2545" s="19">
        <v>55.24</v>
      </c>
      <c r="K2545" s="19" t="s">
        <v>33</v>
      </c>
      <c r="L2545" s="19" t="s">
        <v>128</v>
      </c>
      <c r="M2545" s="15" t="s">
        <v>129</v>
      </c>
      <c r="N2545" s="15" t="s">
        <v>36</v>
      </c>
      <c r="O2545" s="15" t="s">
        <v>176</v>
      </c>
      <c r="P2545" s="20" t="s">
        <v>1420</v>
      </c>
      <c r="Q2545" s="15" t="s">
        <v>181</v>
      </c>
      <c r="R2545" s="4"/>
      <c r="S2545" s="4"/>
    </row>
    <row r="2546" spans="1:19" ht="21" customHeight="1" x14ac:dyDescent="0.25">
      <c r="A2546" s="14">
        <f>DATE(2012,12,31)-278</f>
        <v>40996</v>
      </c>
      <c r="B2546" s="15" t="s">
        <v>1892</v>
      </c>
      <c r="C2546" s="15" t="s">
        <v>51</v>
      </c>
      <c r="D2546" s="16">
        <v>37</v>
      </c>
      <c r="E2546" s="17">
        <v>6039.1</v>
      </c>
      <c r="F2546" s="16">
        <v>0.01</v>
      </c>
      <c r="G2546" s="15" t="s">
        <v>58</v>
      </c>
      <c r="H2546" s="18">
        <v>-345.92</v>
      </c>
      <c r="I2546" s="19">
        <v>150.97999999999999</v>
      </c>
      <c r="J2546" s="19">
        <v>66.27</v>
      </c>
      <c r="K2546" s="19" t="s">
        <v>69</v>
      </c>
      <c r="L2546" s="19" t="s">
        <v>70</v>
      </c>
      <c r="M2546" s="15" t="s">
        <v>1841</v>
      </c>
      <c r="N2546" s="15" t="s">
        <v>54</v>
      </c>
      <c r="O2546" s="15" t="s">
        <v>134</v>
      </c>
      <c r="P2546" s="20" t="s">
        <v>1113</v>
      </c>
      <c r="Q2546" s="15" t="s">
        <v>63</v>
      </c>
      <c r="R2546" s="4"/>
      <c r="S2546" s="4"/>
    </row>
    <row r="2547" spans="1:19" ht="21" customHeight="1" x14ac:dyDescent="0.25">
      <c r="A2547" s="14">
        <f>DATE(2012,12,31)-278</f>
        <v>40996</v>
      </c>
      <c r="B2547" s="15" t="s">
        <v>1892</v>
      </c>
      <c r="C2547" s="15" t="s">
        <v>51</v>
      </c>
      <c r="D2547" s="16">
        <v>31</v>
      </c>
      <c r="E2547" s="17">
        <v>206.49</v>
      </c>
      <c r="F2547" s="16">
        <v>0.05</v>
      </c>
      <c r="G2547" s="15" t="s">
        <v>32</v>
      </c>
      <c r="H2547" s="18">
        <v>80.069999999999993</v>
      </c>
      <c r="I2547" s="19">
        <v>6.45</v>
      </c>
      <c r="J2547" s="19">
        <v>1.34</v>
      </c>
      <c r="K2547" s="19" t="s">
        <v>44</v>
      </c>
      <c r="L2547" s="19" t="s">
        <v>89</v>
      </c>
      <c r="M2547" s="15" t="s">
        <v>1809</v>
      </c>
      <c r="N2547" s="15" t="s">
        <v>36</v>
      </c>
      <c r="O2547" s="15" t="s">
        <v>117</v>
      </c>
      <c r="P2547" s="20" t="s">
        <v>1880</v>
      </c>
      <c r="Q2547" s="15" t="s">
        <v>79</v>
      </c>
      <c r="R2547" s="4"/>
      <c r="S2547" s="4"/>
    </row>
    <row r="2548" spans="1:19" ht="21" customHeight="1" x14ac:dyDescent="0.25">
      <c r="A2548" s="14">
        <f>DATE(2012,12,31)-278</f>
        <v>40996</v>
      </c>
      <c r="B2548" s="15" t="s">
        <v>1892</v>
      </c>
      <c r="C2548" s="15" t="s">
        <v>51</v>
      </c>
      <c r="D2548" s="16">
        <v>41</v>
      </c>
      <c r="E2548" s="17">
        <v>80.540000000000006</v>
      </c>
      <c r="F2548" s="16">
        <v>0.01</v>
      </c>
      <c r="G2548" s="15" t="s">
        <v>32</v>
      </c>
      <c r="H2548" s="18">
        <v>-18.72</v>
      </c>
      <c r="I2548" s="19">
        <v>1.89</v>
      </c>
      <c r="J2548" s="19">
        <v>0.76</v>
      </c>
      <c r="K2548" s="19" t="s">
        <v>44</v>
      </c>
      <c r="L2548" s="19" t="s">
        <v>89</v>
      </c>
      <c r="M2548" s="15" t="s">
        <v>1809</v>
      </c>
      <c r="N2548" s="15" t="s">
        <v>36</v>
      </c>
      <c r="O2548" s="15" t="s">
        <v>105</v>
      </c>
      <c r="P2548" s="20" t="s">
        <v>1399</v>
      </c>
      <c r="Q2548" s="15" t="s">
        <v>79</v>
      </c>
      <c r="R2548" s="4"/>
      <c r="S2548" s="4"/>
    </row>
    <row r="2549" spans="1:19" ht="21" customHeight="1" x14ac:dyDescent="0.25">
      <c r="A2549" s="14">
        <f>DATE(2012,12,31)-991</f>
        <v>40283</v>
      </c>
      <c r="B2549" s="15" t="s">
        <v>1893</v>
      </c>
      <c r="C2549" s="15" t="s">
        <v>51</v>
      </c>
      <c r="D2549" s="16">
        <v>12</v>
      </c>
      <c r="E2549" s="17">
        <v>816.23</v>
      </c>
      <c r="F2549" s="16">
        <v>0.05</v>
      </c>
      <c r="G2549" s="15" t="s">
        <v>32</v>
      </c>
      <c r="H2549" s="18">
        <v>-353.71</v>
      </c>
      <c r="I2549" s="19">
        <v>64.650000000000006</v>
      </c>
      <c r="J2549" s="19">
        <v>35</v>
      </c>
      <c r="K2549" s="19" t="s">
        <v>33</v>
      </c>
      <c r="L2549" s="19" t="s">
        <v>93</v>
      </c>
      <c r="M2549" s="15" t="s">
        <v>94</v>
      </c>
      <c r="N2549" s="15" t="s">
        <v>36</v>
      </c>
      <c r="O2549" s="15" t="s">
        <v>37</v>
      </c>
      <c r="P2549" s="20" t="s">
        <v>1245</v>
      </c>
      <c r="Q2549" s="15" t="s">
        <v>39</v>
      </c>
      <c r="R2549" s="4"/>
      <c r="S2549" s="4"/>
    </row>
    <row r="2550" spans="1:19" ht="21" customHeight="1" x14ac:dyDescent="0.25">
      <c r="A2550" s="14">
        <f>DATE(2012,12,31)-224</f>
        <v>41050</v>
      </c>
      <c r="B2550" s="15" t="s">
        <v>518</v>
      </c>
      <c r="C2550" s="15" t="s">
        <v>31</v>
      </c>
      <c r="D2550" s="16">
        <v>25</v>
      </c>
      <c r="E2550" s="17">
        <v>270.16000000000003</v>
      </c>
      <c r="F2550" s="16">
        <v>0.09</v>
      </c>
      <c r="G2550" s="15" t="s">
        <v>32</v>
      </c>
      <c r="H2550" s="18">
        <v>16.920000000000002</v>
      </c>
      <c r="I2550" s="19">
        <v>11.09</v>
      </c>
      <c r="J2550" s="19">
        <v>5.25</v>
      </c>
      <c r="K2550" s="19" t="s">
        <v>97</v>
      </c>
      <c r="L2550" s="19" t="s">
        <v>567</v>
      </c>
      <c r="M2550" s="15" t="s">
        <v>568</v>
      </c>
      <c r="N2550" s="15" t="s">
        <v>36</v>
      </c>
      <c r="O2550" s="15" t="s">
        <v>189</v>
      </c>
      <c r="P2550" s="20" t="s">
        <v>505</v>
      </c>
      <c r="Q2550" s="15" t="s">
        <v>83</v>
      </c>
      <c r="R2550" s="4"/>
      <c r="S2550" s="4"/>
    </row>
    <row r="2551" spans="1:19" ht="21" customHeight="1" x14ac:dyDescent="0.25">
      <c r="A2551" s="14">
        <f>DATE(2012,12,31)-224</f>
        <v>41050</v>
      </c>
      <c r="B2551" s="15" t="s">
        <v>518</v>
      </c>
      <c r="C2551" s="15" t="s">
        <v>31</v>
      </c>
      <c r="D2551" s="16">
        <v>24</v>
      </c>
      <c r="E2551" s="17">
        <v>2694.01</v>
      </c>
      <c r="F2551" s="16">
        <v>0.08</v>
      </c>
      <c r="G2551" s="15" t="s">
        <v>101</v>
      </c>
      <c r="H2551" s="18">
        <v>994.31</v>
      </c>
      <c r="I2551" s="19">
        <v>120.97</v>
      </c>
      <c r="J2551" s="19">
        <v>7.11</v>
      </c>
      <c r="K2551" s="19" t="s">
        <v>97</v>
      </c>
      <c r="L2551" s="19" t="s">
        <v>567</v>
      </c>
      <c r="M2551" s="15" t="s">
        <v>568</v>
      </c>
      <c r="N2551" s="15" t="s">
        <v>64</v>
      </c>
      <c r="O2551" s="15" t="s">
        <v>122</v>
      </c>
      <c r="P2551" s="20" t="s">
        <v>955</v>
      </c>
      <c r="Q2551" s="15" t="s">
        <v>57</v>
      </c>
      <c r="R2551" s="4"/>
      <c r="S2551" s="4"/>
    </row>
    <row r="2552" spans="1:19" ht="21" customHeight="1" x14ac:dyDescent="0.25">
      <c r="A2552" s="14">
        <f>DATE(2012,12,31)-1411</f>
        <v>39863</v>
      </c>
      <c r="B2552" s="15" t="s">
        <v>433</v>
      </c>
      <c r="C2552" s="15" t="s">
        <v>43</v>
      </c>
      <c r="D2552" s="16">
        <v>37</v>
      </c>
      <c r="E2552" s="17">
        <v>226.65</v>
      </c>
      <c r="F2552" s="16">
        <v>0</v>
      </c>
      <c r="G2552" s="15" t="s">
        <v>32</v>
      </c>
      <c r="H2552" s="18">
        <v>46.41</v>
      </c>
      <c r="I2552" s="19">
        <v>5.98</v>
      </c>
      <c r="J2552" s="19">
        <v>0.96</v>
      </c>
      <c r="K2552" s="19" t="s">
        <v>44</v>
      </c>
      <c r="L2552" s="19" t="s">
        <v>52</v>
      </c>
      <c r="M2552" s="15" t="s">
        <v>1685</v>
      </c>
      <c r="N2552" s="15" t="s">
        <v>36</v>
      </c>
      <c r="O2552" s="15" t="s">
        <v>77</v>
      </c>
      <c r="P2552" s="20" t="s">
        <v>664</v>
      </c>
      <c r="Q2552" s="15" t="s">
        <v>79</v>
      </c>
      <c r="R2552" s="4"/>
      <c r="S2552" s="4"/>
    </row>
    <row r="2553" spans="1:19" ht="21" customHeight="1" x14ac:dyDescent="0.25">
      <c r="A2553" s="14">
        <f>DATE(2012,12,31)-1411</f>
        <v>39863</v>
      </c>
      <c r="B2553" s="15" t="s">
        <v>433</v>
      </c>
      <c r="C2553" s="15" t="s">
        <v>43</v>
      </c>
      <c r="D2553" s="16">
        <v>4</v>
      </c>
      <c r="E2553" s="17">
        <v>10.96</v>
      </c>
      <c r="F2553" s="16">
        <v>0.02</v>
      </c>
      <c r="G2553" s="15" t="s">
        <v>32</v>
      </c>
      <c r="H2553" s="18">
        <v>-8.02</v>
      </c>
      <c r="I2553" s="19">
        <v>2.08</v>
      </c>
      <c r="J2553" s="19">
        <v>2.56</v>
      </c>
      <c r="K2553" s="19" t="s">
        <v>44</v>
      </c>
      <c r="L2553" s="19" t="s">
        <v>52</v>
      </c>
      <c r="M2553" s="15" t="s">
        <v>1685</v>
      </c>
      <c r="N2553" s="15" t="s">
        <v>36</v>
      </c>
      <c r="O2553" s="15" t="s">
        <v>47</v>
      </c>
      <c r="P2553" s="20" t="s">
        <v>48</v>
      </c>
      <c r="Q2553" s="15" t="s">
        <v>49</v>
      </c>
      <c r="R2553" s="4"/>
      <c r="S2553" s="4"/>
    </row>
    <row r="2554" spans="1:19" ht="21" customHeight="1" x14ac:dyDescent="0.25">
      <c r="A2554" s="14">
        <f>DATE(2012,12,31)-1411</f>
        <v>39863</v>
      </c>
      <c r="B2554" s="15" t="s">
        <v>433</v>
      </c>
      <c r="C2554" s="15" t="s">
        <v>43</v>
      </c>
      <c r="D2554" s="16">
        <v>29</v>
      </c>
      <c r="E2554" s="17">
        <v>185.61</v>
      </c>
      <c r="F2554" s="16">
        <v>0.02</v>
      </c>
      <c r="G2554" s="15" t="s">
        <v>32</v>
      </c>
      <c r="H2554" s="18">
        <v>-47.12</v>
      </c>
      <c r="I2554" s="19">
        <v>5.98</v>
      </c>
      <c r="J2554" s="19">
        <v>5.46</v>
      </c>
      <c r="K2554" s="19" t="s">
        <v>44</v>
      </c>
      <c r="L2554" s="19" t="s">
        <v>52</v>
      </c>
      <c r="M2554" s="15" t="s">
        <v>1685</v>
      </c>
      <c r="N2554" s="15" t="s">
        <v>36</v>
      </c>
      <c r="O2554" s="15" t="s">
        <v>117</v>
      </c>
      <c r="P2554" s="20" t="s">
        <v>1879</v>
      </c>
      <c r="Q2554" s="15" t="s">
        <v>83</v>
      </c>
      <c r="R2554" s="4"/>
      <c r="S2554" s="4"/>
    </row>
    <row r="2555" spans="1:19" ht="21" customHeight="1" x14ac:dyDescent="0.25">
      <c r="A2555" s="14">
        <f>DATE(2012,12,31)-1326</f>
        <v>39948</v>
      </c>
      <c r="B2555" s="15" t="s">
        <v>1456</v>
      </c>
      <c r="C2555" s="15" t="s">
        <v>51</v>
      </c>
      <c r="D2555" s="16">
        <v>30</v>
      </c>
      <c r="E2555" s="17">
        <v>991.01</v>
      </c>
      <c r="F2555" s="16">
        <v>0.01</v>
      </c>
      <c r="G2555" s="15" t="s">
        <v>32</v>
      </c>
      <c r="H2555" s="18">
        <v>46.29</v>
      </c>
      <c r="I2555" s="19">
        <v>30.98</v>
      </c>
      <c r="J2555" s="19">
        <v>6.5</v>
      </c>
      <c r="K2555" s="19" t="s">
        <v>44</v>
      </c>
      <c r="L2555" s="19" t="s">
        <v>52</v>
      </c>
      <c r="M2555" s="15" t="s">
        <v>1685</v>
      </c>
      <c r="N2555" s="15" t="s">
        <v>64</v>
      </c>
      <c r="O2555" s="15" t="s">
        <v>72</v>
      </c>
      <c r="P2555" s="20" t="s">
        <v>706</v>
      </c>
      <c r="Q2555" s="15" t="s">
        <v>83</v>
      </c>
      <c r="R2555" s="4"/>
      <c r="S2555" s="4"/>
    </row>
    <row r="2556" spans="1:19" ht="21" customHeight="1" x14ac:dyDescent="0.25">
      <c r="A2556" s="14">
        <f>DATE(2012,12,31)-1326</f>
        <v>39948</v>
      </c>
      <c r="B2556" s="15" t="s">
        <v>1456</v>
      </c>
      <c r="C2556" s="15" t="s">
        <v>51</v>
      </c>
      <c r="D2556" s="16">
        <v>29</v>
      </c>
      <c r="E2556" s="17">
        <v>1267.42</v>
      </c>
      <c r="F2556" s="16">
        <v>0.01</v>
      </c>
      <c r="G2556" s="15" t="s">
        <v>32</v>
      </c>
      <c r="H2556" s="18">
        <v>177.79</v>
      </c>
      <c r="I2556" s="19">
        <v>40.99</v>
      </c>
      <c r="J2556" s="19">
        <v>19.989999999999998</v>
      </c>
      <c r="K2556" s="19" t="s">
        <v>33</v>
      </c>
      <c r="L2556" s="19" t="s">
        <v>59</v>
      </c>
      <c r="M2556" s="15" t="s">
        <v>1361</v>
      </c>
      <c r="N2556" s="15" t="s">
        <v>36</v>
      </c>
      <c r="O2556" s="15" t="s">
        <v>117</v>
      </c>
      <c r="P2556" s="20" t="s">
        <v>619</v>
      </c>
      <c r="Q2556" s="15" t="s">
        <v>83</v>
      </c>
      <c r="R2556" s="4"/>
      <c r="S2556" s="4"/>
    </row>
    <row r="2557" spans="1:19" ht="21" customHeight="1" x14ac:dyDescent="0.25">
      <c r="A2557" s="14">
        <f>DATE(2012,12,31)-324</f>
        <v>40950</v>
      </c>
      <c r="B2557" s="15" t="s">
        <v>325</v>
      </c>
      <c r="C2557" s="15" t="s">
        <v>85</v>
      </c>
      <c r="D2557" s="16">
        <v>44</v>
      </c>
      <c r="E2557" s="17">
        <v>2507.79</v>
      </c>
      <c r="F2557" s="16">
        <v>0.08</v>
      </c>
      <c r="G2557" s="15" t="s">
        <v>58</v>
      </c>
      <c r="H2557" s="18">
        <v>-779.81</v>
      </c>
      <c r="I2557" s="19">
        <v>58.14</v>
      </c>
      <c r="J2557" s="19">
        <v>36.61</v>
      </c>
      <c r="K2557" s="19" t="s">
        <v>124</v>
      </c>
      <c r="L2557" s="19" t="s">
        <v>493</v>
      </c>
      <c r="M2557" s="15" t="s">
        <v>1810</v>
      </c>
      <c r="N2557" s="15" t="s">
        <v>54</v>
      </c>
      <c r="O2557" s="15" t="s">
        <v>134</v>
      </c>
      <c r="P2557" s="20" t="s">
        <v>1299</v>
      </c>
      <c r="Q2557" s="15" t="s">
        <v>63</v>
      </c>
      <c r="R2557" s="4"/>
      <c r="S2557" s="4"/>
    </row>
    <row r="2558" spans="1:19" ht="21" customHeight="1" x14ac:dyDescent="0.25">
      <c r="A2558" s="14">
        <f>DATE(2012,12,31)-324</f>
        <v>40950</v>
      </c>
      <c r="B2558" s="15" t="s">
        <v>325</v>
      </c>
      <c r="C2558" s="15" t="s">
        <v>85</v>
      </c>
      <c r="D2558" s="16">
        <v>30</v>
      </c>
      <c r="E2558" s="17">
        <v>1052.68</v>
      </c>
      <c r="F2558" s="16">
        <v>0.02</v>
      </c>
      <c r="G2558" s="15" t="s">
        <v>32</v>
      </c>
      <c r="H2558" s="18">
        <v>-19.27</v>
      </c>
      <c r="I2558" s="19">
        <v>32.979999999999997</v>
      </c>
      <c r="J2558" s="19">
        <v>5.5</v>
      </c>
      <c r="K2558" s="19" t="s">
        <v>124</v>
      </c>
      <c r="L2558" s="19" t="s">
        <v>160</v>
      </c>
      <c r="M2558" s="15" t="s">
        <v>1621</v>
      </c>
      <c r="N2558" s="15" t="s">
        <v>64</v>
      </c>
      <c r="O2558" s="15" t="s">
        <v>72</v>
      </c>
      <c r="P2558" s="20" t="s">
        <v>993</v>
      </c>
      <c r="Q2558" s="15" t="s">
        <v>83</v>
      </c>
      <c r="R2558" s="4"/>
      <c r="S2558" s="4"/>
    </row>
    <row r="2559" spans="1:19" ht="21" customHeight="1" x14ac:dyDescent="0.25">
      <c r="A2559" s="14">
        <f>DATE(2012,12,31)-324</f>
        <v>40950</v>
      </c>
      <c r="B2559" s="15" t="s">
        <v>325</v>
      </c>
      <c r="C2559" s="15" t="s">
        <v>85</v>
      </c>
      <c r="D2559" s="16">
        <v>30</v>
      </c>
      <c r="E2559" s="17">
        <v>2536.31</v>
      </c>
      <c r="F2559" s="16">
        <v>0.01</v>
      </c>
      <c r="G2559" s="15" t="s">
        <v>32</v>
      </c>
      <c r="H2559" s="18">
        <v>-643.46</v>
      </c>
      <c r="I2559" s="19">
        <v>80.98</v>
      </c>
      <c r="J2559" s="19">
        <v>35</v>
      </c>
      <c r="K2559" s="19" t="s">
        <v>33</v>
      </c>
      <c r="L2559" s="19" t="s">
        <v>145</v>
      </c>
      <c r="M2559" s="15" t="s">
        <v>1761</v>
      </c>
      <c r="N2559" s="15" t="s">
        <v>36</v>
      </c>
      <c r="O2559" s="15" t="s">
        <v>37</v>
      </c>
      <c r="P2559" s="20" t="s">
        <v>1383</v>
      </c>
      <c r="Q2559" s="15" t="s">
        <v>39</v>
      </c>
      <c r="R2559" s="4"/>
      <c r="S2559" s="4"/>
    </row>
    <row r="2560" spans="1:19" ht="21" customHeight="1" x14ac:dyDescent="0.25">
      <c r="A2560" s="14">
        <f>DATE(2012,12,31)-606</f>
        <v>40668</v>
      </c>
      <c r="B2560" s="15" t="s">
        <v>606</v>
      </c>
      <c r="C2560" s="15" t="s">
        <v>43</v>
      </c>
      <c r="D2560" s="16">
        <v>46</v>
      </c>
      <c r="E2560" s="17">
        <v>6637.63</v>
      </c>
      <c r="F2560" s="16">
        <v>0.03</v>
      </c>
      <c r="G2560" s="15" t="s">
        <v>58</v>
      </c>
      <c r="H2560" s="18">
        <v>1487.94</v>
      </c>
      <c r="I2560" s="19">
        <v>145.44999999999999</v>
      </c>
      <c r="J2560" s="19">
        <v>17.850000000000001</v>
      </c>
      <c r="K2560" s="19" t="s">
        <v>33</v>
      </c>
      <c r="L2560" s="19" t="s">
        <v>59</v>
      </c>
      <c r="M2560" s="15" t="s">
        <v>1361</v>
      </c>
      <c r="N2560" s="15" t="s">
        <v>64</v>
      </c>
      <c r="O2560" s="15" t="s">
        <v>122</v>
      </c>
      <c r="P2560" s="20" t="s">
        <v>299</v>
      </c>
      <c r="Q2560" s="15" t="s">
        <v>181</v>
      </c>
      <c r="R2560" s="4"/>
      <c r="S2560" s="4"/>
    </row>
    <row r="2561" spans="1:19" ht="21" customHeight="1" x14ac:dyDescent="0.25">
      <c r="A2561" s="14">
        <f>DATE(2012,12,31)-606</f>
        <v>40668</v>
      </c>
      <c r="B2561" s="15" t="s">
        <v>606</v>
      </c>
      <c r="C2561" s="15" t="s">
        <v>43</v>
      </c>
      <c r="D2561" s="16">
        <v>13</v>
      </c>
      <c r="E2561" s="17">
        <v>928.90549999999996</v>
      </c>
      <c r="F2561" s="16">
        <v>0.06</v>
      </c>
      <c r="G2561" s="15" t="s">
        <v>32</v>
      </c>
      <c r="H2561" s="18">
        <v>-23.925000000000001</v>
      </c>
      <c r="I2561" s="19">
        <v>85.99</v>
      </c>
      <c r="J2561" s="19">
        <v>2.79</v>
      </c>
      <c r="K2561" s="19" t="s">
        <v>33</v>
      </c>
      <c r="L2561" s="19" t="s">
        <v>59</v>
      </c>
      <c r="M2561" s="15" t="s">
        <v>1361</v>
      </c>
      <c r="N2561" s="15" t="s">
        <v>64</v>
      </c>
      <c r="O2561" s="15" t="s">
        <v>65</v>
      </c>
      <c r="P2561" s="20" t="s">
        <v>1394</v>
      </c>
      <c r="Q2561" s="15" t="s">
        <v>83</v>
      </c>
      <c r="R2561" s="4"/>
      <c r="S2561" s="4"/>
    </row>
    <row r="2562" spans="1:19" ht="21" customHeight="1" x14ac:dyDescent="0.25">
      <c r="A2562" s="14">
        <f>DATE(2012,12,31)-611</f>
        <v>40663</v>
      </c>
      <c r="B2562" s="15" t="s">
        <v>367</v>
      </c>
      <c r="C2562" s="15" t="s">
        <v>85</v>
      </c>
      <c r="D2562" s="16">
        <v>33</v>
      </c>
      <c r="E2562" s="17">
        <v>340.97</v>
      </c>
      <c r="F2562" s="16">
        <v>7.0000000000000007E-2</v>
      </c>
      <c r="G2562" s="15" t="s">
        <v>32</v>
      </c>
      <c r="H2562" s="18">
        <v>-22.82</v>
      </c>
      <c r="I2562" s="19">
        <v>10.98</v>
      </c>
      <c r="J2562" s="19">
        <v>3.99</v>
      </c>
      <c r="K2562" s="19" t="s">
        <v>33</v>
      </c>
      <c r="L2562" s="19" t="s">
        <v>34</v>
      </c>
      <c r="M2562" s="15" t="s">
        <v>1716</v>
      </c>
      <c r="N2562" s="15" t="s">
        <v>36</v>
      </c>
      <c r="O2562" s="15" t="s">
        <v>176</v>
      </c>
      <c r="P2562" s="20" t="s">
        <v>1312</v>
      </c>
      <c r="Q2562" s="15" t="s">
        <v>83</v>
      </c>
      <c r="R2562" s="4"/>
      <c r="S2562" s="4"/>
    </row>
    <row r="2563" spans="1:19" ht="21" customHeight="1" x14ac:dyDescent="0.25">
      <c r="A2563" s="14">
        <f>DATE(2012,12,31)-611</f>
        <v>40663</v>
      </c>
      <c r="B2563" s="15" t="s">
        <v>367</v>
      </c>
      <c r="C2563" s="15" t="s">
        <v>85</v>
      </c>
      <c r="D2563" s="16">
        <v>22</v>
      </c>
      <c r="E2563" s="17">
        <v>136.24</v>
      </c>
      <c r="F2563" s="16">
        <v>0.03</v>
      </c>
      <c r="G2563" s="15" t="s">
        <v>32</v>
      </c>
      <c r="H2563" s="18">
        <v>-96.22</v>
      </c>
      <c r="I2563" s="19">
        <v>5.78</v>
      </c>
      <c r="J2563" s="19">
        <v>7.96</v>
      </c>
      <c r="K2563" s="19" t="s">
        <v>33</v>
      </c>
      <c r="L2563" s="19" t="s">
        <v>59</v>
      </c>
      <c r="M2563" s="15" t="s">
        <v>1361</v>
      </c>
      <c r="N2563" s="15" t="s">
        <v>36</v>
      </c>
      <c r="O2563" s="15" t="s">
        <v>117</v>
      </c>
      <c r="P2563" s="20" t="s">
        <v>1017</v>
      </c>
      <c r="Q2563" s="15" t="s">
        <v>83</v>
      </c>
      <c r="R2563" s="4"/>
      <c r="S2563" s="4"/>
    </row>
    <row r="2564" spans="1:19" ht="21" customHeight="1" x14ac:dyDescent="0.25">
      <c r="A2564" s="14">
        <f>DATE(2012,12,31)-731</f>
        <v>40543</v>
      </c>
      <c r="B2564" s="15" t="s">
        <v>474</v>
      </c>
      <c r="C2564" s="15" t="s">
        <v>43</v>
      </c>
      <c r="D2564" s="16">
        <v>2</v>
      </c>
      <c r="E2564" s="17">
        <v>56.13</v>
      </c>
      <c r="F2564" s="16">
        <v>0.02</v>
      </c>
      <c r="G2564" s="15" t="s">
        <v>32</v>
      </c>
      <c r="H2564" s="18">
        <v>48.85</v>
      </c>
      <c r="I2564" s="19">
        <v>20.28</v>
      </c>
      <c r="J2564" s="19">
        <v>14.39</v>
      </c>
      <c r="K2564" s="19" t="s">
        <v>33</v>
      </c>
      <c r="L2564" s="19" t="s">
        <v>145</v>
      </c>
      <c r="M2564" s="15" t="s">
        <v>1761</v>
      </c>
      <c r="N2564" s="15" t="s">
        <v>54</v>
      </c>
      <c r="O2564" s="15" t="s">
        <v>55</v>
      </c>
      <c r="P2564" s="20" t="s">
        <v>1231</v>
      </c>
      <c r="Q2564" s="15" t="s">
        <v>83</v>
      </c>
      <c r="R2564" s="4"/>
      <c r="S2564" s="4"/>
    </row>
    <row r="2565" spans="1:19" ht="21" customHeight="1" x14ac:dyDescent="0.25">
      <c r="A2565" s="14">
        <f>DATE(2012,12,31)-731</f>
        <v>40543</v>
      </c>
      <c r="B2565" s="15" t="s">
        <v>474</v>
      </c>
      <c r="C2565" s="15" t="s">
        <v>43</v>
      </c>
      <c r="D2565" s="16">
        <v>25</v>
      </c>
      <c r="E2565" s="17">
        <v>1491.5205000000001</v>
      </c>
      <c r="F2565" s="16">
        <v>0</v>
      </c>
      <c r="G2565" s="15" t="s">
        <v>32</v>
      </c>
      <c r="H2565" s="18">
        <v>286.36200000000002</v>
      </c>
      <c r="I2565" s="19">
        <v>65.989999999999995</v>
      </c>
      <c r="J2565" s="19">
        <v>5.99</v>
      </c>
      <c r="K2565" s="19" t="s">
        <v>33</v>
      </c>
      <c r="L2565" s="19" t="s">
        <v>145</v>
      </c>
      <c r="M2565" s="15" t="s">
        <v>1761</v>
      </c>
      <c r="N2565" s="15" t="s">
        <v>64</v>
      </c>
      <c r="O2565" s="15" t="s">
        <v>65</v>
      </c>
      <c r="P2565" s="20" t="s">
        <v>1573</v>
      </c>
      <c r="Q2565" s="15" t="s">
        <v>83</v>
      </c>
      <c r="R2565" s="4"/>
      <c r="S2565" s="4"/>
    </row>
    <row r="2566" spans="1:19" ht="21" customHeight="1" x14ac:dyDescent="0.25">
      <c r="A2566" s="14">
        <f>DATE(2012,12,31)-63</f>
        <v>41211</v>
      </c>
      <c r="B2566" s="15" t="s">
        <v>544</v>
      </c>
      <c r="C2566" s="15" t="s">
        <v>85</v>
      </c>
      <c r="D2566" s="16">
        <v>50</v>
      </c>
      <c r="E2566" s="17">
        <v>1298.81</v>
      </c>
      <c r="F2566" s="16">
        <v>0.04</v>
      </c>
      <c r="G2566" s="15" t="s">
        <v>58</v>
      </c>
      <c r="H2566" s="18">
        <v>-250.55</v>
      </c>
      <c r="I2566" s="19">
        <v>25.98</v>
      </c>
      <c r="J2566" s="19">
        <v>14.36</v>
      </c>
      <c r="K2566" s="19" t="s">
        <v>33</v>
      </c>
      <c r="L2566" s="19" t="s">
        <v>59</v>
      </c>
      <c r="M2566" s="15" t="s">
        <v>1361</v>
      </c>
      <c r="N2566" s="15" t="s">
        <v>54</v>
      </c>
      <c r="O2566" s="15" t="s">
        <v>252</v>
      </c>
      <c r="P2566" s="20" t="s">
        <v>1431</v>
      </c>
      <c r="Q2566" s="15" t="s">
        <v>181</v>
      </c>
      <c r="R2566" s="4"/>
      <c r="S2566" s="4"/>
    </row>
    <row r="2567" spans="1:19" ht="21" customHeight="1" x14ac:dyDescent="0.25">
      <c r="A2567" s="14">
        <f>DATE(2012,12,31)-438</f>
        <v>40836</v>
      </c>
      <c r="B2567" s="15" t="s">
        <v>747</v>
      </c>
      <c r="C2567" s="15" t="s">
        <v>43</v>
      </c>
      <c r="D2567" s="16">
        <v>29</v>
      </c>
      <c r="E2567" s="17">
        <v>230.77</v>
      </c>
      <c r="F2567" s="16">
        <v>0.09</v>
      </c>
      <c r="G2567" s="15" t="s">
        <v>32</v>
      </c>
      <c r="H2567" s="18">
        <v>-146.24</v>
      </c>
      <c r="I2567" s="19">
        <v>8.4499999999999993</v>
      </c>
      <c r="J2567" s="19">
        <v>7.77</v>
      </c>
      <c r="K2567" s="19" t="s">
        <v>33</v>
      </c>
      <c r="L2567" s="19" t="s">
        <v>34</v>
      </c>
      <c r="M2567" s="15" t="s">
        <v>1716</v>
      </c>
      <c r="N2567" s="15" t="s">
        <v>36</v>
      </c>
      <c r="O2567" s="15" t="s">
        <v>47</v>
      </c>
      <c r="P2567" s="20" t="s">
        <v>1863</v>
      </c>
      <c r="Q2567" s="15" t="s">
        <v>49</v>
      </c>
      <c r="R2567" s="4"/>
      <c r="S2567" s="4"/>
    </row>
    <row r="2568" spans="1:19" ht="21" customHeight="1" x14ac:dyDescent="0.25">
      <c r="A2568" s="14">
        <f>DATE(2012,12,31)-438</f>
        <v>40836</v>
      </c>
      <c r="B2568" s="15" t="s">
        <v>747</v>
      </c>
      <c r="C2568" s="15" t="s">
        <v>43</v>
      </c>
      <c r="D2568" s="16">
        <v>31</v>
      </c>
      <c r="E2568" s="17">
        <v>507.58</v>
      </c>
      <c r="F2568" s="16">
        <v>0.01</v>
      </c>
      <c r="G2568" s="15" t="s">
        <v>32</v>
      </c>
      <c r="H2568" s="18">
        <v>-131.59</v>
      </c>
      <c r="I2568" s="19">
        <v>15.42</v>
      </c>
      <c r="J2568" s="19">
        <v>10.68</v>
      </c>
      <c r="K2568" s="19" t="s">
        <v>33</v>
      </c>
      <c r="L2568" s="19" t="s">
        <v>59</v>
      </c>
      <c r="M2568" s="15" t="s">
        <v>1361</v>
      </c>
      <c r="N2568" s="15" t="s">
        <v>36</v>
      </c>
      <c r="O2568" s="15" t="s">
        <v>37</v>
      </c>
      <c r="P2568" s="20" t="s">
        <v>156</v>
      </c>
      <c r="Q2568" s="15" t="s">
        <v>83</v>
      </c>
      <c r="R2568" s="4"/>
      <c r="S2568" s="4"/>
    </row>
    <row r="2569" spans="1:19" ht="21" customHeight="1" x14ac:dyDescent="0.25">
      <c r="A2569" s="14">
        <f>DATE(2012,12,31)-1151</f>
        <v>40123</v>
      </c>
      <c r="B2569" s="15" t="s">
        <v>1826</v>
      </c>
      <c r="C2569" s="15" t="s">
        <v>43</v>
      </c>
      <c r="D2569" s="16">
        <v>27</v>
      </c>
      <c r="E2569" s="17">
        <v>442.57</v>
      </c>
      <c r="F2569" s="16">
        <v>0.01</v>
      </c>
      <c r="G2569" s="15" t="s">
        <v>32</v>
      </c>
      <c r="H2569" s="18">
        <v>-60.73</v>
      </c>
      <c r="I2569" s="19">
        <v>15.31</v>
      </c>
      <c r="J2569" s="19">
        <v>8.7799999999999994</v>
      </c>
      <c r="K2569" s="19" t="s">
        <v>33</v>
      </c>
      <c r="L2569" s="19" t="s">
        <v>145</v>
      </c>
      <c r="M2569" s="15" t="s">
        <v>1761</v>
      </c>
      <c r="N2569" s="15" t="s">
        <v>36</v>
      </c>
      <c r="O2569" s="15" t="s">
        <v>37</v>
      </c>
      <c r="P2569" s="20" t="s">
        <v>1079</v>
      </c>
      <c r="Q2569" s="15" t="s">
        <v>83</v>
      </c>
      <c r="R2569" s="4"/>
      <c r="S2569" s="4"/>
    </row>
    <row r="2570" spans="1:19" ht="21" customHeight="1" x14ac:dyDescent="0.25">
      <c r="A2570" s="14">
        <f>DATE(2012,12,31)-1151</f>
        <v>40123</v>
      </c>
      <c r="B2570" s="15" t="s">
        <v>1826</v>
      </c>
      <c r="C2570" s="15" t="s">
        <v>43</v>
      </c>
      <c r="D2570" s="16">
        <v>5</v>
      </c>
      <c r="E2570" s="17">
        <v>53.736999999999995</v>
      </c>
      <c r="F2570" s="16">
        <v>0.05</v>
      </c>
      <c r="G2570" s="15" t="s">
        <v>101</v>
      </c>
      <c r="H2570" s="18">
        <v>-28.434999999999999</v>
      </c>
      <c r="I2570" s="19">
        <v>7.99</v>
      </c>
      <c r="J2570" s="19">
        <v>5.03</v>
      </c>
      <c r="K2570" s="19" t="s">
        <v>69</v>
      </c>
      <c r="L2570" s="19" t="s">
        <v>70</v>
      </c>
      <c r="M2570" s="15" t="s">
        <v>1841</v>
      </c>
      <c r="N2570" s="15" t="s">
        <v>64</v>
      </c>
      <c r="O2570" s="15" t="s">
        <v>65</v>
      </c>
      <c r="P2570" s="20" t="s">
        <v>66</v>
      </c>
      <c r="Q2570" s="15" t="s">
        <v>57</v>
      </c>
      <c r="R2570" s="4"/>
      <c r="S2570" s="4"/>
    </row>
    <row r="2571" spans="1:19" ht="21" customHeight="1" x14ac:dyDescent="0.25">
      <c r="A2571" s="14">
        <f>DATE(2012,12,31)-367</f>
        <v>40907</v>
      </c>
      <c r="B2571" s="15" t="s">
        <v>223</v>
      </c>
      <c r="C2571" s="15" t="s">
        <v>31</v>
      </c>
      <c r="D2571" s="16">
        <v>36</v>
      </c>
      <c r="E2571" s="17">
        <v>282.58</v>
      </c>
      <c r="F2571" s="16">
        <v>0.1</v>
      </c>
      <c r="G2571" s="15" t="s">
        <v>101</v>
      </c>
      <c r="H2571" s="18">
        <v>21.68</v>
      </c>
      <c r="I2571" s="19">
        <v>8.33</v>
      </c>
      <c r="J2571" s="19">
        <v>1.99</v>
      </c>
      <c r="K2571" s="19" t="s">
        <v>69</v>
      </c>
      <c r="L2571" s="19" t="s">
        <v>70</v>
      </c>
      <c r="M2571" s="15" t="s">
        <v>1841</v>
      </c>
      <c r="N2571" s="15" t="s">
        <v>64</v>
      </c>
      <c r="O2571" s="15" t="s">
        <v>72</v>
      </c>
      <c r="P2571" s="20" t="s">
        <v>966</v>
      </c>
      <c r="Q2571" s="15" t="s">
        <v>49</v>
      </c>
      <c r="R2571" s="4"/>
      <c r="S2571" s="4"/>
    </row>
    <row r="2572" spans="1:19" ht="21" customHeight="1" x14ac:dyDescent="0.25">
      <c r="A2572" s="14">
        <f>DATE(2012,12,31)-1452</f>
        <v>39822</v>
      </c>
      <c r="B2572" s="15" t="s">
        <v>516</v>
      </c>
      <c r="C2572" s="15" t="s">
        <v>43</v>
      </c>
      <c r="D2572" s="16">
        <v>9</v>
      </c>
      <c r="E2572" s="17">
        <v>45.87</v>
      </c>
      <c r="F2572" s="16">
        <v>0.02</v>
      </c>
      <c r="G2572" s="15" t="s">
        <v>32</v>
      </c>
      <c r="H2572" s="18">
        <v>-38.9</v>
      </c>
      <c r="I2572" s="19">
        <v>4.13</v>
      </c>
      <c r="J2572" s="19">
        <v>6.89</v>
      </c>
      <c r="K2572" s="19" t="s">
        <v>69</v>
      </c>
      <c r="L2572" s="19" t="s">
        <v>75</v>
      </c>
      <c r="M2572" s="15" t="s">
        <v>1786</v>
      </c>
      <c r="N2572" s="15" t="s">
        <v>36</v>
      </c>
      <c r="O2572" s="15" t="s">
        <v>114</v>
      </c>
      <c r="P2572" s="20" t="s">
        <v>1269</v>
      </c>
      <c r="Q2572" s="15" t="s">
        <v>83</v>
      </c>
      <c r="R2572" s="4"/>
      <c r="S2572" s="4"/>
    </row>
    <row r="2573" spans="1:19" ht="21" customHeight="1" x14ac:dyDescent="0.25">
      <c r="A2573" s="14">
        <f>DATE(2012,12,31)-377</f>
        <v>40897</v>
      </c>
      <c r="B2573" s="15" t="s">
        <v>459</v>
      </c>
      <c r="C2573" s="15" t="s">
        <v>85</v>
      </c>
      <c r="D2573" s="16">
        <v>41</v>
      </c>
      <c r="E2573" s="17">
        <v>160.11000000000001</v>
      </c>
      <c r="F2573" s="16">
        <v>0.1</v>
      </c>
      <c r="G2573" s="15" t="s">
        <v>32</v>
      </c>
      <c r="H2573" s="18">
        <v>-26.73</v>
      </c>
      <c r="I2573" s="19">
        <v>3.98</v>
      </c>
      <c r="J2573" s="19">
        <v>2.97</v>
      </c>
      <c r="K2573" s="19" t="s">
        <v>69</v>
      </c>
      <c r="L2573" s="19" t="s">
        <v>70</v>
      </c>
      <c r="M2573" s="15" t="s">
        <v>1841</v>
      </c>
      <c r="N2573" s="15" t="s">
        <v>36</v>
      </c>
      <c r="O2573" s="15" t="s">
        <v>117</v>
      </c>
      <c r="P2573" s="20" t="s">
        <v>1047</v>
      </c>
      <c r="Q2573" s="15" t="s">
        <v>79</v>
      </c>
      <c r="R2573" s="4"/>
      <c r="S2573" s="4"/>
    </row>
    <row r="2574" spans="1:19" ht="21" customHeight="1" x14ac:dyDescent="0.25">
      <c r="A2574" s="14">
        <f>DATE(2012,12,31)-92</f>
        <v>41182</v>
      </c>
      <c r="B2574" s="15" t="s">
        <v>1894</v>
      </c>
      <c r="C2574" s="15" t="s">
        <v>85</v>
      </c>
      <c r="D2574" s="16">
        <v>2</v>
      </c>
      <c r="E2574" s="17">
        <v>25.72</v>
      </c>
      <c r="F2574" s="16">
        <v>0.04</v>
      </c>
      <c r="G2574" s="15" t="s">
        <v>32</v>
      </c>
      <c r="H2574" s="18">
        <v>-15.5</v>
      </c>
      <c r="I2574" s="19">
        <v>10.98</v>
      </c>
      <c r="J2574" s="19">
        <v>3.37</v>
      </c>
      <c r="K2574" s="19" t="s">
        <v>69</v>
      </c>
      <c r="L2574" s="19" t="s">
        <v>70</v>
      </c>
      <c r="M2574" s="15" t="s">
        <v>1895</v>
      </c>
      <c r="N2574" s="15" t="s">
        <v>36</v>
      </c>
      <c r="O2574" s="15" t="s">
        <v>47</v>
      </c>
      <c r="P2574" s="20" t="s">
        <v>1698</v>
      </c>
      <c r="Q2574" s="15" t="s">
        <v>49</v>
      </c>
      <c r="R2574" s="4"/>
      <c r="S2574" s="4"/>
    </row>
    <row r="2575" spans="1:19" ht="21" customHeight="1" x14ac:dyDescent="0.25">
      <c r="A2575" s="14">
        <f>DATE(2012,12,31)-466</f>
        <v>40808</v>
      </c>
      <c r="B2575" s="15" t="s">
        <v>1343</v>
      </c>
      <c r="C2575" s="15" t="s">
        <v>51</v>
      </c>
      <c r="D2575" s="16">
        <v>23</v>
      </c>
      <c r="E2575" s="17">
        <v>6572.04</v>
      </c>
      <c r="F2575" s="16">
        <v>0.06</v>
      </c>
      <c r="G2575" s="15" t="s">
        <v>32</v>
      </c>
      <c r="H2575" s="18">
        <v>1579.34</v>
      </c>
      <c r="I2575" s="19">
        <v>300.97000000000003</v>
      </c>
      <c r="J2575" s="19">
        <v>7.18</v>
      </c>
      <c r="K2575" s="19" t="s">
        <v>69</v>
      </c>
      <c r="L2575" s="19" t="s">
        <v>70</v>
      </c>
      <c r="M2575" s="15" t="s">
        <v>1895</v>
      </c>
      <c r="N2575" s="15" t="s">
        <v>64</v>
      </c>
      <c r="O2575" s="15" t="s">
        <v>72</v>
      </c>
      <c r="P2575" s="20" t="s">
        <v>717</v>
      </c>
      <c r="Q2575" s="15" t="s">
        <v>83</v>
      </c>
      <c r="R2575" s="4"/>
      <c r="S2575" s="4"/>
    </row>
    <row r="2576" spans="1:19" ht="21" customHeight="1" x14ac:dyDescent="0.25">
      <c r="A2576" s="14">
        <f>DATE(2012,12,31)-466</f>
        <v>40808</v>
      </c>
      <c r="B2576" s="15" t="s">
        <v>1343</v>
      </c>
      <c r="C2576" s="15" t="s">
        <v>51</v>
      </c>
      <c r="D2576" s="16">
        <v>19</v>
      </c>
      <c r="E2576" s="17">
        <v>1051.992</v>
      </c>
      <c r="F2576" s="16">
        <v>0.09</v>
      </c>
      <c r="G2576" s="15" t="s">
        <v>58</v>
      </c>
      <c r="H2576" s="18">
        <v>-1280.5999999999999</v>
      </c>
      <c r="I2576" s="19">
        <v>70.89</v>
      </c>
      <c r="J2576" s="19">
        <v>89.3</v>
      </c>
      <c r="K2576" s="19" t="s">
        <v>69</v>
      </c>
      <c r="L2576" s="19" t="s">
        <v>75</v>
      </c>
      <c r="M2576" s="15" t="s">
        <v>1786</v>
      </c>
      <c r="N2576" s="15" t="s">
        <v>54</v>
      </c>
      <c r="O2576" s="15" t="s">
        <v>61</v>
      </c>
      <c r="P2576" s="20" t="s">
        <v>62</v>
      </c>
      <c r="Q2576" s="15" t="s">
        <v>63</v>
      </c>
      <c r="R2576" s="4"/>
      <c r="S2576" s="4"/>
    </row>
    <row r="2577" spans="1:19" ht="21" customHeight="1" x14ac:dyDescent="0.25">
      <c r="A2577" s="14">
        <f>DATE(2012,12,31)-1430</f>
        <v>39844</v>
      </c>
      <c r="B2577" s="15" t="s">
        <v>245</v>
      </c>
      <c r="C2577" s="15" t="s">
        <v>85</v>
      </c>
      <c r="D2577" s="16">
        <v>6</v>
      </c>
      <c r="E2577" s="17">
        <v>451.44</v>
      </c>
      <c r="F2577" s="16">
        <v>0.1</v>
      </c>
      <c r="G2577" s="15" t="s">
        <v>32</v>
      </c>
      <c r="H2577" s="18">
        <v>-35.19</v>
      </c>
      <c r="I2577" s="19">
        <v>78.650000000000006</v>
      </c>
      <c r="J2577" s="19">
        <v>13.99</v>
      </c>
      <c r="K2577" s="19" t="s">
        <v>69</v>
      </c>
      <c r="L2577" s="19" t="s">
        <v>215</v>
      </c>
      <c r="M2577" s="15" t="s">
        <v>1704</v>
      </c>
      <c r="N2577" s="15" t="s">
        <v>36</v>
      </c>
      <c r="O2577" s="15" t="s">
        <v>176</v>
      </c>
      <c r="P2577" s="20" t="s">
        <v>1665</v>
      </c>
      <c r="Q2577" s="15" t="s">
        <v>57</v>
      </c>
      <c r="R2577" s="4"/>
      <c r="S2577" s="4"/>
    </row>
    <row r="2578" spans="1:19" ht="21" customHeight="1" x14ac:dyDescent="0.25">
      <c r="A2578" s="14">
        <f>DATE(2012,12,31)-1430</f>
        <v>39844</v>
      </c>
      <c r="B2578" s="15" t="s">
        <v>245</v>
      </c>
      <c r="C2578" s="15" t="s">
        <v>85</v>
      </c>
      <c r="D2578" s="16">
        <v>16</v>
      </c>
      <c r="E2578" s="17">
        <v>138.55000000000001</v>
      </c>
      <c r="F2578" s="16">
        <v>0.03</v>
      </c>
      <c r="G2578" s="15" t="s">
        <v>32</v>
      </c>
      <c r="H2578" s="18">
        <v>0.89999999999999858</v>
      </c>
      <c r="I2578" s="19">
        <v>8.34</v>
      </c>
      <c r="J2578" s="19">
        <v>2.64</v>
      </c>
      <c r="K2578" s="19" t="s">
        <v>69</v>
      </c>
      <c r="L2578" s="19" t="s">
        <v>215</v>
      </c>
      <c r="M2578" s="15" t="s">
        <v>1704</v>
      </c>
      <c r="N2578" s="15" t="s">
        <v>36</v>
      </c>
      <c r="O2578" s="15" t="s">
        <v>47</v>
      </c>
      <c r="P2578" s="20" t="s">
        <v>1864</v>
      </c>
      <c r="Q2578" s="15" t="s">
        <v>49</v>
      </c>
      <c r="R2578" s="4"/>
      <c r="S2578" s="4"/>
    </row>
    <row r="2579" spans="1:19" ht="21" customHeight="1" x14ac:dyDescent="0.25">
      <c r="A2579" s="14">
        <f>DATE(2012,12,31)-90</f>
        <v>41184</v>
      </c>
      <c r="B2579" s="15" t="s">
        <v>1467</v>
      </c>
      <c r="C2579" s="15" t="s">
        <v>31</v>
      </c>
      <c r="D2579" s="16">
        <v>42</v>
      </c>
      <c r="E2579" s="17">
        <v>4917.6899999999996</v>
      </c>
      <c r="F2579" s="16">
        <v>0.02</v>
      </c>
      <c r="G2579" s="15" t="s">
        <v>58</v>
      </c>
      <c r="H2579" s="18">
        <v>126.31</v>
      </c>
      <c r="I2579" s="19">
        <v>110.98</v>
      </c>
      <c r="J2579" s="19">
        <v>30</v>
      </c>
      <c r="K2579" s="19" t="s">
        <v>111</v>
      </c>
      <c r="L2579" s="19" t="s">
        <v>112</v>
      </c>
      <c r="M2579" s="15" t="s">
        <v>1843</v>
      </c>
      <c r="N2579" s="15" t="s">
        <v>54</v>
      </c>
      <c r="O2579" s="15" t="s">
        <v>252</v>
      </c>
      <c r="P2579" s="20" t="s">
        <v>1877</v>
      </c>
      <c r="Q2579" s="15" t="s">
        <v>181</v>
      </c>
      <c r="R2579" s="4"/>
      <c r="S2579" s="4"/>
    </row>
    <row r="2580" spans="1:19" ht="21" customHeight="1" x14ac:dyDescent="0.25">
      <c r="A2580" s="14">
        <f>DATE(2012,12,31)-90</f>
        <v>41184</v>
      </c>
      <c r="B2580" s="15" t="s">
        <v>1467</v>
      </c>
      <c r="C2580" s="15" t="s">
        <v>31</v>
      </c>
      <c r="D2580" s="16">
        <v>32</v>
      </c>
      <c r="E2580" s="17">
        <v>416.8</v>
      </c>
      <c r="F2580" s="16">
        <v>0.01</v>
      </c>
      <c r="G2580" s="15" t="s">
        <v>32</v>
      </c>
      <c r="H2580" s="18">
        <v>223.38</v>
      </c>
      <c r="I2580" s="19">
        <v>12.53</v>
      </c>
      <c r="J2580" s="19">
        <v>0.5</v>
      </c>
      <c r="K2580" s="19" t="s">
        <v>111</v>
      </c>
      <c r="L2580" s="19" t="s">
        <v>442</v>
      </c>
      <c r="M2580" s="15" t="s">
        <v>443</v>
      </c>
      <c r="N2580" s="15" t="s">
        <v>36</v>
      </c>
      <c r="O2580" s="15" t="s">
        <v>114</v>
      </c>
      <c r="P2580" s="20" t="s">
        <v>1896</v>
      </c>
      <c r="Q2580" s="15" t="s">
        <v>83</v>
      </c>
      <c r="R2580" s="4"/>
      <c r="S2580" s="4"/>
    </row>
    <row r="2581" spans="1:19" ht="21" customHeight="1" x14ac:dyDescent="0.25">
      <c r="A2581" s="14">
        <f>DATE(2012,12,31)-827</f>
        <v>40447</v>
      </c>
      <c r="B2581" s="15" t="s">
        <v>1233</v>
      </c>
      <c r="C2581" s="15" t="s">
        <v>85</v>
      </c>
      <c r="D2581" s="16">
        <v>37</v>
      </c>
      <c r="E2581" s="17">
        <v>101.2</v>
      </c>
      <c r="F2581" s="16">
        <v>0.1</v>
      </c>
      <c r="G2581" s="15" t="s">
        <v>32</v>
      </c>
      <c r="H2581" s="18">
        <v>38.58</v>
      </c>
      <c r="I2581" s="19">
        <v>2.88</v>
      </c>
      <c r="J2581" s="19">
        <v>0.5</v>
      </c>
      <c r="K2581" s="19" t="s">
        <v>44</v>
      </c>
      <c r="L2581" s="19" t="s">
        <v>80</v>
      </c>
      <c r="M2581" s="15" t="s">
        <v>1823</v>
      </c>
      <c r="N2581" s="15" t="s">
        <v>36</v>
      </c>
      <c r="O2581" s="15" t="s">
        <v>114</v>
      </c>
      <c r="P2581" s="20" t="s">
        <v>671</v>
      </c>
      <c r="Q2581" s="15" t="s">
        <v>83</v>
      </c>
      <c r="R2581" s="4"/>
      <c r="S2581" s="4"/>
    </row>
    <row r="2582" spans="1:19" ht="21" customHeight="1" x14ac:dyDescent="0.25">
      <c r="A2582" s="14">
        <f>DATE(2012,12,31)-878</f>
        <v>40396</v>
      </c>
      <c r="B2582" s="15" t="s">
        <v>631</v>
      </c>
      <c r="C2582" s="15" t="s">
        <v>85</v>
      </c>
      <c r="D2582" s="16">
        <v>24</v>
      </c>
      <c r="E2582" s="17">
        <v>349.65</v>
      </c>
      <c r="F2582" s="16">
        <v>0.1</v>
      </c>
      <c r="G2582" s="15" t="s">
        <v>101</v>
      </c>
      <c r="H2582" s="18">
        <v>28.551500000000004</v>
      </c>
      <c r="I2582" s="19">
        <v>14.48</v>
      </c>
      <c r="J2582" s="19">
        <v>6.46</v>
      </c>
      <c r="K2582" s="19" t="s">
        <v>44</v>
      </c>
      <c r="L2582" s="19" t="s">
        <v>89</v>
      </c>
      <c r="M2582" s="15" t="s">
        <v>1809</v>
      </c>
      <c r="N2582" s="15" t="s">
        <v>36</v>
      </c>
      <c r="O2582" s="15" t="s">
        <v>170</v>
      </c>
      <c r="P2582" s="20" t="s">
        <v>646</v>
      </c>
      <c r="Q2582" s="15" t="s">
        <v>83</v>
      </c>
      <c r="R2582" s="4"/>
      <c r="S2582" s="4"/>
    </row>
    <row r="2583" spans="1:19" ht="21" customHeight="1" x14ac:dyDescent="0.25">
      <c r="A2583" s="14">
        <f>DATE(2012,12,31)-878</f>
        <v>40396</v>
      </c>
      <c r="B2583" s="15" t="s">
        <v>631</v>
      </c>
      <c r="C2583" s="15" t="s">
        <v>85</v>
      </c>
      <c r="D2583" s="16">
        <v>46</v>
      </c>
      <c r="E2583" s="17">
        <v>4814.12</v>
      </c>
      <c r="F2583" s="16">
        <v>0.03</v>
      </c>
      <c r="G2583" s="15" t="s">
        <v>32</v>
      </c>
      <c r="H2583" s="18">
        <v>855.14</v>
      </c>
      <c r="I2583" s="19">
        <v>102.3</v>
      </c>
      <c r="J2583" s="19">
        <v>21.26</v>
      </c>
      <c r="K2583" s="19" t="s">
        <v>44</v>
      </c>
      <c r="L2583" s="19" t="s">
        <v>89</v>
      </c>
      <c r="M2583" s="15" t="s">
        <v>1809</v>
      </c>
      <c r="N2583" s="15" t="s">
        <v>54</v>
      </c>
      <c r="O2583" s="15" t="s">
        <v>55</v>
      </c>
      <c r="P2583" s="20" t="s">
        <v>1398</v>
      </c>
      <c r="Q2583" s="15" t="s">
        <v>39</v>
      </c>
      <c r="R2583" s="4"/>
      <c r="S2583" s="4"/>
    </row>
    <row r="2584" spans="1:19" ht="21" customHeight="1" x14ac:dyDescent="0.25">
      <c r="A2584" s="14">
        <f>DATE(2012,12,31)-742</f>
        <v>40532</v>
      </c>
      <c r="B2584" s="15" t="s">
        <v>1129</v>
      </c>
      <c r="C2584" s="15" t="s">
        <v>85</v>
      </c>
      <c r="D2584" s="16">
        <v>4</v>
      </c>
      <c r="E2584" s="17">
        <v>15.7</v>
      </c>
      <c r="F2584" s="16">
        <v>0.01</v>
      </c>
      <c r="G2584" s="15" t="s">
        <v>32</v>
      </c>
      <c r="H2584" s="18">
        <v>0.71</v>
      </c>
      <c r="I2584" s="19">
        <v>3.69</v>
      </c>
      <c r="J2584" s="19">
        <v>0.5</v>
      </c>
      <c r="K2584" s="19" t="s">
        <v>44</v>
      </c>
      <c r="L2584" s="19" t="s">
        <v>80</v>
      </c>
      <c r="M2584" s="15" t="s">
        <v>1823</v>
      </c>
      <c r="N2584" s="15" t="s">
        <v>36</v>
      </c>
      <c r="O2584" s="15" t="s">
        <v>114</v>
      </c>
      <c r="P2584" s="20" t="s">
        <v>1169</v>
      </c>
      <c r="Q2584" s="15" t="s">
        <v>83</v>
      </c>
      <c r="R2584" s="4"/>
      <c r="S2584" s="4"/>
    </row>
    <row r="2585" spans="1:19" ht="21" customHeight="1" x14ac:dyDescent="0.25">
      <c r="A2585" s="14">
        <f>DATE(2012,12,31)-114</f>
        <v>41160</v>
      </c>
      <c r="B2585" s="15" t="s">
        <v>1890</v>
      </c>
      <c r="C2585" s="15" t="s">
        <v>31</v>
      </c>
      <c r="D2585" s="16">
        <v>12</v>
      </c>
      <c r="E2585" s="17">
        <v>1207.08</v>
      </c>
      <c r="F2585" s="16">
        <v>0.05</v>
      </c>
      <c r="G2585" s="15" t="s">
        <v>58</v>
      </c>
      <c r="H2585" s="18">
        <v>-351.3</v>
      </c>
      <c r="I2585" s="19">
        <v>95.98</v>
      </c>
      <c r="J2585" s="19">
        <v>58.2</v>
      </c>
      <c r="K2585" s="19" t="s">
        <v>44</v>
      </c>
      <c r="L2585" s="19" t="s">
        <v>120</v>
      </c>
      <c r="M2585" s="15" t="s">
        <v>121</v>
      </c>
      <c r="N2585" s="15" t="s">
        <v>54</v>
      </c>
      <c r="O2585" s="15" t="s">
        <v>252</v>
      </c>
      <c r="P2585" s="20" t="s">
        <v>1275</v>
      </c>
      <c r="Q2585" s="15" t="s">
        <v>181</v>
      </c>
      <c r="R2585" s="4"/>
      <c r="S2585" s="4"/>
    </row>
    <row r="2586" spans="1:19" ht="21" customHeight="1" x14ac:dyDescent="0.25">
      <c r="A2586" s="14">
        <f>DATE(2012,12,31)-114</f>
        <v>41160</v>
      </c>
      <c r="B2586" s="15" t="s">
        <v>1890</v>
      </c>
      <c r="C2586" s="15" t="s">
        <v>31</v>
      </c>
      <c r="D2586" s="16">
        <v>11</v>
      </c>
      <c r="E2586" s="17">
        <v>2618.1120000000001</v>
      </c>
      <c r="F2586" s="16">
        <v>0.04</v>
      </c>
      <c r="G2586" s="15" t="s">
        <v>58</v>
      </c>
      <c r="H2586" s="18">
        <v>-139.26600000000002</v>
      </c>
      <c r="I2586" s="19">
        <v>286.85000000000002</v>
      </c>
      <c r="J2586" s="19">
        <v>61.76</v>
      </c>
      <c r="K2586" s="19" t="s">
        <v>44</v>
      </c>
      <c r="L2586" s="19" t="s">
        <v>80</v>
      </c>
      <c r="M2586" s="15" t="s">
        <v>1823</v>
      </c>
      <c r="N2586" s="15" t="s">
        <v>54</v>
      </c>
      <c r="O2586" s="15" t="s">
        <v>61</v>
      </c>
      <c r="P2586" s="20" t="s">
        <v>1194</v>
      </c>
      <c r="Q2586" s="15" t="s">
        <v>63</v>
      </c>
      <c r="R2586" s="4"/>
      <c r="S2586" s="4"/>
    </row>
    <row r="2587" spans="1:19" ht="21" customHeight="1" x14ac:dyDescent="0.25">
      <c r="A2587" s="14">
        <f>DATE(2012,12,31)-667</f>
        <v>40607</v>
      </c>
      <c r="B2587" s="15" t="s">
        <v>420</v>
      </c>
      <c r="C2587" s="15" t="s">
        <v>43</v>
      </c>
      <c r="D2587" s="16">
        <v>49</v>
      </c>
      <c r="E2587" s="17">
        <v>14346.73</v>
      </c>
      <c r="F2587" s="16">
        <v>0.04</v>
      </c>
      <c r="G2587" s="15" t="s">
        <v>32</v>
      </c>
      <c r="H2587" s="18">
        <v>5762.5239999999994</v>
      </c>
      <c r="I2587" s="19">
        <v>304.99</v>
      </c>
      <c r="J2587" s="19">
        <v>19.989999999999998</v>
      </c>
      <c r="K2587" s="19" t="s">
        <v>44</v>
      </c>
      <c r="L2587" s="19" t="s">
        <v>120</v>
      </c>
      <c r="M2587" s="15" t="s">
        <v>121</v>
      </c>
      <c r="N2587" s="15" t="s">
        <v>36</v>
      </c>
      <c r="O2587" s="15" t="s">
        <v>170</v>
      </c>
      <c r="P2587" s="20" t="s">
        <v>743</v>
      </c>
      <c r="Q2587" s="15" t="s">
        <v>83</v>
      </c>
      <c r="R2587" s="4"/>
      <c r="S2587" s="4"/>
    </row>
    <row r="2588" spans="1:19" ht="21" customHeight="1" x14ac:dyDescent="0.25">
      <c r="A2588" s="14">
        <f>DATE(2012,12,31)-667</f>
        <v>40607</v>
      </c>
      <c r="B2588" s="15" t="s">
        <v>420</v>
      </c>
      <c r="C2588" s="15" t="s">
        <v>43</v>
      </c>
      <c r="D2588" s="16">
        <v>15</v>
      </c>
      <c r="E2588" s="17">
        <v>40.340000000000003</v>
      </c>
      <c r="F2588" s="16">
        <v>0.09</v>
      </c>
      <c r="G2588" s="15" t="s">
        <v>32</v>
      </c>
      <c r="H2588" s="18">
        <v>10.59</v>
      </c>
      <c r="I2588" s="19">
        <v>2.89</v>
      </c>
      <c r="J2588" s="19">
        <v>0.5</v>
      </c>
      <c r="K2588" s="19" t="s">
        <v>44</v>
      </c>
      <c r="L2588" s="19" t="s">
        <v>89</v>
      </c>
      <c r="M2588" s="15" t="s">
        <v>1809</v>
      </c>
      <c r="N2588" s="15" t="s">
        <v>36</v>
      </c>
      <c r="O2588" s="15" t="s">
        <v>114</v>
      </c>
      <c r="P2588" s="20" t="s">
        <v>115</v>
      </c>
      <c r="Q2588" s="15" t="s">
        <v>83</v>
      </c>
      <c r="R2588" s="4"/>
      <c r="S2588" s="4"/>
    </row>
    <row r="2589" spans="1:19" ht="21" customHeight="1" x14ac:dyDescent="0.25">
      <c r="A2589" s="14">
        <f>DATE(2012,12,31)-667</f>
        <v>40607</v>
      </c>
      <c r="B2589" s="15" t="s">
        <v>420</v>
      </c>
      <c r="C2589" s="15" t="s">
        <v>43</v>
      </c>
      <c r="D2589" s="16">
        <v>41</v>
      </c>
      <c r="E2589" s="17">
        <v>3951.6754999999998</v>
      </c>
      <c r="F2589" s="16">
        <v>0.1</v>
      </c>
      <c r="G2589" s="15" t="s">
        <v>32</v>
      </c>
      <c r="H2589" s="18">
        <v>812.24099999999999</v>
      </c>
      <c r="I2589" s="19">
        <v>125.99</v>
      </c>
      <c r="J2589" s="19">
        <v>4.2</v>
      </c>
      <c r="K2589" s="19" t="s">
        <v>44</v>
      </c>
      <c r="L2589" s="19" t="s">
        <v>120</v>
      </c>
      <c r="M2589" s="15" t="s">
        <v>121</v>
      </c>
      <c r="N2589" s="15" t="s">
        <v>64</v>
      </c>
      <c r="O2589" s="15" t="s">
        <v>65</v>
      </c>
      <c r="P2589" s="20" t="s">
        <v>1382</v>
      </c>
      <c r="Q2589" s="15" t="s">
        <v>83</v>
      </c>
      <c r="R2589" s="4"/>
      <c r="S2589" s="4"/>
    </row>
    <row r="2590" spans="1:19" ht="21" customHeight="1" x14ac:dyDescent="0.25">
      <c r="A2590" s="14">
        <f>DATE(2012,12,31)-1103</f>
        <v>40171</v>
      </c>
      <c r="B2590" s="15" t="s">
        <v>1409</v>
      </c>
      <c r="C2590" s="15" t="s">
        <v>43</v>
      </c>
      <c r="D2590" s="16">
        <v>38</v>
      </c>
      <c r="E2590" s="17">
        <v>281.17</v>
      </c>
      <c r="F2590" s="16">
        <v>0.01</v>
      </c>
      <c r="G2590" s="15" t="s">
        <v>32</v>
      </c>
      <c r="H2590" s="18">
        <v>-78.372500000000002</v>
      </c>
      <c r="I2590" s="19">
        <v>7.1</v>
      </c>
      <c r="J2590" s="19">
        <v>6.05</v>
      </c>
      <c r="K2590" s="19" t="s">
        <v>44</v>
      </c>
      <c r="L2590" s="19" t="s">
        <v>89</v>
      </c>
      <c r="M2590" s="15" t="s">
        <v>1809</v>
      </c>
      <c r="N2590" s="15" t="s">
        <v>36</v>
      </c>
      <c r="O2590" s="15" t="s">
        <v>170</v>
      </c>
      <c r="P2590" s="20" t="s">
        <v>913</v>
      </c>
      <c r="Q2590" s="15" t="s">
        <v>83</v>
      </c>
      <c r="R2590" s="4"/>
      <c r="S2590" s="4"/>
    </row>
    <row r="2591" spans="1:19" ht="21" customHeight="1" x14ac:dyDescent="0.25">
      <c r="A2591" s="14">
        <f>DATE(2012,12,31)-1103</f>
        <v>40171</v>
      </c>
      <c r="B2591" s="15" t="s">
        <v>1409</v>
      </c>
      <c r="C2591" s="15" t="s">
        <v>43</v>
      </c>
      <c r="D2591" s="16">
        <v>10</v>
      </c>
      <c r="E2591" s="17">
        <v>194.65</v>
      </c>
      <c r="F2591" s="16">
        <v>0.05</v>
      </c>
      <c r="G2591" s="15" t="s">
        <v>32</v>
      </c>
      <c r="H2591" s="18">
        <v>-3.78</v>
      </c>
      <c r="I2591" s="19">
        <v>18.97</v>
      </c>
      <c r="J2591" s="19">
        <v>9.0299999999999994</v>
      </c>
      <c r="K2591" s="19" t="s">
        <v>44</v>
      </c>
      <c r="L2591" s="19" t="s">
        <v>89</v>
      </c>
      <c r="M2591" s="15" t="s">
        <v>1809</v>
      </c>
      <c r="N2591" s="15" t="s">
        <v>36</v>
      </c>
      <c r="O2591" s="15" t="s">
        <v>117</v>
      </c>
      <c r="P2591" s="20" t="s">
        <v>127</v>
      </c>
      <c r="Q2591" s="15" t="s">
        <v>83</v>
      </c>
      <c r="R2591" s="4"/>
      <c r="S2591" s="4"/>
    </row>
    <row r="2592" spans="1:19" ht="21" customHeight="1" x14ac:dyDescent="0.25">
      <c r="A2592" s="14">
        <f>DATE(2012,12,31)-1237</f>
        <v>40037</v>
      </c>
      <c r="B2592" s="15" t="s">
        <v>1897</v>
      </c>
      <c r="C2592" s="15" t="s">
        <v>85</v>
      </c>
      <c r="D2592" s="16">
        <v>1</v>
      </c>
      <c r="E2592" s="17">
        <v>52.096499999999999</v>
      </c>
      <c r="F2592" s="16">
        <v>0</v>
      </c>
      <c r="G2592" s="15" t="s">
        <v>32</v>
      </c>
      <c r="H2592" s="18">
        <v>-232.80399999999997</v>
      </c>
      <c r="I2592" s="19">
        <v>55.99</v>
      </c>
      <c r="J2592" s="19">
        <v>2.5</v>
      </c>
      <c r="K2592" s="19" t="s">
        <v>44</v>
      </c>
      <c r="L2592" s="19" t="s">
        <v>45</v>
      </c>
      <c r="M2592" s="15" t="s">
        <v>1768</v>
      </c>
      <c r="N2592" s="15" t="s">
        <v>64</v>
      </c>
      <c r="O2592" s="15" t="s">
        <v>65</v>
      </c>
      <c r="P2592" s="20" t="s">
        <v>1150</v>
      </c>
      <c r="Q2592" s="15" t="s">
        <v>49</v>
      </c>
      <c r="R2592" s="4"/>
      <c r="S2592" s="4"/>
    </row>
    <row r="2593" spans="1:19" ht="21" customHeight="1" x14ac:dyDescent="0.25">
      <c r="A2593" s="14">
        <f>DATE(2012,12,31)-1249</f>
        <v>40025</v>
      </c>
      <c r="B2593" s="15" t="s">
        <v>172</v>
      </c>
      <c r="C2593" s="15" t="s">
        <v>85</v>
      </c>
      <c r="D2593" s="16">
        <v>31</v>
      </c>
      <c r="E2593" s="17">
        <v>3945.95</v>
      </c>
      <c r="F2593" s="16">
        <v>0.03</v>
      </c>
      <c r="G2593" s="15" t="s">
        <v>32</v>
      </c>
      <c r="H2593" s="18">
        <v>1031.32</v>
      </c>
      <c r="I2593" s="19">
        <v>128.24</v>
      </c>
      <c r="J2593" s="19">
        <v>12.65</v>
      </c>
      <c r="K2593" s="19" t="s">
        <v>44</v>
      </c>
      <c r="L2593" s="19" t="s">
        <v>80</v>
      </c>
      <c r="M2593" s="15" t="s">
        <v>1823</v>
      </c>
      <c r="N2593" s="15" t="s">
        <v>54</v>
      </c>
      <c r="O2593" s="15" t="s">
        <v>252</v>
      </c>
      <c r="P2593" s="20" t="s">
        <v>585</v>
      </c>
      <c r="Q2593" s="15" t="s">
        <v>57</v>
      </c>
      <c r="R2593" s="4"/>
      <c r="S2593" s="4"/>
    </row>
    <row r="2594" spans="1:19" ht="21" customHeight="1" x14ac:dyDescent="0.25">
      <c r="A2594" s="14">
        <f>DATE(2012,12,31)-1249</f>
        <v>40025</v>
      </c>
      <c r="B2594" s="15" t="s">
        <v>172</v>
      </c>
      <c r="C2594" s="15" t="s">
        <v>85</v>
      </c>
      <c r="D2594" s="16">
        <v>33</v>
      </c>
      <c r="E2594" s="17">
        <v>5394.4</v>
      </c>
      <c r="F2594" s="16">
        <v>0.01</v>
      </c>
      <c r="G2594" s="15" t="s">
        <v>58</v>
      </c>
      <c r="H2594" s="18">
        <v>788.79</v>
      </c>
      <c r="I2594" s="19">
        <v>160.97999999999999</v>
      </c>
      <c r="J2594" s="19">
        <v>30</v>
      </c>
      <c r="K2594" s="19" t="s">
        <v>44</v>
      </c>
      <c r="L2594" s="19" t="s">
        <v>45</v>
      </c>
      <c r="M2594" s="15" t="s">
        <v>1768</v>
      </c>
      <c r="N2594" s="15" t="s">
        <v>54</v>
      </c>
      <c r="O2594" s="15" t="s">
        <v>252</v>
      </c>
      <c r="P2594" s="20" t="s">
        <v>726</v>
      </c>
      <c r="Q2594" s="15" t="s">
        <v>181</v>
      </c>
      <c r="R2594" s="4"/>
      <c r="S2594" s="4"/>
    </row>
    <row r="2595" spans="1:19" ht="21" customHeight="1" x14ac:dyDescent="0.25">
      <c r="A2595" s="14">
        <f>DATE(2012,12,31)-1193</f>
        <v>40081</v>
      </c>
      <c r="B2595" s="15" t="s">
        <v>1898</v>
      </c>
      <c r="C2595" s="15" t="s">
        <v>43</v>
      </c>
      <c r="D2595" s="16">
        <v>8</v>
      </c>
      <c r="E2595" s="17">
        <v>1217.6199999999999</v>
      </c>
      <c r="F2595" s="16">
        <v>0.03</v>
      </c>
      <c r="G2595" s="15" t="s">
        <v>58</v>
      </c>
      <c r="H2595" s="18">
        <v>-221.5</v>
      </c>
      <c r="I2595" s="19">
        <v>140.97999999999999</v>
      </c>
      <c r="J2595" s="19">
        <v>36.090000000000003</v>
      </c>
      <c r="K2595" s="19" t="s">
        <v>44</v>
      </c>
      <c r="L2595" s="19" t="s">
        <v>89</v>
      </c>
      <c r="M2595" s="15" t="s">
        <v>1809</v>
      </c>
      <c r="N2595" s="15" t="s">
        <v>54</v>
      </c>
      <c r="O2595" s="15" t="s">
        <v>134</v>
      </c>
      <c r="P2595" s="20" t="s">
        <v>1039</v>
      </c>
      <c r="Q2595" s="15" t="s">
        <v>63</v>
      </c>
      <c r="R2595" s="4"/>
      <c r="S2595" s="4"/>
    </row>
    <row r="2596" spans="1:19" ht="21" customHeight="1" x14ac:dyDescent="0.25">
      <c r="A2596" s="14">
        <f>DATE(2012,12,31)-1193</f>
        <v>40081</v>
      </c>
      <c r="B2596" s="15" t="s">
        <v>1898</v>
      </c>
      <c r="C2596" s="15" t="s">
        <v>43</v>
      </c>
      <c r="D2596" s="16">
        <v>32</v>
      </c>
      <c r="E2596" s="17">
        <v>1725.0325</v>
      </c>
      <c r="F2596" s="16">
        <v>0.08</v>
      </c>
      <c r="G2596" s="15" t="s">
        <v>32</v>
      </c>
      <c r="H2596" s="18">
        <v>206.352</v>
      </c>
      <c r="I2596" s="19">
        <v>65.989999999999995</v>
      </c>
      <c r="J2596" s="19">
        <v>8.99</v>
      </c>
      <c r="K2596" s="19" t="s">
        <v>44</v>
      </c>
      <c r="L2596" s="19" t="s">
        <v>80</v>
      </c>
      <c r="M2596" s="15" t="s">
        <v>1823</v>
      </c>
      <c r="N2596" s="15" t="s">
        <v>64</v>
      </c>
      <c r="O2596" s="15" t="s">
        <v>65</v>
      </c>
      <c r="P2596" s="20" t="s">
        <v>312</v>
      </c>
      <c r="Q2596" s="15" t="s">
        <v>83</v>
      </c>
      <c r="R2596" s="4"/>
      <c r="S2596" s="4"/>
    </row>
    <row r="2597" spans="1:19" ht="21" customHeight="1" x14ac:dyDescent="0.25">
      <c r="A2597" s="14">
        <f>DATE(2012,12,31)-223</f>
        <v>41051</v>
      </c>
      <c r="B2597" s="15" t="s">
        <v>1899</v>
      </c>
      <c r="C2597" s="15" t="s">
        <v>31</v>
      </c>
      <c r="D2597" s="16">
        <v>9</v>
      </c>
      <c r="E2597" s="17">
        <v>222.2</v>
      </c>
      <c r="F2597" s="16">
        <v>0.03</v>
      </c>
      <c r="G2597" s="15" t="s">
        <v>32</v>
      </c>
      <c r="H2597" s="18">
        <v>-40.25</v>
      </c>
      <c r="I2597" s="19">
        <v>22.38</v>
      </c>
      <c r="J2597" s="19">
        <v>15.1</v>
      </c>
      <c r="K2597" s="19" t="s">
        <v>33</v>
      </c>
      <c r="L2597" s="19" t="s">
        <v>93</v>
      </c>
      <c r="M2597" s="15" t="s">
        <v>94</v>
      </c>
      <c r="N2597" s="15" t="s">
        <v>36</v>
      </c>
      <c r="O2597" s="15" t="s">
        <v>170</v>
      </c>
      <c r="P2597" s="20" t="s">
        <v>893</v>
      </c>
      <c r="Q2597" s="15" t="s">
        <v>83</v>
      </c>
      <c r="R2597" s="4"/>
      <c r="S2597" s="4"/>
    </row>
    <row r="2598" spans="1:19" ht="21" customHeight="1" x14ac:dyDescent="0.25">
      <c r="A2598" s="14">
        <f>DATE(2012,12,31)-223</f>
        <v>41051</v>
      </c>
      <c r="B2598" s="15" t="s">
        <v>1899</v>
      </c>
      <c r="C2598" s="15" t="s">
        <v>31</v>
      </c>
      <c r="D2598" s="16">
        <v>5</v>
      </c>
      <c r="E2598" s="17">
        <v>39.9</v>
      </c>
      <c r="F2598" s="16">
        <v>0.02</v>
      </c>
      <c r="G2598" s="15" t="s">
        <v>32</v>
      </c>
      <c r="H2598" s="18">
        <v>-37.8005</v>
      </c>
      <c r="I2598" s="19">
        <v>5.94</v>
      </c>
      <c r="J2598" s="19">
        <v>9.92</v>
      </c>
      <c r="K2598" s="19" t="s">
        <v>33</v>
      </c>
      <c r="L2598" s="19" t="s">
        <v>93</v>
      </c>
      <c r="M2598" s="15" t="s">
        <v>94</v>
      </c>
      <c r="N2598" s="15" t="s">
        <v>36</v>
      </c>
      <c r="O2598" s="15" t="s">
        <v>170</v>
      </c>
      <c r="P2598" s="20" t="s">
        <v>1900</v>
      </c>
      <c r="Q2598" s="15" t="s">
        <v>83</v>
      </c>
      <c r="R2598" s="4"/>
      <c r="S2598" s="4"/>
    </row>
    <row r="2599" spans="1:19" ht="21" customHeight="1" x14ac:dyDescent="0.25">
      <c r="A2599" s="14">
        <f>DATE(2012,12,31)-223</f>
        <v>41051</v>
      </c>
      <c r="B2599" s="15" t="s">
        <v>1899</v>
      </c>
      <c r="C2599" s="15" t="s">
        <v>31</v>
      </c>
      <c r="D2599" s="16">
        <v>43</v>
      </c>
      <c r="E2599" s="17">
        <v>319.95999999999998</v>
      </c>
      <c r="F2599" s="16">
        <v>0.01</v>
      </c>
      <c r="G2599" s="15" t="s">
        <v>101</v>
      </c>
      <c r="H2599" s="18">
        <v>123.15</v>
      </c>
      <c r="I2599" s="19">
        <v>6.98</v>
      </c>
      <c r="J2599" s="19">
        <v>1.6</v>
      </c>
      <c r="K2599" s="19" t="s">
        <v>97</v>
      </c>
      <c r="L2599" s="19" t="s">
        <v>283</v>
      </c>
      <c r="M2599" s="15" t="s">
        <v>1901</v>
      </c>
      <c r="N2599" s="15" t="s">
        <v>36</v>
      </c>
      <c r="O2599" s="15" t="s">
        <v>117</v>
      </c>
      <c r="P2599" s="20" t="s">
        <v>1345</v>
      </c>
      <c r="Q2599" s="15" t="s">
        <v>79</v>
      </c>
      <c r="R2599" s="4"/>
      <c r="S2599" s="4"/>
    </row>
    <row r="2600" spans="1:19" ht="21" customHeight="1" x14ac:dyDescent="0.25">
      <c r="A2600" s="14">
        <f>DATE(2012,12,31)-986</f>
        <v>40288</v>
      </c>
      <c r="B2600" s="15" t="s">
        <v>50</v>
      </c>
      <c r="C2600" s="15" t="s">
        <v>43</v>
      </c>
      <c r="D2600" s="16">
        <v>20</v>
      </c>
      <c r="E2600" s="17">
        <v>2022.18</v>
      </c>
      <c r="F2600" s="16">
        <v>0.09</v>
      </c>
      <c r="G2600" s="15" t="s">
        <v>101</v>
      </c>
      <c r="H2600" s="18">
        <v>594.44000000000005</v>
      </c>
      <c r="I2600" s="19">
        <v>102.3</v>
      </c>
      <c r="J2600" s="19">
        <v>21.26</v>
      </c>
      <c r="K2600" s="19" t="s">
        <v>97</v>
      </c>
      <c r="L2600" s="19" t="s">
        <v>195</v>
      </c>
      <c r="M2600" s="15" t="s">
        <v>1847</v>
      </c>
      <c r="N2600" s="15" t="s">
        <v>54</v>
      </c>
      <c r="O2600" s="15" t="s">
        <v>55</v>
      </c>
      <c r="P2600" s="20" t="s">
        <v>1398</v>
      </c>
      <c r="Q2600" s="15" t="s">
        <v>39</v>
      </c>
      <c r="R2600" s="4"/>
      <c r="S2600" s="4"/>
    </row>
    <row r="2601" spans="1:19" ht="21" customHeight="1" x14ac:dyDescent="0.25">
      <c r="A2601" s="14">
        <f>DATE(2012,12,31)-1186</f>
        <v>40088</v>
      </c>
      <c r="B2601" s="15" t="s">
        <v>1438</v>
      </c>
      <c r="C2601" s="15" t="s">
        <v>43</v>
      </c>
      <c r="D2601" s="16">
        <v>27</v>
      </c>
      <c r="E2601" s="17">
        <v>566.12</v>
      </c>
      <c r="F2601" s="16">
        <v>0.03</v>
      </c>
      <c r="G2601" s="15" t="s">
        <v>32</v>
      </c>
      <c r="H2601" s="18">
        <v>-19.329999999999998</v>
      </c>
      <c r="I2601" s="19">
        <v>19.989999999999998</v>
      </c>
      <c r="J2601" s="19">
        <v>11.17</v>
      </c>
      <c r="K2601" s="19" t="s">
        <v>97</v>
      </c>
      <c r="L2601" s="19" t="s">
        <v>283</v>
      </c>
      <c r="M2601" s="15" t="s">
        <v>1901</v>
      </c>
      <c r="N2601" s="15" t="s">
        <v>54</v>
      </c>
      <c r="O2601" s="15" t="s">
        <v>55</v>
      </c>
      <c r="P2601" s="20" t="s">
        <v>1902</v>
      </c>
      <c r="Q2601" s="15" t="s">
        <v>39</v>
      </c>
      <c r="R2601" s="4"/>
      <c r="S2601" s="4"/>
    </row>
    <row r="2602" spans="1:19" ht="21" customHeight="1" x14ac:dyDescent="0.25">
      <c r="A2602" s="14">
        <f>DATE(2012,12,31)-656</f>
        <v>40618</v>
      </c>
      <c r="B2602" s="15" t="s">
        <v>1903</v>
      </c>
      <c r="C2602" s="15" t="s">
        <v>51</v>
      </c>
      <c r="D2602" s="16">
        <v>50</v>
      </c>
      <c r="E2602" s="17">
        <v>1558.18</v>
      </c>
      <c r="F2602" s="16">
        <v>0</v>
      </c>
      <c r="G2602" s="15" t="s">
        <v>32</v>
      </c>
      <c r="H2602" s="18">
        <v>417.62</v>
      </c>
      <c r="I2602" s="19">
        <v>30.98</v>
      </c>
      <c r="J2602" s="19">
        <v>9.18</v>
      </c>
      <c r="K2602" s="19" t="s">
        <v>97</v>
      </c>
      <c r="L2602" s="19" t="s">
        <v>98</v>
      </c>
      <c r="M2602" s="15" t="s">
        <v>1162</v>
      </c>
      <c r="N2602" s="15" t="s">
        <v>36</v>
      </c>
      <c r="O2602" s="15" t="s">
        <v>117</v>
      </c>
      <c r="P2602" s="20" t="s">
        <v>1904</v>
      </c>
      <c r="Q2602" s="15" t="s">
        <v>83</v>
      </c>
      <c r="R2602" s="4"/>
      <c r="S2602" s="4"/>
    </row>
    <row r="2603" spans="1:19" ht="21" customHeight="1" x14ac:dyDescent="0.25">
      <c r="A2603" s="14">
        <f>DATE(2012,12,31)-1419</f>
        <v>39855</v>
      </c>
      <c r="B2603" s="15" t="s">
        <v>416</v>
      </c>
      <c r="C2603" s="15" t="s">
        <v>51</v>
      </c>
      <c r="D2603" s="16">
        <v>7</v>
      </c>
      <c r="E2603" s="17">
        <v>13253.93</v>
      </c>
      <c r="F2603" s="16">
        <v>0.01</v>
      </c>
      <c r="G2603" s="15" t="s">
        <v>58</v>
      </c>
      <c r="H2603" s="18">
        <v>-1596.7457999999999</v>
      </c>
      <c r="I2603" s="19">
        <v>2036.48</v>
      </c>
      <c r="J2603" s="19">
        <v>14.7</v>
      </c>
      <c r="K2603" s="19" t="s">
        <v>97</v>
      </c>
      <c r="L2603" s="19" t="s">
        <v>132</v>
      </c>
      <c r="M2603" s="15" t="s">
        <v>133</v>
      </c>
      <c r="N2603" s="15" t="s">
        <v>64</v>
      </c>
      <c r="O2603" s="15" t="s">
        <v>122</v>
      </c>
      <c r="P2603" s="20" t="s">
        <v>642</v>
      </c>
      <c r="Q2603" s="15" t="s">
        <v>181</v>
      </c>
      <c r="R2603" s="4"/>
      <c r="S2603" s="4"/>
    </row>
    <row r="2604" spans="1:19" ht="21" customHeight="1" x14ac:dyDescent="0.25">
      <c r="A2604" s="14">
        <f>DATE(2012,12,31)-1406</f>
        <v>39868</v>
      </c>
      <c r="B2604" s="15" t="s">
        <v>1905</v>
      </c>
      <c r="C2604" s="15" t="s">
        <v>85</v>
      </c>
      <c r="D2604" s="16">
        <v>12</v>
      </c>
      <c r="E2604" s="17">
        <v>580.46</v>
      </c>
      <c r="F2604" s="16">
        <v>0.03</v>
      </c>
      <c r="G2604" s="15" t="s">
        <v>101</v>
      </c>
      <c r="H2604" s="18">
        <v>108.96</v>
      </c>
      <c r="I2604" s="19">
        <v>48.58</v>
      </c>
      <c r="J2604" s="19">
        <v>3.99</v>
      </c>
      <c r="K2604" s="19" t="s">
        <v>97</v>
      </c>
      <c r="L2604" s="19" t="s">
        <v>98</v>
      </c>
      <c r="M2604" s="15" t="s">
        <v>1162</v>
      </c>
      <c r="N2604" s="15" t="s">
        <v>36</v>
      </c>
      <c r="O2604" s="15" t="s">
        <v>176</v>
      </c>
      <c r="P2604" s="20" t="s">
        <v>483</v>
      </c>
      <c r="Q2604" s="15" t="s">
        <v>83</v>
      </c>
      <c r="R2604" s="4"/>
      <c r="S2604" s="4"/>
    </row>
    <row r="2605" spans="1:19" ht="21" customHeight="1" x14ac:dyDescent="0.25">
      <c r="A2605" s="14">
        <f>DATE(2012,12,31)-1405</f>
        <v>39869</v>
      </c>
      <c r="B2605" s="15" t="s">
        <v>937</v>
      </c>
      <c r="C2605" s="15" t="s">
        <v>31</v>
      </c>
      <c r="D2605" s="16">
        <v>22</v>
      </c>
      <c r="E2605" s="17">
        <v>1102.3</v>
      </c>
      <c r="F2605" s="16">
        <v>0.1</v>
      </c>
      <c r="G2605" s="15" t="s">
        <v>32</v>
      </c>
      <c r="H2605" s="18">
        <v>98.12</v>
      </c>
      <c r="I2605" s="19">
        <v>50.98</v>
      </c>
      <c r="J2605" s="19">
        <v>22.24</v>
      </c>
      <c r="K2605" s="19" t="s">
        <v>124</v>
      </c>
      <c r="L2605" s="19" t="s">
        <v>160</v>
      </c>
      <c r="M2605" s="15" t="s">
        <v>1621</v>
      </c>
      <c r="N2605" s="15" t="s">
        <v>54</v>
      </c>
      <c r="O2605" s="15" t="s">
        <v>55</v>
      </c>
      <c r="P2605" s="20" t="s">
        <v>1546</v>
      </c>
      <c r="Q2605" s="15" t="s">
        <v>39</v>
      </c>
      <c r="R2605" s="4"/>
      <c r="S2605" s="4"/>
    </row>
    <row r="2606" spans="1:19" ht="21" customHeight="1" x14ac:dyDescent="0.25">
      <c r="A2606" s="14">
        <f>DATE(2012,12,31)-741</f>
        <v>40533</v>
      </c>
      <c r="B2606" s="15" t="s">
        <v>1177</v>
      </c>
      <c r="C2606" s="15" t="s">
        <v>31</v>
      </c>
      <c r="D2606" s="16">
        <v>34</v>
      </c>
      <c r="E2606" s="17">
        <v>1950.0359999999998</v>
      </c>
      <c r="F2606" s="16">
        <v>0.03</v>
      </c>
      <c r="G2606" s="15" t="s">
        <v>32</v>
      </c>
      <c r="H2606" s="18">
        <v>361.89</v>
      </c>
      <c r="I2606" s="19">
        <v>65.989999999999995</v>
      </c>
      <c r="J2606" s="19">
        <v>8.99</v>
      </c>
      <c r="K2606" s="19" t="s">
        <v>124</v>
      </c>
      <c r="L2606" s="19" t="s">
        <v>160</v>
      </c>
      <c r="M2606" s="15" t="s">
        <v>1906</v>
      </c>
      <c r="N2606" s="15" t="s">
        <v>64</v>
      </c>
      <c r="O2606" s="15" t="s">
        <v>65</v>
      </c>
      <c r="P2606" s="20" t="s">
        <v>312</v>
      </c>
      <c r="Q2606" s="15" t="s">
        <v>83</v>
      </c>
      <c r="R2606" s="4"/>
      <c r="S2606" s="4"/>
    </row>
    <row r="2607" spans="1:19" ht="21" customHeight="1" x14ac:dyDescent="0.25">
      <c r="A2607" s="14">
        <f>DATE(2012,12,31)-148</f>
        <v>41126</v>
      </c>
      <c r="B2607" s="15" t="s">
        <v>518</v>
      </c>
      <c r="C2607" s="15" t="s">
        <v>51</v>
      </c>
      <c r="D2607" s="16">
        <v>6</v>
      </c>
      <c r="E2607" s="17">
        <v>751.71</v>
      </c>
      <c r="F2607" s="16">
        <v>0.09</v>
      </c>
      <c r="G2607" s="15" t="s">
        <v>32</v>
      </c>
      <c r="H2607" s="18">
        <v>50.83</v>
      </c>
      <c r="I2607" s="19">
        <v>131.12</v>
      </c>
      <c r="J2607" s="19">
        <v>0.99</v>
      </c>
      <c r="K2607" s="19" t="s">
        <v>124</v>
      </c>
      <c r="L2607" s="19" t="s">
        <v>160</v>
      </c>
      <c r="M2607" s="15" t="s">
        <v>1906</v>
      </c>
      <c r="N2607" s="15" t="s">
        <v>36</v>
      </c>
      <c r="O2607" s="15" t="s">
        <v>176</v>
      </c>
      <c r="P2607" s="20" t="s">
        <v>1036</v>
      </c>
      <c r="Q2607" s="15" t="s">
        <v>83</v>
      </c>
      <c r="R2607" s="4"/>
      <c r="S2607" s="4"/>
    </row>
    <row r="2608" spans="1:19" ht="21" customHeight="1" x14ac:dyDescent="0.25">
      <c r="A2608" s="14">
        <f>DATE(2012,12,31)-148</f>
        <v>41126</v>
      </c>
      <c r="B2608" s="15" t="s">
        <v>518</v>
      </c>
      <c r="C2608" s="15" t="s">
        <v>51</v>
      </c>
      <c r="D2608" s="16">
        <v>43</v>
      </c>
      <c r="E2608" s="17">
        <v>471.87</v>
      </c>
      <c r="F2608" s="16">
        <v>0.05</v>
      </c>
      <c r="G2608" s="15" t="s">
        <v>32</v>
      </c>
      <c r="H2608" s="18">
        <v>52.27</v>
      </c>
      <c r="I2608" s="19">
        <v>11.09</v>
      </c>
      <c r="J2608" s="19">
        <v>5.25</v>
      </c>
      <c r="K2608" s="19" t="s">
        <v>124</v>
      </c>
      <c r="L2608" s="19" t="s">
        <v>160</v>
      </c>
      <c r="M2608" s="15" t="s">
        <v>1906</v>
      </c>
      <c r="N2608" s="15" t="s">
        <v>36</v>
      </c>
      <c r="O2608" s="15" t="s">
        <v>189</v>
      </c>
      <c r="P2608" s="20" t="s">
        <v>505</v>
      </c>
      <c r="Q2608" s="15" t="s">
        <v>83</v>
      </c>
      <c r="R2608" s="4"/>
      <c r="S2608" s="4"/>
    </row>
    <row r="2609" spans="1:19" ht="21" customHeight="1" x14ac:dyDescent="0.25">
      <c r="A2609" s="14">
        <f>DATE(2012,12,31)-148</f>
        <v>41126</v>
      </c>
      <c r="B2609" s="15" t="s">
        <v>518</v>
      </c>
      <c r="C2609" s="15" t="s">
        <v>51</v>
      </c>
      <c r="D2609" s="16">
        <v>39</v>
      </c>
      <c r="E2609" s="17">
        <v>539.6</v>
      </c>
      <c r="F2609" s="16">
        <v>0.06</v>
      </c>
      <c r="G2609" s="15" t="s">
        <v>32</v>
      </c>
      <c r="H2609" s="18">
        <v>-6.5</v>
      </c>
      <c r="I2609" s="19">
        <v>13.79</v>
      </c>
      <c r="J2609" s="19">
        <v>8.7799999999999994</v>
      </c>
      <c r="K2609" s="19" t="s">
        <v>124</v>
      </c>
      <c r="L2609" s="19" t="s">
        <v>160</v>
      </c>
      <c r="M2609" s="15" t="s">
        <v>1906</v>
      </c>
      <c r="N2609" s="15" t="s">
        <v>54</v>
      </c>
      <c r="O2609" s="15" t="s">
        <v>55</v>
      </c>
      <c r="P2609" s="20" t="s">
        <v>1463</v>
      </c>
      <c r="Q2609" s="15" t="s">
        <v>83</v>
      </c>
      <c r="R2609" s="4"/>
      <c r="S2609" s="4"/>
    </row>
    <row r="2610" spans="1:19" ht="21" customHeight="1" x14ac:dyDescent="0.25">
      <c r="A2610" s="14">
        <f>DATE(2012,12,31)-15</f>
        <v>41259</v>
      </c>
      <c r="B2610" s="15" t="s">
        <v>1798</v>
      </c>
      <c r="C2610" s="15" t="s">
        <v>85</v>
      </c>
      <c r="D2610" s="16">
        <v>32</v>
      </c>
      <c r="E2610" s="17">
        <v>204.21</v>
      </c>
      <c r="F2610" s="16">
        <v>0.04</v>
      </c>
      <c r="G2610" s="15" t="s">
        <v>101</v>
      </c>
      <c r="H2610" s="18">
        <v>-204.81</v>
      </c>
      <c r="I2610" s="19">
        <v>5.98</v>
      </c>
      <c r="J2610" s="19">
        <v>10.39</v>
      </c>
      <c r="K2610" s="19" t="s">
        <v>124</v>
      </c>
      <c r="L2610" s="19" t="s">
        <v>164</v>
      </c>
      <c r="M2610" s="15" t="s">
        <v>1228</v>
      </c>
      <c r="N2610" s="15" t="s">
        <v>36</v>
      </c>
      <c r="O2610" s="15" t="s">
        <v>117</v>
      </c>
      <c r="P2610" s="20" t="s">
        <v>1071</v>
      </c>
      <c r="Q2610" s="15" t="s">
        <v>83</v>
      </c>
      <c r="R2610" s="4"/>
      <c r="S2610" s="4"/>
    </row>
    <row r="2611" spans="1:19" ht="21" customHeight="1" x14ac:dyDescent="0.25">
      <c r="A2611" s="14">
        <f>DATE(2012,12,31)-469</f>
        <v>40805</v>
      </c>
      <c r="B2611" s="15" t="s">
        <v>1080</v>
      </c>
      <c r="C2611" s="15" t="s">
        <v>51</v>
      </c>
      <c r="D2611" s="16">
        <v>17</v>
      </c>
      <c r="E2611" s="17">
        <v>351.25</v>
      </c>
      <c r="F2611" s="16">
        <v>0.01</v>
      </c>
      <c r="G2611" s="15" t="s">
        <v>101</v>
      </c>
      <c r="H2611" s="18">
        <v>80.73</v>
      </c>
      <c r="I2611" s="19">
        <v>19.98</v>
      </c>
      <c r="J2611" s="19">
        <v>5.97</v>
      </c>
      <c r="K2611" s="19" t="s">
        <v>124</v>
      </c>
      <c r="L2611" s="19" t="s">
        <v>125</v>
      </c>
      <c r="M2611" s="15" t="s">
        <v>1829</v>
      </c>
      <c r="N2611" s="15" t="s">
        <v>36</v>
      </c>
      <c r="O2611" s="15" t="s">
        <v>117</v>
      </c>
      <c r="P2611" s="20" t="s">
        <v>1347</v>
      </c>
      <c r="Q2611" s="15" t="s">
        <v>83</v>
      </c>
      <c r="R2611" s="4"/>
      <c r="S2611" s="4"/>
    </row>
    <row r="2612" spans="1:19" ht="21" customHeight="1" x14ac:dyDescent="0.25">
      <c r="A2612" s="14">
        <f>DATE(2012,12,31)-1079</f>
        <v>40195</v>
      </c>
      <c r="B2612" s="15" t="s">
        <v>1338</v>
      </c>
      <c r="C2612" s="15" t="s">
        <v>85</v>
      </c>
      <c r="D2612" s="16">
        <v>33</v>
      </c>
      <c r="E2612" s="17">
        <v>223.88</v>
      </c>
      <c r="F2612" s="16">
        <v>0.03</v>
      </c>
      <c r="G2612" s="15" t="s">
        <v>32</v>
      </c>
      <c r="H2612" s="18">
        <v>55.21</v>
      </c>
      <c r="I2612" s="19">
        <v>6.68</v>
      </c>
      <c r="J2612" s="19">
        <v>1.5</v>
      </c>
      <c r="K2612" s="19" t="s">
        <v>124</v>
      </c>
      <c r="L2612" s="19" t="s">
        <v>125</v>
      </c>
      <c r="M2612" s="15" t="s">
        <v>1829</v>
      </c>
      <c r="N2612" s="15" t="s">
        <v>36</v>
      </c>
      <c r="O2612" s="15" t="s">
        <v>77</v>
      </c>
      <c r="P2612" s="20" t="s">
        <v>857</v>
      </c>
      <c r="Q2612" s="15" t="s">
        <v>79</v>
      </c>
      <c r="R2612" s="4"/>
      <c r="S2612" s="4"/>
    </row>
    <row r="2613" spans="1:19" ht="21" customHeight="1" x14ac:dyDescent="0.25">
      <c r="A2613" s="14">
        <f>DATE(2012,12,31)-1203</f>
        <v>40071</v>
      </c>
      <c r="B2613" s="15" t="s">
        <v>450</v>
      </c>
      <c r="C2613" s="15" t="s">
        <v>51</v>
      </c>
      <c r="D2613" s="16">
        <v>31</v>
      </c>
      <c r="E2613" s="17">
        <v>229.43</v>
      </c>
      <c r="F2613" s="16">
        <v>0.03</v>
      </c>
      <c r="G2613" s="15" t="s">
        <v>32</v>
      </c>
      <c r="H2613" s="18">
        <v>-127.05200000000001</v>
      </c>
      <c r="I2613" s="19">
        <v>7.3</v>
      </c>
      <c r="J2613" s="19">
        <v>7.72</v>
      </c>
      <c r="K2613" s="19" t="s">
        <v>124</v>
      </c>
      <c r="L2613" s="19" t="s">
        <v>125</v>
      </c>
      <c r="M2613" s="15" t="s">
        <v>1829</v>
      </c>
      <c r="N2613" s="15" t="s">
        <v>36</v>
      </c>
      <c r="O2613" s="15" t="s">
        <v>170</v>
      </c>
      <c r="P2613" s="20" t="s">
        <v>274</v>
      </c>
      <c r="Q2613" s="15" t="s">
        <v>83</v>
      </c>
      <c r="R2613" s="4"/>
      <c r="S2613" s="4"/>
    </row>
    <row r="2614" spans="1:19" ht="21" customHeight="1" x14ac:dyDescent="0.25">
      <c r="A2614" s="14">
        <f>DATE(2012,12,31)-556</f>
        <v>40718</v>
      </c>
      <c r="B2614" s="15" t="s">
        <v>1894</v>
      </c>
      <c r="C2614" s="15" t="s">
        <v>43</v>
      </c>
      <c r="D2614" s="16">
        <v>5</v>
      </c>
      <c r="E2614" s="17">
        <v>131.27000000000001</v>
      </c>
      <c r="F2614" s="16">
        <v>0.1</v>
      </c>
      <c r="G2614" s="15" t="s">
        <v>58</v>
      </c>
      <c r="H2614" s="18">
        <v>-70.430000000000007</v>
      </c>
      <c r="I2614" s="19">
        <v>25.98</v>
      </c>
      <c r="J2614" s="19">
        <v>14.36</v>
      </c>
      <c r="K2614" s="19" t="s">
        <v>124</v>
      </c>
      <c r="L2614" s="19" t="s">
        <v>168</v>
      </c>
      <c r="M2614" s="15" t="s">
        <v>1624</v>
      </c>
      <c r="N2614" s="15" t="s">
        <v>54</v>
      </c>
      <c r="O2614" s="15" t="s">
        <v>252</v>
      </c>
      <c r="P2614" s="20" t="s">
        <v>1431</v>
      </c>
      <c r="Q2614" s="15" t="s">
        <v>181</v>
      </c>
      <c r="R2614" s="4"/>
      <c r="S2614" s="4"/>
    </row>
    <row r="2615" spans="1:19" ht="21" customHeight="1" x14ac:dyDescent="0.25">
      <c r="A2615" s="14">
        <f>DATE(2012,12,31)-556</f>
        <v>40718</v>
      </c>
      <c r="B2615" s="15" t="s">
        <v>1894</v>
      </c>
      <c r="C2615" s="15" t="s">
        <v>43</v>
      </c>
      <c r="D2615" s="16">
        <v>29</v>
      </c>
      <c r="E2615" s="17">
        <v>13571.7</v>
      </c>
      <c r="F2615" s="16">
        <v>0</v>
      </c>
      <c r="G2615" s="15" t="s">
        <v>32</v>
      </c>
      <c r="H2615" s="18">
        <v>3825.69</v>
      </c>
      <c r="I2615" s="19">
        <v>449.99</v>
      </c>
      <c r="J2615" s="19">
        <v>24.49</v>
      </c>
      <c r="K2615" s="19" t="s">
        <v>124</v>
      </c>
      <c r="L2615" s="19" t="s">
        <v>319</v>
      </c>
      <c r="M2615" s="15" t="s">
        <v>1711</v>
      </c>
      <c r="N2615" s="15" t="s">
        <v>64</v>
      </c>
      <c r="O2615" s="15" t="s">
        <v>460</v>
      </c>
      <c r="P2615" s="20" t="s">
        <v>511</v>
      </c>
      <c r="Q2615" s="15" t="s">
        <v>39</v>
      </c>
      <c r="R2615" s="4"/>
      <c r="S2615" s="4"/>
    </row>
    <row r="2616" spans="1:19" ht="21" customHeight="1" x14ac:dyDescent="0.25">
      <c r="A2616" s="14">
        <f>DATE(2012,12,31)-757</f>
        <v>40517</v>
      </c>
      <c r="B2616" s="15" t="s">
        <v>247</v>
      </c>
      <c r="C2616" s="15" t="s">
        <v>43</v>
      </c>
      <c r="D2616" s="16">
        <v>9</v>
      </c>
      <c r="E2616" s="17">
        <v>173.417</v>
      </c>
      <c r="F2616" s="16">
        <v>0</v>
      </c>
      <c r="G2616" s="15" t="s">
        <v>32</v>
      </c>
      <c r="H2616" s="18">
        <v>18.234000000000002</v>
      </c>
      <c r="I2616" s="19">
        <v>20.99</v>
      </c>
      <c r="J2616" s="19">
        <v>0.99</v>
      </c>
      <c r="K2616" s="19" t="s">
        <v>44</v>
      </c>
      <c r="L2616" s="19" t="s">
        <v>52</v>
      </c>
      <c r="M2616" s="15" t="s">
        <v>1685</v>
      </c>
      <c r="N2616" s="15" t="s">
        <v>64</v>
      </c>
      <c r="O2616" s="15" t="s">
        <v>65</v>
      </c>
      <c r="P2616" s="20" t="s">
        <v>1101</v>
      </c>
      <c r="Q2616" s="15" t="s">
        <v>79</v>
      </c>
      <c r="R2616" s="4"/>
      <c r="S2616" s="4"/>
    </row>
    <row r="2617" spans="1:19" ht="21" customHeight="1" x14ac:dyDescent="0.25">
      <c r="A2617" s="14">
        <f>DATE(2012,12,31)-242</f>
        <v>41032</v>
      </c>
      <c r="B2617" s="15" t="s">
        <v>812</v>
      </c>
      <c r="C2617" s="15" t="s">
        <v>85</v>
      </c>
      <c r="D2617" s="16">
        <v>14</v>
      </c>
      <c r="E2617" s="17">
        <v>28.82</v>
      </c>
      <c r="F2617" s="16">
        <v>0.08</v>
      </c>
      <c r="G2617" s="15" t="s">
        <v>32</v>
      </c>
      <c r="H2617" s="18">
        <v>-8.3605</v>
      </c>
      <c r="I2617" s="19">
        <v>2.08</v>
      </c>
      <c r="J2617" s="19">
        <v>1.49</v>
      </c>
      <c r="K2617" s="19" t="s">
        <v>44</v>
      </c>
      <c r="L2617" s="19" t="s">
        <v>52</v>
      </c>
      <c r="M2617" s="15" t="s">
        <v>1685</v>
      </c>
      <c r="N2617" s="15" t="s">
        <v>36</v>
      </c>
      <c r="O2617" s="15" t="s">
        <v>170</v>
      </c>
      <c r="P2617" s="20" t="s">
        <v>1907</v>
      </c>
      <c r="Q2617" s="15" t="s">
        <v>83</v>
      </c>
      <c r="R2617" s="4"/>
      <c r="S2617" s="4"/>
    </row>
    <row r="2618" spans="1:19" ht="21" customHeight="1" x14ac:dyDescent="0.25">
      <c r="A2618" s="14">
        <f>DATE(2012,12,31)-65</f>
        <v>41209</v>
      </c>
      <c r="B2618" s="15" t="s">
        <v>648</v>
      </c>
      <c r="C2618" s="15" t="s">
        <v>43</v>
      </c>
      <c r="D2618" s="16">
        <v>7</v>
      </c>
      <c r="E2618" s="17">
        <v>6362.94</v>
      </c>
      <c r="F2618" s="16">
        <v>0.1</v>
      </c>
      <c r="G2618" s="15" t="s">
        <v>32</v>
      </c>
      <c r="H2618" s="18">
        <v>-221.78039999999999</v>
      </c>
      <c r="I2618" s="19">
        <v>999.99</v>
      </c>
      <c r="J2618" s="19">
        <v>13.99</v>
      </c>
      <c r="K2618" s="19" t="s">
        <v>44</v>
      </c>
      <c r="L2618" s="19" t="s">
        <v>52</v>
      </c>
      <c r="M2618" s="15" t="s">
        <v>1685</v>
      </c>
      <c r="N2618" s="15" t="s">
        <v>64</v>
      </c>
      <c r="O2618" s="15" t="s">
        <v>122</v>
      </c>
      <c r="P2618" s="20" t="s">
        <v>1495</v>
      </c>
      <c r="Q2618" s="15" t="s">
        <v>57</v>
      </c>
      <c r="R2618" s="4"/>
      <c r="S2618" s="4"/>
    </row>
    <row r="2619" spans="1:19" ht="21" customHeight="1" x14ac:dyDescent="0.25">
      <c r="A2619" s="14">
        <f>DATE(2012,12,31)-1282</f>
        <v>39992</v>
      </c>
      <c r="B2619" s="15" t="s">
        <v>1908</v>
      </c>
      <c r="C2619" s="15" t="s">
        <v>31</v>
      </c>
      <c r="D2619" s="16">
        <v>39</v>
      </c>
      <c r="E2619" s="17">
        <v>739.28</v>
      </c>
      <c r="F2619" s="16">
        <v>0</v>
      </c>
      <c r="G2619" s="15" t="s">
        <v>32</v>
      </c>
      <c r="H2619" s="18">
        <v>43.97</v>
      </c>
      <c r="I2619" s="19">
        <v>17.52</v>
      </c>
      <c r="J2619" s="19">
        <v>8.17</v>
      </c>
      <c r="K2619" s="19" t="s">
        <v>44</v>
      </c>
      <c r="L2619" s="19" t="s">
        <v>52</v>
      </c>
      <c r="M2619" s="15" t="s">
        <v>1685</v>
      </c>
      <c r="N2619" s="15" t="s">
        <v>36</v>
      </c>
      <c r="O2619" s="15" t="s">
        <v>176</v>
      </c>
      <c r="P2619" s="20" t="s">
        <v>310</v>
      </c>
      <c r="Q2619" s="15" t="s">
        <v>57</v>
      </c>
      <c r="R2619" s="4"/>
      <c r="S2619" s="4"/>
    </row>
    <row r="2620" spans="1:19" ht="21" customHeight="1" x14ac:dyDescent="0.25">
      <c r="A2620" s="14">
        <f>DATE(2012,12,31)-1444</f>
        <v>39830</v>
      </c>
      <c r="B2620" s="15" t="s">
        <v>1781</v>
      </c>
      <c r="C2620" s="15" t="s">
        <v>85</v>
      </c>
      <c r="D2620" s="16">
        <v>33</v>
      </c>
      <c r="E2620" s="17">
        <v>528.54</v>
      </c>
      <c r="F2620" s="16">
        <v>0.06</v>
      </c>
      <c r="G2620" s="15" t="s">
        <v>32</v>
      </c>
      <c r="H2620" s="18">
        <v>168.54</v>
      </c>
      <c r="I2620" s="19">
        <v>16.48</v>
      </c>
      <c r="J2620" s="19">
        <v>1.99</v>
      </c>
      <c r="K2620" s="19" t="s">
        <v>44</v>
      </c>
      <c r="L2620" s="19" t="s">
        <v>52</v>
      </c>
      <c r="M2620" s="15" t="s">
        <v>1685</v>
      </c>
      <c r="N2620" s="15" t="s">
        <v>64</v>
      </c>
      <c r="O2620" s="15" t="s">
        <v>72</v>
      </c>
      <c r="P2620" s="20" t="s">
        <v>1587</v>
      </c>
      <c r="Q2620" s="15" t="s">
        <v>49</v>
      </c>
      <c r="R2620" s="4"/>
      <c r="S2620" s="4"/>
    </row>
    <row r="2621" spans="1:19" ht="21" customHeight="1" x14ac:dyDescent="0.25">
      <c r="A2621" s="14">
        <f>DATE(2012,12,31)-972</f>
        <v>40302</v>
      </c>
      <c r="B2621" s="15" t="s">
        <v>939</v>
      </c>
      <c r="C2621" s="15" t="s">
        <v>85</v>
      </c>
      <c r="D2621" s="16">
        <v>32</v>
      </c>
      <c r="E2621" s="17">
        <v>202.89</v>
      </c>
      <c r="F2621" s="16">
        <v>7.0000000000000007E-2</v>
      </c>
      <c r="G2621" s="15" t="s">
        <v>32</v>
      </c>
      <c r="H2621" s="18">
        <v>-201.91</v>
      </c>
      <c r="I2621" s="19">
        <v>6.48</v>
      </c>
      <c r="J2621" s="19">
        <v>10.050000000000001</v>
      </c>
      <c r="K2621" s="19" t="s">
        <v>44</v>
      </c>
      <c r="L2621" s="19" t="s">
        <v>52</v>
      </c>
      <c r="M2621" s="15" t="s">
        <v>1685</v>
      </c>
      <c r="N2621" s="15" t="s">
        <v>36</v>
      </c>
      <c r="O2621" s="15" t="s">
        <v>117</v>
      </c>
      <c r="P2621" s="20" t="s">
        <v>200</v>
      </c>
      <c r="Q2621" s="15" t="s">
        <v>83</v>
      </c>
      <c r="R2621" s="4"/>
      <c r="S2621" s="4"/>
    </row>
    <row r="2622" spans="1:19" ht="21" customHeight="1" x14ac:dyDescent="0.25">
      <c r="A2622" s="14">
        <f>DATE(2012,12,31)-308</f>
        <v>40966</v>
      </c>
      <c r="B2622" s="15" t="s">
        <v>468</v>
      </c>
      <c r="C2622" s="15" t="s">
        <v>31</v>
      </c>
      <c r="D2622" s="16">
        <v>33</v>
      </c>
      <c r="E2622" s="17">
        <v>3008.5</v>
      </c>
      <c r="F2622" s="16">
        <v>0.05</v>
      </c>
      <c r="G2622" s="15" t="s">
        <v>58</v>
      </c>
      <c r="H2622" s="18">
        <v>1101.9000000000001</v>
      </c>
      <c r="I2622" s="19">
        <v>90.97</v>
      </c>
      <c r="J2622" s="19">
        <v>14</v>
      </c>
      <c r="K2622" s="19" t="s">
        <v>44</v>
      </c>
      <c r="L2622" s="19" t="s">
        <v>52</v>
      </c>
      <c r="M2622" s="15" t="s">
        <v>1685</v>
      </c>
      <c r="N2622" s="15" t="s">
        <v>64</v>
      </c>
      <c r="O2622" s="15" t="s">
        <v>122</v>
      </c>
      <c r="P2622" s="20" t="s">
        <v>843</v>
      </c>
      <c r="Q2622" s="15" t="s">
        <v>181</v>
      </c>
      <c r="R2622" s="4"/>
      <c r="S2622" s="4"/>
    </row>
    <row r="2623" spans="1:19" ht="21" customHeight="1" x14ac:dyDescent="0.25">
      <c r="A2623" s="14">
        <f>DATE(2012,12,31)-551</f>
        <v>40723</v>
      </c>
      <c r="B2623" s="15" t="s">
        <v>1188</v>
      </c>
      <c r="C2623" s="15" t="s">
        <v>85</v>
      </c>
      <c r="D2623" s="16">
        <v>16</v>
      </c>
      <c r="E2623" s="17">
        <v>61.5</v>
      </c>
      <c r="F2623" s="16">
        <v>0.09</v>
      </c>
      <c r="G2623" s="15" t="s">
        <v>32</v>
      </c>
      <c r="H2623" s="18">
        <v>-16.27</v>
      </c>
      <c r="I2623" s="19">
        <v>3.98</v>
      </c>
      <c r="J2623" s="19">
        <v>2.97</v>
      </c>
      <c r="K2623" s="19" t="s">
        <v>44</v>
      </c>
      <c r="L2623" s="19" t="s">
        <v>52</v>
      </c>
      <c r="M2623" s="15" t="s">
        <v>1685</v>
      </c>
      <c r="N2623" s="15" t="s">
        <v>36</v>
      </c>
      <c r="O2623" s="15" t="s">
        <v>117</v>
      </c>
      <c r="P2623" s="20" t="s">
        <v>1047</v>
      </c>
      <c r="Q2623" s="15" t="s">
        <v>79</v>
      </c>
      <c r="R2623" s="4"/>
      <c r="S2623" s="4"/>
    </row>
    <row r="2624" spans="1:19" ht="21" customHeight="1" x14ac:dyDescent="0.25">
      <c r="A2624" s="14">
        <f>DATE(2012,12,31)-551</f>
        <v>40723</v>
      </c>
      <c r="B2624" s="15" t="s">
        <v>1188</v>
      </c>
      <c r="C2624" s="15" t="s">
        <v>85</v>
      </c>
      <c r="D2624" s="16">
        <v>10</v>
      </c>
      <c r="E2624" s="17">
        <v>324.3175</v>
      </c>
      <c r="F2624" s="16">
        <v>0.03</v>
      </c>
      <c r="G2624" s="15" t="s">
        <v>101</v>
      </c>
      <c r="H2624" s="18">
        <v>-169.74100000000001</v>
      </c>
      <c r="I2624" s="19">
        <v>35.99</v>
      </c>
      <c r="J2624" s="19">
        <v>5</v>
      </c>
      <c r="K2624" s="19" t="s">
        <v>44</v>
      </c>
      <c r="L2624" s="19" t="s">
        <v>52</v>
      </c>
      <c r="M2624" s="15" t="s">
        <v>1685</v>
      </c>
      <c r="N2624" s="15" t="s">
        <v>64</v>
      </c>
      <c r="O2624" s="15" t="s">
        <v>65</v>
      </c>
      <c r="P2624" s="20" t="s">
        <v>1745</v>
      </c>
      <c r="Q2624" s="15" t="s">
        <v>83</v>
      </c>
      <c r="R2624" s="4"/>
      <c r="S2624" s="4"/>
    </row>
    <row r="2625" spans="1:19" ht="21" customHeight="1" x14ac:dyDescent="0.25">
      <c r="A2625" s="14">
        <f>DATE(2012,12,31)-1303</f>
        <v>39971</v>
      </c>
      <c r="B2625" s="15" t="s">
        <v>616</v>
      </c>
      <c r="C2625" s="15" t="s">
        <v>31</v>
      </c>
      <c r="D2625" s="16">
        <v>18</v>
      </c>
      <c r="E2625" s="17">
        <v>23792.93</v>
      </c>
      <c r="F2625" s="16">
        <v>0</v>
      </c>
      <c r="G2625" s="15" t="s">
        <v>32</v>
      </c>
      <c r="H2625" s="18">
        <v>10951.306499999999</v>
      </c>
      <c r="I2625" s="19">
        <v>1270.99</v>
      </c>
      <c r="J2625" s="19">
        <v>19.989999999999998</v>
      </c>
      <c r="K2625" s="19" t="s">
        <v>44</v>
      </c>
      <c r="L2625" s="19" t="s">
        <v>52</v>
      </c>
      <c r="M2625" s="15" t="s">
        <v>1685</v>
      </c>
      <c r="N2625" s="15" t="s">
        <v>36</v>
      </c>
      <c r="O2625" s="15" t="s">
        <v>170</v>
      </c>
      <c r="P2625" s="20" t="s">
        <v>885</v>
      </c>
      <c r="Q2625" s="15" t="s">
        <v>83</v>
      </c>
      <c r="R2625" s="4"/>
      <c r="S2625" s="4"/>
    </row>
    <row r="2626" spans="1:19" ht="21" customHeight="1" x14ac:dyDescent="0.25">
      <c r="A2626" s="14">
        <f>DATE(2012,12,31)-378</f>
        <v>40896</v>
      </c>
      <c r="B2626" s="15" t="s">
        <v>643</v>
      </c>
      <c r="C2626" s="15" t="s">
        <v>51</v>
      </c>
      <c r="D2626" s="16">
        <v>10</v>
      </c>
      <c r="E2626" s="17">
        <v>211.97</v>
      </c>
      <c r="F2626" s="16">
        <v>0.06</v>
      </c>
      <c r="G2626" s="15" t="s">
        <v>32</v>
      </c>
      <c r="H2626" s="18">
        <v>-46.83</v>
      </c>
      <c r="I2626" s="19">
        <v>21.38</v>
      </c>
      <c r="J2626" s="19">
        <v>8.99</v>
      </c>
      <c r="K2626" s="19" t="s">
        <v>44</v>
      </c>
      <c r="L2626" s="19" t="s">
        <v>52</v>
      </c>
      <c r="M2626" s="15" t="s">
        <v>1685</v>
      </c>
      <c r="N2626" s="15" t="s">
        <v>36</v>
      </c>
      <c r="O2626" s="15" t="s">
        <v>77</v>
      </c>
      <c r="P2626" s="20" t="s">
        <v>948</v>
      </c>
      <c r="Q2626" s="15" t="s">
        <v>49</v>
      </c>
      <c r="R2626" s="4"/>
      <c r="S2626" s="4"/>
    </row>
    <row r="2627" spans="1:19" ht="21" customHeight="1" x14ac:dyDescent="0.25">
      <c r="A2627" s="14">
        <f>DATE(2012,12,31)-524</f>
        <v>40750</v>
      </c>
      <c r="B2627" s="15" t="s">
        <v>474</v>
      </c>
      <c r="C2627" s="15" t="s">
        <v>31</v>
      </c>
      <c r="D2627" s="16">
        <v>3</v>
      </c>
      <c r="E2627" s="17">
        <v>36.06</v>
      </c>
      <c r="F2627" s="16">
        <v>0.08</v>
      </c>
      <c r="G2627" s="15" t="s">
        <v>32</v>
      </c>
      <c r="H2627" s="18">
        <v>-18.5</v>
      </c>
      <c r="I2627" s="19">
        <v>10.89</v>
      </c>
      <c r="J2627" s="19">
        <v>4.5</v>
      </c>
      <c r="K2627" s="19" t="s">
        <v>44</v>
      </c>
      <c r="L2627" s="19" t="s">
        <v>52</v>
      </c>
      <c r="M2627" s="15" t="s">
        <v>1685</v>
      </c>
      <c r="N2627" s="15" t="s">
        <v>36</v>
      </c>
      <c r="O2627" s="15" t="s">
        <v>176</v>
      </c>
      <c r="P2627" s="20" t="s">
        <v>250</v>
      </c>
      <c r="Q2627" s="15" t="s">
        <v>83</v>
      </c>
      <c r="R2627" s="4"/>
      <c r="S2627" s="4"/>
    </row>
    <row r="2628" spans="1:19" ht="21" customHeight="1" x14ac:dyDescent="0.25">
      <c r="A2628" s="14">
        <f>DATE(2012,12,31)-524</f>
        <v>40750</v>
      </c>
      <c r="B2628" s="15" t="s">
        <v>474</v>
      </c>
      <c r="C2628" s="15" t="s">
        <v>31</v>
      </c>
      <c r="D2628" s="16">
        <v>43</v>
      </c>
      <c r="E2628" s="17">
        <v>1849.8</v>
      </c>
      <c r="F2628" s="16">
        <v>0.04</v>
      </c>
      <c r="G2628" s="15" t="s">
        <v>32</v>
      </c>
      <c r="H2628" s="18">
        <v>530.22</v>
      </c>
      <c r="I2628" s="19">
        <v>42.98</v>
      </c>
      <c r="J2628" s="19">
        <v>4.62</v>
      </c>
      <c r="K2628" s="19" t="s">
        <v>44</v>
      </c>
      <c r="L2628" s="19" t="s">
        <v>236</v>
      </c>
      <c r="M2628" s="15" t="s">
        <v>1887</v>
      </c>
      <c r="N2628" s="15" t="s">
        <v>36</v>
      </c>
      <c r="O2628" s="15" t="s">
        <v>176</v>
      </c>
      <c r="P2628" s="20" t="s">
        <v>1670</v>
      </c>
      <c r="Q2628" s="15" t="s">
        <v>83</v>
      </c>
      <c r="R2628" s="4"/>
      <c r="S2628" s="4"/>
    </row>
    <row r="2629" spans="1:19" ht="21" customHeight="1" x14ac:dyDescent="0.25">
      <c r="A2629" s="14">
        <f>DATE(2012,12,31)-1401</f>
        <v>39873</v>
      </c>
      <c r="B2629" s="15" t="s">
        <v>1500</v>
      </c>
      <c r="C2629" s="15" t="s">
        <v>85</v>
      </c>
      <c r="D2629" s="16">
        <v>8</v>
      </c>
      <c r="E2629" s="17">
        <v>327.61</v>
      </c>
      <c r="F2629" s="16">
        <v>7.0000000000000007E-2</v>
      </c>
      <c r="G2629" s="15" t="s">
        <v>32</v>
      </c>
      <c r="H2629" s="18">
        <v>54.901500000000006</v>
      </c>
      <c r="I2629" s="19">
        <v>40.98</v>
      </c>
      <c r="J2629" s="19">
        <v>7.47</v>
      </c>
      <c r="K2629" s="19" t="s">
        <v>44</v>
      </c>
      <c r="L2629" s="19" t="s">
        <v>52</v>
      </c>
      <c r="M2629" s="15" t="s">
        <v>1685</v>
      </c>
      <c r="N2629" s="15" t="s">
        <v>36</v>
      </c>
      <c r="O2629" s="15" t="s">
        <v>170</v>
      </c>
      <c r="P2629" s="20" t="s">
        <v>389</v>
      </c>
      <c r="Q2629" s="15" t="s">
        <v>83</v>
      </c>
      <c r="R2629" s="4"/>
      <c r="S2629" s="4"/>
    </row>
    <row r="2630" spans="1:19" ht="21" customHeight="1" x14ac:dyDescent="0.25">
      <c r="A2630" s="14">
        <f>DATE(2012,12,31)-264</f>
        <v>41010</v>
      </c>
      <c r="B2630" s="15" t="s">
        <v>1018</v>
      </c>
      <c r="C2630" s="15" t="s">
        <v>31</v>
      </c>
      <c r="D2630" s="16">
        <v>32</v>
      </c>
      <c r="E2630" s="17">
        <v>4800.4399999999996</v>
      </c>
      <c r="F2630" s="16">
        <v>0.08</v>
      </c>
      <c r="G2630" s="15" t="s">
        <v>32</v>
      </c>
      <c r="H2630" s="18">
        <v>1912.92</v>
      </c>
      <c r="I2630" s="19">
        <v>150.97999999999999</v>
      </c>
      <c r="J2630" s="19">
        <v>13.99</v>
      </c>
      <c r="K2630" s="19" t="s">
        <v>44</v>
      </c>
      <c r="L2630" s="19" t="s">
        <v>52</v>
      </c>
      <c r="M2630" s="15" t="s">
        <v>1685</v>
      </c>
      <c r="N2630" s="15" t="s">
        <v>64</v>
      </c>
      <c r="O2630" s="15" t="s">
        <v>122</v>
      </c>
      <c r="P2630" s="20" t="s">
        <v>123</v>
      </c>
      <c r="Q2630" s="15" t="s">
        <v>57</v>
      </c>
      <c r="R2630" s="4"/>
      <c r="S2630" s="4"/>
    </row>
    <row r="2631" spans="1:19" ht="21" customHeight="1" x14ac:dyDescent="0.25">
      <c r="A2631" s="14">
        <f>DATE(2012,12,31)-264</f>
        <v>41010</v>
      </c>
      <c r="B2631" s="15" t="s">
        <v>1018</v>
      </c>
      <c r="C2631" s="15" t="s">
        <v>31</v>
      </c>
      <c r="D2631" s="16">
        <v>29</v>
      </c>
      <c r="E2631" s="17">
        <v>271.33</v>
      </c>
      <c r="F2631" s="16">
        <v>7.0000000000000007E-2</v>
      </c>
      <c r="G2631" s="15" t="s">
        <v>32</v>
      </c>
      <c r="H2631" s="18">
        <v>-191.09</v>
      </c>
      <c r="I2631" s="19">
        <v>9.7100000000000009</v>
      </c>
      <c r="J2631" s="19">
        <v>9.4499999999999993</v>
      </c>
      <c r="K2631" s="19" t="s">
        <v>44</v>
      </c>
      <c r="L2631" s="19" t="s">
        <v>52</v>
      </c>
      <c r="M2631" s="15" t="s">
        <v>1685</v>
      </c>
      <c r="N2631" s="15" t="s">
        <v>36</v>
      </c>
      <c r="O2631" s="15" t="s">
        <v>37</v>
      </c>
      <c r="P2631" s="20" t="s">
        <v>130</v>
      </c>
      <c r="Q2631" s="15" t="s">
        <v>83</v>
      </c>
      <c r="R2631" s="4"/>
      <c r="S2631" s="4"/>
    </row>
    <row r="2632" spans="1:19" ht="21" customHeight="1" x14ac:dyDescent="0.25">
      <c r="A2632" s="14">
        <f>DATE(2012,12,31)-1433</f>
        <v>39841</v>
      </c>
      <c r="B2632" s="15" t="s">
        <v>643</v>
      </c>
      <c r="C2632" s="15" t="s">
        <v>51</v>
      </c>
      <c r="D2632" s="16">
        <v>1</v>
      </c>
      <c r="E2632" s="17">
        <v>67.489999999999995</v>
      </c>
      <c r="F2632" s="16">
        <v>0.06</v>
      </c>
      <c r="G2632" s="15" t="s">
        <v>32</v>
      </c>
      <c r="H2632" s="18">
        <v>-22.82</v>
      </c>
      <c r="I2632" s="19">
        <v>55.48</v>
      </c>
      <c r="J2632" s="19">
        <v>14.3</v>
      </c>
      <c r="K2632" s="19" t="s">
        <v>33</v>
      </c>
      <c r="L2632" s="19" t="s">
        <v>59</v>
      </c>
      <c r="M2632" s="15" t="s">
        <v>1361</v>
      </c>
      <c r="N2632" s="15" t="s">
        <v>36</v>
      </c>
      <c r="O2632" s="15" t="s">
        <v>117</v>
      </c>
      <c r="P2632" s="20" t="s">
        <v>402</v>
      </c>
      <c r="Q2632" s="15" t="s">
        <v>83</v>
      </c>
      <c r="R2632" s="4"/>
      <c r="S2632" s="4"/>
    </row>
    <row r="2633" spans="1:19" ht="21" customHeight="1" x14ac:dyDescent="0.25">
      <c r="A2633" s="14">
        <f>DATE(2012,12,31)-1433</f>
        <v>39841</v>
      </c>
      <c r="B2633" s="15" t="s">
        <v>643</v>
      </c>
      <c r="C2633" s="15" t="s">
        <v>51</v>
      </c>
      <c r="D2633" s="16">
        <v>3</v>
      </c>
      <c r="E2633" s="17">
        <v>6.76</v>
      </c>
      <c r="F2633" s="16">
        <v>0.02</v>
      </c>
      <c r="G2633" s="15" t="s">
        <v>32</v>
      </c>
      <c r="H2633" s="18">
        <v>-4.28</v>
      </c>
      <c r="I2633" s="19">
        <v>1.68</v>
      </c>
      <c r="J2633" s="19">
        <v>1.57</v>
      </c>
      <c r="K2633" s="19" t="s">
        <v>33</v>
      </c>
      <c r="L2633" s="19" t="s">
        <v>59</v>
      </c>
      <c r="M2633" s="15" t="s">
        <v>1361</v>
      </c>
      <c r="N2633" s="15" t="s">
        <v>36</v>
      </c>
      <c r="O2633" s="15" t="s">
        <v>77</v>
      </c>
      <c r="P2633" s="20" t="s">
        <v>838</v>
      </c>
      <c r="Q2633" s="15" t="s">
        <v>79</v>
      </c>
      <c r="R2633" s="4"/>
      <c r="S2633" s="4"/>
    </row>
    <row r="2634" spans="1:19" ht="21" customHeight="1" x14ac:dyDescent="0.25">
      <c r="A2634" s="14">
        <f>DATE(2012,12,31)-1286</f>
        <v>39988</v>
      </c>
      <c r="B2634" s="15" t="s">
        <v>1909</v>
      </c>
      <c r="C2634" s="15" t="s">
        <v>43</v>
      </c>
      <c r="D2634" s="16">
        <v>16</v>
      </c>
      <c r="E2634" s="17">
        <v>178.4</v>
      </c>
      <c r="F2634" s="16">
        <v>0.04</v>
      </c>
      <c r="G2634" s="15" t="s">
        <v>32</v>
      </c>
      <c r="H2634" s="18">
        <v>20.079999999999998</v>
      </c>
      <c r="I2634" s="19">
        <v>10.64</v>
      </c>
      <c r="J2634" s="19">
        <v>5.16</v>
      </c>
      <c r="K2634" s="19" t="s">
        <v>69</v>
      </c>
      <c r="L2634" s="19" t="s">
        <v>215</v>
      </c>
      <c r="M2634" s="15" t="s">
        <v>1704</v>
      </c>
      <c r="N2634" s="15" t="s">
        <v>54</v>
      </c>
      <c r="O2634" s="15" t="s">
        <v>55</v>
      </c>
      <c r="P2634" s="20" t="s">
        <v>607</v>
      </c>
      <c r="Q2634" s="15" t="s">
        <v>83</v>
      </c>
      <c r="R2634" s="4"/>
      <c r="S2634" s="4"/>
    </row>
    <row r="2635" spans="1:19" ht="21" customHeight="1" x14ac:dyDescent="0.25">
      <c r="A2635" s="14">
        <f>DATE(2012,12,31)-1286</f>
        <v>39988</v>
      </c>
      <c r="B2635" s="15" t="s">
        <v>1909</v>
      </c>
      <c r="C2635" s="15" t="s">
        <v>43</v>
      </c>
      <c r="D2635" s="16">
        <v>40</v>
      </c>
      <c r="E2635" s="17">
        <v>115.01</v>
      </c>
      <c r="F2635" s="16">
        <v>0.03</v>
      </c>
      <c r="G2635" s="15" t="s">
        <v>101</v>
      </c>
      <c r="H2635" s="18">
        <v>5.81</v>
      </c>
      <c r="I2635" s="19">
        <v>2.78</v>
      </c>
      <c r="J2635" s="19">
        <v>1.34</v>
      </c>
      <c r="K2635" s="19" t="s">
        <v>44</v>
      </c>
      <c r="L2635" s="19" t="s">
        <v>80</v>
      </c>
      <c r="M2635" s="15" t="s">
        <v>1823</v>
      </c>
      <c r="N2635" s="15" t="s">
        <v>36</v>
      </c>
      <c r="O2635" s="15" t="s">
        <v>77</v>
      </c>
      <c r="P2635" s="20" t="s">
        <v>422</v>
      </c>
      <c r="Q2635" s="15" t="s">
        <v>79</v>
      </c>
      <c r="R2635" s="4"/>
      <c r="S2635" s="4"/>
    </row>
    <row r="2636" spans="1:19" ht="21" customHeight="1" x14ac:dyDescent="0.25">
      <c r="A2636" s="14">
        <f>DATE(2012,12,31)-189</f>
        <v>41085</v>
      </c>
      <c r="B2636" s="15" t="s">
        <v>183</v>
      </c>
      <c r="C2636" s="15" t="s">
        <v>85</v>
      </c>
      <c r="D2636" s="16">
        <v>17</v>
      </c>
      <c r="E2636" s="17">
        <v>3816.59</v>
      </c>
      <c r="F2636" s="16">
        <v>0.01</v>
      </c>
      <c r="G2636" s="15" t="s">
        <v>58</v>
      </c>
      <c r="H2636" s="18">
        <v>191.47</v>
      </c>
      <c r="I2636" s="19">
        <v>208.16</v>
      </c>
      <c r="J2636" s="19">
        <v>68.02</v>
      </c>
      <c r="K2636" s="19" t="s">
        <v>33</v>
      </c>
      <c r="L2636" s="19" t="s">
        <v>93</v>
      </c>
      <c r="M2636" s="15" t="s">
        <v>94</v>
      </c>
      <c r="N2636" s="15" t="s">
        <v>36</v>
      </c>
      <c r="O2636" s="15" t="s">
        <v>176</v>
      </c>
      <c r="P2636" s="20" t="s">
        <v>192</v>
      </c>
      <c r="Q2636" s="15" t="s">
        <v>181</v>
      </c>
      <c r="R2636" s="4"/>
      <c r="S2636" s="4"/>
    </row>
    <row r="2637" spans="1:19" ht="21" customHeight="1" x14ac:dyDescent="0.25">
      <c r="A2637" s="14">
        <f>DATE(2012,12,31)-1192</f>
        <v>40082</v>
      </c>
      <c r="B2637" s="15" t="s">
        <v>1157</v>
      </c>
      <c r="C2637" s="15" t="s">
        <v>85</v>
      </c>
      <c r="D2637" s="16">
        <v>36</v>
      </c>
      <c r="E2637" s="17">
        <v>1841.6</v>
      </c>
      <c r="F2637" s="16">
        <v>0.01</v>
      </c>
      <c r="G2637" s="15" t="s">
        <v>32</v>
      </c>
      <c r="H2637" s="18">
        <v>12.95000000000006</v>
      </c>
      <c r="I2637" s="19">
        <v>50.98</v>
      </c>
      <c r="J2637" s="19">
        <v>6.5</v>
      </c>
      <c r="K2637" s="19" t="s">
        <v>97</v>
      </c>
      <c r="L2637" s="19" t="s">
        <v>98</v>
      </c>
      <c r="M2637" s="15" t="s">
        <v>1162</v>
      </c>
      <c r="N2637" s="15" t="s">
        <v>64</v>
      </c>
      <c r="O2637" s="15" t="s">
        <v>72</v>
      </c>
      <c r="P2637" s="20" t="s">
        <v>1422</v>
      </c>
      <c r="Q2637" s="15" t="s">
        <v>83</v>
      </c>
      <c r="R2637" s="4"/>
      <c r="S2637" s="4"/>
    </row>
    <row r="2638" spans="1:19" ht="21" customHeight="1" x14ac:dyDescent="0.25">
      <c r="A2638" s="14">
        <f>DATE(2012,12,31)-1253</f>
        <v>40021</v>
      </c>
      <c r="B2638" s="15" t="s">
        <v>1593</v>
      </c>
      <c r="C2638" s="15" t="s">
        <v>85</v>
      </c>
      <c r="D2638" s="16">
        <v>21</v>
      </c>
      <c r="E2638" s="17">
        <v>256.12</v>
      </c>
      <c r="F2638" s="16">
        <v>0.03</v>
      </c>
      <c r="G2638" s="15" t="s">
        <v>32</v>
      </c>
      <c r="H2638" s="18">
        <v>-18.190000000000001</v>
      </c>
      <c r="I2638" s="19">
        <v>11.97</v>
      </c>
      <c r="J2638" s="19">
        <v>4.9800000000000004</v>
      </c>
      <c r="K2638" s="19" t="s">
        <v>124</v>
      </c>
      <c r="L2638" s="19" t="s">
        <v>168</v>
      </c>
      <c r="M2638" s="15" t="s">
        <v>1624</v>
      </c>
      <c r="N2638" s="15" t="s">
        <v>36</v>
      </c>
      <c r="O2638" s="15" t="s">
        <v>176</v>
      </c>
      <c r="P2638" s="20" t="s">
        <v>1735</v>
      </c>
      <c r="Q2638" s="15" t="s">
        <v>83</v>
      </c>
      <c r="R2638" s="4"/>
      <c r="S2638" s="4"/>
    </row>
    <row r="2639" spans="1:19" ht="21" customHeight="1" x14ac:dyDescent="0.25">
      <c r="A2639" s="14">
        <f>DATE(2012,12,31)-874</f>
        <v>40400</v>
      </c>
      <c r="B2639" s="15" t="s">
        <v>648</v>
      </c>
      <c r="C2639" s="15" t="s">
        <v>51</v>
      </c>
      <c r="D2639" s="16">
        <v>48</v>
      </c>
      <c r="E2639" s="17">
        <v>5085.9070000000002</v>
      </c>
      <c r="F2639" s="16">
        <v>0.03</v>
      </c>
      <c r="G2639" s="15" t="s">
        <v>32</v>
      </c>
      <c r="H2639" s="18">
        <v>1366.6859999999999</v>
      </c>
      <c r="I2639" s="19">
        <v>125.99</v>
      </c>
      <c r="J2639" s="19">
        <v>8.08</v>
      </c>
      <c r="K2639" s="19" t="s">
        <v>69</v>
      </c>
      <c r="L2639" s="19" t="s">
        <v>70</v>
      </c>
      <c r="M2639" s="15" t="s">
        <v>1895</v>
      </c>
      <c r="N2639" s="15" t="s">
        <v>64</v>
      </c>
      <c r="O2639" s="15" t="s">
        <v>65</v>
      </c>
      <c r="P2639" s="20" t="s">
        <v>174</v>
      </c>
      <c r="Q2639" s="15" t="s">
        <v>83</v>
      </c>
      <c r="R2639" s="4"/>
      <c r="S2639" s="4"/>
    </row>
    <row r="2640" spans="1:19" ht="21" customHeight="1" x14ac:dyDescent="0.25">
      <c r="A2640" s="14">
        <f>DATE(2012,12,31)-1160</f>
        <v>40114</v>
      </c>
      <c r="B2640" s="15" t="s">
        <v>875</v>
      </c>
      <c r="C2640" s="15" t="s">
        <v>51</v>
      </c>
      <c r="D2640" s="16">
        <v>31</v>
      </c>
      <c r="E2640" s="17">
        <v>1370.56</v>
      </c>
      <c r="F2640" s="16">
        <v>0.1</v>
      </c>
      <c r="G2640" s="15" t="s">
        <v>32</v>
      </c>
      <c r="H2640" s="18">
        <v>511.51</v>
      </c>
      <c r="I2640" s="19">
        <v>48.91</v>
      </c>
      <c r="J2640" s="19">
        <v>5.97</v>
      </c>
      <c r="K2640" s="19" t="s">
        <v>69</v>
      </c>
      <c r="L2640" s="19" t="s">
        <v>70</v>
      </c>
      <c r="M2640" s="15" t="s">
        <v>1895</v>
      </c>
      <c r="N2640" s="15" t="s">
        <v>36</v>
      </c>
      <c r="O2640" s="15" t="s">
        <v>117</v>
      </c>
      <c r="P2640" s="20" t="s">
        <v>1788</v>
      </c>
      <c r="Q2640" s="15" t="s">
        <v>83</v>
      </c>
      <c r="R2640" s="4"/>
      <c r="S2640" s="4"/>
    </row>
    <row r="2641" spans="1:19" ht="21" customHeight="1" x14ac:dyDescent="0.25">
      <c r="A2641" s="14">
        <f>DATE(2012,12,31)-1160</f>
        <v>40114</v>
      </c>
      <c r="B2641" s="15" t="s">
        <v>875</v>
      </c>
      <c r="C2641" s="15" t="s">
        <v>51</v>
      </c>
      <c r="D2641" s="16">
        <v>29</v>
      </c>
      <c r="E2641" s="17">
        <v>172.98</v>
      </c>
      <c r="F2641" s="16">
        <v>0.08</v>
      </c>
      <c r="G2641" s="15" t="s">
        <v>32</v>
      </c>
      <c r="H2641" s="18">
        <v>-59.75</v>
      </c>
      <c r="I2641" s="19">
        <v>5.98</v>
      </c>
      <c r="J2641" s="19">
        <v>5.46</v>
      </c>
      <c r="K2641" s="19" t="s">
        <v>69</v>
      </c>
      <c r="L2641" s="19" t="s">
        <v>70</v>
      </c>
      <c r="M2641" s="15" t="s">
        <v>1895</v>
      </c>
      <c r="N2641" s="15" t="s">
        <v>36</v>
      </c>
      <c r="O2641" s="15" t="s">
        <v>117</v>
      </c>
      <c r="P2641" s="20" t="s">
        <v>1879</v>
      </c>
      <c r="Q2641" s="15" t="s">
        <v>83</v>
      </c>
      <c r="R2641" s="4"/>
      <c r="S2641" s="4"/>
    </row>
    <row r="2642" spans="1:19" ht="21" customHeight="1" x14ac:dyDescent="0.25">
      <c r="A2642" s="14">
        <f>DATE(2012,12,31)-1184</f>
        <v>40090</v>
      </c>
      <c r="B2642" s="15" t="s">
        <v>1910</v>
      </c>
      <c r="C2642" s="15" t="s">
        <v>31</v>
      </c>
      <c r="D2642" s="16">
        <v>24</v>
      </c>
      <c r="E2642" s="17">
        <v>195.83</v>
      </c>
      <c r="F2642" s="16">
        <v>0.04</v>
      </c>
      <c r="G2642" s="15" t="s">
        <v>32</v>
      </c>
      <c r="H2642" s="18">
        <v>10.79</v>
      </c>
      <c r="I2642" s="19">
        <v>8.33</v>
      </c>
      <c r="J2642" s="19">
        <v>1.99</v>
      </c>
      <c r="K2642" s="19" t="s">
        <v>111</v>
      </c>
      <c r="L2642" s="19" t="s">
        <v>112</v>
      </c>
      <c r="M2642" s="15" t="s">
        <v>1911</v>
      </c>
      <c r="N2642" s="15" t="s">
        <v>64</v>
      </c>
      <c r="O2642" s="15" t="s">
        <v>72</v>
      </c>
      <c r="P2642" s="20" t="s">
        <v>966</v>
      </c>
      <c r="Q2642" s="15" t="s">
        <v>49</v>
      </c>
      <c r="R2642" s="4"/>
      <c r="S2642" s="4"/>
    </row>
    <row r="2643" spans="1:19" ht="21" customHeight="1" x14ac:dyDescent="0.25">
      <c r="A2643" s="14">
        <f>DATE(2012,12,31)-880</f>
        <v>40394</v>
      </c>
      <c r="B2643" s="15" t="s">
        <v>1276</v>
      </c>
      <c r="C2643" s="15" t="s">
        <v>43</v>
      </c>
      <c r="D2643" s="16">
        <v>44</v>
      </c>
      <c r="E2643" s="17">
        <v>1372.9455</v>
      </c>
      <c r="F2643" s="16">
        <v>0</v>
      </c>
      <c r="G2643" s="15" t="s">
        <v>32</v>
      </c>
      <c r="H2643" s="18">
        <v>429.88499999999999</v>
      </c>
      <c r="I2643" s="19">
        <v>35.99</v>
      </c>
      <c r="J2643" s="19">
        <v>1.25</v>
      </c>
      <c r="K2643" s="19" t="s">
        <v>111</v>
      </c>
      <c r="L2643" s="19" t="s">
        <v>112</v>
      </c>
      <c r="M2643" s="15" t="s">
        <v>1911</v>
      </c>
      <c r="N2643" s="15" t="s">
        <v>64</v>
      </c>
      <c r="O2643" s="15" t="s">
        <v>65</v>
      </c>
      <c r="P2643" s="20" t="s">
        <v>680</v>
      </c>
      <c r="Q2643" s="15" t="s">
        <v>49</v>
      </c>
      <c r="R2643" s="4"/>
      <c r="S2643" s="4"/>
    </row>
    <row r="2644" spans="1:19" ht="21" customHeight="1" x14ac:dyDescent="0.25">
      <c r="A2644" s="14">
        <f>DATE(2012,12,31)-483</f>
        <v>40791</v>
      </c>
      <c r="B2644" s="15" t="s">
        <v>336</v>
      </c>
      <c r="C2644" s="15" t="s">
        <v>31</v>
      </c>
      <c r="D2644" s="16">
        <v>30</v>
      </c>
      <c r="E2644" s="17">
        <v>387</v>
      </c>
      <c r="F2644" s="16">
        <v>0.01</v>
      </c>
      <c r="G2644" s="15" t="s">
        <v>101</v>
      </c>
      <c r="H2644" s="18">
        <v>-31.45</v>
      </c>
      <c r="I2644" s="19">
        <v>12.28</v>
      </c>
      <c r="J2644" s="19">
        <v>6.13</v>
      </c>
      <c r="K2644" s="19" t="s">
        <v>44</v>
      </c>
      <c r="L2644" s="19" t="s">
        <v>120</v>
      </c>
      <c r="M2644" s="15" t="s">
        <v>121</v>
      </c>
      <c r="N2644" s="15" t="s">
        <v>36</v>
      </c>
      <c r="O2644" s="15" t="s">
        <v>37</v>
      </c>
      <c r="P2644" s="20" t="s">
        <v>1707</v>
      </c>
      <c r="Q2644" s="15" t="s">
        <v>83</v>
      </c>
      <c r="R2644" s="4"/>
      <c r="S2644" s="4"/>
    </row>
    <row r="2645" spans="1:19" ht="21" customHeight="1" x14ac:dyDescent="0.25">
      <c r="A2645" s="14">
        <f>DATE(2012,12,31)-759</f>
        <v>40515</v>
      </c>
      <c r="B2645" s="15" t="s">
        <v>104</v>
      </c>
      <c r="C2645" s="15" t="s">
        <v>43</v>
      </c>
      <c r="D2645" s="16">
        <v>15</v>
      </c>
      <c r="E2645" s="17">
        <v>94.84</v>
      </c>
      <c r="F2645" s="16">
        <v>0.01</v>
      </c>
      <c r="G2645" s="15" t="s">
        <v>32</v>
      </c>
      <c r="H2645" s="18">
        <v>-26.66</v>
      </c>
      <c r="I2645" s="19">
        <v>5.98</v>
      </c>
      <c r="J2645" s="19">
        <v>5.15</v>
      </c>
      <c r="K2645" s="19" t="s">
        <v>44</v>
      </c>
      <c r="L2645" s="19" t="s">
        <v>89</v>
      </c>
      <c r="M2645" s="15" t="s">
        <v>1809</v>
      </c>
      <c r="N2645" s="15" t="s">
        <v>36</v>
      </c>
      <c r="O2645" s="15" t="s">
        <v>117</v>
      </c>
      <c r="P2645" s="20" t="s">
        <v>155</v>
      </c>
      <c r="Q2645" s="15" t="s">
        <v>83</v>
      </c>
      <c r="R2645" s="4"/>
      <c r="S2645" s="4"/>
    </row>
    <row r="2646" spans="1:19" ht="21" customHeight="1" x14ac:dyDescent="0.25">
      <c r="A2646" s="14">
        <f>DATE(2012,12,31)-1188</f>
        <v>40086</v>
      </c>
      <c r="B2646" s="15" t="s">
        <v>1622</v>
      </c>
      <c r="C2646" s="15" t="s">
        <v>85</v>
      </c>
      <c r="D2646" s="16">
        <v>47</v>
      </c>
      <c r="E2646" s="17">
        <v>314</v>
      </c>
      <c r="F2646" s="16">
        <v>7.0000000000000007E-2</v>
      </c>
      <c r="G2646" s="15" t="s">
        <v>32</v>
      </c>
      <c r="H2646" s="18">
        <v>-66.044499999999999</v>
      </c>
      <c r="I2646" s="19">
        <v>6.54</v>
      </c>
      <c r="J2646" s="19">
        <v>5.27</v>
      </c>
      <c r="K2646" s="19" t="s">
        <v>44</v>
      </c>
      <c r="L2646" s="19" t="s">
        <v>52</v>
      </c>
      <c r="M2646" s="15" t="s">
        <v>1685</v>
      </c>
      <c r="N2646" s="15" t="s">
        <v>36</v>
      </c>
      <c r="O2646" s="15" t="s">
        <v>170</v>
      </c>
      <c r="P2646" s="20" t="s">
        <v>182</v>
      </c>
      <c r="Q2646" s="15" t="s">
        <v>83</v>
      </c>
      <c r="R2646" s="4"/>
      <c r="S2646" s="4"/>
    </row>
    <row r="2647" spans="1:19" ht="21" customHeight="1" x14ac:dyDescent="0.25">
      <c r="A2647" s="14">
        <f>DATE(2012,12,31)-1188</f>
        <v>40086</v>
      </c>
      <c r="B2647" s="15" t="s">
        <v>1622</v>
      </c>
      <c r="C2647" s="15" t="s">
        <v>85</v>
      </c>
      <c r="D2647" s="16">
        <v>50</v>
      </c>
      <c r="E2647" s="17">
        <v>155.54</v>
      </c>
      <c r="F2647" s="16">
        <v>0.09</v>
      </c>
      <c r="G2647" s="15" t="s">
        <v>32</v>
      </c>
      <c r="H2647" s="18">
        <v>15.66</v>
      </c>
      <c r="I2647" s="19">
        <v>3.29</v>
      </c>
      <c r="J2647" s="19">
        <v>1.35</v>
      </c>
      <c r="K2647" s="19" t="s">
        <v>97</v>
      </c>
      <c r="L2647" s="19" t="s">
        <v>132</v>
      </c>
      <c r="M2647" s="15" t="s">
        <v>133</v>
      </c>
      <c r="N2647" s="15" t="s">
        <v>36</v>
      </c>
      <c r="O2647" s="15" t="s">
        <v>105</v>
      </c>
      <c r="P2647" s="20" t="s">
        <v>866</v>
      </c>
      <c r="Q2647" s="15" t="s">
        <v>79</v>
      </c>
      <c r="R2647" s="4"/>
      <c r="S2647" s="4"/>
    </row>
    <row r="2648" spans="1:19" ht="21" customHeight="1" x14ac:dyDescent="0.25">
      <c r="A2648" s="14">
        <f>DATE(2012,12,31)-57</f>
        <v>41217</v>
      </c>
      <c r="B2648" s="15" t="s">
        <v>394</v>
      </c>
      <c r="C2648" s="15" t="s">
        <v>51</v>
      </c>
      <c r="D2648" s="16">
        <v>3</v>
      </c>
      <c r="E2648" s="17">
        <v>2421.02</v>
      </c>
      <c r="F2648" s="16">
        <v>7.0000000000000007E-2</v>
      </c>
      <c r="G2648" s="15" t="s">
        <v>58</v>
      </c>
      <c r="H2648" s="18">
        <v>-1943.1711000000003</v>
      </c>
      <c r="I2648" s="19">
        <v>810.98</v>
      </c>
      <c r="J2648" s="19">
        <v>16.059999999999999</v>
      </c>
      <c r="K2648" s="19" t="s">
        <v>124</v>
      </c>
      <c r="L2648" s="19" t="s">
        <v>160</v>
      </c>
      <c r="M2648" s="15" t="s">
        <v>1906</v>
      </c>
      <c r="N2648" s="15" t="s">
        <v>64</v>
      </c>
      <c r="O2648" s="15" t="s">
        <v>122</v>
      </c>
      <c r="P2648" s="20" t="s">
        <v>1857</v>
      </c>
      <c r="Q2648" s="15" t="s">
        <v>181</v>
      </c>
      <c r="R2648" s="4"/>
      <c r="S2648" s="4"/>
    </row>
    <row r="2649" spans="1:19" ht="21" customHeight="1" x14ac:dyDescent="0.25">
      <c r="A2649" s="14">
        <f>DATE(2012,12,31)-899</f>
        <v>40375</v>
      </c>
      <c r="B2649" s="15" t="s">
        <v>1356</v>
      </c>
      <c r="C2649" s="15" t="s">
        <v>85</v>
      </c>
      <c r="D2649" s="16">
        <v>49</v>
      </c>
      <c r="E2649" s="17">
        <v>214.62</v>
      </c>
      <c r="F2649" s="16">
        <v>0.05</v>
      </c>
      <c r="G2649" s="15" t="s">
        <v>32</v>
      </c>
      <c r="H2649" s="18">
        <v>-151.42049999999998</v>
      </c>
      <c r="I2649" s="19">
        <v>4.24</v>
      </c>
      <c r="J2649" s="19">
        <v>5.41</v>
      </c>
      <c r="K2649" s="19" t="s">
        <v>44</v>
      </c>
      <c r="L2649" s="19" t="s">
        <v>45</v>
      </c>
      <c r="M2649" s="15" t="s">
        <v>1768</v>
      </c>
      <c r="N2649" s="15" t="s">
        <v>36</v>
      </c>
      <c r="O2649" s="15" t="s">
        <v>170</v>
      </c>
      <c r="P2649" s="20" t="s">
        <v>415</v>
      </c>
      <c r="Q2649" s="15" t="s">
        <v>83</v>
      </c>
      <c r="R2649" s="4"/>
      <c r="S2649" s="4"/>
    </row>
    <row r="2650" spans="1:19" ht="21" customHeight="1" x14ac:dyDescent="0.25">
      <c r="A2650" s="14">
        <f>DATE(2012,12,31)-899</f>
        <v>40375</v>
      </c>
      <c r="B2650" s="15" t="s">
        <v>1356</v>
      </c>
      <c r="C2650" s="15" t="s">
        <v>85</v>
      </c>
      <c r="D2650" s="16">
        <v>35</v>
      </c>
      <c r="E2650" s="17">
        <v>5311.973</v>
      </c>
      <c r="F2650" s="16">
        <v>0.02</v>
      </c>
      <c r="G2650" s="15" t="s">
        <v>32</v>
      </c>
      <c r="H2650" s="18">
        <v>1142.0820000000001</v>
      </c>
      <c r="I2650" s="19">
        <v>179.99</v>
      </c>
      <c r="J2650" s="19">
        <v>13.99</v>
      </c>
      <c r="K2650" s="19" t="s">
        <v>44</v>
      </c>
      <c r="L2650" s="19" t="s">
        <v>52</v>
      </c>
      <c r="M2650" s="15" t="s">
        <v>1685</v>
      </c>
      <c r="N2650" s="15" t="s">
        <v>64</v>
      </c>
      <c r="O2650" s="15" t="s">
        <v>65</v>
      </c>
      <c r="P2650" s="20" t="s">
        <v>205</v>
      </c>
      <c r="Q2650" s="15" t="s">
        <v>57</v>
      </c>
      <c r="R2650" s="4"/>
      <c r="S2650" s="4"/>
    </row>
    <row r="2651" spans="1:19" ht="21" customHeight="1" x14ac:dyDescent="0.25">
      <c r="A2651" s="14">
        <f>DATE(2012,12,31)-899</f>
        <v>40375</v>
      </c>
      <c r="B2651" s="15" t="s">
        <v>1356</v>
      </c>
      <c r="C2651" s="15" t="s">
        <v>85</v>
      </c>
      <c r="D2651" s="16">
        <v>19</v>
      </c>
      <c r="E2651" s="17">
        <v>1061.905</v>
      </c>
      <c r="F2651" s="16">
        <v>0.06</v>
      </c>
      <c r="G2651" s="15" t="s">
        <v>32</v>
      </c>
      <c r="H2651" s="18">
        <v>152.74799999999999</v>
      </c>
      <c r="I2651" s="19">
        <v>65.989999999999995</v>
      </c>
      <c r="J2651" s="19">
        <v>2.5</v>
      </c>
      <c r="K2651" s="19" t="s">
        <v>44</v>
      </c>
      <c r="L2651" s="19" t="s">
        <v>52</v>
      </c>
      <c r="M2651" s="15" t="s">
        <v>1685</v>
      </c>
      <c r="N2651" s="15" t="s">
        <v>64</v>
      </c>
      <c r="O2651" s="15" t="s">
        <v>65</v>
      </c>
      <c r="P2651" s="20" t="s">
        <v>1912</v>
      </c>
      <c r="Q2651" s="15" t="s">
        <v>83</v>
      </c>
      <c r="R2651" s="4"/>
      <c r="S2651" s="4"/>
    </row>
    <row r="2652" spans="1:19" ht="21" customHeight="1" x14ac:dyDescent="0.25">
      <c r="A2652" s="14">
        <f>DATE(2012,12,31)-899</f>
        <v>40375</v>
      </c>
      <c r="B2652" s="15" t="s">
        <v>1356</v>
      </c>
      <c r="C2652" s="15" t="s">
        <v>85</v>
      </c>
      <c r="D2652" s="16">
        <v>48</v>
      </c>
      <c r="E2652" s="17">
        <v>1631.04</v>
      </c>
      <c r="F2652" s="16">
        <v>0</v>
      </c>
      <c r="G2652" s="15" t="s">
        <v>32</v>
      </c>
      <c r="H2652" s="18">
        <v>665.63</v>
      </c>
      <c r="I2652" s="19">
        <v>33.979999999999997</v>
      </c>
      <c r="J2652" s="19">
        <v>1.99</v>
      </c>
      <c r="K2652" s="19" t="s">
        <v>44</v>
      </c>
      <c r="L2652" s="19" t="s">
        <v>236</v>
      </c>
      <c r="M2652" s="15" t="s">
        <v>1887</v>
      </c>
      <c r="N2652" s="15" t="s">
        <v>64</v>
      </c>
      <c r="O2652" s="15" t="s">
        <v>72</v>
      </c>
      <c r="P2652" s="20" t="s">
        <v>997</v>
      </c>
      <c r="Q2652" s="15" t="s">
        <v>49</v>
      </c>
      <c r="R2652" s="4"/>
      <c r="S2652" s="4"/>
    </row>
    <row r="2653" spans="1:19" ht="21" customHeight="1" x14ac:dyDescent="0.25">
      <c r="A2653" s="14">
        <f>DATE(2012,12,31)-1230</f>
        <v>40044</v>
      </c>
      <c r="B2653" s="15" t="s">
        <v>448</v>
      </c>
      <c r="C2653" s="15" t="s">
        <v>31</v>
      </c>
      <c r="D2653" s="16">
        <v>19</v>
      </c>
      <c r="E2653" s="17">
        <v>1133.4494999999999</v>
      </c>
      <c r="F2653" s="16">
        <v>0.01</v>
      </c>
      <c r="G2653" s="15" t="s">
        <v>32</v>
      </c>
      <c r="H2653" s="18">
        <v>169.16400000000002</v>
      </c>
      <c r="I2653" s="19">
        <v>65.989999999999995</v>
      </c>
      <c r="J2653" s="19">
        <v>5.31</v>
      </c>
      <c r="K2653" s="19" t="s">
        <v>69</v>
      </c>
      <c r="L2653" s="19" t="s">
        <v>75</v>
      </c>
      <c r="M2653" s="15" t="s">
        <v>1786</v>
      </c>
      <c r="N2653" s="15" t="s">
        <v>64</v>
      </c>
      <c r="O2653" s="15" t="s">
        <v>65</v>
      </c>
      <c r="P2653" s="20" t="s">
        <v>1376</v>
      </c>
      <c r="Q2653" s="15" t="s">
        <v>83</v>
      </c>
      <c r="R2653" s="4"/>
      <c r="S2653" s="4"/>
    </row>
    <row r="2654" spans="1:19" ht="21" customHeight="1" x14ac:dyDescent="0.25">
      <c r="A2654" s="14">
        <f>DATE(2012,12,31)-1200</f>
        <v>40074</v>
      </c>
      <c r="B2654" s="15" t="s">
        <v>1913</v>
      </c>
      <c r="C2654" s="15" t="s">
        <v>85</v>
      </c>
      <c r="D2654" s="16">
        <v>27</v>
      </c>
      <c r="E2654" s="17">
        <v>233.92</v>
      </c>
      <c r="F2654" s="16">
        <v>0.1</v>
      </c>
      <c r="G2654" s="15" t="s">
        <v>32</v>
      </c>
      <c r="H2654" s="18">
        <v>-80.75</v>
      </c>
      <c r="I2654" s="19">
        <v>8.75</v>
      </c>
      <c r="J2654" s="19">
        <v>8.5399999999999991</v>
      </c>
      <c r="K2654" s="19" t="s">
        <v>44</v>
      </c>
      <c r="L2654" s="19" t="s">
        <v>89</v>
      </c>
      <c r="M2654" s="15" t="s">
        <v>1809</v>
      </c>
      <c r="N2654" s="15" t="s">
        <v>54</v>
      </c>
      <c r="O2654" s="15" t="s">
        <v>55</v>
      </c>
      <c r="P2654" s="20" t="s">
        <v>988</v>
      </c>
      <c r="Q2654" s="15" t="s">
        <v>49</v>
      </c>
      <c r="R2654" s="4"/>
      <c r="S2654" s="4"/>
    </row>
    <row r="2655" spans="1:19" ht="21" customHeight="1" x14ac:dyDescent="0.25">
      <c r="A2655" s="14">
        <f>DATE(2012,12,31)-1200</f>
        <v>40074</v>
      </c>
      <c r="B2655" s="15" t="s">
        <v>1913</v>
      </c>
      <c r="C2655" s="15" t="s">
        <v>85</v>
      </c>
      <c r="D2655" s="16">
        <v>28</v>
      </c>
      <c r="E2655" s="17">
        <v>1642.05</v>
      </c>
      <c r="F2655" s="16">
        <v>0.03</v>
      </c>
      <c r="G2655" s="15" t="s">
        <v>32</v>
      </c>
      <c r="H2655" s="18">
        <v>829.73</v>
      </c>
      <c r="I2655" s="19">
        <v>55.98</v>
      </c>
      <c r="J2655" s="19">
        <v>4.8600000000000003</v>
      </c>
      <c r="K2655" s="19" t="s">
        <v>33</v>
      </c>
      <c r="L2655" s="19" t="s">
        <v>93</v>
      </c>
      <c r="M2655" s="15" t="s">
        <v>94</v>
      </c>
      <c r="N2655" s="15" t="s">
        <v>36</v>
      </c>
      <c r="O2655" s="15" t="s">
        <v>117</v>
      </c>
      <c r="P2655" s="20" t="s">
        <v>584</v>
      </c>
      <c r="Q2655" s="15" t="s">
        <v>83</v>
      </c>
      <c r="R2655" s="4"/>
      <c r="S2655" s="4"/>
    </row>
    <row r="2656" spans="1:19" ht="21" customHeight="1" x14ac:dyDescent="0.25">
      <c r="A2656" s="14">
        <f>DATE(2012,12,31)-889</f>
        <v>40385</v>
      </c>
      <c r="B2656" s="15" t="s">
        <v>965</v>
      </c>
      <c r="C2656" s="15" t="s">
        <v>85</v>
      </c>
      <c r="D2656" s="16">
        <v>47</v>
      </c>
      <c r="E2656" s="17">
        <v>1291.3499999999999</v>
      </c>
      <c r="F2656" s="16">
        <v>0.04</v>
      </c>
      <c r="G2656" s="15" t="s">
        <v>32</v>
      </c>
      <c r="H2656" s="18">
        <v>479.62</v>
      </c>
      <c r="I2656" s="19">
        <v>26.38</v>
      </c>
      <c r="J2656" s="19">
        <v>5.86</v>
      </c>
      <c r="K2656" s="19" t="s">
        <v>124</v>
      </c>
      <c r="L2656" s="19" t="s">
        <v>168</v>
      </c>
      <c r="M2656" s="15" t="s">
        <v>1624</v>
      </c>
      <c r="N2656" s="15" t="s">
        <v>36</v>
      </c>
      <c r="O2656" s="15" t="s">
        <v>117</v>
      </c>
      <c r="P2656" s="20" t="s">
        <v>1667</v>
      </c>
      <c r="Q2656" s="15" t="s">
        <v>83</v>
      </c>
      <c r="R2656" s="4"/>
      <c r="S2656" s="4"/>
    </row>
    <row r="2657" spans="1:19" ht="21" customHeight="1" x14ac:dyDescent="0.25">
      <c r="A2657" s="14">
        <f>DATE(2012,12,31)-889</f>
        <v>40385</v>
      </c>
      <c r="B2657" s="15" t="s">
        <v>965</v>
      </c>
      <c r="C2657" s="15" t="s">
        <v>85</v>
      </c>
      <c r="D2657" s="16">
        <v>31</v>
      </c>
      <c r="E2657" s="17">
        <v>107.97</v>
      </c>
      <c r="F2657" s="16">
        <v>0</v>
      </c>
      <c r="G2657" s="15" t="s">
        <v>32</v>
      </c>
      <c r="H2657" s="18">
        <v>2.36</v>
      </c>
      <c r="I2657" s="19">
        <v>3.26</v>
      </c>
      <c r="J2657" s="19">
        <v>1.86</v>
      </c>
      <c r="K2657" s="19" t="s">
        <v>33</v>
      </c>
      <c r="L2657" s="19" t="s">
        <v>93</v>
      </c>
      <c r="M2657" s="15" t="s">
        <v>94</v>
      </c>
      <c r="N2657" s="15" t="s">
        <v>36</v>
      </c>
      <c r="O2657" s="15" t="s">
        <v>77</v>
      </c>
      <c r="P2657" s="20" t="s">
        <v>788</v>
      </c>
      <c r="Q2657" s="15" t="s">
        <v>79</v>
      </c>
      <c r="R2657" s="4"/>
      <c r="S2657" s="4"/>
    </row>
    <row r="2658" spans="1:19" ht="21" customHeight="1" x14ac:dyDescent="0.25">
      <c r="A2658" s="14">
        <f>DATE(2012,12,31)-1007</f>
        <v>40267</v>
      </c>
      <c r="B2658" s="15" t="s">
        <v>1276</v>
      </c>
      <c r="C2658" s="15" t="s">
        <v>31</v>
      </c>
      <c r="D2658" s="16">
        <v>40</v>
      </c>
      <c r="E2658" s="17">
        <v>88.02</v>
      </c>
      <c r="F2658" s="16">
        <v>0</v>
      </c>
      <c r="G2658" s="15" t="s">
        <v>32</v>
      </c>
      <c r="H2658" s="18">
        <v>-6.5435000000000008</v>
      </c>
      <c r="I2658" s="19">
        <v>2.08</v>
      </c>
      <c r="J2658" s="19">
        <v>1.49</v>
      </c>
      <c r="K2658" s="19" t="s">
        <v>33</v>
      </c>
      <c r="L2658" s="19" t="s">
        <v>145</v>
      </c>
      <c r="M2658" s="15" t="s">
        <v>1761</v>
      </c>
      <c r="N2658" s="15" t="s">
        <v>36</v>
      </c>
      <c r="O2658" s="15" t="s">
        <v>170</v>
      </c>
      <c r="P2658" s="20" t="s">
        <v>1285</v>
      </c>
      <c r="Q2658" s="15" t="s">
        <v>83</v>
      </c>
      <c r="R2658" s="4"/>
      <c r="S2658" s="4"/>
    </row>
    <row r="2659" spans="1:19" ht="21" customHeight="1" x14ac:dyDescent="0.25">
      <c r="A2659" s="14">
        <f>DATE(2012,12,31)-1007</f>
        <v>40267</v>
      </c>
      <c r="B2659" s="15" t="s">
        <v>1276</v>
      </c>
      <c r="C2659" s="15" t="s">
        <v>31</v>
      </c>
      <c r="D2659" s="16">
        <v>32</v>
      </c>
      <c r="E2659" s="17">
        <v>800</v>
      </c>
      <c r="F2659" s="16">
        <v>0.1</v>
      </c>
      <c r="G2659" s="15" t="s">
        <v>58</v>
      </c>
      <c r="H2659" s="18">
        <v>-210.3</v>
      </c>
      <c r="I2659" s="19">
        <v>25.98</v>
      </c>
      <c r="J2659" s="19">
        <v>14.36</v>
      </c>
      <c r="K2659" s="19" t="s">
        <v>33</v>
      </c>
      <c r="L2659" s="19" t="s">
        <v>59</v>
      </c>
      <c r="M2659" s="15" t="s">
        <v>1361</v>
      </c>
      <c r="N2659" s="15" t="s">
        <v>54</v>
      </c>
      <c r="O2659" s="15" t="s">
        <v>252</v>
      </c>
      <c r="P2659" s="20" t="s">
        <v>1431</v>
      </c>
      <c r="Q2659" s="15" t="s">
        <v>181</v>
      </c>
      <c r="R2659" s="4"/>
      <c r="S2659" s="4"/>
    </row>
    <row r="2660" spans="1:19" ht="21" customHeight="1" x14ac:dyDescent="0.25">
      <c r="A2660" s="14">
        <f>DATE(2012,12,31)-291</f>
        <v>40983</v>
      </c>
      <c r="B2660" s="15" t="s">
        <v>659</v>
      </c>
      <c r="C2660" s="15" t="s">
        <v>43</v>
      </c>
      <c r="D2660" s="16">
        <v>23</v>
      </c>
      <c r="E2660" s="17">
        <v>66.02</v>
      </c>
      <c r="F2660" s="16">
        <v>0.1</v>
      </c>
      <c r="G2660" s="15" t="s">
        <v>32</v>
      </c>
      <c r="H2660" s="18">
        <v>10.88</v>
      </c>
      <c r="I2660" s="19">
        <v>3.08</v>
      </c>
      <c r="J2660" s="19">
        <v>0.99</v>
      </c>
      <c r="K2660" s="19" t="s">
        <v>33</v>
      </c>
      <c r="L2660" s="19" t="s">
        <v>59</v>
      </c>
      <c r="M2660" s="15" t="s">
        <v>1361</v>
      </c>
      <c r="N2660" s="15" t="s">
        <v>36</v>
      </c>
      <c r="O2660" s="15" t="s">
        <v>114</v>
      </c>
      <c r="P2660" s="20" t="s">
        <v>1914</v>
      </c>
      <c r="Q2660" s="15" t="s">
        <v>83</v>
      </c>
      <c r="R2660" s="4"/>
      <c r="S2660" s="4"/>
    </row>
    <row r="2661" spans="1:19" ht="21" customHeight="1" x14ac:dyDescent="0.25">
      <c r="A2661" s="14">
        <f>DATE(2012,12,31)-291</f>
        <v>40983</v>
      </c>
      <c r="B2661" s="15" t="s">
        <v>659</v>
      </c>
      <c r="C2661" s="15" t="s">
        <v>43</v>
      </c>
      <c r="D2661" s="16">
        <v>11</v>
      </c>
      <c r="E2661" s="17">
        <v>15.53</v>
      </c>
      <c r="F2661" s="16">
        <v>0</v>
      </c>
      <c r="G2661" s="15" t="s">
        <v>32</v>
      </c>
      <c r="H2661" s="18">
        <v>-5.92</v>
      </c>
      <c r="I2661" s="19">
        <v>1.26</v>
      </c>
      <c r="J2661" s="19">
        <v>0.7</v>
      </c>
      <c r="K2661" s="19" t="s">
        <v>33</v>
      </c>
      <c r="L2661" s="19" t="s">
        <v>145</v>
      </c>
      <c r="M2661" s="15" t="s">
        <v>1761</v>
      </c>
      <c r="N2661" s="15" t="s">
        <v>36</v>
      </c>
      <c r="O2661" s="15" t="s">
        <v>105</v>
      </c>
      <c r="P2661" s="20" t="s">
        <v>316</v>
      </c>
      <c r="Q2661" s="15" t="s">
        <v>79</v>
      </c>
      <c r="R2661" s="4"/>
      <c r="S2661" s="4"/>
    </row>
    <row r="2662" spans="1:19" ht="21" customHeight="1" x14ac:dyDescent="0.25">
      <c r="A2662" s="14">
        <f>DATE(2012,12,31)-1268</f>
        <v>40006</v>
      </c>
      <c r="B2662" s="15" t="s">
        <v>1177</v>
      </c>
      <c r="C2662" s="15" t="s">
        <v>31</v>
      </c>
      <c r="D2662" s="16">
        <v>43</v>
      </c>
      <c r="E2662" s="17">
        <v>265.38</v>
      </c>
      <c r="F2662" s="16">
        <v>0.04</v>
      </c>
      <c r="G2662" s="15" t="s">
        <v>32</v>
      </c>
      <c r="H2662" s="18">
        <v>-107.59</v>
      </c>
      <c r="I2662" s="19">
        <v>6.24</v>
      </c>
      <c r="J2662" s="19">
        <v>5.22</v>
      </c>
      <c r="K2662" s="19" t="s">
        <v>33</v>
      </c>
      <c r="L2662" s="19" t="s">
        <v>34</v>
      </c>
      <c r="M2662" s="15" t="s">
        <v>1915</v>
      </c>
      <c r="N2662" s="15" t="s">
        <v>54</v>
      </c>
      <c r="O2662" s="15" t="s">
        <v>55</v>
      </c>
      <c r="P2662" s="20" t="s">
        <v>341</v>
      </c>
      <c r="Q2662" s="15" t="s">
        <v>83</v>
      </c>
      <c r="R2662" s="4"/>
      <c r="S2662" s="4"/>
    </row>
    <row r="2663" spans="1:19" ht="21" customHeight="1" x14ac:dyDescent="0.25">
      <c r="A2663" s="14">
        <f>DATE(2012,12,31)-1268</f>
        <v>40006</v>
      </c>
      <c r="B2663" s="15" t="s">
        <v>1177</v>
      </c>
      <c r="C2663" s="15" t="s">
        <v>31</v>
      </c>
      <c r="D2663" s="16">
        <v>5</v>
      </c>
      <c r="E2663" s="17">
        <v>33.409999999999997</v>
      </c>
      <c r="F2663" s="16">
        <v>0.09</v>
      </c>
      <c r="G2663" s="15" t="s">
        <v>32</v>
      </c>
      <c r="H2663" s="18">
        <v>-3.48</v>
      </c>
      <c r="I2663" s="19">
        <v>6.68</v>
      </c>
      <c r="J2663" s="19">
        <v>1.5</v>
      </c>
      <c r="K2663" s="19" t="s">
        <v>33</v>
      </c>
      <c r="L2663" s="19" t="s">
        <v>145</v>
      </c>
      <c r="M2663" s="15" t="s">
        <v>1761</v>
      </c>
      <c r="N2663" s="15" t="s">
        <v>36</v>
      </c>
      <c r="O2663" s="15" t="s">
        <v>77</v>
      </c>
      <c r="P2663" s="20" t="s">
        <v>857</v>
      </c>
      <c r="Q2663" s="15" t="s">
        <v>79</v>
      </c>
      <c r="R2663" s="4"/>
      <c r="S2663" s="4"/>
    </row>
    <row r="2664" spans="1:19" ht="21" customHeight="1" x14ac:dyDescent="0.25">
      <c r="A2664" s="14">
        <f>DATE(2012,12,31)-1268</f>
        <v>40006</v>
      </c>
      <c r="B2664" s="15" t="s">
        <v>1177</v>
      </c>
      <c r="C2664" s="15" t="s">
        <v>31</v>
      </c>
      <c r="D2664" s="16">
        <v>28</v>
      </c>
      <c r="E2664" s="17">
        <v>7157.16</v>
      </c>
      <c r="F2664" s="16">
        <v>0.09</v>
      </c>
      <c r="G2664" s="15" t="s">
        <v>58</v>
      </c>
      <c r="H2664" s="18">
        <v>1150.33</v>
      </c>
      <c r="I2664" s="19">
        <v>260.98</v>
      </c>
      <c r="J2664" s="19">
        <v>41.91</v>
      </c>
      <c r="K2664" s="19" t="s">
        <v>33</v>
      </c>
      <c r="L2664" s="19" t="s">
        <v>59</v>
      </c>
      <c r="M2664" s="15" t="s">
        <v>1361</v>
      </c>
      <c r="N2664" s="15" t="s">
        <v>54</v>
      </c>
      <c r="O2664" s="15" t="s">
        <v>134</v>
      </c>
      <c r="P2664" s="20" t="s">
        <v>687</v>
      </c>
      <c r="Q2664" s="15" t="s">
        <v>63</v>
      </c>
      <c r="R2664" s="4"/>
      <c r="S2664" s="4"/>
    </row>
    <row r="2665" spans="1:19" ht="21" customHeight="1" x14ac:dyDescent="0.25">
      <c r="A2665" s="14">
        <f>DATE(2012,12,31)-1437</f>
        <v>39837</v>
      </c>
      <c r="B2665" s="15" t="s">
        <v>1558</v>
      </c>
      <c r="C2665" s="15" t="s">
        <v>51</v>
      </c>
      <c r="D2665" s="16">
        <v>24</v>
      </c>
      <c r="E2665" s="17">
        <v>359.65</v>
      </c>
      <c r="F2665" s="16">
        <v>0.01</v>
      </c>
      <c r="G2665" s="15" t="s">
        <v>32</v>
      </c>
      <c r="H2665" s="18">
        <v>-11.15</v>
      </c>
      <c r="I2665" s="19">
        <v>14.42</v>
      </c>
      <c r="J2665" s="19">
        <v>6.75</v>
      </c>
      <c r="K2665" s="19" t="s">
        <v>33</v>
      </c>
      <c r="L2665" s="19" t="s">
        <v>145</v>
      </c>
      <c r="M2665" s="15" t="s">
        <v>1761</v>
      </c>
      <c r="N2665" s="15" t="s">
        <v>36</v>
      </c>
      <c r="O2665" s="15" t="s">
        <v>176</v>
      </c>
      <c r="P2665" s="20" t="s">
        <v>411</v>
      </c>
      <c r="Q2665" s="15" t="s">
        <v>57</v>
      </c>
      <c r="R2665" s="4"/>
      <c r="S2665" s="4"/>
    </row>
    <row r="2666" spans="1:19" ht="21" customHeight="1" x14ac:dyDescent="0.25">
      <c r="A2666" s="14">
        <f>DATE(2012,12,31)-459</f>
        <v>40815</v>
      </c>
      <c r="B2666" s="15" t="s">
        <v>1619</v>
      </c>
      <c r="C2666" s="15" t="s">
        <v>51</v>
      </c>
      <c r="D2666" s="16">
        <v>40</v>
      </c>
      <c r="E2666" s="17">
        <v>161.72</v>
      </c>
      <c r="F2666" s="16">
        <v>0.09</v>
      </c>
      <c r="G2666" s="15" t="s">
        <v>32</v>
      </c>
      <c r="H2666" s="18">
        <v>-134.71100000000001</v>
      </c>
      <c r="I2666" s="19">
        <v>3.98</v>
      </c>
      <c r="J2666" s="19">
        <v>5.26</v>
      </c>
      <c r="K2666" s="19" t="s">
        <v>69</v>
      </c>
      <c r="L2666" s="19" t="s">
        <v>75</v>
      </c>
      <c r="M2666" s="15" t="s">
        <v>1786</v>
      </c>
      <c r="N2666" s="15" t="s">
        <v>36</v>
      </c>
      <c r="O2666" s="15" t="s">
        <v>170</v>
      </c>
      <c r="P2666" s="20" t="s">
        <v>446</v>
      </c>
      <c r="Q2666" s="15" t="s">
        <v>83</v>
      </c>
      <c r="R2666" s="4"/>
      <c r="S2666" s="4"/>
    </row>
    <row r="2667" spans="1:19" ht="21" customHeight="1" x14ac:dyDescent="0.25">
      <c r="A2667" s="14">
        <f>DATE(2012,12,31)-459</f>
        <v>40815</v>
      </c>
      <c r="B2667" s="15" t="s">
        <v>1619</v>
      </c>
      <c r="C2667" s="15" t="s">
        <v>51</v>
      </c>
      <c r="D2667" s="16">
        <v>23</v>
      </c>
      <c r="E2667" s="17">
        <v>107.75</v>
      </c>
      <c r="F2667" s="16">
        <v>7.0000000000000007E-2</v>
      </c>
      <c r="G2667" s="15" t="s">
        <v>32</v>
      </c>
      <c r="H2667" s="18">
        <v>24.17</v>
      </c>
      <c r="I2667" s="19">
        <v>4.7300000000000004</v>
      </c>
      <c r="J2667" s="19">
        <v>1.52</v>
      </c>
      <c r="K2667" s="19" t="s">
        <v>69</v>
      </c>
      <c r="L2667" s="19" t="s">
        <v>70</v>
      </c>
      <c r="M2667" s="15" t="s">
        <v>1895</v>
      </c>
      <c r="N2667" s="15" t="s">
        <v>36</v>
      </c>
      <c r="O2667" s="15" t="s">
        <v>117</v>
      </c>
      <c r="P2667" s="20" t="s">
        <v>675</v>
      </c>
      <c r="Q2667" s="15" t="s">
        <v>79</v>
      </c>
      <c r="R2667" s="4"/>
      <c r="S2667" s="4"/>
    </row>
    <row r="2668" spans="1:19" ht="21" customHeight="1" x14ac:dyDescent="0.25">
      <c r="A2668" s="14">
        <f>DATE(2012,12,31)-996</f>
        <v>40278</v>
      </c>
      <c r="B2668" s="15" t="s">
        <v>1121</v>
      </c>
      <c r="C2668" s="15" t="s">
        <v>51</v>
      </c>
      <c r="D2668" s="16">
        <v>43</v>
      </c>
      <c r="E2668" s="17">
        <v>75.73</v>
      </c>
      <c r="F2668" s="16">
        <v>0.04</v>
      </c>
      <c r="G2668" s="15" t="s">
        <v>101</v>
      </c>
      <c r="H2668" s="18">
        <v>-37.76</v>
      </c>
      <c r="I2668" s="19">
        <v>1.68</v>
      </c>
      <c r="J2668" s="19">
        <v>1.57</v>
      </c>
      <c r="K2668" s="19" t="s">
        <v>69</v>
      </c>
      <c r="L2668" s="19" t="s">
        <v>215</v>
      </c>
      <c r="M2668" s="15" t="s">
        <v>1704</v>
      </c>
      <c r="N2668" s="15" t="s">
        <v>36</v>
      </c>
      <c r="O2668" s="15" t="s">
        <v>77</v>
      </c>
      <c r="P2668" s="20" t="s">
        <v>838</v>
      </c>
      <c r="Q2668" s="15" t="s">
        <v>79</v>
      </c>
      <c r="R2668" s="4"/>
      <c r="S2668" s="4"/>
    </row>
    <row r="2669" spans="1:19" ht="21" customHeight="1" x14ac:dyDescent="0.25">
      <c r="A2669" s="14">
        <f>DATE(2012,12,31)-1384</f>
        <v>39890</v>
      </c>
      <c r="B2669" s="15" t="s">
        <v>1916</v>
      </c>
      <c r="C2669" s="15" t="s">
        <v>43</v>
      </c>
      <c r="D2669" s="16">
        <v>10</v>
      </c>
      <c r="E2669" s="17">
        <v>29.23</v>
      </c>
      <c r="F2669" s="16">
        <v>0.05</v>
      </c>
      <c r="G2669" s="15" t="s">
        <v>32</v>
      </c>
      <c r="H2669" s="18">
        <v>8.1</v>
      </c>
      <c r="I2669" s="19">
        <v>2.88</v>
      </c>
      <c r="J2669" s="19">
        <v>0.5</v>
      </c>
      <c r="K2669" s="19" t="s">
        <v>69</v>
      </c>
      <c r="L2669" s="19" t="s">
        <v>75</v>
      </c>
      <c r="M2669" s="15" t="s">
        <v>1786</v>
      </c>
      <c r="N2669" s="15" t="s">
        <v>36</v>
      </c>
      <c r="O2669" s="15" t="s">
        <v>114</v>
      </c>
      <c r="P2669" s="20" t="s">
        <v>922</v>
      </c>
      <c r="Q2669" s="15" t="s">
        <v>83</v>
      </c>
      <c r="R2669" s="4"/>
      <c r="S2669" s="4"/>
    </row>
    <row r="2670" spans="1:19" ht="21" customHeight="1" x14ac:dyDescent="0.25">
      <c r="A2670" s="14">
        <f>DATE(2012,12,31)-1111</f>
        <v>40163</v>
      </c>
      <c r="B2670" s="15" t="s">
        <v>1715</v>
      </c>
      <c r="C2670" s="15" t="s">
        <v>85</v>
      </c>
      <c r="D2670" s="16">
        <v>10</v>
      </c>
      <c r="E2670" s="17">
        <v>78.72</v>
      </c>
      <c r="F2670" s="16">
        <v>0.1</v>
      </c>
      <c r="G2670" s="15" t="s">
        <v>32</v>
      </c>
      <c r="H2670" s="18">
        <v>-22.36</v>
      </c>
      <c r="I2670" s="19">
        <v>7.64</v>
      </c>
      <c r="J2670" s="19">
        <v>5.83</v>
      </c>
      <c r="K2670" s="19" t="s">
        <v>69</v>
      </c>
      <c r="L2670" s="19" t="s">
        <v>75</v>
      </c>
      <c r="M2670" s="15" t="s">
        <v>1786</v>
      </c>
      <c r="N2670" s="15" t="s">
        <v>36</v>
      </c>
      <c r="O2670" s="15" t="s">
        <v>117</v>
      </c>
      <c r="P2670" s="20" t="s">
        <v>188</v>
      </c>
      <c r="Q2670" s="15" t="s">
        <v>79</v>
      </c>
      <c r="R2670" s="4"/>
      <c r="S2670" s="4"/>
    </row>
    <row r="2671" spans="1:19" ht="21" customHeight="1" x14ac:dyDescent="0.25">
      <c r="A2671" s="14">
        <f>DATE(2012,12,31)-1030</f>
        <v>40244</v>
      </c>
      <c r="B2671" s="15" t="s">
        <v>994</v>
      </c>
      <c r="C2671" s="15" t="s">
        <v>43</v>
      </c>
      <c r="D2671" s="16">
        <v>37</v>
      </c>
      <c r="E2671" s="17">
        <v>281.58999999999997</v>
      </c>
      <c r="F2671" s="16">
        <v>7.0000000000000007E-2</v>
      </c>
      <c r="G2671" s="15" t="s">
        <v>32</v>
      </c>
      <c r="H2671" s="18">
        <v>-6.39</v>
      </c>
      <c r="I2671" s="19">
        <v>7.96</v>
      </c>
      <c r="J2671" s="19">
        <v>4.95</v>
      </c>
      <c r="K2671" s="19" t="s">
        <v>111</v>
      </c>
      <c r="L2671" s="19" t="s">
        <v>112</v>
      </c>
      <c r="M2671" s="15" t="s">
        <v>1911</v>
      </c>
      <c r="N2671" s="15" t="s">
        <v>54</v>
      </c>
      <c r="O2671" s="15" t="s">
        <v>55</v>
      </c>
      <c r="P2671" s="20" t="s">
        <v>1114</v>
      </c>
      <c r="Q2671" s="15" t="s">
        <v>83</v>
      </c>
      <c r="R2671" s="4"/>
      <c r="S2671" s="4"/>
    </row>
    <row r="2672" spans="1:19" ht="21" customHeight="1" x14ac:dyDescent="0.25">
      <c r="A2672" s="14">
        <f>DATE(2012,12,31)-1030</f>
        <v>40244</v>
      </c>
      <c r="B2672" s="15" t="s">
        <v>994</v>
      </c>
      <c r="C2672" s="15" t="s">
        <v>43</v>
      </c>
      <c r="D2672" s="16">
        <v>6</v>
      </c>
      <c r="E2672" s="17">
        <v>231.7525</v>
      </c>
      <c r="F2672" s="16">
        <v>0.03</v>
      </c>
      <c r="G2672" s="15" t="s">
        <v>32</v>
      </c>
      <c r="H2672" s="18">
        <v>-155.947</v>
      </c>
      <c r="I2672" s="19">
        <v>45.99</v>
      </c>
      <c r="J2672" s="19">
        <v>4.99</v>
      </c>
      <c r="K2672" s="19" t="s">
        <v>111</v>
      </c>
      <c r="L2672" s="19" t="s">
        <v>112</v>
      </c>
      <c r="M2672" s="15" t="s">
        <v>1911</v>
      </c>
      <c r="N2672" s="15" t="s">
        <v>64</v>
      </c>
      <c r="O2672" s="15" t="s">
        <v>65</v>
      </c>
      <c r="P2672" s="20" t="s">
        <v>1057</v>
      </c>
      <c r="Q2672" s="15" t="s">
        <v>83</v>
      </c>
      <c r="R2672" s="4"/>
      <c r="S2672" s="4"/>
    </row>
    <row r="2673" spans="1:19" ht="21" customHeight="1" x14ac:dyDescent="0.25">
      <c r="A2673" s="14">
        <f>DATE(2012,12,31)-308</f>
        <v>40966</v>
      </c>
      <c r="B2673" s="15" t="s">
        <v>468</v>
      </c>
      <c r="C2673" s="15" t="s">
        <v>51</v>
      </c>
      <c r="D2673" s="16">
        <v>46</v>
      </c>
      <c r="E2673" s="17">
        <v>8246.86</v>
      </c>
      <c r="F2673" s="16">
        <v>0.06</v>
      </c>
      <c r="G2673" s="15" t="s">
        <v>58</v>
      </c>
      <c r="H2673" s="18">
        <v>-433.29014300000011</v>
      </c>
      <c r="I2673" s="19">
        <v>179.29</v>
      </c>
      <c r="J2673" s="19">
        <v>29.21</v>
      </c>
      <c r="K2673" s="19" t="s">
        <v>111</v>
      </c>
      <c r="L2673" s="19" t="s">
        <v>112</v>
      </c>
      <c r="M2673" s="15" t="s">
        <v>1917</v>
      </c>
      <c r="N2673" s="15" t="s">
        <v>54</v>
      </c>
      <c r="O2673" s="15" t="s">
        <v>61</v>
      </c>
      <c r="P2673" s="20" t="s">
        <v>592</v>
      </c>
      <c r="Q2673" s="15" t="s">
        <v>63</v>
      </c>
      <c r="R2673" s="4"/>
      <c r="S2673" s="4"/>
    </row>
    <row r="2674" spans="1:19" ht="21" customHeight="1" x14ac:dyDescent="0.25">
      <c r="A2674" s="14">
        <f>DATE(2012,12,31)-99</f>
        <v>41175</v>
      </c>
      <c r="B2674" s="15" t="s">
        <v>140</v>
      </c>
      <c r="C2674" s="15" t="s">
        <v>31</v>
      </c>
      <c r="D2674" s="16">
        <v>21</v>
      </c>
      <c r="E2674" s="17">
        <v>788.85</v>
      </c>
      <c r="F2674" s="16">
        <v>0.06</v>
      </c>
      <c r="G2674" s="15" t="s">
        <v>32</v>
      </c>
      <c r="H2674" s="18">
        <v>317.53449999999998</v>
      </c>
      <c r="I2674" s="19">
        <v>37.700000000000003</v>
      </c>
      <c r="J2674" s="19">
        <v>2.99</v>
      </c>
      <c r="K2674" s="19" t="s">
        <v>44</v>
      </c>
      <c r="L2674" s="19" t="s">
        <v>89</v>
      </c>
      <c r="M2674" s="15" t="s">
        <v>1809</v>
      </c>
      <c r="N2674" s="15" t="s">
        <v>36</v>
      </c>
      <c r="O2674" s="15" t="s">
        <v>170</v>
      </c>
      <c r="P2674" s="20" t="s">
        <v>391</v>
      </c>
      <c r="Q2674" s="15" t="s">
        <v>83</v>
      </c>
      <c r="R2674" s="4"/>
      <c r="S2674" s="4"/>
    </row>
    <row r="2675" spans="1:19" ht="21" customHeight="1" x14ac:dyDescent="0.25">
      <c r="A2675" s="14">
        <f>DATE(2012,12,31)-99</f>
        <v>41175</v>
      </c>
      <c r="B2675" s="15" t="s">
        <v>140</v>
      </c>
      <c r="C2675" s="15" t="s">
        <v>31</v>
      </c>
      <c r="D2675" s="16">
        <v>43</v>
      </c>
      <c r="E2675" s="17">
        <v>364.59</v>
      </c>
      <c r="F2675" s="16">
        <v>7.0000000000000007E-2</v>
      </c>
      <c r="G2675" s="15" t="s">
        <v>32</v>
      </c>
      <c r="H2675" s="18">
        <v>-14.28</v>
      </c>
      <c r="I2675" s="19">
        <v>8.56</v>
      </c>
      <c r="J2675" s="19">
        <v>5.16</v>
      </c>
      <c r="K2675" s="19" t="s">
        <v>44</v>
      </c>
      <c r="L2675" s="19" t="s">
        <v>89</v>
      </c>
      <c r="M2675" s="15" t="s">
        <v>1809</v>
      </c>
      <c r="N2675" s="15" t="s">
        <v>36</v>
      </c>
      <c r="O2675" s="15" t="s">
        <v>117</v>
      </c>
      <c r="P2675" s="20" t="s">
        <v>1918</v>
      </c>
      <c r="Q2675" s="15" t="s">
        <v>79</v>
      </c>
      <c r="R2675" s="4"/>
      <c r="S2675" s="4"/>
    </row>
    <row r="2676" spans="1:19" ht="21" customHeight="1" x14ac:dyDescent="0.25">
      <c r="A2676" s="14">
        <f>DATE(2012,12,31)-99</f>
        <v>41175</v>
      </c>
      <c r="B2676" s="15" t="s">
        <v>140</v>
      </c>
      <c r="C2676" s="15" t="s">
        <v>31</v>
      </c>
      <c r="D2676" s="16">
        <v>21</v>
      </c>
      <c r="E2676" s="17">
        <v>535.57000000000005</v>
      </c>
      <c r="F2676" s="16">
        <v>0.05</v>
      </c>
      <c r="G2676" s="15" t="s">
        <v>32</v>
      </c>
      <c r="H2676" s="18">
        <v>131.05000000000001</v>
      </c>
      <c r="I2676" s="19">
        <v>25.38</v>
      </c>
      <c r="J2676" s="19">
        <v>8.99</v>
      </c>
      <c r="K2676" s="19" t="s">
        <v>44</v>
      </c>
      <c r="L2676" s="19" t="s">
        <v>89</v>
      </c>
      <c r="M2676" s="15" t="s">
        <v>1809</v>
      </c>
      <c r="N2676" s="15" t="s">
        <v>54</v>
      </c>
      <c r="O2676" s="15" t="s">
        <v>55</v>
      </c>
      <c r="P2676" s="20" t="s">
        <v>947</v>
      </c>
      <c r="Q2676" s="15" t="s">
        <v>49</v>
      </c>
      <c r="R2676" s="4"/>
      <c r="S2676" s="4"/>
    </row>
    <row r="2677" spans="1:19" ht="21" customHeight="1" x14ac:dyDescent="0.25">
      <c r="A2677" s="14">
        <f>DATE(2012,12,31)-545</f>
        <v>40729</v>
      </c>
      <c r="B2677" s="15" t="s">
        <v>1066</v>
      </c>
      <c r="C2677" s="15" t="s">
        <v>51</v>
      </c>
      <c r="D2677" s="16">
        <v>44</v>
      </c>
      <c r="E2677" s="17">
        <v>286.06</v>
      </c>
      <c r="F2677" s="16">
        <v>0.1</v>
      </c>
      <c r="G2677" s="15" t="s">
        <v>32</v>
      </c>
      <c r="H2677" s="18">
        <v>-85.09</v>
      </c>
      <c r="I2677" s="19">
        <v>6.68</v>
      </c>
      <c r="J2677" s="19">
        <v>5.66</v>
      </c>
      <c r="K2677" s="19" t="s">
        <v>44</v>
      </c>
      <c r="L2677" s="19" t="s">
        <v>120</v>
      </c>
      <c r="M2677" s="15" t="s">
        <v>121</v>
      </c>
      <c r="N2677" s="15" t="s">
        <v>36</v>
      </c>
      <c r="O2677" s="15" t="s">
        <v>117</v>
      </c>
      <c r="P2677" s="20" t="s">
        <v>625</v>
      </c>
      <c r="Q2677" s="15" t="s">
        <v>83</v>
      </c>
      <c r="R2677" s="4"/>
      <c r="S2677" s="4"/>
    </row>
    <row r="2678" spans="1:19" ht="21" customHeight="1" x14ac:dyDescent="0.25">
      <c r="A2678" s="14">
        <f>DATE(2012,12,31)-545</f>
        <v>40729</v>
      </c>
      <c r="B2678" s="15" t="s">
        <v>1066</v>
      </c>
      <c r="C2678" s="15" t="s">
        <v>51</v>
      </c>
      <c r="D2678" s="16">
        <v>41</v>
      </c>
      <c r="E2678" s="17">
        <v>248.1</v>
      </c>
      <c r="F2678" s="16">
        <v>0.04</v>
      </c>
      <c r="G2678" s="15" t="s">
        <v>32</v>
      </c>
      <c r="H2678" s="18">
        <v>49.67</v>
      </c>
      <c r="I2678" s="19">
        <v>5.98</v>
      </c>
      <c r="J2678" s="19">
        <v>0.96</v>
      </c>
      <c r="K2678" s="19" t="s">
        <v>44</v>
      </c>
      <c r="L2678" s="19" t="s">
        <v>89</v>
      </c>
      <c r="M2678" s="15" t="s">
        <v>1809</v>
      </c>
      <c r="N2678" s="15" t="s">
        <v>36</v>
      </c>
      <c r="O2678" s="15" t="s">
        <v>77</v>
      </c>
      <c r="P2678" s="20" t="s">
        <v>664</v>
      </c>
      <c r="Q2678" s="15" t="s">
        <v>79</v>
      </c>
      <c r="R2678" s="4"/>
      <c r="S2678" s="4"/>
    </row>
    <row r="2679" spans="1:19" ht="21" customHeight="1" x14ac:dyDescent="0.25">
      <c r="A2679" s="14">
        <f>DATE(2012,12,31)-715</f>
        <v>40559</v>
      </c>
      <c r="B2679" s="15" t="s">
        <v>1115</v>
      </c>
      <c r="C2679" s="15" t="s">
        <v>85</v>
      </c>
      <c r="D2679" s="16">
        <v>29</v>
      </c>
      <c r="E2679" s="17">
        <v>181.83</v>
      </c>
      <c r="F2679" s="16">
        <v>0.03</v>
      </c>
      <c r="G2679" s="15" t="s">
        <v>32</v>
      </c>
      <c r="H2679" s="18">
        <v>-43.36</v>
      </c>
      <c r="I2679" s="19">
        <v>5.98</v>
      </c>
      <c r="J2679" s="19">
        <v>5.2</v>
      </c>
      <c r="K2679" s="19" t="s">
        <v>44</v>
      </c>
      <c r="L2679" s="19" t="s">
        <v>89</v>
      </c>
      <c r="M2679" s="15" t="s">
        <v>1809</v>
      </c>
      <c r="N2679" s="15" t="s">
        <v>36</v>
      </c>
      <c r="O2679" s="15" t="s">
        <v>117</v>
      </c>
      <c r="P2679" s="20" t="s">
        <v>874</v>
      </c>
      <c r="Q2679" s="15" t="s">
        <v>83</v>
      </c>
      <c r="R2679" s="4"/>
      <c r="S2679" s="4"/>
    </row>
    <row r="2680" spans="1:19" ht="21" customHeight="1" x14ac:dyDescent="0.25">
      <c r="A2680" s="14">
        <f>DATE(2012,12,31)-1351</f>
        <v>39923</v>
      </c>
      <c r="B2680" s="15" t="s">
        <v>1281</v>
      </c>
      <c r="C2680" s="15" t="s">
        <v>51</v>
      </c>
      <c r="D2680" s="16">
        <v>20</v>
      </c>
      <c r="E2680" s="17">
        <v>112.42</v>
      </c>
      <c r="F2680" s="16">
        <v>0.09</v>
      </c>
      <c r="G2680" s="15" t="s">
        <v>32</v>
      </c>
      <c r="H2680" s="18">
        <v>7.4</v>
      </c>
      <c r="I2680" s="19">
        <v>5.98</v>
      </c>
      <c r="J2680" s="19">
        <v>2.5</v>
      </c>
      <c r="K2680" s="19" t="s">
        <v>44</v>
      </c>
      <c r="L2680" s="19" t="s">
        <v>120</v>
      </c>
      <c r="M2680" s="15" t="s">
        <v>121</v>
      </c>
      <c r="N2680" s="15" t="s">
        <v>36</v>
      </c>
      <c r="O2680" s="15" t="s">
        <v>189</v>
      </c>
      <c r="P2680" s="20" t="s">
        <v>513</v>
      </c>
      <c r="Q2680" s="15" t="s">
        <v>83</v>
      </c>
      <c r="R2680" s="4"/>
      <c r="S2680" s="4"/>
    </row>
    <row r="2681" spans="1:19" ht="21" customHeight="1" x14ac:dyDescent="0.25">
      <c r="A2681" s="14">
        <f>DATE(2012,12,31)-6</f>
        <v>41268</v>
      </c>
      <c r="B2681" s="15" t="s">
        <v>1515</v>
      </c>
      <c r="C2681" s="15" t="s">
        <v>85</v>
      </c>
      <c r="D2681" s="16">
        <v>16</v>
      </c>
      <c r="E2681" s="17">
        <v>279.327</v>
      </c>
      <c r="F2681" s="16">
        <v>0.05</v>
      </c>
      <c r="G2681" s="15" t="s">
        <v>32</v>
      </c>
      <c r="H2681" s="18">
        <v>75.212999999999994</v>
      </c>
      <c r="I2681" s="19">
        <v>20.99</v>
      </c>
      <c r="J2681" s="19">
        <v>0.99</v>
      </c>
      <c r="K2681" s="19" t="s">
        <v>44</v>
      </c>
      <c r="L2681" s="19" t="s">
        <v>89</v>
      </c>
      <c r="M2681" s="15" t="s">
        <v>1809</v>
      </c>
      <c r="N2681" s="15" t="s">
        <v>64</v>
      </c>
      <c r="O2681" s="15" t="s">
        <v>65</v>
      </c>
      <c r="P2681" s="20" t="s">
        <v>1101</v>
      </c>
      <c r="Q2681" s="15" t="s">
        <v>79</v>
      </c>
      <c r="R2681" s="4"/>
      <c r="S2681" s="4"/>
    </row>
    <row r="2682" spans="1:19" ht="21" customHeight="1" x14ac:dyDescent="0.25">
      <c r="A2682" s="14">
        <f>DATE(2012,12,31)-6</f>
        <v>41268</v>
      </c>
      <c r="B2682" s="15" t="s">
        <v>1515</v>
      </c>
      <c r="C2682" s="15" t="s">
        <v>85</v>
      </c>
      <c r="D2682" s="16">
        <v>5</v>
      </c>
      <c r="E2682" s="17">
        <v>539.20600000000002</v>
      </c>
      <c r="F2682" s="16">
        <v>0.05</v>
      </c>
      <c r="G2682" s="15" t="s">
        <v>32</v>
      </c>
      <c r="H2682" s="18">
        <v>-452.38599999999997</v>
      </c>
      <c r="I2682" s="19">
        <v>125.99</v>
      </c>
      <c r="J2682" s="19">
        <v>8.8000000000000007</v>
      </c>
      <c r="K2682" s="19" t="s">
        <v>44</v>
      </c>
      <c r="L2682" s="19" t="s">
        <v>120</v>
      </c>
      <c r="M2682" s="15" t="s">
        <v>121</v>
      </c>
      <c r="N2682" s="15" t="s">
        <v>64</v>
      </c>
      <c r="O2682" s="15" t="s">
        <v>65</v>
      </c>
      <c r="P2682" s="20" t="s">
        <v>536</v>
      </c>
      <c r="Q2682" s="15" t="s">
        <v>83</v>
      </c>
      <c r="R2682" s="4"/>
      <c r="S2682" s="4"/>
    </row>
    <row r="2683" spans="1:19" ht="21" customHeight="1" x14ac:dyDescent="0.25">
      <c r="A2683" s="14">
        <f>DATE(2012,12,31)-632</f>
        <v>40642</v>
      </c>
      <c r="B2683" s="15" t="s">
        <v>313</v>
      </c>
      <c r="C2683" s="15" t="s">
        <v>43</v>
      </c>
      <c r="D2683" s="16">
        <v>29</v>
      </c>
      <c r="E2683" s="17">
        <v>60.68</v>
      </c>
      <c r="F2683" s="16">
        <v>0.09</v>
      </c>
      <c r="G2683" s="15" t="s">
        <v>32</v>
      </c>
      <c r="H2683" s="18">
        <v>-115.71300000000001</v>
      </c>
      <c r="I2683" s="19">
        <v>1.98</v>
      </c>
      <c r="J2683" s="19">
        <v>4.7699999999999996</v>
      </c>
      <c r="K2683" s="19" t="s">
        <v>44</v>
      </c>
      <c r="L2683" s="19" t="s">
        <v>89</v>
      </c>
      <c r="M2683" s="15" t="s">
        <v>1809</v>
      </c>
      <c r="N2683" s="15" t="s">
        <v>36</v>
      </c>
      <c r="O2683" s="15" t="s">
        <v>170</v>
      </c>
      <c r="P2683" s="20" t="s">
        <v>748</v>
      </c>
      <c r="Q2683" s="15" t="s">
        <v>83</v>
      </c>
      <c r="R2683" s="4"/>
      <c r="S2683" s="4"/>
    </row>
    <row r="2684" spans="1:19" ht="21" customHeight="1" x14ac:dyDescent="0.25">
      <c r="A2684" s="14">
        <f>DATE(2012,12,31)-632</f>
        <v>40642</v>
      </c>
      <c r="B2684" s="15" t="s">
        <v>313</v>
      </c>
      <c r="C2684" s="15" t="s">
        <v>43</v>
      </c>
      <c r="D2684" s="16">
        <v>37</v>
      </c>
      <c r="E2684" s="17">
        <v>1129.0550000000001</v>
      </c>
      <c r="F2684" s="16">
        <v>0.05</v>
      </c>
      <c r="G2684" s="15" t="s">
        <v>32</v>
      </c>
      <c r="H2684" s="18">
        <v>337.72500000000002</v>
      </c>
      <c r="I2684" s="19">
        <v>35.99</v>
      </c>
      <c r="J2684" s="19">
        <v>1.1000000000000001</v>
      </c>
      <c r="K2684" s="19" t="s">
        <v>44</v>
      </c>
      <c r="L2684" s="19" t="s">
        <v>120</v>
      </c>
      <c r="M2684" s="15" t="s">
        <v>121</v>
      </c>
      <c r="N2684" s="15" t="s">
        <v>64</v>
      </c>
      <c r="O2684" s="15" t="s">
        <v>65</v>
      </c>
      <c r="P2684" s="20" t="s">
        <v>501</v>
      </c>
      <c r="Q2684" s="15" t="s">
        <v>83</v>
      </c>
      <c r="R2684" s="4"/>
      <c r="S2684" s="4"/>
    </row>
    <row r="2685" spans="1:19" ht="21" customHeight="1" x14ac:dyDescent="0.25">
      <c r="A2685" s="14">
        <f>DATE(2012,12,31)-98</f>
        <v>41176</v>
      </c>
      <c r="B2685" s="15" t="s">
        <v>1919</v>
      </c>
      <c r="C2685" s="15" t="s">
        <v>43</v>
      </c>
      <c r="D2685" s="16">
        <v>34</v>
      </c>
      <c r="E2685" s="17">
        <v>210.24</v>
      </c>
      <c r="F2685" s="16">
        <v>0</v>
      </c>
      <c r="G2685" s="15" t="s">
        <v>32</v>
      </c>
      <c r="H2685" s="18">
        <v>-31.67</v>
      </c>
      <c r="I2685" s="19">
        <v>5.68</v>
      </c>
      <c r="J2685" s="19">
        <v>3.6</v>
      </c>
      <c r="K2685" s="19" t="s">
        <v>44</v>
      </c>
      <c r="L2685" s="19" t="s">
        <v>45</v>
      </c>
      <c r="M2685" s="15" t="s">
        <v>1768</v>
      </c>
      <c r="N2685" s="15" t="s">
        <v>36</v>
      </c>
      <c r="O2685" s="15" t="s">
        <v>47</v>
      </c>
      <c r="P2685" s="20" t="s">
        <v>1459</v>
      </c>
      <c r="Q2685" s="15" t="s">
        <v>49</v>
      </c>
      <c r="R2685" s="4"/>
      <c r="S2685" s="4"/>
    </row>
    <row r="2686" spans="1:19" ht="21" customHeight="1" x14ac:dyDescent="0.25">
      <c r="A2686" s="14">
        <f>DATE(2012,12,31)-1225</f>
        <v>40049</v>
      </c>
      <c r="B2686" s="15" t="s">
        <v>1217</v>
      </c>
      <c r="C2686" s="15" t="s">
        <v>43</v>
      </c>
      <c r="D2686" s="16">
        <v>2</v>
      </c>
      <c r="E2686" s="17">
        <v>240.24</v>
      </c>
      <c r="F2686" s="16">
        <v>0.05</v>
      </c>
      <c r="G2686" s="15" t="s">
        <v>58</v>
      </c>
      <c r="H2686" s="18">
        <v>-84.93</v>
      </c>
      <c r="I2686" s="19">
        <v>124.49</v>
      </c>
      <c r="J2686" s="19">
        <v>51.94</v>
      </c>
      <c r="K2686" s="19" t="s">
        <v>44</v>
      </c>
      <c r="L2686" s="19" t="s">
        <v>45</v>
      </c>
      <c r="M2686" s="15" t="s">
        <v>1768</v>
      </c>
      <c r="N2686" s="15" t="s">
        <v>54</v>
      </c>
      <c r="O2686" s="15" t="s">
        <v>61</v>
      </c>
      <c r="P2686" s="20" t="s">
        <v>220</v>
      </c>
      <c r="Q2686" s="15" t="s">
        <v>63</v>
      </c>
      <c r="R2686" s="4"/>
      <c r="S2686" s="4"/>
    </row>
    <row r="2687" spans="1:19" ht="21" customHeight="1" x14ac:dyDescent="0.25">
      <c r="A2687" s="14">
        <f>DATE(2012,12,31)-779</f>
        <v>40495</v>
      </c>
      <c r="B2687" s="15" t="s">
        <v>759</v>
      </c>
      <c r="C2687" s="15" t="s">
        <v>85</v>
      </c>
      <c r="D2687" s="16">
        <v>39</v>
      </c>
      <c r="E2687" s="17">
        <v>6742.49</v>
      </c>
      <c r="F2687" s="16">
        <v>0.03</v>
      </c>
      <c r="G2687" s="15" t="s">
        <v>32</v>
      </c>
      <c r="H2687" s="18">
        <v>-502.05</v>
      </c>
      <c r="I2687" s="19">
        <v>167.27</v>
      </c>
      <c r="J2687" s="19">
        <v>35</v>
      </c>
      <c r="K2687" s="19" t="s">
        <v>44</v>
      </c>
      <c r="L2687" s="19" t="s">
        <v>120</v>
      </c>
      <c r="M2687" s="15" t="s">
        <v>121</v>
      </c>
      <c r="N2687" s="15" t="s">
        <v>36</v>
      </c>
      <c r="O2687" s="15" t="s">
        <v>37</v>
      </c>
      <c r="P2687" s="20" t="s">
        <v>1472</v>
      </c>
      <c r="Q2687" s="15" t="s">
        <v>39</v>
      </c>
      <c r="R2687" s="4"/>
      <c r="S2687" s="4"/>
    </row>
    <row r="2688" spans="1:19" ht="21" customHeight="1" x14ac:dyDescent="0.25">
      <c r="A2688" s="14">
        <f>DATE(2012,12,31)-1318</f>
        <v>39956</v>
      </c>
      <c r="B2688" s="15" t="s">
        <v>1583</v>
      </c>
      <c r="C2688" s="15" t="s">
        <v>43</v>
      </c>
      <c r="D2688" s="16">
        <v>4</v>
      </c>
      <c r="E2688" s="17">
        <v>16.82</v>
      </c>
      <c r="F2688" s="16">
        <v>0.08</v>
      </c>
      <c r="G2688" s="15" t="s">
        <v>32</v>
      </c>
      <c r="H2688" s="18">
        <v>-5.54</v>
      </c>
      <c r="I2688" s="19">
        <v>4.13</v>
      </c>
      <c r="J2688" s="19">
        <v>1.17</v>
      </c>
      <c r="K2688" s="19" t="s">
        <v>44</v>
      </c>
      <c r="L2688" s="19" t="s">
        <v>45</v>
      </c>
      <c r="M2688" s="15" t="s">
        <v>1768</v>
      </c>
      <c r="N2688" s="15" t="s">
        <v>36</v>
      </c>
      <c r="O2688" s="15" t="s">
        <v>77</v>
      </c>
      <c r="P2688" s="20" t="s">
        <v>1802</v>
      </c>
      <c r="Q2688" s="15" t="s">
        <v>79</v>
      </c>
      <c r="R2688" s="4"/>
      <c r="S2688" s="4"/>
    </row>
    <row r="2689" spans="1:19" ht="21" customHeight="1" x14ac:dyDescent="0.25">
      <c r="A2689" s="14">
        <f>DATE(2012,12,31)-1268</f>
        <v>40006</v>
      </c>
      <c r="B2689" s="15" t="s">
        <v>330</v>
      </c>
      <c r="C2689" s="15" t="s">
        <v>51</v>
      </c>
      <c r="D2689" s="16">
        <v>34</v>
      </c>
      <c r="E2689" s="17">
        <v>203.49</v>
      </c>
      <c r="F2689" s="16">
        <v>0.05</v>
      </c>
      <c r="G2689" s="15" t="s">
        <v>32</v>
      </c>
      <c r="H2689" s="18">
        <v>90.35</v>
      </c>
      <c r="I2689" s="19">
        <v>6.3</v>
      </c>
      <c r="J2689" s="19">
        <v>0.5</v>
      </c>
      <c r="K2689" s="19" t="s">
        <v>44</v>
      </c>
      <c r="L2689" s="19" t="s">
        <v>89</v>
      </c>
      <c r="M2689" s="15" t="s">
        <v>1809</v>
      </c>
      <c r="N2689" s="15" t="s">
        <v>36</v>
      </c>
      <c r="O2689" s="15" t="s">
        <v>114</v>
      </c>
      <c r="P2689" s="20" t="s">
        <v>916</v>
      </c>
      <c r="Q2689" s="15" t="s">
        <v>83</v>
      </c>
      <c r="R2689" s="4"/>
      <c r="S2689" s="4"/>
    </row>
    <row r="2690" spans="1:19" ht="21" customHeight="1" x14ac:dyDescent="0.25">
      <c r="A2690" s="14">
        <f>DATE(2012,12,31)-1268</f>
        <v>40006</v>
      </c>
      <c r="B2690" s="15" t="s">
        <v>330</v>
      </c>
      <c r="C2690" s="15" t="s">
        <v>51</v>
      </c>
      <c r="D2690" s="16">
        <v>33</v>
      </c>
      <c r="E2690" s="17">
        <v>5638.7979999999998</v>
      </c>
      <c r="F2690" s="16">
        <v>0.09</v>
      </c>
      <c r="G2690" s="15" t="s">
        <v>101</v>
      </c>
      <c r="H2690" s="18">
        <v>1406.0519999999999</v>
      </c>
      <c r="I2690" s="19">
        <v>205.99</v>
      </c>
      <c r="J2690" s="19">
        <v>3</v>
      </c>
      <c r="K2690" s="19" t="s">
        <v>33</v>
      </c>
      <c r="L2690" s="19" t="s">
        <v>128</v>
      </c>
      <c r="M2690" s="15" t="s">
        <v>129</v>
      </c>
      <c r="N2690" s="15" t="s">
        <v>64</v>
      </c>
      <c r="O2690" s="15" t="s">
        <v>65</v>
      </c>
      <c r="P2690" s="20" t="s">
        <v>1920</v>
      </c>
      <c r="Q2690" s="15" t="s">
        <v>83</v>
      </c>
      <c r="R2690" s="4"/>
      <c r="S2690" s="4"/>
    </row>
    <row r="2691" spans="1:19" ht="21" customHeight="1" x14ac:dyDescent="0.25">
      <c r="A2691" s="14">
        <f>DATE(2012,12,31)-468</f>
        <v>40806</v>
      </c>
      <c r="B2691" s="15" t="s">
        <v>1605</v>
      </c>
      <c r="C2691" s="15" t="s">
        <v>85</v>
      </c>
      <c r="D2691" s="16">
        <v>2</v>
      </c>
      <c r="E2691" s="17">
        <v>206.68</v>
      </c>
      <c r="F2691" s="16">
        <v>0</v>
      </c>
      <c r="G2691" s="15" t="s">
        <v>32</v>
      </c>
      <c r="H2691" s="18">
        <v>-156.47</v>
      </c>
      <c r="I2691" s="19">
        <v>80.98</v>
      </c>
      <c r="J2691" s="19">
        <v>35</v>
      </c>
      <c r="K2691" s="19" t="s">
        <v>33</v>
      </c>
      <c r="L2691" s="19" t="s">
        <v>128</v>
      </c>
      <c r="M2691" s="15" t="s">
        <v>129</v>
      </c>
      <c r="N2691" s="15" t="s">
        <v>36</v>
      </c>
      <c r="O2691" s="15" t="s">
        <v>37</v>
      </c>
      <c r="P2691" s="20" t="s">
        <v>1383</v>
      </c>
      <c r="Q2691" s="15" t="s">
        <v>39</v>
      </c>
      <c r="R2691" s="4"/>
      <c r="S2691" s="4"/>
    </row>
    <row r="2692" spans="1:19" ht="21" customHeight="1" x14ac:dyDescent="0.25">
      <c r="A2692" s="14">
        <f>DATE(2012,12,31)-750</f>
        <v>40524</v>
      </c>
      <c r="B2692" s="15" t="s">
        <v>1921</v>
      </c>
      <c r="C2692" s="15" t="s">
        <v>51</v>
      </c>
      <c r="D2692" s="16">
        <v>9</v>
      </c>
      <c r="E2692" s="17">
        <v>691.09</v>
      </c>
      <c r="F2692" s="16">
        <v>0.08</v>
      </c>
      <c r="G2692" s="15" t="s">
        <v>32</v>
      </c>
      <c r="H2692" s="18">
        <v>364.03</v>
      </c>
      <c r="I2692" s="19">
        <v>78.69</v>
      </c>
      <c r="J2692" s="19">
        <v>19.989999999999998</v>
      </c>
      <c r="K2692" s="19" t="s">
        <v>33</v>
      </c>
      <c r="L2692" s="19" t="s">
        <v>93</v>
      </c>
      <c r="M2692" s="15" t="s">
        <v>94</v>
      </c>
      <c r="N2692" s="15" t="s">
        <v>54</v>
      </c>
      <c r="O2692" s="15" t="s">
        <v>55</v>
      </c>
      <c r="P2692" s="20" t="s">
        <v>1922</v>
      </c>
      <c r="Q2692" s="15" t="s">
        <v>83</v>
      </c>
      <c r="R2692" s="4"/>
      <c r="S2692" s="4"/>
    </row>
    <row r="2693" spans="1:19" ht="21" customHeight="1" x14ac:dyDescent="0.25">
      <c r="A2693" s="14">
        <f>DATE(2012,12,31)-750</f>
        <v>40524</v>
      </c>
      <c r="B2693" s="15" t="s">
        <v>1921</v>
      </c>
      <c r="C2693" s="15" t="s">
        <v>51</v>
      </c>
      <c r="D2693" s="16">
        <v>33</v>
      </c>
      <c r="E2693" s="17">
        <v>713.7</v>
      </c>
      <c r="F2693" s="16">
        <v>0.02</v>
      </c>
      <c r="G2693" s="15" t="s">
        <v>32</v>
      </c>
      <c r="H2693" s="18">
        <v>176.09</v>
      </c>
      <c r="I2693" s="19">
        <v>21.98</v>
      </c>
      <c r="J2693" s="19">
        <v>2.87</v>
      </c>
      <c r="K2693" s="19" t="s">
        <v>33</v>
      </c>
      <c r="L2693" s="19" t="s">
        <v>93</v>
      </c>
      <c r="M2693" s="15" t="s">
        <v>94</v>
      </c>
      <c r="N2693" s="15" t="s">
        <v>36</v>
      </c>
      <c r="O2693" s="15" t="s">
        <v>77</v>
      </c>
      <c r="P2693" s="20" t="s">
        <v>715</v>
      </c>
      <c r="Q2693" s="15" t="s">
        <v>49</v>
      </c>
      <c r="R2693" s="4"/>
      <c r="S2693" s="4"/>
    </row>
    <row r="2694" spans="1:19" ht="21" customHeight="1" x14ac:dyDescent="0.25">
      <c r="A2694" s="14">
        <f>DATE(2012,12,31)-1428</f>
        <v>39846</v>
      </c>
      <c r="B2694" s="15" t="s">
        <v>1192</v>
      </c>
      <c r="C2694" s="15" t="s">
        <v>85</v>
      </c>
      <c r="D2694" s="16">
        <v>31</v>
      </c>
      <c r="E2694" s="17">
        <v>4713.25</v>
      </c>
      <c r="F2694" s="16">
        <v>0.1</v>
      </c>
      <c r="G2694" s="15" t="s">
        <v>32</v>
      </c>
      <c r="H2694" s="18">
        <v>-372.48597100000006</v>
      </c>
      <c r="I2694" s="19">
        <v>154.13</v>
      </c>
      <c r="J2694" s="19">
        <v>69</v>
      </c>
      <c r="K2694" s="19" t="s">
        <v>97</v>
      </c>
      <c r="L2694" s="19" t="s">
        <v>98</v>
      </c>
      <c r="M2694" s="15" t="s">
        <v>1162</v>
      </c>
      <c r="N2694" s="15" t="s">
        <v>54</v>
      </c>
      <c r="O2694" s="15" t="s">
        <v>61</v>
      </c>
      <c r="P2694" s="20" t="s">
        <v>1923</v>
      </c>
      <c r="Q2694" s="15" t="s">
        <v>39</v>
      </c>
      <c r="R2694" s="4"/>
      <c r="S2694" s="4"/>
    </row>
    <row r="2695" spans="1:19" ht="21" customHeight="1" x14ac:dyDescent="0.25">
      <c r="A2695" s="14">
        <f>DATE(2012,12,31)-1084</f>
        <v>40190</v>
      </c>
      <c r="B2695" s="15" t="s">
        <v>970</v>
      </c>
      <c r="C2695" s="15" t="s">
        <v>51</v>
      </c>
      <c r="D2695" s="16">
        <v>39</v>
      </c>
      <c r="E2695" s="17">
        <v>857.32</v>
      </c>
      <c r="F2695" s="16">
        <v>0.05</v>
      </c>
      <c r="G2695" s="15" t="s">
        <v>32</v>
      </c>
      <c r="H2695" s="18">
        <v>195.71</v>
      </c>
      <c r="I2695" s="19">
        <v>22.23</v>
      </c>
      <c r="J2695" s="19">
        <v>8.99</v>
      </c>
      <c r="K2695" s="19" t="s">
        <v>97</v>
      </c>
      <c r="L2695" s="19" t="s">
        <v>98</v>
      </c>
      <c r="M2695" s="15" t="s">
        <v>1162</v>
      </c>
      <c r="N2695" s="15" t="s">
        <v>54</v>
      </c>
      <c r="O2695" s="15" t="s">
        <v>55</v>
      </c>
      <c r="P2695" s="20" t="s">
        <v>757</v>
      </c>
      <c r="Q2695" s="15" t="s">
        <v>49</v>
      </c>
      <c r="R2695" s="4"/>
      <c r="S2695" s="4"/>
    </row>
    <row r="2696" spans="1:19" ht="21" customHeight="1" x14ac:dyDescent="0.25">
      <c r="A2696" s="14">
        <f>DATE(2012,12,31)-1084</f>
        <v>40190</v>
      </c>
      <c r="B2696" s="15" t="s">
        <v>970</v>
      </c>
      <c r="C2696" s="15" t="s">
        <v>51</v>
      </c>
      <c r="D2696" s="16">
        <v>2</v>
      </c>
      <c r="E2696" s="17">
        <v>8.8699999999999992</v>
      </c>
      <c r="F2696" s="16">
        <v>0.03</v>
      </c>
      <c r="G2696" s="15" t="s">
        <v>32</v>
      </c>
      <c r="H2696" s="18">
        <v>-6.79</v>
      </c>
      <c r="I2696" s="19">
        <v>2.74</v>
      </c>
      <c r="J2696" s="19">
        <v>3.5</v>
      </c>
      <c r="K2696" s="19" t="s">
        <v>97</v>
      </c>
      <c r="L2696" s="19" t="s">
        <v>283</v>
      </c>
      <c r="M2696" s="15" t="s">
        <v>1901</v>
      </c>
      <c r="N2696" s="15" t="s">
        <v>36</v>
      </c>
      <c r="O2696" s="15" t="s">
        <v>77</v>
      </c>
      <c r="P2696" s="20" t="s">
        <v>321</v>
      </c>
      <c r="Q2696" s="15" t="s">
        <v>49</v>
      </c>
      <c r="R2696" s="4"/>
      <c r="S2696" s="4"/>
    </row>
    <row r="2697" spans="1:19" ht="21" customHeight="1" x14ac:dyDescent="0.25">
      <c r="A2697" s="14">
        <f>DATE(2012,12,31)-1134</f>
        <v>40140</v>
      </c>
      <c r="B2697" s="15" t="s">
        <v>1724</v>
      </c>
      <c r="C2697" s="15" t="s">
        <v>43</v>
      </c>
      <c r="D2697" s="16">
        <v>9</v>
      </c>
      <c r="E2697" s="17">
        <v>351.06</v>
      </c>
      <c r="F2697" s="16">
        <v>0.02</v>
      </c>
      <c r="G2697" s="15" t="s">
        <v>32</v>
      </c>
      <c r="H2697" s="18">
        <v>-306.32</v>
      </c>
      <c r="I2697" s="19">
        <v>35.479999999999997</v>
      </c>
      <c r="J2697" s="19">
        <v>35</v>
      </c>
      <c r="K2697" s="19" t="s">
        <v>97</v>
      </c>
      <c r="L2697" s="19" t="s">
        <v>98</v>
      </c>
      <c r="M2697" s="15" t="s">
        <v>1162</v>
      </c>
      <c r="N2697" s="15" t="s">
        <v>36</v>
      </c>
      <c r="O2697" s="15" t="s">
        <v>37</v>
      </c>
      <c r="P2697" s="20" t="s">
        <v>495</v>
      </c>
      <c r="Q2697" s="15" t="s">
        <v>39</v>
      </c>
      <c r="R2697" s="4"/>
      <c r="S2697" s="4"/>
    </row>
    <row r="2698" spans="1:19" ht="21" customHeight="1" x14ac:dyDescent="0.25">
      <c r="A2698" s="14">
        <f>DATE(2012,12,31)-1168</f>
        <v>40106</v>
      </c>
      <c r="B2698" s="15" t="s">
        <v>774</v>
      </c>
      <c r="C2698" s="15" t="s">
        <v>85</v>
      </c>
      <c r="D2698" s="16">
        <v>44</v>
      </c>
      <c r="E2698" s="17">
        <v>161.80000000000001</v>
      </c>
      <c r="F2698" s="16">
        <v>0.06</v>
      </c>
      <c r="G2698" s="15" t="s">
        <v>32</v>
      </c>
      <c r="H2698" s="18">
        <v>21.335000000000001</v>
      </c>
      <c r="I2698" s="19">
        <v>3.8</v>
      </c>
      <c r="J2698" s="19">
        <v>1.49</v>
      </c>
      <c r="K2698" s="19" t="s">
        <v>124</v>
      </c>
      <c r="L2698" s="19" t="s">
        <v>160</v>
      </c>
      <c r="M2698" s="15" t="s">
        <v>1906</v>
      </c>
      <c r="N2698" s="15" t="s">
        <v>36</v>
      </c>
      <c r="O2698" s="15" t="s">
        <v>170</v>
      </c>
      <c r="P2698" s="20" t="s">
        <v>611</v>
      </c>
      <c r="Q2698" s="15" t="s">
        <v>83</v>
      </c>
      <c r="R2698" s="4"/>
      <c r="S2698" s="4"/>
    </row>
    <row r="2699" spans="1:19" ht="21" customHeight="1" x14ac:dyDescent="0.25">
      <c r="A2699" s="14">
        <f>DATE(2012,12,31)-1168</f>
        <v>40106</v>
      </c>
      <c r="B2699" s="15" t="s">
        <v>774</v>
      </c>
      <c r="C2699" s="15" t="s">
        <v>85</v>
      </c>
      <c r="D2699" s="16">
        <v>37</v>
      </c>
      <c r="E2699" s="17">
        <v>64.36</v>
      </c>
      <c r="F2699" s="16">
        <v>0.06</v>
      </c>
      <c r="G2699" s="15" t="s">
        <v>32</v>
      </c>
      <c r="H2699" s="18">
        <v>-1.53</v>
      </c>
      <c r="I2699" s="19">
        <v>1.76</v>
      </c>
      <c r="J2699" s="19">
        <v>0.7</v>
      </c>
      <c r="K2699" s="19" t="s">
        <v>124</v>
      </c>
      <c r="L2699" s="19" t="s">
        <v>493</v>
      </c>
      <c r="M2699" s="15" t="s">
        <v>1810</v>
      </c>
      <c r="N2699" s="15" t="s">
        <v>36</v>
      </c>
      <c r="O2699" s="15" t="s">
        <v>77</v>
      </c>
      <c r="P2699" s="20" t="s">
        <v>526</v>
      </c>
      <c r="Q2699" s="15" t="s">
        <v>79</v>
      </c>
      <c r="R2699" s="4"/>
      <c r="S2699" s="4"/>
    </row>
    <row r="2700" spans="1:19" ht="21" customHeight="1" x14ac:dyDescent="0.25">
      <c r="A2700" s="14">
        <f>DATE(2012,12,31)-397</f>
        <v>40877</v>
      </c>
      <c r="B2700" s="15" t="s">
        <v>1924</v>
      </c>
      <c r="C2700" s="15" t="s">
        <v>51</v>
      </c>
      <c r="D2700" s="16">
        <v>44</v>
      </c>
      <c r="E2700" s="17">
        <v>155.78</v>
      </c>
      <c r="F2700" s="16">
        <v>0.04</v>
      </c>
      <c r="G2700" s="15" t="s">
        <v>32</v>
      </c>
      <c r="H2700" s="18">
        <v>-10</v>
      </c>
      <c r="I2700" s="19">
        <v>3.6</v>
      </c>
      <c r="J2700" s="19">
        <v>2.2000000000000002</v>
      </c>
      <c r="K2700" s="19" t="s">
        <v>124</v>
      </c>
      <c r="L2700" s="19" t="s">
        <v>160</v>
      </c>
      <c r="M2700" s="15" t="s">
        <v>1906</v>
      </c>
      <c r="N2700" s="15" t="s">
        <v>36</v>
      </c>
      <c r="O2700" s="15" t="s">
        <v>117</v>
      </c>
      <c r="P2700" s="20" t="s">
        <v>1925</v>
      </c>
      <c r="Q2700" s="15" t="s">
        <v>79</v>
      </c>
      <c r="R2700" s="4"/>
      <c r="S2700" s="4"/>
    </row>
    <row r="2701" spans="1:19" ht="21" customHeight="1" x14ac:dyDescent="0.25">
      <c r="A2701" s="14">
        <f>DATE(2012,12,31)-1082</f>
        <v>40192</v>
      </c>
      <c r="B2701" s="15" t="s">
        <v>1926</v>
      </c>
      <c r="C2701" s="15" t="s">
        <v>85</v>
      </c>
      <c r="D2701" s="16">
        <v>9</v>
      </c>
      <c r="E2701" s="17">
        <v>92.02</v>
      </c>
      <c r="F2701" s="16">
        <v>7.0000000000000007E-2</v>
      </c>
      <c r="G2701" s="15" t="s">
        <v>32</v>
      </c>
      <c r="H2701" s="18">
        <v>-24.88</v>
      </c>
      <c r="I2701" s="19">
        <v>10.23</v>
      </c>
      <c r="J2701" s="19">
        <v>4.68</v>
      </c>
      <c r="K2701" s="19" t="s">
        <v>124</v>
      </c>
      <c r="L2701" s="19" t="s">
        <v>493</v>
      </c>
      <c r="M2701" s="15" t="s">
        <v>1927</v>
      </c>
      <c r="N2701" s="15" t="s">
        <v>36</v>
      </c>
      <c r="O2701" s="15" t="s">
        <v>47</v>
      </c>
      <c r="P2701" s="20" t="s">
        <v>1167</v>
      </c>
      <c r="Q2701" s="15" t="s">
        <v>49</v>
      </c>
      <c r="R2701" s="4"/>
      <c r="S2701" s="4"/>
    </row>
    <row r="2702" spans="1:19" ht="21" customHeight="1" x14ac:dyDescent="0.25">
      <c r="A2702" s="14">
        <f>DATE(2012,12,31)-1054</f>
        <v>40220</v>
      </c>
      <c r="B2702" s="15" t="s">
        <v>455</v>
      </c>
      <c r="C2702" s="15" t="s">
        <v>31</v>
      </c>
      <c r="D2702" s="16">
        <v>36</v>
      </c>
      <c r="E2702" s="17">
        <v>246.24</v>
      </c>
      <c r="F2702" s="16">
        <v>0.08</v>
      </c>
      <c r="G2702" s="15" t="s">
        <v>32</v>
      </c>
      <c r="H2702" s="18">
        <v>-118.9</v>
      </c>
      <c r="I2702" s="19">
        <v>6.68</v>
      </c>
      <c r="J2702" s="19">
        <v>7.3</v>
      </c>
      <c r="K2702" s="19" t="s">
        <v>124</v>
      </c>
      <c r="L2702" s="19" t="s">
        <v>160</v>
      </c>
      <c r="M2702" s="15" t="s">
        <v>1906</v>
      </c>
      <c r="N2702" s="15" t="s">
        <v>36</v>
      </c>
      <c r="O2702" s="15" t="s">
        <v>117</v>
      </c>
      <c r="P2702" s="20" t="s">
        <v>1862</v>
      </c>
      <c r="Q2702" s="15" t="s">
        <v>83</v>
      </c>
      <c r="R2702" s="4"/>
      <c r="S2702" s="4"/>
    </row>
    <row r="2703" spans="1:19" ht="21" customHeight="1" x14ac:dyDescent="0.25">
      <c r="A2703" s="14">
        <f>DATE(2012,12,31)-1054</f>
        <v>40220</v>
      </c>
      <c r="B2703" s="15" t="s">
        <v>455</v>
      </c>
      <c r="C2703" s="15" t="s">
        <v>31</v>
      </c>
      <c r="D2703" s="16">
        <v>8</v>
      </c>
      <c r="E2703" s="17">
        <v>78.67</v>
      </c>
      <c r="F2703" s="16">
        <v>0</v>
      </c>
      <c r="G2703" s="15" t="s">
        <v>32</v>
      </c>
      <c r="H2703" s="18">
        <v>14.1</v>
      </c>
      <c r="I2703" s="19">
        <v>9.11</v>
      </c>
      <c r="J2703" s="19">
        <v>2.15</v>
      </c>
      <c r="K2703" s="19" t="s">
        <v>124</v>
      </c>
      <c r="L2703" s="19" t="s">
        <v>160</v>
      </c>
      <c r="M2703" s="15" t="s">
        <v>1906</v>
      </c>
      <c r="N2703" s="15" t="s">
        <v>36</v>
      </c>
      <c r="O2703" s="15" t="s">
        <v>117</v>
      </c>
      <c r="P2703" s="20" t="s">
        <v>1374</v>
      </c>
      <c r="Q2703" s="15" t="s">
        <v>79</v>
      </c>
      <c r="R2703" s="4"/>
      <c r="S2703" s="4"/>
    </row>
    <row r="2704" spans="1:19" ht="21" customHeight="1" x14ac:dyDescent="0.25">
      <c r="A2704" s="14">
        <f>DATE(2012,12,31)-732</f>
        <v>40542</v>
      </c>
      <c r="B2704" s="15" t="s">
        <v>741</v>
      </c>
      <c r="C2704" s="15" t="s">
        <v>43</v>
      </c>
      <c r="D2704" s="16">
        <v>45</v>
      </c>
      <c r="E2704" s="17">
        <v>5785.59</v>
      </c>
      <c r="F2704" s="16">
        <v>7.0000000000000007E-2</v>
      </c>
      <c r="G2704" s="15" t="s">
        <v>58</v>
      </c>
      <c r="H2704" s="18">
        <v>-423.77</v>
      </c>
      <c r="I2704" s="19">
        <v>130.97999999999999</v>
      </c>
      <c r="J2704" s="19">
        <v>30</v>
      </c>
      <c r="K2704" s="19" t="s">
        <v>124</v>
      </c>
      <c r="L2704" s="19" t="s">
        <v>493</v>
      </c>
      <c r="M2704" s="15" t="s">
        <v>1927</v>
      </c>
      <c r="N2704" s="15" t="s">
        <v>54</v>
      </c>
      <c r="O2704" s="15" t="s">
        <v>252</v>
      </c>
      <c r="P2704" s="20" t="s">
        <v>980</v>
      </c>
      <c r="Q2704" s="15" t="s">
        <v>181</v>
      </c>
      <c r="R2704" s="4"/>
      <c r="S2704" s="4"/>
    </row>
    <row r="2705" spans="1:19" ht="21" customHeight="1" x14ac:dyDescent="0.25">
      <c r="A2705" s="14">
        <f>DATE(2012,12,31)-732</f>
        <v>40542</v>
      </c>
      <c r="B2705" s="15" t="s">
        <v>741</v>
      </c>
      <c r="C2705" s="15" t="s">
        <v>43</v>
      </c>
      <c r="D2705" s="16">
        <v>22</v>
      </c>
      <c r="E2705" s="17">
        <v>1131.93</v>
      </c>
      <c r="F2705" s="16">
        <v>0.09</v>
      </c>
      <c r="G2705" s="15" t="s">
        <v>32</v>
      </c>
      <c r="H2705" s="18">
        <v>469.69</v>
      </c>
      <c r="I2705" s="19">
        <v>55.98</v>
      </c>
      <c r="J2705" s="19">
        <v>4.8600000000000003</v>
      </c>
      <c r="K2705" s="19" t="s">
        <v>124</v>
      </c>
      <c r="L2705" s="19" t="s">
        <v>160</v>
      </c>
      <c r="M2705" s="15" t="s">
        <v>1906</v>
      </c>
      <c r="N2705" s="15" t="s">
        <v>36</v>
      </c>
      <c r="O2705" s="15" t="s">
        <v>117</v>
      </c>
      <c r="P2705" s="20" t="s">
        <v>584</v>
      </c>
      <c r="Q2705" s="15" t="s">
        <v>83</v>
      </c>
      <c r="R2705" s="4"/>
      <c r="S2705" s="4"/>
    </row>
    <row r="2706" spans="1:19" ht="21" customHeight="1" x14ac:dyDescent="0.25">
      <c r="A2706" s="14">
        <f>DATE(2012,12,31)-732</f>
        <v>40542</v>
      </c>
      <c r="B2706" s="15" t="s">
        <v>741</v>
      </c>
      <c r="C2706" s="15" t="s">
        <v>43</v>
      </c>
      <c r="D2706" s="16">
        <v>35</v>
      </c>
      <c r="E2706" s="17">
        <v>3238.143</v>
      </c>
      <c r="F2706" s="16">
        <v>0.08</v>
      </c>
      <c r="G2706" s="15" t="s">
        <v>32</v>
      </c>
      <c r="H2706" s="18">
        <v>727.36199999999997</v>
      </c>
      <c r="I2706" s="19">
        <v>115.99</v>
      </c>
      <c r="J2706" s="19">
        <v>4.2300000000000004</v>
      </c>
      <c r="K2706" s="19" t="s">
        <v>124</v>
      </c>
      <c r="L2706" s="19" t="s">
        <v>160</v>
      </c>
      <c r="M2706" s="15" t="s">
        <v>1906</v>
      </c>
      <c r="N2706" s="15" t="s">
        <v>64</v>
      </c>
      <c r="O2706" s="15" t="s">
        <v>65</v>
      </c>
      <c r="P2706" s="20" t="s">
        <v>206</v>
      </c>
      <c r="Q2706" s="15" t="s">
        <v>83</v>
      </c>
      <c r="R2706" s="4"/>
      <c r="S2706" s="4"/>
    </row>
    <row r="2707" spans="1:19" ht="21" customHeight="1" x14ac:dyDescent="0.25">
      <c r="A2707" s="14">
        <f>DATE(2012,12,31)-428</f>
        <v>40846</v>
      </c>
      <c r="B2707" s="15" t="s">
        <v>249</v>
      </c>
      <c r="C2707" s="15" t="s">
        <v>31</v>
      </c>
      <c r="D2707" s="16">
        <v>26</v>
      </c>
      <c r="E2707" s="17">
        <v>66.599999999999994</v>
      </c>
      <c r="F2707" s="16">
        <v>0.08</v>
      </c>
      <c r="G2707" s="15" t="s">
        <v>32</v>
      </c>
      <c r="H2707" s="18">
        <v>13.99</v>
      </c>
      <c r="I2707" s="19">
        <v>2.62</v>
      </c>
      <c r="J2707" s="19">
        <v>0.8</v>
      </c>
      <c r="K2707" s="19" t="s">
        <v>124</v>
      </c>
      <c r="L2707" s="19" t="s">
        <v>160</v>
      </c>
      <c r="M2707" s="15" t="s">
        <v>1906</v>
      </c>
      <c r="N2707" s="15" t="s">
        <v>36</v>
      </c>
      <c r="O2707" s="15" t="s">
        <v>105</v>
      </c>
      <c r="P2707" s="20" t="s">
        <v>915</v>
      </c>
      <c r="Q2707" s="15" t="s">
        <v>79</v>
      </c>
      <c r="R2707" s="4"/>
      <c r="S2707" s="4"/>
    </row>
    <row r="2708" spans="1:19" ht="21" customHeight="1" x14ac:dyDescent="0.25">
      <c r="A2708" s="14">
        <f>DATE(2012,12,31)-428</f>
        <v>40846</v>
      </c>
      <c r="B2708" s="15" t="s">
        <v>249</v>
      </c>
      <c r="C2708" s="15" t="s">
        <v>31</v>
      </c>
      <c r="D2708" s="16">
        <v>9</v>
      </c>
      <c r="E2708" s="17">
        <v>312.25</v>
      </c>
      <c r="F2708" s="16">
        <v>0.05</v>
      </c>
      <c r="G2708" s="15" t="s">
        <v>32</v>
      </c>
      <c r="H2708" s="18">
        <v>15.56</v>
      </c>
      <c r="I2708" s="19">
        <v>33.89</v>
      </c>
      <c r="J2708" s="19">
        <v>5.0999999999999996</v>
      </c>
      <c r="K2708" s="19" t="s">
        <v>124</v>
      </c>
      <c r="L2708" s="19" t="s">
        <v>493</v>
      </c>
      <c r="M2708" s="15" t="s">
        <v>1927</v>
      </c>
      <c r="N2708" s="15" t="s">
        <v>36</v>
      </c>
      <c r="O2708" s="15" t="s">
        <v>37</v>
      </c>
      <c r="P2708" s="20" t="s">
        <v>1928</v>
      </c>
      <c r="Q2708" s="15" t="s">
        <v>83</v>
      </c>
      <c r="R2708" s="4"/>
      <c r="S2708" s="4"/>
    </row>
    <row r="2709" spans="1:19" ht="21" customHeight="1" x14ac:dyDescent="0.25">
      <c r="A2709" s="14">
        <f>DATE(2012,12,31)-675</f>
        <v>40599</v>
      </c>
      <c r="B2709" s="15" t="s">
        <v>1119</v>
      </c>
      <c r="C2709" s="15" t="s">
        <v>31</v>
      </c>
      <c r="D2709" s="16">
        <v>2</v>
      </c>
      <c r="E2709" s="17">
        <v>7.98</v>
      </c>
      <c r="F2709" s="16">
        <v>0.04</v>
      </c>
      <c r="G2709" s="15" t="s">
        <v>32</v>
      </c>
      <c r="H2709" s="18">
        <v>-3.93</v>
      </c>
      <c r="I2709" s="19">
        <v>3.29</v>
      </c>
      <c r="J2709" s="19">
        <v>1.35</v>
      </c>
      <c r="K2709" s="19" t="s">
        <v>124</v>
      </c>
      <c r="L2709" s="19" t="s">
        <v>160</v>
      </c>
      <c r="M2709" s="15" t="s">
        <v>1906</v>
      </c>
      <c r="N2709" s="15" t="s">
        <v>36</v>
      </c>
      <c r="O2709" s="15" t="s">
        <v>105</v>
      </c>
      <c r="P2709" s="20" t="s">
        <v>866</v>
      </c>
      <c r="Q2709" s="15" t="s">
        <v>79</v>
      </c>
      <c r="R2709" s="4"/>
      <c r="S2709" s="4"/>
    </row>
    <row r="2710" spans="1:19" ht="21" customHeight="1" x14ac:dyDescent="0.25">
      <c r="A2710" s="14">
        <f>DATE(2012,12,31)-991</f>
        <v>40283</v>
      </c>
      <c r="B2710" s="15" t="s">
        <v>1449</v>
      </c>
      <c r="C2710" s="15" t="s">
        <v>51</v>
      </c>
      <c r="D2710" s="16">
        <v>31</v>
      </c>
      <c r="E2710" s="17">
        <v>260.77</v>
      </c>
      <c r="F2710" s="16">
        <v>0.01</v>
      </c>
      <c r="G2710" s="15" t="s">
        <v>32</v>
      </c>
      <c r="H2710" s="18">
        <v>-8.75</v>
      </c>
      <c r="I2710" s="19">
        <v>8.34</v>
      </c>
      <c r="J2710" s="19">
        <v>4.82</v>
      </c>
      <c r="K2710" s="19" t="s">
        <v>124</v>
      </c>
      <c r="L2710" s="19" t="s">
        <v>493</v>
      </c>
      <c r="M2710" s="15" t="s">
        <v>1927</v>
      </c>
      <c r="N2710" s="15" t="s">
        <v>36</v>
      </c>
      <c r="O2710" s="15" t="s">
        <v>117</v>
      </c>
      <c r="P2710" s="20" t="s">
        <v>514</v>
      </c>
      <c r="Q2710" s="15" t="s">
        <v>83</v>
      </c>
      <c r="R2710" s="4"/>
      <c r="S2710" s="4"/>
    </row>
    <row r="2711" spans="1:19" ht="21" customHeight="1" x14ac:dyDescent="0.25">
      <c r="A2711" s="14">
        <f>DATE(2012,12,31)-991</f>
        <v>40283</v>
      </c>
      <c r="B2711" s="15" t="s">
        <v>1449</v>
      </c>
      <c r="C2711" s="15" t="s">
        <v>51</v>
      </c>
      <c r="D2711" s="16">
        <v>18</v>
      </c>
      <c r="E2711" s="17">
        <v>2445.212</v>
      </c>
      <c r="F2711" s="16">
        <v>0.02</v>
      </c>
      <c r="G2711" s="15" t="s">
        <v>101</v>
      </c>
      <c r="H2711" s="18">
        <v>275.76900000000001</v>
      </c>
      <c r="I2711" s="19">
        <v>155.99</v>
      </c>
      <c r="J2711" s="19">
        <v>8.99</v>
      </c>
      <c r="K2711" s="19" t="s">
        <v>124</v>
      </c>
      <c r="L2711" s="19" t="s">
        <v>164</v>
      </c>
      <c r="M2711" s="15" t="s">
        <v>1228</v>
      </c>
      <c r="N2711" s="15" t="s">
        <v>64</v>
      </c>
      <c r="O2711" s="15" t="s">
        <v>65</v>
      </c>
      <c r="P2711" s="20" t="s">
        <v>82</v>
      </c>
      <c r="Q2711" s="15" t="s">
        <v>83</v>
      </c>
      <c r="R2711" s="4"/>
      <c r="S2711" s="4"/>
    </row>
    <row r="2712" spans="1:19" ht="21" customHeight="1" x14ac:dyDescent="0.25">
      <c r="A2712" s="14">
        <f>DATE(2012,12,31)-991</f>
        <v>40283</v>
      </c>
      <c r="B2712" s="15" t="s">
        <v>1449</v>
      </c>
      <c r="C2712" s="15" t="s">
        <v>51</v>
      </c>
      <c r="D2712" s="16">
        <v>14</v>
      </c>
      <c r="E2712" s="17">
        <v>1032.0274999999999</v>
      </c>
      <c r="F2712" s="16">
        <v>7.0000000000000007E-2</v>
      </c>
      <c r="G2712" s="15" t="s">
        <v>101</v>
      </c>
      <c r="H2712" s="18">
        <v>97.397999999999996</v>
      </c>
      <c r="I2712" s="19">
        <v>85.99</v>
      </c>
      <c r="J2712" s="19">
        <v>0.99</v>
      </c>
      <c r="K2712" s="19" t="s">
        <v>124</v>
      </c>
      <c r="L2712" s="19" t="s">
        <v>164</v>
      </c>
      <c r="M2712" s="15" t="s">
        <v>1228</v>
      </c>
      <c r="N2712" s="15" t="s">
        <v>64</v>
      </c>
      <c r="O2712" s="15" t="s">
        <v>65</v>
      </c>
      <c r="P2712" s="20" t="s">
        <v>1595</v>
      </c>
      <c r="Q2712" s="15" t="s">
        <v>79</v>
      </c>
      <c r="R2712" s="4"/>
      <c r="S2712" s="4"/>
    </row>
    <row r="2713" spans="1:19" ht="21" customHeight="1" x14ac:dyDescent="0.25">
      <c r="A2713" s="14">
        <f>DATE(2012,12,31)-1355</f>
        <v>39919</v>
      </c>
      <c r="B2713" s="15" t="s">
        <v>144</v>
      </c>
      <c r="C2713" s="15" t="s">
        <v>85</v>
      </c>
      <c r="D2713" s="16">
        <v>6</v>
      </c>
      <c r="E2713" s="17">
        <v>14535.8</v>
      </c>
      <c r="F2713" s="16">
        <v>0.05</v>
      </c>
      <c r="G2713" s="15" t="s">
        <v>58</v>
      </c>
      <c r="H2713" s="18">
        <v>-3971.0627999999997</v>
      </c>
      <c r="I2713" s="19">
        <v>2550.14</v>
      </c>
      <c r="J2713" s="19">
        <v>29.7</v>
      </c>
      <c r="K2713" s="19" t="s">
        <v>124</v>
      </c>
      <c r="L2713" s="19" t="s">
        <v>164</v>
      </c>
      <c r="M2713" s="15" t="s">
        <v>1228</v>
      </c>
      <c r="N2713" s="15" t="s">
        <v>64</v>
      </c>
      <c r="O2713" s="15" t="s">
        <v>122</v>
      </c>
      <c r="P2713" s="20" t="s">
        <v>731</v>
      </c>
      <c r="Q2713" s="15" t="s">
        <v>181</v>
      </c>
      <c r="R2713" s="4"/>
      <c r="S2713" s="4"/>
    </row>
    <row r="2714" spans="1:19" ht="21" customHeight="1" x14ac:dyDescent="0.25">
      <c r="A2714" s="14">
        <f>DATE(2012,12,31)-60</f>
        <v>41214</v>
      </c>
      <c r="B2714" s="15" t="s">
        <v>1338</v>
      </c>
      <c r="C2714" s="15" t="s">
        <v>43</v>
      </c>
      <c r="D2714" s="16">
        <v>36</v>
      </c>
      <c r="E2714" s="17">
        <v>70.63</v>
      </c>
      <c r="F2714" s="16">
        <v>0.1</v>
      </c>
      <c r="G2714" s="15" t="s">
        <v>32</v>
      </c>
      <c r="H2714" s="18">
        <v>-66.87</v>
      </c>
      <c r="I2714" s="19">
        <v>2.08</v>
      </c>
      <c r="J2714" s="19">
        <v>2.56</v>
      </c>
      <c r="K2714" s="19" t="s">
        <v>124</v>
      </c>
      <c r="L2714" s="19" t="s">
        <v>164</v>
      </c>
      <c r="M2714" s="15" t="s">
        <v>1228</v>
      </c>
      <c r="N2714" s="15" t="s">
        <v>36</v>
      </c>
      <c r="O2714" s="15" t="s">
        <v>47</v>
      </c>
      <c r="P2714" s="20" t="s">
        <v>48</v>
      </c>
      <c r="Q2714" s="15" t="s">
        <v>49</v>
      </c>
      <c r="R2714" s="4"/>
      <c r="S2714" s="4"/>
    </row>
    <row r="2715" spans="1:19" ht="21" customHeight="1" x14ac:dyDescent="0.25">
      <c r="A2715" s="14">
        <f>DATE(2012,12,31)-375</f>
        <v>40899</v>
      </c>
      <c r="B2715" s="15" t="s">
        <v>1713</v>
      </c>
      <c r="C2715" s="15" t="s">
        <v>51</v>
      </c>
      <c r="D2715" s="16">
        <v>3</v>
      </c>
      <c r="E2715" s="17">
        <v>92.31</v>
      </c>
      <c r="F2715" s="16">
        <v>0</v>
      </c>
      <c r="G2715" s="15" t="s">
        <v>32</v>
      </c>
      <c r="H2715" s="18">
        <v>-28.95</v>
      </c>
      <c r="I2715" s="19">
        <v>28.15</v>
      </c>
      <c r="J2715" s="19">
        <v>6.17</v>
      </c>
      <c r="K2715" s="19" t="s">
        <v>124</v>
      </c>
      <c r="L2715" s="19" t="s">
        <v>319</v>
      </c>
      <c r="M2715" s="15" t="s">
        <v>1711</v>
      </c>
      <c r="N2715" s="15" t="s">
        <v>36</v>
      </c>
      <c r="O2715" s="15" t="s">
        <v>77</v>
      </c>
      <c r="P2715" s="20" t="s">
        <v>608</v>
      </c>
      <c r="Q2715" s="15" t="s">
        <v>49</v>
      </c>
      <c r="R2715" s="4"/>
      <c r="S2715" s="4"/>
    </row>
    <row r="2716" spans="1:19" ht="21" customHeight="1" x14ac:dyDescent="0.25">
      <c r="A2716" s="14">
        <f>DATE(2012,12,31)-375</f>
        <v>40899</v>
      </c>
      <c r="B2716" s="15" t="s">
        <v>1713</v>
      </c>
      <c r="C2716" s="15" t="s">
        <v>51</v>
      </c>
      <c r="D2716" s="16">
        <v>42</v>
      </c>
      <c r="E2716" s="17">
        <v>116.94</v>
      </c>
      <c r="F2716" s="16">
        <v>0.06</v>
      </c>
      <c r="G2716" s="15" t="s">
        <v>101</v>
      </c>
      <c r="H2716" s="18">
        <v>-10.01</v>
      </c>
      <c r="I2716" s="19">
        <v>2.78</v>
      </c>
      <c r="J2716" s="19">
        <v>1.25</v>
      </c>
      <c r="K2716" s="19" t="s">
        <v>124</v>
      </c>
      <c r="L2716" s="19" t="s">
        <v>319</v>
      </c>
      <c r="M2716" s="15" t="s">
        <v>1711</v>
      </c>
      <c r="N2716" s="15" t="s">
        <v>36</v>
      </c>
      <c r="O2716" s="15" t="s">
        <v>77</v>
      </c>
      <c r="P2716" s="20" t="s">
        <v>822</v>
      </c>
      <c r="Q2716" s="15" t="s">
        <v>79</v>
      </c>
      <c r="R2716" s="4"/>
      <c r="S2716" s="4"/>
    </row>
    <row r="2717" spans="1:19" ht="21" customHeight="1" x14ac:dyDescent="0.25">
      <c r="A2717" s="14">
        <f>DATE(2012,12,31)-346</f>
        <v>40928</v>
      </c>
      <c r="B2717" s="15" t="s">
        <v>903</v>
      </c>
      <c r="C2717" s="15" t="s">
        <v>31</v>
      </c>
      <c r="D2717" s="16">
        <v>38</v>
      </c>
      <c r="E2717" s="17">
        <v>952.47</v>
      </c>
      <c r="F2717" s="16">
        <v>0.03</v>
      </c>
      <c r="G2717" s="15" t="s">
        <v>32</v>
      </c>
      <c r="H2717" s="18">
        <v>270.69</v>
      </c>
      <c r="I2717" s="19">
        <v>23.99</v>
      </c>
      <c r="J2717" s="19">
        <v>6.3</v>
      </c>
      <c r="K2717" s="19" t="s">
        <v>44</v>
      </c>
      <c r="L2717" s="19" t="s">
        <v>52</v>
      </c>
      <c r="M2717" s="15" t="s">
        <v>1685</v>
      </c>
      <c r="N2717" s="15" t="s">
        <v>64</v>
      </c>
      <c r="O2717" s="15" t="s">
        <v>122</v>
      </c>
      <c r="P2717" s="20" t="s">
        <v>1205</v>
      </c>
      <c r="Q2717" s="15" t="s">
        <v>57</v>
      </c>
      <c r="R2717" s="4"/>
      <c r="S2717" s="4"/>
    </row>
    <row r="2718" spans="1:19" ht="21" customHeight="1" x14ac:dyDescent="0.25">
      <c r="A2718" s="14">
        <f>DATE(2012,12,31)-346</f>
        <v>40928</v>
      </c>
      <c r="B2718" s="15" t="s">
        <v>903</v>
      </c>
      <c r="C2718" s="15" t="s">
        <v>31</v>
      </c>
      <c r="D2718" s="16">
        <v>3</v>
      </c>
      <c r="E2718" s="17">
        <v>171.96350000000001</v>
      </c>
      <c r="F2718" s="16">
        <v>7.0000000000000007E-2</v>
      </c>
      <c r="G2718" s="15" t="s">
        <v>32</v>
      </c>
      <c r="H2718" s="18">
        <v>-296.37299999999999</v>
      </c>
      <c r="I2718" s="19">
        <v>65.989999999999995</v>
      </c>
      <c r="J2718" s="19">
        <v>8.99</v>
      </c>
      <c r="K2718" s="19" t="s">
        <v>44</v>
      </c>
      <c r="L2718" s="19" t="s">
        <v>236</v>
      </c>
      <c r="M2718" s="15" t="s">
        <v>1887</v>
      </c>
      <c r="N2718" s="15" t="s">
        <v>64</v>
      </c>
      <c r="O2718" s="15" t="s">
        <v>65</v>
      </c>
      <c r="P2718" s="20" t="s">
        <v>1408</v>
      </c>
      <c r="Q2718" s="15" t="s">
        <v>83</v>
      </c>
      <c r="R2718" s="4"/>
      <c r="S2718" s="4"/>
    </row>
    <row r="2719" spans="1:19" ht="21" customHeight="1" x14ac:dyDescent="0.25">
      <c r="A2719" s="14">
        <f>DATE(2012,12,31)-481</f>
        <v>40793</v>
      </c>
      <c r="B2719" s="15" t="s">
        <v>1334</v>
      </c>
      <c r="C2719" s="15" t="s">
        <v>85</v>
      </c>
      <c r="D2719" s="16">
        <v>20</v>
      </c>
      <c r="E2719" s="17">
        <v>67.03</v>
      </c>
      <c r="F2719" s="16">
        <v>0.04</v>
      </c>
      <c r="G2719" s="15" t="s">
        <v>32</v>
      </c>
      <c r="H2719" s="18">
        <v>-30.4</v>
      </c>
      <c r="I2719" s="19">
        <v>3.14</v>
      </c>
      <c r="J2719" s="19">
        <v>1.92</v>
      </c>
      <c r="K2719" s="19" t="s">
        <v>44</v>
      </c>
      <c r="L2719" s="19" t="s">
        <v>52</v>
      </c>
      <c r="M2719" s="15" t="s">
        <v>1685</v>
      </c>
      <c r="N2719" s="15" t="s">
        <v>36</v>
      </c>
      <c r="O2719" s="15" t="s">
        <v>47</v>
      </c>
      <c r="P2719" s="20" t="s">
        <v>148</v>
      </c>
      <c r="Q2719" s="15" t="s">
        <v>79</v>
      </c>
      <c r="R2719" s="4"/>
      <c r="S2719" s="4"/>
    </row>
    <row r="2720" spans="1:19" ht="21" customHeight="1" x14ac:dyDescent="0.25">
      <c r="A2720" s="14">
        <f>DATE(2012,12,31)-481</f>
        <v>40793</v>
      </c>
      <c r="B2720" s="15" t="s">
        <v>1334</v>
      </c>
      <c r="C2720" s="15" t="s">
        <v>85</v>
      </c>
      <c r="D2720" s="16">
        <v>15</v>
      </c>
      <c r="E2720" s="17">
        <v>140.82</v>
      </c>
      <c r="F2720" s="16">
        <v>0.08</v>
      </c>
      <c r="G2720" s="15" t="s">
        <v>101</v>
      </c>
      <c r="H2720" s="18">
        <v>-43.26</v>
      </c>
      <c r="I2720" s="19">
        <v>7.98</v>
      </c>
      <c r="J2720" s="19">
        <v>6.5</v>
      </c>
      <c r="K2720" s="19" t="s">
        <v>44</v>
      </c>
      <c r="L2720" s="19" t="s">
        <v>52</v>
      </c>
      <c r="M2720" s="15" t="s">
        <v>1685</v>
      </c>
      <c r="N2720" s="15" t="s">
        <v>36</v>
      </c>
      <c r="O2720" s="15" t="s">
        <v>37</v>
      </c>
      <c r="P2720" s="20" t="s">
        <v>984</v>
      </c>
      <c r="Q2720" s="15" t="s">
        <v>57</v>
      </c>
      <c r="R2720" s="4"/>
      <c r="S2720" s="4"/>
    </row>
    <row r="2721" spans="1:19" ht="21" customHeight="1" x14ac:dyDescent="0.25">
      <c r="A2721" s="14">
        <f>DATE(2012,12,31)-607</f>
        <v>40667</v>
      </c>
      <c r="B2721" s="15" t="s">
        <v>435</v>
      </c>
      <c r="C2721" s="15" t="s">
        <v>51</v>
      </c>
      <c r="D2721" s="16">
        <v>25</v>
      </c>
      <c r="E2721" s="17">
        <v>375.74</v>
      </c>
      <c r="F2721" s="16">
        <v>0.05</v>
      </c>
      <c r="G2721" s="15" t="s">
        <v>101</v>
      </c>
      <c r="H2721" s="18">
        <v>-9.31</v>
      </c>
      <c r="I2721" s="19">
        <v>14.42</v>
      </c>
      <c r="J2721" s="19">
        <v>6.75</v>
      </c>
      <c r="K2721" s="19" t="s">
        <v>44</v>
      </c>
      <c r="L2721" s="19" t="s">
        <v>52</v>
      </c>
      <c r="M2721" s="15" t="s">
        <v>1685</v>
      </c>
      <c r="N2721" s="15" t="s">
        <v>36</v>
      </c>
      <c r="O2721" s="15" t="s">
        <v>176</v>
      </c>
      <c r="P2721" s="20" t="s">
        <v>411</v>
      </c>
      <c r="Q2721" s="15" t="s">
        <v>57</v>
      </c>
      <c r="R2721" s="4"/>
      <c r="S2721" s="4"/>
    </row>
    <row r="2722" spans="1:19" ht="21" customHeight="1" x14ac:dyDescent="0.25">
      <c r="A2722" s="14">
        <f>DATE(2012,12,31)-607</f>
        <v>40667</v>
      </c>
      <c r="B2722" s="15" t="s">
        <v>435</v>
      </c>
      <c r="C2722" s="15" t="s">
        <v>51</v>
      </c>
      <c r="D2722" s="16">
        <v>36</v>
      </c>
      <c r="E2722" s="17">
        <v>1095.1099999999999</v>
      </c>
      <c r="F2722" s="16">
        <v>0.1</v>
      </c>
      <c r="G2722" s="15" t="s">
        <v>58</v>
      </c>
      <c r="H2722" s="18">
        <v>-1286.43</v>
      </c>
      <c r="I2722" s="19">
        <v>31.76</v>
      </c>
      <c r="J2722" s="19">
        <v>45.51</v>
      </c>
      <c r="K2722" s="19" t="s">
        <v>44</v>
      </c>
      <c r="L2722" s="19" t="s">
        <v>236</v>
      </c>
      <c r="M2722" s="15" t="s">
        <v>1887</v>
      </c>
      <c r="N2722" s="15" t="s">
        <v>54</v>
      </c>
      <c r="O2722" s="15" t="s">
        <v>61</v>
      </c>
      <c r="P2722" s="20" t="s">
        <v>542</v>
      </c>
      <c r="Q2722" s="15" t="s">
        <v>63</v>
      </c>
      <c r="R2722" s="4"/>
      <c r="S2722" s="4"/>
    </row>
    <row r="2723" spans="1:19" ht="21" customHeight="1" x14ac:dyDescent="0.25">
      <c r="A2723" s="14">
        <f>DATE(2012,12,31)-212</f>
        <v>41062</v>
      </c>
      <c r="B2723" s="15" t="s">
        <v>1343</v>
      </c>
      <c r="C2723" s="15" t="s">
        <v>85</v>
      </c>
      <c r="D2723" s="16">
        <v>28</v>
      </c>
      <c r="E2723" s="17">
        <v>2711.14</v>
      </c>
      <c r="F2723" s="16">
        <v>0.01</v>
      </c>
      <c r="G2723" s="15" t="s">
        <v>58</v>
      </c>
      <c r="H2723" s="18">
        <v>-307.86</v>
      </c>
      <c r="I2723" s="19">
        <v>89.99</v>
      </c>
      <c r="J2723" s="19">
        <v>42</v>
      </c>
      <c r="K2723" s="19" t="s">
        <v>44</v>
      </c>
      <c r="L2723" s="19" t="s">
        <v>52</v>
      </c>
      <c r="M2723" s="15" t="s">
        <v>1685</v>
      </c>
      <c r="N2723" s="15" t="s">
        <v>54</v>
      </c>
      <c r="O2723" s="15" t="s">
        <v>252</v>
      </c>
      <c r="P2723" s="20" t="s">
        <v>848</v>
      </c>
      <c r="Q2723" s="15" t="s">
        <v>181</v>
      </c>
      <c r="R2723" s="4"/>
      <c r="S2723" s="4"/>
    </row>
    <row r="2724" spans="1:19" ht="21" customHeight="1" x14ac:dyDescent="0.25">
      <c r="A2724" s="14">
        <f>DATE(2012,12,31)-212</f>
        <v>41062</v>
      </c>
      <c r="B2724" s="15" t="s">
        <v>1343</v>
      </c>
      <c r="C2724" s="15" t="s">
        <v>85</v>
      </c>
      <c r="D2724" s="16">
        <v>34</v>
      </c>
      <c r="E2724" s="17">
        <v>1829.8715</v>
      </c>
      <c r="F2724" s="16">
        <v>0.05</v>
      </c>
      <c r="G2724" s="15" t="s">
        <v>32</v>
      </c>
      <c r="H2724" s="18">
        <v>367.46100000000001</v>
      </c>
      <c r="I2724" s="19">
        <v>65.989999999999995</v>
      </c>
      <c r="J2724" s="19">
        <v>3.99</v>
      </c>
      <c r="K2724" s="19" t="s">
        <v>44</v>
      </c>
      <c r="L2724" s="19" t="s">
        <v>236</v>
      </c>
      <c r="M2724" s="15" t="s">
        <v>1887</v>
      </c>
      <c r="N2724" s="15" t="s">
        <v>64</v>
      </c>
      <c r="O2724" s="15" t="s">
        <v>65</v>
      </c>
      <c r="P2724" s="20" t="s">
        <v>1775</v>
      </c>
      <c r="Q2724" s="15" t="s">
        <v>83</v>
      </c>
      <c r="R2724" s="4"/>
      <c r="S2724" s="4"/>
    </row>
    <row r="2725" spans="1:19" ht="21" customHeight="1" x14ac:dyDescent="0.25">
      <c r="A2725" s="14">
        <f>DATE(2012,12,31)-111</f>
        <v>41163</v>
      </c>
      <c r="B2725" s="15" t="s">
        <v>342</v>
      </c>
      <c r="C2725" s="15" t="s">
        <v>43</v>
      </c>
      <c r="D2725" s="16">
        <v>34</v>
      </c>
      <c r="E2725" s="17">
        <v>125.46</v>
      </c>
      <c r="F2725" s="16">
        <v>7.0000000000000007E-2</v>
      </c>
      <c r="G2725" s="15" t="s">
        <v>32</v>
      </c>
      <c r="H2725" s="18">
        <v>-129.62799999999999</v>
      </c>
      <c r="I2725" s="19">
        <v>3.58</v>
      </c>
      <c r="J2725" s="19">
        <v>5.47</v>
      </c>
      <c r="K2725" s="19" t="s">
        <v>44</v>
      </c>
      <c r="L2725" s="19" t="s">
        <v>236</v>
      </c>
      <c r="M2725" s="15" t="s">
        <v>1887</v>
      </c>
      <c r="N2725" s="15" t="s">
        <v>36</v>
      </c>
      <c r="O2725" s="15" t="s">
        <v>170</v>
      </c>
      <c r="P2725" s="20" t="s">
        <v>297</v>
      </c>
      <c r="Q2725" s="15" t="s">
        <v>83</v>
      </c>
      <c r="R2725" s="4"/>
      <c r="S2725" s="4"/>
    </row>
    <row r="2726" spans="1:19" ht="21" customHeight="1" x14ac:dyDescent="0.25">
      <c r="A2726" s="14">
        <f>DATE(2012,12,31)-722</f>
        <v>40552</v>
      </c>
      <c r="B2726" s="15" t="s">
        <v>1929</v>
      </c>
      <c r="C2726" s="15" t="s">
        <v>51</v>
      </c>
      <c r="D2726" s="16">
        <v>8</v>
      </c>
      <c r="E2726" s="17">
        <v>381.69</v>
      </c>
      <c r="F2726" s="16">
        <v>0.04</v>
      </c>
      <c r="G2726" s="15" t="s">
        <v>32</v>
      </c>
      <c r="H2726" s="18">
        <v>256.18</v>
      </c>
      <c r="I2726" s="19">
        <v>46.94</v>
      </c>
      <c r="J2726" s="19">
        <v>6.77</v>
      </c>
      <c r="K2726" s="19" t="s">
        <v>44</v>
      </c>
      <c r="L2726" s="19" t="s">
        <v>52</v>
      </c>
      <c r="M2726" s="15" t="s">
        <v>1685</v>
      </c>
      <c r="N2726" s="15" t="s">
        <v>54</v>
      </c>
      <c r="O2726" s="15" t="s">
        <v>55</v>
      </c>
      <c r="P2726" s="20" t="s">
        <v>1428</v>
      </c>
      <c r="Q2726" s="15" t="s">
        <v>83</v>
      </c>
      <c r="R2726" s="4"/>
      <c r="S2726" s="4"/>
    </row>
    <row r="2727" spans="1:19" ht="21" customHeight="1" x14ac:dyDescent="0.25">
      <c r="A2727" s="14">
        <f>DATE(2012,12,31)-1450</f>
        <v>39824</v>
      </c>
      <c r="B2727" s="15" t="s">
        <v>655</v>
      </c>
      <c r="C2727" s="15" t="s">
        <v>51</v>
      </c>
      <c r="D2727" s="16">
        <v>31</v>
      </c>
      <c r="E2727" s="17">
        <v>1143.45</v>
      </c>
      <c r="F2727" s="16">
        <v>0.06</v>
      </c>
      <c r="G2727" s="15" t="s">
        <v>32</v>
      </c>
      <c r="H2727" s="18">
        <v>304.42</v>
      </c>
      <c r="I2727" s="19">
        <v>39.24</v>
      </c>
      <c r="J2727" s="19">
        <v>1.99</v>
      </c>
      <c r="K2727" s="19" t="s">
        <v>44</v>
      </c>
      <c r="L2727" s="19" t="s">
        <v>52</v>
      </c>
      <c r="M2727" s="15" t="s">
        <v>1685</v>
      </c>
      <c r="N2727" s="15" t="s">
        <v>64</v>
      </c>
      <c r="O2727" s="15" t="s">
        <v>72</v>
      </c>
      <c r="P2727" s="20" t="s">
        <v>1930</v>
      </c>
      <c r="Q2727" s="15" t="s">
        <v>49</v>
      </c>
      <c r="R2727" s="4"/>
      <c r="S2727" s="4"/>
    </row>
    <row r="2728" spans="1:19" ht="21" customHeight="1" x14ac:dyDescent="0.25">
      <c r="A2728" s="14">
        <f>DATE(2012,12,31)-869</f>
        <v>40405</v>
      </c>
      <c r="B2728" s="15" t="s">
        <v>655</v>
      </c>
      <c r="C2728" s="15" t="s">
        <v>85</v>
      </c>
      <c r="D2728" s="16">
        <v>2</v>
      </c>
      <c r="E2728" s="17">
        <v>42.31</v>
      </c>
      <c r="F2728" s="16">
        <v>0.06</v>
      </c>
      <c r="G2728" s="15" t="s">
        <v>32</v>
      </c>
      <c r="H2728" s="18">
        <v>-53.078699999999998</v>
      </c>
      <c r="I2728" s="19">
        <v>17.98</v>
      </c>
      <c r="J2728" s="19">
        <v>8.51</v>
      </c>
      <c r="K2728" s="19" t="s">
        <v>44</v>
      </c>
      <c r="L2728" s="19" t="s">
        <v>52</v>
      </c>
      <c r="M2728" s="15" t="s">
        <v>1685</v>
      </c>
      <c r="N2728" s="15" t="s">
        <v>64</v>
      </c>
      <c r="O2728" s="15" t="s">
        <v>122</v>
      </c>
      <c r="P2728" s="20" t="s">
        <v>1357</v>
      </c>
      <c r="Q2728" s="15" t="s">
        <v>57</v>
      </c>
      <c r="R2728" s="4"/>
      <c r="S2728" s="4"/>
    </row>
    <row r="2729" spans="1:19" ht="21" customHeight="1" x14ac:dyDescent="0.25">
      <c r="A2729" s="14">
        <f>DATE(2012,12,31)-869</f>
        <v>40405</v>
      </c>
      <c r="B2729" s="15" t="s">
        <v>655</v>
      </c>
      <c r="C2729" s="15" t="s">
        <v>85</v>
      </c>
      <c r="D2729" s="16">
        <v>11</v>
      </c>
      <c r="E2729" s="17">
        <v>152.66999999999999</v>
      </c>
      <c r="F2729" s="16">
        <v>0.04</v>
      </c>
      <c r="G2729" s="15" t="s">
        <v>32</v>
      </c>
      <c r="H2729" s="18">
        <v>12.7585</v>
      </c>
      <c r="I2729" s="19">
        <v>12.95</v>
      </c>
      <c r="J2729" s="19">
        <v>4.9800000000000004</v>
      </c>
      <c r="K2729" s="19" t="s">
        <v>44</v>
      </c>
      <c r="L2729" s="19" t="s">
        <v>52</v>
      </c>
      <c r="M2729" s="15" t="s">
        <v>1685</v>
      </c>
      <c r="N2729" s="15" t="s">
        <v>36</v>
      </c>
      <c r="O2729" s="15" t="s">
        <v>170</v>
      </c>
      <c r="P2729" s="20" t="s">
        <v>289</v>
      </c>
      <c r="Q2729" s="15" t="s">
        <v>83</v>
      </c>
      <c r="R2729" s="4"/>
      <c r="S2729" s="4"/>
    </row>
    <row r="2730" spans="1:19" ht="21" customHeight="1" x14ac:dyDescent="0.25">
      <c r="A2730" s="14">
        <f>DATE(2012,12,31)-871</f>
        <v>40403</v>
      </c>
      <c r="B2730" s="15" t="s">
        <v>1660</v>
      </c>
      <c r="C2730" s="15" t="s">
        <v>85</v>
      </c>
      <c r="D2730" s="16">
        <v>33</v>
      </c>
      <c r="E2730" s="17">
        <v>47.99</v>
      </c>
      <c r="F2730" s="16">
        <v>0.06</v>
      </c>
      <c r="G2730" s="15" t="s">
        <v>32</v>
      </c>
      <c r="H2730" s="18">
        <v>3.86</v>
      </c>
      <c r="I2730" s="19">
        <v>1.48</v>
      </c>
      <c r="J2730" s="19">
        <v>0.7</v>
      </c>
      <c r="K2730" s="19" t="s">
        <v>44</v>
      </c>
      <c r="L2730" s="19" t="s">
        <v>52</v>
      </c>
      <c r="M2730" s="15" t="s">
        <v>1685</v>
      </c>
      <c r="N2730" s="15" t="s">
        <v>36</v>
      </c>
      <c r="O2730" s="15" t="s">
        <v>105</v>
      </c>
      <c r="P2730" s="20" t="s">
        <v>1165</v>
      </c>
      <c r="Q2730" s="15" t="s">
        <v>79</v>
      </c>
      <c r="R2730" s="4"/>
      <c r="S2730" s="4"/>
    </row>
    <row r="2731" spans="1:19" ht="21" customHeight="1" x14ac:dyDescent="0.25">
      <c r="A2731" s="14">
        <f>DATE(2012,12,31)-871</f>
        <v>40403</v>
      </c>
      <c r="B2731" s="15" t="s">
        <v>1660</v>
      </c>
      <c r="C2731" s="15" t="s">
        <v>85</v>
      </c>
      <c r="D2731" s="16">
        <v>23</v>
      </c>
      <c r="E2731" s="17">
        <v>829.61699999999996</v>
      </c>
      <c r="F2731" s="16">
        <v>0.1</v>
      </c>
      <c r="G2731" s="15" t="s">
        <v>32</v>
      </c>
      <c r="H2731" s="18">
        <v>25.533000000000001</v>
      </c>
      <c r="I2731" s="19">
        <v>45.99</v>
      </c>
      <c r="J2731" s="19">
        <v>4.99</v>
      </c>
      <c r="K2731" s="19" t="s">
        <v>69</v>
      </c>
      <c r="L2731" s="19" t="s">
        <v>215</v>
      </c>
      <c r="M2731" s="15" t="s">
        <v>1704</v>
      </c>
      <c r="N2731" s="15" t="s">
        <v>64</v>
      </c>
      <c r="O2731" s="15" t="s">
        <v>65</v>
      </c>
      <c r="P2731" s="20" t="s">
        <v>1539</v>
      </c>
      <c r="Q2731" s="15" t="s">
        <v>83</v>
      </c>
      <c r="R2731" s="4"/>
      <c r="S2731" s="4"/>
    </row>
    <row r="2732" spans="1:19" ht="21" customHeight="1" x14ac:dyDescent="0.25">
      <c r="A2732" s="14">
        <f>DATE(2012,12,31)-1189</f>
        <v>40085</v>
      </c>
      <c r="B2732" s="15" t="s">
        <v>1931</v>
      </c>
      <c r="C2732" s="15" t="s">
        <v>31</v>
      </c>
      <c r="D2732" s="16">
        <v>5</v>
      </c>
      <c r="E2732" s="17">
        <v>616.10550000000001</v>
      </c>
      <c r="F2732" s="16">
        <v>0.03</v>
      </c>
      <c r="G2732" s="15" t="s">
        <v>32</v>
      </c>
      <c r="H2732" s="18">
        <v>-458.74400000000003</v>
      </c>
      <c r="I2732" s="19">
        <v>140.99</v>
      </c>
      <c r="J2732" s="19">
        <v>4.2</v>
      </c>
      <c r="K2732" s="19" t="s">
        <v>69</v>
      </c>
      <c r="L2732" s="19" t="s">
        <v>70</v>
      </c>
      <c r="M2732" s="15" t="s">
        <v>1895</v>
      </c>
      <c r="N2732" s="15" t="s">
        <v>64</v>
      </c>
      <c r="O2732" s="15" t="s">
        <v>65</v>
      </c>
      <c r="P2732" s="20" t="s">
        <v>184</v>
      </c>
      <c r="Q2732" s="15" t="s">
        <v>83</v>
      </c>
      <c r="R2732" s="4"/>
      <c r="S2732" s="4"/>
    </row>
    <row r="2733" spans="1:19" ht="21" customHeight="1" x14ac:dyDescent="0.25">
      <c r="A2733" s="14">
        <f>DATE(2012,12,31)-190</f>
        <v>41084</v>
      </c>
      <c r="B2733" s="15" t="s">
        <v>516</v>
      </c>
      <c r="C2733" s="15" t="s">
        <v>31</v>
      </c>
      <c r="D2733" s="16">
        <v>6</v>
      </c>
      <c r="E2733" s="17">
        <v>89.75</v>
      </c>
      <c r="F2733" s="16">
        <v>0.03</v>
      </c>
      <c r="G2733" s="15" t="s">
        <v>32</v>
      </c>
      <c r="H2733" s="18">
        <v>-38.288699999999999</v>
      </c>
      <c r="I2733" s="19">
        <v>13.99</v>
      </c>
      <c r="J2733" s="19">
        <v>7.51</v>
      </c>
      <c r="K2733" s="19" t="s">
        <v>69</v>
      </c>
      <c r="L2733" s="19" t="s">
        <v>70</v>
      </c>
      <c r="M2733" s="15" t="s">
        <v>1895</v>
      </c>
      <c r="N2733" s="15" t="s">
        <v>64</v>
      </c>
      <c r="O2733" s="15" t="s">
        <v>122</v>
      </c>
      <c r="P2733" s="20" t="s">
        <v>370</v>
      </c>
      <c r="Q2733" s="15" t="s">
        <v>57</v>
      </c>
      <c r="R2733" s="4"/>
      <c r="S2733" s="4"/>
    </row>
    <row r="2734" spans="1:19" ht="21" customHeight="1" x14ac:dyDescent="0.25">
      <c r="A2734" s="14">
        <f>DATE(2012,12,31)-1023</f>
        <v>40251</v>
      </c>
      <c r="B2734" s="15" t="s">
        <v>1189</v>
      </c>
      <c r="C2734" s="15" t="s">
        <v>85</v>
      </c>
      <c r="D2734" s="16">
        <v>41</v>
      </c>
      <c r="E2734" s="17">
        <v>478.38</v>
      </c>
      <c r="F2734" s="16">
        <v>0.09</v>
      </c>
      <c r="G2734" s="15" t="s">
        <v>32</v>
      </c>
      <c r="H2734" s="18">
        <v>-34.39</v>
      </c>
      <c r="I2734" s="19">
        <v>11.97</v>
      </c>
      <c r="J2734" s="19">
        <v>4.9800000000000004</v>
      </c>
      <c r="K2734" s="19" t="s">
        <v>44</v>
      </c>
      <c r="L2734" s="19" t="s">
        <v>89</v>
      </c>
      <c r="M2734" s="15" t="s">
        <v>1932</v>
      </c>
      <c r="N2734" s="15" t="s">
        <v>36</v>
      </c>
      <c r="O2734" s="15" t="s">
        <v>176</v>
      </c>
      <c r="P2734" s="20" t="s">
        <v>1735</v>
      </c>
      <c r="Q2734" s="15" t="s">
        <v>83</v>
      </c>
      <c r="R2734" s="4"/>
      <c r="S2734" s="4"/>
    </row>
    <row r="2735" spans="1:19" ht="21" customHeight="1" x14ac:dyDescent="0.25">
      <c r="A2735" s="14">
        <f>DATE(2012,12,31)-13</f>
        <v>41261</v>
      </c>
      <c r="B2735" s="15" t="s">
        <v>1933</v>
      </c>
      <c r="C2735" s="15" t="s">
        <v>51</v>
      </c>
      <c r="D2735" s="16">
        <v>25</v>
      </c>
      <c r="E2735" s="17">
        <v>1071.77</v>
      </c>
      <c r="F2735" s="16">
        <v>0.09</v>
      </c>
      <c r="G2735" s="15" t="s">
        <v>32</v>
      </c>
      <c r="H2735" s="18">
        <v>262.07</v>
      </c>
      <c r="I2735" s="19">
        <v>45.98</v>
      </c>
      <c r="J2735" s="19">
        <v>4.8</v>
      </c>
      <c r="K2735" s="19" t="s">
        <v>97</v>
      </c>
      <c r="L2735" s="19" t="s">
        <v>132</v>
      </c>
      <c r="M2735" s="15" t="s">
        <v>133</v>
      </c>
      <c r="N2735" s="15" t="s">
        <v>54</v>
      </c>
      <c r="O2735" s="15" t="s">
        <v>55</v>
      </c>
      <c r="P2735" s="20" t="s">
        <v>1296</v>
      </c>
      <c r="Q2735" s="15" t="s">
        <v>79</v>
      </c>
      <c r="R2735" s="4"/>
      <c r="S2735" s="4"/>
    </row>
    <row r="2736" spans="1:19" ht="21" customHeight="1" x14ac:dyDescent="0.25">
      <c r="A2736" s="14">
        <f>DATE(2012,12,31)-13</f>
        <v>41261</v>
      </c>
      <c r="B2736" s="15" t="s">
        <v>1933</v>
      </c>
      <c r="C2736" s="15" t="s">
        <v>51</v>
      </c>
      <c r="D2736" s="16">
        <v>29</v>
      </c>
      <c r="E2736" s="17">
        <v>8635.61</v>
      </c>
      <c r="F2736" s="16">
        <v>0.03</v>
      </c>
      <c r="G2736" s="15" t="s">
        <v>32</v>
      </c>
      <c r="H2736" s="18">
        <v>2733.04</v>
      </c>
      <c r="I2736" s="19">
        <v>300.97000000000003</v>
      </c>
      <c r="J2736" s="19">
        <v>7.18</v>
      </c>
      <c r="K2736" s="19" t="s">
        <v>124</v>
      </c>
      <c r="L2736" s="19" t="s">
        <v>160</v>
      </c>
      <c r="M2736" s="15" t="s">
        <v>1906</v>
      </c>
      <c r="N2736" s="15" t="s">
        <v>64</v>
      </c>
      <c r="O2736" s="15" t="s">
        <v>72</v>
      </c>
      <c r="P2736" s="20" t="s">
        <v>717</v>
      </c>
      <c r="Q2736" s="15" t="s">
        <v>83</v>
      </c>
      <c r="R2736" s="4"/>
      <c r="S2736" s="4"/>
    </row>
    <row r="2737" spans="1:19" ht="21" customHeight="1" x14ac:dyDescent="0.25">
      <c r="A2737" s="14">
        <f>DATE(2012,12,31)-13</f>
        <v>41261</v>
      </c>
      <c r="B2737" s="15" t="s">
        <v>1933</v>
      </c>
      <c r="C2737" s="15" t="s">
        <v>51</v>
      </c>
      <c r="D2737" s="16">
        <v>2</v>
      </c>
      <c r="E2737" s="17">
        <v>63.96</v>
      </c>
      <c r="F2737" s="16">
        <v>0</v>
      </c>
      <c r="G2737" s="15" t="s">
        <v>32</v>
      </c>
      <c r="H2737" s="18">
        <v>-119.36</v>
      </c>
      <c r="I2737" s="19">
        <v>29.89</v>
      </c>
      <c r="J2737" s="19">
        <v>1.99</v>
      </c>
      <c r="K2737" s="19" t="s">
        <v>44</v>
      </c>
      <c r="L2737" s="19" t="s">
        <v>236</v>
      </c>
      <c r="M2737" s="15" t="s">
        <v>1887</v>
      </c>
      <c r="N2737" s="15" t="s">
        <v>64</v>
      </c>
      <c r="O2737" s="15" t="s">
        <v>72</v>
      </c>
      <c r="P2737" s="20" t="s">
        <v>825</v>
      </c>
      <c r="Q2737" s="15" t="s">
        <v>49</v>
      </c>
      <c r="R2737" s="4"/>
      <c r="S2737" s="4"/>
    </row>
    <row r="2738" spans="1:19" ht="21" customHeight="1" x14ac:dyDescent="0.25">
      <c r="A2738" s="14">
        <f>DATE(2012,12,31)-13</f>
        <v>41261</v>
      </c>
      <c r="B2738" s="15" t="s">
        <v>1933</v>
      </c>
      <c r="C2738" s="15" t="s">
        <v>51</v>
      </c>
      <c r="D2738" s="16">
        <v>50</v>
      </c>
      <c r="E2738" s="17">
        <v>833</v>
      </c>
      <c r="F2738" s="16">
        <v>0</v>
      </c>
      <c r="G2738" s="15" t="s">
        <v>32</v>
      </c>
      <c r="H2738" s="18">
        <v>436.53</v>
      </c>
      <c r="I2738" s="19">
        <v>15.57</v>
      </c>
      <c r="J2738" s="19">
        <v>1.39</v>
      </c>
      <c r="K2738" s="19" t="s">
        <v>33</v>
      </c>
      <c r="L2738" s="19" t="s">
        <v>34</v>
      </c>
      <c r="M2738" s="15" t="s">
        <v>1915</v>
      </c>
      <c r="N2738" s="15" t="s">
        <v>36</v>
      </c>
      <c r="O2738" s="15" t="s">
        <v>189</v>
      </c>
      <c r="P2738" s="20" t="s">
        <v>802</v>
      </c>
      <c r="Q2738" s="15" t="s">
        <v>83</v>
      </c>
      <c r="R2738" s="4"/>
      <c r="S2738" s="4"/>
    </row>
    <row r="2739" spans="1:19" ht="21" customHeight="1" x14ac:dyDescent="0.25">
      <c r="A2739" s="14">
        <f>DATE(2012,12,31)-880</f>
        <v>40394</v>
      </c>
      <c r="B2739" s="15" t="s">
        <v>742</v>
      </c>
      <c r="C2739" s="15" t="s">
        <v>43</v>
      </c>
      <c r="D2739" s="16">
        <v>6</v>
      </c>
      <c r="E2739" s="17">
        <v>124.65</v>
      </c>
      <c r="F2739" s="16">
        <v>0.01</v>
      </c>
      <c r="G2739" s="15" t="s">
        <v>32</v>
      </c>
      <c r="H2739" s="18">
        <v>13.34</v>
      </c>
      <c r="I2739" s="19">
        <v>18.97</v>
      </c>
      <c r="J2739" s="19">
        <v>5.21</v>
      </c>
      <c r="K2739" s="19" t="s">
        <v>33</v>
      </c>
      <c r="L2739" s="19" t="s">
        <v>59</v>
      </c>
      <c r="M2739" s="15" t="s">
        <v>1361</v>
      </c>
      <c r="N2739" s="15" t="s">
        <v>36</v>
      </c>
      <c r="O2739" s="15" t="s">
        <v>117</v>
      </c>
      <c r="P2739" s="20" t="s">
        <v>1437</v>
      </c>
      <c r="Q2739" s="15" t="s">
        <v>83</v>
      </c>
      <c r="R2739" s="4"/>
      <c r="S2739" s="4"/>
    </row>
    <row r="2740" spans="1:19" ht="21" customHeight="1" x14ac:dyDescent="0.25">
      <c r="A2740" s="14">
        <f>DATE(2012,12,31)-73</f>
        <v>41201</v>
      </c>
      <c r="B2740" s="15" t="s">
        <v>116</v>
      </c>
      <c r="C2740" s="15" t="s">
        <v>43</v>
      </c>
      <c r="D2740" s="16">
        <v>22</v>
      </c>
      <c r="E2740" s="17">
        <v>321.91000000000003</v>
      </c>
      <c r="F2740" s="16">
        <v>0.06</v>
      </c>
      <c r="G2740" s="15" t="s">
        <v>32</v>
      </c>
      <c r="H2740" s="18">
        <v>-24.954999999999998</v>
      </c>
      <c r="I2740" s="19">
        <v>15.01</v>
      </c>
      <c r="J2740" s="19">
        <v>8.4</v>
      </c>
      <c r="K2740" s="19" t="s">
        <v>69</v>
      </c>
      <c r="L2740" s="19" t="s">
        <v>70</v>
      </c>
      <c r="M2740" s="15" t="s">
        <v>1895</v>
      </c>
      <c r="N2740" s="15" t="s">
        <v>36</v>
      </c>
      <c r="O2740" s="15" t="s">
        <v>170</v>
      </c>
      <c r="P2740" s="20" t="s">
        <v>1304</v>
      </c>
      <c r="Q2740" s="15" t="s">
        <v>83</v>
      </c>
      <c r="R2740" s="4"/>
      <c r="S2740" s="4"/>
    </row>
    <row r="2741" spans="1:19" ht="21" customHeight="1" x14ac:dyDescent="0.25">
      <c r="A2741" s="14">
        <f>DATE(2012,12,31)-73</f>
        <v>41201</v>
      </c>
      <c r="B2741" s="15" t="s">
        <v>116</v>
      </c>
      <c r="C2741" s="15" t="s">
        <v>43</v>
      </c>
      <c r="D2741" s="16">
        <v>2</v>
      </c>
      <c r="E2741" s="17">
        <v>132.96</v>
      </c>
      <c r="F2741" s="16">
        <v>0.05</v>
      </c>
      <c r="G2741" s="15" t="s">
        <v>32</v>
      </c>
      <c r="H2741" s="18">
        <v>-61.881500000000003</v>
      </c>
      <c r="I2741" s="19">
        <v>59.78</v>
      </c>
      <c r="J2741" s="19">
        <v>10.29</v>
      </c>
      <c r="K2741" s="19" t="s">
        <v>33</v>
      </c>
      <c r="L2741" s="19" t="s">
        <v>93</v>
      </c>
      <c r="M2741" s="15" t="s">
        <v>94</v>
      </c>
      <c r="N2741" s="15" t="s">
        <v>36</v>
      </c>
      <c r="O2741" s="15" t="s">
        <v>170</v>
      </c>
      <c r="P2741" s="20" t="s">
        <v>1335</v>
      </c>
      <c r="Q2741" s="15" t="s">
        <v>83</v>
      </c>
      <c r="R2741" s="4"/>
      <c r="S2741" s="4"/>
    </row>
    <row r="2742" spans="1:19" ht="21" customHeight="1" x14ac:dyDescent="0.25">
      <c r="A2742" s="14">
        <f>DATE(2012,12,31)-73</f>
        <v>41201</v>
      </c>
      <c r="B2742" s="15" t="s">
        <v>116</v>
      </c>
      <c r="C2742" s="15" t="s">
        <v>43</v>
      </c>
      <c r="D2742" s="16">
        <v>24</v>
      </c>
      <c r="E2742" s="17">
        <v>3268.7514999999999</v>
      </c>
      <c r="F2742" s="16">
        <v>0.04</v>
      </c>
      <c r="G2742" s="15" t="s">
        <v>32</v>
      </c>
      <c r="H2742" s="18">
        <v>562.91399999999999</v>
      </c>
      <c r="I2742" s="19">
        <v>155.99</v>
      </c>
      <c r="J2742" s="19">
        <v>8.08</v>
      </c>
      <c r="K2742" s="19" t="s">
        <v>124</v>
      </c>
      <c r="L2742" s="19" t="s">
        <v>160</v>
      </c>
      <c r="M2742" s="15" t="s">
        <v>1906</v>
      </c>
      <c r="N2742" s="15" t="s">
        <v>64</v>
      </c>
      <c r="O2742" s="15" t="s">
        <v>65</v>
      </c>
      <c r="P2742" s="20" t="s">
        <v>1934</v>
      </c>
      <c r="Q2742" s="15" t="s">
        <v>83</v>
      </c>
      <c r="R2742" s="4"/>
      <c r="S2742" s="4"/>
    </row>
    <row r="2743" spans="1:19" ht="21" customHeight="1" x14ac:dyDescent="0.25">
      <c r="A2743" s="14">
        <f>DATE(2012,12,31)-74</f>
        <v>41200</v>
      </c>
      <c r="B2743" s="15" t="s">
        <v>1207</v>
      </c>
      <c r="C2743" s="15" t="s">
        <v>31</v>
      </c>
      <c r="D2743" s="16">
        <v>18</v>
      </c>
      <c r="E2743" s="17">
        <v>33.21</v>
      </c>
      <c r="F2743" s="16">
        <v>0.06</v>
      </c>
      <c r="G2743" s="15" t="s">
        <v>32</v>
      </c>
      <c r="H2743" s="18">
        <v>-0.85</v>
      </c>
      <c r="I2743" s="19">
        <v>1.81</v>
      </c>
      <c r="J2743" s="19">
        <v>0.75</v>
      </c>
      <c r="K2743" s="19" t="s">
        <v>124</v>
      </c>
      <c r="L2743" s="19" t="s">
        <v>160</v>
      </c>
      <c r="M2743" s="15" t="s">
        <v>1906</v>
      </c>
      <c r="N2743" s="15" t="s">
        <v>36</v>
      </c>
      <c r="O2743" s="15" t="s">
        <v>105</v>
      </c>
      <c r="P2743" s="20" t="s">
        <v>1195</v>
      </c>
      <c r="Q2743" s="15" t="s">
        <v>79</v>
      </c>
      <c r="R2743" s="4"/>
      <c r="S2743" s="4"/>
    </row>
    <row r="2744" spans="1:19" ht="21" customHeight="1" x14ac:dyDescent="0.25">
      <c r="A2744" s="14">
        <f>DATE(2012,12,31)-511</f>
        <v>40763</v>
      </c>
      <c r="B2744" s="15" t="s">
        <v>1935</v>
      </c>
      <c r="C2744" s="15" t="s">
        <v>31</v>
      </c>
      <c r="D2744" s="16">
        <v>49</v>
      </c>
      <c r="E2744" s="17">
        <v>450.66</v>
      </c>
      <c r="F2744" s="16">
        <v>0.01</v>
      </c>
      <c r="G2744" s="15" t="s">
        <v>101</v>
      </c>
      <c r="H2744" s="18">
        <v>-115.1</v>
      </c>
      <c r="I2744" s="19">
        <v>8.57</v>
      </c>
      <c r="J2744" s="19">
        <v>6.14</v>
      </c>
      <c r="K2744" s="19" t="s">
        <v>124</v>
      </c>
      <c r="L2744" s="19" t="s">
        <v>164</v>
      </c>
      <c r="M2744" s="15" t="s">
        <v>1228</v>
      </c>
      <c r="N2744" s="15" t="s">
        <v>36</v>
      </c>
      <c r="O2744" s="15" t="s">
        <v>47</v>
      </c>
      <c r="P2744" s="20" t="s">
        <v>1727</v>
      </c>
      <c r="Q2744" s="15" t="s">
        <v>49</v>
      </c>
      <c r="R2744" s="4"/>
      <c r="S2744" s="4"/>
    </row>
    <row r="2745" spans="1:19" ht="21" customHeight="1" x14ac:dyDescent="0.25">
      <c r="A2745" s="14">
        <f>DATE(2012,12,31)-1004</f>
        <v>40270</v>
      </c>
      <c r="B2745" s="15" t="s">
        <v>1295</v>
      </c>
      <c r="C2745" s="15" t="s">
        <v>31</v>
      </c>
      <c r="D2745" s="16">
        <v>3</v>
      </c>
      <c r="E2745" s="17">
        <v>1358.7760000000001</v>
      </c>
      <c r="F2745" s="16">
        <v>0.01</v>
      </c>
      <c r="G2745" s="15" t="s">
        <v>58</v>
      </c>
      <c r="H2745" s="18">
        <v>-163.19999999999999</v>
      </c>
      <c r="I2745" s="19">
        <v>550.98</v>
      </c>
      <c r="J2745" s="19">
        <v>45.7</v>
      </c>
      <c r="K2745" s="19" t="s">
        <v>124</v>
      </c>
      <c r="L2745" s="19" t="s">
        <v>164</v>
      </c>
      <c r="M2745" s="15" t="s">
        <v>1228</v>
      </c>
      <c r="N2745" s="15" t="s">
        <v>54</v>
      </c>
      <c r="O2745" s="15" t="s">
        <v>61</v>
      </c>
      <c r="P2745" s="20" t="s">
        <v>1161</v>
      </c>
      <c r="Q2745" s="15" t="s">
        <v>63</v>
      </c>
      <c r="R2745" s="4"/>
      <c r="S2745" s="4"/>
    </row>
    <row r="2746" spans="1:19" ht="21" customHeight="1" x14ac:dyDescent="0.25">
      <c r="A2746" s="14">
        <f>DATE(2012,12,31)-1035</f>
        <v>40239</v>
      </c>
      <c r="B2746" s="15" t="s">
        <v>839</v>
      </c>
      <c r="C2746" s="15" t="s">
        <v>85</v>
      </c>
      <c r="D2746" s="16">
        <v>29</v>
      </c>
      <c r="E2746" s="17">
        <v>1098.5059999999999</v>
      </c>
      <c r="F2746" s="16">
        <v>0.05</v>
      </c>
      <c r="G2746" s="15" t="s">
        <v>32</v>
      </c>
      <c r="H2746" s="18">
        <v>218.727</v>
      </c>
      <c r="I2746" s="19">
        <v>45.99</v>
      </c>
      <c r="J2746" s="19">
        <v>2.5</v>
      </c>
      <c r="K2746" s="19" t="s">
        <v>44</v>
      </c>
      <c r="L2746" s="19" t="s">
        <v>52</v>
      </c>
      <c r="M2746" s="15" t="s">
        <v>1685</v>
      </c>
      <c r="N2746" s="15" t="s">
        <v>64</v>
      </c>
      <c r="O2746" s="15" t="s">
        <v>65</v>
      </c>
      <c r="P2746" s="20" t="s">
        <v>1936</v>
      </c>
      <c r="Q2746" s="15" t="s">
        <v>83</v>
      </c>
      <c r="R2746" s="4"/>
      <c r="S2746" s="4"/>
    </row>
    <row r="2747" spans="1:19" ht="21" customHeight="1" x14ac:dyDescent="0.25">
      <c r="A2747" s="14">
        <f>DATE(2012,12,31)-1012</f>
        <v>40262</v>
      </c>
      <c r="B2747" s="15" t="s">
        <v>346</v>
      </c>
      <c r="C2747" s="15" t="s">
        <v>43</v>
      </c>
      <c r="D2747" s="16">
        <v>33</v>
      </c>
      <c r="E2747" s="17">
        <v>167.07</v>
      </c>
      <c r="F2747" s="16">
        <v>0.03</v>
      </c>
      <c r="G2747" s="15" t="s">
        <v>32</v>
      </c>
      <c r="H2747" s="18">
        <v>-102.36</v>
      </c>
      <c r="I2747" s="19">
        <v>4.9800000000000004</v>
      </c>
      <c r="J2747" s="19">
        <v>6.07</v>
      </c>
      <c r="K2747" s="19" t="s">
        <v>33</v>
      </c>
      <c r="L2747" s="19" t="s">
        <v>59</v>
      </c>
      <c r="M2747" s="15" t="s">
        <v>1361</v>
      </c>
      <c r="N2747" s="15" t="s">
        <v>36</v>
      </c>
      <c r="O2747" s="15" t="s">
        <v>117</v>
      </c>
      <c r="P2747" s="20" t="s">
        <v>1506</v>
      </c>
      <c r="Q2747" s="15" t="s">
        <v>83</v>
      </c>
      <c r="R2747" s="4"/>
      <c r="S2747" s="4"/>
    </row>
    <row r="2748" spans="1:19" ht="21" customHeight="1" x14ac:dyDescent="0.25">
      <c r="A2748" s="14">
        <f>DATE(2012,12,31)-952</f>
        <v>40322</v>
      </c>
      <c r="B2748" s="15" t="s">
        <v>1483</v>
      </c>
      <c r="C2748" s="15" t="s">
        <v>85</v>
      </c>
      <c r="D2748" s="16">
        <v>25</v>
      </c>
      <c r="E2748" s="17">
        <v>8270.57</v>
      </c>
      <c r="F2748" s="16">
        <v>0.08</v>
      </c>
      <c r="G2748" s="15" t="s">
        <v>58</v>
      </c>
      <c r="H2748" s="18">
        <v>2851.46</v>
      </c>
      <c r="I2748" s="19">
        <v>400.97</v>
      </c>
      <c r="J2748" s="19">
        <v>48.26</v>
      </c>
      <c r="K2748" s="19" t="s">
        <v>111</v>
      </c>
      <c r="L2748" s="19" t="s">
        <v>258</v>
      </c>
      <c r="M2748" s="15" t="s">
        <v>259</v>
      </c>
      <c r="N2748" s="15" t="s">
        <v>64</v>
      </c>
      <c r="O2748" s="15" t="s">
        <v>122</v>
      </c>
      <c r="P2748" s="20" t="s">
        <v>1937</v>
      </c>
      <c r="Q2748" s="15" t="s">
        <v>63</v>
      </c>
      <c r="R2748" s="4"/>
      <c r="S2748" s="4"/>
    </row>
    <row r="2749" spans="1:19" ht="21" customHeight="1" x14ac:dyDescent="0.25">
      <c r="A2749" s="14">
        <f>DATE(2012,12,31)-736</f>
        <v>40538</v>
      </c>
      <c r="B2749" s="15" t="s">
        <v>529</v>
      </c>
      <c r="C2749" s="15" t="s">
        <v>31</v>
      </c>
      <c r="D2749" s="16">
        <v>17</v>
      </c>
      <c r="E2749" s="17">
        <v>213.06</v>
      </c>
      <c r="F2749" s="16">
        <v>0.03</v>
      </c>
      <c r="G2749" s="15" t="s">
        <v>32</v>
      </c>
      <c r="H2749" s="18">
        <v>-31.74</v>
      </c>
      <c r="I2749" s="19">
        <v>11.97</v>
      </c>
      <c r="J2749" s="19">
        <v>5.81</v>
      </c>
      <c r="K2749" s="19" t="s">
        <v>97</v>
      </c>
      <c r="L2749" s="19" t="s">
        <v>98</v>
      </c>
      <c r="M2749" s="15" t="s">
        <v>1162</v>
      </c>
      <c r="N2749" s="15" t="s">
        <v>36</v>
      </c>
      <c r="O2749" s="15" t="s">
        <v>77</v>
      </c>
      <c r="P2749" s="20" t="s">
        <v>467</v>
      </c>
      <c r="Q2749" s="15" t="s">
        <v>49</v>
      </c>
      <c r="R2749" s="4"/>
      <c r="S2749" s="4"/>
    </row>
    <row r="2750" spans="1:19" ht="21" customHeight="1" x14ac:dyDescent="0.25">
      <c r="A2750" s="14">
        <f>DATE(2012,12,31)-736</f>
        <v>40538</v>
      </c>
      <c r="B2750" s="15" t="s">
        <v>529</v>
      </c>
      <c r="C2750" s="15" t="s">
        <v>31</v>
      </c>
      <c r="D2750" s="16">
        <v>7</v>
      </c>
      <c r="E2750" s="17">
        <v>1126.4880000000001</v>
      </c>
      <c r="F2750" s="16">
        <v>0.08</v>
      </c>
      <c r="G2750" s="15" t="s">
        <v>32</v>
      </c>
      <c r="H2750" s="18">
        <v>-557.95299999999997</v>
      </c>
      <c r="I2750" s="19">
        <v>195.99</v>
      </c>
      <c r="J2750" s="19">
        <v>4.2</v>
      </c>
      <c r="K2750" s="19" t="s">
        <v>44</v>
      </c>
      <c r="L2750" s="19" t="s">
        <v>52</v>
      </c>
      <c r="M2750" s="15" t="s">
        <v>1685</v>
      </c>
      <c r="N2750" s="15" t="s">
        <v>64</v>
      </c>
      <c r="O2750" s="15" t="s">
        <v>65</v>
      </c>
      <c r="P2750" s="20" t="s">
        <v>1393</v>
      </c>
      <c r="Q2750" s="15" t="s">
        <v>83</v>
      </c>
      <c r="R2750" s="4"/>
      <c r="S2750" s="4"/>
    </row>
    <row r="2751" spans="1:19" ht="21" customHeight="1" x14ac:dyDescent="0.25">
      <c r="A2751" s="14">
        <f>DATE(2012,12,31)-736</f>
        <v>40538</v>
      </c>
      <c r="B2751" s="15" t="s">
        <v>529</v>
      </c>
      <c r="C2751" s="15" t="s">
        <v>31</v>
      </c>
      <c r="D2751" s="16">
        <v>43</v>
      </c>
      <c r="E2751" s="17">
        <v>4687.6734999999999</v>
      </c>
      <c r="F2751" s="16">
        <v>0.06</v>
      </c>
      <c r="G2751" s="15" t="s">
        <v>101</v>
      </c>
      <c r="H2751" s="18">
        <v>1304.559</v>
      </c>
      <c r="I2751" s="19">
        <v>125.99</v>
      </c>
      <c r="J2751" s="19">
        <v>8.08</v>
      </c>
      <c r="K2751" s="19" t="s">
        <v>33</v>
      </c>
      <c r="L2751" s="19" t="s">
        <v>34</v>
      </c>
      <c r="M2751" s="15" t="s">
        <v>1915</v>
      </c>
      <c r="N2751" s="15" t="s">
        <v>64</v>
      </c>
      <c r="O2751" s="15" t="s">
        <v>65</v>
      </c>
      <c r="P2751" s="20" t="s">
        <v>535</v>
      </c>
      <c r="Q2751" s="15" t="s">
        <v>83</v>
      </c>
      <c r="R2751" s="4"/>
      <c r="S2751" s="4"/>
    </row>
    <row r="2752" spans="1:19" ht="21" customHeight="1" x14ac:dyDescent="0.25">
      <c r="A2752" s="14">
        <f>DATE(2012,12,31)-886</f>
        <v>40388</v>
      </c>
      <c r="B2752" s="15" t="s">
        <v>333</v>
      </c>
      <c r="C2752" s="15" t="s">
        <v>85</v>
      </c>
      <c r="D2752" s="16">
        <v>33</v>
      </c>
      <c r="E2752" s="17">
        <v>4416.6509999999998</v>
      </c>
      <c r="F2752" s="16">
        <v>0.02</v>
      </c>
      <c r="G2752" s="15" t="s">
        <v>32</v>
      </c>
      <c r="H2752" s="18">
        <v>1020.4109999999999</v>
      </c>
      <c r="I2752" s="19">
        <v>155.99</v>
      </c>
      <c r="J2752" s="19">
        <v>8.99</v>
      </c>
      <c r="K2752" s="19" t="s">
        <v>33</v>
      </c>
      <c r="L2752" s="19" t="s">
        <v>145</v>
      </c>
      <c r="M2752" s="15" t="s">
        <v>1761</v>
      </c>
      <c r="N2752" s="15" t="s">
        <v>64</v>
      </c>
      <c r="O2752" s="15" t="s">
        <v>65</v>
      </c>
      <c r="P2752" s="20" t="s">
        <v>438</v>
      </c>
      <c r="Q2752" s="15" t="s">
        <v>83</v>
      </c>
      <c r="R2752" s="4"/>
      <c r="S2752" s="4"/>
    </row>
    <row r="2753" spans="1:19" ht="21" customHeight="1" x14ac:dyDescent="0.25">
      <c r="A2753" s="14">
        <f>DATE(2012,12,31)-206</f>
        <v>41068</v>
      </c>
      <c r="B2753" s="15" t="s">
        <v>1142</v>
      </c>
      <c r="C2753" s="15" t="s">
        <v>51</v>
      </c>
      <c r="D2753" s="16">
        <v>31</v>
      </c>
      <c r="E2753" s="17">
        <v>310.45999999999998</v>
      </c>
      <c r="F2753" s="16">
        <v>0</v>
      </c>
      <c r="G2753" s="15" t="s">
        <v>32</v>
      </c>
      <c r="H2753" s="18">
        <v>-182.52</v>
      </c>
      <c r="I2753" s="19">
        <v>9.7100000000000009</v>
      </c>
      <c r="J2753" s="19">
        <v>9.4499999999999993</v>
      </c>
      <c r="K2753" s="19" t="s">
        <v>33</v>
      </c>
      <c r="L2753" s="19" t="s">
        <v>145</v>
      </c>
      <c r="M2753" s="15" t="s">
        <v>1761</v>
      </c>
      <c r="N2753" s="15" t="s">
        <v>36</v>
      </c>
      <c r="O2753" s="15" t="s">
        <v>37</v>
      </c>
      <c r="P2753" s="20" t="s">
        <v>130</v>
      </c>
      <c r="Q2753" s="15" t="s">
        <v>83</v>
      </c>
      <c r="R2753" s="4"/>
      <c r="S2753" s="4"/>
    </row>
    <row r="2754" spans="1:19" ht="21" customHeight="1" x14ac:dyDescent="0.25">
      <c r="A2754" s="14">
        <f>DATE(2012,12,31)-141</f>
        <v>41133</v>
      </c>
      <c r="B2754" s="15" t="s">
        <v>167</v>
      </c>
      <c r="C2754" s="15" t="s">
        <v>85</v>
      </c>
      <c r="D2754" s="16">
        <v>20</v>
      </c>
      <c r="E2754" s="17">
        <v>82.97</v>
      </c>
      <c r="F2754" s="16">
        <v>0.04</v>
      </c>
      <c r="G2754" s="15" t="s">
        <v>32</v>
      </c>
      <c r="H2754" s="18">
        <v>32.5</v>
      </c>
      <c r="I2754" s="19">
        <v>4.13</v>
      </c>
      <c r="J2754" s="19">
        <v>0.5</v>
      </c>
      <c r="K2754" s="19" t="s">
        <v>44</v>
      </c>
      <c r="L2754" s="19" t="s">
        <v>120</v>
      </c>
      <c r="M2754" s="15" t="s">
        <v>121</v>
      </c>
      <c r="N2754" s="15" t="s">
        <v>36</v>
      </c>
      <c r="O2754" s="15" t="s">
        <v>114</v>
      </c>
      <c r="P2754" s="20" t="s">
        <v>653</v>
      </c>
      <c r="Q2754" s="15" t="s">
        <v>83</v>
      </c>
      <c r="R2754" s="4"/>
      <c r="S2754" s="4"/>
    </row>
    <row r="2755" spans="1:19" ht="21" customHeight="1" x14ac:dyDescent="0.25">
      <c r="A2755" s="14">
        <f>DATE(2012,12,31)-141</f>
        <v>41133</v>
      </c>
      <c r="B2755" s="15" t="s">
        <v>167</v>
      </c>
      <c r="C2755" s="15" t="s">
        <v>85</v>
      </c>
      <c r="D2755" s="16">
        <v>25</v>
      </c>
      <c r="E2755" s="17">
        <v>13701.35</v>
      </c>
      <c r="F2755" s="16">
        <v>0.01</v>
      </c>
      <c r="G2755" s="15" t="s">
        <v>58</v>
      </c>
      <c r="H2755" s="18">
        <v>-3687.6510000000003</v>
      </c>
      <c r="I2755" s="19">
        <v>550.98</v>
      </c>
      <c r="J2755" s="19">
        <v>64.59</v>
      </c>
      <c r="K2755" s="19" t="s">
        <v>44</v>
      </c>
      <c r="L2755" s="19" t="s">
        <v>89</v>
      </c>
      <c r="M2755" s="15" t="s">
        <v>1932</v>
      </c>
      <c r="N2755" s="15" t="s">
        <v>54</v>
      </c>
      <c r="O2755" s="15" t="s">
        <v>61</v>
      </c>
      <c r="P2755" s="20" t="s">
        <v>1557</v>
      </c>
      <c r="Q2755" s="15" t="s">
        <v>63</v>
      </c>
      <c r="R2755" s="4"/>
      <c r="S2755" s="4"/>
    </row>
    <row r="2756" spans="1:19" ht="21" customHeight="1" x14ac:dyDescent="0.25">
      <c r="A2756" s="14">
        <f>DATE(2012,12,31)-452</f>
        <v>40822</v>
      </c>
      <c r="B2756" s="15" t="s">
        <v>1938</v>
      </c>
      <c r="C2756" s="15" t="s">
        <v>51</v>
      </c>
      <c r="D2756" s="16">
        <v>43</v>
      </c>
      <c r="E2756" s="17">
        <v>1054.7</v>
      </c>
      <c r="F2756" s="16">
        <v>7.0000000000000007E-2</v>
      </c>
      <c r="G2756" s="15" t="s">
        <v>32</v>
      </c>
      <c r="H2756" s="18">
        <v>213.26</v>
      </c>
      <c r="I2756" s="19">
        <v>25.98</v>
      </c>
      <c r="J2756" s="19">
        <v>5.37</v>
      </c>
      <c r="K2756" s="19" t="s">
        <v>33</v>
      </c>
      <c r="L2756" s="19" t="s">
        <v>128</v>
      </c>
      <c r="M2756" s="15" t="s">
        <v>129</v>
      </c>
      <c r="N2756" s="15" t="s">
        <v>36</v>
      </c>
      <c r="O2756" s="15" t="s">
        <v>176</v>
      </c>
      <c r="P2756" s="20" t="s">
        <v>1120</v>
      </c>
      <c r="Q2756" s="15" t="s">
        <v>57</v>
      </c>
      <c r="R2756" s="4"/>
      <c r="S2756" s="4"/>
    </row>
    <row r="2757" spans="1:19" ht="21" customHeight="1" x14ac:dyDescent="0.25">
      <c r="A2757" s="14">
        <f>DATE(2012,12,31)-452</f>
        <v>40822</v>
      </c>
      <c r="B2757" s="15" t="s">
        <v>1938</v>
      </c>
      <c r="C2757" s="15" t="s">
        <v>51</v>
      </c>
      <c r="D2757" s="16">
        <v>38</v>
      </c>
      <c r="E2757" s="17">
        <v>5349.21</v>
      </c>
      <c r="F2757" s="16">
        <v>0.01</v>
      </c>
      <c r="G2757" s="15" t="s">
        <v>58</v>
      </c>
      <c r="H2757" s="18">
        <v>61.9</v>
      </c>
      <c r="I2757" s="19">
        <v>135.99</v>
      </c>
      <c r="J2757" s="19">
        <v>28.63</v>
      </c>
      <c r="K2757" s="19" t="s">
        <v>33</v>
      </c>
      <c r="L2757" s="19" t="s">
        <v>128</v>
      </c>
      <c r="M2757" s="15" t="s">
        <v>129</v>
      </c>
      <c r="N2757" s="15" t="s">
        <v>54</v>
      </c>
      <c r="O2757" s="15" t="s">
        <v>252</v>
      </c>
      <c r="P2757" s="20" t="s">
        <v>1301</v>
      </c>
      <c r="Q2757" s="15" t="s">
        <v>181</v>
      </c>
      <c r="R2757" s="4"/>
      <c r="S2757" s="4"/>
    </row>
    <row r="2758" spans="1:19" ht="21" customHeight="1" x14ac:dyDescent="0.25">
      <c r="A2758" s="14">
        <f>DATE(2012,12,31)-452</f>
        <v>40822</v>
      </c>
      <c r="B2758" s="15" t="s">
        <v>1938</v>
      </c>
      <c r="C2758" s="15" t="s">
        <v>51</v>
      </c>
      <c r="D2758" s="16">
        <v>39</v>
      </c>
      <c r="E2758" s="17">
        <v>4859.37</v>
      </c>
      <c r="F2758" s="16">
        <v>7.0000000000000007E-2</v>
      </c>
      <c r="G2758" s="15" t="s">
        <v>32</v>
      </c>
      <c r="H2758" s="18">
        <v>2472.3200000000002</v>
      </c>
      <c r="I2758" s="19">
        <v>150.97999999999999</v>
      </c>
      <c r="J2758" s="19">
        <v>13.99</v>
      </c>
      <c r="K2758" s="19" t="s">
        <v>97</v>
      </c>
      <c r="L2758" s="19" t="s">
        <v>98</v>
      </c>
      <c r="M2758" s="15" t="s">
        <v>1162</v>
      </c>
      <c r="N2758" s="15" t="s">
        <v>64</v>
      </c>
      <c r="O2758" s="15" t="s">
        <v>122</v>
      </c>
      <c r="P2758" s="20" t="s">
        <v>123</v>
      </c>
      <c r="Q2758" s="15" t="s">
        <v>57</v>
      </c>
      <c r="R2758" s="4"/>
      <c r="S2758" s="4"/>
    </row>
    <row r="2759" spans="1:19" ht="21" customHeight="1" x14ac:dyDescent="0.25">
      <c r="A2759" s="14">
        <f>DATE(2012,12,31)-48</f>
        <v>41226</v>
      </c>
      <c r="B2759" s="15" t="s">
        <v>198</v>
      </c>
      <c r="C2759" s="15" t="s">
        <v>85</v>
      </c>
      <c r="D2759" s="16">
        <v>19</v>
      </c>
      <c r="E2759" s="17">
        <v>36.75</v>
      </c>
      <c r="F2759" s="16">
        <v>0.06</v>
      </c>
      <c r="G2759" s="15" t="s">
        <v>32</v>
      </c>
      <c r="H2759" s="18">
        <v>-9.8209999999999997</v>
      </c>
      <c r="I2759" s="19">
        <v>1.88</v>
      </c>
      <c r="J2759" s="19">
        <v>1.49</v>
      </c>
      <c r="K2759" s="19" t="s">
        <v>97</v>
      </c>
      <c r="L2759" s="19" t="s">
        <v>283</v>
      </c>
      <c r="M2759" s="15" t="s">
        <v>1901</v>
      </c>
      <c r="N2759" s="15" t="s">
        <v>36</v>
      </c>
      <c r="O2759" s="15" t="s">
        <v>170</v>
      </c>
      <c r="P2759" s="20" t="s">
        <v>1353</v>
      </c>
      <c r="Q2759" s="15" t="s">
        <v>83</v>
      </c>
      <c r="R2759" s="4"/>
      <c r="S2759" s="4"/>
    </row>
    <row r="2760" spans="1:19" ht="21" customHeight="1" x14ac:dyDescent="0.25">
      <c r="A2760" s="14">
        <f>DATE(2012,12,31)-48</f>
        <v>41226</v>
      </c>
      <c r="B2760" s="15" t="s">
        <v>198</v>
      </c>
      <c r="C2760" s="15" t="s">
        <v>85</v>
      </c>
      <c r="D2760" s="16">
        <v>41</v>
      </c>
      <c r="E2760" s="17">
        <v>1115.2</v>
      </c>
      <c r="F2760" s="16">
        <v>0.09</v>
      </c>
      <c r="G2760" s="15" t="s">
        <v>32</v>
      </c>
      <c r="H2760" s="18">
        <v>301.31</v>
      </c>
      <c r="I2760" s="19">
        <v>29.89</v>
      </c>
      <c r="J2760" s="19">
        <v>1.99</v>
      </c>
      <c r="K2760" s="19" t="s">
        <v>44</v>
      </c>
      <c r="L2760" s="19" t="s">
        <v>52</v>
      </c>
      <c r="M2760" s="15" t="s">
        <v>1685</v>
      </c>
      <c r="N2760" s="15" t="s">
        <v>64</v>
      </c>
      <c r="O2760" s="15" t="s">
        <v>72</v>
      </c>
      <c r="P2760" s="20" t="s">
        <v>825</v>
      </c>
      <c r="Q2760" s="15" t="s">
        <v>49</v>
      </c>
      <c r="R2760" s="4"/>
      <c r="S2760" s="4"/>
    </row>
    <row r="2761" spans="1:19" ht="21" customHeight="1" x14ac:dyDescent="0.25">
      <c r="A2761" s="14">
        <f>DATE(2012,12,31)-1133</f>
        <v>40141</v>
      </c>
      <c r="B2761" s="15" t="s">
        <v>1939</v>
      </c>
      <c r="C2761" s="15" t="s">
        <v>85</v>
      </c>
      <c r="D2761" s="16">
        <v>16</v>
      </c>
      <c r="E2761" s="17">
        <v>1959.92</v>
      </c>
      <c r="F2761" s="16">
        <v>7.0000000000000007E-2</v>
      </c>
      <c r="G2761" s="15" t="s">
        <v>58</v>
      </c>
      <c r="H2761" s="18">
        <v>-374.96</v>
      </c>
      <c r="I2761" s="19">
        <v>124.49</v>
      </c>
      <c r="J2761" s="19">
        <v>51.94</v>
      </c>
      <c r="K2761" s="19" t="s">
        <v>69</v>
      </c>
      <c r="L2761" s="19" t="s">
        <v>70</v>
      </c>
      <c r="M2761" s="15" t="s">
        <v>1895</v>
      </c>
      <c r="N2761" s="15" t="s">
        <v>54</v>
      </c>
      <c r="O2761" s="15" t="s">
        <v>61</v>
      </c>
      <c r="P2761" s="20" t="s">
        <v>220</v>
      </c>
      <c r="Q2761" s="15" t="s">
        <v>63</v>
      </c>
      <c r="R2761" s="4"/>
      <c r="S2761" s="4"/>
    </row>
    <row r="2762" spans="1:19" ht="21" customHeight="1" x14ac:dyDescent="0.25">
      <c r="A2762" s="14">
        <f>DATE(2012,12,31)-198</f>
        <v>41076</v>
      </c>
      <c r="B2762" s="15" t="s">
        <v>932</v>
      </c>
      <c r="C2762" s="15" t="s">
        <v>85</v>
      </c>
      <c r="D2762" s="16">
        <v>6</v>
      </c>
      <c r="E2762" s="17">
        <v>97.86</v>
      </c>
      <c r="F2762" s="16">
        <v>0.04</v>
      </c>
      <c r="G2762" s="15" t="s">
        <v>32</v>
      </c>
      <c r="H2762" s="18">
        <v>-21.09</v>
      </c>
      <c r="I2762" s="19">
        <v>14.98</v>
      </c>
      <c r="J2762" s="19">
        <v>8.99</v>
      </c>
      <c r="K2762" s="19" t="s">
        <v>111</v>
      </c>
      <c r="L2762" s="19" t="s">
        <v>112</v>
      </c>
      <c r="M2762" s="15" t="s">
        <v>1917</v>
      </c>
      <c r="N2762" s="15" t="s">
        <v>54</v>
      </c>
      <c r="O2762" s="15" t="s">
        <v>55</v>
      </c>
      <c r="P2762" s="20" t="s">
        <v>719</v>
      </c>
      <c r="Q2762" s="15" t="s">
        <v>49</v>
      </c>
      <c r="R2762" s="4"/>
      <c r="S2762" s="4"/>
    </row>
    <row r="2763" spans="1:19" ht="21" customHeight="1" x14ac:dyDescent="0.25">
      <c r="A2763" s="14">
        <f>DATE(2012,12,31)-789</f>
        <v>40485</v>
      </c>
      <c r="B2763" s="15" t="s">
        <v>491</v>
      </c>
      <c r="C2763" s="15" t="s">
        <v>51</v>
      </c>
      <c r="D2763" s="16">
        <v>14</v>
      </c>
      <c r="E2763" s="17">
        <v>3830.84</v>
      </c>
      <c r="F2763" s="16">
        <v>0.1</v>
      </c>
      <c r="G2763" s="15" t="s">
        <v>58</v>
      </c>
      <c r="H2763" s="18">
        <v>635.33000000000004</v>
      </c>
      <c r="I2763" s="19">
        <v>279.81</v>
      </c>
      <c r="J2763" s="19">
        <v>23.19</v>
      </c>
      <c r="K2763" s="19" t="s">
        <v>44</v>
      </c>
      <c r="L2763" s="19" t="s">
        <v>89</v>
      </c>
      <c r="M2763" s="15" t="s">
        <v>1932</v>
      </c>
      <c r="N2763" s="15" t="s">
        <v>36</v>
      </c>
      <c r="O2763" s="15" t="s">
        <v>176</v>
      </c>
      <c r="P2763" s="20" t="s">
        <v>682</v>
      </c>
      <c r="Q2763" s="15" t="s">
        <v>181</v>
      </c>
      <c r="R2763" s="4"/>
      <c r="S2763" s="4"/>
    </row>
    <row r="2764" spans="1:19" ht="21" customHeight="1" x14ac:dyDescent="0.25">
      <c r="A2764" s="14">
        <f>DATE(2012,12,31)-789</f>
        <v>40485</v>
      </c>
      <c r="B2764" s="15" t="s">
        <v>491</v>
      </c>
      <c r="C2764" s="15" t="s">
        <v>51</v>
      </c>
      <c r="D2764" s="16">
        <v>22</v>
      </c>
      <c r="E2764" s="17">
        <v>267.43</v>
      </c>
      <c r="F2764" s="16">
        <v>7.0000000000000007E-2</v>
      </c>
      <c r="G2764" s="15" t="s">
        <v>32</v>
      </c>
      <c r="H2764" s="18">
        <v>-45.98</v>
      </c>
      <c r="I2764" s="19">
        <v>12.28</v>
      </c>
      <c r="J2764" s="19">
        <v>6.13</v>
      </c>
      <c r="K2764" s="19" t="s">
        <v>44</v>
      </c>
      <c r="L2764" s="19" t="s">
        <v>45</v>
      </c>
      <c r="M2764" s="15" t="s">
        <v>1768</v>
      </c>
      <c r="N2764" s="15" t="s">
        <v>36</v>
      </c>
      <c r="O2764" s="15" t="s">
        <v>37</v>
      </c>
      <c r="P2764" s="20" t="s">
        <v>1707</v>
      </c>
      <c r="Q2764" s="15" t="s">
        <v>83</v>
      </c>
      <c r="R2764" s="4"/>
      <c r="S2764" s="4"/>
    </row>
    <row r="2765" spans="1:19" ht="21" customHeight="1" x14ac:dyDescent="0.25">
      <c r="A2765" s="14">
        <f>DATE(2012,12,31)-1361</f>
        <v>39913</v>
      </c>
      <c r="B2765" s="15" t="s">
        <v>131</v>
      </c>
      <c r="C2765" s="15" t="s">
        <v>43</v>
      </c>
      <c r="D2765" s="16">
        <v>33</v>
      </c>
      <c r="E2765" s="17">
        <v>362.17</v>
      </c>
      <c r="F2765" s="16">
        <v>0.08</v>
      </c>
      <c r="G2765" s="15" t="s">
        <v>32</v>
      </c>
      <c r="H2765" s="18">
        <v>-83.96</v>
      </c>
      <c r="I2765" s="19">
        <v>11.7</v>
      </c>
      <c r="J2765" s="19">
        <v>6.96</v>
      </c>
      <c r="K2765" s="19" t="s">
        <v>124</v>
      </c>
      <c r="L2765" s="19" t="s">
        <v>160</v>
      </c>
      <c r="M2765" s="15" t="s">
        <v>1906</v>
      </c>
      <c r="N2765" s="15" t="s">
        <v>36</v>
      </c>
      <c r="O2765" s="15" t="s">
        <v>176</v>
      </c>
      <c r="P2765" s="20" t="s">
        <v>227</v>
      </c>
      <c r="Q2765" s="15" t="s">
        <v>57</v>
      </c>
      <c r="R2765" s="4"/>
      <c r="S2765" s="4"/>
    </row>
    <row r="2766" spans="1:19" ht="21" customHeight="1" x14ac:dyDescent="0.25">
      <c r="A2766" s="14">
        <f>DATE(2012,12,31)-141</f>
        <v>41133</v>
      </c>
      <c r="B2766" s="15" t="s">
        <v>1483</v>
      </c>
      <c r="C2766" s="15" t="s">
        <v>85</v>
      </c>
      <c r="D2766" s="16">
        <v>9</v>
      </c>
      <c r="E2766" s="17">
        <v>41.03</v>
      </c>
      <c r="F2766" s="16">
        <v>0.1</v>
      </c>
      <c r="G2766" s="15" t="s">
        <v>32</v>
      </c>
      <c r="H2766" s="18">
        <v>-30.47</v>
      </c>
      <c r="I2766" s="19">
        <v>4.7699999999999996</v>
      </c>
      <c r="J2766" s="19">
        <v>2.39</v>
      </c>
      <c r="K2766" s="19" t="s">
        <v>124</v>
      </c>
      <c r="L2766" s="19" t="s">
        <v>158</v>
      </c>
      <c r="M2766" s="15" t="s">
        <v>158</v>
      </c>
      <c r="N2766" s="15" t="s">
        <v>64</v>
      </c>
      <c r="O2766" s="15" t="s">
        <v>72</v>
      </c>
      <c r="P2766" s="20" t="s">
        <v>1328</v>
      </c>
      <c r="Q2766" s="15" t="s">
        <v>49</v>
      </c>
      <c r="R2766" s="4"/>
      <c r="S2766" s="4"/>
    </row>
    <row r="2767" spans="1:19" ht="21" customHeight="1" x14ac:dyDescent="0.25">
      <c r="A2767" s="14">
        <f>DATE(2012,12,31)-336</f>
        <v>40938</v>
      </c>
      <c r="B2767" s="15" t="s">
        <v>1940</v>
      </c>
      <c r="C2767" s="15" t="s">
        <v>85</v>
      </c>
      <c r="D2767" s="16">
        <v>39</v>
      </c>
      <c r="E2767" s="17">
        <v>796.08</v>
      </c>
      <c r="F2767" s="16">
        <v>0.05</v>
      </c>
      <c r="G2767" s="15" t="s">
        <v>32</v>
      </c>
      <c r="H2767" s="18">
        <v>30.29</v>
      </c>
      <c r="I2767" s="19">
        <v>19.98</v>
      </c>
      <c r="J2767" s="19">
        <v>4</v>
      </c>
      <c r="K2767" s="19" t="s">
        <v>33</v>
      </c>
      <c r="L2767" s="19" t="s">
        <v>59</v>
      </c>
      <c r="M2767" s="15" t="s">
        <v>1361</v>
      </c>
      <c r="N2767" s="15" t="s">
        <v>64</v>
      </c>
      <c r="O2767" s="15" t="s">
        <v>72</v>
      </c>
      <c r="P2767" s="20" t="s">
        <v>805</v>
      </c>
      <c r="Q2767" s="15" t="s">
        <v>83</v>
      </c>
      <c r="R2767" s="4"/>
      <c r="S2767" s="4"/>
    </row>
    <row r="2768" spans="1:19" ht="21" customHeight="1" x14ac:dyDescent="0.25">
      <c r="A2768" s="14">
        <f>DATE(2012,12,31)-336</f>
        <v>40938</v>
      </c>
      <c r="B2768" s="15" t="s">
        <v>1940</v>
      </c>
      <c r="C2768" s="15" t="s">
        <v>85</v>
      </c>
      <c r="D2768" s="16">
        <v>5</v>
      </c>
      <c r="E2768" s="17">
        <v>141.97550000000001</v>
      </c>
      <c r="F2768" s="16">
        <v>0.09</v>
      </c>
      <c r="G2768" s="15" t="s">
        <v>32</v>
      </c>
      <c r="H2768" s="18">
        <v>-88.935000000000002</v>
      </c>
      <c r="I2768" s="19">
        <v>35.99</v>
      </c>
      <c r="J2768" s="19">
        <v>0.99</v>
      </c>
      <c r="K2768" s="19" t="s">
        <v>33</v>
      </c>
      <c r="L2768" s="19" t="s">
        <v>34</v>
      </c>
      <c r="M2768" s="15" t="s">
        <v>1915</v>
      </c>
      <c r="N2768" s="15" t="s">
        <v>64</v>
      </c>
      <c r="O2768" s="15" t="s">
        <v>65</v>
      </c>
      <c r="P2768" s="20" t="s">
        <v>647</v>
      </c>
      <c r="Q2768" s="15" t="s">
        <v>49</v>
      </c>
      <c r="R2768" s="4"/>
      <c r="S2768" s="4"/>
    </row>
    <row r="2769" spans="1:19" ht="21" customHeight="1" x14ac:dyDescent="0.25">
      <c r="A2769" s="14">
        <f>DATE(2012,12,31)-1244</f>
        <v>40030</v>
      </c>
      <c r="B2769" s="15" t="s">
        <v>826</v>
      </c>
      <c r="C2769" s="15" t="s">
        <v>43</v>
      </c>
      <c r="D2769" s="16">
        <v>49</v>
      </c>
      <c r="E2769" s="17">
        <v>82.61</v>
      </c>
      <c r="F2769" s="16">
        <v>0.08</v>
      </c>
      <c r="G2769" s="15" t="s">
        <v>32</v>
      </c>
      <c r="H2769" s="18">
        <v>-46.25</v>
      </c>
      <c r="I2769" s="19">
        <v>1.68</v>
      </c>
      <c r="J2769" s="19">
        <v>1.57</v>
      </c>
      <c r="K2769" s="19" t="s">
        <v>33</v>
      </c>
      <c r="L2769" s="19" t="s">
        <v>145</v>
      </c>
      <c r="M2769" s="15" t="s">
        <v>1761</v>
      </c>
      <c r="N2769" s="15" t="s">
        <v>36</v>
      </c>
      <c r="O2769" s="15" t="s">
        <v>77</v>
      </c>
      <c r="P2769" s="20" t="s">
        <v>838</v>
      </c>
      <c r="Q2769" s="15" t="s">
        <v>79</v>
      </c>
      <c r="R2769" s="4"/>
      <c r="S2769" s="4"/>
    </row>
    <row r="2770" spans="1:19" ht="21" customHeight="1" x14ac:dyDescent="0.25">
      <c r="A2770" s="14">
        <f>DATE(2012,12,31)-56</f>
        <v>41218</v>
      </c>
      <c r="B2770" s="15" t="s">
        <v>767</v>
      </c>
      <c r="C2770" s="15" t="s">
        <v>85</v>
      </c>
      <c r="D2770" s="16">
        <v>8</v>
      </c>
      <c r="E2770" s="17">
        <v>137.38</v>
      </c>
      <c r="F2770" s="16">
        <v>0.06</v>
      </c>
      <c r="G2770" s="15" t="s">
        <v>32</v>
      </c>
      <c r="H2770" s="18">
        <v>-11.39</v>
      </c>
      <c r="I2770" s="19">
        <v>17.48</v>
      </c>
      <c r="J2770" s="19">
        <v>1.99</v>
      </c>
      <c r="K2770" s="19" t="s">
        <v>33</v>
      </c>
      <c r="L2770" s="19" t="s">
        <v>34</v>
      </c>
      <c r="M2770" s="15" t="s">
        <v>1915</v>
      </c>
      <c r="N2770" s="15" t="s">
        <v>64</v>
      </c>
      <c r="O2770" s="15" t="s">
        <v>72</v>
      </c>
      <c r="P2770" s="20" t="s">
        <v>1262</v>
      </c>
      <c r="Q2770" s="15" t="s">
        <v>49</v>
      </c>
      <c r="R2770" s="4"/>
      <c r="S2770" s="4"/>
    </row>
    <row r="2771" spans="1:19" ht="21" customHeight="1" x14ac:dyDescent="0.25">
      <c r="A2771" s="14">
        <f>DATE(2012,12,31)-955</f>
        <v>40319</v>
      </c>
      <c r="B2771" s="15" t="s">
        <v>903</v>
      </c>
      <c r="C2771" s="15" t="s">
        <v>85</v>
      </c>
      <c r="D2771" s="16">
        <v>5</v>
      </c>
      <c r="E2771" s="17">
        <v>2543.9499999999998</v>
      </c>
      <c r="F2771" s="16">
        <v>0.04</v>
      </c>
      <c r="G2771" s="15" t="s">
        <v>32</v>
      </c>
      <c r="H2771" s="18">
        <v>-1011.32</v>
      </c>
      <c r="I2771" s="19">
        <v>499.99</v>
      </c>
      <c r="J2771" s="19">
        <v>24.49</v>
      </c>
      <c r="K2771" s="19" t="s">
        <v>33</v>
      </c>
      <c r="L2771" s="19" t="s">
        <v>59</v>
      </c>
      <c r="M2771" s="15" t="s">
        <v>1361</v>
      </c>
      <c r="N2771" s="15" t="s">
        <v>64</v>
      </c>
      <c r="O2771" s="15" t="s">
        <v>460</v>
      </c>
      <c r="P2771" s="20" t="s">
        <v>1118</v>
      </c>
      <c r="Q2771" s="15" t="s">
        <v>39</v>
      </c>
      <c r="R2771" s="4"/>
      <c r="S2771" s="4"/>
    </row>
    <row r="2772" spans="1:19" ht="21" customHeight="1" x14ac:dyDescent="0.25">
      <c r="A2772" s="14">
        <f>DATE(2012,12,31)-757</f>
        <v>40517</v>
      </c>
      <c r="B2772" s="15" t="s">
        <v>1781</v>
      </c>
      <c r="C2772" s="15" t="s">
        <v>43</v>
      </c>
      <c r="D2772" s="16">
        <v>28</v>
      </c>
      <c r="E2772" s="17">
        <v>4371.92</v>
      </c>
      <c r="F2772" s="16">
        <v>0.03</v>
      </c>
      <c r="G2772" s="15" t="s">
        <v>58</v>
      </c>
      <c r="H2772" s="18">
        <v>-533.44000000000005</v>
      </c>
      <c r="I2772" s="19">
        <v>150.97999999999999</v>
      </c>
      <c r="J2772" s="19">
        <v>66.27</v>
      </c>
      <c r="K2772" s="19" t="s">
        <v>33</v>
      </c>
      <c r="L2772" s="19" t="s">
        <v>59</v>
      </c>
      <c r="M2772" s="15" t="s">
        <v>1941</v>
      </c>
      <c r="N2772" s="15" t="s">
        <v>54</v>
      </c>
      <c r="O2772" s="15" t="s">
        <v>134</v>
      </c>
      <c r="P2772" s="20" t="s">
        <v>1113</v>
      </c>
      <c r="Q2772" s="15" t="s">
        <v>63</v>
      </c>
      <c r="R2772" s="4"/>
      <c r="S2772" s="4"/>
    </row>
    <row r="2773" spans="1:19" ht="21" customHeight="1" x14ac:dyDescent="0.25">
      <c r="A2773" s="14">
        <f>DATE(2012,12,31)-757</f>
        <v>40517</v>
      </c>
      <c r="B2773" s="15" t="s">
        <v>1781</v>
      </c>
      <c r="C2773" s="15" t="s">
        <v>43</v>
      </c>
      <c r="D2773" s="16">
        <v>21</v>
      </c>
      <c r="E2773" s="17">
        <v>1745.1179999999999</v>
      </c>
      <c r="F2773" s="16">
        <v>0.03</v>
      </c>
      <c r="G2773" s="15" t="s">
        <v>32</v>
      </c>
      <c r="H2773" s="18">
        <v>307.25099999999998</v>
      </c>
      <c r="I2773" s="19">
        <v>95.99</v>
      </c>
      <c r="J2773" s="19">
        <v>4.9000000000000004</v>
      </c>
      <c r="K2773" s="19" t="s">
        <v>33</v>
      </c>
      <c r="L2773" s="19" t="s">
        <v>59</v>
      </c>
      <c r="M2773" s="15" t="s">
        <v>1941</v>
      </c>
      <c r="N2773" s="15" t="s">
        <v>64</v>
      </c>
      <c r="O2773" s="15" t="s">
        <v>65</v>
      </c>
      <c r="P2773" s="20" t="s">
        <v>477</v>
      </c>
      <c r="Q2773" s="15" t="s">
        <v>83</v>
      </c>
      <c r="R2773" s="4"/>
      <c r="S2773" s="4"/>
    </row>
    <row r="2774" spans="1:19" ht="21" customHeight="1" x14ac:dyDescent="0.25">
      <c r="A2774" s="14">
        <f>DATE(2012,12,31)-757</f>
        <v>40517</v>
      </c>
      <c r="B2774" s="15" t="s">
        <v>1781</v>
      </c>
      <c r="C2774" s="15" t="s">
        <v>43</v>
      </c>
      <c r="D2774" s="16">
        <v>25</v>
      </c>
      <c r="E2774" s="17">
        <v>290.45999999999998</v>
      </c>
      <c r="F2774" s="16">
        <v>0.1</v>
      </c>
      <c r="G2774" s="15" t="s">
        <v>32</v>
      </c>
      <c r="H2774" s="18">
        <v>-31.55</v>
      </c>
      <c r="I2774" s="19">
        <v>11.97</v>
      </c>
      <c r="J2774" s="19">
        <v>4.9800000000000004</v>
      </c>
      <c r="K2774" s="19" t="s">
        <v>33</v>
      </c>
      <c r="L2774" s="19" t="s">
        <v>34</v>
      </c>
      <c r="M2774" s="15" t="s">
        <v>1915</v>
      </c>
      <c r="N2774" s="15" t="s">
        <v>36</v>
      </c>
      <c r="O2774" s="15" t="s">
        <v>176</v>
      </c>
      <c r="P2774" s="20" t="s">
        <v>1735</v>
      </c>
      <c r="Q2774" s="15" t="s">
        <v>83</v>
      </c>
      <c r="R2774" s="4"/>
      <c r="S2774" s="4"/>
    </row>
    <row r="2775" spans="1:19" ht="21" customHeight="1" x14ac:dyDescent="0.25">
      <c r="A2775" s="14">
        <f>DATE(2012,12,31)-757</f>
        <v>40517</v>
      </c>
      <c r="B2775" s="15" t="s">
        <v>1781</v>
      </c>
      <c r="C2775" s="15" t="s">
        <v>43</v>
      </c>
      <c r="D2775" s="16">
        <v>44</v>
      </c>
      <c r="E2775" s="17">
        <v>1207.4000000000001</v>
      </c>
      <c r="F2775" s="16">
        <v>0.03</v>
      </c>
      <c r="G2775" s="15" t="s">
        <v>32</v>
      </c>
      <c r="H2775" s="18">
        <v>-25.23</v>
      </c>
      <c r="I2775" s="19">
        <v>26.31</v>
      </c>
      <c r="J2775" s="19">
        <v>5.89</v>
      </c>
      <c r="K2775" s="19" t="s">
        <v>33</v>
      </c>
      <c r="L2775" s="19" t="s">
        <v>34</v>
      </c>
      <c r="M2775" s="15" t="s">
        <v>1915</v>
      </c>
      <c r="N2775" s="15" t="s">
        <v>64</v>
      </c>
      <c r="O2775" s="15" t="s">
        <v>72</v>
      </c>
      <c r="P2775" s="20" t="s">
        <v>1286</v>
      </c>
      <c r="Q2775" s="15" t="s">
        <v>83</v>
      </c>
      <c r="R2775" s="4"/>
      <c r="S2775" s="4"/>
    </row>
    <row r="2776" spans="1:19" ht="21" customHeight="1" x14ac:dyDescent="0.25">
      <c r="A2776" s="14">
        <f>DATE(2012,12,31)-1451</f>
        <v>39823</v>
      </c>
      <c r="B2776" s="15" t="s">
        <v>1276</v>
      </c>
      <c r="C2776" s="15" t="s">
        <v>31</v>
      </c>
      <c r="D2776" s="16">
        <v>35</v>
      </c>
      <c r="E2776" s="17">
        <v>1009.42</v>
      </c>
      <c r="F2776" s="16">
        <v>0.02</v>
      </c>
      <c r="G2776" s="15" t="s">
        <v>32</v>
      </c>
      <c r="H2776" s="18">
        <v>339.58</v>
      </c>
      <c r="I2776" s="19">
        <v>29.18</v>
      </c>
      <c r="J2776" s="19">
        <v>8.5500000000000007</v>
      </c>
      <c r="K2776" s="19" t="s">
        <v>69</v>
      </c>
      <c r="L2776" s="19" t="s">
        <v>75</v>
      </c>
      <c r="M2776" s="15" t="s">
        <v>1786</v>
      </c>
      <c r="N2776" s="15" t="s">
        <v>54</v>
      </c>
      <c r="O2776" s="15" t="s">
        <v>55</v>
      </c>
      <c r="P2776" s="20" t="s">
        <v>868</v>
      </c>
      <c r="Q2776" s="15" t="s">
        <v>83</v>
      </c>
      <c r="R2776" s="4"/>
      <c r="S2776" s="4"/>
    </row>
    <row r="2777" spans="1:19" ht="21" customHeight="1" x14ac:dyDescent="0.25">
      <c r="A2777" s="14">
        <f>DATE(2012,12,31)-1451</f>
        <v>39823</v>
      </c>
      <c r="B2777" s="15" t="s">
        <v>1276</v>
      </c>
      <c r="C2777" s="15" t="s">
        <v>31</v>
      </c>
      <c r="D2777" s="16">
        <v>49</v>
      </c>
      <c r="E2777" s="17">
        <v>15137.11</v>
      </c>
      <c r="F2777" s="16">
        <v>0.03</v>
      </c>
      <c r="G2777" s="15" t="s">
        <v>58</v>
      </c>
      <c r="H2777" s="18">
        <v>4913.16</v>
      </c>
      <c r="I2777" s="19">
        <v>297.64</v>
      </c>
      <c r="J2777" s="19">
        <v>14.7</v>
      </c>
      <c r="K2777" s="19" t="s">
        <v>69</v>
      </c>
      <c r="L2777" s="19" t="s">
        <v>70</v>
      </c>
      <c r="M2777" s="15" t="s">
        <v>1895</v>
      </c>
      <c r="N2777" s="15" t="s">
        <v>64</v>
      </c>
      <c r="O2777" s="15" t="s">
        <v>122</v>
      </c>
      <c r="P2777" s="20" t="s">
        <v>1942</v>
      </c>
      <c r="Q2777" s="15" t="s">
        <v>181</v>
      </c>
      <c r="R2777" s="4"/>
      <c r="S2777" s="4"/>
    </row>
    <row r="2778" spans="1:19" ht="21" customHeight="1" x14ac:dyDescent="0.25">
      <c r="A2778" s="14">
        <f>DATE(2012,12,31)-1039</f>
        <v>40235</v>
      </c>
      <c r="B2778" s="15" t="s">
        <v>1458</v>
      </c>
      <c r="C2778" s="15" t="s">
        <v>31</v>
      </c>
      <c r="D2778" s="16">
        <v>42</v>
      </c>
      <c r="E2778" s="17">
        <v>173.44</v>
      </c>
      <c r="F2778" s="16">
        <v>0.05</v>
      </c>
      <c r="G2778" s="15" t="s">
        <v>32</v>
      </c>
      <c r="H2778" s="18">
        <v>-172.4</v>
      </c>
      <c r="I2778" s="19">
        <v>4.1399999999999997</v>
      </c>
      <c r="J2778" s="19">
        <v>6.6</v>
      </c>
      <c r="K2778" s="19" t="s">
        <v>69</v>
      </c>
      <c r="L2778" s="19" t="s">
        <v>70</v>
      </c>
      <c r="M2778" s="15" t="s">
        <v>1895</v>
      </c>
      <c r="N2778" s="15" t="s">
        <v>54</v>
      </c>
      <c r="O2778" s="15" t="s">
        <v>55</v>
      </c>
      <c r="P2778" s="20" t="s">
        <v>1673</v>
      </c>
      <c r="Q2778" s="15" t="s">
        <v>83</v>
      </c>
      <c r="R2778" s="4"/>
      <c r="S2778" s="4"/>
    </row>
    <row r="2779" spans="1:19" ht="21" customHeight="1" x14ac:dyDescent="0.25">
      <c r="A2779" s="14">
        <f>DATE(2012,12,31)-120</f>
        <v>41154</v>
      </c>
      <c r="B2779" s="15" t="s">
        <v>1943</v>
      </c>
      <c r="C2779" s="15" t="s">
        <v>85</v>
      </c>
      <c r="D2779" s="16">
        <v>3</v>
      </c>
      <c r="E2779" s="17">
        <v>40.79</v>
      </c>
      <c r="F2779" s="16">
        <v>0.02</v>
      </c>
      <c r="G2779" s="15" t="s">
        <v>32</v>
      </c>
      <c r="H2779" s="18">
        <v>-11.69</v>
      </c>
      <c r="I2779" s="19">
        <v>11.58</v>
      </c>
      <c r="J2779" s="19">
        <v>5.72</v>
      </c>
      <c r="K2779" s="19" t="s">
        <v>69</v>
      </c>
      <c r="L2779" s="19" t="s">
        <v>75</v>
      </c>
      <c r="M2779" s="15" t="s">
        <v>1786</v>
      </c>
      <c r="N2779" s="15" t="s">
        <v>36</v>
      </c>
      <c r="O2779" s="15" t="s">
        <v>189</v>
      </c>
      <c r="P2779" s="20" t="s">
        <v>977</v>
      </c>
      <c r="Q2779" s="15" t="s">
        <v>83</v>
      </c>
      <c r="R2779" s="4"/>
      <c r="S2779" s="4"/>
    </row>
    <row r="2780" spans="1:19" ht="21" customHeight="1" x14ac:dyDescent="0.25">
      <c r="A2780" s="14">
        <f>DATE(2012,12,31)-120</f>
        <v>41154</v>
      </c>
      <c r="B2780" s="15" t="s">
        <v>1943</v>
      </c>
      <c r="C2780" s="15" t="s">
        <v>85</v>
      </c>
      <c r="D2780" s="16">
        <v>16</v>
      </c>
      <c r="E2780" s="17">
        <v>524.25</v>
      </c>
      <c r="F2780" s="16">
        <v>0</v>
      </c>
      <c r="G2780" s="15" t="s">
        <v>32</v>
      </c>
      <c r="H2780" s="18">
        <v>124.18</v>
      </c>
      <c r="I2780" s="19">
        <v>30.98</v>
      </c>
      <c r="J2780" s="19">
        <v>8.74</v>
      </c>
      <c r="K2780" s="19" t="s">
        <v>69</v>
      </c>
      <c r="L2780" s="19" t="s">
        <v>70</v>
      </c>
      <c r="M2780" s="15" t="s">
        <v>1895</v>
      </c>
      <c r="N2780" s="15" t="s">
        <v>36</v>
      </c>
      <c r="O2780" s="15" t="s">
        <v>117</v>
      </c>
      <c r="P2780" s="20" t="s">
        <v>464</v>
      </c>
      <c r="Q2780" s="15" t="s">
        <v>83</v>
      </c>
      <c r="R2780" s="4"/>
      <c r="S2780" s="4"/>
    </row>
    <row r="2781" spans="1:19" ht="21" customHeight="1" x14ac:dyDescent="0.25">
      <c r="A2781" s="14">
        <f>DATE(2012,12,31)-672</f>
        <v>40602</v>
      </c>
      <c r="B2781" s="15" t="s">
        <v>1944</v>
      </c>
      <c r="C2781" s="15" t="s">
        <v>85</v>
      </c>
      <c r="D2781" s="16">
        <v>9</v>
      </c>
      <c r="E2781" s="17">
        <v>53.18</v>
      </c>
      <c r="F2781" s="16">
        <v>0.09</v>
      </c>
      <c r="G2781" s="15" t="s">
        <v>32</v>
      </c>
      <c r="H2781" s="18">
        <v>-46.1265</v>
      </c>
      <c r="I2781" s="19">
        <v>5.53</v>
      </c>
      <c r="J2781" s="19">
        <v>6.98</v>
      </c>
      <c r="K2781" s="19" t="s">
        <v>69</v>
      </c>
      <c r="L2781" s="19" t="s">
        <v>70</v>
      </c>
      <c r="M2781" s="15" t="s">
        <v>1895</v>
      </c>
      <c r="N2781" s="15" t="s">
        <v>36</v>
      </c>
      <c r="O2781" s="15" t="s">
        <v>170</v>
      </c>
      <c r="P2781" s="20" t="s">
        <v>1486</v>
      </c>
      <c r="Q2781" s="15" t="s">
        <v>83</v>
      </c>
      <c r="R2781" s="4"/>
      <c r="S2781" s="4"/>
    </row>
    <row r="2782" spans="1:19" ht="21" customHeight="1" x14ac:dyDescent="0.25">
      <c r="A2782" s="14">
        <f>DATE(2012,12,31)-1192</f>
        <v>40082</v>
      </c>
      <c r="B2782" s="15" t="s">
        <v>676</v>
      </c>
      <c r="C2782" s="15" t="s">
        <v>85</v>
      </c>
      <c r="D2782" s="16">
        <v>6</v>
      </c>
      <c r="E2782" s="17">
        <v>247.15</v>
      </c>
      <c r="F2782" s="16">
        <v>7.0000000000000007E-2</v>
      </c>
      <c r="G2782" s="15" t="s">
        <v>32</v>
      </c>
      <c r="H2782" s="18">
        <v>-88.35</v>
      </c>
      <c r="I2782" s="19">
        <v>40.89</v>
      </c>
      <c r="J2782" s="19">
        <v>18.98</v>
      </c>
      <c r="K2782" s="19" t="s">
        <v>69</v>
      </c>
      <c r="L2782" s="19" t="s">
        <v>70</v>
      </c>
      <c r="M2782" s="15" t="s">
        <v>1895</v>
      </c>
      <c r="N2782" s="15" t="s">
        <v>54</v>
      </c>
      <c r="O2782" s="15" t="s">
        <v>55</v>
      </c>
      <c r="P2782" s="20" t="s">
        <v>632</v>
      </c>
      <c r="Q2782" s="15" t="s">
        <v>83</v>
      </c>
      <c r="R2782" s="4"/>
      <c r="S2782" s="4"/>
    </row>
    <row r="2783" spans="1:19" ht="21" customHeight="1" x14ac:dyDescent="0.25">
      <c r="A2783" s="14">
        <f>DATE(2012,12,31)-471</f>
        <v>40803</v>
      </c>
      <c r="B2783" s="15" t="s">
        <v>1945</v>
      </c>
      <c r="C2783" s="15" t="s">
        <v>85</v>
      </c>
      <c r="D2783" s="16">
        <v>31</v>
      </c>
      <c r="E2783" s="17">
        <v>789.94</v>
      </c>
      <c r="F2783" s="16">
        <v>0.1</v>
      </c>
      <c r="G2783" s="15" t="s">
        <v>58</v>
      </c>
      <c r="H2783" s="18">
        <v>-190.41</v>
      </c>
      <c r="I2783" s="19">
        <v>25.98</v>
      </c>
      <c r="J2783" s="19">
        <v>14.36</v>
      </c>
      <c r="K2783" s="19" t="s">
        <v>69</v>
      </c>
      <c r="L2783" s="19" t="s">
        <v>215</v>
      </c>
      <c r="M2783" s="15" t="s">
        <v>1704</v>
      </c>
      <c r="N2783" s="15" t="s">
        <v>54</v>
      </c>
      <c r="O2783" s="15" t="s">
        <v>252</v>
      </c>
      <c r="P2783" s="20" t="s">
        <v>1431</v>
      </c>
      <c r="Q2783" s="15" t="s">
        <v>181</v>
      </c>
      <c r="R2783" s="4"/>
      <c r="S2783" s="4"/>
    </row>
    <row r="2784" spans="1:19" ht="21" customHeight="1" x14ac:dyDescent="0.25">
      <c r="A2784" s="14">
        <f>DATE(2012,12,31)-134</f>
        <v>41140</v>
      </c>
      <c r="B2784" s="15" t="s">
        <v>1202</v>
      </c>
      <c r="C2784" s="15" t="s">
        <v>31</v>
      </c>
      <c r="D2784" s="16">
        <v>35</v>
      </c>
      <c r="E2784" s="17">
        <v>6116.11</v>
      </c>
      <c r="F2784" s="16">
        <v>0.03</v>
      </c>
      <c r="G2784" s="15" t="s">
        <v>58</v>
      </c>
      <c r="H2784" s="18">
        <v>91.57</v>
      </c>
      <c r="I2784" s="19">
        <v>179.29</v>
      </c>
      <c r="J2784" s="19">
        <v>29.21</v>
      </c>
      <c r="K2784" s="19" t="s">
        <v>111</v>
      </c>
      <c r="L2784" s="19" t="s">
        <v>442</v>
      </c>
      <c r="M2784" s="15" t="s">
        <v>443</v>
      </c>
      <c r="N2784" s="15" t="s">
        <v>54</v>
      </c>
      <c r="O2784" s="15" t="s">
        <v>61</v>
      </c>
      <c r="P2784" s="20" t="s">
        <v>592</v>
      </c>
      <c r="Q2784" s="15" t="s">
        <v>63</v>
      </c>
      <c r="R2784" s="4"/>
      <c r="S2784" s="4"/>
    </row>
    <row r="2785" spans="1:19" ht="21" customHeight="1" x14ac:dyDescent="0.25">
      <c r="A2785" s="14">
        <f>DATE(2012,12,31)-389</f>
        <v>40885</v>
      </c>
      <c r="B2785" s="15" t="s">
        <v>1596</v>
      </c>
      <c r="C2785" s="15" t="s">
        <v>85</v>
      </c>
      <c r="D2785" s="16">
        <v>11</v>
      </c>
      <c r="E2785" s="17">
        <v>183.32</v>
      </c>
      <c r="F2785" s="16">
        <v>0.04</v>
      </c>
      <c r="G2785" s="15" t="s">
        <v>32</v>
      </c>
      <c r="H2785" s="18">
        <v>-61.100100000000005</v>
      </c>
      <c r="I2785" s="19">
        <v>15.99</v>
      </c>
      <c r="J2785" s="19">
        <v>9.4</v>
      </c>
      <c r="K2785" s="19" t="s">
        <v>111</v>
      </c>
      <c r="L2785" s="19" t="s">
        <v>442</v>
      </c>
      <c r="M2785" s="15" t="s">
        <v>443</v>
      </c>
      <c r="N2785" s="15" t="s">
        <v>64</v>
      </c>
      <c r="O2785" s="15" t="s">
        <v>122</v>
      </c>
      <c r="P2785" s="20" t="s">
        <v>324</v>
      </c>
      <c r="Q2785" s="15" t="s">
        <v>83</v>
      </c>
      <c r="R2785" s="4"/>
      <c r="S2785" s="4"/>
    </row>
    <row r="2786" spans="1:19" ht="21" customHeight="1" x14ac:dyDescent="0.25">
      <c r="A2786" s="14">
        <f>DATE(2012,12,31)-389</f>
        <v>40885</v>
      </c>
      <c r="B2786" s="15" t="s">
        <v>1596</v>
      </c>
      <c r="C2786" s="15" t="s">
        <v>85</v>
      </c>
      <c r="D2786" s="16">
        <v>8</v>
      </c>
      <c r="E2786" s="17">
        <v>194.11</v>
      </c>
      <c r="F2786" s="16">
        <v>0.03</v>
      </c>
      <c r="G2786" s="15" t="s">
        <v>32</v>
      </c>
      <c r="H2786" s="18">
        <v>87.66</v>
      </c>
      <c r="I2786" s="19">
        <v>22.72</v>
      </c>
      <c r="J2786" s="19">
        <v>8.99</v>
      </c>
      <c r="K2786" s="19" t="s">
        <v>44</v>
      </c>
      <c r="L2786" s="19" t="s">
        <v>45</v>
      </c>
      <c r="M2786" s="15" t="s">
        <v>1768</v>
      </c>
      <c r="N2786" s="15" t="s">
        <v>54</v>
      </c>
      <c r="O2786" s="15" t="s">
        <v>55</v>
      </c>
      <c r="P2786" s="20" t="s">
        <v>927</v>
      </c>
      <c r="Q2786" s="15" t="s">
        <v>49</v>
      </c>
      <c r="R2786" s="4"/>
      <c r="S2786" s="4"/>
    </row>
    <row r="2787" spans="1:19" ht="21" customHeight="1" x14ac:dyDescent="0.25">
      <c r="A2787" s="14">
        <f>DATE(2012,12,31)-575</f>
        <v>40699</v>
      </c>
      <c r="B2787" s="15" t="s">
        <v>908</v>
      </c>
      <c r="C2787" s="15" t="s">
        <v>51</v>
      </c>
      <c r="D2787" s="16">
        <v>15</v>
      </c>
      <c r="E2787" s="17">
        <v>333.3</v>
      </c>
      <c r="F2787" s="16">
        <v>0.03</v>
      </c>
      <c r="G2787" s="15" t="s">
        <v>32</v>
      </c>
      <c r="H2787" s="18">
        <v>71.040000000000006</v>
      </c>
      <c r="I2787" s="19">
        <v>22.24</v>
      </c>
      <c r="J2787" s="19">
        <v>1.99</v>
      </c>
      <c r="K2787" s="19" t="s">
        <v>44</v>
      </c>
      <c r="L2787" s="19" t="s">
        <v>89</v>
      </c>
      <c r="M2787" s="15" t="s">
        <v>1932</v>
      </c>
      <c r="N2787" s="15" t="s">
        <v>64</v>
      </c>
      <c r="O2787" s="15" t="s">
        <v>72</v>
      </c>
      <c r="P2787" s="20" t="s">
        <v>1401</v>
      </c>
      <c r="Q2787" s="15" t="s">
        <v>49</v>
      </c>
      <c r="R2787" s="4"/>
      <c r="S2787" s="4"/>
    </row>
    <row r="2788" spans="1:19" ht="21" customHeight="1" x14ac:dyDescent="0.25">
      <c r="A2788" s="14">
        <f>DATE(2012,12,31)-1054</f>
        <v>40220</v>
      </c>
      <c r="B2788" s="15" t="s">
        <v>318</v>
      </c>
      <c r="C2788" s="15" t="s">
        <v>85</v>
      </c>
      <c r="D2788" s="16">
        <v>30</v>
      </c>
      <c r="E2788" s="17">
        <v>314.93</v>
      </c>
      <c r="F2788" s="16">
        <v>0</v>
      </c>
      <c r="G2788" s="15" t="s">
        <v>32</v>
      </c>
      <c r="H2788" s="18">
        <v>-17.5044</v>
      </c>
      <c r="I2788" s="19">
        <v>9.99</v>
      </c>
      <c r="J2788" s="19">
        <v>6.24</v>
      </c>
      <c r="K2788" s="19" t="s">
        <v>44</v>
      </c>
      <c r="L2788" s="19" t="s">
        <v>89</v>
      </c>
      <c r="M2788" s="15" t="s">
        <v>1932</v>
      </c>
      <c r="N2788" s="15" t="s">
        <v>64</v>
      </c>
      <c r="O2788" s="15" t="s">
        <v>122</v>
      </c>
      <c r="P2788" s="20" t="s">
        <v>1387</v>
      </c>
      <c r="Q2788" s="15" t="s">
        <v>57</v>
      </c>
      <c r="R2788" s="4"/>
      <c r="S2788" s="4"/>
    </row>
    <row r="2789" spans="1:19" ht="21" customHeight="1" x14ac:dyDescent="0.25">
      <c r="A2789" s="14">
        <f>DATE(2012,12,31)-1054</f>
        <v>40220</v>
      </c>
      <c r="B2789" s="15" t="s">
        <v>318</v>
      </c>
      <c r="C2789" s="15" t="s">
        <v>85</v>
      </c>
      <c r="D2789" s="16">
        <v>25</v>
      </c>
      <c r="E2789" s="17">
        <v>726.82</v>
      </c>
      <c r="F2789" s="16">
        <v>0.1</v>
      </c>
      <c r="G2789" s="15" t="s">
        <v>101</v>
      </c>
      <c r="H2789" s="18">
        <v>-173.88</v>
      </c>
      <c r="I2789" s="19">
        <v>30.42</v>
      </c>
      <c r="J2789" s="19">
        <v>8.65</v>
      </c>
      <c r="K2789" s="19" t="s">
        <v>44</v>
      </c>
      <c r="L2789" s="19" t="s">
        <v>45</v>
      </c>
      <c r="M2789" s="15" t="s">
        <v>1768</v>
      </c>
      <c r="N2789" s="15" t="s">
        <v>64</v>
      </c>
      <c r="O2789" s="15" t="s">
        <v>72</v>
      </c>
      <c r="P2789" s="20" t="s">
        <v>1175</v>
      </c>
      <c r="Q2789" s="15" t="s">
        <v>83</v>
      </c>
      <c r="R2789" s="4"/>
      <c r="S2789" s="4"/>
    </row>
    <row r="2790" spans="1:19" ht="21" customHeight="1" x14ac:dyDescent="0.25">
      <c r="A2790" s="14">
        <f>DATE(2012,12,31)-1218</f>
        <v>40056</v>
      </c>
      <c r="B2790" s="15" t="s">
        <v>1199</v>
      </c>
      <c r="C2790" s="15" t="s">
        <v>43</v>
      </c>
      <c r="D2790" s="16">
        <v>32</v>
      </c>
      <c r="E2790" s="17">
        <v>279.43</v>
      </c>
      <c r="F2790" s="16">
        <v>0</v>
      </c>
      <c r="G2790" s="15" t="s">
        <v>32</v>
      </c>
      <c r="H2790" s="18">
        <v>48.47</v>
      </c>
      <c r="I2790" s="19">
        <v>8.5</v>
      </c>
      <c r="J2790" s="19">
        <v>1.99</v>
      </c>
      <c r="K2790" s="19" t="s">
        <v>44</v>
      </c>
      <c r="L2790" s="19" t="s">
        <v>45</v>
      </c>
      <c r="M2790" s="15" t="s">
        <v>1768</v>
      </c>
      <c r="N2790" s="15" t="s">
        <v>64</v>
      </c>
      <c r="O2790" s="15" t="s">
        <v>72</v>
      </c>
      <c r="P2790" s="20" t="s">
        <v>928</v>
      </c>
      <c r="Q2790" s="15" t="s">
        <v>49</v>
      </c>
      <c r="R2790" s="4"/>
      <c r="S2790" s="4"/>
    </row>
    <row r="2791" spans="1:19" ht="21" customHeight="1" x14ac:dyDescent="0.25">
      <c r="A2791" s="14">
        <f>DATE(2012,12,31)-1218</f>
        <v>40056</v>
      </c>
      <c r="B2791" s="15" t="s">
        <v>1199</v>
      </c>
      <c r="C2791" s="15" t="s">
        <v>43</v>
      </c>
      <c r="D2791" s="16">
        <v>5</v>
      </c>
      <c r="E2791" s="17">
        <v>515.22</v>
      </c>
      <c r="F2791" s="16">
        <v>0.03</v>
      </c>
      <c r="G2791" s="15" t="s">
        <v>32</v>
      </c>
      <c r="H2791" s="18">
        <v>-152.54</v>
      </c>
      <c r="I2791" s="19">
        <v>95.43</v>
      </c>
      <c r="J2791" s="19">
        <v>19.989999999999998</v>
      </c>
      <c r="K2791" s="19" t="s">
        <v>44</v>
      </c>
      <c r="L2791" s="19" t="s">
        <v>89</v>
      </c>
      <c r="M2791" s="15" t="s">
        <v>1932</v>
      </c>
      <c r="N2791" s="15" t="s">
        <v>36</v>
      </c>
      <c r="O2791" s="15" t="s">
        <v>37</v>
      </c>
      <c r="P2791" s="20" t="s">
        <v>379</v>
      </c>
      <c r="Q2791" s="15" t="s">
        <v>83</v>
      </c>
      <c r="R2791" s="4"/>
      <c r="S2791" s="4"/>
    </row>
    <row r="2792" spans="1:19" ht="21" customHeight="1" x14ac:dyDescent="0.25">
      <c r="A2792" s="14">
        <f>DATE(2012,12,31)-959</f>
        <v>40315</v>
      </c>
      <c r="B2792" s="15" t="s">
        <v>1792</v>
      </c>
      <c r="C2792" s="15" t="s">
        <v>31</v>
      </c>
      <c r="D2792" s="16">
        <v>30</v>
      </c>
      <c r="E2792" s="17">
        <v>8719.69</v>
      </c>
      <c r="F2792" s="16">
        <v>0.01</v>
      </c>
      <c r="G2792" s="15" t="s">
        <v>58</v>
      </c>
      <c r="H2792" s="18">
        <v>2241.71</v>
      </c>
      <c r="I2792" s="19">
        <v>270.97000000000003</v>
      </c>
      <c r="J2792" s="19">
        <v>28.06</v>
      </c>
      <c r="K2792" s="19" t="s">
        <v>44</v>
      </c>
      <c r="L2792" s="19" t="s">
        <v>45</v>
      </c>
      <c r="M2792" s="15" t="s">
        <v>1768</v>
      </c>
      <c r="N2792" s="15" t="s">
        <v>64</v>
      </c>
      <c r="O2792" s="15" t="s">
        <v>122</v>
      </c>
      <c r="P2792" s="20" t="s">
        <v>1865</v>
      </c>
      <c r="Q2792" s="15" t="s">
        <v>181</v>
      </c>
      <c r="R2792" s="4"/>
      <c r="S2792" s="4"/>
    </row>
    <row r="2793" spans="1:19" ht="21" customHeight="1" x14ac:dyDescent="0.25">
      <c r="A2793" s="14">
        <f>DATE(2012,12,31)-660</f>
        <v>40614</v>
      </c>
      <c r="B2793" s="15" t="s">
        <v>777</v>
      </c>
      <c r="C2793" s="15" t="s">
        <v>31</v>
      </c>
      <c r="D2793" s="16">
        <v>26</v>
      </c>
      <c r="E2793" s="17">
        <v>583.55999999999995</v>
      </c>
      <c r="F2793" s="16">
        <v>0.02</v>
      </c>
      <c r="G2793" s="15" t="s">
        <v>32</v>
      </c>
      <c r="H2793" s="18">
        <v>-94.59</v>
      </c>
      <c r="I2793" s="19">
        <v>20.97</v>
      </c>
      <c r="J2793" s="19">
        <v>6.5</v>
      </c>
      <c r="K2793" s="19" t="s">
        <v>44</v>
      </c>
      <c r="L2793" s="19" t="s">
        <v>120</v>
      </c>
      <c r="M2793" s="15" t="s">
        <v>121</v>
      </c>
      <c r="N2793" s="15" t="s">
        <v>64</v>
      </c>
      <c r="O2793" s="15" t="s">
        <v>72</v>
      </c>
      <c r="P2793" s="20" t="s">
        <v>393</v>
      </c>
      <c r="Q2793" s="15" t="s">
        <v>83</v>
      </c>
      <c r="R2793" s="4"/>
      <c r="S2793" s="4"/>
    </row>
    <row r="2794" spans="1:19" ht="21" customHeight="1" x14ac:dyDescent="0.25">
      <c r="A2794" s="14">
        <f>DATE(2012,12,31)-660</f>
        <v>40614</v>
      </c>
      <c r="B2794" s="15" t="s">
        <v>777</v>
      </c>
      <c r="C2794" s="15" t="s">
        <v>31</v>
      </c>
      <c r="D2794" s="16">
        <v>47</v>
      </c>
      <c r="E2794" s="17">
        <v>281.47000000000003</v>
      </c>
      <c r="F2794" s="16">
        <v>0.1</v>
      </c>
      <c r="G2794" s="15" t="s">
        <v>32</v>
      </c>
      <c r="H2794" s="18">
        <v>-190.57</v>
      </c>
      <c r="I2794" s="19">
        <v>6.48</v>
      </c>
      <c r="J2794" s="19">
        <v>7.37</v>
      </c>
      <c r="K2794" s="19" t="s">
        <v>44</v>
      </c>
      <c r="L2794" s="19" t="s">
        <v>45</v>
      </c>
      <c r="M2794" s="15" t="s">
        <v>1768</v>
      </c>
      <c r="N2794" s="15" t="s">
        <v>36</v>
      </c>
      <c r="O2794" s="15" t="s">
        <v>117</v>
      </c>
      <c r="P2794" s="20" t="s">
        <v>998</v>
      </c>
      <c r="Q2794" s="15" t="s">
        <v>83</v>
      </c>
      <c r="R2794" s="4"/>
      <c r="S2794" s="4"/>
    </row>
    <row r="2795" spans="1:19" ht="21" customHeight="1" x14ac:dyDescent="0.25">
      <c r="A2795" s="14">
        <f>DATE(2012,12,31)-1280</f>
        <v>39994</v>
      </c>
      <c r="B2795" s="15" t="s">
        <v>296</v>
      </c>
      <c r="C2795" s="15" t="s">
        <v>85</v>
      </c>
      <c r="D2795" s="16">
        <v>44</v>
      </c>
      <c r="E2795" s="17">
        <v>115.24</v>
      </c>
      <c r="F2795" s="16">
        <v>0.03</v>
      </c>
      <c r="G2795" s="15" t="s">
        <v>32</v>
      </c>
      <c r="H2795" s="18">
        <v>43.23</v>
      </c>
      <c r="I2795" s="19">
        <v>2.61</v>
      </c>
      <c r="J2795" s="19">
        <v>0.5</v>
      </c>
      <c r="K2795" s="19" t="s">
        <v>44</v>
      </c>
      <c r="L2795" s="19" t="s">
        <v>120</v>
      </c>
      <c r="M2795" s="15" t="s">
        <v>121</v>
      </c>
      <c r="N2795" s="15" t="s">
        <v>36</v>
      </c>
      <c r="O2795" s="15" t="s">
        <v>114</v>
      </c>
      <c r="P2795" s="20" t="s">
        <v>593</v>
      </c>
      <c r="Q2795" s="15" t="s">
        <v>83</v>
      </c>
      <c r="R2795" s="4"/>
      <c r="S2795" s="4"/>
    </row>
    <row r="2796" spans="1:19" ht="21" customHeight="1" x14ac:dyDescent="0.25">
      <c r="A2796" s="14">
        <f>DATE(2012,12,31)-1280</f>
        <v>39994</v>
      </c>
      <c r="B2796" s="15" t="s">
        <v>296</v>
      </c>
      <c r="C2796" s="15" t="s">
        <v>85</v>
      </c>
      <c r="D2796" s="16">
        <v>28</v>
      </c>
      <c r="E2796" s="17">
        <v>9601.94</v>
      </c>
      <c r="F2796" s="16">
        <v>0.08</v>
      </c>
      <c r="G2796" s="15" t="s">
        <v>58</v>
      </c>
      <c r="H2796" s="18">
        <v>2428.59</v>
      </c>
      <c r="I2796" s="19">
        <v>349.45</v>
      </c>
      <c r="J2796" s="19">
        <v>60</v>
      </c>
      <c r="K2796" s="19" t="s">
        <v>44</v>
      </c>
      <c r="L2796" s="19" t="s">
        <v>45</v>
      </c>
      <c r="M2796" s="15" t="s">
        <v>1768</v>
      </c>
      <c r="N2796" s="15" t="s">
        <v>54</v>
      </c>
      <c r="O2796" s="15" t="s">
        <v>61</v>
      </c>
      <c r="P2796" s="20" t="s">
        <v>1031</v>
      </c>
      <c r="Q2796" s="15" t="s">
        <v>181</v>
      </c>
      <c r="R2796" s="4"/>
      <c r="S2796" s="4"/>
    </row>
    <row r="2797" spans="1:19" ht="21" customHeight="1" x14ac:dyDescent="0.25">
      <c r="A2797" s="14">
        <f>DATE(2012,12,31)-436</f>
        <v>40838</v>
      </c>
      <c r="B2797" s="15" t="s">
        <v>1946</v>
      </c>
      <c r="C2797" s="15" t="s">
        <v>31</v>
      </c>
      <c r="D2797" s="16">
        <v>42</v>
      </c>
      <c r="E2797" s="17">
        <v>435.24</v>
      </c>
      <c r="F2797" s="16">
        <v>0.08</v>
      </c>
      <c r="G2797" s="15" t="s">
        <v>101</v>
      </c>
      <c r="H2797" s="18">
        <v>174.89</v>
      </c>
      <c r="I2797" s="19">
        <v>10.31</v>
      </c>
      <c r="J2797" s="19">
        <v>1.79</v>
      </c>
      <c r="K2797" s="19" t="s">
        <v>44</v>
      </c>
      <c r="L2797" s="19" t="s">
        <v>89</v>
      </c>
      <c r="M2797" s="15" t="s">
        <v>1932</v>
      </c>
      <c r="N2797" s="15" t="s">
        <v>36</v>
      </c>
      <c r="O2797" s="15" t="s">
        <v>117</v>
      </c>
      <c r="P2797" s="20" t="s">
        <v>1011</v>
      </c>
      <c r="Q2797" s="15" t="s">
        <v>79</v>
      </c>
      <c r="R2797" s="4"/>
      <c r="S2797" s="4"/>
    </row>
    <row r="2798" spans="1:19" ht="21" customHeight="1" x14ac:dyDescent="0.25">
      <c r="A2798" s="14">
        <f>DATE(2012,12,31)-1422</f>
        <v>39852</v>
      </c>
      <c r="B2798" s="15" t="s">
        <v>104</v>
      </c>
      <c r="C2798" s="15" t="s">
        <v>85</v>
      </c>
      <c r="D2798" s="16">
        <v>38</v>
      </c>
      <c r="E2798" s="17">
        <v>607.41999999999996</v>
      </c>
      <c r="F2798" s="16">
        <v>0.03</v>
      </c>
      <c r="G2798" s="15" t="s">
        <v>32</v>
      </c>
      <c r="H2798" s="18">
        <v>-254.13850000000002</v>
      </c>
      <c r="I2798" s="19">
        <v>15.16</v>
      </c>
      <c r="J2798" s="19">
        <v>15.09</v>
      </c>
      <c r="K2798" s="19" t="s">
        <v>124</v>
      </c>
      <c r="L2798" s="19" t="s">
        <v>493</v>
      </c>
      <c r="M2798" s="15" t="s">
        <v>1927</v>
      </c>
      <c r="N2798" s="15" t="s">
        <v>36</v>
      </c>
      <c r="O2798" s="15" t="s">
        <v>170</v>
      </c>
      <c r="P2798" s="20" t="s">
        <v>1947</v>
      </c>
      <c r="Q2798" s="15" t="s">
        <v>83</v>
      </c>
      <c r="R2798" s="4"/>
      <c r="S2798" s="4"/>
    </row>
    <row r="2799" spans="1:19" ht="21" customHeight="1" x14ac:dyDescent="0.25">
      <c r="A2799" s="14">
        <f>DATE(2012,12,31)-1398</f>
        <v>39876</v>
      </c>
      <c r="B2799" s="15" t="s">
        <v>818</v>
      </c>
      <c r="C2799" s="15" t="s">
        <v>31</v>
      </c>
      <c r="D2799" s="16">
        <v>6</v>
      </c>
      <c r="E2799" s="17">
        <v>973.86199999999997</v>
      </c>
      <c r="F2799" s="16">
        <v>0.1</v>
      </c>
      <c r="G2799" s="15" t="s">
        <v>32</v>
      </c>
      <c r="H2799" s="18">
        <v>-693.33</v>
      </c>
      <c r="I2799" s="19">
        <v>205.99</v>
      </c>
      <c r="J2799" s="19">
        <v>8.99</v>
      </c>
      <c r="K2799" s="19" t="s">
        <v>33</v>
      </c>
      <c r="L2799" s="19" t="s">
        <v>93</v>
      </c>
      <c r="M2799" s="15" t="s">
        <v>94</v>
      </c>
      <c r="N2799" s="15" t="s">
        <v>64</v>
      </c>
      <c r="O2799" s="15" t="s">
        <v>65</v>
      </c>
      <c r="P2799" s="20" t="s">
        <v>1464</v>
      </c>
      <c r="Q2799" s="15" t="s">
        <v>83</v>
      </c>
      <c r="R2799" s="4"/>
      <c r="S2799" s="4"/>
    </row>
    <row r="2800" spans="1:19" ht="21" customHeight="1" x14ac:dyDescent="0.25">
      <c r="A2800" s="14">
        <f>DATE(2012,12,31)-817</f>
        <v>40457</v>
      </c>
      <c r="B2800" s="15" t="s">
        <v>1760</v>
      </c>
      <c r="C2800" s="15" t="s">
        <v>31</v>
      </c>
      <c r="D2800" s="16">
        <v>35</v>
      </c>
      <c r="E2800" s="17">
        <v>1624.67</v>
      </c>
      <c r="F2800" s="16">
        <v>0.04</v>
      </c>
      <c r="G2800" s="15" t="s">
        <v>32</v>
      </c>
      <c r="H2800" s="18">
        <v>504.35</v>
      </c>
      <c r="I2800" s="19">
        <v>45.19</v>
      </c>
      <c r="J2800" s="19">
        <v>1.99</v>
      </c>
      <c r="K2800" s="19" t="s">
        <v>33</v>
      </c>
      <c r="L2800" s="19" t="s">
        <v>93</v>
      </c>
      <c r="M2800" s="15" t="s">
        <v>94</v>
      </c>
      <c r="N2800" s="15" t="s">
        <v>64</v>
      </c>
      <c r="O2800" s="15" t="s">
        <v>72</v>
      </c>
      <c r="P2800" s="20" t="s">
        <v>877</v>
      </c>
      <c r="Q2800" s="15" t="s">
        <v>49</v>
      </c>
      <c r="R2800" s="4"/>
      <c r="S2800" s="4"/>
    </row>
    <row r="2801" spans="1:19" ht="21" customHeight="1" x14ac:dyDescent="0.25">
      <c r="A2801" s="14">
        <f>DATE(2012,12,31)-785</f>
        <v>40489</v>
      </c>
      <c r="B2801" s="15" t="s">
        <v>1948</v>
      </c>
      <c r="C2801" s="15" t="s">
        <v>85</v>
      </c>
      <c r="D2801" s="16">
        <v>23</v>
      </c>
      <c r="E2801" s="17">
        <v>82.12</v>
      </c>
      <c r="F2801" s="16">
        <v>7.0000000000000007E-2</v>
      </c>
      <c r="G2801" s="15" t="s">
        <v>32</v>
      </c>
      <c r="H2801" s="18">
        <v>-121.5895</v>
      </c>
      <c r="I2801" s="19">
        <v>3.52</v>
      </c>
      <c r="J2801" s="19">
        <v>6.83</v>
      </c>
      <c r="K2801" s="19" t="s">
        <v>33</v>
      </c>
      <c r="L2801" s="19" t="s">
        <v>93</v>
      </c>
      <c r="M2801" s="15" t="s">
        <v>94</v>
      </c>
      <c r="N2801" s="15" t="s">
        <v>36</v>
      </c>
      <c r="O2801" s="15" t="s">
        <v>170</v>
      </c>
      <c r="P2801" s="20" t="s">
        <v>1859</v>
      </c>
      <c r="Q2801" s="15" t="s">
        <v>83</v>
      </c>
      <c r="R2801" s="4"/>
      <c r="S2801" s="4"/>
    </row>
    <row r="2802" spans="1:19" ht="21" customHeight="1" x14ac:dyDescent="0.25">
      <c r="A2802" s="14">
        <f>DATE(2012,12,31)-293</f>
        <v>40981</v>
      </c>
      <c r="B2802" s="15" t="s">
        <v>961</v>
      </c>
      <c r="C2802" s="15" t="s">
        <v>51</v>
      </c>
      <c r="D2802" s="16">
        <v>10</v>
      </c>
      <c r="E2802" s="17">
        <v>194.29</v>
      </c>
      <c r="F2802" s="16">
        <v>0.1</v>
      </c>
      <c r="G2802" s="15" t="s">
        <v>32</v>
      </c>
      <c r="H2802" s="18">
        <v>68.89</v>
      </c>
      <c r="I2802" s="19">
        <v>20.239999999999998</v>
      </c>
      <c r="J2802" s="19">
        <v>6.67</v>
      </c>
      <c r="K2802" s="19" t="s">
        <v>33</v>
      </c>
      <c r="L2802" s="19" t="s">
        <v>128</v>
      </c>
      <c r="M2802" s="15" t="s">
        <v>129</v>
      </c>
      <c r="N2802" s="15" t="s">
        <v>54</v>
      </c>
      <c r="O2802" s="15" t="s">
        <v>55</v>
      </c>
      <c r="P2802" s="20" t="s">
        <v>960</v>
      </c>
      <c r="Q2802" s="15" t="s">
        <v>49</v>
      </c>
      <c r="R2802" s="4"/>
      <c r="S2802" s="4"/>
    </row>
    <row r="2803" spans="1:19" ht="21" customHeight="1" x14ac:dyDescent="0.25">
      <c r="A2803" s="14">
        <f>DATE(2012,12,31)-889</f>
        <v>40385</v>
      </c>
      <c r="B2803" s="15" t="s">
        <v>541</v>
      </c>
      <c r="C2803" s="15" t="s">
        <v>31</v>
      </c>
      <c r="D2803" s="16">
        <v>33</v>
      </c>
      <c r="E2803" s="17">
        <v>124.78</v>
      </c>
      <c r="F2803" s="16">
        <v>0.09</v>
      </c>
      <c r="G2803" s="15" t="s">
        <v>32</v>
      </c>
      <c r="H2803" s="18">
        <v>-122.6705</v>
      </c>
      <c r="I2803" s="19">
        <v>3.98</v>
      </c>
      <c r="J2803" s="19">
        <v>5.26</v>
      </c>
      <c r="K2803" s="19" t="s">
        <v>97</v>
      </c>
      <c r="L2803" s="19" t="s">
        <v>98</v>
      </c>
      <c r="M2803" s="15" t="s">
        <v>1162</v>
      </c>
      <c r="N2803" s="15" t="s">
        <v>36</v>
      </c>
      <c r="O2803" s="15" t="s">
        <v>170</v>
      </c>
      <c r="P2803" s="20" t="s">
        <v>446</v>
      </c>
      <c r="Q2803" s="15" t="s">
        <v>83</v>
      </c>
      <c r="R2803" s="4"/>
      <c r="S2803" s="4"/>
    </row>
    <row r="2804" spans="1:19" ht="21" customHeight="1" x14ac:dyDescent="0.25">
      <c r="A2804" s="14">
        <f>DATE(2012,12,31)-889</f>
        <v>40385</v>
      </c>
      <c r="B2804" s="15" t="s">
        <v>541</v>
      </c>
      <c r="C2804" s="15" t="s">
        <v>31</v>
      </c>
      <c r="D2804" s="16">
        <v>22</v>
      </c>
      <c r="E2804" s="17">
        <v>123.4</v>
      </c>
      <c r="F2804" s="16">
        <v>0.1</v>
      </c>
      <c r="G2804" s="15" t="s">
        <v>32</v>
      </c>
      <c r="H2804" s="18">
        <v>30.5</v>
      </c>
      <c r="I2804" s="19">
        <v>5.84</v>
      </c>
      <c r="J2804" s="19">
        <v>0.83</v>
      </c>
      <c r="K2804" s="19" t="s">
        <v>97</v>
      </c>
      <c r="L2804" s="19" t="s">
        <v>98</v>
      </c>
      <c r="M2804" s="15" t="s">
        <v>1162</v>
      </c>
      <c r="N2804" s="15" t="s">
        <v>36</v>
      </c>
      <c r="O2804" s="15" t="s">
        <v>77</v>
      </c>
      <c r="P2804" s="20" t="s">
        <v>335</v>
      </c>
      <c r="Q2804" s="15" t="s">
        <v>79</v>
      </c>
      <c r="R2804" s="4"/>
      <c r="S2804" s="4"/>
    </row>
    <row r="2805" spans="1:19" ht="21" customHeight="1" x14ac:dyDescent="0.25">
      <c r="A2805" s="14">
        <f>DATE(2012,12,31)-1158</f>
        <v>40116</v>
      </c>
      <c r="B2805" s="15" t="s">
        <v>1338</v>
      </c>
      <c r="C2805" s="15" t="s">
        <v>31</v>
      </c>
      <c r="D2805" s="16">
        <v>47</v>
      </c>
      <c r="E2805" s="17">
        <v>116.06</v>
      </c>
      <c r="F2805" s="16">
        <v>0.1</v>
      </c>
      <c r="G2805" s="15" t="s">
        <v>32</v>
      </c>
      <c r="H2805" s="18">
        <v>25.2</v>
      </c>
      <c r="I2805" s="19">
        <v>2.62</v>
      </c>
      <c r="J2805" s="19">
        <v>0.8</v>
      </c>
      <c r="K2805" s="19" t="s">
        <v>97</v>
      </c>
      <c r="L2805" s="19" t="s">
        <v>195</v>
      </c>
      <c r="M2805" s="15" t="s">
        <v>1847</v>
      </c>
      <c r="N2805" s="15" t="s">
        <v>36</v>
      </c>
      <c r="O2805" s="15" t="s">
        <v>105</v>
      </c>
      <c r="P2805" s="20" t="s">
        <v>915</v>
      </c>
      <c r="Q2805" s="15" t="s">
        <v>79</v>
      </c>
      <c r="R2805" s="4"/>
      <c r="S2805" s="4"/>
    </row>
    <row r="2806" spans="1:19" ht="21" customHeight="1" x14ac:dyDescent="0.25">
      <c r="A2806" s="14">
        <f>DATE(2012,12,31)-335</f>
        <v>40939</v>
      </c>
      <c r="B2806" s="15" t="s">
        <v>1898</v>
      </c>
      <c r="C2806" s="15" t="s">
        <v>31</v>
      </c>
      <c r="D2806" s="16">
        <v>24</v>
      </c>
      <c r="E2806" s="17">
        <v>512.83000000000004</v>
      </c>
      <c r="F2806" s="16">
        <v>0.01</v>
      </c>
      <c r="G2806" s="15" t="s">
        <v>32</v>
      </c>
      <c r="H2806" s="18">
        <v>-221.56</v>
      </c>
      <c r="I2806" s="19">
        <v>20.89</v>
      </c>
      <c r="J2806" s="19">
        <v>11.52</v>
      </c>
      <c r="K2806" s="19" t="s">
        <v>97</v>
      </c>
      <c r="L2806" s="19" t="s">
        <v>195</v>
      </c>
      <c r="M2806" s="15" t="s">
        <v>1847</v>
      </c>
      <c r="N2806" s="15" t="s">
        <v>36</v>
      </c>
      <c r="O2806" s="15" t="s">
        <v>37</v>
      </c>
      <c r="P2806" s="20" t="s">
        <v>803</v>
      </c>
      <c r="Q2806" s="15" t="s">
        <v>83</v>
      </c>
      <c r="R2806" s="4"/>
      <c r="S2806" s="4"/>
    </row>
    <row r="2807" spans="1:19" ht="21" customHeight="1" x14ac:dyDescent="0.25">
      <c r="A2807" s="14">
        <f>DATE(2012,12,31)-587</f>
        <v>40687</v>
      </c>
      <c r="B2807" s="15" t="s">
        <v>1170</v>
      </c>
      <c r="C2807" s="15" t="s">
        <v>85</v>
      </c>
      <c r="D2807" s="16">
        <v>42</v>
      </c>
      <c r="E2807" s="17">
        <v>539.05999999999995</v>
      </c>
      <c r="F2807" s="16">
        <v>0.05</v>
      </c>
      <c r="G2807" s="15" t="s">
        <v>32</v>
      </c>
      <c r="H2807" s="18">
        <v>-123.07</v>
      </c>
      <c r="I2807" s="19">
        <v>12.88</v>
      </c>
      <c r="J2807" s="19">
        <v>4.59</v>
      </c>
      <c r="K2807" s="19" t="s">
        <v>97</v>
      </c>
      <c r="L2807" s="19" t="s">
        <v>98</v>
      </c>
      <c r="M2807" s="15" t="s">
        <v>1162</v>
      </c>
      <c r="N2807" s="15" t="s">
        <v>36</v>
      </c>
      <c r="O2807" s="15" t="s">
        <v>47</v>
      </c>
      <c r="P2807" s="20" t="s">
        <v>1538</v>
      </c>
      <c r="Q2807" s="15" t="s">
        <v>79</v>
      </c>
      <c r="R2807" s="4"/>
      <c r="S2807" s="4"/>
    </row>
    <row r="2808" spans="1:19" ht="21" customHeight="1" x14ac:dyDescent="0.25">
      <c r="A2808" s="14">
        <f>DATE(2012,12,31)-1321</f>
        <v>39953</v>
      </c>
      <c r="B2808" s="15" t="s">
        <v>290</v>
      </c>
      <c r="C2808" s="15" t="s">
        <v>85</v>
      </c>
      <c r="D2808" s="16">
        <v>25</v>
      </c>
      <c r="E2808" s="17">
        <v>751.52</v>
      </c>
      <c r="F2808" s="16">
        <v>0.09</v>
      </c>
      <c r="G2808" s="15" t="s">
        <v>101</v>
      </c>
      <c r="H2808" s="18">
        <v>67.107500000000002</v>
      </c>
      <c r="I2808" s="19">
        <v>31.74</v>
      </c>
      <c r="J2808" s="19">
        <v>12.62</v>
      </c>
      <c r="K2808" s="19" t="s">
        <v>124</v>
      </c>
      <c r="L2808" s="19" t="s">
        <v>160</v>
      </c>
      <c r="M2808" s="15" t="s">
        <v>1906</v>
      </c>
      <c r="N2808" s="15" t="s">
        <v>36</v>
      </c>
      <c r="O2808" s="15" t="s">
        <v>170</v>
      </c>
      <c r="P2808" s="20" t="s">
        <v>1344</v>
      </c>
      <c r="Q2808" s="15" t="s">
        <v>83</v>
      </c>
      <c r="R2808" s="4"/>
      <c r="S2808" s="4"/>
    </row>
    <row r="2809" spans="1:19" ht="21" customHeight="1" x14ac:dyDescent="0.25">
      <c r="A2809" s="14">
        <f>DATE(2012,12,31)-1321</f>
        <v>39953</v>
      </c>
      <c r="B2809" s="15" t="s">
        <v>290</v>
      </c>
      <c r="C2809" s="15" t="s">
        <v>85</v>
      </c>
      <c r="D2809" s="16">
        <v>36</v>
      </c>
      <c r="E2809" s="17">
        <v>220.48</v>
      </c>
      <c r="F2809" s="16">
        <v>0.04</v>
      </c>
      <c r="G2809" s="15" t="s">
        <v>32</v>
      </c>
      <c r="H2809" s="18">
        <v>81.91</v>
      </c>
      <c r="I2809" s="19">
        <v>6.35</v>
      </c>
      <c r="J2809" s="19">
        <v>1.02</v>
      </c>
      <c r="K2809" s="19" t="s">
        <v>124</v>
      </c>
      <c r="L2809" s="19" t="s">
        <v>160</v>
      </c>
      <c r="M2809" s="15" t="s">
        <v>1906</v>
      </c>
      <c r="N2809" s="15" t="s">
        <v>36</v>
      </c>
      <c r="O2809" s="15" t="s">
        <v>117</v>
      </c>
      <c r="P2809" s="20" t="s">
        <v>1203</v>
      </c>
      <c r="Q2809" s="15" t="s">
        <v>79</v>
      </c>
      <c r="R2809" s="4"/>
      <c r="S2809" s="4"/>
    </row>
    <row r="2810" spans="1:19" ht="21" customHeight="1" x14ac:dyDescent="0.25">
      <c r="A2810" s="14">
        <f>DATE(2012,12,31)-1321</f>
        <v>39953</v>
      </c>
      <c r="B2810" s="15" t="s">
        <v>290</v>
      </c>
      <c r="C2810" s="15" t="s">
        <v>85</v>
      </c>
      <c r="D2810" s="16">
        <v>21</v>
      </c>
      <c r="E2810" s="17">
        <v>1259.4535000000001</v>
      </c>
      <c r="F2810" s="16">
        <v>0.02</v>
      </c>
      <c r="G2810" s="15" t="s">
        <v>101</v>
      </c>
      <c r="H2810" s="18">
        <v>168.23699999999999</v>
      </c>
      <c r="I2810" s="19">
        <v>65.989999999999995</v>
      </c>
      <c r="J2810" s="19">
        <v>8.99</v>
      </c>
      <c r="K2810" s="19" t="s">
        <v>124</v>
      </c>
      <c r="L2810" s="19" t="s">
        <v>160</v>
      </c>
      <c r="M2810" s="15" t="s">
        <v>1906</v>
      </c>
      <c r="N2810" s="15" t="s">
        <v>64</v>
      </c>
      <c r="O2810" s="15" t="s">
        <v>65</v>
      </c>
      <c r="P2810" s="20" t="s">
        <v>312</v>
      </c>
      <c r="Q2810" s="15" t="s">
        <v>83</v>
      </c>
      <c r="R2810" s="4"/>
      <c r="S2810" s="4"/>
    </row>
    <row r="2811" spans="1:19" ht="21" customHeight="1" x14ac:dyDescent="0.25">
      <c r="A2811" s="14">
        <f>DATE(2012,12,31)-1101</f>
        <v>40173</v>
      </c>
      <c r="B2811" s="15" t="s">
        <v>1949</v>
      </c>
      <c r="C2811" s="15" t="s">
        <v>43</v>
      </c>
      <c r="D2811" s="16">
        <v>27</v>
      </c>
      <c r="E2811" s="17">
        <v>652.24</v>
      </c>
      <c r="F2811" s="16">
        <v>0.02</v>
      </c>
      <c r="G2811" s="15" t="s">
        <v>32</v>
      </c>
      <c r="H2811" s="18">
        <v>185.04</v>
      </c>
      <c r="I2811" s="19">
        <v>22.72</v>
      </c>
      <c r="J2811" s="19">
        <v>8.99</v>
      </c>
      <c r="K2811" s="19" t="s">
        <v>124</v>
      </c>
      <c r="L2811" s="19" t="s">
        <v>493</v>
      </c>
      <c r="M2811" s="15" t="s">
        <v>1927</v>
      </c>
      <c r="N2811" s="15" t="s">
        <v>54</v>
      </c>
      <c r="O2811" s="15" t="s">
        <v>55</v>
      </c>
      <c r="P2811" s="20" t="s">
        <v>927</v>
      </c>
      <c r="Q2811" s="15" t="s">
        <v>49</v>
      </c>
      <c r="R2811" s="4"/>
      <c r="S2811" s="4"/>
    </row>
    <row r="2812" spans="1:19" ht="21" customHeight="1" x14ac:dyDescent="0.25">
      <c r="A2812" s="14">
        <f>DATE(2012,12,31)-1143</f>
        <v>40131</v>
      </c>
      <c r="B2812" s="15" t="s">
        <v>1950</v>
      </c>
      <c r="C2812" s="15" t="s">
        <v>85</v>
      </c>
      <c r="D2812" s="16">
        <v>8</v>
      </c>
      <c r="E2812" s="17">
        <v>473.7</v>
      </c>
      <c r="F2812" s="16">
        <v>0.05</v>
      </c>
      <c r="G2812" s="15" t="s">
        <v>32</v>
      </c>
      <c r="H2812" s="18">
        <v>72.513500000000008</v>
      </c>
      <c r="I2812" s="19">
        <v>59.78</v>
      </c>
      <c r="J2812" s="19">
        <v>10.29</v>
      </c>
      <c r="K2812" s="19" t="s">
        <v>124</v>
      </c>
      <c r="L2812" s="19" t="s">
        <v>160</v>
      </c>
      <c r="M2812" s="15" t="s">
        <v>1906</v>
      </c>
      <c r="N2812" s="15" t="s">
        <v>36</v>
      </c>
      <c r="O2812" s="15" t="s">
        <v>170</v>
      </c>
      <c r="P2812" s="20" t="s">
        <v>1335</v>
      </c>
      <c r="Q2812" s="15" t="s">
        <v>83</v>
      </c>
      <c r="R2812" s="4"/>
      <c r="S2812" s="4"/>
    </row>
    <row r="2813" spans="1:19" ht="21" customHeight="1" x14ac:dyDescent="0.25">
      <c r="A2813" s="14">
        <f>DATE(2012,12,31)-1143</f>
        <v>40131</v>
      </c>
      <c r="B2813" s="15" t="s">
        <v>1950</v>
      </c>
      <c r="C2813" s="15" t="s">
        <v>85</v>
      </c>
      <c r="D2813" s="16">
        <v>33</v>
      </c>
      <c r="E2813" s="17">
        <v>553.5625</v>
      </c>
      <c r="F2813" s="16">
        <v>0.08</v>
      </c>
      <c r="G2813" s="15" t="s">
        <v>32</v>
      </c>
      <c r="H2813" s="18">
        <v>-76.856999999999999</v>
      </c>
      <c r="I2813" s="19">
        <v>20.99</v>
      </c>
      <c r="J2813" s="19">
        <v>1.25</v>
      </c>
      <c r="K2813" s="19" t="s">
        <v>124</v>
      </c>
      <c r="L2813" s="19" t="s">
        <v>160</v>
      </c>
      <c r="M2813" s="15" t="s">
        <v>1906</v>
      </c>
      <c r="N2813" s="15" t="s">
        <v>64</v>
      </c>
      <c r="O2813" s="15" t="s">
        <v>65</v>
      </c>
      <c r="P2813" s="20" t="s">
        <v>1261</v>
      </c>
      <c r="Q2813" s="15" t="s">
        <v>49</v>
      </c>
      <c r="R2813" s="4"/>
      <c r="S2813" s="4"/>
    </row>
    <row r="2814" spans="1:19" ht="21" customHeight="1" x14ac:dyDescent="0.25">
      <c r="A2814" s="14">
        <f>DATE(2012,12,31)-53</f>
        <v>41221</v>
      </c>
      <c r="B2814" s="15" t="s">
        <v>1511</v>
      </c>
      <c r="C2814" s="15" t="s">
        <v>85</v>
      </c>
      <c r="D2814" s="16">
        <v>26</v>
      </c>
      <c r="E2814" s="17">
        <v>452.39</v>
      </c>
      <c r="F2814" s="16">
        <v>0.08</v>
      </c>
      <c r="G2814" s="15" t="s">
        <v>32</v>
      </c>
      <c r="H2814" s="18">
        <v>-22.83</v>
      </c>
      <c r="I2814" s="19">
        <v>17.52</v>
      </c>
      <c r="J2814" s="19">
        <v>8.17</v>
      </c>
      <c r="K2814" s="19" t="s">
        <v>124</v>
      </c>
      <c r="L2814" s="19" t="s">
        <v>160</v>
      </c>
      <c r="M2814" s="15" t="s">
        <v>1951</v>
      </c>
      <c r="N2814" s="15" t="s">
        <v>36</v>
      </c>
      <c r="O2814" s="15" t="s">
        <v>176</v>
      </c>
      <c r="P2814" s="20" t="s">
        <v>310</v>
      </c>
      <c r="Q2814" s="15" t="s">
        <v>57</v>
      </c>
      <c r="R2814" s="4"/>
      <c r="S2814" s="4"/>
    </row>
    <row r="2815" spans="1:19" ht="21" customHeight="1" x14ac:dyDescent="0.25">
      <c r="A2815" s="14">
        <f>DATE(2012,12,31)-53</f>
        <v>41221</v>
      </c>
      <c r="B2815" s="15" t="s">
        <v>1511</v>
      </c>
      <c r="C2815" s="15" t="s">
        <v>85</v>
      </c>
      <c r="D2815" s="16">
        <v>5</v>
      </c>
      <c r="E2815" s="17">
        <v>117.13</v>
      </c>
      <c r="F2815" s="16">
        <v>0</v>
      </c>
      <c r="G2815" s="15" t="s">
        <v>32</v>
      </c>
      <c r="H2815" s="18">
        <v>-70.47</v>
      </c>
      <c r="I2815" s="19">
        <v>20.95</v>
      </c>
      <c r="J2815" s="19">
        <v>4</v>
      </c>
      <c r="K2815" s="19" t="s">
        <v>124</v>
      </c>
      <c r="L2815" s="19" t="s">
        <v>164</v>
      </c>
      <c r="M2815" s="15" t="s">
        <v>1228</v>
      </c>
      <c r="N2815" s="15" t="s">
        <v>64</v>
      </c>
      <c r="O2815" s="15" t="s">
        <v>72</v>
      </c>
      <c r="P2815" s="20" t="s">
        <v>1259</v>
      </c>
      <c r="Q2815" s="15" t="s">
        <v>83</v>
      </c>
      <c r="R2815" s="4"/>
      <c r="S2815" s="4"/>
    </row>
    <row r="2816" spans="1:19" ht="21" customHeight="1" x14ac:dyDescent="0.25">
      <c r="A2816" s="14">
        <f>DATE(2012,12,31)-1282</f>
        <v>39992</v>
      </c>
      <c r="B2816" s="15" t="s">
        <v>1952</v>
      </c>
      <c r="C2816" s="15" t="s">
        <v>85</v>
      </c>
      <c r="D2816" s="16">
        <v>46</v>
      </c>
      <c r="E2816" s="17">
        <v>160.27000000000001</v>
      </c>
      <c r="F2816" s="16">
        <v>0.06</v>
      </c>
      <c r="G2816" s="15" t="s">
        <v>32</v>
      </c>
      <c r="H2816" s="18">
        <v>-183.35599999999999</v>
      </c>
      <c r="I2816" s="19">
        <v>3.58</v>
      </c>
      <c r="J2816" s="19">
        <v>5.47</v>
      </c>
      <c r="K2816" s="19" t="s">
        <v>44</v>
      </c>
      <c r="L2816" s="19" t="s">
        <v>52</v>
      </c>
      <c r="M2816" s="15" t="s">
        <v>1685</v>
      </c>
      <c r="N2816" s="15" t="s">
        <v>36</v>
      </c>
      <c r="O2816" s="15" t="s">
        <v>170</v>
      </c>
      <c r="P2816" s="20" t="s">
        <v>297</v>
      </c>
      <c r="Q2816" s="15" t="s">
        <v>83</v>
      </c>
      <c r="R2816" s="4"/>
      <c r="S2816" s="4"/>
    </row>
    <row r="2817" spans="1:19" ht="21" customHeight="1" x14ac:dyDescent="0.25">
      <c r="A2817" s="14">
        <f>DATE(2012,12,31)-1282</f>
        <v>39992</v>
      </c>
      <c r="B2817" s="15" t="s">
        <v>1952</v>
      </c>
      <c r="C2817" s="15" t="s">
        <v>85</v>
      </c>
      <c r="D2817" s="16">
        <v>46</v>
      </c>
      <c r="E2817" s="17">
        <v>4601.0200000000004</v>
      </c>
      <c r="F2817" s="16">
        <v>0.09</v>
      </c>
      <c r="G2817" s="15" t="s">
        <v>58</v>
      </c>
      <c r="H2817" s="18">
        <v>-129.53</v>
      </c>
      <c r="I2817" s="19">
        <v>100.98</v>
      </c>
      <c r="J2817" s="19">
        <v>35.840000000000003</v>
      </c>
      <c r="K2817" s="19" t="s">
        <v>44</v>
      </c>
      <c r="L2817" s="19" t="s">
        <v>52</v>
      </c>
      <c r="M2817" s="15" t="s">
        <v>1685</v>
      </c>
      <c r="N2817" s="15" t="s">
        <v>54</v>
      </c>
      <c r="O2817" s="15" t="s">
        <v>134</v>
      </c>
      <c r="P2817" s="20" t="s">
        <v>440</v>
      </c>
      <c r="Q2817" s="15" t="s">
        <v>63</v>
      </c>
      <c r="R2817" s="4"/>
      <c r="S2817" s="4"/>
    </row>
    <row r="2818" spans="1:19" ht="21" customHeight="1" x14ac:dyDescent="0.25">
      <c r="A2818" s="14">
        <f>DATE(2012,12,31)-1282</f>
        <v>39992</v>
      </c>
      <c r="B2818" s="15" t="s">
        <v>1952</v>
      </c>
      <c r="C2818" s="15" t="s">
        <v>85</v>
      </c>
      <c r="D2818" s="16">
        <v>15</v>
      </c>
      <c r="E2818" s="17">
        <v>89.89</v>
      </c>
      <c r="F2818" s="16">
        <v>0.1</v>
      </c>
      <c r="G2818" s="15" t="s">
        <v>32</v>
      </c>
      <c r="H2818" s="18">
        <v>-72.28</v>
      </c>
      <c r="I2818" s="19">
        <v>5.78</v>
      </c>
      <c r="J2818" s="19">
        <v>7.96</v>
      </c>
      <c r="K2818" s="19" t="s">
        <v>44</v>
      </c>
      <c r="L2818" s="19" t="s">
        <v>52</v>
      </c>
      <c r="M2818" s="15" t="s">
        <v>1685</v>
      </c>
      <c r="N2818" s="15" t="s">
        <v>36</v>
      </c>
      <c r="O2818" s="15" t="s">
        <v>117</v>
      </c>
      <c r="P2818" s="20" t="s">
        <v>1017</v>
      </c>
      <c r="Q2818" s="15" t="s">
        <v>83</v>
      </c>
      <c r="R2818" s="4"/>
      <c r="S2818" s="4"/>
    </row>
    <row r="2819" spans="1:19" ht="21" customHeight="1" x14ac:dyDescent="0.25">
      <c r="A2819" s="14">
        <f>DATE(2012,12,31)-912</f>
        <v>40362</v>
      </c>
      <c r="B2819" s="15" t="s">
        <v>635</v>
      </c>
      <c r="C2819" s="15" t="s">
        <v>85</v>
      </c>
      <c r="D2819" s="16">
        <v>35</v>
      </c>
      <c r="E2819" s="17">
        <v>4043.29</v>
      </c>
      <c r="F2819" s="16">
        <v>0.06</v>
      </c>
      <c r="G2819" s="15" t="s">
        <v>58</v>
      </c>
      <c r="H2819" s="18">
        <v>-34.304099999999998</v>
      </c>
      <c r="I2819" s="19">
        <v>119.99</v>
      </c>
      <c r="J2819" s="19">
        <v>56.14</v>
      </c>
      <c r="K2819" s="19" t="s">
        <v>44</v>
      </c>
      <c r="L2819" s="19" t="s">
        <v>52</v>
      </c>
      <c r="M2819" s="15" t="s">
        <v>1685</v>
      </c>
      <c r="N2819" s="15" t="s">
        <v>64</v>
      </c>
      <c r="O2819" s="15" t="s">
        <v>122</v>
      </c>
      <c r="P2819" s="20" t="s">
        <v>1542</v>
      </c>
      <c r="Q2819" s="15" t="s">
        <v>63</v>
      </c>
      <c r="R2819" s="4"/>
      <c r="S2819" s="4"/>
    </row>
    <row r="2820" spans="1:19" ht="21" customHeight="1" x14ac:dyDescent="0.25">
      <c r="A2820" s="14">
        <f>DATE(2012,12,31)-912</f>
        <v>40362</v>
      </c>
      <c r="B2820" s="15" t="s">
        <v>635</v>
      </c>
      <c r="C2820" s="15" t="s">
        <v>85</v>
      </c>
      <c r="D2820" s="16">
        <v>24</v>
      </c>
      <c r="E2820" s="17">
        <v>870.48</v>
      </c>
      <c r="F2820" s="16">
        <v>7.0000000000000007E-2</v>
      </c>
      <c r="G2820" s="15" t="s">
        <v>32</v>
      </c>
      <c r="H2820" s="18">
        <v>104.37</v>
      </c>
      <c r="I2820" s="19">
        <v>36.549999999999997</v>
      </c>
      <c r="J2820" s="19">
        <v>13.89</v>
      </c>
      <c r="K2820" s="19" t="s">
        <v>44</v>
      </c>
      <c r="L2820" s="19" t="s">
        <v>52</v>
      </c>
      <c r="M2820" s="15" t="s">
        <v>1685</v>
      </c>
      <c r="N2820" s="15" t="s">
        <v>36</v>
      </c>
      <c r="O2820" s="15" t="s">
        <v>77</v>
      </c>
      <c r="P2820" s="20" t="s">
        <v>150</v>
      </c>
      <c r="Q2820" s="15" t="s">
        <v>79</v>
      </c>
      <c r="R2820" s="4"/>
      <c r="S2820" s="4"/>
    </row>
    <row r="2821" spans="1:19" ht="21" customHeight="1" x14ac:dyDescent="0.25">
      <c r="A2821" s="14">
        <f>DATE(2012,12,31)-103</f>
        <v>41171</v>
      </c>
      <c r="B2821" s="15" t="s">
        <v>185</v>
      </c>
      <c r="C2821" s="15" t="s">
        <v>85</v>
      </c>
      <c r="D2821" s="16">
        <v>24</v>
      </c>
      <c r="E2821" s="17">
        <v>76.06</v>
      </c>
      <c r="F2821" s="16">
        <v>0.02</v>
      </c>
      <c r="G2821" s="15" t="s">
        <v>32</v>
      </c>
      <c r="H2821" s="18">
        <v>30.03</v>
      </c>
      <c r="I2821" s="19">
        <v>3.15</v>
      </c>
      <c r="J2821" s="19">
        <v>0.49</v>
      </c>
      <c r="K2821" s="19" t="s">
        <v>44</v>
      </c>
      <c r="L2821" s="19" t="s">
        <v>52</v>
      </c>
      <c r="M2821" s="15" t="s">
        <v>1685</v>
      </c>
      <c r="N2821" s="15" t="s">
        <v>36</v>
      </c>
      <c r="O2821" s="15" t="s">
        <v>114</v>
      </c>
      <c r="P2821" s="20" t="s">
        <v>845</v>
      </c>
      <c r="Q2821" s="15" t="s">
        <v>83</v>
      </c>
      <c r="R2821" s="4"/>
      <c r="S2821" s="4"/>
    </row>
    <row r="2822" spans="1:19" ht="21" customHeight="1" x14ac:dyDescent="0.25">
      <c r="A2822" s="14">
        <f>DATE(2012,12,31)-433</f>
        <v>40841</v>
      </c>
      <c r="B2822" s="15" t="s">
        <v>1935</v>
      </c>
      <c r="C2822" s="15" t="s">
        <v>31</v>
      </c>
      <c r="D2822" s="16">
        <v>30</v>
      </c>
      <c r="E2822" s="17">
        <v>396.6</v>
      </c>
      <c r="F2822" s="16">
        <v>0.08</v>
      </c>
      <c r="G2822" s="15" t="s">
        <v>32</v>
      </c>
      <c r="H2822" s="18">
        <v>-148.26</v>
      </c>
      <c r="I2822" s="19">
        <v>14.03</v>
      </c>
      <c r="J2822" s="19">
        <v>9.3699999999999992</v>
      </c>
      <c r="K2822" s="19" t="s">
        <v>44</v>
      </c>
      <c r="L2822" s="19" t="s">
        <v>236</v>
      </c>
      <c r="M2822" s="15" t="s">
        <v>1887</v>
      </c>
      <c r="N2822" s="15" t="s">
        <v>36</v>
      </c>
      <c r="O2822" s="15" t="s">
        <v>37</v>
      </c>
      <c r="P2822" s="20" t="s">
        <v>969</v>
      </c>
      <c r="Q2822" s="15" t="s">
        <v>83</v>
      </c>
      <c r="R2822" s="4"/>
      <c r="S2822" s="4"/>
    </row>
    <row r="2823" spans="1:19" ht="21" customHeight="1" x14ac:dyDescent="0.25">
      <c r="A2823" s="14">
        <f>DATE(2012,12,31)-433</f>
        <v>40841</v>
      </c>
      <c r="B2823" s="15" t="s">
        <v>1935</v>
      </c>
      <c r="C2823" s="15" t="s">
        <v>31</v>
      </c>
      <c r="D2823" s="16">
        <v>32</v>
      </c>
      <c r="E2823" s="17">
        <v>6902.51</v>
      </c>
      <c r="F2823" s="16">
        <v>0.04</v>
      </c>
      <c r="G2823" s="15" t="s">
        <v>58</v>
      </c>
      <c r="H2823" s="18">
        <v>-513.79042000000004</v>
      </c>
      <c r="I2823" s="19">
        <v>212.6</v>
      </c>
      <c r="J2823" s="19">
        <v>110.2</v>
      </c>
      <c r="K2823" s="19" t="s">
        <v>44</v>
      </c>
      <c r="L2823" s="19" t="s">
        <v>52</v>
      </c>
      <c r="M2823" s="15" t="s">
        <v>1685</v>
      </c>
      <c r="N2823" s="15" t="s">
        <v>54</v>
      </c>
      <c r="O2823" s="15" t="s">
        <v>61</v>
      </c>
      <c r="P2823" s="20" t="s">
        <v>615</v>
      </c>
      <c r="Q2823" s="15" t="s">
        <v>63</v>
      </c>
      <c r="R2823" s="4"/>
      <c r="S2823" s="4"/>
    </row>
    <row r="2824" spans="1:19" ht="21" customHeight="1" x14ac:dyDescent="0.25">
      <c r="A2824" s="14">
        <f>DATE(2012,12,31)-1038</f>
        <v>40236</v>
      </c>
      <c r="B2824" s="15" t="s">
        <v>1755</v>
      </c>
      <c r="C2824" s="15" t="s">
        <v>85</v>
      </c>
      <c r="D2824" s="16">
        <v>35</v>
      </c>
      <c r="E2824" s="17">
        <v>41.23</v>
      </c>
      <c r="F2824" s="16">
        <v>0.09</v>
      </c>
      <c r="G2824" s="15" t="s">
        <v>32</v>
      </c>
      <c r="H2824" s="18">
        <v>-21.51</v>
      </c>
      <c r="I2824" s="19">
        <v>1.26</v>
      </c>
      <c r="J2824" s="19">
        <v>0.7</v>
      </c>
      <c r="K2824" s="19" t="s">
        <v>44</v>
      </c>
      <c r="L2824" s="19" t="s">
        <v>52</v>
      </c>
      <c r="M2824" s="15" t="s">
        <v>1685</v>
      </c>
      <c r="N2824" s="15" t="s">
        <v>36</v>
      </c>
      <c r="O2824" s="15" t="s">
        <v>105</v>
      </c>
      <c r="P2824" s="20" t="s">
        <v>316</v>
      </c>
      <c r="Q2824" s="15" t="s">
        <v>79</v>
      </c>
      <c r="R2824" s="4"/>
      <c r="S2824" s="4"/>
    </row>
    <row r="2825" spans="1:19" ht="21" customHeight="1" x14ac:dyDescent="0.25">
      <c r="A2825" s="14">
        <f>DATE(2012,12,31)-1238</f>
        <v>40036</v>
      </c>
      <c r="B2825" s="15" t="s">
        <v>932</v>
      </c>
      <c r="C2825" s="15" t="s">
        <v>51</v>
      </c>
      <c r="D2825" s="16">
        <v>31</v>
      </c>
      <c r="E2825" s="17">
        <v>7477.78</v>
      </c>
      <c r="F2825" s="16">
        <v>0.09</v>
      </c>
      <c r="G2825" s="15" t="s">
        <v>58</v>
      </c>
      <c r="H2825" s="18">
        <v>883.29</v>
      </c>
      <c r="I2825" s="19">
        <v>260.98</v>
      </c>
      <c r="J2825" s="19">
        <v>41.91</v>
      </c>
      <c r="K2825" s="19" t="s">
        <v>44</v>
      </c>
      <c r="L2825" s="19" t="s">
        <v>52</v>
      </c>
      <c r="M2825" s="15" t="s">
        <v>1685</v>
      </c>
      <c r="N2825" s="15" t="s">
        <v>54</v>
      </c>
      <c r="O2825" s="15" t="s">
        <v>134</v>
      </c>
      <c r="P2825" s="20" t="s">
        <v>687</v>
      </c>
      <c r="Q2825" s="15" t="s">
        <v>63</v>
      </c>
      <c r="R2825" s="4"/>
      <c r="S2825" s="4"/>
    </row>
    <row r="2826" spans="1:19" ht="21" customHeight="1" x14ac:dyDescent="0.25">
      <c r="A2826" s="14">
        <f>DATE(2012,12,31)-1238</f>
        <v>40036</v>
      </c>
      <c r="B2826" s="15" t="s">
        <v>932</v>
      </c>
      <c r="C2826" s="15" t="s">
        <v>51</v>
      </c>
      <c r="D2826" s="16">
        <v>24</v>
      </c>
      <c r="E2826" s="17">
        <v>270.39</v>
      </c>
      <c r="F2826" s="16">
        <v>0.01</v>
      </c>
      <c r="G2826" s="15" t="s">
        <v>32</v>
      </c>
      <c r="H2826" s="18">
        <v>-30.42</v>
      </c>
      <c r="I2826" s="19">
        <v>10.52</v>
      </c>
      <c r="J2826" s="19">
        <v>7.94</v>
      </c>
      <c r="K2826" s="19" t="s">
        <v>44</v>
      </c>
      <c r="L2826" s="19" t="s">
        <v>52</v>
      </c>
      <c r="M2826" s="15" t="s">
        <v>1685</v>
      </c>
      <c r="N2826" s="15" t="s">
        <v>54</v>
      </c>
      <c r="O2826" s="15" t="s">
        <v>55</v>
      </c>
      <c r="P2826" s="20" t="s">
        <v>1953</v>
      </c>
      <c r="Q2826" s="15" t="s">
        <v>49</v>
      </c>
      <c r="R2826" s="4"/>
      <c r="S2826" s="4"/>
    </row>
    <row r="2827" spans="1:19" ht="21" customHeight="1" x14ac:dyDescent="0.25">
      <c r="A2827" s="14">
        <f>DATE(2012,12,31)-1238</f>
        <v>40036</v>
      </c>
      <c r="B2827" s="15" t="s">
        <v>932</v>
      </c>
      <c r="C2827" s="15" t="s">
        <v>51</v>
      </c>
      <c r="D2827" s="16">
        <v>30</v>
      </c>
      <c r="E2827" s="17">
        <v>201.35</v>
      </c>
      <c r="F2827" s="16">
        <v>0.02</v>
      </c>
      <c r="G2827" s="15" t="s">
        <v>101</v>
      </c>
      <c r="H2827" s="18">
        <v>-107.37</v>
      </c>
      <c r="I2827" s="19">
        <v>5.98</v>
      </c>
      <c r="J2827" s="19">
        <v>7.5</v>
      </c>
      <c r="K2827" s="19" t="s">
        <v>44</v>
      </c>
      <c r="L2827" s="19" t="s">
        <v>52</v>
      </c>
      <c r="M2827" s="15" t="s">
        <v>1685</v>
      </c>
      <c r="N2827" s="15" t="s">
        <v>36</v>
      </c>
      <c r="O2827" s="15" t="s">
        <v>117</v>
      </c>
      <c r="P2827" s="20" t="s">
        <v>1801</v>
      </c>
      <c r="Q2827" s="15" t="s">
        <v>83</v>
      </c>
      <c r="R2827" s="4"/>
      <c r="S2827" s="4"/>
    </row>
    <row r="2828" spans="1:19" ht="21" customHeight="1" x14ac:dyDescent="0.25">
      <c r="A2828" s="14">
        <f>DATE(2012,12,31)-1218</f>
        <v>40056</v>
      </c>
      <c r="B2828" s="15" t="s">
        <v>789</v>
      </c>
      <c r="C2828" s="15" t="s">
        <v>43</v>
      </c>
      <c r="D2828" s="16">
        <v>35</v>
      </c>
      <c r="E2828" s="17">
        <v>1271.1199999999999</v>
      </c>
      <c r="F2828" s="16">
        <v>0.05</v>
      </c>
      <c r="G2828" s="15" t="s">
        <v>101</v>
      </c>
      <c r="H2828" s="18">
        <v>-62.82</v>
      </c>
      <c r="I2828" s="19">
        <v>34.979999999999997</v>
      </c>
      <c r="J2828" s="19">
        <v>7.53</v>
      </c>
      <c r="K2828" s="19" t="s">
        <v>44</v>
      </c>
      <c r="L2828" s="19" t="s">
        <v>80</v>
      </c>
      <c r="M2828" s="15" t="s">
        <v>1823</v>
      </c>
      <c r="N2828" s="15" t="s">
        <v>64</v>
      </c>
      <c r="O2828" s="15" t="s">
        <v>72</v>
      </c>
      <c r="P2828" s="20" t="s">
        <v>1694</v>
      </c>
      <c r="Q2828" s="15" t="s">
        <v>83</v>
      </c>
      <c r="R2828" s="4"/>
      <c r="S2828" s="4"/>
    </row>
    <row r="2829" spans="1:19" ht="21" customHeight="1" x14ac:dyDescent="0.25">
      <c r="A2829" s="14">
        <f>DATE(2012,12,31)-1218</f>
        <v>40056</v>
      </c>
      <c r="B2829" s="15" t="s">
        <v>789</v>
      </c>
      <c r="C2829" s="15" t="s">
        <v>43</v>
      </c>
      <c r="D2829" s="16">
        <v>17</v>
      </c>
      <c r="E2829" s="17">
        <v>58.5</v>
      </c>
      <c r="F2829" s="16">
        <v>0</v>
      </c>
      <c r="G2829" s="15" t="s">
        <v>32</v>
      </c>
      <c r="H2829" s="18">
        <v>-25.26</v>
      </c>
      <c r="I2829" s="19">
        <v>3.14</v>
      </c>
      <c r="J2829" s="19">
        <v>1.92</v>
      </c>
      <c r="K2829" s="19" t="s">
        <v>44</v>
      </c>
      <c r="L2829" s="19" t="s">
        <v>52</v>
      </c>
      <c r="M2829" s="15" t="s">
        <v>1685</v>
      </c>
      <c r="N2829" s="15" t="s">
        <v>36</v>
      </c>
      <c r="O2829" s="15" t="s">
        <v>47</v>
      </c>
      <c r="P2829" s="20" t="s">
        <v>148</v>
      </c>
      <c r="Q2829" s="15" t="s">
        <v>79</v>
      </c>
      <c r="R2829" s="4"/>
      <c r="S2829" s="4"/>
    </row>
    <row r="2830" spans="1:19" ht="21" customHeight="1" x14ac:dyDescent="0.25">
      <c r="A2830" s="14">
        <f>DATE(2012,12,31)-1435</f>
        <v>39839</v>
      </c>
      <c r="B2830" s="15" t="s">
        <v>1302</v>
      </c>
      <c r="C2830" s="15" t="s">
        <v>51</v>
      </c>
      <c r="D2830" s="16">
        <v>5</v>
      </c>
      <c r="E2830" s="17">
        <v>15.38</v>
      </c>
      <c r="F2830" s="16">
        <v>0.01</v>
      </c>
      <c r="G2830" s="15" t="s">
        <v>32</v>
      </c>
      <c r="H2830" s="18">
        <v>1.61</v>
      </c>
      <c r="I2830" s="19">
        <v>2.89</v>
      </c>
      <c r="J2830" s="19">
        <v>0.5</v>
      </c>
      <c r="K2830" s="19" t="s">
        <v>44</v>
      </c>
      <c r="L2830" s="19" t="s">
        <v>80</v>
      </c>
      <c r="M2830" s="15" t="s">
        <v>1823</v>
      </c>
      <c r="N2830" s="15" t="s">
        <v>36</v>
      </c>
      <c r="O2830" s="15" t="s">
        <v>114</v>
      </c>
      <c r="P2830" s="20" t="s">
        <v>115</v>
      </c>
      <c r="Q2830" s="15" t="s">
        <v>83</v>
      </c>
      <c r="R2830" s="4"/>
      <c r="S2830" s="4"/>
    </row>
    <row r="2831" spans="1:19" ht="21" customHeight="1" x14ac:dyDescent="0.25">
      <c r="A2831" s="14">
        <f>DATE(2012,12,31)-1435</f>
        <v>39839</v>
      </c>
      <c r="B2831" s="15" t="s">
        <v>1302</v>
      </c>
      <c r="C2831" s="15" t="s">
        <v>51</v>
      </c>
      <c r="D2831" s="16">
        <v>30</v>
      </c>
      <c r="E2831" s="17">
        <v>447.33</v>
      </c>
      <c r="F2831" s="16">
        <v>0.03</v>
      </c>
      <c r="G2831" s="15" t="s">
        <v>32</v>
      </c>
      <c r="H2831" s="18">
        <v>115.21</v>
      </c>
      <c r="I2831" s="19">
        <v>14.34</v>
      </c>
      <c r="J2831" s="19">
        <v>5</v>
      </c>
      <c r="K2831" s="19" t="s">
        <v>44</v>
      </c>
      <c r="L2831" s="19" t="s">
        <v>52</v>
      </c>
      <c r="M2831" s="15" t="s">
        <v>1685</v>
      </c>
      <c r="N2831" s="15" t="s">
        <v>54</v>
      </c>
      <c r="O2831" s="15" t="s">
        <v>55</v>
      </c>
      <c r="P2831" s="20" t="s">
        <v>277</v>
      </c>
      <c r="Q2831" s="15" t="s">
        <v>49</v>
      </c>
      <c r="R2831" s="4"/>
      <c r="S2831" s="4"/>
    </row>
    <row r="2832" spans="1:19" ht="21" customHeight="1" x14ac:dyDescent="0.25">
      <c r="A2832" s="14">
        <f>DATE(2012,12,31)-517</f>
        <v>40757</v>
      </c>
      <c r="B2832" s="15" t="s">
        <v>1954</v>
      </c>
      <c r="C2832" s="15" t="s">
        <v>85</v>
      </c>
      <c r="D2832" s="16">
        <v>23</v>
      </c>
      <c r="E2832" s="17">
        <v>104.82</v>
      </c>
      <c r="F2832" s="16">
        <v>0.02</v>
      </c>
      <c r="G2832" s="15" t="s">
        <v>101</v>
      </c>
      <c r="H2832" s="18">
        <v>6.84</v>
      </c>
      <c r="I2832" s="19">
        <v>3.69</v>
      </c>
      <c r="J2832" s="19">
        <v>2.5</v>
      </c>
      <c r="K2832" s="19" t="s">
        <v>44</v>
      </c>
      <c r="L2832" s="19" t="s">
        <v>52</v>
      </c>
      <c r="M2832" s="15" t="s">
        <v>1685</v>
      </c>
      <c r="N2832" s="15" t="s">
        <v>36</v>
      </c>
      <c r="O2832" s="15" t="s">
        <v>189</v>
      </c>
      <c r="P2832" s="20" t="s">
        <v>1871</v>
      </c>
      <c r="Q2832" s="15" t="s">
        <v>83</v>
      </c>
      <c r="R2832" s="4"/>
      <c r="S2832" s="4"/>
    </row>
    <row r="2833" spans="1:19" ht="21" customHeight="1" x14ac:dyDescent="0.25">
      <c r="A2833" s="14">
        <f>DATE(2012,12,31)-1093</f>
        <v>40181</v>
      </c>
      <c r="B2833" s="15" t="s">
        <v>580</v>
      </c>
      <c r="C2833" s="15" t="s">
        <v>85</v>
      </c>
      <c r="D2833" s="16">
        <v>19</v>
      </c>
      <c r="E2833" s="17">
        <v>1216.5</v>
      </c>
      <c r="F2833" s="16">
        <v>0.1</v>
      </c>
      <c r="G2833" s="15" t="s">
        <v>32</v>
      </c>
      <c r="H2833" s="18">
        <v>162.18</v>
      </c>
      <c r="I2833" s="19">
        <v>67.28</v>
      </c>
      <c r="J2833" s="19">
        <v>19.989999999999998</v>
      </c>
      <c r="K2833" s="19" t="s">
        <v>97</v>
      </c>
      <c r="L2833" s="19" t="s">
        <v>98</v>
      </c>
      <c r="M2833" s="15" t="s">
        <v>1162</v>
      </c>
      <c r="N2833" s="15" t="s">
        <v>36</v>
      </c>
      <c r="O2833" s="15" t="s">
        <v>170</v>
      </c>
      <c r="P2833" s="20" t="s">
        <v>821</v>
      </c>
      <c r="Q2833" s="15" t="s">
        <v>83</v>
      </c>
      <c r="R2833" s="4"/>
      <c r="S2833" s="4"/>
    </row>
    <row r="2834" spans="1:19" ht="21" customHeight="1" x14ac:dyDescent="0.25">
      <c r="A2834" s="14">
        <f>DATE(2012,12,31)-24</f>
        <v>41250</v>
      </c>
      <c r="B2834" s="15" t="s">
        <v>394</v>
      </c>
      <c r="C2834" s="15" t="s">
        <v>85</v>
      </c>
      <c r="D2834" s="16">
        <v>26</v>
      </c>
      <c r="E2834" s="17">
        <v>6878.55</v>
      </c>
      <c r="F2834" s="16">
        <v>0.03</v>
      </c>
      <c r="G2834" s="15" t="s">
        <v>58</v>
      </c>
      <c r="H2834" s="18">
        <v>506.71</v>
      </c>
      <c r="I2834" s="19">
        <v>259.70999999999998</v>
      </c>
      <c r="J2834" s="19">
        <v>66.67</v>
      </c>
      <c r="K2834" s="19" t="s">
        <v>44</v>
      </c>
      <c r="L2834" s="19" t="s">
        <v>52</v>
      </c>
      <c r="M2834" s="15" t="s">
        <v>1685</v>
      </c>
      <c r="N2834" s="15" t="s">
        <v>54</v>
      </c>
      <c r="O2834" s="15" t="s">
        <v>61</v>
      </c>
      <c r="P2834" s="20" t="s">
        <v>1293</v>
      </c>
      <c r="Q2834" s="15" t="s">
        <v>63</v>
      </c>
      <c r="R2834" s="4"/>
      <c r="S2834" s="4"/>
    </row>
    <row r="2835" spans="1:19" ht="21" customHeight="1" x14ac:dyDescent="0.25">
      <c r="A2835" s="14">
        <f>DATE(2012,12,31)-220</f>
        <v>41054</v>
      </c>
      <c r="B2835" s="15" t="s">
        <v>1192</v>
      </c>
      <c r="C2835" s="15" t="s">
        <v>85</v>
      </c>
      <c r="D2835" s="16">
        <v>6</v>
      </c>
      <c r="E2835" s="17">
        <v>53.72</v>
      </c>
      <c r="F2835" s="16">
        <v>0.1</v>
      </c>
      <c r="G2835" s="15" t="s">
        <v>32</v>
      </c>
      <c r="H2835" s="18">
        <v>2.82</v>
      </c>
      <c r="I2835" s="19">
        <v>8.9499999999999993</v>
      </c>
      <c r="J2835" s="19">
        <v>2.0099999999999998</v>
      </c>
      <c r="K2835" s="19" t="s">
        <v>33</v>
      </c>
      <c r="L2835" s="19" t="s">
        <v>93</v>
      </c>
      <c r="M2835" s="15" t="s">
        <v>94</v>
      </c>
      <c r="N2835" s="15" t="s">
        <v>36</v>
      </c>
      <c r="O2835" s="15" t="s">
        <v>117</v>
      </c>
      <c r="P2835" s="20" t="s">
        <v>1955</v>
      </c>
      <c r="Q2835" s="15" t="s">
        <v>79</v>
      </c>
      <c r="R2835" s="4"/>
      <c r="S2835" s="4"/>
    </row>
    <row r="2836" spans="1:19" ht="21" customHeight="1" x14ac:dyDescent="0.25">
      <c r="A2836" s="14">
        <f>DATE(2012,12,31)-220</f>
        <v>41054</v>
      </c>
      <c r="B2836" s="15" t="s">
        <v>1192</v>
      </c>
      <c r="C2836" s="15" t="s">
        <v>85</v>
      </c>
      <c r="D2836" s="16">
        <v>33</v>
      </c>
      <c r="E2836" s="17">
        <v>1809.21</v>
      </c>
      <c r="F2836" s="16">
        <v>0.04</v>
      </c>
      <c r="G2836" s="15" t="s">
        <v>32</v>
      </c>
      <c r="H2836" s="18">
        <v>454.49</v>
      </c>
      <c r="I2836" s="19">
        <v>55.29</v>
      </c>
      <c r="J2836" s="19">
        <v>5.08</v>
      </c>
      <c r="K2836" s="19" t="s">
        <v>69</v>
      </c>
      <c r="L2836" s="19" t="s">
        <v>70</v>
      </c>
      <c r="M2836" s="15" t="s">
        <v>1895</v>
      </c>
      <c r="N2836" s="15" t="s">
        <v>36</v>
      </c>
      <c r="O2836" s="15" t="s">
        <v>37</v>
      </c>
      <c r="P2836" s="20" t="s">
        <v>1230</v>
      </c>
      <c r="Q2836" s="15" t="s">
        <v>83</v>
      </c>
      <c r="R2836" s="4"/>
      <c r="S2836" s="4"/>
    </row>
    <row r="2837" spans="1:19" ht="21" customHeight="1" x14ac:dyDescent="0.25">
      <c r="A2837" s="14">
        <f>DATE(2012,12,31)-220</f>
        <v>41054</v>
      </c>
      <c r="B2837" s="15" t="s">
        <v>1192</v>
      </c>
      <c r="C2837" s="15" t="s">
        <v>85</v>
      </c>
      <c r="D2837" s="16">
        <v>17</v>
      </c>
      <c r="E2837" s="17">
        <v>9150.09</v>
      </c>
      <c r="F2837" s="16">
        <v>0.1</v>
      </c>
      <c r="G2837" s="15" t="s">
        <v>58</v>
      </c>
      <c r="H2837" s="18">
        <v>-1331.5533660000001</v>
      </c>
      <c r="I2837" s="19">
        <v>550.98</v>
      </c>
      <c r="J2837" s="19">
        <v>45.7</v>
      </c>
      <c r="K2837" s="19" t="s">
        <v>44</v>
      </c>
      <c r="L2837" s="19" t="s">
        <v>89</v>
      </c>
      <c r="M2837" s="15" t="s">
        <v>1932</v>
      </c>
      <c r="N2837" s="15" t="s">
        <v>54</v>
      </c>
      <c r="O2837" s="15" t="s">
        <v>61</v>
      </c>
      <c r="P2837" s="20" t="s">
        <v>1161</v>
      </c>
      <c r="Q2837" s="15" t="s">
        <v>63</v>
      </c>
      <c r="R2837" s="4"/>
      <c r="S2837" s="4"/>
    </row>
    <row r="2838" spans="1:19" ht="21" customHeight="1" x14ac:dyDescent="0.25">
      <c r="A2838" s="14">
        <f>DATE(2012,12,31)-662</f>
        <v>40612</v>
      </c>
      <c r="B2838" s="15" t="s">
        <v>1828</v>
      </c>
      <c r="C2838" s="15" t="s">
        <v>85</v>
      </c>
      <c r="D2838" s="16">
        <v>23</v>
      </c>
      <c r="E2838" s="17">
        <v>450.39</v>
      </c>
      <c r="F2838" s="16">
        <v>7.0000000000000007E-2</v>
      </c>
      <c r="G2838" s="15" t="s">
        <v>32</v>
      </c>
      <c r="H2838" s="18">
        <v>152.79</v>
      </c>
      <c r="I2838" s="19">
        <v>19.23</v>
      </c>
      <c r="J2838" s="19">
        <v>6.15</v>
      </c>
      <c r="K2838" s="19" t="s">
        <v>44</v>
      </c>
      <c r="L2838" s="19" t="s">
        <v>45</v>
      </c>
      <c r="M2838" s="15" t="s">
        <v>1768</v>
      </c>
      <c r="N2838" s="15" t="s">
        <v>54</v>
      </c>
      <c r="O2838" s="15" t="s">
        <v>55</v>
      </c>
      <c r="P2838" s="20" t="s">
        <v>1187</v>
      </c>
      <c r="Q2838" s="15" t="s">
        <v>49</v>
      </c>
      <c r="R2838" s="4"/>
      <c r="S2838" s="4"/>
    </row>
    <row r="2839" spans="1:19" ht="21" customHeight="1" x14ac:dyDescent="0.25">
      <c r="A2839" s="14">
        <f>DATE(2012,12,31)-662</f>
        <v>40612</v>
      </c>
      <c r="B2839" s="15" t="s">
        <v>1828</v>
      </c>
      <c r="C2839" s="15" t="s">
        <v>85</v>
      </c>
      <c r="D2839" s="16">
        <v>17</v>
      </c>
      <c r="E2839" s="17">
        <v>1193.1195</v>
      </c>
      <c r="F2839" s="16">
        <v>0.08</v>
      </c>
      <c r="G2839" s="15" t="s">
        <v>101</v>
      </c>
      <c r="H2839" s="18">
        <v>137.59199999999998</v>
      </c>
      <c r="I2839" s="19">
        <v>85.99</v>
      </c>
      <c r="J2839" s="19">
        <v>0.99</v>
      </c>
      <c r="K2839" s="19" t="s">
        <v>44</v>
      </c>
      <c r="L2839" s="19" t="s">
        <v>89</v>
      </c>
      <c r="M2839" s="15" t="s">
        <v>1932</v>
      </c>
      <c r="N2839" s="15" t="s">
        <v>64</v>
      </c>
      <c r="O2839" s="15" t="s">
        <v>65</v>
      </c>
      <c r="P2839" s="20" t="s">
        <v>1595</v>
      </c>
      <c r="Q2839" s="15" t="s">
        <v>79</v>
      </c>
      <c r="R2839" s="4"/>
      <c r="S2839" s="4"/>
    </row>
    <row r="2840" spans="1:19" ht="21" customHeight="1" x14ac:dyDescent="0.25">
      <c r="A2840" s="14">
        <f>DATE(2012,12,31)-917</f>
        <v>40357</v>
      </c>
      <c r="B2840" s="15" t="s">
        <v>1956</v>
      </c>
      <c r="C2840" s="15" t="s">
        <v>85</v>
      </c>
      <c r="D2840" s="16">
        <v>7</v>
      </c>
      <c r="E2840" s="17">
        <v>381.1995</v>
      </c>
      <c r="F2840" s="16">
        <v>0.08</v>
      </c>
      <c r="G2840" s="15" t="s">
        <v>101</v>
      </c>
      <c r="H2840" s="18">
        <v>-233.56300000000002</v>
      </c>
      <c r="I2840" s="19">
        <v>65.989999999999995</v>
      </c>
      <c r="J2840" s="19">
        <v>8.99</v>
      </c>
      <c r="K2840" s="19" t="s">
        <v>44</v>
      </c>
      <c r="L2840" s="19" t="s">
        <v>52</v>
      </c>
      <c r="M2840" s="15" t="s">
        <v>1685</v>
      </c>
      <c r="N2840" s="15" t="s">
        <v>64</v>
      </c>
      <c r="O2840" s="15" t="s">
        <v>65</v>
      </c>
      <c r="P2840" s="20" t="s">
        <v>1408</v>
      </c>
      <c r="Q2840" s="15" t="s">
        <v>83</v>
      </c>
      <c r="R2840" s="4"/>
      <c r="S2840" s="4"/>
    </row>
    <row r="2841" spans="1:19" ht="21" customHeight="1" x14ac:dyDescent="0.25">
      <c r="A2841" s="14">
        <f>DATE(2012,12,31)-1432</f>
        <v>39842</v>
      </c>
      <c r="B2841" s="15" t="s">
        <v>489</v>
      </c>
      <c r="C2841" s="15" t="s">
        <v>85</v>
      </c>
      <c r="D2841" s="16">
        <v>38</v>
      </c>
      <c r="E2841" s="17">
        <v>16147.61</v>
      </c>
      <c r="F2841" s="16">
        <v>0.02</v>
      </c>
      <c r="G2841" s="15" t="s">
        <v>32</v>
      </c>
      <c r="H2841" s="18">
        <v>7604.95</v>
      </c>
      <c r="I2841" s="19">
        <v>420.98</v>
      </c>
      <c r="J2841" s="19">
        <v>19.989999999999998</v>
      </c>
      <c r="K2841" s="19" t="s">
        <v>97</v>
      </c>
      <c r="L2841" s="19" t="s">
        <v>98</v>
      </c>
      <c r="M2841" s="15" t="s">
        <v>1162</v>
      </c>
      <c r="N2841" s="15" t="s">
        <v>36</v>
      </c>
      <c r="O2841" s="15" t="s">
        <v>170</v>
      </c>
      <c r="P2841" s="20" t="s">
        <v>466</v>
      </c>
      <c r="Q2841" s="15" t="s">
        <v>83</v>
      </c>
      <c r="R2841" s="4"/>
      <c r="S2841" s="4"/>
    </row>
    <row r="2842" spans="1:19" ht="21" customHeight="1" x14ac:dyDescent="0.25">
      <c r="A2842" s="14">
        <f>DATE(2012,12,31)-1432</f>
        <v>39842</v>
      </c>
      <c r="B2842" s="15" t="s">
        <v>489</v>
      </c>
      <c r="C2842" s="15" t="s">
        <v>85</v>
      </c>
      <c r="D2842" s="16">
        <v>4</v>
      </c>
      <c r="E2842" s="17">
        <v>1042.6300000000001</v>
      </c>
      <c r="F2842" s="16">
        <v>0.02</v>
      </c>
      <c r="G2842" s="15" t="s">
        <v>58</v>
      </c>
      <c r="H2842" s="18">
        <v>-219.93</v>
      </c>
      <c r="I2842" s="19">
        <v>240.98</v>
      </c>
      <c r="J2842" s="19">
        <v>60.2</v>
      </c>
      <c r="K2842" s="19" t="s">
        <v>124</v>
      </c>
      <c r="L2842" s="19" t="s">
        <v>160</v>
      </c>
      <c r="M2842" s="15" t="s">
        <v>1951</v>
      </c>
      <c r="N2842" s="15" t="s">
        <v>54</v>
      </c>
      <c r="O2842" s="15" t="s">
        <v>134</v>
      </c>
      <c r="P2842" s="20" t="s">
        <v>1552</v>
      </c>
      <c r="Q2842" s="15" t="s">
        <v>63</v>
      </c>
      <c r="R2842" s="4"/>
      <c r="S2842" s="4"/>
    </row>
    <row r="2843" spans="1:19" ht="21" customHeight="1" x14ac:dyDescent="0.25">
      <c r="A2843" s="14">
        <f>DATE(2012,12,31)-532</f>
        <v>40742</v>
      </c>
      <c r="B2843" s="15" t="s">
        <v>1409</v>
      </c>
      <c r="C2843" s="15" t="s">
        <v>85</v>
      </c>
      <c r="D2843" s="16">
        <v>38</v>
      </c>
      <c r="E2843" s="17">
        <v>4650.07</v>
      </c>
      <c r="F2843" s="16">
        <v>0.04</v>
      </c>
      <c r="G2843" s="15" t="s">
        <v>58</v>
      </c>
      <c r="H2843" s="18">
        <v>-1143.1500000000001</v>
      </c>
      <c r="I2843" s="19">
        <v>120.98</v>
      </c>
      <c r="J2843" s="19">
        <v>60.19</v>
      </c>
      <c r="K2843" s="19" t="s">
        <v>124</v>
      </c>
      <c r="L2843" s="19" t="s">
        <v>164</v>
      </c>
      <c r="M2843" s="15" t="s">
        <v>1228</v>
      </c>
      <c r="N2843" s="15" t="s">
        <v>54</v>
      </c>
      <c r="O2843" s="15" t="s">
        <v>134</v>
      </c>
      <c r="P2843" s="20" t="s">
        <v>1957</v>
      </c>
      <c r="Q2843" s="15" t="s">
        <v>63</v>
      </c>
      <c r="R2843" s="4"/>
      <c r="S2843" s="4"/>
    </row>
    <row r="2844" spans="1:19" ht="21" customHeight="1" x14ac:dyDescent="0.25">
      <c r="A2844" s="14">
        <f>DATE(2012,12,31)-532</f>
        <v>40742</v>
      </c>
      <c r="B2844" s="15" t="s">
        <v>1409</v>
      </c>
      <c r="C2844" s="15" t="s">
        <v>85</v>
      </c>
      <c r="D2844" s="16">
        <v>39</v>
      </c>
      <c r="E2844" s="17">
        <v>497.52</v>
      </c>
      <c r="F2844" s="16">
        <v>0.03</v>
      </c>
      <c r="G2844" s="15" t="s">
        <v>32</v>
      </c>
      <c r="H2844" s="18">
        <v>92.46</v>
      </c>
      <c r="I2844" s="19">
        <v>12.28</v>
      </c>
      <c r="J2844" s="19">
        <v>5.09</v>
      </c>
      <c r="K2844" s="19" t="s">
        <v>124</v>
      </c>
      <c r="L2844" s="19" t="s">
        <v>164</v>
      </c>
      <c r="M2844" s="15" t="s">
        <v>1228</v>
      </c>
      <c r="N2844" s="15" t="s">
        <v>36</v>
      </c>
      <c r="O2844" s="15" t="s">
        <v>117</v>
      </c>
      <c r="P2844" s="20" t="s">
        <v>1958</v>
      </c>
      <c r="Q2844" s="15" t="s">
        <v>83</v>
      </c>
      <c r="R2844" s="4"/>
      <c r="S2844" s="4"/>
    </row>
    <row r="2845" spans="1:19" ht="21" customHeight="1" x14ac:dyDescent="0.25">
      <c r="A2845" s="14">
        <f>DATE(2012,12,31)-1432</f>
        <v>39842</v>
      </c>
      <c r="B2845" s="15" t="s">
        <v>1830</v>
      </c>
      <c r="C2845" s="15" t="s">
        <v>85</v>
      </c>
      <c r="D2845" s="16">
        <v>14</v>
      </c>
      <c r="E2845" s="17">
        <v>1122.6375</v>
      </c>
      <c r="F2845" s="16">
        <v>0.09</v>
      </c>
      <c r="G2845" s="15" t="s">
        <v>32</v>
      </c>
      <c r="H2845" s="18">
        <v>17.676000000000002</v>
      </c>
      <c r="I2845" s="19">
        <v>95.99</v>
      </c>
      <c r="J2845" s="19">
        <v>4.9000000000000004</v>
      </c>
      <c r="K2845" s="19" t="s">
        <v>44</v>
      </c>
      <c r="L2845" s="19" t="s">
        <v>52</v>
      </c>
      <c r="M2845" s="15" t="s">
        <v>1685</v>
      </c>
      <c r="N2845" s="15" t="s">
        <v>64</v>
      </c>
      <c r="O2845" s="15" t="s">
        <v>65</v>
      </c>
      <c r="P2845" s="20" t="s">
        <v>477</v>
      </c>
      <c r="Q2845" s="15" t="s">
        <v>83</v>
      </c>
      <c r="R2845" s="4"/>
      <c r="S2845" s="4"/>
    </row>
    <row r="2846" spans="1:19" ht="21" customHeight="1" x14ac:dyDescent="0.25">
      <c r="A2846" s="14">
        <f>DATE(2012,12,31)-667</f>
        <v>40607</v>
      </c>
      <c r="B2846" s="15" t="s">
        <v>552</v>
      </c>
      <c r="C2846" s="15" t="s">
        <v>51</v>
      </c>
      <c r="D2846" s="16">
        <v>34</v>
      </c>
      <c r="E2846" s="17">
        <v>306.3</v>
      </c>
      <c r="F2846" s="16">
        <v>7.0000000000000007E-2</v>
      </c>
      <c r="G2846" s="15" t="s">
        <v>32</v>
      </c>
      <c r="H2846" s="18">
        <v>18.73</v>
      </c>
      <c r="I2846" s="19">
        <v>9.27</v>
      </c>
      <c r="J2846" s="19">
        <v>4.3899999999999997</v>
      </c>
      <c r="K2846" s="19" t="s">
        <v>44</v>
      </c>
      <c r="L2846" s="19" t="s">
        <v>236</v>
      </c>
      <c r="M2846" s="15" t="s">
        <v>1887</v>
      </c>
      <c r="N2846" s="15" t="s">
        <v>36</v>
      </c>
      <c r="O2846" s="15" t="s">
        <v>117</v>
      </c>
      <c r="P2846" s="20" t="s">
        <v>434</v>
      </c>
      <c r="Q2846" s="15" t="s">
        <v>79</v>
      </c>
      <c r="R2846" s="4"/>
      <c r="S2846" s="4"/>
    </row>
    <row r="2847" spans="1:19" ht="21" customHeight="1" x14ac:dyDescent="0.25">
      <c r="A2847" s="14">
        <f>DATE(2012,12,31)-667</f>
        <v>40607</v>
      </c>
      <c r="B2847" s="15" t="s">
        <v>552</v>
      </c>
      <c r="C2847" s="15" t="s">
        <v>51</v>
      </c>
      <c r="D2847" s="16">
        <v>42</v>
      </c>
      <c r="E2847" s="17">
        <v>163.98</v>
      </c>
      <c r="F2847" s="16">
        <v>0.01</v>
      </c>
      <c r="G2847" s="15" t="s">
        <v>32</v>
      </c>
      <c r="H2847" s="18">
        <v>55.73</v>
      </c>
      <c r="I2847" s="19">
        <v>3.85</v>
      </c>
      <c r="J2847" s="19">
        <v>0.7</v>
      </c>
      <c r="K2847" s="19" t="s">
        <v>44</v>
      </c>
      <c r="L2847" s="19" t="s">
        <v>52</v>
      </c>
      <c r="M2847" s="15" t="s">
        <v>1685</v>
      </c>
      <c r="N2847" s="15" t="s">
        <v>36</v>
      </c>
      <c r="O2847" s="15" t="s">
        <v>77</v>
      </c>
      <c r="P2847" s="20" t="s">
        <v>225</v>
      </c>
      <c r="Q2847" s="15" t="s">
        <v>79</v>
      </c>
      <c r="R2847" s="4"/>
      <c r="S2847" s="4"/>
    </row>
    <row r="2848" spans="1:19" ht="21" customHeight="1" x14ac:dyDescent="0.25">
      <c r="A2848" s="14">
        <f>DATE(2012,12,31)-1273</f>
        <v>40001</v>
      </c>
      <c r="B2848" s="15" t="s">
        <v>921</v>
      </c>
      <c r="C2848" s="15" t="s">
        <v>51</v>
      </c>
      <c r="D2848" s="16">
        <v>13</v>
      </c>
      <c r="E2848" s="17">
        <v>42.27</v>
      </c>
      <c r="F2848" s="16">
        <v>0.01</v>
      </c>
      <c r="G2848" s="15" t="s">
        <v>101</v>
      </c>
      <c r="H2848" s="18">
        <v>4.5599999999999996</v>
      </c>
      <c r="I2848" s="19">
        <v>2.84</v>
      </c>
      <c r="J2848" s="19">
        <v>0.93</v>
      </c>
      <c r="K2848" s="19" t="s">
        <v>44</v>
      </c>
      <c r="L2848" s="19" t="s">
        <v>80</v>
      </c>
      <c r="M2848" s="15" t="s">
        <v>1823</v>
      </c>
      <c r="N2848" s="15" t="s">
        <v>36</v>
      </c>
      <c r="O2848" s="15" t="s">
        <v>77</v>
      </c>
      <c r="P2848" s="20" t="s">
        <v>510</v>
      </c>
      <c r="Q2848" s="15" t="s">
        <v>79</v>
      </c>
      <c r="R2848" s="4"/>
      <c r="S2848" s="4"/>
    </row>
    <row r="2849" spans="1:19" ht="21" customHeight="1" x14ac:dyDescent="0.25">
      <c r="A2849" s="14">
        <f>DATE(2012,12,31)-838</f>
        <v>40436</v>
      </c>
      <c r="B2849" s="15" t="s">
        <v>1491</v>
      </c>
      <c r="C2849" s="15" t="s">
        <v>31</v>
      </c>
      <c r="D2849" s="16">
        <v>39</v>
      </c>
      <c r="E2849" s="17">
        <v>116.63</v>
      </c>
      <c r="F2849" s="16">
        <v>0.03</v>
      </c>
      <c r="G2849" s="15" t="s">
        <v>32</v>
      </c>
      <c r="H2849" s="18">
        <v>6.81</v>
      </c>
      <c r="I2849" s="19">
        <v>2.94</v>
      </c>
      <c r="J2849" s="19">
        <v>0.96</v>
      </c>
      <c r="K2849" s="19" t="s">
        <v>44</v>
      </c>
      <c r="L2849" s="19" t="s">
        <v>52</v>
      </c>
      <c r="M2849" s="15" t="s">
        <v>1685</v>
      </c>
      <c r="N2849" s="15" t="s">
        <v>36</v>
      </c>
      <c r="O2849" s="15" t="s">
        <v>77</v>
      </c>
      <c r="P2849" s="20" t="s">
        <v>830</v>
      </c>
      <c r="Q2849" s="15" t="s">
        <v>79</v>
      </c>
      <c r="R2849" s="4"/>
      <c r="S2849" s="4"/>
    </row>
    <row r="2850" spans="1:19" ht="21" customHeight="1" x14ac:dyDescent="0.25">
      <c r="A2850" s="14">
        <f>DATE(2012,12,31)-1183</f>
        <v>40091</v>
      </c>
      <c r="B2850" s="15" t="s">
        <v>558</v>
      </c>
      <c r="C2850" s="15" t="s">
        <v>85</v>
      </c>
      <c r="D2850" s="16">
        <v>49</v>
      </c>
      <c r="E2850" s="17">
        <v>8252.360999999999</v>
      </c>
      <c r="F2850" s="16">
        <v>7.0000000000000007E-2</v>
      </c>
      <c r="G2850" s="15" t="s">
        <v>32</v>
      </c>
      <c r="H2850" s="18">
        <v>2418.5610000000001</v>
      </c>
      <c r="I2850" s="19">
        <v>200.99</v>
      </c>
      <c r="J2850" s="19">
        <v>4.2</v>
      </c>
      <c r="K2850" s="19" t="s">
        <v>44</v>
      </c>
      <c r="L2850" s="19" t="s">
        <v>52</v>
      </c>
      <c r="M2850" s="15" t="s">
        <v>1685</v>
      </c>
      <c r="N2850" s="15" t="s">
        <v>64</v>
      </c>
      <c r="O2850" s="15" t="s">
        <v>65</v>
      </c>
      <c r="P2850" s="20" t="s">
        <v>740</v>
      </c>
      <c r="Q2850" s="15" t="s">
        <v>83</v>
      </c>
      <c r="R2850" s="4"/>
      <c r="S2850" s="4"/>
    </row>
    <row r="2851" spans="1:19" ht="21" customHeight="1" x14ac:dyDescent="0.25">
      <c r="A2851" s="14">
        <f>DATE(2012,12,31)-1183</f>
        <v>40091</v>
      </c>
      <c r="B2851" s="15" t="s">
        <v>558</v>
      </c>
      <c r="C2851" s="15" t="s">
        <v>85</v>
      </c>
      <c r="D2851" s="16">
        <v>7</v>
      </c>
      <c r="E2851" s="17">
        <v>2205.84</v>
      </c>
      <c r="F2851" s="16">
        <v>0.01</v>
      </c>
      <c r="G2851" s="15" t="s">
        <v>58</v>
      </c>
      <c r="H2851" s="18">
        <v>-313.13040000000001</v>
      </c>
      <c r="I2851" s="19">
        <v>297.48</v>
      </c>
      <c r="J2851" s="19">
        <v>18.059999999999999</v>
      </c>
      <c r="K2851" s="19" t="s">
        <v>33</v>
      </c>
      <c r="L2851" s="19" t="s">
        <v>34</v>
      </c>
      <c r="M2851" s="15" t="s">
        <v>1915</v>
      </c>
      <c r="N2851" s="15" t="s">
        <v>64</v>
      </c>
      <c r="O2851" s="15" t="s">
        <v>122</v>
      </c>
      <c r="P2851" s="20" t="s">
        <v>1942</v>
      </c>
      <c r="Q2851" s="15" t="s">
        <v>181</v>
      </c>
      <c r="R2851" s="4"/>
      <c r="S2851" s="4"/>
    </row>
    <row r="2852" spans="1:19" ht="21" customHeight="1" x14ac:dyDescent="0.25">
      <c r="A2852" s="14">
        <f>DATE(2012,12,31)-1361</f>
        <v>39913</v>
      </c>
      <c r="B2852" s="15" t="s">
        <v>149</v>
      </c>
      <c r="C2852" s="15" t="s">
        <v>51</v>
      </c>
      <c r="D2852" s="16">
        <v>7</v>
      </c>
      <c r="E2852" s="17">
        <v>124.19</v>
      </c>
      <c r="F2852" s="16">
        <v>0.03</v>
      </c>
      <c r="G2852" s="15" t="s">
        <v>32</v>
      </c>
      <c r="H2852" s="18">
        <v>-53.296199999999999</v>
      </c>
      <c r="I2852" s="19">
        <v>15.99</v>
      </c>
      <c r="J2852" s="19">
        <v>11.28</v>
      </c>
      <c r="K2852" s="19" t="s">
        <v>44</v>
      </c>
      <c r="L2852" s="19" t="s">
        <v>89</v>
      </c>
      <c r="M2852" s="15" t="s">
        <v>1932</v>
      </c>
      <c r="N2852" s="15" t="s">
        <v>64</v>
      </c>
      <c r="O2852" s="15" t="s">
        <v>122</v>
      </c>
      <c r="P2852" s="20" t="s">
        <v>1959</v>
      </c>
      <c r="Q2852" s="15" t="s">
        <v>57</v>
      </c>
      <c r="R2852" s="4"/>
      <c r="S2852" s="4"/>
    </row>
    <row r="2853" spans="1:19" ht="21" customHeight="1" x14ac:dyDescent="0.25">
      <c r="A2853" s="14">
        <f>DATE(2012,12,31)-814</f>
        <v>40460</v>
      </c>
      <c r="B2853" s="15" t="s">
        <v>701</v>
      </c>
      <c r="C2853" s="15" t="s">
        <v>43</v>
      </c>
      <c r="D2853" s="16">
        <v>1</v>
      </c>
      <c r="E2853" s="17">
        <v>361.94</v>
      </c>
      <c r="F2853" s="16">
        <v>0.05</v>
      </c>
      <c r="G2853" s="15" t="s">
        <v>58</v>
      </c>
      <c r="H2853" s="18">
        <v>-163.58000000000001</v>
      </c>
      <c r="I2853" s="19">
        <v>284.98</v>
      </c>
      <c r="J2853" s="19">
        <v>69.55</v>
      </c>
      <c r="K2853" s="19" t="s">
        <v>33</v>
      </c>
      <c r="L2853" s="19" t="s">
        <v>59</v>
      </c>
      <c r="M2853" s="15" t="s">
        <v>1941</v>
      </c>
      <c r="N2853" s="15" t="s">
        <v>54</v>
      </c>
      <c r="O2853" s="15" t="s">
        <v>252</v>
      </c>
      <c r="P2853" s="20" t="s">
        <v>1647</v>
      </c>
      <c r="Q2853" s="15" t="s">
        <v>181</v>
      </c>
      <c r="R2853" s="4"/>
      <c r="S2853" s="4"/>
    </row>
    <row r="2854" spans="1:19" ht="21" customHeight="1" x14ac:dyDescent="0.25">
      <c r="A2854" s="14">
        <f>DATE(2012,12,31)-814</f>
        <v>40460</v>
      </c>
      <c r="B2854" s="15" t="s">
        <v>701</v>
      </c>
      <c r="C2854" s="15" t="s">
        <v>43</v>
      </c>
      <c r="D2854" s="16">
        <v>31</v>
      </c>
      <c r="E2854" s="17">
        <v>1276.04</v>
      </c>
      <c r="F2854" s="16">
        <v>0.02</v>
      </c>
      <c r="G2854" s="15" t="s">
        <v>32</v>
      </c>
      <c r="H2854" s="18">
        <v>554.95000000000005</v>
      </c>
      <c r="I2854" s="19">
        <v>40.99</v>
      </c>
      <c r="J2854" s="19">
        <v>5.86</v>
      </c>
      <c r="K2854" s="19" t="s">
        <v>33</v>
      </c>
      <c r="L2854" s="19" t="s">
        <v>59</v>
      </c>
      <c r="M2854" s="15" t="s">
        <v>1941</v>
      </c>
      <c r="N2854" s="15" t="s">
        <v>36</v>
      </c>
      <c r="O2854" s="15" t="s">
        <v>117</v>
      </c>
      <c r="P2854" s="20" t="s">
        <v>1960</v>
      </c>
      <c r="Q2854" s="15" t="s">
        <v>83</v>
      </c>
      <c r="R2854" s="4"/>
      <c r="S2854" s="4"/>
    </row>
    <row r="2855" spans="1:19" ht="21" customHeight="1" x14ac:dyDescent="0.25">
      <c r="A2855" s="14">
        <f>DATE(2012,12,31)-814</f>
        <v>40460</v>
      </c>
      <c r="B2855" s="15" t="s">
        <v>701</v>
      </c>
      <c r="C2855" s="15" t="s">
        <v>43</v>
      </c>
      <c r="D2855" s="16">
        <v>40</v>
      </c>
      <c r="E2855" s="17">
        <v>2894.68</v>
      </c>
      <c r="F2855" s="16">
        <v>0.02</v>
      </c>
      <c r="G2855" s="15" t="s">
        <v>32</v>
      </c>
      <c r="H2855" s="18">
        <v>-1754.3879999999999</v>
      </c>
      <c r="I2855" s="19">
        <v>71.37</v>
      </c>
      <c r="J2855" s="19">
        <v>69</v>
      </c>
      <c r="K2855" s="19" t="s">
        <v>33</v>
      </c>
      <c r="L2855" s="19" t="s">
        <v>34</v>
      </c>
      <c r="M2855" s="15" t="s">
        <v>1915</v>
      </c>
      <c r="N2855" s="15" t="s">
        <v>54</v>
      </c>
      <c r="O2855" s="15" t="s">
        <v>61</v>
      </c>
      <c r="P2855" s="20" t="s">
        <v>399</v>
      </c>
      <c r="Q2855" s="15" t="s">
        <v>39</v>
      </c>
      <c r="R2855" s="4"/>
      <c r="S2855" s="4"/>
    </row>
    <row r="2856" spans="1:19" ht="21" customHeight="1" x14ac:dyDescent="0.25">
      <c r="A2856" s="14">
        <f>DATE(2012,12,31)-1449</f>
        <v>39825</v>
      </c>
      <c r="B2856" s="15" t="s">
        <v>1961</v>
      </c>
      <c r="C2856" s="15" t="s">
        <v>43</v>
      </c>
      <c r="D2856" s="16">
        <v>40</v>
      </c>
      <c r="E2856" s="17">
        <v>1030.0899999999999</v>
      </c>
      <c r="F2856" s="16">
        <v>0.09</v>
      </c>
      <c r="G2856" s="15" t="s">
        <v>32</v>
      </c>
      <c r="H2856" s="18">
        <v>-568.71</v>
      </c>
      <c r="I2856" s="19">
        <v>27.75</v>
      </c>
      <c r="J2856" s="19">
        <v>19.989999999999998</v>
      </c>
      <c r="K2856" s="19" t="s">
        <v>33</v>
      </c>
      <c r="L2856" s="19" t="s">
        <v>34</v>
      </c>
      <c r="M2856" s="15" t="s">
        <v>1915</v>
      </c>
      <c r="N2856" s="15" t="s">
        <v>36</v>
      </c>
      <c r="O2856" s="15" t="s">
        <v>37</v>
      </c>
      <c r="P2856" s="20" t="s">
        <v>1226</v>
      </c>
      <c r="Q2856" s="15" t="s">
        <v>83</v>
      </c>
      <c r="R2856" s="4"/>
      <c r="S2856" s="4"/>
    </row>
    <row r="2857" spans="1:19" ht="21" customHeight="1" x14ac:dyDescent="0.25">
      <c r="A2857" s="14">
        <f>DATE(2012,12,31)-1056</f>
        <v>40218</v>
      </c>
      <c r="B2857" s="15" t="s">
        <v>1949</v>
      </c>
      <c r="C2857" s="15" t="s">
        <v>85</v>
      </c>
      <c r="D2857" s="16">
        <v>15</v>
      </c>
      <c r="E2857" s="17">
        <v>611.67999999999995</v>
      </c>
      <c r="F2857" s="16">
        <v>0.05</v>
      </c>
      <c r="G2857" s="15" t="s">
        <v>32</v>
      </c>
      <c r="H2857" s="18">
        <v>134.75049999999999</v>
      </c>
      <c r="I2857" s="19">
        <v>39.06</v>
      </c>
      <c r="J2857" s="19">
        <v>10.55</v>
      </c>
      <c r="K2857" s="19" t="s">
        <v>33</v>
      </c>
      <c r="L2857" s="19" t="s">
        <v>59</v>
      </c>
      <c r="M2857" s="15" t="s">
        <v>1941</v>
      </c>
      <c r="N2857" s="15" t="s">
        <v>36</v>
      </c>
      <c r="O2857" s="15" t="s">
        <v>170</v>
      </c>
      <c r="P2857" s="20" t="s">
        <v>1186</v>
      </c>
      <c r="Q2857" s="15" t="s">
        <v>83</v>
      </c>
      <c r="R2857" s="4"/>
      <c r="S2857" s="4"/>
    </row>
    <row r="2858" spans="1:19" ht="21" customHeight="1" x14ac:dyDescent="0.25">
      <c r="A2858" s="14">
        <f>DATE(2012,12,31)-91</f>
        <v>41183</v>
      </c>
      <c r="B2858" s="15" t="s">
        <v>386</v>
      </c>
      <c r="C2858" s="15" t="s">
        <v>85</v>
      </c>
      <c r="D2858" s="16">
        <v>16</v>
      </c>
      <c r="E2858" s="17">
        <v>1434.086</v>
      </c>
      <c r="F2858" s="16">
        <v>0.1</v>
      </c>
      <c r="G2858" s="15" t="s">
        <v>32</v>
      </c>
      <c r="H2858" s="18">
        <v>-26.245999999999999</v>
      </c>
      <c r="I2858" s="19">
        <v>110.99</v>
      </c>
      <c r="J2858" s="19">
        <v>8.99</v>
      </c>
      <c r="K2858" s="19" t="s">
        <v>33</v>
      </c>
      <c r="L2858" s="19" t="s">
        <v>145</v>
      </c>
      <c r="M2858" s="15" t="s">
        <v>1761</v>
      </c>
      <c r="N2858" s="15" t="s">
        <v>64</v>
      </c>
      <c r="O2858" s="15" t="s">
        <v>65</v>
      </c>
      <c r="P2858" s="20" t="s">
        <v>811</v>
      </c>
      <c r="Q2858" s="15" t="s">
        <v>83</v>
      </c>
      <c r="R2858" s="4"/>
      <c r="S2858" s="4"/>
    </row>
    <row r="2859" spans="1:19" ht="21" customHeight="1" x14ac:dyDescent="0.25">
      <c r="A2859" s="14">
        <f>DATE(2012,12,31)-1323</f>
        <v>39951</v>
      </c>
      <c r="B2859" s="15" t="s">
        <v>1689</v>
      </c>
      <c r="C2859" s="15" t="s">
        <v>43</v>
      </c>
      <c r="D2859" s="16">
        <v>47</v>
      </c>
      <c r="E2859" s="17">
        <v>3596.36</v>
      </c>
      <c r="F2859" s="16">
        <v>0</v>
      </c>
      <c r="G2859" s="15" t="s">
        <v>101</v>
      </c>
      <c r="H2859" s="18">
        <v>326.25</v>
      </c>
      <c r="I2859" s="19">
        <v>73.98</v>
      </c>
      <c r="J2859" s="19">
        <v>12.14</v>
      </c>
      <c r="K2859" s="19" t="s">
        <v>69</v>
      </c>
      <c r="L2859" s="19" t="s">
        <v>75</v>
      </c>
      <c r="M2859" s="15" t="s">
        <v>1786</v>
      </c>
      <c r="N2859" s="15" t="s">
        <v>64</v>
      </c>
      <c r="O2859" s="15" t="s">
        <v>72</v>
      </c>
      <c r="P2859" s="20" t="s">
        <v>566</v>
      </c>
      <c r="Q2859" s="15" t="s">
        <v>83</v>
      </c>
      <c r="R2859" s="4"/>
      <c r="S2859" s="4"/>
    </row>
    <row r="2860" spans="1:19" ht="21" customHeight="1" x14ac:dyDescent="0.25">
      <c r="A2860" s="14">
        <f>DATE(2012,12,31)-260</f>
        <v>41014</v>
      </c>
      <c r="B2860" s="15" t="s">
        <v>1321</v>
      </c>
      <c r="C2860" s="15" t="s">
        <v>85</v>
      </c>
      <c r="D2860" s="16">
        <v>29</v>
      </c>
      <c r="E2860" s="17">
        <v>151.09</v>
      </c>
      <c r="F2860" s="16">
        <v>0.02</v>
      </c>
      <c r="G2860" s="15" t="s">
        <v>101</v>
      </c>
      <c r="H2860" s="18">
        <v>4.59</v>
      </c>
      <c r="I2860" s="19">
        <v>4.76</v>
      </c>
      <c r="J2860" s="19">
        <v>3.01</v>
      </c>
      <c r="K2860" s="19" t="s">
        <v>69</v>
      </c>
      <c r="L2860" s="19" t="s">
        <v>75</v>
      </c>
      <c r="M2860" s="15" t="s">
        <v>1786</v>
      </c>
      <c r="N2860" s="15" t="s">
        <v>36</v>
      </c>
      <c r="O2860" s="15" t="s">
        <v>117</v>
      </c>
      <c r="P2860" s="20" t="s">
        <v>1331</v>
      </c>
      <c r="Q2860" s="15" t="s">
        <v>79</v>
      </c>
      <c r="R2860" s="4"/>
      <c r="S2860" s="4"/>
    </row>
    <row r="2861" spans="1:19" ht="21" customHeight="1" x14ac:dyDescent="0.25">
      <c r="A2861" s="14">
        <f>DATE(2012,12,31)-226</f>
        <v>41048</v>
      </c>
      <c r="B2861" s="15" t="s">
        <v>1260</v>
      </c>
      <c r="C2861" s="15" t="s">
        <v>51</v>
      </c>
      <c r="D2861" s="16">
        <v>32</v>
      </c>
      <c r="E2861" s="17">
        <v>135.19999999999999</v>
      </c>
      <c r="F2861" s="16">
        <v>0.02</v>
      </c>
      <c r="G2861" s="15" t="s">
        <v>32</v>
      </c>
      <c r="H2861" s="18">
        <v>59.4</v>
      </c>
      <c r="I2861" s="19">
        <v>4.13</v>
      </c>
      <c r="J2861" s="19">
        <v>0.5</v>
      </c>
      <c r="K2861" s="19" t="s">
        <v>69</v>
      </c>
      <c r="L2861" s="19" t="s">
        <v>215</v>
      </c>
      <c r="M2861" s="15" t="s">
        <v>1704</v>
      </c>
      <c r="N2861" s="15" t="s">
        <v>36</v>
      </c>
      <c r="O2861" s="15" t="s">
        <v>114</v>
      </c>
      <c r="P2861" s="20" t="s">
        <v>653</v>
      </c>
      <c r="Q2861" s="15" t="s">
        <v>83</v>
      </c>
      <c r="R2861" s="4"/>
      <c r="S2861" s="4"/>
    </row>
    <row r="2862" spans="1:19" ht="21" customHeight="1" x14ac:dyDescent="0.25">
      <c r="A2862" s="14">
        <f>DATE(2012,12,31)-226</f>
        <v>41048</v>
      </c>
      <c r="B2862" s="15" t="s">
        <v>1260</v>
      </c>
      <c r="C2862" s="15" t="s">
        <v>51</v>
      </c>
      <c r="D2862" s="16">
        <v>47</v>
      </c>
      <c r="E2862" s="17">
        <v>1078.98</v>
      </c>
      <c r="F2862" s="16">
        <v>0.02</v>
      </c>
      <c r="G2862" s="15" t="s">
        <v>58</v>
      </c>
      <c r="H2862" s="18">
        <v>-1637.52</v>
      </c>
      <c r="I2862" s="19">
        <v>20.98</v>
      </c>
      <c r="J2862" s="19">
        <v>45</v>
      </c>
      <c r="K2862" s="19" t="s">
        <v>69</v>
      </c>
      <c r="L2862" s="19" t="s">
        <v>75</v>
      </c>
      <c r="M2862" s="15" t="s">
        <v>1786</v>
      </c>
      <c r="N2862" s="15" t="s">
        <v>36</v>
      </c>
      <c r="O2862" s="15" t="s">
        <v>37</v>
      </c>
      <c r="P2862" s="20" t="s">
        <v>899</v>
      </c>
      <c r="Q2862" s="15" t="s">
        <v>181</v>
      </c>
      <c r="R2862" s="4"/>
      <c r="S2862" s="4"/>
    </row>
    <row r="2863" spans="1:19" ht="21" customHeight="1" x14ac:dyDescent="0.25">
      <c r="A2863" s="14">
        <f>DATE(2012,12,31)-642</f>
        <v>40632</v>
      </c>
      <c r="B2863" s="15" t="s">
        <v>1026</v>
      </c>
      <c r="C2863" s="15" t="s">
        <v>85</v>
      </c>
      <c r="D2863" s="16">
        <v>41</v>
      </c>
      <c r="E2863" s="17">
        <v>1204.0844999999999</v>
      </c>
      <c r="F2863" s="16">
        <v>0.04</v>
      </c>
      <c r="G2863" s="15" t="s">
        <v>32</v>
      </c>
      <c r="H2863" s="18">
        <v>341.95499999999998</v>
      </c>
      <c r="I2863" s="19">
        <v>35.99</v>
      </c>
      <c r="J2863" s="19">
        <v>1.1000000000000001</v>
      </c>
      <c r="K2863" s="19" t="s">
        <v>69</v>
      </c>
      <c r="L2863" s="19" t="s">
        <v>215</v>
      </c>
      <c r="M2863" s="15" t="s">
        <v>1704</v>
      </c>
      <c r="N2863" s="15" t="s">
        <v>64</v>
      </c>
      <c r="O2863" s="15" t="s">
        <v>65</v>
      </c>
      <c r="P2863" s="20" t="s">
        <v>501</v>
      </c>
      <c r="Q2863" s="15" t="s">
        <v>83</v>
      </c>
      <c r="R2863" s="4"/>
      <c r="S2863" s="4"/>
    </row>
    <row r="2864" spans="1:19" ht="21" customHeight="1" x14ac:dyDescent="0.25">
      <c r="A2864" s="14">
        <f>DATE(2012,12,31)-754</f>
        <v>40520</v>
      </c>
      <c r="B2864" s="15" t="s">
        <v>696</v>
      </c>
      <c r="C2864" s="15" t="s">
        <v>51</v>
      </c>
      <c r="D2864" s="16">
        <v>37</v>
      </c>
      <c r="E2864" s="17">
        <v>17717.34</v>
      </c>
      <c r="F2864" s="16">
        <v>0</v>
      </c>
      <c r="G2864" s="15" t="s">
        <v>58</v>
      </c>
      <c r="H2864" s="18">
        <v>8291.08</v>
      </c>
      <c r="I2864" s="19">
        <v>500.97</v>
      </c>
      <c r="J2864" s="19">
        <v>69.3</v>
      </c>
      <c r="K2864" s="19" t="s">
        <v>111</v>
      </c>
      <c r="L2864" s="19" t="s">
        <v>407</v>
      </c>
      <c r="M2864" s="15" t="s">
        <v>407</v>
      </c>
      <c r="N2864" s="15" t="s">
        <v>64</v>
      </c>
      <c r="O2864" s="15" t="s">
        <v>122</v>
      </c>
      <c r="P2864" s="20" t="s">
        <v>1603</v>
      </c>
      <c r="Q2864" s="15" t="s">
        <v>181</v>
      </c>
      <c r="R2864" s="4"/>
      <c r="S2864" s="4"/>
    </row>
    <row r="2865" spans="1:19" ht="21" customHeight="1" x14ac:dyDescent="0.25">
      <c r="A2865" s="14">
        <f>DATE(2012,12,31)-39</f>
        <v>41235</v>
      </c>
      <c r="B2865" s="15" t="s">
        <v>465</v>
      </c>
      <c r="C2865" s="15" t="s">
        <v>31</v>
      </c>
      <c r="D2865" s="16">
        <v>22</v>
      </c>
      <c r="E2865" s="17">
        <v>43.97</v>
      </c>
      <c r="F2865" s="16">
        <v>0.04</v>
      </c>
      <c r="G2865" s="15" t="s">
        <v>32</v>
      </c>
      <c r="H2865" s="18">
        <v>-9.0504999999999995</v>
      </c>
      <c r="I2865" s="19">
        <v>1.88</v>
      </c>
      <c r="J2865" s="19">
        <v>1.49</v>
      </c>
      <c r="K2865" s="19" t="s">
        <v>111</v>
      </c>
      <c r="L2865" s="19" t="s">
        <v>407</v>
      </c>
      <c r="M2865" s="15" t="s">
        <v>407</v>
      </c>
      <c r="N2865" s="15" t="s">
        <v>36</v>
      </c>
      <c r="O2865" s="15" t="s">
        <v>170</v>
      </c>
      <c r="P2865" s="20" t="s">
        <v>1353</v>
      </c>
      <c r="Q2865" s="15" t="s">
        <v>83</v>
      </c>
      <c r="R2865" s="4"/>
      <c r="S2865" s="4"/>
    </row>
    <row r="2866" spans="1:19" ht="21" customHeight="1" x14ac:dyDescent="0.25">
      <c r="A2866" s="14">
        <f>DATE(2012,12,31)-870</f>
        <v>40404</v>
      </c>
      <c r="B2866" s="15" t="s">
        <v>1414</v>
      </c>
      <c r="C2866" s="15" t="s">
        <v>85</v>
      </c>
      <c r="D2866" s="16">
        <v>32</v>
      </c>
      <c r="E2866" s="17">
        <v>4976.6000000000004</v>
      </c>
      <c r="F2866" s="16">
        <v>0.06</v>
      </c>
      <c r="G2866" s="15" t="s">
        <v>32</v>
      </c>
      <c r="H2866" s="18">
        <v>601.88</v>
      </c>
      <c r="I2866" s="19">
        <v>161.55000000000001</v>
      </c>
      <c r="J2866" s="19">
        <v>19.989999999999998</v>
      </c>
      <c r="K2866" s="19" t="s">
        <v>111</v>
      </c>
      <c r="L2866" s="19" t="s">
        <v>442</v>
      </c>
      <c r="M2866" s="15" t="s">
        <v>443</v>
      </c>
      <c r="N2866" s="15" t="s">
        <v>36</v>
      </c>
      <c r="O2866" s="15" t="s">
        <v>37</v>
      </c>
      <c r="P2866" s="20" t="s">
        <v>1794</v>
      </c>
      <c r="Q2866" s="15" t="s">
        <v>83</v>
      </c>
      <c r="R2866" s="4"/>
      <c r="S2866" s="4"/>
    </row>
    <row r="2867" spans="1:19" ht="21" customHeight="1" x14ac:dyDescent="0.25">
      <c r="A2867" s="14">
        <f>DATE(2012,12,31)-1055</f>
        <v>40219</v>
      </c>
      <c r="B2867" s="15" t="s">
        <v>1664</v>
      </c>
      <c r="C2867" s="15" t="s">
        <v>31</v>
      </c>
      <c r="D2867" s="16">
        <v>1</v>
      </c>
      <c r="E2867" s="17">
        <v>5.63</v>
      </c>
      <c r="F2867" s="16">
        <v>0.03</v>
      </c>
      <c r="G2867" s="15" t="s">
        <v>32</v>
      </c>
      <c r="H2867" s="18">
        <v>-3.55</v>
      </c>
      <c r="I2867" s="19">
        <v>4.71</v>
      </c>
      <c r="J2867" s="19">
        <v>0.7</v>
      </c>
      <c r="K2867" s="19" t="s">
        <v>44</v>
      </c>
      <c r="L2867" s="19" t="s">
        <v>89</v>
      </c>
      <c r="M2867" s="15" t="s">
        <v>1932</v>
      </c>
      <c r="N2867" s="15" t="s">
        <v>36</v>
      </c>
      <c r="O2867" s="15" t="s">
        <v>105</v>
      </c>
      <c r="P2867" s="20" t="s">
        <v>454</v>
      </c>
      <c r="Q2867" s="15" t="s">
        <v>79</v>
      </c>
      <c r="R2867" s="4"/>
      <c r="S2867" s="4"/>
    </row>
    <row r="2868" spans="1:19" ht="21" customHeight="1" x14ac:dyDescent="0.25">
      <c r="A2868" s="14">
        <f>DATE(2012,12,31)-1055</f>
        <v>40219</v>
      </c>
      <c r="B2868" s="15" t="s">
        <v>1664</v>
      </c>
      <c r="C2868" s="15" t="s">
        <v>31</v>
      </c>
      <c r="D2868" s="16">
        <v>5</v>
      </c>
      <c r="E2868" s="17">
        <v>16.48</v>
      </c>
      <c r="F2868" s="16">
        <v>0.06</v>
      </c>
      <c r="G2868" s="15" t="s">
        <v>32</v>
      </c>
      <c r="H2868" s="18">
        <v>-0.33</v>
      </c>
      <c r="I2868" s="19">
        <v>3.08</v>
      </c>
      <c r="J2868" s="19">
        <v>0.99</v>
      </c>
      <c r="K2868" s="19" t="s">
        <v>44</v>
      </c>
      <c r="L2868" s="19" t="s">
        <v>89</v>
      </c>
      <c r="M2868" s="15" t="s">
        <v>1932</v>
      </c>
      <c r="N2868" s="15" t="s">
        <v>36</v>
      </c>
      <c r="O2868" s="15" t="s">
        <v>114</v>
      </c>
      <c r="P2868" s="20" t="s">
        <v>262</v>
      </c>
      <c r="Q2868" s="15" t="s">
        <v>83</v>
      </c>
      <c r="R2868" s="4"/>
      <c r="S2868" s="4"/>
    </row>
    <row r="2869" spans="1:19" ht="21" customHeight="1" x14ac:dyDescent="0.25">
      <c r="A2869" s="14">
        <f>DATE(2012,12,31)-1055</f>
        <v>40219</v>
      </c>
      <c r="B2869" s="15" t="s">
        <v>1664</v>
      </c>
      <c r="C2869" s="15" t="s">
        <v>31</v>
      </c>
      <c r="D2869" s="16">
        <v>38</v>
      </c>
      <c r="E2869" s="17">
        <v>15655.24</v>
      </c>
      <c r="F2869" s="16">
        <v>0.09</v>
      </c>
      <c r="G2869" s="15" t="s">
        <v>32</v>
      </c>
      <c r="H2869" s="18">
        <v>4818.29</v>
      </c>
      <c r="I2869" s="19">
        <v>419.19</v>
      </c>
      <c r="J2869" s="19">
        <v>19.989999999999998</v>
      </c>
      <c r="K2869" s="19" t="s">
        <v>44</v>
      </c>
      <c r="L2869" s="19" t="s">
        <v>45</v>
      </c>
      <c r="M2869" s="15" t="s">
        <v>1768</v>
      </c>
      <c r="N2869" s="15" t="s">
        <v>36</v>
      </c>
      <c r="O2869" s="15" t="s">
        <v>37</v>
      </c>
      <c r="P2869" s="20" t="s">
        <v>1168</v>
      </c>
      <c r="Q2869" s="15" t="s">
        <v>83</v>
      </c>
      <c r="R2869" s="4"/>
      <c r="S2869" s="4"/>
    </row>
    <row r="2870" spans="1:19" ht="21" customHeight="1" x14ac:dyDescent="0.25">
      <c r="A2870" s="14">
        <f>DATE(2012,12,31)-1268</f>
        <v>40006</v>
      </c>
      <c r="B2870" s="15" t="s">
        <v>1342</v>
      </c>
      <c r="C2870" s="15" t="s">
        <v>51</v>
      </c>
      <c r="D2870" s="16">
        <v>41</v>
      </c>
      <c r="E2870" s="17">
        <v>5583.27</v>
      </c>
      <c r="F2870" s="16">
        <v>0.04</v>
      </c>
      <c r="G2870" s="15" t="s">
        <v>101</v>
      </c>
      <c r="H2870" s="18">
        <v>1539.59</v>
      </c>
      <c r="I2870" s="19">
        <v>136.97999999999999</v>
      </c>
      <c r="J2870" s="19">
        <v>24.49</v>
      </c>
      <c r="K2870" s="19" t="s">
        <v>44</v>
      </c>
      <c r="L2870" s="19" t="s">
        <v>89</v>
      </c>
      <c r="M2870" s="15" t="s">
        <v>1932</v>
      </c>
      <c r="N2870" s="15" t="s">
        <v>54</v>
      </c>
      <c r="O2870" s="15" t="s">
        <v>55</v>
      </c>
      <c r="P2870" s="20" t="s">
        <v>560</v>
      </c>
      <c r="Q2870" s="15" t="s">
        <v>39</v>
      </c>
      <c r="R2870" s="4"/>
      <c r="S2870" s="4"/>
    </row>
    <row r="2871" spans="1:19" ht="21" customHeight="1" x14ac:dyDescent="0.25">
      <c r="A2871" s="14">
        <f>DATE(2012,12,31)-1238</f>
        <v>40036</v>
      </c>
      <c r="B2871" s="15" t="s">
        <v>1962</v>
      </c>
      <c r="C2871" s="15" t="s">
        <v>51</v>
      </c>
      <c r="D2871" s="16">
        <v>4</v>
      </c>
      <c r="E2871" s="17">
        <v>16.600000000000001</v>
      </c>
      <c r="F2871" s="16">
        <v>0.1</v>
      </c>
      <c r="G2871" s="15" t="s">
        <v>32</v>
      </c>
      <c r="H2871" s="18">
        <v>-2.06</v>
      </c>
      <c r="I2871" s="19">
        <v>4.13</v>
      </c>
      <c r="J2871" s="19">
        <v>0.99</v>
      </c>
      <c r="K2871" s="19" t="s">
        <v>44</v>
      </c>
      <c r="L2871" s="19" t="s">
        <v>120</v>
      </c>
      <c r="M2871" s="15" t="s">
        <v>121</v>
      </c>
      <c r="N2871" s="15" t="s">
        <v>36</v>
      </c>
      <c r="O2871" s="15" t="s">
        <v>114</v>
      </c>
      <c r="P2871" s="20" t="s">
        <v>926</v>
      </c>
      <c r="Q2871" s="15" t="s">
        <v>83</v>
      </c>
      <c r="R2871" s="4"/>
      <c r="S2871" s="4"/>
    </row>
    <row r="2872" spans="1:19" ht="21" customHeight="1" x14ac:dyDescent="0.25">
      <c r="A2872" s="14">
        <f>DATE(2012,12,31)-1238</f>
        <v>40036</v>
      </c>
      <c r="B2872" s="15" t="s">
        <v>1962</v>
      </c>
      <c r="C2872" s="15" t="s">
        <v>51</v>
      </c>
      <c r="D2872" s="16">
        <v>5</v>
      </c>
      <c r="E2872" s="17">
        <v>25.1</v>
      </c>
      <c r="F2872" s="16">
        <v>0.04</v>
      </c>
      <c r="G2872" s="15" t="s">
        <v>32</v>
      </c>
      <c r="H2872" s="18">
        <v>2.98</v>
      </c>
      <c r="I2872" s="19">
        <v>4.9800000000000004</v>
      </c>
      <c r="J2872" s="19">
        <v>0.49</v>
      </c>
      <c r="K2872" s="19" t="s">
        <v>44</v>
      </c>
      <c r="L2872" s="19" t="s">
        <v>120</v>
      </c>
      <c r="M2872" s="15" t="s">
        <v>121</v>
      </c>
      <c r="N2872" s="15" t="s">
        <v>36</v>
      </c>
      <c r="O2872" s="15" t="s">
        <v>114</v>
      </c>
      <c r="P2872" s="20" t="s">
        <v>304</v>
      </c>
      <c r="Q2872" s="15" t="s">
        <v>83</v>
      </c>
      <c r="R2872" s="4"/>
      <c r="S2872" s="4"/>
    </row>
    <row r="2873" spans="1:19" ht="21" customHeight="1" x14ac:dyDescent="0.25">
      <c r="A2873" s="14">
        <f>DATE(2012,12,31)-1128</f>
        <v>40146</v>
      </c>
      <c r="B2873" s="15" t="s">
        <v>1077</v>
      </c>
      <c r="C2873" s="15" t="s">
        <v>51</v>
      </c>
      <c r="D2873" s="16">
        <v>31</v>
      </c>
      <c r="E2873" s="17">
        <v>180.7</v>
      </c>
      <c r="F2873" s="16">
        <v>0.1</v>
      </c>
      <c r="G2873" s="15" t="s">
        <v>32</v>
      </c>
      <c r="H2873" s="18">
        <v>-94.61</v>
      </c>
      <c r="I2873" s="19">
        <v>5.98</v>
      </c>
      <c r="J2873" s="19">
        <v>3.85</v>
      </c>
      <c r="K2873" s="19" t="s">
        <v>44</v>
      </c>
      <c r="L2873" s="19" t="s">
        <v>80</v>
      </c>
      <c r="M2873" s="15" t="s">
        <v>1823</v>
      </c>
      <c r="N2873" s="15" t="s">
        <v>64</v>
      </c>
      <c r="O2873" s="15" t="s">
        <v>72</v>
      </c>
      <c r="P2873" s="20" t="s">
        <v>1084</v>
      </c>
      <c r="Q2873" s="15" t="s">
        <v>49</v>
      </c>
      <c r="R2873" s="4"/>
      <c r="S2873" s="4"/>
    </row>
    <row r="2874" spans="1:19" ht="21" customHeight="1" x14ac:dyDescent="0.25">
      <c r="A2874" s="14">
        <f>DATE(2012,12,31)-1128</f>
        <v>40146</v>
      </c>
      <c r="B2874" s="15" t="s">
        <v>1077</v>
      </c>
      <c r="C2874" s="15" t="s">
        <v>51</v>
      </c>
      <c r="D2874" s="16">
        <v>26</v>
      </c>
      <c r="E2874" s="17">
        <v>67.400000000000006</v>
      </c>
      <c r="F2874" s="16">
        <v>7.0000000000000007E-2</v>
      </c>
      <c r="G2874" s="15" t="s">
        <v>32</v>
      </c>
      <c r="H2874" s="18">
        <v>22.71</v>
      </c>
      <c r="I2874" s="19">
        <v>2.61</v>
      </c>
      <c r="J2874" s="19">
        <v>0.5</v>
      </c>
      <c r="K2874" s="19" t="s">
        <v>44</v>
      </c>
      <c r="L2874" s="19" t="s">
        <v>120</v>
      </c>
      <c r="M2874" s="15" t="s">
        <v>121</v>
      </c>
      <c r="N2874" s="15" t="s">
        <v>36</v>
      </c>
      <c r="O2874" s="15" t="s">
        <v>114</v>
      </c>
      <c r="P2874" s="20" t="s">
        <v>593</v>
      </c>
      <c r="Q2874" s="15" t="s">
        <v>83</v>
      </c>
      <c r="R2874" s="4"/>
      <c r="S2874" s="4"/>
    </row>
    <row r="2875" spans="1:19" ht="21" customHeight="1" x14ac:dyDescent="0.25">
      <c r="A2875" s="14">
        <f>DATE(2012,12,31)-1442</f>
        <v>39832</v>
      </c>
      <c r="B2875" s="15" t="s">
        <v>1963</v>
      </c>
      <c r="C2875" s="15" t="s">
        <v>85</v>
      </c>
      <c r="D2875" s="16">
        <v>5</v>
      </c>
      <c r="E2875" s="17">
        <v>98.66</v>
      </c>
      <c r="F2875" s="16">
        <v>0.1</v>
      </c>
      <c r="G2875" s="15" t="s">
        <v>32</v>
      </c>
      <c r="H2875" s="18">
        <v>-19.52</v>
      </c>
      <c r="I2875" s="19">
        <v>18.97</v>
      </c>
      <c r="J2875" s="19">
        <v>9.0299999999999994</v>
      </c>
      <c r="K2875" s="19" t="s">
        <v>124</v>
      </c>
      <c r="L2875" s="19" t="s">
        <v>125</v>
      </c>
      <c r="M2875" s="15" t="s">
        <v>1829</v>
      </c>
      <c r="N2875" s="15" t="s">
        <v>36</v>
      </c>
      <c r="O2875" s="15" t="s">
        <v>117</v>
      </c>
      <c r="P2875" s="20" t="s">
        <v>127</v>
      </c>
      <c r="Q2875" s="15" t="s">
        <v>83</v>
      </c>
      <c r="R2875" s="4"/>
      <c r="S2875" s="4"/>
    </row>
    <row r="2876" spans="1:19" ht="21" customHeight="1" x14ac:dyDescent="0.25">
      <c r="A2876" s="14">
        <f>DATE(2012,12,31)-1442</f>
        <v>39832</v>
      </c>
      <c r="B2876" s="15" t="s">
        <v>1963</v>
      </c>
      <c r="C2876" s="15" t="s">
        <v>85</v>
      </c>
      <c r="D2876" s="16">
        <v>18</v>
      </c>
      <c r="E2876" s="17">
        <v>2215.96</v>
      </c>
      <c r="F2876" s="16">
        <v>0</v>
      </c>
      <c r="G2876" s="15" t="s">
        <v>58</v>
      </c>
      <c r="H2876" s="18">
        <v>-101.65949999999999</v>
      </c>
      <c r="I2876" s="19">
        <v>119.99</v>
      </c>
      <c r="J2876" s="19">
        <v>56.14</v>
      </c>
      <c r="K2876" s="19" t="s">
        <v>33</v>
      </c>
      <c r="L2876" s="19" t="s">
        <v>93</v>
      </c>
      <c r="M2876" s="15" t="s">
        <v>94</v>
      </c>
      <c r="N2876" s="15" t="s">
        <v>64</v>
      </c>
      <c r="O2876" s="15" t="s">
        <v>122</v>
      </c>
      <c r="P2876" s="20" t="s">
        <v>1542</v>
      </c>
      <c r="Q2876" s="15" t="s">
        <v>63</v>
      </c>
      <c r="R2876" s="4"/>
      <c r="S2876" s="4"/>
    </row>
    <row r="2877" spans="1:19" ht="21" customHeight="1" x14ac:dyDescent="0.25">
      <c r="A2877" s="14">
        <f>DATE(2012,12,31)-372</f>
        <v>40902</v>
      </c>
      <c r="B2877" s="15" t="s">
        <v>1525</v>
      </c>
      <c r="C2877" s="15" t="s">
        <v>85</v>
      </c>
      <c r="D2877" s="16">
        <v>10</v>
      </c>
      <c r="E2877" s="17">
        <v>1410.93</v>
      </c>
      <c r="F2877" s="16">
        <v>0.08</v>
      </c>
      <c r="G2877" s="15" t="s">
        <v>58</v>
      </c>
      <c r="H2877" s="18">
        <v>-317.48</v>
      </c>
      <c r="I2877" s="19">
        <v>140.97999999999999</v>
      </c>
      <c r="J2877" s="19">
        <v>36.090000000000003</v>
      </c>
      <c r="K2877" s="19" t="s">
        <v>33</v>
      </c>
      <c r="L2877" s="19" t="s">
        <v>93</v>
      </c>
      <c r="M2877" s="15" t="s">
        <v>94</v>
      </c>
      <c r="N2877" s="15" t="s">
        <v>54</v>
      </c>
      <c r="O2877" s="15" t="s">
        <v>134</v>
      </c>
      <c r="P2877" s="20" t="s">
        <v>1039</v>
      </c>
      <c r="Q2877" s="15" t="s">
        <v>63</v>
      </c>
      <c r="R2877" s="4"/>
      <c r="S2877" s="4"/>
    </row>
    <row r="2878" spans="1:19" ht="21" customHeight="1" x14ac:dyDescent="0.25">
      <c r="A2878" s="14">
        <f>DATE(2012,12,31)-372</f>
        <v>40902</v>
      </c>
      <c r="B2878" s="15" t="s">
        <v>1525</v>
      </c>
      <c r="C2878" s="15" t="s">
        <v>85</v>
      </c>
      <c r="D2878" s="16">
        <v>15</v>
      </c>
      <c r="E2878" s="17">
        <v>3364.2480000000005</v>
      </c>
      <c r="F2878" s="16">
        <v>0.1</v>
      </c>
      <c r="G2878" s="15" t="s">
        <v>58</v>
      </c>
      <c r="H2878" s="18">
        <v>-693.23039500000016</v>
      </c>
      <c r="I2878" s="19">
        <v>286.85000000000002</v>
      </c>
      <c r="J2878" s="19">
        <v>61.76</v>
      </c>
      <c r="K2878" s="19" t="s">
        <v>33</v>
      </c>
      <c r="L2878" s="19" t="s">
        <v>93</v>
      </c>
      <c r="M2878" s="15" t="s">
        <v>94</v>
      </c>
      <c r="N2878" s="15" t="s">
        <v>54</v>
      </c>
      <c r="O2878" s="15" t="s">
        <v>61</v>
      </c>
      <c r="P2878" s="20" t="s">
        <v>1194</v>
      </c>
      <c r="Q2878" s="15" t="s">
        <v>63</v>
      </c>
      <c r="R2878" s="4"/>
      <c r="S2878" s="4"/>
    </row>
    <row r="2879" spans="1:19" ht="21" customHeight="1" x14ac:dyDescent="0.25">
      <c r="A2879" s="14">
        <f>DATE(2012,12,31)-793</f>
        <v>40481</v>
      </c>
      <c r="B2879" s="15" t="s">
        <v>448</v>
      </c>
      <c r="C2879" s="15" t="s">
        <v>31</v>
      </c>
      <c r="D2879" s="16">
        <v>43</v>
      </c>
      <c r="E2879" s="17">
        <v>1711.02</v>
      </c>
      <c r="F2879" s="16">
        <v>0.1</v>
      </c>
      <c r="G2879" s="15" t="s">
        <v>32</v>
      </c>
      <c r="H2879" s="18">
        <v>139.63</v>
      </c>
      <c r="I2879" s="19">
        <v>43.98</v>
      </c>
      <c r="J2879" s="19">
        <v>8.99</v>
      </c>
      <c r="K2879" s="19" t="s">
        <v>97</v>
      </c>
      <c r="L2879" s="19" t="s">
        <v>195</v>
      </c>
      <c r="M2879" s="15" t="s">
        <v>1964</v>
      </c>
      <c r="N2879" s="15" t="s">
        <v>36</v>
      </c>
      <c r="O2879" s="15" t="s">
        <v>77</v>
      </c>
      <c r="P2879" s="20" t="s">
        <v>173</v>
      </c>
      <c r="Q2879" s="15" t="s">
        <v>49</v>
      </c>
      <c r="R2879" s="4"/>
      <c r="S2879" s="4"/>
    </row>
    <row r="2880" spans="1:19" ht="21" customHeight="1" x14ac:dyDescent="0.25">
      <c r="A2880" s="14">
        <f>DATE(2012,12,31)-382</f>
        <v>40892</v>
      </c>
      <c r="B2880" s="15" t="s">
        <v>1273</v>
      </c>
      <c r="C2880" s="15" t="s">
        <v>51</v>
      </c>
      <c r="D2880" s="16">
        <v>39</v>
      </c>
      <c r="E2880" s="17">
        <v>231.21</v>
      </c>
      <c r="F2880" s="16">
        <v>0</v>
      </c>
      <c r="G2880" s="15" t="s">
        <v>101</v>
      </c>
      <c r="H2880" s="18">
        <v>-179.96</v>
      </c>
      <c r="I2880" s="19">
        <v>5.28</v>
      </c>
      <c r="J2880" s="19">
        <v>8.16</v>
      </c>
      <c r="K2880" s="19" t="s">
        <v>97</v>
      </c>
      <c r="L2880" s="19" t="s">
        <v>195</v>
      </c>
      <c r="M2880" s="15" t="s">
        <v>1964</v>
      </c>
      <c r="N2880" s="15" t="s">
        <v>36</v>
      </c>
      <c r="O2880" s="15" t="s">
        <v>117</v>
      </c>
      <c r="P2880" s="20" t="s">
        <v>1965</v>
      </c>
      <c r="Q2880" s="15" t="s">
        <v>83</v>
      </c>
      <c r="R2880" s="4"/>
      <c r="S2880" s="4"/>
    </row>
    <row r="2881" spans="1:19" ht="21" customHeight="1" x14ac:dyDescent="0.25">
      <c r="A2881" s="14">
        <f>DATE(2012,12,31)-1397</f>
        <v>39877</v>
      </c>
      <c r="B2881" s="15" t="s">
        <v>854</v>
      </c>
      <c r="C2881" s="15" t="s">
        <v>43</v>
      </c>
      <c r="D2881" s="16">
        <v>44</v>
      </c>
      <c r="E2881" s="17">
        <v>479.96</v>
      </c>
      <c r="F2881" s="16">
        <v>0.08</v>
      </c>
      <c r="G2881" s="15" t="s">
        <v>32</v>
      </c>
      <c r="H2881" s="18">
        <v>122.536</v>
      </c>
      <c r="I2881" s="19">
        <v>10.91</v>
      </c>
      <c r="J2881" s="19">
        <v>2.99</v>
      </c>
      <c r="K2881" s="19" t="s">
        <v>97</v>
      </c>
      <c r="L2881" s="19" t="s">
        <v>195</v>
      </c>
      <c r="M2881" s="15" t="s">
        <v>1964</v>
      </c>
      <c r="N2881" s="15" t="s">
        <v>36</v>
      </c>
      <c r="O2881" s="15" t="s">
        <v>170</v>
      </c>
      <c r="P2881" s="20" t="s">
        <v>554</v>
      </c>
      <c r="Q2881" s="15" t="s">
        <v>83</v>
      </c>
      <c r="R2881" s="4"/>
      <c r="S2881" s="4"/>
    </row>
    <row r="2882" spans="1:19" ht="21" customHeight="1" x14ac:dyDescent="0.25">
      <c r="A2882" s="14">
        <f>DATE(2012,12,31)-401</f>
        <v>40873</v>
      </c>
      <c r="B2882" s="15" t="s">
        <v>1088</v>
      </c>
      <c r="C2882" s="15" t="s">
        <v>31</v>
      </c>
      <c r="D2882" s="16">
        <v>13</v>
      </c>
      <c r="E2882" s="17">
        <v>4393.75</v>
      </c>
      <c r="F2882" s="16">
        <v>0.08</v>
      </c>
      <c r="G2882" s="15" t="s">
        <v>58</v>
      </c>
      <c r="H2882" s="18">
        <v>215.31</v>
      </c>
      <c r="I2882" s="19">
        <v>442.14</v>
      </c>
      <c r="J2882" s="19">
        <v>14.7</v>
      </c>
      <c r="K2882" s="19" t="s">
        <v>97</v>
      </c>
      <c r="L2882" s="19" t="s">
        <v>98</v>
      </c>
      <c r="M2882" s="15" t="s">
        <v>1162</v>
      </c>
      <c r="N2882" s="15" t="s">
        <v>64</v>
      </c>
      <c r="O2882" s="15" t="s">
        <v>122</v>
      </c>
      <c r="P2882" s="20" t="s">
        <v>1160</v>
      </c>
      <c r="Q2882" s="15" t="s">
        <v>181</v>
      </c>
      <c r="R2882" s="4"/>
      <c r="S2882" s="4"/>
    </row>
    <row r="2883" spans="1:19" ht="21" customHeight="1" x14ac:dyDescent="0.25">
      <c r="A2883" s="14">
        <f>DATE(2012,12,31)-721</f>
        <v>40553</v>
      </c>
      <c r="B2883" s="15" t="s">
        <v>562</v>
      </c>
      <c r="C2883" s="15" t="s">
        <v>51</v>
      </c>
      <c r="D2883" s="16">
        <v>12</v>
      </c>
      <c r="E2883" s="17">
        <v>69.98</v>
      </c>
      <c r="F2883" s="16">
        <v>0.06</v>
      </c>
      <c r="G2883" s="15" t="s">
        <v>32</v>
      </c>
      <c r="H2883" s="18">
        <v>-58.327999999999996</v>
      </c>
      <c r="I2883" s="19">
        <v>5.53</v>
      </c>
      <c r="J2883" s="19">
        <v>6.98</v>
      </c>
      <c r="K2883" s="19" t="s">
        <v>97</v>
      </c>
      <c r="L2883" s="19" t="s">
        <v>567</v>
      </c>
      <c r="M2883" s="15" t="s">
        <v>568</v>
      </c>
      <c r="N2883" s="15" t="s">
        <v>36</v>
      </c>
      <c r="O2883" s="15" t="s">
        <v>170</v>
      </c>
      <c r="P2883" s="20" t="s">
        <v>1486</v>
      </c>
      <c r="Q2883" s="15" t="s">
        <v>83</v>
      </c>
      <c r="R2883" s="4"/>
      <c r="S2883" s="4"/>
    </row>
    <row r="2884" spans="1:19" ht="21" customHeight="1" x14ac:dyDescent="0.25">
      <c r="A2884" s="14">
        <f>DATE(2012,12,31)-721</f>
        <v>40553</v>
      </c>
      <c r="B2884" s="15" t="s">
        <v>562</v>
      </c>
      <c r="C2884" s="15" t="s">
        <v>51</v>
      </c>
      <c r="D2884" s="16">
        <v>35</v>
      </c>
      <c r="E2884" s="17">
        <v>418.34</v>
      </c>
      <c r="F2884" s="16">
        <v>0.08</v>
      </c>
      <c r="G2884" s="15" t="s">
        <v>32</v>
      </c>
      <c r="H2884" s="18">
        <v>73.569999999999993</v>
      </c>
      <c r="I2884" s="19">
        <v>12.58</v>
      </c>
      <c r="J2884" s="19">
        <v>5.16</v>
      </c>
      <c r="K2884" s="19" t="s">
        <v>97</v>
      </c>
      <c r="L2884" s="19" t="s">
        <v>98</v>
      </c>
      <c r="M2884" s="15" t="s">
        <v>1162</v>
      </c>
      <c r="N2884" s="15" t="s">
        <v>54</v>
      </c>
      <c r="O2884" s="15" t="s">
        <v>55</v>
      </c>
      <c r="P2884" s="20" t="s">
        <v>840</v>
      </c>
      <c r="Q2884" s="15" t="s">
        <v>83</v>
      </c>
      <c r="R2884" s="4"/>
      <c r="S2884" s="4"/>
    </row>
    <row r="2885" spans="1:19" ht="21" customHeight="1" x14ac:dyDescent="0.25">
      <c r="A2885" s="14">
        <f>DATE(2012,12,31)-721</f>
        <v>40553</v>
      </c>
      <c r="B2885" s="15" t="s">
        <v>562</v>
      </c>
      <c r="C2885" s="15" t="s">
        <v>51</v>
      </c>
      <c r="D2885" s="16">
        <v>3</v>
      </c>
      <c r="E2885" s="17">
        <v>17.7</v>
      </c>
      <c r="F2885" s="16">
        <v>0.06</v>
      </c>
      <c r="G2885" s="15" t="s">
        <v>32</v>
      </c>
      <c r="H2885" s="18">
        <v>-10.37</v>
      </c>
      <c r="I2885" s="19">
        <v>4.28</v>
      </c>
      <c r="J2885" s="19">
        <v>4.79</v>
      </c>
      <c r="K2885" s="19" t="s">
        <v>97</v>
      </c>
      <c r="L2885" s="19" t="s">
        <v>195</v>
      </c>
      <c r="M2885" s="15" t="s">
        <v>1964</v>
      </c>
      <c r="N2885" s="15" t="s">
        <v>36</v>
      </c>
      <c r="O2885" s="15" t="s">
        <v>117</v>
      </c>
      <c r="P2885" s="20" t="s">
        <v>1436</v>
      </c>
      <c r="Q2885" s="15" t="s">
        <v>83</v>
      </c>
      <c r="R2885" s="4"/>
      <c r="S2885" s="4"/>
    </row>
    <row r="2886" spans="1:19" ht="21" customHeight="1" x14ac:dyDescent="0.25">
      <c r="A2886" s="14">
        <f>DATE(2012,12,31)-721</f>
        <v>40553</v>
      </c>
      <c r="B2886" s="15" t="s">
        <v>562</v>
      </c>
      <c r="C2886" s="15" t="s">
        <v>51</v>
      </c>
      <c r="D2886" s="16">
        <v>12</v>
      </c>
      <c r="E2886" s="17">
        <v>45.61</v>
      </c>
      <c r="F2886" s="16">
        <v>0.1</v>
      </c>
      <c r="G2886" s="15" t="s">
        <v>32</v>
      </c>
      <c r="H2886" s="18">
        <v>9.18</v>
      </c>
      <c r="I2886" s="19">
        <v>3.85</v>
      </c>
      <c r="J2886" s="19">
        <v>0.7</v>
      </c>
      <c r="K2886" s="19" t="s">
        <v>97</v>
      </c>
      <c r="L2886" s="19" t="s">
        <v>98</v>
      </c>
      <c r="M2886" s="15" t="s">
        <v>1162</v>
      </c>
      <c r="N2886" s="15" t="s">
        <v>36</v>
      </c>
      <c r="O2886" s="15" t="s">
        <v>77</v>
      </c>
      <c r="P2886" s="20" t="s">
        <v>225</v>
      </c>
      <c r="Q2886" s="15" t="s">
        <v>79</v>
      </c>
      <c r="R2886" s="4"/>
      <c r="S2886" s="4"/>
    </row>
    <row r="2887" spans="1:19" ht="21" customHeight="1" x14ac:dyDescent="0.25">
      <c r="A2887" s="14">
        <f>DATE(2012,12,31)-163</f>
        <v>41111</v>
      </c>
      <c r="B2887" s="15" t="s">
        <v>142</v>
      </c>
      <c r="C2887" s="15" t="s">
        <v>43</v>
      </c>
      <c r="D2887" s="16">
        <v>16</v>
      </c>
      <c r="E2887" s="17">
        <v>466.94749999999999</v>
      </c>
      <c r="F2887" s="16">
        <v>0.1</v>
      </c>
      <c r="G2887" s="15" t="s">
        <v>32</v>
      </c>
      <c r="H2887" s="18">
        <v>82.817999999999998</v>
      </c>
      <c r="I2887" s="19">
        <v>35.99</v>
      </c>
      <c r="J2887" s="19">
        <v>3.3</v>
      </c>
      <c r="K2887" s="19" t="s">
        <v>124</v>
      </c>
      <c r="L2887" s="19" t="s">
        <v>164</v>
      </c>
      <c r="M2887" s="15" t="s">
        <v>1228</v>
      </c>
      <c r="N2887" s="15" t="s">
        <v>64</v>
      </c>
      <c r="O2887" s="15" t="s">
        <v>65</v>
      </c>
      <c r="P2887" s="20" t="s">
        <v>1720</v>
      </c>
      <c r="Q2887" s="15" t="s">
        <v>49</v>
      </c>
      <c r="R2887" s="4"/>
      <c r="S2887" s="4"/>
    </row>
    <row r="2888" spans="1:19" ht="21" customHeight="1" x14ac:dyDescent="0.25">
      <c r="A2888" s="14">
        <f>DATE(2012,12,31)-163</f>
        <v>41111</v>
      </c>
      <c r="B2888" s="15" t="s">
        <v>142</v>
      </c>
      <c r="C2888" s="15" t="s">
        <v>43</v>
      </c>
      <c r="D2888" s="16">
        <v>39</v>
      </c>
      <c r="E2888" s="17">
        <v>6152.52</v>
      </c>
      <c r="F2888" s="16">
        <v>0.08</v>
      </c>
      <c r="G2888" s="15" t="s">
        <v>58</v>
      </c>
      <c r="H2888" s="18">
        <v>768.06</v>
      </c>
      <c r="I2888" s="19">
        <v>160.97999999999999</v>
      </c>
      <c r="J2888" s="19">
        <v>30</v>
      </c>
      <c r="K2888" s="19" t="s">
        <v>124</v>
      </c>
      <c r="L2888" s="19" t="s">
        <v>493</v>
      </c>
      <c r="M2888" s="15" t="s">
        <v>1927</v>
      </c>
      <c r="N2888" s="15" t="s">
        <v>54</v>
      </c>
      <c r="O2888" s="15" t="s">
        <v>252</v>
      </c>
      <c r="P2888" s="20" t="s">
        <v>726</v>
      </c>
      <c r="Q2888" s="15" t="s">
        <v>181</v>
      </c>
      <c r="R2888" s="4"/>
      <c r="S2888" s="4"/>
    </row>
    <row r="2889" spans="1:19" ht="21" customHeight="1" x14ac:dyDescent="0.25">
      <c r="A2889" s="14">
        <f>DATE(2012,12,31)-885</f>
        <v>40389</v>
      </c>
      <c r="B2889" s="15" t="s">
        <v>333</v>
      </c>
      <c r="C2889" s="15" t="s">
        <v>43</v>
      </c>
      <c r="D2889" s="16">
        <v>47</v>
      </c>
      <c r="E2889" s="17">
        <v>88.7</v>
      </c>
      <c r="F2889" s="16">
        <v>0.06</v>
      </c>
      <c r="G2889" s="15" t="s">
        <v>32</v>
      </c>
      <c r="H2889" s="18">
        <v>-20.447000000000003</v>
      </c>
      <c r="I2889" s="19">
        <v>1.88</v>
      </c>
      <c r="J2889" s="19">
        <v>1.49</v>
      </c>
      <c r="K2889" s="19" t="s">
        <v>124</v>
      </c>
      <c r="L2889" s="19" t="s">
        <v>160</v>
      </c>
      <c r="M2889" s="15" t="s">
        <v>1951</v>
      </c>
      <c r="N2889" s="15" t="s">
        <v>36</v>
      </c>
      <c r="O2889" s="15" t="s">
        <v>170</v>
      </c>
      <c r="P2889" s="20" t="s">
        <v>1353</v>
      </c>
      <c r="Q2889" s="15" t="s">
        <v>83</v>
      </c>
      <c r="R2889" s="4"/>
      <c r="S2889" s="4"/>
    </row>
    <row r="2890" spans="1:19" ht="21" customHeight="1" x14ac:dyDescent="0.25">
      <c r="A2890" s="14">
        <f>DATE(2012,12,31)-885</f>
        <v>40389</v>
      </c>
      <c r="B2890" s="15" t="s">
        <v>333</v>
      </c>
      <c r="C2890" s="15" t="s">
        <v>43</v>
      </c>
      <c r="D2890" s="16">
        <v>39</v>
      </c>
      <c r="E2890" s="17">
        <v>105.89</v>
      </c>
      <c r="F2890" s="16">
        <v>0.08</v>
      </c>
      <c r="G2890" s="15" t="s">
        <v>32</v>
      </c>
      <c r="H2890" s="18">
        <v>4.13</v>
      </c>
      <c r="I2890" s="19">
        <v>2.84</v>
      </c>
      <c r="J2890" s="19">
        <v>0.93</v>
      </c>
      <c r="K2890" s="19" t="s">
        <v>124</v>
      </c>
      <c r="L2890" s="19" t="s">
        <v>160</v>
      </c>
      <c r="M2890" s="15" t="s">
        <v>1951</v>
      </c>
      <c r="N2890" s="15" t="s">
        <v>36</v>
      </c>
      <c r="O2890" s="15" t="s">
        <v>77</v>
      </c>
      <c r="P2890" s="20" t="s">
        <v>510</v>
      </c>
      <c r="Q2890" s="15" t="s">
        <v>79</v>
      </c>
      <c r="R2890" s="4"/>
      <c r="S2890" s="4"/>
    </row>
    <row r="2891" spans="1:19" ht="21" customHeight="1" x14ac:dyDescent="0.25">
      <c r="A2891" s="14">
        <f>DATE(2012,12,31)-1361</f>
        <v>39913</v>
      </c>
      <c r="B2891" s="15" t="s">
        <v>465</v>
      </c>
      <c r="C2891" s="15" t="s">
        <v>43</v>
      </c>
      <c r="D2891" s="16">
        <v>5</v>
      </c>
      <c r="E2891" s="17">
        <v>20.170000000000002</v>
      </c>
      <c r="F2891" s="16">
        <v>0.05</v>
      </c>
      <c r="G2891" s="15" t="s">
        <v>32</v>
      </c>
      <c r="H2891" s="18">
        <v>-15.42</v>
      </c>
      <c r="I2891" s="19">
        <v>3.28</v>
      </c>
      <c r="J2891" s="19">
        <v>3.97</v>
      </c>
      <c r="K2891" s="19" t="s">
        <v>124</v>
      </c>
      <c r="L2891" s="19" t="s">
        <v>160</v>
      </c>
      <c r="M2891" s="15" t="s">
        <v>1951</v>
      </c>
      <c r="N2891" s="15" t="s">
        <v>36</v>
      </c>
      <c r="O2891" s="15" t="s">
        <v>77</v>
      </c>
      <c r="P2891" s="20" t="s">
        <v>1663</v>
      </c>
      <c r="Q2891" s="15" t="s">
        <v>79</v>
      </c>
      <c r="R2891" s="4"/>
      <c r="S2891" s="4"/>
    </row>
    <row r="2892" spans="1:19" ht="21" customHeight="1" x14ac:dyDescent="0.25">
      <c r="A2892" s="14">
        <f>DATE(2012,12,31)-1361</f>
        <v>39913</v>
      </c>
      <c r="B2892" s="15" t="s">
        <v>465</v>
      </c>
      <c r="C2892" s="15" t="s">
        <v>43</v>
      </c>
      <c r="D2892" s="16">
        <v>21</v>
      </c>
      <c r="E2892" s="17">
        <v>235.98</v>
      </c>
      <c r="F2892" s="16">
        <v>0.03</v>
      </c>
      <c r="G2892" s="15" t="s">
        <v>32</v>
      </c>
      <c r="H2892" s="18">
        <v>11.82</v>
      </c>
      <c r="I2892" s="19">
        <v>10.98</v>
      </c>
      <c r="J2892" s="19">
        <v>3.37</v>
      </c>
      <c r="K2892" s="19" t="s">
        <v>124</v>
      </c>
      <c r="L2892" s="19" t="s">
        <v>160</v>
      </c>
      <c r="M2892" s="15" t="s">
        <v>1951</v>
      </c>
      <c r="N2892" s="15" t="s">
        <v>36</v>
      </c>
      <c r="O2892" s="15" t="s">
        <v>47</v>
      </c>
      <c r="P2892" s="20" t="s">
        <v>1698</v>
      </c>
      <c r="Q2892" s="15" t="s">
        <v>49</v>
      </c>
      <c r="R2892" s="4"/>
      <c r="S2892" s="4"/>
    </row>
    <row r="2893" spans="1:19" ht="21" customHeight="1" x14ac:dyDescent="0.25">
      <c r="A2893" s="14">
        <f>DATE(2012,12,31)-391</f>
        <v>40883</v>
      </c>
      <c r="B2893" s="15" t="s">
        <v>1483</v>
      </c>
      <c r="C2893" s="15" t="s">
        <v>51</v>
      </c>
      <c r="D2893" s="16">
        <v>19</v>
      </c>
      <c r="E2893" s="17">
        <v>251.45</v>
      </c>
      <c r="F2893" s="16">
        <v>0.06</v>
      </c>
      <c r="G2893" s="15" t="s">
        <v>32</v>
      </c>
      <c r="H2893" s="18">
        <v>90</v>
      </c>
      <c r="I2893" s="19">
        <v>13.4</v>
      </c>
      <c r="J2893" s="19">
        <v>4.95</v>
      </c>
      <c r="K2893" s="19" t="s">
        <v>124</v>
      </c>
      <c r="L2893" s="19" t="s">
        <v>160</v>
      </c>
      <c r="M2893" s="15" t="s">
        <v>1951</v>
      </c>
      <c r="N2893" s="15" t="s">
        <v>54</v>
      </c>
      <c r="O2893" s="15" t="s">
        <v>55</v>
      </c>
      <c r="P2893" s="20" t="s">
        <v>1888</v>
      </c>
      <c r="Q2893" s="15" t="s">
        <v>49</v>
      </c>
      <c r="R2893" s="4"/>
      <c r="S2893" s="4"/>
    </row>
    <row r="2894" spans="1:19" ht="21" customHeight="1" x14ac:dyDescent="0.25">
      <c r="A2894" s="14">
        <f>DATE(2012,12,31)-814</f>
        <v>40460</v>
      </c>
      <c r="B2894" s="15" t="s">
        <v>1908</v>
      </c>
      <c r="C2894" s="15" t="s">
        <v>31</v>
      </c>
      <c r="D2894" s="16">
        <v>9</v>
      </c>
      <c r="E2894" s="17">
        <v>1609.19</v>
      </c>
      <c r="F2894" s="16">
        <v>0.03</v>
      </c>
      <c r="G2894" s="15" t="s">
        <v>32</v>
      </c>
      <c r="H2894" s="18">
        <v>188.91</v>
      </c>
      <c r="I2894" s="19">
        <v>178.47</v>
      </c>
      <c r="J2894" s="19">
        <v>19.989999999999998</v>
      </c>
      <c r="K2894" s="19" t="s">
        <v>124</v>
      </c>
      <c r="L2894" s="19" t="s">
        <v>160</v>
      </c>
      <c r="M2894" s="15" t="s">
        <v>1951</v>
      </c>
      <c r="N2894" s="15" t="s">
        <v>36</v>
      </c>
      <c r="O2894" s="15" t="s">
        <v>37</v>
      </c>
      <c r="P2894" s="20" t="s">
        <v>232</v>
      </c>
      <c r="Q2894" s="15" t="s">
        <v>83</v>
      </c>
      <c r="R2894" s="4"/>
      <c r="S2894" s="4"/>
    </row>
    <row r="2895" spans="1:19" ht="21" customHeight="1" x14ac:dyDescent="0.25">
      <c r="A2895" s="14">
        <f>DATE(2012,12,31)-428</f>
        <v>40846</v>
      </c>
      <c r="B2895" s="15" t="s">
        <v>1656</v>
      </c>
      <c r="C2895" s="15" t="s">
        <v>85</v>
      </c>
      <c r="D2895" s="16">
        <v>33</v>
      </c>
      <c r="E2895" s="17">
        <v>1756.5929999999998</v>
      </c>
      <c r="F2895" s="16">
        <v>0.09</v>
      </c>
      <c r="G2895" s="15" t="s">
        <v>32</v>
      </c>
      <c r="H2895" s="18">
        <v>298.20599999999996</v>
      </c>
      <c r="I2895" s="19">
        <v>65.989999999999995</v>
      </c>
      <c r="J2895" s="19">
        <v>5.63</v>
      </c>
      <c r="K2895" s="19" t="s">
        <v>124</v>
      </c>
      <c r="L2895" s="19" t="s">
        <v>160</v>
      </c>
      <c r="M2895" s="15" t="s">
        <v>1951</v>
      </c>
      <c r="N2895" s="15" t="s">
        <v>64</v>
      </c>
      <c r="O2895" s="15" t="s">
        <v>65</v>
      </c>
      <c r="P2895" s="20" t="s">
        <v>695</v>
      </c>
      <c r="Q2895" s="15" t="s">
        <v>83</v>
      </c>
      <c r="R2895" s="4"/>
      <c r="S2895" s="4"/>
    </row>
    <row r="2896" spans="1:19" ht="21" customHeight="1" x14ac:dyDescent="0.25">
      <c r="A2896" s="14">
        <f>DATE(2012,12,31)-994</f>
        <v>40280</v>
      </c>
      <c r="B2896" s="15" t="s">
        <v>254</v>
      </c>
      <c r="C2896" s="15" t="s">
        <v>31</v>
      </c>
      <c r="D2896" s="16">
        <v>9</v>
      </c>
      <c r="E2896" s="17">
        <v>495.1</v>
      </c>
      <c r="F2896" s="16">
        <v>0.04</v>
      </c>
      <c r="G2896" s="15" t="s">
        <v>32</v>
      </c>
      <c r="H2896" s="18">
        <v>110.36</v>
      </c>
      <c r="I2896" s="19">
        <v>54.96</v>
      </c>
      <c r="J2896" s="19">
        <v>10.75</v>
      </c>
      <c r="K2896" s="19" t="s">
        <v>124</v>
      </c>
      <c r="L2896" s="19" t="s">
        <v>319</v>
      </c>
      <c r="M2896" s="15" t="s">
        <v>1711</v>
      </c>
      <c r="N2896" s="15" t="s">
        <v>36</v>
      </c>
      <c r="O2896" s="15" t="s">
        <v>117</v>
      </c>
      <c r="P2896" s="20" t="s">
        <v>1611</v>
      </c>
      <c r="Q2896" s="15" t="s">
        <v>83</v>
      </c>
      <c r="R2896" s="4"/>
      <c r="S2896" s="4"/>
    </row>
    <row r="2897" spans="1:19" ht="21" customHeight="1" x14ac:dyDescent="0.25">
      <c r="A2897" s="14">
        <f>DATE(2012,12,31)-768</f>
        <v>40506</v>
      </c>
      <c r="B2897" s="15" t="s">
        <v>1119</v>
      </c>
      <c r="C2897" s="15" t="s">
        <v>31</v>
      </c>
      <c r="D2897" s="16">
        <v>50</v>
      </c>
      <c r="E2897" s="17">
        <v>1978.3664999999999</v>
      </c>
      <c r="F2897" s="16">
        <v>0</v>
      </c>
      <c r="G2897" s="15" t="s">
        <v>32</v>
      </c>
      <c r="H2897" s="18">
        <v>483.59700000000004</v>
      </c>
      <c r="I2897" s="19">
        <v>45.99</v>
      </c>
      <c r="J2897" s="19">
        <v>4.99</v>
      </c>
      <c r="K2897" s="19" t="s">
        <v>124</v>
      </c>
      <c r="L2897" s="19" t="s">
        <v>164</v>
      </c>
      <c r="M2897" s="15" t="s">
        <v>1228</v>
      </c>
      <c r="N2897" s="15" t="s">
        <v>64</v>
      </c>
      <c r="O2897" s="15" t="s">
        <v>65</v>
      </c>
      <c r="P2897" s="20" t="s">
        <v>1539</v>
      </c>
      <c r="Q2897" s="15" t="s">
        <v>83</v>
      </c>
      <c r="R2897" s="4"/>
      <c r="S2897" s="4"/>
    </row>
    <row r="2898" spans="1:19" ht="21" customHeight="1" x14ac:dyDescent="0.25">
      <c r="A2898" s="14">
        <f>DATE(2012,12,31)-1321</f>
        <v>39953</v>
      </c>
      <c r="B2898" s="15" t="s">
        <v>30</v>
      </c>
      <c r="C2898" s="15" t="s">
        <v>51</v>
      </c>
      <c r="D2898" s="16">
        <v>4</v>
      </c>
      <c r="E2898" s="17">
        <v>442.99</v>
      </c>
      <c r="F2898" s="16">
        <v>0.04</v>
      </c>
      <c r="G2898" s="15" t="s">
        <v>58</v>
      </c>
      <c r="H2898" s="18">
        <v>-152.76</v>
      </c>
      <c r="I2898" s="19">
        <v>100.98</v>
      </c>
      <c r="J2898" s="19">
        <v>35.840000000000003</v>
      </c>
      <c r="K2898" s="19" t="s">
        <v>124</v>
      </c>
      <c r="L2898" s="19" t="s">
        <v>319</v>
      </c>
      <c r="M2898" s="15" t="s">
        <v>1966</v>
      </c>
      <c r="N2898" s="15" t="s">
        <v>54</v>
      </c>
      <c r="O2898" s="15" t="s">
        <v>134</v>
      </c>
      <c r="P2898" s="20" t="s">
        <v>440</v>
      </c>
      <c r="Q2898" s="15" t="s">
        <v>63</v>
      </c>
      <c r="R2898" s="4"/>
      <c r="S2898" s="4"/>
    </row>
    <row r="2899" spans="1:19" ht="21" customHeight="1" x14ac:dyDescent="0.25">
      <c r="A2899" s="14">
        <f>DATE(2012,12,31)-155</f>
        <v>41119</v>
      </c>
      <c r="B2899" s="15" t="s">
        <v>1078</v>
      </c>
      <c r="C2899" s="15" t="s">
        <v>51</v>
      </c>
      <c r="D2899" s="16">
        <v>38</v>
      </c>
      <c r="E2899" s="17">
        <v>123.26</v>
      </c>
      <c r="F2899" s="16">
        <v>0.02</v>
      </c>
      <c r="G2899" s="15" t="s">
        <v>32</v>
      </c>
      <c r="H2899" s="18">
        <v>-4.7300000000000004</v>
      </c>
      <c r="I2899" s="19">
        <v>3.26</v>
      </c>
      <c r="J2899" s="19">
        <v>1.86</v>
      </c>
      <c r="K2899" s="19" t="s">
        <v>124</v>
      </c>
      <c r="L2899" s="19" t="s">
        <v>164</v>
      </c>
      <c r="M2899" s="15" t="s">
        <v>1228</v>
      </c>
      <c r="N2899" s="15" t="s">
        <v>36</v>
      </c>
      <c r="O2899" s="15" t="s">
        <v>77</v>
      </c>
      <c r="P2899" s="20" t="s">
        <v>788</v>
      </c>
      <c r="Q2899" s="15" t="s">
        <v>79</v>
      </c>
      <c r="R2899" s="4"/>
      <c r="S2899" s="4"/>
    </row>
    <row r="2900" spans="1:19" ht="21" customHeight="1" x14ac:dyDescent="0.25">
      <c r="A2900" s="14">
        <f>DATE(2012,12,31)-127</f>
        <v>41147</v>
      </c>
      <c r="B2900" s="15" t="s">
        <v>564</v>
      </c>
      <c r="C2900" s="15" t="s">
        <v>51</v>
      </c>
      <c r="D2900" s="16">
        <v>45</v>
      </c>
      <c r="E2900" s="17">
        <v>2079.4740000000002</v>
      </c>
      <c r="F2900" s="16">
        <v>0.05</v>
      </c>
      <c r="G2900" s="15" t="s">
        <v>32</v>
      </c>
      <c r="H2900" s="18">
        <v>-81.564999999999998</v>
      </c>
      <c r="I2900" s="19">
        <v>55.99</v>
      </c>
      <c r="J2900" s="19">
        <v>5</v>
      </c>
      <c r="K2900" s="19" t="s">
        <v>44</v>
      </c>
      <c r="L2900" s="19" t="s">
        <v>52</v>
      </c>
      <c r="M2900" s="15" t="s">
        <v>1685</v>
      </c>
      <c r="N2900" s="15" t="s">
        <v>64</v>
      </c>
      <c r="O2900" s="15" t="s">
        <v>65</v>
      </c>
      <c r="P2900" s="20" t="s">
        <v>975</v>
      </c>
      <c r="Q2900" s="15" t="s">
        <v>49</v>
      </c>
      <c r="R2900" s="4"/>
      <c r="S2900" s="4"/>
    </row>
    <row r="2901" spans="1:19" ht="21" customHeight="1" x14ac:dyDescent="0.25">
      <c r="A2901" s="14">
        <f>DATE(2012,12,31)-1076</f>
        <v>40198</v>
      </c>
      <c r="B2901" s="15" t="s">
        <v>286</v>
      </c>
      <c r="C2901" s="15" t="s">
        <v>85</v>
      </c>
      <c r="D2901" s="16">
        <v>5</v>
      </c>
      <c r="E2901" s="17">
        <v>1253.8900000000001</v>
      </c>
      <c r="F2901" s="16">
        <v>0.09</v>
      </c>
      <c r="G2901" s="15" t="s">
        <v>58</v>
      </c>
      <c r="H2901" s="18">
        <v>-577.47989999999993</v>
      </c>
      <c r="I2901" s="19">
        <v>264.98</v>
      </c>
      <c r="J2901" s="19">
        <v>17.86</v>
      </c>
      <c r="K2901" s="19" t="s">
        <v>44</v>
      </c>
      <c r="L2901" s="19" t="s">
        <v>52</v>
      </c>
      <c r="M2901" s="15" t="s">
        <v>1685</v>
      </c>
      <c r="N2901" s="15" t="s">
        <v>64</v>
      </c>
      <c r="O2901" s="15" t="s">
        <v>122</v>
      </c>
      <c r="P2901" s="20" t="s">
        <v>780</v>
      </c>
      <c r="Q2901" s="15" t="s">
        <v>181</v>
      </c>
      <c r="R2901" s="4"/>
      <c r="S2901" s="4"/>
    </row>
    <row r="2902" spans="1:19" ht="21" customHeight="1" x14ac:dyDescent="0.25">
      <c r="A2902" s="14">
        <f>DATE(2012,12,31)-409</f>
        <v>40865</v>
      </c>
      <c r="B2902" s="15" t="s">
        <v>198</v>
      </c>
      <c r="C2902" s="15" t="s">
        <v>31</v>
      </c>
      <c r="D2902" s="16">
        <v>19</v>
      </c>
      <c r="E2902" s="17">
        <v>195.96</v>
      </c>
      <c r="F2902" s="16">
        <v>0.1</v>
      </c>
      <c r="G2902" s="15" t="s">
        <v>32</v>
      </c>
      <c r="H2902" s="18">
        <v>-104.82</v>
      </c>
      <c r="I2902" s="19">
        <v>10.97</v>
      </c>
      <c r="J2902" s="19">
        <v>6.5</v>
      </c>
      <c r="K2902" s="19" t="s">
        <v>44</v>
      </c>
      <c r="L2902" s="19" t="s">
        <v>80</v>
      </c>
      <c r="M2902" s="15" t="s">
        <v>1823</v>
      </c>
      <c r="N2902" s="15" t="s">
        <v>64</v>
      </c>
      <c r="O2902" s="15" t="s">
        <v>72</v>
      </c>
      <c r="P2902" s="20" t="s">
        <v>354</v>
      </c>
      <c r="Q2902" s="15" t="s">
        <v>83</v>
      </c>
      <c r="R2902" s="4"/>
      <c r="S2902" s="4"/>
    </row>
    <row r="2903" spans="1:19" ht="21" customHeight="1" x14ac:dyDescent="0.25">
      <c r="A2903" s="14">
        <f>DATE(2012,12,31)-1082</f>
        <v>40192</v>
      </c>
      <c r="B2903" s="15" t="s">
        <v>412</v>
      </c>
      <c r="C2903" s="15" t="s">
        <v>43</v>
      </c>
      <c r="D2903" s="16">
        <v>34</v>
      </c>
      <c r="E2903" s="17">
        <v>6607.92</v>
      </c>
      <c r="F2903" s="16">
        <v>0.06</v>
      </c>
      <c r="G2903" s="15" t="s">
        <v>32</v>
      </c>
      <c r="H2903" s="18">
        <v>1462.7239999999999</v>
      </c>
      <c r="I2903" s="19">
        <v>199.99</v>
      </c>
      <c r="J2903" s="19">
        <v>24.49</v>
      </c>
      <c r="K2903" s="19" t="s">
        <v>44</v>
      </c>
      <c r="L2903" s="19" t="s">
        <v>52</v>
      </c>
      <c r="M2903" s="15" t="s">
        <v>1685</v>
      </c>
      <c r="N2903" s="15" t="s">
        <v>64</v>
      </c>
      <c r="O2903" s="15" t="s">
        <v>460</v>
      </c>
      <c r="P2903" s="20" t="s">
        <v>1967</v>
      </c>
      <c r="Q2903" s="15" t="s">
        <v>39</v>
      </c>
      <c r="R2903" s="4"/>
      <c r="S2903" s="4"/>
    </row>
    <row r="2904" spans="1:19" ht="21" customHeight="1" x14ac:dyDescent="0.25">
      <c r="A2904" s="14">
        <f>DATE(2012,12,31)-276</f>
        <v>40998</v>
      </c>
      <c r="B2904" s="15" t="s">
        <v>1485</v>
      </c>
      <c r="C2904" s="15" t="s">
        <v>85</v>
      </c>
      <c r="D2904" s="16">
        <v>11</v>
      </c>
      <c r="E2904" s="17">
        <v>629.5865</v>
      </c>
      <c r="F2904" s="16">
        <v>0.04</v>
      </c>
      <c r="G2904" s="15" t="s">
        <v>32</v>
      </c>
      <c r="H2904" s="18">
        <v>-120.087</v>
      </c>
      <c r="I2904" s="19">
        <v>65.989999999999995</v>
      </c>
      <c r="J2904" s="19">
        <v>8.99</v>
      </c>
      <c r="K2904" s="19" t="s">
        <v>44</v>
      </c>
      <c r="L2904" s="19" t="s">
        <v>52</v>
      </c>
      <c r="M2904" s="15" t="s">
        <v>1685</v>
      </c>
      <c r="N2904" s="15" t="s">
        <v>64</v>
      </c>
      <c r="O2904" s="15" t="s">
        <v>65</v>
      </c>
      <c r="P2904" s="20" t="s">
        <v>1408</v>
      </c>
      <c r="Q2904" s="15" t="s">
        <v>83</v>
      </c>
      <c r="R2904" s="4"/>
      <c r="S2904" s="4"/>
    </row>
    <row r="2905" spans="1:19" ht="21" customHeight="1" x14ac:dyDescent="0.25">
      <c r="A2905" s="14">
        <f>DATE(2012,12,31)-1107</f>
        <v>40167</v>
      </c>
      <c r="B2905" s="15" t="s">
        <v>207</v>
      </c>
      <c r="C2905" s="15" t="s">
        <v>85</v>
      </c>
      <c r="D2905" s="16">
        <v>38</v>
      </c>
      <c r="E2905" s="17">
        <v>2315.11</v>
      </c>
      <c r="F2905" s="16">
        <v>0.06</v>
      </c>
      <c r="G2905" s="15" t="s">
        <v>32</v>
      </c>
      <c r="H2905" s="18">
        <v>532.21</v>
      </c>
      <c r="I2905" s="19">
        <v>59.76</v>
      </c>
      <c r="J2905" s="19">
        <v>9.7100000000000009</v>
      </c>
      <c r="K2905" s="19" t="s">
        <v>44</v>
      </c>
      <c r="L2905" s="19" t="s">
        <v>52</v>
      </c>
      <c r="M2905" s="15" t="s">
        <v>1685</v>
      </c>
      <c r="N2905" s="15" t="s">
        <v>36</v>
      </c>
      <c r="O2905" s="15" t="s">
        <v>37</v>
      </c>
      <c r="P2905" s="20" t="s">
        <v>1654</v>
      </c>
      <c r="Q2905" s="15" t="s">
        <v>83</v>
      </c>
      <c r="R2905" s="4"/>
      <c r="S2905" s="4"/>
    </row>
    <row r="2906" spans="1:19" ht="21" customHeight="1" x14ac:dyDescent="0.25">
      <c r="A2906" s="14">
        <f>DATE(2012,12,31)-1107</f>
        <v>40167</v>
      </c>
      <c r="B2906" s="15" t="s">
        <v>207</v>
      </c>
      <c r="C2906" s="15" t="s">
        <v>85</v>
      </c>
      <c r="D2906" s="16">
        <v>8</v>
      </c>
      <c r="E2906" s="17">
        <v>1264.2304999999999</v>
      </c>
      <c r="F2906" s="16">
        <v>7.0000000000000007E-2</v>
      </c>
      <c r="G2906" s="15" t="s">
        <v>32</v>
      </c>
      <c r="H2906" s="18">
        <v>-444.68599999999998</v>
      </c>
      <c r="I2906" s="19">
        <v>195.99</v>
      </c>
      <c r="J2906" s="19">
        <v>4.2</v>
      </c>
      <c r="K2906" s="19" t="s">
        <v>44</v>
      </c>
      <c r="L2906" s="19" t="s">
        <v>52</v>
      </c>
      <c r="M2906" s="15" t="s">
        <v>1685</v>
      </c>
      <c r="N2906" s="15" t="s">
        <v>64</v>
      </c>
      <c r="O2906" s="15" t="s">
        <v>65</v>
      </c>
      <c r="P2906" s="20" t="s">
        <v>1216</v>
      </c>
      <c r="Q2906" s="15" t="s">
        <v>83</v>
      </c>
      <c r="R2906" s="4"/>
      <c r="S2906" s="4"/>
    </row>
    <row r="2907" spans="1:19" ht="21" customHeight="1" x14ac:dyDescent="0.25">
      <c r="A2907" s="14">
        <f>DATE(2012,12,31)-835</f>
        <v>40439</v>
      </c>
      <c r="B2907" s="15" t="s">
        <v>1609</v>
      </c>
      <c r="C2907" s="15" t="s">
        <v>31</v>
      </c>
      <c r="D2907" s="16">
        <v>10</v>
      </c>
      <c r="E2907" s="17">
        <v>39.42</v>
      </c>
      <c r="F2907" s="16">
        <v>0.06</v>
      </c>
      <c r="G2907" s="15" t="s">
        <v>32</v>
      </c>
      <c r="H2907" s="18">
        <v>7.78</v>
      </c>
      <c r="I2907" s="19">
        <v>3.85</v>
      </c>
      <c r="J2907" s="19">
        <v>0.7</v>
      </c>
      <c r="K2907" s="19" t="s">
        <v>44</v>
      </c>
      <c r="L2907" s="19" t="s">
        <v>52</v>
      </c>
      <c r="M2907" s="15" t="s">
        <v>1685</v>
      </c>
      <c r="N2907" s="15" t="s">
        <v>36</v>
      </c>
      <c r="O2907" s="15" t="s">
        <v>77</v>
      </c>
      <c r="P2907" s="20" t="s">
        <v>225</v>
      </c>
      <c r="Q2907" s="15" t="s">
        <v>79</v>
      </c>
      <c r="R2907" s="4"/>
      <c r="S2907" s="4"/>
    </row>
    <row r="2908" spans="1:19" ht="21" customHeight="1" x14ac:dyDescent="0.25">
      <c r="A2908" s="14">
        <f>DATE(2012,12,31)-835</f>
        <v>40439</v>
      </c>
      <c r="B2908" s="15" t="s">
        <v>1609</v>
      </c>
      <c r="C2908" s="15" t="s">
        <v>31</v>
      </c>
      <c r="D2908" s="16">
        <v>35</v>
      </c>
      <c r="E2908" s="17">
        <v>801.44</v>
      </c>
      <c r="F2908" s="16">
        <v>0.01</v>
      </c>
      <c r="G2908" s="15" t="s">
        <v>32</v>
      </c>
      <c r="H2908" s="18">
        <v>308.12</v>
      </c>
      <c r="I2908" s="19">
        <v>22.24</v>
      </c>
      <c r="J2908" s="19">
        <v>1.99</v>
      </c>
      <c r="K2908" s="19" t="s">
        <v>44</v>
      </c>
      <c r="L2908" s="19" t="s">
        <v>52</v>
      </c>
      <c r="M2908" s="15" t="s">
        <v>1685</v>
      </c>
      <c r="N2908" s="15" t="s">
        <v>64</v>
      </c>
      <c r="O2908" s="15" t="s">
        <v>72</v>
      </c>
      <c r="P2908" s="20" t="s">
        <v>1401</v>
      </c>
      <c r="Q2908" s="15" t="s">
        <v>49</v>
      </c>
      <c r="R2908" s="4"/>
      <c r="S2908" s="4"/>
    </row>
    <row r="2909" spans="1:19" ht="21" customHeight="1" x14ac:dyDescent="0.25">
      <c r="A2909" s="14">
        <f>DATE(2012,12,31)-835</f>
        <v>40439</v>
      </c>
      <c r="B2909" s="15" t="s">
        <v>1609</v>
      </c>
      <c r="C2909" s="15" t="s">
        <v>31</v>
      </c>
      <c r="D2909" s="16">
        <v>22</v>
      </c>
      <c r="E2909" s="17">
        <v>1194.06</v>
      </c>
      <c r="F2909" s="16">
        <v>0.04</v>
      </c>
      <c r="G2909" s="15" t="s">
        <v>32</v>
      </c>
      <c r="H2909" s="18">
        <v>326.97000000000003</v>
      </c>
      <c r="I2909" s="19">
        <v>54.74</v>
      </c>
      <c r="J2909" s="19">
        <v>14.83</v>
      </c>
      <c r="K2909" s="19" t="s">
        <v>44</v>
      </c>
      <c r="L2909" s="19" t="s">
        <v>52</v>
      </c>
      <c r="M2909" s="15" t="s">
        <v>1685</v>
      </c>
      <c r="N2909" s="15" t="s">
        <v>54</v>
      </c>
      <c r="O2909" s="15" t="s">
        <v>55</v>
      </c>
      <c r="P2909" s="20" t="s">
        <v>1968</v>
      </c>
      <c r="Q2909" s="15" t="s">
        <v>83</v>
      </c>
      <c r="R2909" s="4"/>
      <c r="S2909" s="4"/>
    </row>
    <row r="2910" spans="1:19" ht="21" customHeight="1" x14ac:dyDescent="0.25">
      <c r="A2910" s="14">
        <f>DATE(2012,12,31)-657</f>
        <v>40617</v>
      </c>
      <c r="B2910" s="15" t="s">
        <v>1528</v>
      </c>
      <c r="C2910" s="15" t="s">
        <v>51</v>
      </c>
      <c r="D2910" s="16">
        <v>50</v>
      </c>
      <c r="E2910" s="17">
        <v>28664.52</v>
      </c>
      <c r="F2910" s="16">
        <v>0.09</v>
      </c>
      <c r="G2910" s="15" t="s">
        <v>32</v>
      </c>
      <c r="H2910" s="18">
        <v>13340.26</v>
      </c>
      <c r="I2910" s="19">
        <v>599.99</v>
      </c>
      <c r="J2910" s="19">
        <v>24.49</v>
      </c>
      <c r="K2910" s="19" t="s">
        <v>44</v>
      </c>
      <c r="L2910" s="19" t="s">
        <v>52</v>
      </c>
      <c r="M2910" s="15" t="s">
        <v>1685</v>
      </c>
      <c r="N2910" s="15" t="s">
        <v>64</v>
      </c>
      <c r="O2910" s="15" t="s">
        <v>460</v>
      </c>
      <c r="P2910" s="20" t="s">
        <v>597</v>
      </c>
      <c r="Q2910" s="15" t="s">
        <v>39</v>
      </c>
      <c r="R2910" s="4"/>
      <c r="S2910" s="4"/>
    </row>
    <row r="2911" spans="1:19" ht="21" customHeight="1" x14ac:dyDescent="0.25">
      <c r="A2911" s="14">
        <f>DATE(2012,12,31)-657</f>
        <v>40617</v>
      </c>
      <c r="B2911" s="15" t="s">
        <v>1528</v>
      </c>
      <c r="C2911" s="15" t="s">
        <v>51</v>
      </c>
      <c r="D2911" s="16">
        <v>6</v>
      </c>
      <c r="E2911" s="17">
        <v>635.7405</v>
      </c>
      <c r="F2911" s="16">
        <v>0.03</v>
      </c>
      <c r="G2911" s="15" t="s">
        <v>32</v>
      </c>
      <c r="H2911" s="18">
        <v>-397.529</v>
      </c>
      <c r="I2911" s="19">
        <v>125.99</v>
      </c>
      <c r="J2911" s="19">
        <v>8.08</v>
      </c>
      <c r="K2911" s="19" t="s">
        <v>44</v>
      </c>
      <c r="L2911" s="19" t="s">
        <v>52</v>
      </c>
      <c r="M2911" s="15" t="s">
        <v>1685</v>
      </c>
      <c r="N2911" s="15" t="s">
        <v>64</v>
      </c>
      <c r="O2911" s="15" t="s">
        <v>65</v>
      </c>
      <c r="P2911" s="20" t="s">
        <v>535</v>
      </c>
      <c r="Q2911" s="15" t="s">
        <v>83</v>
      </c>
      <c r="R2911" s="4"/>
      <c r="S2911" s="4"/>
    </row>
    <row r="2912" spans="1:19" ht="21" customHeight="1" x14ac:dyDescent="0.25">
      <c r="A2912" s="14">
        <f>DATE(2012,12,31)-279</f>
        <v>40995</v>
      </c>
      <c r="B2912" s="15" t="s">
        <v>1731</v>
      </c>
      <c r="C2912" s="15" t="s">
        <v>85</v>
      </c>
      <c r="D2912" s="16">
        <v>37</v>
      </c>
      <c r="E2912" s="17">
        <v>5817.88</v>
      </c>
      <c r="F2912" s="16">
        <v>0.01</v>
      </c>
      <c r="G2912" s="15" t="s">
        <v>58</v>
      </c>
      <c r="H2912" s="18">
        <v>-567.14</v>
      </c>
      <c r="I2912" s="19">
        <v>150.97999999999999</v>
      </c>
      <c r="J2912" s="19">
        <v>66.27</v>
      </c>
      <c r="K2912" s="19" t="s">
        <v>44</v>
      </c>
      <c r="L2912" s="19" t="s">
        <v>52</v>
      </c>
      <c r="M2912" s="15" t="s">
        <v>1685</v>
      </c>
      <c r="N2912" s="15" t="s">
        <v>54</v>
      </c>
      <c r="O2912" s="15" t="s">
        <v>134</v>
      </c>
      <c r="P2912" s="20" t="s">
        <v>1113</v>
      </c>
      <c r="Q2912" s="15" t="s">
        <v>63</v>
      </c>
      <c r="R2912" s="4"/>
      <c r="S2912" s="4"/>
    </row>
    <row r="2913" spans="1:19" ht="21" customHeight="1" x14ac:dyDescent="0.25">
      <c r="A2913" s="14">
        <f>DATE(2012,12,31)-734</f>
        <v>40540</v>
      </c>
      <c r="B2913" s="15" t="s">
        <v>1969</v>
      </c>
      <c r="C2913" s="15" t="s">
        <v>85</v>
      </c>
      <c r="D2913" s="16">
        <v>34</v>
      </c>
      <c r="E2913" s="17">
        <v>195.49</v>
      </c>
      <c r="F2913" s="16">
        <v>0.05</v>
      </c>
      <c r="G2913" s="15" t="s">
        <v>32</v>
      </c>
      <c r="H2913" s="18">
        <v>33.799999999999997</v>
      </c>
      <c r="I2913" s="19">
        <v>5.84</v>
      </c>
      <c r="J2913" s="19">
        <v>1.2</v>
      </c>
      <c r="K2913" s="19" t="s">
        <v>69</v>
      </c>
      <c r="L2913" s="19" t="s">
        <v>215</v>
      </c>
      <c r="M2913" s="15" t="s">
        <v>1704</v>
      </c>
      <c r="N2913" s="15" t="s">
        <v>36</v>
      </c>
      <c r="O2913" s="15" t="s">
        <v>77</v>
      </c>
      <c r="P2913" s="20" t="s">
        <v>1400</v>
      </c>
      <c r="Q2913" s="15" t="s">
        <v>79</v>
      </c>
      <c r="R2913" s="4"/>
      <c r="S2913" s="4"/>
    </row>
    <row r="2914" spans="1:19" ht="21" customHeight="1" x14ac:dyDescent="0.25">
      <c r="A2914" s="14">
        <f>DATE(2012,12,31)-842</f>
        <v>40432</v>
      </c>
      <c r="B2914" s="15" t="s">
        <v>1660</v>
      </c>
      <c r="C2914" s="15" t="s">
        <v>43</v>
      </c>
      <c r="D2914" s="16">
        <v>38</v>
      </c>
      <c r="E2914" s="17">
        <v>553.02</v>
      </c>
      <c r="F2914" s="16">
        <v>0.1</v>
      </c>
      <c r="G2914" s="15" t="s">
        <v>32</v>
      </c>
      <c r="H2914" s="18">
        <v>-49.38</v>
      </c>
      <c r="I2914" s="19">
        <v>15.98</v>
      </c>
      <c r="J2914" s="19">
        <v>6.5</v>
      </c>
      <c r="K2914" s="19" t="s">
        <v>97</v>
      </c>
      <c r="L2914" s="19" t="s">
        <v>98</v>
      </c>
      <c r="M2914" s="15" t="s">
        <v>1162</v>
      </c>
      <c r="N2914" s="15" t="s">
        <v>64</v>
      </c>
      <c r="O2914" s="15" t="s">
        <v>72</v>
      </c>
      <c r="P2914" s="20" t="s">
        <v>344</v>
      </c>
      <c r="Q2914" s="15" t="s">
        <v>83</v>
      </c>
      <c r="R2914" s="4"/>
      <c r="S2914" s="4"/>
    </row>
    <row r="2915" spans="1:19" ht="21" customHeight="1" x14ac:dyDescent="0.25">
      <c r="A2915" s="14">
        <f>DATE(2012,12,31)-207</f>
        <v>41067</v>
      </c>
      <c r="B2915" s="15" t="s">
        <v>1962</v>
      </c>
      <c r="C2915" s="15" t="s">
        <v>85</v>
      </c>
      <c r="D2915" s="16">
        <v>38</v>
      </c>
      <c r="E2915" s="17">
        <v>437.86</v>
      </c>
      <c r="F2915" s="16">
        <v>0.04</v>
      </c>
      <c r="G2915" s="15" t="s">
        <v>32</v>
      </c>
      <c r="H2915" s="18">
        <v>-4.17</v>
      </c>
      <c r="I2915" s="19">
        <v>11.58</v>
      </c>
      <c r="J2915" s="19">
        <v>6.97</v>
      </c>
      <c r="K2915" s="19" t="s">
        <v>69</v>
      </c>
      <c r="L2915" s="19" t="s">
        <v>75</v>
      </c>
      <c r="M2915" s="15" t="s">
        <v>1786</v>
      </c>
      <c r="N2915" s="15" t="s">
        <v>36</v>
      </c>
      <c r="O2915" s="15" t="s">
        <v>189</v>
      </c>
      <c r="P2915" s="20" t="s">
        <v>977</v>
      </c>
      <c r="Q2915" s="15" t="s">
        <v>83</v>
      </c>
      <c r="R2915" s="4"/>
      <c r="S2915" s="4"/>
    </row>
    <row r="2916" spans="1:19" ht="21" customHeight="1" x14ac:dyDescent="0.25">
      <c r="A2916" s="14">
        <f>DATE(2012,12,31)-697</f>
        <v>40577</v>
      </c>
      <c r="B2916" s="15" t="s">
        <v>1970</v>
      </c>
      <c r="C2916" s="15" t="s">
        <v>31</v>
      </c>
      <c r="D2916" s="16">
        <v>28</v>
      </c>
      <c r="E2916" s="17">
        <v>1103.67</v>
      </c>
      <c r="F2916" s="16">
        <v>0.04</v>
      </c>
      <c r="G2916" s="15" t="s">
        <v>32</v>
      </c>
      <c r="H2916" s="18">
        <v>253.61</v>
      </c>
      <c r="I2916" s="19">
        <v>39.479999999999997</v>
      </c>
      <c r="J2916" s="19">
        <v>1.99</v>
      </c>
      <c r="K2916" s="19" t="s">
        <v>44</v>
      </c>
      <c r="L2916" s="19" t="s">
        <v>45</v>
      </c>
      <c r="M2916" s="15" t="s">
        <v>1768</v>
      </c>
      <c r="N2916" s="15" t="s">
        <v>64</v>
      </c>
      <c r="O2916" s="15" t="s">
        <v>72</v>
      </c>
      <c r="P2916" s="20" t="s">
        <v>218</v>
      </c>
      <c r="Q2916" s="15" t="s">
        <v>49</v>
      </c>
      <c r="R2916" s="4"/>
      <c r="S2916" s="4"/>
    </row>
    <row r="2917" spans="1:19" ht="21" customHeight="1" x14ac:dyDescent="0.25">
      <c r="A2917" s="14">
        <f>DATE(2012,12,31)-626</f>
        <v>40648</v>
      </c>
      <c r="B2917" s="15" t="s">
        <v>1609</v>
      </c>
      <c r="C2917" s="15" t="s">
        <v>31</v>
      </c>
      <c r="D2917" s="16">
        <v>49</v>
      </c>
      <c r="E2917" s="17">
        <v>377.02</v>
      </c>
      <c r="F2917" s="16">
        <v>0</v>
      </c>
      <c r="G2917" s="15" t="s">
        <v>32</v>
      </c>
      <c r="H2917" s="18">
        <v>84.66</v>
      </c>
      <c r="I2917" s="19">
        <v>7.08</v>
      </c>
      <c r="J2917" s="19">
        <v>2.35</v>
      </c>
      <c r="K2917" s="19" t="s">
        <v>124</v>
      </c>
      <c r="L2917" s="19" t="s">
        <v>319</v>
      </c>
      <c r="M2917" s="15" t="s">
        <v>1966</v>
      </c>
      <c r="N2917" s="15" t="s">
        <v>36</v>
      </c>
      <c r="O2917" s="15" t="s">
        <v>77</v>
      </c>
      <c r="P2917" s="20" t="s">
        <v>1833</v>
      </c>
      <c r="Q2917" s="15" t="s">
        <v>79</v>
      </c>
      <c r="R2917" s="4"/>
      <c r="S2917" s="4"/>
    </row>
    <row r="2918" spans="1:19" ht="21" customHeight="1" x14ac:dyDescent="0.25">
      <c r="A2918" s="14">
        <f>DATE(2012,12,31)-626</f>
        <v>40648</v>
      </c>
      <c r="B2918" s="15" t="s">
        <v>1609</v>
      </c>
      <c r="C2918" s="15" t="s">
        <v>31</v>
      </c>
      <c r="D2918" s="16">
        <v>48</v>
      </c>
      <c r="E2918" s="17">
        <v>7339.24</v>
      </c>
      <c r="F2918" s="16">
        <v>0</v>
      </c>
      <c r="G2918" s="15" t="s">
        <v>58</v>
      </c>
      <c r="H2918" s="18">
        <v>-279.74</v>
      </c>
      <c r="I2918" s="19">
        <v>145.97999999999999</v>
      </c>
      <c r="J2918" s="19">
        <v>51.92</v>
      </c>
      <c r="K2918" s="19" t="s">
        <v>44</v>
      </c>
      <c r="L2918" s="19" t="s">
        <v>89</v>
      </c>
      <c r="M2918" s="15" t="s">
        <v>1932</v>
      </c>
      <c r="N2918" s="15" t="s">
        <v>54</v>
      </c>
      <c r="O2918" s="15" t="s">
        <v>61</v>
      </c>
      <c r="P2918" s="20" t="s">
        <v>910</v>
      </c>
      <c r="Q2918" s="15" t="s">
        <v>63</v>
      </c>
      <c r="R2918" s="4"/>
      <c r="S2918" s="4"/>
    </row>
    <row r="2919" spans="1:19" ht="21" customHeight="1" x14ac:dyDescent="0.25">
      <c r="A2919" s="14">
        <f>DATE(2012,12,31)-522</f>
        <v>40752</v>
      </c>
      <c r="B2919" s="15" t="s">
        <v>1658</v>
      </c>
      <c r="C2919" s="15" t="s">
        <v>85</v>
      </c>
      <c r="D2919" s="16">
        <v>4</v>
      </c>
      <c r="E2919" s="17">
        <v>559.75</v>
      </c>
      <c r="F2919" s="16">
        <v>7.0000000000000007E-2</v>
      </c>
      <c r="G2919" s="15" t="s">
        <v>58</v>
      </c>
      <c r="H2919" s="18">
        <v>-331.08</v>
      </c>
      <c r="I2919" s="19">
        <v>122.99</v>
      </c>
      <c r="J2919" s="19">
        <v>70.2</v>
      </c>
      <c r="K2919" s="19" t="s">
        <v>33</v>
      </c>
      <c r="L2919" s="19" t="s">
        <v>128</v>
      </c>
      <c r="M2919" s="15" t="s">
        <v>129</v>
      </c>
      <c r="N2919" s="15" t="s">
        <v>54</v>
      </c>
      <c r="O2919" s="15" t="s">
        <v>252</v>
      </c>
      <c r="P2919" s="20" t="s">
        <v>819</v>
      </c>
      <c r="Q2919" s="15" t="s">
        <v>181</v>
      </c>
      <c r="R2919" s="4"/>
      <c r="S2919" s="4"/>
    </row>
    <row r="2920" spans="1:19" ht="21" customHeight="1" x14ac:dyDescent="0.25">
      <c r="A2920" s="14">
        <f>DATE(2012,12,31)-1115</f>
        <v>40159</v>
      </c>
      <c r="B2920" s="15" t="s">
        <v>1589</v>
      </c>
      <c r="C2920" s="15" t="s">
        <v>51</v>
      </c>
      <c r="D2920" s="16">
        <v>32</v>
      </c>
      <c r="E2920" s="17">
        <v>270.73</v>
      </c>
      <c r="F2920" s="16">
        <v>0.1</v>
      </c>
      <c r="G2920" s="15" t="s">
        <v>101</v>
      </c>
      <c r="H2920" s="18">
        <v>-54.567500000000003</v>
      </c>
      <c r="I2920" s="19">
        <v>8.8800000000000008</v>
      </c>
      <c r="J2920" s="19">
        <v>6.28</v>
      </c>
      <c r="K2920" s="19" t="s">
        <v>33</v>
      </c>
      <c r="L2920" s="19" t="s">
        <v>128</v>
      </c>
      <c r="M2920" s="15" t="s">
        <v>129</v>
      </c>
      <c r="N2920" s="15" t="s">
        <v>36</v>
      </c>
      <c r="O2920" s="15" t="s">
        <v>170</v>
      </c>
      <c r="P2920" s="20" t="s">
        <v>852</v>
      </c>
      <c r="Q2920" s="15" t="s">
        <v>83</v>
      </c>
      <c r="R2920" s="4"/>
      <c r="S2920" s="4"/>
    </row>
    <row r="2921" spans="1:19" ht="21" customHeight="1" x14ac:dyDescent="0.25">
      <c r="A2921" s="14">
        <f>DATE(2012,12,31)-1202</f>
        <v>40072</v>
      </c>
      <c r="B2921" s="15" t="s">
        <v>1824</v>
      </c>
      <c r="C2921" s="15" t="s">
        <v>43</v>
      </c>
      <c r="D2921" s="16">
        <v>50</v>
      </c>
      <c r="E2921" s="17">
        <v>20175.48</v>
      </c>
      <c r="F2921" s="16">
        <v>0</v>
      </c>
      <c r="G2921" s="15" t="s">
        <v>32</v>
      </c>
      <c r="H2921" s="18">
        <v>9373.9615000000013</v>
      </c>
      <c r="I2921" s="19">
        <v>387.99</v>
      </c>
      <c r="J2921" s="19">
        <v>19.989999999999998</v>
      </c>
      <c r="K2921" s="19" t="s">
        <v>69</v>
      </c>
      <c r="L2921" s="19" t="s">
        <v>70</v>
      </c>
      <c r="M2921" s="15" t="s">
        <v>1895</v>
      </c>
      <c r="N2921" s="15" t="s">
        <v>36</v>
      </c>
      <c r="O2921" s="15" t="s">
        <v>170</v>
      </c>
      <c r="P2921" s="20" t="s">
        <v>1649</v>
      </c>
      <c r="Q2921" s="15" t="s">
        <v>83</v>
      </c>
      <c r="R2921" s="4"/>
      <c r="S2921" s="4"/>
    </row>
    <row r="2922" spans="1:19" ht="21" customHeight="1" x14ac:dyDescent="0.25">
      <c r="A2922" s="14">
        <f>DATE(2012,12,31)-674</f>
        <v>40600</v>
      </c>
      <c r="B2922" s="15" t="s">
        <v>1971</v>
      </c>
      <c r="C2922" s="15" t="s">
        <v>43</v>
      </c>
      <c r="D2922" s="16">
        <v>17</v>
      </c>
      <c r="E2922" s="17">
        <v>155.16999999999999</v>
      </c>
      <c r="F2922" s="16">
        <v>0.08</v>
      </c>
      <c r="G2922" s="15" t="s">
        <v>32</v>
      </c>
      <c r="H2922" s="18">
        <v>2.12</v>
      </c>
      <c r="I2922" s="19">
        <v>9.27</v>
      </c>
      <c r="J2922" s="19">
        <v>4.3899999999999997</v>
      </c>
      <c r="K2922" s="19" t="s">
        <v>44</v>
      </c>
      <c r="L2922" s="19" t="s">
        <v>120</v>
      </c>
      <c r="M2922" s="15" t="s">
        <v>121</v>
      </c>
      <c r="N2922" s="15" t="s">
        <v>36</v>
      </c>
      <c r="O2922" s="15" t="s">
        <v>117</v>
      </c>
      <c r="P2922" s="20" t="s">
        <v>434</v>
      </c>
      <c r="Q2922" s="15" t="s">
        <v>79</v>
      </c>
      <c r="R2922" s="4"/>
      <c r="S2922" s="4"/>
    </row>
    <row r="2923" spans="1:19" ht="21" customHeight="1" x14ac:dyDescent="0.25">
      <c r="A2923" s="14">
        <f>DATE(2012,12,31)-695</f>
        <v>40579</v>
      </c>
      <c r="B2923" s="15" t="s">
        <v>392</v>
      </c>
      <c r="C2923" s="15" t="s">
        <v>51</v>
      </c>
      <c r="D2923" s="16">
        <v>4</v>
      </c>
      <c r="E2923" s="17">
        <v>81.78</v>
      </c>
      <c r="F2923" s="16">
        <v>7.0000000000000007E-2</v>
      </c>
      <c r="G2923" s="15" t="s">
        <v>32</v>
      </c>
      <c r="H2923" s="18">
        <v>-12.43</v>
      </c>
      <c r="I2923" s="19">
        <v>19.98</v>
      </c>
      <c r="J2923" s="19">
        <v>5.97</v>
      </c>
      <c r="K2923" s="19" t="s">
        <v>33</v>
      </c>
      <c r="L2923" s="19" t="s">
        <v>93</v>
      </c>
      <c r="M2923" s="15" t="s">
        <v>94</v>
      </c>
      <c r="N2923" s="15" t="s">
        <v>36</v>
      </c>
      <c r="O2923" s="15" t="s">
        <v>117</v>
      </c>
      <c r="P2923" s="20" t="s">
        <v>1347</v>
      </c>
      <c r="Q2923" s="15" t="s">
        <v>83</v>
      </c>
      <c r="R2923" s="4"/>
      <c r="S2923" s="4"/>
    </row>
    <row r="2924" spans="1:19" ht="21" customHeight="1" x14ac:dyDescent="0.25">
      <c r="A2924" s="14">
        <f>DATE(2012,12,31)-573</f>
        <v>40701</v>
      </c>
      <c r="B2924" s="15" t="s">
        <v>1520</v>
      </c>
      <c r="C2924" s="15" t="s">
        <v>31</v>
      </c>
      <c r="D2924" s="16">
        <v>5</v>
      </c>
      <c r="E2924" s="17">
        <v>20.28</v>
      </c>
      <c r="F2924" s="16">
        <v>0.05</v>
      </c>
      <c r="G2924" s="15" t="s">
        <v>101</v>
      </c>
      <c r="H2924" s="18">
        <v>-4.32</v>
      </c>
      <c r="I2924" s="19">
        <v>2.98</v>
      </c>
      <c r="J2924" s="19">
        <v>2.0299999999999998</v>
      </c>
      <c r="K2924" s="19" t="s">
        <v>124</v>
      </c>
      <c r="L2924" s="19" t="s">
        <v>164</v>
      </c>
      <c r="M2924" s="15" t="s">
        <v>1228</v>
      </c>
      <c r="N2924" s="15" t="s">
        <v>36</v>
      </c>
      <c r="O2924" s="15" t="s">
        <v>77</v>
      </c>
      <c r="P2924" s="20" t="s">
        <v>1972</v>
      </c>
      <c r="Q2924" s="15" t="s">
        <v>79</v>
      </c>
      <c r="R2924" s="4"/>
      <c r="S2924" s="4"/>
    </row>
    <row r="2925" spans="1:19" ht="21" customHeight="1" x14ac:dyDescent="0.25">
      <c r="A2925" s="14">
        <f>DATE(2012,12,31)-467</f>
        <v>40807</v>
      </c>
      <c r="B2925" s="15" t="s">
        <v>1449</v>
      </c>
      <c r="C2925" s="15" t="s">
        <v>85</v>
      </c>
      <c r="D2925" s="16">
        <v>29</v>
      </c>
      <c r="E2925" s="17">
        <v>21046.74</v>
      </c>
      <c r="F2925" s="16">
        <v>0.04</v>
      </c>
      <c r="G2925" s="15" t="s">
        <v>32</v>
      </c>
      <c r="H2925" s="18">
        <v>5217.2669999999998</v>
      </c>
      <c r="I2925" s="19">
        <v>699.99</v>
      </c>
      <c r="J2925" s="19">
        <v>24.49</v>
      </c>
      <c r="K2925" s="19" t="s">
        <v>44</v>
      </c>
      <c r="L2925" s="19" t="s">
        <v>52</v>
      </c>
      <c r="M2925" s="15" t="s">
        <v>1685</v>
      </c>
      <c r="N2925" s="15" t="s">
        <v>64</v>
      </c>
      <c r="O2925" s="15" t="s">
        <v>460</v>
      </c>
      <c r="P2925" s="20" t="s">
        <v>1973</v>
      </c>
      <c r="Q2925" s="15" t="s">
        <v>39</v>
      </c>
      <c r="R2925" s="4"/>
      <c r="S2925" s="4"/>
    </row>
    <row r="2926" spans="1:19" ht="21" customHeight="1" x14ac:dyDescent="0.25">
      <c r="A2926" s="14">
        <f>DATE(2012,12,31)-1313</f>
        <v>39961</v>
      </c>
      <c r="B2926" s="15" t="s">
        <v>404</v>
      </c>
      <c r="C2926" s="15" t="s">
        <v>85</v>
      </c>
      <c r="D2926" s="16">
        <v>28</v>
      </c>
      <c r="E2926" s="17">
        <v>1062.69</v>
      </c>
      <c r="F2926" s="16">
        <v>0.01</v>
      </c>
      <c r="G2926" s="15" t="s">
        <v>32</v>
      </c>
      <c r="H2926" s="18">
        <v>401.8</v>
      </c>
      <c r="I2926" s="19">
        <v>35.94</v>
      </c>
      <c r="J2926" s="19">
        <v>6.66</v>
      </c>
      <c r="K2926" s="19" t="s">
        <v>44</v>
      </c>
      <c r="L2926" s="19" t="s">
        <v>52</v>
      </c>
      <c r="M2926" s="15" t="s">
        <v>1685</v>
      </c>
      <c r="N2926" s="15" t="s">
        <v>36</v>
      </c>
      <c r="O2926" s="15" t="s">
        <v>189</v>
      </c>
      <c r="P2926" s="20" t="s">
        <v>1845</v>
      </c>
      <c r="Q2926" s="15" t="s">
        <v>83</v>
      </c>
      <c r="R2926" s="4"/>
      <c r="S2926" s="4"/>
    </row>
    <row r="2927" spans="1:19" ht="21" customHeight="1" x14ac:dyDescent="0.25">
      <c r="A2927" s="14">
        <f>DATE(2012,12,31)-47</f>
        <v>41227</v>
      </c>
      <c r="B2927" s="15" t="s">
        <v>1282</v>
      </c>
      <c r="C2927" s="15" t="s">
        <v>51</v>
      </c>
      <c r="D2927" s="16">
        <v>48</v>
      </c>
      <c r="E2927" s="17">
        <v>7235.83</v>
      </c>
      <c r="F2927" s="16">
        <v>0.01</v>
      </c>
      <c r="G2927" s="15" t="s">
        <v>32</v>
      </c>
      <c r="H2927" s="18">
        <v>3496.37</v>
      </c>
      <c r="I2927" s="19">
        <v>140.99</v>
      </c>
      <c r="J2927" s="19">
        <v>13.99</v>
      </c>
      <c r="K2927" s="19" t="s">
        <v>44</v>
      </c>
      <c r="L2927" s="19" t="s">
        <v>52</v>
      </c>
      <c r="M2927" s="15" t="s">
        <v>1685</v>
      </c>
      <c r="N2927" s="15" t="s">
        <v>64</v>
      </c>
      <c r="O2927" s="15" t="s">
        <v>122</v>
      </c>
      <c r="P2927" s="20" t="s">
        <v>1974</v>
      </c>
      <c r="Q2927" s="15" t="s">
        <v>57</v>
      </c>
      <c r="R2927" s="4"/>
      <c r="S2927" s="4"/>
    </row>
    <row r="2928" spans="1:19" ht="21" customHeight="1" x14ac:dyDescent="0.25">
      <c r="A2928" s="14">
        <f>DATE(2012,12,31)-9</f>
        <v>41265</v>
      </c>
      <c r="B2928" s="15" t="s">
        <v>1070</v>
      </c>
      <c r="C2928" s="15" t="s">
        <v>43</v>
      </c>
      <c r="D2928" s="16">
        <v>4</v>
      </c>
      <c r="E2928" s="17">
        <v>476.31</v>
      </c>
      <c r="F2928" s="16">
        <v>7.0000000000000007E-2</v>
      </c>
      <c r="G2928" s="15" t="s">
        <v>58</v>
      </c>
      <c r="H2928" s="18">
        <v>-258.07679999999999</v>
      </c>
      <c r="I2928" s="19">
        <v>120.97</v>
      </c>
      <c r="J2928" s="19">
        <v>26.3</v>
      </c>
      <c r="K2928" s="19" t="s">
        <v>33</v>
      </c>
      <c r="L2928" s="19" t="s">
        <v>145</v>
      </c>
      <c r="M2928" s="15" t="s">
        <v>1761</v>
      </c>
      <c r="N2928" s="15" t="s">
        <v>64</v>
      </c>
      <c r="O2928" s="15" t="s">
        <v>122</v>
      </c>
      <c r="P2928" s="20" t="s">
        <v>1878</v>
      </c>
      <c r="Q2928" s="15" t="s">
        <v>181</v>
      </c>
      <c r="R2928" s="4"/>
      <c r="S2928" s="4"/>
    </row>
    <row r="2929" spans="1:19" ht="21" customHeight="1" x14ac:dyDescent="0.25">
      <c r="A2929" s="14">
        <f>DATE(2012,12,31)-1427</f>
        <v>39847</v>
      </c>
      <c r="B2929" s="15" t="s">
        <v>455</v>
      </c>
      <c r="C2929" s="15" t="s">
        <v>43</v>
      </c>
      <c r="D2929" s="16">
        <v>36</v>
      </c>
      <c r="E2929" s="17">
        <v>181.39</v>
      </c>
      <c r="F2929" s="16">
        <v>0.1</v>
      </c>
      <c r="G2929" s="15" t="s">
        <v>32</v>
      </c>
      <c r="H2929" s="18">
        <v>-32.4</v>
      </c>
      <c r="I2929" s="19">
        <v>5.08</v>
      </c>
      <c r="J2929" s="19">
        <v>3.63</v>
      </c>
      <c r="K2929" s="19" t="s">
        <v>69</v>
      </c>
      <c r="L2929" s="19" t="s">
        <v>215</v>
      </c>
      <c r="M2929" s="15" t="s">
        <v>1704</v>
      </c>
      <c r="N2929" s="15" t="s">
        <v>54</v>
      </c>
      <c r="O2929" s="15" t="s">
        <v>55</v>
      </c>
      <c r="P2929" s="20" t="s">
        <v>1325</v>
      </c>
      <c r="Q2929" s="15" t="s">
        <v>79</v>
      </c>
      <c r="R2929" s="4"/>
      <c r="S2929" s="4"/>
    </row>
    <row r="2930" spans="1:19" ht="21" customHeight="1" x14ac:dyDescent="0.25">
      <c r="A2930" s="14">
        <f>DATE(2012,12,31)-1427</f>
        <v>39847</v>
      </c>
      <c r="B2930" s="15" t="s">
        <v>455</v>
      </c>
      <c r="C2930" s="15" t="s">
        <v>43</v>
      </c>
      <c r="D2930" s="16">
        <v>26</v>
      </c>
      <c r="E2930" s="17">
        <v>846.08150000000001</v>
      </c>
      <c r="F2930" s="16">
        <v>0.02</v>
      </c>
      <c r="G2930" s="15" t="s">
        <v>32</v>
      </c>
      <c r="H2930" s="18">
        <v>-120.934</v>
      </c>
      <c r="I2930" s="19">
        <v>35.99</v>
      </c>
      <c r="J2930" s="19">
        <v>5</v>
      </c>
      <c r="K2930" s="19" t="s">
        <v>69</v>
      </c>
      <c r="L2930" s="19" t="s">
        <v>215</v>
      </c>
      <c r="M2930" s="15" t="s">
        <v>1704</v>
      </c>
      <c r="N2930" s="15" t="s">
        <v>64</v>
      </c>
      <c r="O2930" s="15" t="s">
        <v>65</v>
      </c>
      <c r="P2930" s="20" t="s">
        <v>1745</v>
      </c>
      <c r="Q2930" s="15" t="s">
        <v>83</v>
      </c>
      <c r="R2930" s="4"/>
      <c r="S2930" s="4"/>
    </row>
    <row r="2931" spans="1:19" ht="21" customHeight="1" x14ac:dyDescent="0.25">
      <c r="A2931" s="14">
        <f>DATE(2012,12,31)-291</f>
        <v>40983</v>
      </c>
      <c r="B2931" s="15" t="s">
        <v>288</v>
      </c>
      <c r="C2931" s="15" t="s">
        <v>43</v>
      </c>
      <c r="D2931" s="16">
        <v>3</v>
      </c>
      <c r="E2931" s="17">
        <v>317.95</v>
      </c>
      <c r="F2931" s="16">
        <v>0.1</v>
      </c>
      <c r="G2931" s="15" t="s">
        <v>58</v>
      </c>
      <c r="H2931" s="18">
        <v>-144.43</v>
      </c>
      <c r="I2931" s="19">
        <v>100.98</v>
      </c>
      <c r="J2931" s="19">
        <v>26.22</v>
      </c>
      <c r="K2931" s="19" t="s">
        <v>44</v>
      </c>
      <c r="L2931" s="19" t="s">
        <v>89</v>
      </c>
      <c r="M2931" s="15" t="s">
        <v>1932</v>
      </c>
      <c r="N2931" s="15" t="s">
        <v>54</v>
      </c>
      <c r="O2931" s="15" t="s">
        <v>134</v>
      </c>
      <c r="P2931" s="20" t="s">
        <v>397</v>
      </c>
      <c r="Q2931" s="15" t="s">
        <v>63</v>
      </c>
      <c r="R2931" s="4"/>
      <c r="S2931" s="4"/>
    </row>
    <row r="2932" spans="1:19" ht="21" customHeight="1" x14ac:dyDescent="0.25">
      <c r="A2932" s="14">
        <f>DATE(2012,12,31)-291</f>
        <v>40983</v>
      </c>
      <c r="B2932" s="15" t="s">
        <v>288</v>
      </c>
      <c r="C2932" s="15" t="s">
        <v>43</v>
      </c>
      <c r="D2932" s="16">
        <v>8</v>
      </c>
      <c r="E2932" s="17">
        <v>435.29</v>
      </c>
      <c r="F2932" s="16">
        <v>0.03</v>
      </c>
      <c r="G2932" s="15" t="s">
        <v>32</v>
      </c>
      <c r="H2932" s="18">
        <v>122.41</v>
      </c>
      <c r="I2932" s="19">
        <v>51.65</v>
      </c>
      <c r="J2932" s="19">
        <v>18.45</v>
      </c>
      <c r="K2932" s="19" t="s">
        <v>44</v>
      </c>
      <c r="L2932" s="19" t="s">
        <v>89</v>
      </c>
      <c r="M2932" s="15" t="s">
        <v>1932</v>
      </c>
      <c r="N2932" s="15" t="s">
        <v>54</v>
      </c>
      <c r="O2932" s="15" t="s">
        <v>55</v>
      </c>
      <c r="P2932" s="20" t="s">
        <v>1209</v>
      </c>
      <c r="Q2932" s="15" t="s">
        <v>57</v>
      </c>
      <c r="R2932" s="4"/>
      <c r="S2932" s="4"/>
    </row>
    <row r="2933" spans="1:19" ht="21" customHeight="1" x14ac:dyDescent="0.25">
      <c r="A2933" s="14">
        <f>DATE(2012,12,31)-834</f>
        <v>40440</v>
      </c>
      <c r="B2933" s="15" t="s">
        <v>468</v>
      </c>
      <c r="C2933" s="15" t="s">
        <v>31</v>
      </c>
      <c r="D2933" s="16">
        <v>22</v>
      </c>
      <c r="E2933" s="17">
        <v>1082.8</v>
      </c>
      <c r="F2933" s="16">
        <v>0.02</v>
      </c>
      <c r="G2933" s="15" t="s">
        <v>32</v>
      </c>
      <c r="H2933" s="18">
        <v>299.35000000000002</v>
      </c>
      <c r="I2933" s="19">
        <v>48.58</v>
      </c>
      <c r="J2933" s="19">
        <v>3.99</v>
      </c>
      <c r="K2933" s="19" t="s">
        <v>44</v>
      </c>
      <c r="L2933" s="19" t="s">
        <v>89</v>
      </c>
      <c r="M2933" s="15" t="s">
        <v>1932</v>
      </c>
      <c r="N2933" s="15" t="s">
        <v>36</v>
      </c>
      <c r="O2933" s="15" t="s">
        <v>176</v>
      </c>
      <c r="P2933" s="20" t="s">
        <v>483</v>
      </c>
      <c r="Q2933" s="15" t="s">
        <v>83</v>
      </c>
      <c r="R2933" s="4"/>
      <c r="S2933" s="4"/>
    </row>
    <row r="2934" spans="1:19" ht="21" customHeight="1" x14ac:dyDescent="0.25">
      <c r="A2934" s="14">
        <f>DATE(2012,12,31)-834</f>
        <v>40440</v>
      </c>
      <c r="B2934" s="15" t="s">
        <v>468</v>
      </c>
      <c r="C2934" s="15" t="s">
        <v>31</v>
      </c>
      <c r="D2934" s="16">
        <v>7</v>
      </c>
      <c r="E2934" s="17">
        <v>1260.2014999999999</v>
      </c>
      <c r="F2934" s="16">
        <v>0.03</v>
      </c>
      <c r="G2934" s="15" t="s">
        <v>32</v>
      </c>
      <c r="H2934" s="18">
        <v>-522.995</v>
      </c>
      <c r="I2934" s="19">
        <v>205.99</v>
      </c>
      <c r="J2934" s="19">
        <v>8.99</v>
      </c>
      <c r="K2934" s="19" t="s">
        <v>44</v>
      </c>
      <c r="L2934" s="19" t="s">
        <v>120</v>
      </c>
      <c r="M2934" s="15" t="s">
        <v>121</v>
      </c>
      <c r="N2934" s="15" t="s">
        <v>64</v>
      </c>
      <c r="O2934" s="15" t="s">
        <v>65</v>
      </c>
      <c r="P2934" s="20" t="s">
        <v>886</v>
      </c>
      <c r="Q2934" s="15" t="s">
        <v>83</v>
      </c>
      <c r="R2934" s="4"/>
      <c r="S2934" s="4"/>
    </row>
    <row r="2935" spans="1:19" ht="21" customHeight="1" x14ac:dyDescent="0.25">
      <c r="A2935" s="14">
        <f>DATE(2012,12,31)-258</f>
        <v>41016</v>
      </c>
      <c r="B2935" s="15" t="s">
        <v>1270</v>
      </c>
      <c r="C2935" s="15" t="s">
        <v>85</v>
      </c>
      <c r="D2935" s="16">
        <v>5</v>
      </c>
      <c r="E2935" s="17">
        <v>455.08</v>
      </c>
      <c r="F2935" s="16">
        <v>0.04</v>
      </c>
      <c r="G2935" s="15" t="s">
        <v>32</v>
      </c>
      <c r="H2935" s="18">
        <v>27.8</v>
      </c>
      <c r="I2935" s="19">
        <v>83.93</v>
      </c>
      <c r="J2935" s="19">
        <v>19.989999999999998</v>
      </c>
      <c r="K2935" s="19" t="s">
        <v>33</v>
      </c>
      <c r="L2935" s="19" t="s">
        <v>128</v>
      </c>
      <c r="M2935" s="15" t="s">
        <v>129</v>
      </c>
      <c r="N2935" s="15" t="s">
        <v>36</v>
      </c>
      <c r="O2935" s="15" t="s">
        <v>189</v>
      </c>
      <c r="P2935" s="20" t="s">
        <v>1759</v>
      </c>
      <c r="Q2935" s="15" t="s">
        <v>83</v>
      </c>
      <c r="R2935" s="4"/>
      <c r="S2935" s="4"/>
    </row>
    <row r="2936" spans="1:19" ht="21" customHeight="1" x14ac:dyDescent="0.25">
      <c r="A2936" s="14">
        <f>DATE(2012,12,31)-912</f>
        <v>40362</v>
      </c>
      <c r="B2936" s="15" t="s">
        <v>983</v>
      </c>
      <c r="C2936" s="15" t="s">
        <v>85</v>
      </c>
      <c r="D2936" s="16">
        <v>32</v>
      </c>
      <c r="E2936" s="17">
        <v>54.78</v>
      </c>
      <c r="F2936" s="16">
        <v>0.02</v>
      </c>
      <c r="G2936" s="15" t="s">
        <v>32</v>
      </c>
      <c r="H2936" s="18">
        <v>-30.54</v>
      </c>
      <c r="I2936" s="19">
        <v>1.68</v>
      </c>
      <c r="J2936" s="19">
        <v>1.57</v>
      </c>
      <c r="K2936" s="19" t="s">
        <v>124</v>
      </c>
      <c r="L2936" s="19" t="s">
        <v>164</v>
      </c>
      <c r="M2936" s="15" t="s">
        <v>1228</v>
      </c>
      <c r="N2936" s="15" t="s">
        <v>36</v>
      </c>
      <c r="O2936" s="15" t="s">
        <v>77</v>
      </c>
      <c r="P2936" s="20" t="s">
        <v>838</v>
      </c>
      <c r="Q2936" s="15" t="s">
        <v>79</v>
      </c>
      <c r="R2936" s="4"/>
      <c r="S2936" s="4"/>
    </row>
    <row r="2937" spans="1:19" ht="21" customHeight="1" x14ac:dyDescent="0.25">
      <c r="A2937" s="14">
        <f>DATE(2012,12,31)-912</f>
        <v>40362</v>
      </c>
      <c r="B2937" s="15" t="s">
        <v>983</v>
      </c>
      <c r="C2937" s="15" t="s">
        <v>85</v>
      </c>
      <c r="D2937" s="16">
        <v>47</v>
      </c>
      <c r="E2937" s="17">
        <v>304.83</v>
      </c>
      <c r="F2937" s="16">
        <v>0.1</v>
      </c>
      <c r="G2937" s="15" t="s">
        <v>32</v>
      </c>
      <c r="H2937" s="18">
        <v>23.82</v>
      </c>
      <c r="I2937" s="19">
        <v>7.08</v>
      </c>
      <c r="J2937" s="19">
        <v>2.35</v>
      </c>
      <c r="K2937" s="19" t="s">
        <v>44</v>
      </c>
      <c r="L2937" s="19" t="s">
        <v>52</v>
      </c>
      <c r="M2937" s="15" t="s">
        <v>1685</v>
      </c>
      <c r="N2937" s="15" t="s">
        <v>36</v>
      </c>
      <c r="O2937" s="15" t="s">
        <v>77</v>
      </c>
      <c r="P2937" s="20" t="s">
        <v>1833</v>
      </c>
      <c r="Q2937" s="15" t="s">
        <v>79</v>
      </c>
      <c r="R2937" s="4"/>
      <c r="S2937" s="4"/>
    </row>
    <row r="2938" spans="1:19" ht="21" customHeight="1" x14ac:dyDescent="0.25">
      <c r="A2938" s="14">
        <f>DATE(2012,12,31)-1325</f>
        <v>39949</v>
      </c>
      <c r="B2938" s="15" t="s">
        <v>701</v>
      </c>
      <c r="C2938" s="15" t="s">
        <v>85</v>
      </c>
      <c r="D2938" s="16">
        <v>17</v>
      </c>
      <c r="E2938" s="17">
        <v>280.39</v>
      </c>
      <c r="F2938" s="16">
        <v>0</v>
      </c>
      <c r="G2938" s="15" t="s">
        <v>101</v>
      </c>
      <c r="H2938" s="18">
        <v>9.33</v>
      </c>
      <c r="I2938" s="19">
        <v>14.42</v>
      </c>
      <c r="J2938" s="19">
        <v>6.75</v>
      </c>
      <c r="K2938" s="19" t="s">
        <v>44</v>
      </c>
      <c r="L2938" s="19" t="s">
        <v>52</v>
      </c>
      <c r="M2938" s="15" t="s">
        <v>1685</v>
      </c>
      <c r="N2938" s="15" t="s">
        <v>36</v>
      </c>
      <c r="O2938" s="15" t="s">
        <v>176</v>
      </c>
      <c r="P2938" s="20" t="s">
        <v>411</v>
      </c>
      <c r="Q2938" s="15" t="s">
        <v>57</v>
      </c>
      <c r="R2938" s="4"/>
      <c r="S2938" s="4"/>
    </row>
    <row r="2939" spans="1:19" ht="21" customHeight="1" x14ac:dyDescent="0.25">
      <c r="A2939" s="14">
        <f>DATE(2012,12,31)-1155</f>
        <v>40119</v>
      </c>
      <c r="B2939" s="15" t="s">
        <v>823</v>
      </c>
      <c r="C2939" s="15" t="s">
        <v>31</v>
      </c>
      <c r="D2939" s="16">
        <v>6</v>
      </c>
      <c r="E2939" s="17">
        <v>56.22</v>
      </c>
      <c r="F2939" s="16">
        <v>0.04</v>
      </c>
      <c r="G2939" s="15" t="s">
        <v>32</v>
      </c>
      <c r="H2939" s="18">
        <v>-20.389500000000002</v>
      </c>
      <c r="I2939" s="19">
        <v>8.6</v>
      </c>
      <c r="J2939" s="19">
        <v>6.19</v>
      </c>
      <c r="K2939" s="19" t="s">
        <v>44</v>
      </c>
      <c r="L2939" s="19" t="s">
        <v>52</v>
      </c>
      <c r="M2939" s="15" t="s">
        <v>1685</v>
      </c>
      <c r="N2939" s="15" t="s">
        <v>36</v>
      </c>
      <c r="O2939" s="15" t="s">
        <v>170</v>
      </c>
      <c r="P2939" s="20" t="s">
        <v>413</v>
      </c>
      <c r="Q2939" s="15" t="s">
        <v>83</v>
      </c>
      <c r="R2939" s="4"/>
      <c r="S2939" s="4"/>
    </row>
    <row r="2940" spans="1:19" ht="21" customHeight="1" x14ac:dyDescent="0.25">
      <c r="A2940" s="14">
        <f>DATE(2012,12,31)-1155</f>
        <v>40119</v>
      </c>
      <c r="B2940" s="15" t="s">
        <v>823</v>
      </c>
      <c r="C2940" s="15" t="s">
        <v>31</v>
      </c>
      <c r="D2940" s="16">
        <v>30</v>
      </c>
      <c r="E2940" s="17">
        <v>107.96</v>
      </c>
      <c r="F2940" s="16">
        <v>0.01</v>
      </c>
      <c r="G2940" s="15" t="s">
        <v>32</v>
      </c>
      <c r="H2940" s="18">
        <v>13.24</v>
      </c>
      <c r="I2940" s="19">
        <v>3.58</v>
      </c>
      <c r="J2940" s="19">
        <v>1.63</v>
      </c>
      <c r="K2940" s="19" t="s">
        <v>33</v>
      </c>
      <c r="L2940" s="19" t="s">
        <v>145</v>
      </c>
      <c r="M2940" s="15" t="s">
        <v>1761</v>
      </c>
      <c r="N2940" s="15" t="s">
        <v>36</v>
      </c>
      <c r="O2940" s="15" t="s">
        <v>105</v>
      </c>
      <c r="P2940" s="20" t="s">
        <v>374</v>
      </c>
      <c r="Q2940" s="15" t="s">
        <v>79</v>
      </c>
      <c r="R2940" s="4"/>
      <c r="S2940" s="4"/>
    </row>
    <row r="2941" spans="1:19" ht="21" customHeight="1" x14ac:dyDescent="0.25">
      <c r="A2941" s="14">
        <f>DATE(2012,12,31)-1155</f>
        <v>40119</v>
      </c>
      <c r="B2941" s="15" t="s">
        <v>823</v>
      </c>
      <c r="C2941" s="15" t="s">
        <v>31</v>
      </c>
      <c r="D2941" s="16">
        <v>40</v>
      </c>
      <c r="E2941" s="17">
        <v>3169.9920000000002</v>
      </c>
      <c r="F2941" s="16">
        <v>0.08</v>
      </c>
      <c r="G2941" s="15" t="s">
        <v>58</v>
      </c>
      <c r="H2941" s="18">
        <v>-973.3</v>
      </c>
      <c r="I2941" s="19">
        <v>105.49</v>
      </c>
      <c r="J2941" s="19">
        <v>41.64</v>
      </c>
      <c r="K2941" s="19" t="s">
        <v>97</v>
      </c>
      <c r="L2941" s="19" t="s">
        <v>98</v>
      </c>
      <c r="M2941" s="15" t="s">
        <v>1162</v>
      </c>
      <c r="N2941" s="15" t="s">
        <v>54</v>
      </c>
      <c r="O2941" s="15" t="s">
        <v>61</v>
      </c>
      <c r="P2941" s="20" t="s">
        <v>456</v>
      </c>
      <c r="Q2941" s="15" t="s">
        <v>63</v>
      </c>
      <c r="R2941" s="4"/>
      <c r="S2941" s="4"/>
    </row>
    <row r="2942" spans="1:19" ht="21" customHeight="1" x14ac:dyDescent="0.25">
      <c r="A2942" s="14">
        <f>DATE(2012,12,31)-911</f>
        <v>40363</v>
      </c>
      <c r="B2942" s="15" t="s">
        <v>512</v>
      </c>
      <c r="C2942" s="15" t="s">
        <v>51</v>
      </c>
      <c r="D2942" s="16">
        <v>40</v>
      </c>
      <c r="E2942" s="17">
        <v>1384.34</v>
      </c>
      <c r="F2942" s="16">
        <v>0.1</v>
      </c>
      <c r="G2942" s="15" t="s">
        <v>32</v>
      </c>
      <c r="H2942" s="18">
        <v>562.30899999999997</v>
      </c>
      <c r="I2942" s="19">
        <v>37.700000000000003</v>
      </c>
      <c r="J2942" s="19">
        <v>2.99</v>
      </c>
      <c r="K2942" s="19" t="s">
        <v>124</v>
      </c>
      <c r="L2942" s="19" t="s">
        <v>168</v>
      </c>
      <c r="M2942" s="15" t="s">
        <v>1624</v>
      </c>
      <c r="N2942" s="15" t="s">
        <v>36</v>
      </c>
      <c r="O2942" s="15" t="s">
        <v>170</v>
      </c>
      <c r="P2942" s="20" t="s">
        <v>391</v>
      </c>
      <c r="Q2942" s="15" t="s">
        <v>83</v>
      </c>
      <c r="R2942" s="4"/>
      <c r="S2942" s="4"/>
    </row>
    <row r="2943" spans="1:19" ht="21" customHeight="1" x14ac:dyDescent="0.25">
      <c r="A2943" s="14">
        <f>DATE(2012,12,31)-977</f>
        <v>40297</v>
      </c>
      <c r="B2943" s="15" t="s">
        <v>1596</v>
      </c>
      <c r="C2943" s="15" t="s">
        <v>85</v>
      </c>
      <c r="D2943" s="16">
        <v>11</v>
      </c>
      <c r="E2943" s="17">
        <v>167.53</v>
      </c>
      <c r="F2943" s="16">
        <v>0.03</v>
      </c>
      <c r="G2943" s="15" t="s">
        <v>32</v>
      </c>
      <c r="H2943" s="18">
        <v>-40.94</v>
      </c>
      <c r="I2943" s="19">
        <v>14.98</v>
      </c>
      <c r="J2943" s="19">
        <v>7.69</v>
      </c>
      <c r="K2943" s="19" t="s">
        <v>44</v>
      </c>
      <c r="L2943" s="19" t="s">
        <v>52</v>
      </c>
      <c r="M2943" s="15" t="s">
        <v>1685</v>
      </c>
      <c r="N2943" s="15" t="s">
        <v>36</v>
      </c>
      <c r="O2943" s="15" t="s">
        <v>37</v>
      </c>
      <c r="P2943" s="20" t="s">
        <v>1089</v>
      </c>
      <c r="Q2943" s="15" t="s">
        <v>83</v>
      </c>
      <c r="R2943" s="4"/>
      <c r="S2943" s="4"/>
    </row>
    <row r="2944" spans="1:19" ht="21" customHeight="1" x14ac:dyDescent="0.25">
      <c r="A2944" s="14">
        <f>DATE(2012,12,31)-977</f>
        <v>40297</v>
      </c>
      <c r="B2944" s="15" t="s">
        <v>1596</v>
      </c>
      <c r="C2944" s="15" t="s">
        <v>85</v>
      </c>
      <c r="D2944" s="16">
        <v>5</v>
      </c>
      <c r="E2944" s="17">
        <v>2361.1</v>
      </c>
      <c r="F2944" s="16">
        <v>0.01</v>
      </c>
      <c r="G2944" s="15" t="s">
        <v>58</v>
      </c>
      <c r="H2944" s="18">
        <v>-1042.7139999999999</v>
      </c>
      <c r="I2944" s="19">
        <v>449.99</v>
      </c>
      <c r="J2944" s="19">
        <v>49</v>
      </c>
      <c r="K2944" s="19" t="s">
        <v>33</v>
      </c>
      <c r="L2944" s="19" t="s">
        <v>93</v>
      </c>
      <c r="M2944" s="15" t="s">
        <v>94</v>
      </c>
      <c r="N2944" s="15" t="s">
        <v>64</v>
      </c>
      <c r="O2944" s="15" t="s">
        <v>460</v>
      </c>
      <c r="P2944" s="20" t="s">
        <v>511</v>
      </c>
      <c r="Q2944" s="15" t="s">
        <v>181</v>
      </c>
      <c r="R2944" s="4"/>
      <c r="S2944" s="4"/>
    </row>
    <row r="2945" spans="1:19" ht="21" customHeight="1" x14ac:dyDescent="0.25">
      <c r="A2945" s="14">
        <f>DATE(2012,12,31)-977</f>
        <v>40297</v>
      </c>
      <c r="B2945" s="15" t="s">
        <v>1596</v>
      </c>
      <c r="C2945" s="15" t="s">
        <v>85</v>
      </c>
      <c r="D2945" s="16">
        <v>42</v>
      </c>
      <c r="E2945" s="17">
        <v>1060.3399999999999</v>
      </c>
      <c r="F2945" s="16">
        <v>0.04</v>
      </c>
      <c r="G2945" s="15" t="s">
        <v>58</v>
      </c>
      <c r="H2945" s="18">
        <v>-174.94</v>
      </c>
      <c r="I2945" s="19">
        <v>23.99</v>
      </c>
      <c r="J2945" s="19">
        <v>15.68</v>
      </c>
      <c r="K2945" s="19" t="s">
        <v>33</v>
      </c>
      <c r="L2945" s="19" t="s">
        <v>93</v>
      </c>
      <c r="M2945" s="15" t="s">
        <v>94</v>
      </c>
      <c r="N2945" s="15" t="s">
        <v>54</v>
      </c>
      <c r="O2945" s="15" t="s">
        <v>55</v>
      </c>
      <c r="P2945" s="20" t="s">
        <v>1975</v>
      </c>
      <c r="Q2945" s="15" t="s">
        <v>181</v>
      </c>
      <c r="R2945" s="4"/>
      <c r="S2945" s="4"/>
    </row>
    <row r="2946" spans="1:19" ht="21" customHeight="1" x14ac:dyDescent="0.25">
      <c r="A2946" s="14">
        <f>DATE(2012,12,31)-22</f>
        <v>41252</v>
      </c>
      <c r="B2946" s="15" t="s">
        <v>1748</v>
      </c>
      <c r="C2946" s="15" t="s">
        <v>31</v>
      </c>
      <c r="D2946" s="16">
        <v>29</v>
      </c>
      <c r="E2946" s="17">
        <v>587.20000000000005</v>
      </c>
      <c r="F2946" s="16">
        <v>0.08</v>
      </c>
      <c r="G2946" s="15" t="s">
        <v>32</v>
      </c>
      <c r="H2946" s="18">
        <v>134.25</v>
      </c>
      <c r="I2946" s="19">
        <v>20.89</v>
      </c>
      <c r="J2946" s="19">
        <v>1.99</v>
      </c>
      <c r="K2946" s="19" t="s">
        <v>33</v>
      </c>
      <c r="L2946" s="19" t="s">
        <v>145</v>
      </c>
      <c r="M2946" s="15" t="s">
        <v>1761</v>
      </c>
      <c r="N2946" s="15" t="s">
        <v>64</v>
      </c>
      <c r="O2946" s="15" t="s">
        <v>72</v>
      </c>
      <c r="P2946" s="20" t="s">
        <v>1652</v>
      </c>
      <c r="Q2946" s="15" t="s">
        <v>49</v>
      </c>
      <c r="R2946" s="4"/>
      <c r="S2946" s="4"/>
    </row>
    <row r="2947" spans="1:19" ht="21" customHeight="1" x14ac:dyDescent="0.25">
      <c r="A2947" s="14">
        <f>DATE(2012,12,31)-22</f>
        <v>41252</v>
      </c>
      <c r="B2947" s="15" t="s">
        <v>1748</v>
      </c>
      <c r="C2947" s="15" t="s">
        <v>31</v>
      </c>
      <c r="D2947" s="16">
        <v>39</v>
      </c>
      <c r="E2947" s="17">
        <v>110.79</v>
      </c>
      <c r="F2947" s="16">
        <v>0.05</v>
      </c>
      <c r="G2947" s="15" t="s">
        <v>32</v>
      </c>
      <c r="H2947" s="18">
        <v>42.68</v>
      </c>
      <c r="I2947" s="19">
        <v>2.89</v>
      </c>
      <c r="J2947" s="19">
        <v>0.5</v>
      </c>
      <c r="K2947" s="19" t="s">
        <v>33</v>
      </c>
      <c r="L2947" s="19" t="s">
        <v>59</v>
      </c>
      <c r="M2947" s="15" t="s">
        <v>1941</v>
      </c>
      <c r="N2947" s="15" t="s">
        <v>36</v>
      </c>
      <c r="O2947" s="15" t="s">
        <v>114</v>
      </c>
      <c r="P2947" s="20" t="s">
        <v>115</v>
      </c>
      <c r="Q2947" s="15" t="s">
        <v>83</v>
      </c>
      <c r="R2947" s="4"/>
      <c r="S2947" s="4"/>
    </row>
    <row r="2948" spans="1:19" ht="21" customHeight="1" x14ac:dyDescent="0.25">
      <c r="A2948" s="14">
        <f>DATE(2012,12,31)-22</f>
        <v>41252</v>
      </c>
      <c r="B2948" s="15" t="s">
        <v>1748</v>
      </c>
      <c r="C2948" s="15" t="s">
        <v>31</v>
      </c>
      <c r="D2948" s="16">
        <v>48</v>
      </c>
      <c r="E2948" s="17">
        <v>2011.46</v>
      </c>
      <c r="F2948" s="16">
        <v>0.01</v>
      </c>
      <c r="G2948" s="15" t="s">
        <v>32</v>
      </c>
      <c r="H2948" s="18">
        <v>171.07</v>
      </c>
      <c r="I2948" s="19">
        <v>41.32</v>
      </c>
      <c r="J2948" s="19">
        <v>8.66</v>
      </c>
      <c r="K2948" s="19" t="s">
        <v>33</v>
      </c>
      <c r="L2948" s="19" t="s">
        <v>59</v>
      </c>
      <c r="M2948" s="15" t="s">
        <v>1941</v>
      </c>
      <c r="N2948" s="15" t="s">
        <v>54</v>
      </c>
      <c r="O2948" s="15" t="s">
        <v>55</v>
      </c>
      <c r="P2948" s="20" t="s">
        <v>298</v>
      </c>
      <c r="Q2948" s="15" t="s">
        <v>57</v>
      </c>
      <c r="R2948" s="4"/>
      <c r="S2948" s="4"/>
    </row>
    <row r="2949" spans="1:19" ht="21" customHeight="1" x14ac:dyDescent="0.25">
      <c r="A2949" s="14">
        <f>DATE(2012,12,31)-573</f>
        <v>40701</v>
      </c>
      <c r="B2949" s="15" t="s">
        <v>1520</v>
      </c>
      <c r="C2949" s="15" t="s">
        <v>51</v>
      </c>
      <c r="D2949" s="16">
        <v>46</v>
      </c>
      <c r="E2949" s="17">
        <v>400.49</v>
      </c>
      <c r="F2949" s="16">
        <v>0.09</v>
      </c>
      <c r="G2949" s="15" t="s">
        <v>32</v>
      </c>
      <c r="H2949" s="18">
        <v>-237.89</v>
      </c>
      <c r="I2949" s="19">
        <v>9.06</v>
      </c>
      <c r="J2949" s="19">
        <v>9.86</v>
      </c>
      <c r="K2949" s="19" t="s">
        <v>33</v>
      </c>
      <c r="L2949" s="19" t="s">
        <v>145</v>
      </c>
      <c r="M2949" s="15" t="s">
        <v>1761</v>
      </c>
      <c r="N2949" s="15" t="s">
        <v>36</v>
      </c>
      <c r="O2949" s="15" t="s">
        <v>117</v>
      </c>
      <c r="P2949" s="20" t="s">
        <v>1976</v>
      </c>
      <c r="Q2949" s="15" t="s">
        <v>83</v>
      </c>
      <c r="R2949" s="4"/>
      <c r="S2949" s="4"/>
    </row>
    <row r="2950" spans="1:19" ht="21" customHeight="1" x14ac:dyDescent="0.25">
      <c r="A2950" s="14">
        <f>DATE(2012,12,31)-676</f>
        <v>40598</v>
      </c>
      <c r="B2950" s="15" t="s">
        <v>1000</v>
      </c>
      <c r="C2950" s="15" t="s">
        <v>85</v>
      </c>
      <c r="D2950" s="16">
        <v>30</v>
      </c>
      <c r="E2950" s="17">
        <v>278.94</v>
      </c>
      <c r="F2950" s="16">
        <v>0.01</v>
      </c>
      <c r="G2950" s="15" t="s">
        <v>32</v>
      </c>
      <c r="H2950" s="18">
        <v>-143.69999999999999</v>
      </c>
      <c r="I2950" s="19">
        <v>9.06</v>
      </c>
      <c r="J2950" s="19">
        <v>9.86</v>
      </c>
      <c r="K2950" s="19" t="s">
        <v>33</v>
      </c>
      <c r="L2950" s="19" t="s">
        <v>59</v>
      </c>
      <c r="M2950" s="15" t="s">
        <v>1941</v>
      </c>
      <c r="N2950" s="15" t="s">
        <v>36</v>
      </c>
      <c r="O2950" s="15" t="s">
        <v>117</v>
      </c>
      <c r="P2950" s="20" t="s">
        <v>1976</v>
      </c>
      <c r="Q2950" s="15" t="s">
        <v>83</v>
      </c>
      <c r="R2950" s="4"/>
      <c r="S2950" s="4"/>
    </row>
    <row r="2951" spans="1:19" ht="21" customHeight="1" x14ac:dyDescent="0.25">
      <c r="A2951" s="14">
        <f>DATE(2012,12,31)-512</f>
        <v>40762</v>
      </c>
      <c r="B2951" s="15" t="s">
        <v>903</v>
      </c>
      <c r="C2951" s="15" t="s">
        <v>85</v>
      </c>
      <c r="D2951" s="16">
        <v>34</v>
      </c>
      <c r="E2951" s="17">
        <v>937.04</v>
      </c>
      <c r="F2951" s="16">
        <v>0.08</v>
      </c>
      <c r="G2951" s="15" t="s">
        <v>32</v>
      </c>
      <c r="H2951" s="18">
        <v>391.6035</v>
      </c>
      <c r="I2951" s="19">
        <v>28.53</v>
      </c>
      <c r="J2951" s="19">
        <v>1.49</v>
      </c>
      <c r="K2951" s="19" t="s">
        <v>33</v>
      </c>
      <c r="L2951" s="19" t="s">
        <v>145</v>
      </c>
      <c r="M2951" s="15" t="s">
        <v>1761</v>
      </c>
      <c r="N2951" s="15" t="s">
        <v>36</v>
      </c>
      <c r="O2951" s="15" t="s">
        <v>170</v>
      </c>
      <c r="P2951" s="20" t="s">
        <v>1566</v>
      </c>
      <c r="Q2951" s="15" t="s">
        <v>83</v>
      </c>
      <c r="R2951" s="4"/>
      <c r="S2951" s="4"/>
    </row>
    <row r="2952" spans="1:19" ht="21" customHeight="1" x14ac:dyDescent="0.25">
      <c r="A2952" s="14">
        <f>DATE(2012,12,31)-512</f>
        <v>40762</v>
      </c>
      <c r="B2952" s="15" t="s">
        <v>903</v>
      </c>
      <c r="C2952" s="15" t="s">
        <v>85</v>
      </c>
      <c r="D2952" s="16">
        <v>17</v>
      </c>
      <c r="E2952" s="17">
        <v>1616.64</v>
      </c>
      <c r="F2952" s="16">
        <v>7.0000000000000007E-2</v>
      </c>
      <c r="G2952" s="15" t="s">
        <v>32</v>
      </c>
      <c r="H2952" s="18">
        <v>26.94</v>
      </c>
      <c r="I2952" s="19">
        <v>99.99</v>
      </c>
      <c r="J2952" s="19">
        <v>19.989999999999998</v>
      </c>
      <c r="K2952" s="19" t="s">
        <v>33</v>
      </c>
      <c r="L2952" s="19" t="s">
        <v>93</v>
      </c>
      <c r="M2952" s="15" t="s">
        <v>94</v>
      </c>
      <c r="N2952" s="15" t="s">
        <v>64</v>
      </c>
      <c r="O2952" s="15" t="s">
        <v>72</v>
      </c>
      <c r="P2952" s="20" t="s">
        <v>1800</v>
      </c>
      <c r="Q2952" s="15" t="s">
        <v>83</v>
      </c>
      <c r="R2952" s="4"/>
      <c r="S2952" s="4"/>
    </row>
    <row r="2953" spans="1:19" ht="21" customHeight="1" x14ac:dyDescent="0.25">
      <c r="A2953" s="14">
        <f>DATE(2012,12,31)-717</f>
        <v>40557</v>
      </c>
      <c r="B2953" s="15" t="s">
        <v>591</v>
      </c>
      <c r="C2953" s="15" t="s">
        <v>51</v>
      </c>
      <c r="D2953" s="16">
        <v>35</v>
      </c>
      <c r="E2953" s="17">
        <v>5428.49</v>
      </c>
      <c r="F2953" s="16">
        <v>0.05</v>
      </c>
      <c r="G2953" s="15" t="s">
        <v>58</v>
      </c>
      <c r="H2953" s="18">
        <v>-1046.78</v>
      </c>
      <c r="I2953" s="19">
        <v>150.88999999999999</v>
      </c>
      <c r="J2953" s="19">
        <v>60.2</v>
      </c>
      <c r="K2953" s="19" t="s">
        <v>33</v>
      </c>
      <c r="L2953" s="19" t="s">
        <v>145</v>
      </c>
      <c r="M2953" s="15" t="s">
        <v>1761</v>
      </c>
      <c r="N2953" s="15" t="s">
        <v>54</v>
      </c>
      <c r="O2953" s="15" t="s">
        <v>252</v>
      </c>
      <c r="P2953" s="20" t="s">
        <v>255</v>
      </c>
      <c r="Q2953" s="15" t="s">
        <v>181</v>
      </c>
      <c r="R2953" s="4"/>
      <c r="S2953" s="4"/>
    </row>
    <row r="2954" spans="1:19" ht="21" customHeight="1" x14ac:dyDescent="0.25">
      <c r="A2954" s="14">
        <f>DATE(2012,12,31)-354</f>
        <v>40920</v>
      </c>
      <c r="B2954" s="15" t="s">
        <v>582</v>
      </c>
      <c r="C2954" s="15" t="s">
        <v>85</v>
      </c>
      <c r="D2954" s="16">
        <v>21</v>
      </c>
      <c r="E2954" s="17">
        <v>6435.87</v>
      </c>
      <c r="F2954" s="16">
        <v>0.04</v>
      </c>
      <c r="G2954" s="15" t="s">
        <v>58</v>
      </c>
      <c r="H2954" s="18">
        <v>935.06</v>
      </c>
      <c r="I2954" s="19">
        <v>300.98</v>
      </c>
      <c r="J2954" s="19">
        <v>64.73</v>
      </c>
      <c r="K2954" s="19" t="s">
        <v>33</v>
      </c>
      <c r="L2954" s="19" t="s">
        <v>145</v>
      </c>
      <c r="M2954" s="15" t="s">
        <v>1761</v>
      </c>
      <c r="N2954" s="15" t="s">
        <v>54</v>
      </c>
      <c r="O2954" s="15" t="s">
        <v>252</v>
      </c>
      <c r="P2954" s="20" t="s">
        <v>1015</v>
      </c>
      <c r="Q2954" s="15" t="s">
        <v>181</v>
      </c>
      <c r="R2954" s="4"/>
      <c r="S2954" s="4"/>
    </row>
    <row r="2955" spans="1:19" ht="21" customHeight="1" x14ac:dyDescent="0.25">
      <c r="A2955" s="14">
        <f>DATE(2012,12,31)-354</f>
        <v>40920</v>
      </c>
      <c r="B2955" s="15" t="s">
        <v>582</v>
      </c>
      <c r="C2955" s="15" t="s">
        <v>85</v>
      </c>
      <c r="D2955" s="16">
        <v>11</v>
      </c>
      <c r="E2955" s="17">
        <v>312.02999999999997</v>
      </c>
      <c r="F2955" s="16">
        <v>0.08</v>
      </c>
      <c r="G2955" s="15" t="s">
        <v>32</v>
      </c>
      <c r="H2955" s="18">
        <v>-66.66</v>
      </c>
      <c r="I2955" s="19">
        <v>29.99</v>
      </c>
      <c r="J2955" s="19">
        <v>5.5</v>
      </c>
      <c r="K2955" s="19" t="s">
        <v>33</v>
      </c>
      <c r="L2955" s="19" t="s">
        <v>34</v>
      </c>
      <c r="M2955" s="15" t="s">
        <v>1915</v>
      </c>
      <c r="N2955" s="15" t="s">
        <v>64</v>
      </c>
      <c r="O2955" s="15" t="s">
        <v>72</v>
      </c>
      <c r="P2955" s="20" t="s">
        <v>894</v>
      </c>
      <c r="Q2955" s="15" t="s">
        <v>83</v>
      </c>
      <c r="R2955" s="4"/>
      <c r="S2955" s="4"/>
    </row>
    <row r="2956" spans="1:19" ht="21" customHeight="1" x14ac:dyDescent="0.25">
      <c r="A2956" s="14">
        <f>DATE(2012,12,31)-354</f>
        <v>40920</v>
      </c>
      <c r="B2956" s="15" t="s">
        <v>582</v>
      </c>
      <c r="C2956" s="15" t="s">
        <v>85</v>
      </c>
      <c r="D2956" s="16">
        <v>27</v>
      </c>
      <c r="E2956" s="17">
        <v>145.93</v>
      </c>
      <c r="F2956" s="16">
        <v>0</v>
      </c>
      <c r="G2956" s="15" t="s">
        <v>32</v>
      </c>
      <c r="H2956" s="18">
        <v>-113.32</v>
      </c>
      <c r="I2956" s="19">
        <v>4.9800000000000004</v>
      </c>
      <c r="J2956" s="19">
        <v>7.44</v>
      </c>
      <c r="K2956" s="19" t="s">
        <v>33</v>
      </c>
      <c r="L2956" s="19" t="s">
        <v>34</v>
      </c>
      <c r="M2956" s="15" t="s">
        <v>1915</v>
      </c>
      <c r="N2956" s="15" t="s">
        <v>36</v>
      </c>
      <c r="O2956" s="15" t="s">
        <v>117</v>
      </c>
      <c r="P2956" s="20" t="s">
        <v>266</v>
      </c>
      <c r="Q2956" s="15" t="s">
        <v>83</v>
      </c>
      <c r="R2956" s="4"/>
      <c r="S2956" s="4"/>
    </row>
    <row r="2957" spans="1:19" ht="21" customHeight="1" x14ac:dyDescent="0.25">
      <c r="A2957" s="14">
        <f>DATE(2012,12,31)-1431</f>
        <v>39843</v>
      </c>
      <c r="B2957" s="15" t="s">
        <v>1977</v>
      </c>
      <c r="C2957" s="15" t="s">
        <v>31</v>
      </c>
      <c r="D2957" s="16">
        <v>31</v>
      </c>
      <c r="E2957" s="17">
        <v>16066.85</v>
      </c>
      <c r="F2957" s="16">
        <v>7.0000000000000007E-2</v>
      </c>
      <c r="G2957" s="15" t="s">
        <v>32</v>
      </c>
      <c r="H2957" s="18">
        <v>7416.43</v>
      </c>
      <c r="I2957" s="19">
        <v>574.74</v>
      </c>
      <c r="J2957" s="19">
        <v>24.49</v>
      </c>
      <c r="K2957" s="19" t="s">
        <v>33</v>
      </c>
      <c r="L2957" s="19" t="s">
        <v>145</v>
      </c>
      <c r="M2957" s="15" t="s">
        <v>1761</v>
      </c>
      <c r="N2957" s="15" t="s">
        <v>64</v>
      </c>
      <c r="O2957" s="15" t="s">
        <v>122</v>
      </c>
      <c r="P2957" s="20" t="s">
        <v>1447</v>
      </c>
      <c r="Q2957" s="15" t="s">
        <v>39</v>
      </c>
      <c r="R2957" s="4"/>
      <c r="S2957" s="4"/>
    </row>
    <row r="2958" spans="1:19" ht="21" customHeight="1" x14ac:dyDescent="0.25">
      <c r="A2958" s="14">
        <f>DATE(2012,12,31)-244</f>
        <v>41030</v>
      </c>
      <c r="B2958" s="15" t="s">
        <v>1196</v>
      </c>
      <c r="C2958" s="15" t="s">
        <v>85</v>
      </c>
      <c r="D2958" s="16">
        <v>16</v>
      </c>
      <c r="E2958" s="17">
        <v>2101.59</v>
      </c>
      <c r="F2958" s="16">
        <v>0.01</v>
      </c>
      <c r="G2958" s="15" t="s">
        <v>101</v>
      </c>
      <c r="H2958" s="18">
        <v>554.91</v>
      </c>
      <c r="I2958" s="19">
        <v>123.38</v>
      </c>
      <c r="J2958" s="19">
        <v>24.49</v>
      </c>
      <c r="K2958" s="19" t="s">
        <v>33</v>
      </c>
      <c r="L2958" s="19" t="s">
        <v>34</v>
      </c>
      <c r="M2958" s="15" t="s">
        <v>1915</v>
      </c>
      <c r="N2958" s="15" t="s">
        <v>36</v>
      </c>
      <c r="O2958" s="15" t="s">
        <v>176</v>
      </c>
      <c r="P2958" s="20" t="s">
        <v>1380</v>
      </c>
      <c r="Q2958" s="15" t="s">
        <v>39</v>
      </c>
      <c r="R2958" s="4"/>
      <c r="S2958" s="4"/>
    </row>
    <row r="2959" spans="1:19" ht="21" customHeight="1" x14ac:dyDescent="0.25">
      <c r="A2959" s="14">
        <f>DATE(2012,12,31)-537</f>
        <v>40737</v>
      </c>
      <c r="B2959" s="15" t="s">
        <v>1894</v>
      </c>
      <c r="C2959" s="15" t="s">
        <v>43</v>
      </c>
      <c r="D2959" s="16">
        <v>38</v>
      </c>
      <c r="E2959" s="17">
        <v>137.07</v>
      </c>
      <c r="F2959" s="16">
        <v>0.09</v>
      </c>
      <c r="G2959" s="15" t="s">
        <v>32</v>
      </c>
      <c r="H2959" s="18">
        <v>-199.29499999999999</v>
      </c>
      <c r="I2959" s="19">
        <v>3.52</v>
      </c>
      <c r="J2959" s="19">
        <v>6.83</v>
      </c>
      <c r="K2959" s="19" t="s">
        <v>69</v>
      </c>
      <c r="L2959" s="19" t="s">
        <v>75</v>
      </c>
      <c r="M2959" s="15" t="s">
        <v>1786</v>
      </c>
      <c r="N2959" s="15" t="s">
        <v>36</v>
      </c>
      <c r="O2959" s="15" t="s">
        <v>170</v>
      </c>
      <c r="P2959" s="20" t="s">
        <v>1859</v>
      </c>
      <c r="Q2959" s="15" t="s">
        <v>83</v>
      </c>
      <c r="R2959" s="4"/>
      <c r="S2959" s="4"/>
    </row>
    <row r="2960" spans="1:19" ht="21" customHeight="1" x14ac:dyDescent="0.25">
      <c r="A2960" s="14">
        <f>DATE(2012,12,31)-537</f>
        <v>40737</v>
      </c>
      <c r="B2960" s="15" t="s">
        <v>1894</v>
      </c>
      <c r="C2960" s="15" t="s">
        <v>43</v>
      </c>
      <c r="D2960" s="16">
        <v>28</v>
      </c>
      <c r="E2960" s="17">
        <v>203.99</v>
      </c>
      <c r="F2960" s="16">
        <v>0.02</v>
      </c>
      <c r="G2960" s="15" t="s">
        <v>32</v>
      </c>
      <c r="H2960" s="18">
        <v>-8.51</v>
      </c>
      <c r="I2960" s="19">
        <v>7.28</v>
      </c>
      <c r="J2960" s="19">
        <v>4.2300000000000004</v>
      </c>
      <c r="K2960" s="19" t="s">
        <v>69</v>
      </c>
      <c r="L2960" s="19" t="s">
        <v>70</v>
      </c>
      <c r="M2960" s="15" t="s">
        <v>1895</v>
      </c>
      <c r="N2960" s="15" t="s">
        <v>36</v>
      </c>
      <c r="O2960" s="15" t="s">
        <v>117</v>
      </c>
      <c r="P2960" s="20" t="s">
        <v>1978</v>
      </c>
      <c r="Q2960" s="15" t="s">
        <v>79</v>
      </c>
      <c r="R2960" s="4"/>
      <c r="S2960" s="4"/>
    </row>
    <row r="2961" spans="1:19" ht="21" customHeight="1" x14ac:dyDescent="0.25">
      <c r="A2961" s="14">
        <f>DATE(2012,12,31)-607</f>
        <v>40667</v>
      </c>
      <c r="B2961" s="15" t="s">
        <v>1765</v>
      </c>
      <c r="C2961" s="15" t="s">
        <v>85</v>
      </c>
      <c r="D2961" s="16">
        <v>34</v>
      </c>
      <c r="E2961" s="17">
        <v>117.91</v>
      </c>
      <c r="F2961" s="16">
        <v>0.05</v>
      </c>
      <c r="G2961" s="15" t="s">
        <v>32</v>
      </c>
      <c r="H2961" s="18">
        <v>29.27</v>
      </c>
      <c r="I2961" s="19">
        <v>3.38</v>
      </c>
      <c r="J2961" s="19">
        <v>1.0900000000000001</v>
      </c>
      <c r="K2961" s="19" t="s">
        <v>69</v>
      </c>
      <c r="L2961" s="19" t="s">
        <v>75</v>
      </c>
      <c r="M2961" s="15" t="s">
        <v>1786</v>
      </c>
      <c r="N2961" s="15" t="s">
        <v>36</v>
      </c>
      <c r="O2961" s="15" t="s">
        <v>117</v>
      </c>
      <c r="P2961" s="20" t="s">
        <v>1979</v>
      </c>
      <c r="Q2961" s="15" t="s">
        <v>79</v>
      </c>
      <c r="R2961" s="4"/>
      <c r="S2961" s="4"/>
    </row>
    <row r="2962" spans="1:19" ht="21" customHeight="1" x14ac:dyDescent="0.25">
      <c r="A2962" s="14">
        <f>DATE(2012,12,31)-607</f>
        <v>40667</v>
      </c>
      <c r="B2962" s="15" t="s">
        <v>1765</v>
      </c>
      <c r="C2962" s="15" t="s">
        <v>85</v>
      </c>
      <c r="D2962" s="16">
        <v>46</v>
      </c>
      <c r="E2962" s="17">
        <v>3644.6</v>
      </c>
      <c r="F2962" s="16">
        <v>0.05</v>
      </c>
      <c r="G2962" s="15" t="s">
        <v>32</v>
      </c>
      <c r="H2962" s="18">
        <v>-1144.67</v>
      </c>
      <c r="I2962" s="19">
        <v>80.98</v>
      </c>
      <c r="J2962" s="19">
        <v>35</v>
      </c>
      <c r="K2962" s="19" t="s">
        <v>69</v>
      </c>
      <c r="L2962" s="19" t="s">
        <v>70</v>
      </c>
      <c r="M2962" s="15" t="s">
        <v>1895</v>
      </c>
      <c r="N2962" s="15" t="s">
        <v>36</v>
      </c>
      <c r="O2962" s="15" t="s">
        <v>37</v>
      </c>
      <c r="P2962" s="20" t="s">
        <v>1383</v>
      </c>
      <c r="Q2962" s="15" t="s">
        <v>39</v>
      </c>
      <c r="R2962" s="4"/>
      <c r="S2962" s="4"/>
    </row>
    <row r="2963" spans="1:19" ht="21" customHeight="1" x14ac:dyDescent="0.25">
      <c r="A2963" s="14">
        <f>DATE(2012,12,31)-607</f>
        <v>40667</v>
      </c>
      <c r="B2963" s="15" t="s">
        <v>1765</v>
      </c>
      <c r="C2963" s="15" t="s">
        <v>85</v>
      </c>
      <c r="D2963" s="16">
        <v>33</v>
      </c>
      <c r="E2963" s="17">
        <v>3491.6129999999998</v>
      </c>
      <c r="F2963" s="16">
        <v>0.05</v>
      </c>
      <c r="G2963" s="15" t="s">
        <v>32</v>
      </c>
      <c r="H2963" s="18">
        <v>717.69600000000003</v>
      </c>
      <c r="I2963" s="19">
        <v>125.99</v>
      </c>
      <c r="J2963" s="19">
        <v>5.63</v>
      </c>
      <c r="K2963" s="19" t="s">
        <v>69</v>
      </c>
      <c r="L2963" s="19" t="s">
        <v>75</v>
      </c>
      <c r="M2963" s="15" t="s">
        <v>1980</v>
      </c>
      <c r="N2963" s="15" t="s">
        <v>64</v>
      </c>
      <c r="O2963" s="15" t="s">
        <v>65</v>
      </c>
      <c r="P2963" s="20" t="s">
        <v>1064</v>
      </c>
      <c r="Q2963" s="15" t="s">
        <v>83</v>
      </c>
      <c r="R2963" s="4"/>
      <c r="S2963" s="4"/>
    </row>
    <row r="2964" spans="1:19" ht="21" customHeight="1" x14ac:dyDescent="0.25">
      <c r="A2964" s="14">
        <f>DATE(2012,12,31)-607</f>
        <v>40667</v>
      </c>
      <c r="B2964" s="15" t="s">
        <v>1765</v>
      </c>
      <c r="C2964" s="15" t="s">
        <v>85</v>
      </c>
      <c r="D2964" s="16">
        <v>43</v>
      </c>
      <c r="E2964" s="17">
        <v>103.6</v>
      </c>
      <c r="F2964" s="16">
        <v>0.09</v>
      </c>
      <c r="G2964" s="15" t="s">
        <v>101</v>
      </c>
      <c r="H2964" s="18">
        <v>-72.86</v>
      </c>
      <c r="I2964" s="19">
        <v>2.52</v>
      </c>
      <c r="J2964" s="19">
        <v>1.92</v>
      </c>
      <c r="K2964" s="19" t="s">
        <v>69</v>
      </c>
      <c r="L2964" s="19" t="s">
        <v>70</v>
      </c>
      <c r="M2964" s="15" t="s">
        <v>1895</v>
      </c>
      <c r="N2964" s="15" t="s">
        <v>36</v>
      </c>
      <c r="O2964" s="15" t="s">
        <v>47</v>
      </c>
      <c r="P2964" s="20" t="s">
        <v>999</v>
      </c>
      <c r="Q2964" s="15" t="s">
        <v>79</v>
      </c>
      <c r="R2964" s="4"/>
      <c r="S2964" s="4"/>
    </row>
    <row r="2965" spans="1:19" ht="21" customHeight="1" x14ac:dyDescent="0.25">
      <c r="A2965" s="14">
        <f>DATE(2012,12,31)-1102</f>
        <v>40172</v>
      </c>
      <c r="B2965" s="15" t="s">
        <v>1798</v>
      </c>
      <c r="C2965" s="15" t="s">
        <v>31</v>
      </c>
      <c r="D2965" s="16">
        <v>48</v>
      </c>
      <c r="E2965" s="17">
        <v>2962.96</v>
      </c>
      <c r="F2965" s="16">
        <v>0.02</v>
      </c>
      <c r="G2965" s="15" t="s">
        <v>58</v>
      </c>
      <c r="H2965" s="18">
        <v>-612.94000000000005</v>
      </c>
      <c r="I2965" s="19">
        <v>58.14</v>
      </c>
      <c r="J2965" s="19">
        <v>36.61</v>
      </c>
      <c r="K2965" s="19" t="s">
        <v>69</v>
      </c>
      <c r="L2965" s="19" t="s">
        <v>215</v>
      </c>
      <c r="M2965" s="15" t="s">
        <v>1704</v>
      </c>
      <c r="N2965" s="15" t="s">
        <v>54</v>
      </c>
      <c r="O2965" s="15" t="s">
        <v>134</v>
      </c>
      <c r="P2965" s="20" t="s">
        <v>1299</v>
      </c>
      <c r="Q2965" s="15" t="s">
        <v>63</v>
      </c>
      <c r="R2965" s="4"/>
      <c r="S2965" s="4"/>
    </row>
    <row r="2966" spans="1:19" ht="21" customHeight="1" x14ac:dyDescent="0.25">
      <c r="A2966" s="14">
        <f>DATE(2012,12,31)-1102</f>
        <v>40172</v>
      </c>
      <c r="B2966" s="15" t="s">
        <v>1798</v>
      </c>
      <c r="C2966" s="15" t="s">
        <v>31</v>
      </c>
      <c r="D2966" s="16">
        <v>48</v>
      </c>
      <c r="E2966" s="17">
        <v>782.93</v>
      </c>
      <c r="F2966" s="16">
        <v>0.03</v>
      </c>
      <c r="G2966" s="15" t="s">
        <v>32</v>
      </c>
      <c r="H2966" s="18">
        <v>401.07</v>
      </c>
      <c r="I2966" s="19">
        <v>15.57</v>
      </c>
      <c r="J2966" s="19">
        <v>1.39</v>
      </c>
      <c r="K2966" s="19" t="s">
        <v>69</v>
      </c>
      <c r="L2966" s="19" t="s">
        <v>215</v>
      </c>
      <c r="M2966" s="15" t="s">
        <v>1704</v>
      </c>
      <c r="N2966" s="15" t="s">
        <v>36</v>
      </c>
      <c r="O2966" s="15" t="s">
        <v>189</v>
      </c>
      <c r="P2966" s="20" t="s">
        <v>802</v>
      </c>
      <c r="Q2966" s="15" t="s">
        <v>83</v>
      </c>
      <c r="R2966" s="4"/>
      <c r="S2966" s="4"/>
    </row>
    <row r="2967" spans="1:19" ht="21" customHeight="1" x14ac:dyDescent="0.25">
      <c r="A2967" s="14">
        <f>DATE(2012,12,31)-626</f>
        <v>40648</v>
      </c>
      <c r="B2967" s="15" t="s">
        <v>1108</v>
      </c>
      <c r="C2967" s="15" t="s">
        <v>85</v>
      </c>
      <c r="D2967" s="16">
        <v>17</v>
      </c>
      <c r="E2967" s="17">
        <v>34.159999999999997</v>
      </c>
      <c r="F2967" s="16">
        <v>0.09</v>
      </c>
      <c r="G2967" s="15" t="s">
        <v>32</v>
      </c>
      <c r="H2967" s="18">
        <v>-2.29</v>
      </c>
      <c r="I2967" s="19">
        <v>2.1</v>
      </c>
      <c r="J2967" s="19">
        <v>0.7</v>
      </c>
      <c r="K2967" s="19" t="s">
        <v>111</v>
      </c>
      <c r="L2967" s="19" t="s">
        <v>112</v>
      </c>
      <c r="M2967" s="15" t="s">
        <v>1917</v>
      </c>
      <c r="N2967" s="15" t="s">
        <v>36</v>
      </c>
      <c r="O2967" s="15" t="s">
        <v>77</v>
      </c>
      <c r="P2967" s="20" t="s">
        <v>1849</v>
      </c>
      <c r="Q2967" s="15" t="s">
        <v>79</v>
      </c>
      <c r="R2967" s="4"/>
      <c r="S2967" s="4"/>
    </row>
    <row r="2968" spans="1:19" ht="21" customHeight="1" x14ac:dyDescent="0.25">
      <c r="A2968" s="14">
        <f>DATE(2012,12,31)-1140</f>
        <v>40134</v>
      </c>
      <c r="B2968" s="15" t="s">
        <v>970</v>
      </c>
      <c r="C2968" s="15" t="s">
        <v>31</v>
      </c>
      <c r="D2968" s="16">
        <v>14</v>
      </c>
      <c r="E2968" s="17">
        <v>75.150000000000006</v>
      </c>
      <c r="F2968" s="16">
        <v>0.02</v>
      </c>
      <c r="G2968" s="15" t="s">
        <v>101</v>
      </c>
      <c r="H2968" s="18">
        <v>-63.53</v>
      </c>
      <c r="I2968" s="19">
        <v>4.0599999999999996</v>
      </c>
      <c r="J2968" s="19">
        <v>6.89</v>
      </c>
      <c r="K2968" s="19" t="s">
        <v>111</v>
      </c>
      <c r="L2968" s="19" t="s">
        <v>112</v>
      </c>
      <c r="M2968" s="15" t="s">
        <v>1917</v>
      </c>
      <c r="N2968" s="15" t="s">
        <v>36</v>
      </c>
      <c r="O2968" s="15" t="s">
        <v>176</v>
      </c>
      <c r="P2968" s="20" t="s">
        <v>1222</v>
      </c>
      <c r="Q2968" s="15" t="s">
        <v>83</v>
      </c>
      <c r="R2968" s="4"/>
      <c r="S2968" s="4"/>
    </row>
    <row r="2969" spans="1:19" ht="21" customHeight="1" x14ac:dyDescent="0.25">
      <c r="A2969" s="14">
        <f>DATE(2012,12,31)-1140</f>
        <v>40134</v>
      </c>
      <c r="B2969" s="15" t="s">
        <v>970</v>
      </c>
      <c r="C2969" s="15" t="s">
        <v>31</v>
      </c>
      <c r="D2969" s="16">
        <v>43</v>
      </c>
      <c r="E2969" s="17">
        <v>400.45</v>
      </c>
      <c r="F2969" s="16">
        <v>7.0000000000000007E-2</v>
      </c>
      <c r="G2969" s="15" t="s">
        <v>32</v>
      </c>
      <c r="H2969" s="18">
        <v>-38.575800000000001</v>
      </c>
      <c r="I2969" s="19">
        <v>9.49</v>
      </c>
      <c r="J2969" s="19">
        <v>5.76</v>
      </c>
      <c r="K2969" s="19" t="s">
        <v>111</v>
      </c>
      <c r="L2969" s="19" t="s">
        <v>442</v>
      </c>
      <c r="M2969" s="15" t="s">
        <v>443</v>
      </c>
      <c r="N2969" s="15" t="s">
        <v>64</v>
      </c>
      <c r="O2969" s="15" t="s">
        <v>122</v>
      </c>
      <c r="P2969" s="20" t="s">
        <v>1981</v>
      </c>
      <c r="Q2969" s="15" t="s">
        <v>57</v>
      </c>
      <c r="R2969" s="4"/>
      <c r="S2969" s="4"/>
    </row>
    <row r="2970" spans="1:19" ht="21" customHeight="1" x14ac:dyDescent="0.25">
      <c r="A2970" s="14">
        <f>DATE(2012,12,31)-942</f>
        <v>40332</v>
      </c>
      <c r="B2970" s="15" t="s">
        <v>498</v>
      </c>
      <c r="C2970" s="15" t="s">
        <v>43</v>
      </c>
      <c r="D2970" s="16">
        <v>15</v>
      </c>
      <c r="E2970" s="17">
        <v>176.24</v>
      </c>
      <c r="F2970" s="16">
        <v>0.02</v>
      </c>
      <c r="G2970" s="15" t="s">
        <v>101</v>
      </c>
      <c r="H2970" s="18">
        <v>9.85</v>
      </c>
      <c r="I2970" s="19">
        <v>10.98</v>
      </c>
      <c r="J2970" s="19">
        <v>3.37</v>
      </c>
      <c r="K2970" s="19" t="s">
        <v>111</v>
      </c>
      <c r="L2970" s="19" t="s">
        <v>112</v>
      </c>
      <c r="M2970" s="15" t="s">
        <v>1982</v>
      </c>
      <c r="N2970" s="15" t="s">
        <v>36</v>
      </c>
      <c r="O2970" s="15" t="s">
        <v>47</v>
      </c>
      <c r="P2970" s="20" t="s">
        <v>1698</v>
      </c>
      <c r="Q2970" s="15" t="s">
        <v>49</v>
      </c>
      <c r="R2970" s="4"/>
      <c r="S2970" s="4"/>
    </row>
    <row r="2971" spans="1:19" ht="21" customHeight="1" x14ac:dyDescent="0.25">
      <c r="A2971" s="14">
        <f>DATE(2012,12,31)-680</f>
        <v>40594</v>
      </c>
      <c r="B2971" s="15" t="s">
        <v>1007</v>
      </c>
      <c r="C2971" s="15" t="s">
        <v>85</v>
      </c>
      <c r="D2971" s="16">
        <v>39</v>
      </c>
      <c r="E2971" s="17">
        <v>538.14</v>
      </c>
      <c r="F2971" s="16">
        <v>0.06</v>
      </c>
      <c r="G2971" s="15" t="s">
        <v>32</v>
      </c>
      <c r="H2971" s="18">
        <v>111.42</v>
      </c>
      <c r="I2971" s="19">
        <v>14.48</v>
      </c>
      <c r="J2971" s="19">
        <v>1.99</v>
      </c>
      <c r="K2971" s="19" t="s">
        <v>44</v>
      </c>
      <c r="L2971" s="19" t="s">
        <v>89</v>
      </c>
      <c r="M2971" s="15" t="s">
        <v>1932</v>
      </c>
      <c r="N2971" s="15" t="s">
        <v>64</v>
      </c>
      <c r="O2971" s="15" t="s">
        <v>72</v>
      </c>
      <c r="P2971" s="20" t="s">
        <v>658</v>
      </c>
      <c r="Q2971" s="15" t="s">
        <v>49</v>
      </c>
      <c r="R2971" s="4"/>
      <c r="S2971" s="4"/>
    </row>
    <row r="2972" spans="1:19" ht="21" customHeight="1" x14ac:dyDescent="0.25">
      <c r="A2972" s="14">
        <f>DATE(2012,12,31)-680</f>
        <v>40594</v>
      </c>
      <c r="B2972" s="15" t="s">
        <v>1007</v>
      </c>
      <c r="C2972" s="15" t="s">
        <v>85</v>
      </c>
      <c r="D2972" s="16">
        <v>15</v>
      </c>
      <c r="E2972" s="17">
        <v>4956.7839999999997</v>
      </c>
      <c r="F2972" s="16">
        <v>0.06</v>
      </c>
      <c r="G2972" s="15" t="s">
        <v>58</v>
      </c>
      <c r="H2972" s="18">
        <v>-296.06</v>
      </c>
      <c r="I2972" s="19">
        <v>417.4</v>
      </c>
      <c r="J2972" s="19">
        <v>75.23</v>
      </c>
      <c r="K2972" s="19" t="s">
        <v>44</v>
      </c>
      <c r="L2972" s="19" t="s">
        <v>120</v>
      </c>
      <c r="M2972" s="15" t="s">
        <v>121</v>
      </c>
      <c r="N2972" s="15" t="s">
        <v>54</v>
      </c>
      <c r="O2972" s="15" t="s">
        <v>61</v>
      </c>
      <c r="P2972" s="20" t="s">
        <v>1983</v>
      </c>
      <c r="Q2972" s="15" t="s">
        <v>63</v>
      </c>
      <c r="R2972" s="4"/>
      <c r="S2972" s="4"/>
    </row>
    <row r="2973" spans="1:19" ht="21" customHeight="1" x14ac:dyDescent="0.25">
      <c r="A2973" s="14">
        <f>DATE(2012,12,31)-590</f>
        <v>40684</v>
      </c>
      <c r="B2973" s="15" t="s">
        <v>1668</v>
      </c>
      <c r="C2973" s="15" t="s">
        <v>31</v>
      </c>
      <c r="D2973" s="16">
        <v>7</v>
      </c>
      <c r="E2973" s="17">
        <v>189.73</v>
      </c>
      <c r="F2973" s="16">
        <v>0.01</v>
      </c>
      <c r="G2973" s="15" t="s">
        <v>32</v>
      </c>
      <c r="H2973" s="18">
        <v>43.171500000000002</v>
      </c>
      <c r="I2973" s="19">
        <v>24.95</v>
      </c>
      <c r="J2973" s="19">
        <v>2.99</v>
      </c>
      <c r="K2973" s="19" t="s">
        <v>44</v>
      </c>
      <c r="L2973" s="19" t="s">
        <v>89</v>
      </c>
      <c r="M2973" s="15" t="s">
        <v>1932</v>
      </c>
      <c r="N2973" s="15" t="s">
        <v>36</v>
      </c>
      <c r="O2973" s="15" t="s">
        <v>170</v>
      </c>
      <c r="P2973" s="20" t="s">
        <v>609</v>
      </c>
      <c r="Q2973" s="15" t="s">
        <v>83</v>
      </c>
      <c r="R2973" s="4"/>
      <c r="S2973" s="4"/>
    </row>
    <row r="2974" spans="1:19" ht="21" customHeight="1" x14ac:dyDescent="0.25">
      <c r="A2974" s="14">
        <f>DATE(2012,12,31)-590</f>
        <v>40684</v>
      </c>
      <c r="B2974" s="15" t="s">
        <v>1668</v>
      </c>
      <c r="C2974" s="15" t="s">
        <v>31</v>
      </c>
      <c r="D2974" s="16">
        <v>40</v>
      </c>
      <c r="E2974" s="17">
        <v>278.8</v>
      </c>
      <c r="F2974" s="16">
        <v>0.06</v>
      </c>
      <c r="G2974" s="15" t="s">
        <v>32</v>
      </c>
      <c r="H2974" s="18">
        <v>77.709999999999994</v>
      </c>
      <c r="I2974" s="19">
        <v>6.88</v>
      </c>
      <c r="J2974" s="19">
        <v>2</v>
      </c>
      <c r="K2974" s="19" t="s">
        <v>44</v>
      </c>
      <c r="L2974" s="19" t="s">
        <v>120</v>
      </c>
      <c r="M2974" s="15" t="s">
        <v>121</v>
      </c>
      <c r="N2974" s="15" t="s">
        <v>36</v>
      </c>
      <c r="O2974" s="15" t="s">
        <v>117</v>
      </c>
      <c r="P2974" s="20" t="s">
        <v>356</v>
      </c>
      <c r="Q2974" s="15" t="s">
        <v>79</v>
      </c>
      <c r="R2974" s="4"/>
      <c r="S2974" s="4"/>
    </row>
    <row r="2975" spans="1:19" ht="21" customHeight="1" x14ac:dyDescent="0.25">
      <c r="A2975" s="14">
        <f>DATE(2012,12,31)-304</f>
        <v>40970</v>
      </c>
      <c r="B2975" s="15" t="s">
        <v>108</v>
      </c>
      <c r="C2975" s="15" t="s">
        <v>31</v>
      </c>
      <c r="D2975" s="16">
        <v>16</v>
      </c>
      <c r="E2975" s="17">
        <v>423.07</v>
      </c>
      <c r="F2975" s="16">
        <v>0.01</v>
      </c>
      <c r="G2975" s="15" t="s">
        <v>32</v>
      </c>
      <c r="H2975" s="18">
        <v>126.95</v>
      </c>
      <c r="I2975" s="19">
        <v>25.38</v>
      </c>
      <c r="J2975" s="19">
        <v>8.99</v>
      </c>
      <c r="K2975" s="19" t="s">
        <v>44</v>
      </c>
      <c r="L2975" s="19" t="s">
        <v>236</v>
      </c>
      <c r="M2975" s="15" t="s">
        <v>1887</v>
      </c>
      <c r="N2975" s="15" t="s">
        <v>54</v>
      </c>
      <c r="O2975" s="15" t="s">
        <v>55</v>
      </c>
      <c r="P2975" s="20" t="s">
        <v>947</v>
      </c>
      <c r="Q2975" s="15" t="s">
        <v>49</v>
      </c>
      <c r="R2975" s="4"/>
      <c r="S2975" s="4"/>
    </row>
    <row r="2976" spans="1:19" ht="21" customHeight="1" x14ac:dyDescent="0.25">
      <c r="A2976" s="14">
        <f>DATE(2012,12,31)-304</f>
        <v>40970</v>
      </c>
      <c r="B2976" s="15" t="s">
        <v>108</v>
      </c>
      <c r="C2976" s="15" t="s">
        <v>31</v>
      </c>
      <c r="D2976" s="16">
        <v>33</v>
      </c>
      <c r="E2976" s="17">
        <v>1602.21</v>
      </c>
      <c r="F2976" s="16">
        <v>0.05</v>
      </c>
      <c r="G2976" s="15" t="s">
        <v>32</v>
      </c>
      <c r="H2976" s="18">
        <v>728.49</v>
      </c>
      <c r="I2976" s="19">
        <v>48.04</v>
      </c>
      <c r="J2976" s="19">
        <v>5.79</v>
      </c>
      <c r="K2976" s="19" t="s">
        <v>44</v>
      </c>
      <c r="L2976" s="19" t="s">
        <v>89</v>
      </c>
      <c r="M2976" s="15" t="s">
        <v>1932</v>
      </c>
      <c r="N2976" s="15" t="s">
        <v>36</v>
      </c>
      <c r="O2976" s="15" t="s">
        <v>117</v>
      </c>
      <c r="P2976" s="20" t="s">
        <v>1984</v>
      </c>
      <c r="Q2976" s="15" t="s">
        <v>83</v>
      </c>
      <c r="R2976" s="4"/>
      <c r="S2976" s="4"/>
    </row>
    <row r="2977" spans="1:19" ht="21" customHeight="1" x14ac:dyDescent="0.25">
      <c r="A2977" s="14">
        <f>DATE(2012,12,31)-1221</f>
        <v>40053</v>
      </c>
      <c r="B2977" s="15" t="s">
        <v>1949</v>
      </c>
      <c r="C2977" s="15" t="s">
        <v>85</v>
      </c>
      <c r="D2977" s="16">
        <v>41</v>
      </c>
      <c r="E2977" s="17">
        <v>291.16000000000003</v>
      </c>
      <c r="F2977" s="16">
        <v>0.01</v>
      </c>
      <c r="G2977" s="15" t="s">
        <v>101</v>
      </c>
      <c r="H2977" s="18">
        <v>-89.47</v>
      </c>
      <c r="I2977" s="19">
        <v>6.48</v>
      </c>
      <c r="J2977" s="19">
        <v>6.57</v>
      </c>
      <c r="K2977" s="19" t="s">
        <v>44</v>
      </c>
      <c r="L2977" s="19" t="s">
        <v>120</v>
      </c>
      <c r="M2977" s="15" t="s">
        <v>121</v>
      </c>
      <c r="N2977" s="15" t="s">
        <v>36</v>
      </c>
      <c r="O2977" s="15" t="s">
        <v>117</v>
      </c>
      <c r="P2977" s="20" t="s">
        <v>1838</v>
      </c>
      <c r="Q2977" s="15" t="s">
        <v>83</v>
      </c>
      <c r="R2977" s="4"/>
      <c r="S2977" s="4"/>
    </row>
    <row r="2978" spans="1:19" ht="21" customHeight="1" x14ac:dyDescent="0.25">
      <c r="A2978" s="14">
        <f>DATE(2012,12,31)-28</f>
        <v>41246</v>
      </c>
      <c r="B2978" s="15" t="s">
        <v>1692</v>
      </c>
      <c r="C2978" s="15" t="s">
        <v>31</v>
      </c>
      <c r="D2978" s="16">
        <v>3</v>
      </c>
      <c r="E2978" s="17">
        <v>912.35</v>
      </c>
      <c r="F2978" s="16">
        <v>7.0000000000000007E-2</v>
      </c>
      <c r="G2978" s="15" t="s">
        <v>58</v>
      </c>
      <c r="H2978" s="18">
        <v>-379.22</v>
      </c>
      <c r="I2978" s="19">
        <v>284.98</v>
      </c>
      <c r="J2978" s="19">
        <v>69.55</v>
      </c>
      <c r="K2978" s="19" t="s">
        <v>44</v>
      </c>
      <c r="L2978" s="19" t="s">
        <v>45</v>
      </c>
      <c r="M2978" s="15" t="s">
        <v>1985</v>
      </c>
      <c r="N2978" s="15" t="s">
        <v>54</v>
      </c>
      <c r="O2978" s="15" t="s">
        <v>252</v>
      </c>
      <c r="P2978" s="20" t="s">
        <v>1647</v>
      </c>
      <c r="Q2978" s="15" t="s">
        <v>181</v>
      </c>
      <c r="R2978" s="4"/>
      <c r="S2978" s="4"/>
    </row>
    <row r="2979" spans="1:19" ht="21" customHeight="1" x14ac:dyDescent="0.25">
      <c r="A2979" s="14">
        <f>DATE(2012,12,31)-181</f>
        <v>41093</v>
      </c>
      <c r="B2979" s="15" t="s">
        <v>961</v>
      </c>
      <c r="C2979" s="15" t="s">
        <v>51</v>
      </c>
      <c r="D2979" s="16">
        <v>13</v>
      </c>
      <c r="E2979" s="17">
        <v>47.93</v>
      </c>
      <c r="F2979" s="16">
        <v>0.04</v>
      </c>
      <c r="G2979" s="15" t="s">
        <v>32</v>
      </c>
      <c r="H2979" s="18">
        <v>15.82</v>
      </c>
      <c r="I2979" s="19">
        <v>3.69</v>
      </c>
      <c r="J2979" s="19">
        <v>0.5</v>
      </c>
      <c r="K2979" s="19" t="s">
        <v>44</v>
      </c>
      <c r="L2979" s="19" t="s">
        <v>89</v>
      </c>
      <c r="M2979" s="15" t="s">
        <v>1932</v>
      </c>
      <c r="N2979" s="15" t="s">
        <v>36</v>
      </c>
      <c r="O2979" s="15" t="s">
        <v>114</v>
      </c>
      <c r="P2979" s="20" t="s">
        <v>1169</v>
      </c>
      <c r="Q2979" s="15" t="s">
        <v>83</v>
      </c>
      <c r="R2979" s="4"/>
      <c r="S2979" s="4"/>
    </row>
    <row r="2980" spans="1:19" ht="21" customHeight="1" x14ac:dyDescent="0.25">
      <c r="A2980" s="14">
        <f>DATE(2012,12,31)-237</f>
        <v>41037</v>
      </c>
      <c r="B2980" s="15" t="s">
        <v>1889</v>
      </c>
      <c r="C2980" s="15" t="s">
        <v>51</v>
      </c>
      <c r="D2980" s="16">
        <v>16</v>
      </c>
      <c r="E2980" s="17">
        <v>372.09</v>
      </c>
      <c r="F2980" s="16">
        <v>0.04</v>
      </c>
      <c r="G2980" s="15" t="s">
        <v>101</v>
      </c>
      <c r="H2980" s="18">
        <v>98.28</v>
      </c>
      <c r="I2980" s="19">
        <v>22.24</v>
      </c>
      <c r="J2980" s="19">
        <v>1.99</v>
      </c>
      <c r="K2980" s="19" t="s">
        <v>44</v>
      </c>
      <c r="L2980" s="19" t="s">
        <v>120</v>
      </c>
      <c r="M2980" s="15" t="s">
        <v>121</v>
      </c>
      <c r="N2980" s="15" t="s">
        <v>64</v>
      </c>
      <c r="O2980" s="15" t="s">
        <v>72</v>
      </c>
      <c r="P2980" s="20" t="s">
        <v>1401</v>
      </c>
      <c r="Q2980" s="15" t="s">
        <v>49</v>
      </c>
      <c r="R2980" s="4"/>
      <c r="S2980" s="4"/>
    </row>
    <row r="2981" spans="1:19" ht="21" customHeight="1" x14ac:dyDescent="0.25">
      <c r="A2981" s="14">
        <f>DATE(2012,12,31)-1253</f>
        <v>40021</v>
      </c>
      <c r="B2981" s="15" t="s">
        <v>1258</v>
      </c>
      <c r="C2981" s="15" t="s">
        <v>85</v>
      </c>
      <c r="D2981" s="16">
        <v>31</v>
      </c>
      <c r="E2981" s="17">
        <v>87.32</v>
      </c>
      <c r="F2981" s="16">
        <v>0.08</v>
      </c>
      <c r="G2981" s="15" t="s">
        <v>32</v>
      </c>
      <c r="H2981" s="18">
        <v>-1.18</v>
      </c>
      <c r="I2981" s="19">
        <v>2.94</v>
      </c>
      <c r="J2981" s="19">
        <v>0.96</v>
      </c>
      <c r="K2981" s="19" t="s">
        <v>44</v>
      </c>
      <c r="L2981" s="19" t="s">
        <v>89</v>
      </c>
      <c r="M2981" s="15" t="s">
        <v>1932</v>
      </c>
      <c r="N2981" s="15" t="s">
        <v>36</v>
      </c>
      <c r="O2981" s="15" t="s">
        <v>77</v>
      </c>
      <c r="P2981" s="20" t="s">
        <v>830</v>
      </c>
      <c r="Q2981" s="15" t="s">
        <v>79</v>
      </c>
      <c r="R2981" s="4"/>
      <c r="S2981" s="4"/>
    </row>
    <row r="2982" spans="1:19" ht="21" customHeight="1" x14ac:dyDescent="0.25">
      <c r="A2982" s="14">
        <f>DATE(2012,12,31)-906</f>
        <v>40368</v>
      </c>
      <c r="B2982" s="15" t="s">
        <v>746</v>
      </c>
      <c r="C2982" s="15" t="s">
        <v>85</v>
      </c>
      <c r="D2982" s="16">
        <v>18</v>
      </c>
      <c r="E2982" s="17">
        <v>388.13</v>
      </c>
      <c r="F2982" s="16">
        <v>0.04</v>
      </c>
      <c r="G2982" s="15" t="s">
        <v>32</v>
      </c>
      <c r="H2982" s="18">
        <v>40.11</v>
      </c>
      <c r="I2982" s="19">
        <v>21.98</v>
      </c>
      <c r="J2982" s="19">
        <v>8.32</v>
      </c>
      <c r="K2982" s="19" t="s">
        <v>44</v>
      </c>
      <c r="L2982" s="19" t="s">
        <v>89</v>
      </c>
      <c r="M2982" s="15" t="s">
        <v>1932</v>
      </c>
      <c r="N2982" s="15" t="s">
        <v>36</v>
      </c>
      <c r="O2982" s="15" t="s">
        <v>117</v>
      </c>
      <c r="P2982" s="20" t="s">
        <v>1986</v>
      </c>
      <c r="Q2982" s="15" t="s">
        <v>79</v>
      </c>
      <c r="R2982" s="4"/>
      <c r="S2982" s="4"/>
    </row>
    <row r="2983" spans="1:19" ht="21" customHeight="1" x14ac:dyDescent="0.25">
      <c r="A2983" s="14">
        <f>DATE(2012,12,31)-906</f>
        <v>40368</v>
      </c>
      <c r="B2983" s="15" t="s">
        <v>746</v>
      </c>
      <c r="C2983" s="15" t="s">
        <v>85</v>
      </c>
      <c r="D2983" s="16">
        <v>39</v>
      </c>
      <c r="E2983" s="17">
        <v>2339.84</v>
      </c>
      <c r="F2983" s="16">
        <v>0.05</v>
      </c>
      <c r="G2983" s="15" t="s">
        <v>32</v>
      </c>
      <c r="H2983" s="18">
        <v>-1730.3</v>
      </c>
      <c r="I2983" s="19">
        <v>71.37</v>
      </c>
      <c r="J2983" s="19">
        <v>69</v>
      </c>
      <c r="K2983" s="19" t="s">
        <v>44</v>
      </c>
      <c r="L2983" s="19" t="s">
        <v>52</v>
      </c>
      <c r="M2983" s="15" t="s">
        <v>1685</v>
      </c>
      <c r="N2983" s="15" t="s">
        <v>54</v>
      </c>
      <c r="O2983" s="15" t="s">
        <v>61</v>
      </c>
      <c r="P2983" s="20" t="s">
        <v>399</v>
      </c>
      <c r="Q2983" s="15" t="s">
        <v>39</v>
      </c>
      <c r="R2983" s="4"/>
      <c r="S2983" s="4"/>
    </row>
    <row r="2984" spans="1:19" ht="21" customHeight="1" x14ac:dyDescent="0.25">
      <c r="A2984" s="14">
        <f>DATE(2012,12,31)-1180</f>
        <v>40094</v>
      </c>
      <c r="B2984" s="15" t="s">
        <v>648</v>
      </c>
      <c r="C2984" s="15" t="s">
        <v>43</v>
      </c>
      <c r="D2984" s="16">
        <v>43</v>
      </c>
      <c r="E2984" s="17">
        <v>3044.7</v>
      </c>
      <c r="F2984" s="16">
        <v>0.04</v>
      </c>
      <c r="G2984" s="15" t="s">
        <v>58</v>
      </c>
      <c r="H2984" s="18">
        <v>-78.36</v>
      </c>
      <c r="I2984" s="19">
        <v>70.98</v>
      </c>
      <c r="J2984" s="19">
        <v>26.74</v>
      </c>
      <c r="K2984" s="19" t="s">
        <v>33</v>
      </c>
      <c r="L2984" s="19" t="s">
        <v>128</v>
      </c>
      <c r="M2984" s="15" t="s">
        <v>129</v>
      </c>
      <c r="N2984" s="15" t="s">
        <v>54</v>
      </c>
      <c r="O2984" s="15" t="s">
        <v>134</v>
      </c>
      <c r="P2984" s="20" t="s">
        <v>1236</v>
      </c>
      <c r="Q2984" s="15" t="s">
        <v>63</v>
      </c>
      <c r="R2984" s="4"/>
      <c r="S2984" s="4"/>
    </row>
    <row r="2985" spans="1:19" ht="21" customHeight="1" x14ac:dyDescent="0.25">
      <c r="A2985" s="14">
        <f>DATE(2012,12,31)-590</f>
        <v>40684</v>
      </c>
      <c r="B2985" s="15" t="s">
        <v>1987</v>
      </c>
      <c r="C2985" s="15" t="s">
        <v>51</v>
      </c>
      <c r="D2985" s="16">
        <v>18</v>
      </c>
      <c r="E2985" s="17">
        <v>404.3</v>
      </c>
      <c r="F2985" s="16">
        <v>0.04</v>
      </c>
      <c r="G2985" s="15" t="s">
        <v>32</v>
      </c>
      <c r="H2985" s="18">
        <v>-27.34</v>
      </c>
      <c r="I2985" s="19">
        <v>21.38</v>
      </c>
      <c r="J2985" s="19">
        <v>8.99</v>
      </c>
      <c r="K2985" s="19" t="s">
        <v>33</v>
      </c>
      <c r="L2985" s="19" t="s">
        <v>128</v>
      </c>
      <c r="M2985" s="15" t="s">
        <v>129</v>
      </c>
      <c r="N2985" s="15" t="s">
        <v>36</v>
      </c>
      <c r="O2985" s="15" t="s">
        <v>77</v>
      </c>
      <c r="P2985" s="20" t="s">
        <v>948</v>
      </c>
      <c r="Q2985" s="15" t="s">
        <v>49</v>
      </c>
      <c r="R2985" s="4"/>
      <c r="S2985" s="4"/>
    </row>
    <row r="2986" spans="1:19" ht="21" customHeight="1" x14ac:dyDescent="0.25">
      <c r="A2986" s="14">
        <f>DATE(2012,12,31)-590</f>
        <v>40684</v>
      </c>
      <c r="B2986" s="15" t="s">
        <v>1987</v>
      </c>
      <c r="C2986" s="15" t="s">
        <v>51</v>
      </c>
      <c r="D2986" s="16">
        <v>43</v>
      </c>
      <c r="E2986" s="17">
        <v>11674.968000000001</v>
      </c>
      <c r="F2986" s="16">
        <v>0.05</v>
      </c>
      <c r="G2986" s="15" t="s">
        <v>58</v>
      </c>
      <c r="H2986" s="18">
        <v>715.18</v>
      </c>
      <c r="I2986" s="19">
        <v>348.21</v>
      </c>
      <c r="J2986" s="19">
        <v>84.84</v>
      </c>
      <c r="K2986" s="19" t="s">
        <v>33</v>
      </c>
      <c r="L2986" s="19" t="s">
        <v>128</v>
      </c>
      <c r="M2986" s="15" t="s">
        <v>129</v>
      </c>
      <c r="N2986" s="15" t="s">
        <v>54</v>
      </c>
      <c r="O2986" s="15" t="s">
        <v>61</v>
      </c>
      <c r="P2986" s="20" t="s">
        <v>1141</v>
      </c>
      <c r="Q2986" s="15" t="s">
        <v>63</v>
      </c>
      <c r="R2986" s="4"/>
      <c r="S2986" s="4"/>
    </row>
    <row r="2987" spans="1:19" ht="21" customHeight="1" x14ac:dyDescent="0.25">
      <c r="A2987" s="14">
        <f>DATE(2012,12,31)-1417</f>
        <v>39857</v>
      </c>
      <c r="B2987" s="15" t="s">
        <v>1432</v>
      </c>
      <c r="C2987" s="15" t="s">
        <v>85</v>
      </c>
      <c r="D2987" s="16">
        <v>42</v>
      </c>
      <c r="E2987" s="17">
        <v>8549.0400000000009</v>
      </c>
      <c r="F2987" s="16">
        <v>0.03</v>
      </c>
      <c r="G2987" s="15" t="s">
        <v>32</v>
      </c>
      <c r="H2987" s="18">
        <v>2861.01</v>
      </c>
      <c r="I2987" s="19">
        <v>194.3</v>
      </c>
      <c r="J2987" s="19">
        <v>11.54</v>
      </c>
      <c r="K2987" s="19" t="s">
        <v>33</v>
      </c>
      <c r="L2987" s="19" t="s">
        <v>93</v>
      </c>
      <c r="M2987" s="15" t="s">
        <v>94</v>
      </c>
      <c r="N2987" s="15" t="s">
        <v>54</v>
      </c>
      <c r="O2987" s="15" t="s">
        <v>55</v>
      </c>
      <c r="P2987" s="20" t="s">
        <v>1627</v>
      </c>
      <c r="Q2987" s="15" t="s">
        <v>39</v>
      </c>
      <c r="R2987" s="4"/>
      <c r="S2987" s="4"/>
    </row>
    <row r="2988" spans="1:19" ht="21" customHeight="1" x14ac:dyDescent="0.25">
      <c r="A2988" s="14">
        <f>DATE(2012,12,31)-250</f>
        <v>41024</v>
      </c>
      <c r="B2988" s="15" t="s">
        <v>423</v>
      </c>
      <c r="C2988" s="15" t="s">
        <v>85</v>
      </c>
      <c r="D2988" s="16">
        <v>31</v>
      </c>
      <c r="E2988" s="17">
        <v>96.23</v>
      </c>
      <c r="F2988" s="16">
        <v>0.05</v>
      </c>
      <c r="G2988" s="15" t="s">
        <v>32</v>
      </c>
      <c r="H2988" s="18">
        <v>24.05</v>
      </c>
      <c r="I2988" s="19">
        <v>3.08</v>
      </c>
      <c r="J2988" s="19">
        <v>0.99</v>
      </c>
      <c r="K2988" s="19" t="s">
        <v>33</v>
      </c>
      <c r="L2988" s="19" t="s">
        <v>128</v>
      </c>
      <c r="M2988" s="15" t="s">
        <v>129</v>
      </c>
      <c r="N2988" s="15" t="s">
        <v>36</v>
      </c>
      <c r="O2988" s="15" t="s">
        <v>114</v>
      </c>
      <c r="P2988" s="20" t="s">
        <v>1914</v>
      </c>
      <c r="Q2988" s="15" t="s">
        <v>83</v>
      </c>
      <c r="R2988" s="4"/>
      <c r="S2988" s="4"/>
    </row>
    <row r="2989" spans="1:19" ht="21" customHeight="1" x14ac:dyDescent="0.25">
      <c r="A2989" s="14">
        <f>DATE(2012,12,31)-250</f>
        <v>41024</v>
      </c>
      <c r="B2989" s="15" t="s">
        <v>423</v>
      </c>
      <c r="C2989" s="15" t="s">
        <v>85</v>
      </c>
      <c r="D2989" s="16">
        <v>7</v>
      </c>
      <c r="E2989" s="17">
        <v>70.08</v>
      </c>
      <c r="F2989" s="16">
        <v>0</v>
      </c>
      <c r="G2989" s="15" t="s">
        <v>32</v>
      </c>
      <c r="H2989" s="18">
        <v>8.02</v>
      </c>
      <c r="I2989" s="19">
        <v>9.48</v>
      </c>
      <c r="J2989" s="19">
        <v>3.72</v>
      </c>
      <c r="K2989" s="19" t="s">
        <v>33</v>
      </c>
      <c r="L2989" s="19" t="s">
        <v>93</v>
      </c>
      <c r="M2989" s="15" t="s">
        <v>94</v>
      </c>
      <c r="N2989" s="15" t="s">
        <v>54</v>
      </c>
      <c r="O2989" s="15" t="s">
        <v>55</v>
      </c>
      <c r="P2989" s="20" t="s">
        <v>1625</v>
      </c>
      <c r="Q2989" s="15" t="s">
        <v>49</v>
      </c>
      <c r="R2989" s="4"/>
      <c r="S2989" s="4"/>
    </row>
    <row r="2990" spans="1:19" ht="21" customHeight="1" x14ac:dyDescent="0.25">
      <c r="A2990" s="14">
        <f>DATE(2012,12,31)-250</f>
        <v>41024</v>
      </c>
      <c r="B2990" s="15" t="s">
        <v>423</v>
      </c>
      <c r="C2990" s="15" t="s">
        <v>85</v>
      </c>
      <c r="D2990" s="16">
        <v>3</v>
      </c>
      <c r="E2990" s="17">
        <v>234.768</v>
      </c>
      <c r="F2990" s="16">
        <v>0.04</v>
      </c>
      <c r="G2990" s="15" t="s">
        <v>58</v>
      </c>
      <c r="H2990" s="18">
        <v>54.230849999999997</v>
      </c>
      <c r="I2990" s="19">
        <v>70.89</v>
      </c>
      <c r="J2990" s="19">
        <v>89.3</v>
      </c>
      <c r="K2990" s="19" t="s">
        <v>33</v>
      </c>
      <c r="L2990" s="19" t="s">
        <v>128</v>
      </c>
      <c r="M2990" s="15" t="s">
        <v>129</v>
      </c>
      <c r="N2990" s="15" t="s">
        <v>54</v>
      </c>
      <c r="O2990" s="15" t="s">
        <v>61</v>
      </c>
      <c r="P2990" s="20" t="s">
        <v>62</v>
      </c>
      <c r="Q2990" s="15" t="s">
        <v>63</v>
      </c>
      <c r="R2990" s="4"/>
      <c r="S2990" s="4"/>
    </row>
    <row r="2991" spans="1:19" ht="21" customHeight="1" x14ac:dyDescent="0.25">
      <c r="A2991" s="14">
        <f>DATE(2012,12,31)-1081</f>
        <v>40193</v>
      </c>
      <c r="B2991" s="15" t="s">
        <v>630</v>
      </c>
      <c r="C2991" s="15" t="s">
        <v>85</v>
      </c>
      <c r="D2991" s="16">
        <v>33</v>
      </c>
      <c r="E2991" s="17">
        <v>77.55</v>
      </c>
      <c r="F2991" s="16">
        <v>0</v>
      </c>
      <c r="G2991" s="15" t="s">
        <v>32</v>
      </c>
      <c r="H2991" s="18">
        <v>-37.200000000000003</v>
      </c>
      <c r="I2991" s="19">
        <v>2.12</v>
      </c>
      <c r="J2991" s="19">
        <v>1.99</v>
      </c>
      <c r="K2991" s="19" t="s">
        <v>33</v>
      </c>
      <c r="L2991" s="19" t="s">
        <v>93</v>
      </c>
      <c r="M2991" s="15" t="s">
        <v>94</v>
      </c>
      <c r="N2991" s="15" t="s">
        <v>64</v>
      </c>
      <c r="O2991" s="15" t="s">
        <v>72</v>
      </c>
      <c r="P2991" s="20" t="s">
        <v>660</v>
      </c>
      <c r="Q2991" s="15" t="s">
        <v>49</v>
      </c>
      <c r="R2991" s="4"/>
      <c r="S2991" s="4"/>
    </row>
    <row r="2992" spans="1:19" ht="21" customHeight="1" x14ac:dyDescent="0.25">
      <c r="A2992" s="14">
        <f>DATE(2012,12,31)-1002</f>
        <v>40272</v>
      </c>
      <c r="B2992" s="15" t="s">
        <v>1059</v>
      </c>
      <c r="C2992" s="15" t="s">
        <v>31</v>
      </c>
      <c r="D2992" s="16">
        <v>17</v>
      </c>
      <c r="E2992" s="17">
        <v>169.48</v>
      </c>
      <c r="F2992" s="16">
        <v>0.03</v>
      </c>
      <c r="G2992" s="15" t="s">
        <v>32</v>
      </c>
      <c r="H2992" s="18">
        <v>48.55</v>
      </c>
      <c r="I2992" s="19">
        <v>10.14</v>
      </c>
      <c r="J2992" s="19">
        <v>2.27</v>
      </c>
      <c r="K2992" s="19" t="s">
        <v>33</v>
      </c>
      <c r="L2992" s="19" t="s">
        <v>128</v>
      </c>
      <c r="M2992" s="15" t="s">
        <v>129</v>
      </c>
      <c r="N2992" s="15" t="s">
        <v>36</v>
      </c>
      <c r="O2992" s="15" t="s">
        <v>117</v>
      </c>
      <c r="P2992" s="20" t="s">
        <v>1448</v>
      </c>
      <c r="Q2992" s="15" t="s">
        <v>79</v>
      </c>
      <c r="R2992" s="4"/>
      <c r="S2992" s="4"/>
    </row>
    <row r="2993" spans="1:19" ht="21" customHeight="1" x14ac:dyDescent="0.25">
      <c r="A2993" s="14">
        <f>DATE(2012,12,31)-635</f>
        <v>40639</v>
      </c>
      <c r="B2993" s="15" t="s">
        <v>1106</v>
      </c>
      <c r="C2993" s="15" t="s">
        <v>31</v>
      </c>
      <c r="D2993" s="16">
        <v>20</v>
      </c>
      <c r="E2993" s="17">
        <v>2227.34</v>
      </c>
      <c r="F2993" s="16">
        <v>0.09</v>
      </c>
      <c r="G2993" s="15" t="s">
        <v>32</v>
      </c>
      <c r="H2993" s="18">
        <v>-609.09</v>
      </c>
      <c r="I2993" s="19">
        <v>113.64</v>
      </c>
      <c r="J2993" s="19">
        <v>35</v>
      </c>
      <c r="K2993" s="19" t="s">
        <v>33</v>
      </c>
      <c r="L2993" s="19" t="s">
        <v>128</v>
      </c>
      <c r="M2993" s="15" t="s">
        <v>129</v>
      </c>
      <c r="N2993" s="15" t="s">
        <v>36</v>
      </c>
      <c r="O2993" s="15" t="s">
        <v>37</v>
      </c>
      <c r="P2993" s="20" t="s">
        <v>1988</v>
      </c>
      <c r="Q2993" s="15" t="s">
        <v>39</v>
      </c>
      <c r="R2993" s="4"/>
      <c r="S2993" s="4"/>
    </row>
    <row r="2994" spans="1:19" ht="21" customHeight="1" x14ac:dyDescent="0.25">
      <c r="A2994" s="14">
        <f>DATE(2012,12,31)-1279</f>
        <v>39995</v>
      </c>
      <c r="B2994" s="15" t="s">
        <v>595</v>
      </c>
      <c r="C2994" s="15" t="s">
        <v>85</v>
      </c>
      <c r="D2994" s="16">
        <v>6</v>
      </c>
      <c r="E2994" s="17">
        <v>2170.61</v>
      </c>
      <c r="F2994" s="16">
        <v>0.01</v>
      </c>
      <c r="G2994" s="15" t="s">
        <v>58</v>
      </c>
      <c r="H2994" s="18">
        <v>-62.29</v>
      </c>
      <c r="I2994" s="19">
        <v>348.21</v>
      </c>
      <c r="J2994" s="19">
        <v>40.19</v>
      </c>
      <c r="K2994" s="19" t="s">
        <v>33</v>
      </c>
      <c r="L2994" s="19" t="s">
        <v>93</v>
      </c>
      <c r="M2994" s="15" t="s">
        <v>94</v>
      </c>
      <c r="N2994" s="15" t="s">
        <v>54</v>
      </c>
      <c r="O2994" s="15" t="s">
        <v>61</v>
      </c>
      <c r="P2994" s="20" t="s">
        <v>1141</v>
      </c>
      <c r="Q2994" s="15" t="s">
        <v>63</v>
      </c>
      <c r="R2994" s="4"/>
      <c r="S2994" s="4"/>
    </row>
    <row r="2995" spans="1:19" ht="21" customHeight="1" x14ac:dyDescent="0.25">
      <c r="A2995" s="14">
        <f>DATE(2012,12,31)-274</f>
        <v>41000</v>
      </c>
      <c r="B2995" s="15" t="s">
        <v>1828</v>
      </c>
      <c r="C2995" s="15" t="s">
        <v>85</v>
      </c>
      <c r="D2995" s="16">
        <v>6</v>
      </c>
      <c r="E2995" s="17">
        <v>2478.88</v>
      </c>
      <c r="F2995" s="16">
        <v>0.02</v>
      </c>
      <c r="G2995" s="15" t="s">
        <v>101</v>
      </c>
      <c r="H2995" s="18">
        <v>593.58900000000006</v>
      </c>
      <c r="I2995" s="19">
        <v>387.99</v>
      </c>
      <c r="J2995" s="19">
        <v>19.989999999999998</v>
      </c>
      <c r="K2995" s="19" t="s">
        <v>97</v>
      </c>
      <c r="L2995" s="19" t="s">
        <v>98</v>
      </c>
      <c r="M2995" s="15" t="s">
        <v>1162</v>
      </c>
      <c r="N2995" s="15" t="s">
        <v>36</v>
      </c>
      <c r="O2995" s="15" t="s">
        <v>170</v>
      </c>
      <c r="P2995" s="20" t="s">
        <v>1649</v>
      </c>
      <c r="Q2995" s="15" t="s">
        <v>83</v>
      </c>
      <c r="R2995" s="4"/>
      <c r="S2995" s="4"/>
    </row>
    <row r="2996" spans="1:19" ht="21" customHeight="1" x14ac:dyDescent="0.25">
      <c r="A2996" s="14">
        <f>DATE(2012,12,31)-267</f>
        <v>41007</v>
      </c>
      <c r="B2996" s="15" t="s">
        <v>1751</v>
      </c>
      <c r="C2996" s="15" t="s">
        <v>51</v>
      </c>
      <c r="D2996" s="16">
        <v>32</v>
      </c>
      <c r="E2996" s="17">
        <v>1932.97</v>
      </c>
      <c r="F2996" s="16">
        <v>0.08</v>
      </c>
      <c r="G2996" s="15" t="s">
        <v>58</v>
      </c>
      <c r="H2996" s="18">
        <v>-514.94000000000005</v>
      </c>
      <c r="I2996" s="19">
        <v>60.98</v>
      </c>
      <c r="J2996" s="19">
        <v>30</v>
      </c>
      <c r="K2996" s="19" t="s">
        <v>97</v>
      </c>
      <c r="L2996" s="19" t="s">
        <v>195</v>
      </c>
      <c r="M2996" s="15" t="s">
        <v>1964</v>
      </c>
      <c r="N2996" s="15" t="s">
        <v>54</v>
      </c>
      <c r="O2996" s="15" t="s">
        <v>252</v>
      </c>
      <c r="P2996" s="20" t="s">
        <v>1547</v>
      </c>
      <c r="Q2996" s="15" t="s">
        <v>181</v>
      </c>
      <c r="R2996" s="4"/>
      <c r="S2996" s="4"/>
    </row>
    <row r="2997" spans="1:19" ht="21" customHeight="1" x14ac:dyDescent="0.25">
      <c r="A2997" s="14">
        <f>DATE(2012,12,31)-267</f>
        <v>41007</v>
      </c>
      <c r="B2997" s="15" t="s">
        <v>1751</v>
      </c>
      <c r="C2997" s="15" t="s">
        <v>51</v>
      </c>
      <c r="D2997" s="16">
        <v>46</v>
      </c>
      <c r="E2997" s="17">
        <v>476.49</v>
      </c>
      <c r="F2997" s="16">
        <v>0.1</v>
      </c>
      <c r="G2997" s="15" t="s">
        <v>32</v>
      </c>
      <c r="H2997" s="18">
        <v>-18.57</v>
      </c>
      <c r="I2997" s="19">
        <v>10.64</v>
      </c>
      <c r="J2997" s="19">
        <v>5.16</v>
      </c>
      <c r="K2997" s="19" t="s">
        <v>97</v>
      </c>
      <c r="L2997" s="19" t="s">
        <v>195</v>
      </c>
      <c r="M2997" s="15" t="s">
        <v>1964</v>
      </c>
      <c r="N2997" s="15" t="s">
        <v>54</v>
      </c>
      <c r="O2997" s="15" t="s">
        <v>55</v>
      </c>
      <c r="P2997" s="20" t="s">
        <v>607</v>
      </c>
      <c r="Q2997" s="15" t="s">
        <v>83</v>
      </c>
      <c r="R2997" s="4"/>
      <c r="S2997" s="4"/>
    </row>
    <row r="2998" spans="1:19" ht="21" customHeight="1" x14ac:dyDescent="0.25">
      <c r="A2998" s="14">
        <f>DATE(2012,12,31)-709</f>
        <v>40565</v>
      </c>
      <c r="B2998" s="15" t="s">
        <v>1637</v>
      </c>
      <c r="C2998" s="15" t="s">
        <v>43</v>
      </c>
      <c r="D2998" s="16">
        <v>43</v>
      </c>
      <c r="E2998" s="17">
        <v>1374.7</v>
      </c>
      <c r="F2998" s="16">
        <v>0.06</v>
      </c>
      <c r="G2998" s="15" t="s">
        <v>101</v>
      </c>
      <c r="H2998" s="18">
        <v>-90.3</v>
      </c>
      <c r="I2998" s="19">
        <v>32.979999999999997</v>
      </c>
      <c r="J2998" s="19">
        <v>5.5</v>
      </c>
      <c r="K2998" s="19" t="s">
        <v>97</v>
      </c>
      <c r="L2998" s="19" t="s">
        <v>98</v>
      </c>
      <c r="M2998" s="15" t="s">
        <v>1162</v>
      </c>
      <c r="N2998" s="15" t="s">
        <v>64</v>
      </c>
      <c r="O2998" s="15" t="s">
        <v>72</v>
      </c>
      <c r="P2998" s="20" t="s">
        <v>993</v>
      </c>
      <c r="Q2998" s="15" t="s">
        <v>83</v>
      </c>
      <c r="R2998" s="4"/>
      <c r="S2998" s="4"/>
    </row>
    <row r="2999" spans="1:19" ht="21" customHeight="1" x14ac:dyDescent="0.25">
      <c r="A2999" s="14">
        <f>DATE(2012,12,31)-709</f>
        <v>40565</v>
      </c>
      <c r="B2999" s="15" t="s">
        <v>1637</v>
      </c>
      <c r="C2999" s="15" t="s">
        <v>43</v>
      </c>
      <c r="D2999" s="16">
        <v>29</v>
      </c>
      <c r="E2999" s="17">
        <v>516.62</v>
      </c>
      <c r="F2999" s="16">
        <v>0.06</v>
      </c>
      <c r="G2999" s="15" t="s">
        <v>32</v>
      </c>
      <c r="H2999" s="18">
        <v>138.33000000000001</v>
      </c>
      <c r="I2999" s="19">
        <v>17.48</v>
      </c>
      <c r="J2999" s="19">
        <v>1.99</v>
      </c>
      <c r="K2999" s="19" t="s">
        <v>97</v>
      </c>
      <c r="L2999" s="19" t="s">
        <v>98</v>
      </c>
      <c r="M2999" s="15" t="s">
        <v>1162</v>
      </c>
      <c r="N2999" s="15" t="s">
        <v>64</v>
      </c>
      <c r="O2999" s="15" t="s">
        <v>72</v>
      </c>
      <c r="P2999" s="20" t="s">
        <v>1989</v>
      </c>
      <c r="Q2999" s="15" t="s">
        <v>49</v>
      </c>
      <c r="R2999" s="4"/>
      <c r="S2999" s="4"/>
    </row>
    <row r="3000" spans="1:19" ht="21" customHeight="1" x14ac:dyDescent="0.25">
      <c r="A3000" s="14">
        <f>DATE(2012,12,31)-291</f>
        <v>40983</v>
      </c>
      <c r="B3000" s="15" t="s">
        <v>1990</v>
      </c>
      <c r="C3000" s="15" t="s">
        <v>43</v>
      </c>
      <c r="D3000" s="16">
        <v>17</v>
      </c>
      <c r="E3000" s="17">
        <v>618.9</v>
      </c>
      <c r="F3000" s="16">
        <v>0.09</v>
      </c>
      <c r="G3000" s="15" t="s">
        <v>32</v>
      </c>
      <c r="H3000" s="18">
        <v>54.92</v>
      </c>
      <c r="I3000" s="19">
        <v>36.549999999999997</v>
      </c>
      <c r="J3000" s="19">
        <v>13.89</v>
      </c>
      <c r="K3000" s="19" t="s">
        <v>97</v>
      </c>
      <c r="L3000" s="19" t="s">
        <v>98</v>
      </c>
      <c r="M3000" s="15" t="s">
        <v>1991</v>
      </c>
      <c r="N3000" s="15" t="s">
        <v>36</v>
      </c>
      <c r="O3000" s="15" t="s">
        <v>77</v>
      </c>
      <c r="P3000" s="20" t="s">
        <v>150</v>
      </c>
      <c r="Q3000" s="15" t="s">
        <v>79</v>
      </c>
      <c r="R3000" s="4"/>
      <c r="S3000" s="4"/>
    </row>
    <row r="3001" spans="1:19" ht="21" customHeight="1" x14ac:dyDescent="0.25">
      <c r="A3001" s="14">
        <f>DATE(2012,12,31)-1375</f>
        <v>39899</v>
      </c>
      <c r="B3001" s="15" t="s">
        <v>108</v>
      </c>
      <c r="C3001" s="15" t="s">
        <v>85</v>
      </c>
      <c r="D3001" s="16">
        <v>29</v>
      </c>
      <c r="E3001" s="17">
        <v>547.82000000000005</v>
      </c>
      <c r="F3001" s="16">
        <v>0.08</v>
      </c>
      <c r="G3001" s="15" t="s">
        <v>32</v>
      </c>
      <c r="H3001" s="18">
        <v>69.63</v>
      </c>
      <c r="I3001" s="19">
        <v>18.7</v>
      </c>
      <c r="J3001" s="19">
        <v>8.99</v>
      </c>
      <c r="K3001" s="19" t="s">
        <v>97</v>
      </c>
      <c r="L3001" s="19" t="s">
        <v>195</v>
      </c>
      <c r="M3001" s="15" t="s">
        <v>1964</v>
      </c>
      <c r="N3001" s="15" t="s">
        <v>54</v>
      </c>
      <c r="O3001" s="15" t="s">
        <v>55</v>
      </c>
      <c r="P3001" s="20" t="s">
        <v>1992</v>
      </c>
      <c r="Q3001" s="15" t="s">
        <v>49</v>
      </c>
      <c r="R3001" s="4"/>
      <c r="S3001" s="4"/>
    </row>
    <row r="3002" spans="1:19" ht="21" customHeight="1" x14ac:dyDescent="0.25">
      <c r="A3002" s="14">
        <f>DATE(2012,12,31)-64</f>
        <v>41210</v>
      </c>
      <c r="B3002" s="15" t="s">
        <v>1993</v>
      </c>
      <c r="C3002" s="15" t="s">
        <v>43</v>
      </c>
      <c r="D3002" s="16">
        <v>8</v>
      </c>
      <c r="E3002" s="17">
        <v>1611.73</v>
      </c>
      <c r="F3002" s="16">
        <v>0.1</v>
      </c>
      <c r="G3002" s="15" t="s">
        <v>58</v>
      </c>
      <c r="H3002" s="18">
        <v>-314.61</v>
      </c>
      <c r="I3002" s="19">
        <v>208.16</v>
      </c>
      <c r="J3002" s="19">
        <v>68.02</v>
      </c>
      <c r="K3002" s="19" t="s">
        <v>97</v>
      </c>
      <c r="L3002" s="19" t="s">
        <v>98</v>
      </c>
      <c r="M3002" s="15" t="s">
        <v>1991</v>
      </c>
      <c r="N3002" s="15" t="s">
        <v>36</v>
      </c>
      <c r="O3002" s="15" t="s">
        <v>176</v>
      </c>
      <c r="P3002" s="20" t="s">
        <v>192</v>
      </c>
      <c r="Q3002" s="15" t="s">
        <v>181</v>
      </c>
      <c r="R3002" s="4"/>
      <c r="S3002" s="4"/>
    </row>
    <row r="3003" spans="1:19" ht="21" customHeight="1" x14ac:dyDescent="0.25">
      <c r="A3003" s="14">
        <f>DATE(2012,12,31)-64</f>
        <v>41210</v>
      </c>
      <c r="B3003" s="15" t="s">
        <v>1993</v>
      </c>
      <c r="C3003" s="15" t="s">
        <v>43</v>
      </c>
      <c r="D3003" s="16">
        <v>1</v>
      </c>
      <c r="E3003" s="17">
        <v>1946.55</v>
      </c>
      <c r="F3003" s="16">
        <v>7.0000000000000007E-2</v>
      </c>
      <c r="G3003" s="15" t="s">
        <v>32</v>
      </c>
      <c r="H3003" s="18">
        <v>-4017.6164999999996</v>
      </c>
      <c r="I3003" s="19">
        <v>1938.02</v>
      </c>
      <c r="J3003" s="19">
        <v>13.99</v>
      </c>
      <c r="K3003" s="19" t="s">
        <v>97</v>
      </c>
      <c r="L3003" s="19" t="s">
        <v>98</v>
      </c>
      <c r="M3003" s="15" t="s">
        <v>1991</v>
      </c>
      <c r="N3003" s="15" t="s">
        <v>64</v>
      </c>
      <c r="O3003" s="15" t="s">
        <v>122</v>
      </c>
      <c r="P3003" s="20" t="s">
        <v>1644</v>
      </c>
      <c r="Q3003" s="15" t="s">
        <v>57</v>
      </c>
      <c r="R3003" s="4"/>
      <c r="S3003" s="4"/>
    </row>
    <row r="3004" spans="1:19" ht="21" customHeight="1" x14ac:dyDescent="0.25">
      <c r="A3004" s="14">
        <f>DATE(2012,12,31)-1125</f>
        <v>40149</v>
      </c>
      <c r="B3004" s="15" t="s">
        <v>311</v>
      </c>
      <c r="C3004" s="15" t="s">
        <v>31</v>
      </c>
      <c r="D3004" s="16">
        <v>2</v>
      </c>
      <c r="E3004" s="17">
        <v>65.31</v>
      </c>
      <c r="F3004" s="16">
        <v>0</v>
      </c>
      <c r="G3004" s="15" t="s">
        <v>32</v>
      </c>
      <c r="H3004" s="18">
        <v>-34.419499999999999</v>
      </c>
      <c r="I3004" s="19">
        <v>24.92</v>
      </c>
      <c r="J3004" s="19">
        <v>12.98</v>
      </c>
      <c r="K3004" s="19" t="s">
        <v>97</v>
      </c>
      <c r="L3004" s="19" t="s">
        <v>283</v>
      </c>
      <c r="M3004" s="15" t="s">
        <v>1901</v>
      </c>
      <c r="N3004" s="15" t="s">
        <v>36</v>
      </c>
      <c r="O3004" s="15" t="s">
        <v>170</v>
      </c>
      <c r="P3004" s="20" t="s">
        <v>171</v>
      </c>
      <c r="Q3004" s="15" t="s">
        <v>83</v>
      </c>
      <c r="R3004" s="4"/>
      <c r="S3004" s="4"/>
    </row>
    <row r="3005" spans="1:19" ht="21" customHeight="1" x14ac:dyDescent="0.25">
      <c r="A3005" s="14">
        <f>DATE(2012,12,31)-1239</f>
        <v>40035</v>
      </c>
      <c r="B3005" s="15" t="s">
        <v>1994</v>
      </c>
      <c r="C3005" s="15" t="s">
        <v>31</v>
      </c>
      <c r="D3005" s="16">
        <v>16</v>
      </c>
      <c r="E3005" s="17">
        <v>376.65</v>
      </c>
      <c r="F3005" s="16">
        <v>0</v>
      </c>
      <c r="G3005" s="15" t="s">
        <v>101</v>
      </c>
      <c r="H3005" s="18">
        <v>-52.646999999999998</v>
      </c>
      <c r="I3005" s="19">
        <v>22.38</v>
      </c>
      <c r="J3005" s="19">
        <v>15.1</v>
      </c>
      <c r="K3005" s="19" t="s">
        <v>124</v>
      </c>
      <c r="L3005" s="19" t="s">
        <v>160</v>
      </c>
      <c r="M3005" s="15" t="s">
        <v>1951</v>
      </c>
      <c r="N3005" s="15" t="s">
        <v>36</v>
      </c>
      <c r="O3005" s="15" t="s">
        <v>170</v>
      </c>
      <c r="P3005" s="20" t="s">
        <v>893</v>
      </c>
      <c r="Q3005" s="15" t="s">
        <v>83</v>
      </c>
      <c r="R3005" s="4"/>
      <c r="S3005" s="4"/>
    </row>
    <row r="3006" spans="1:19" ht="21" customHeight="1" x14ac:dyDescent="0.25">
      <c r="A3006" s="14">
        <f>DATE(2012,12,31)-1239</f>
        <v>40035</v>
      </c>
      <c r="B3006" s="15" t="s">
        <v>1994</v>
      </c>
      <c r="C3006" s="15" t="s">
        <v>31</v>
      </c>
      <c r="D3006" s="16">
        <v>6</v>
      </c>
      <c r="E3006" s="17">
        <v>40.06</v>
      </c>
      <c r="F3006" s="16">
        <v>7.0000000000000007E-2</v>
      </c>
      <c r="G3006" s="15" t="s">
        <v>32</v>
      </c>
      <c r="H3006" s="18">
        <v>-24.44</v>
      </c>
      <c r="I3006" s="19">
        <v>5.98</v>
      </c>
      <c r="J3006" s="19">
        <v>4.6900000000000004</v>
      </c>
      <c r="K3006" s="19" t="s">
        <v>124</v>
      </c>
      <c r="L3006" s="19" t="s">
        <v>160</v>
      </c>
      <c r="M3006" s="15" t="s">
        <v>1951</v>
      </c>
      <c r="N3006" s="15" t="s">
        <v>36</v>
      </c>
      <c r="O3006" s="15" t="s">
        <v>37</v>
      </c>
      <c r="P3006" s="20" t="s">
        <v>813</v>
      </c>
      <c r="Q3006" s="15" t="s">
        <v>83</v>
      </c>
      <c r="R3006" s="4"/>
      <c r="S3006" s="4"/>
    </row>
    <row r="3007" spans="1:19" ht="21" customHeight="1" x14ac:dyDescent="0.25">
      <c r="A3007" s="14">
        <f>DATE(2012,12,31)-1239</f>
        <v>40035</v>
      </c>
      <c r="B3007" s="15" t="s">
        <v>1994</v>
      </c>
      <c r="C3007" s="15" t="s">
        <v>31</v>
      </c>
      <c r="D3007" s="16">
        <v>35</v>
      </c>
      <c r="E3007" s="17">
        <v>1665.0394999999999</v>
      </c>
      <c r="F3007" s="16">
        <v>0.02</v>
      </c>
      <c r="G3007" s="15" t="s">
        <v>32</v>
      </c>
      <c r="H3007" s="18">
        <v>366.50700000000001</v>
      </c>
      <c r="I3007" s="19">
        <v>55.99</v>
      </c>
      <c r="J3007" s="19">
        <v>3.3</v>
      </c>
      <c r="K3007" s="19" t="s">
        <v>124</v>
      </c>
      <c r="L3007" s="19" t="s">
        <v>160</v>
      </c>
      <c r="M3007" s="15" t="s">
        <v>1951</v>
      </c>
      <c r="N3007" s="15" t="s">
        <v>64</v>
      </c>
      <c r="O3007" s="15" t="s">
        <v>65</v>
      </c>
      <c r="P3007" s="20" t="s">
        <v>1212</v>
      </c>
      <c r="Q3007" s="15" t="s">
        <v>49</v>
      </c>
      <c r="R3007" s="4"/>
      <c r="S3007" s="4"/>
    </row>
    <row r="3008" spans="1:19" ht="21" customHeight="1" x14ac:dyDescent="0.25">
      <c r="A3008" s="14">
        <f>DATE(2012,12,31)-259</f>
        <v>41015</v>
      </c>
      <c r="B3008" s="15" t="s">
        <v>1379</v>
      </c>
      <c r="C3008" s="15" t="s">
        <v>51</v>
      </c>
      <c r="D3008" s="16">
        <v>13</v>
      </c>
      <c r="E3008" s="17">
        <v>418.93</v>
      </c>
      <c r="F3008" s="16">
        <v>0.03</v>
      </c>
      <c r="G3008" s="15" t="s">
        <v>32</v>
      </c>
      <c r="H3008" s="18">
        <v>82.25</v>
      </c>
      <c r="I3008" s="19">
        <v>30.98</v>
      </c>
      <c r="J3008" s="19">
        <v>8.74</v>
      </c>
      <c r="K3008" s="19" t="s">
        <v>124</v>
      </c>
      <c r="L3008" s="19" t="s">
        <v>493</v>
      </c>
      <c r="M3008" s="15" t="s">
        <v>1927</v>
      </c>
      <c r="N3008" s="15" t="s">
        <v>36</v>
      </c>
      <c r="O3008" s="15" t="s">
        <v>117</v>
      </c>
      <c r="P3008" s="20" t="s">
        <v>464</v>
      </c>
      <c r="Q3008" s="15" t="s">
        <v>83</v>
      </c>
      <c r="R3008" s="4"/>
      <c r="S3008" s="4"/>
    </row>
    <row r="3009" spans="1:19" ht="21" customHeight="1" x14ac:dyDescent="0.25">
      <c r="A3009" s="14">
        <f>DATE(2012,12,31)-698</f>
        <v>40576</v>
      </c>
      <c r="B3009" s="15" t="s">
        <v>1995</v>
      </c>
      <c r="C3009" s="15" t="s">
        <v>43</v>
      </c>
      <c r="D3009" s="16">
        <v>24</v>
      </c>
      <c r="E3009" s="17">
        <v>145.15</v>
      </c>
      <c r="F3009" s="16">
        <v>7.0000000000000007E-2</v>
      </c>
      <c r="G3009" s="15" t="s">
        <v>32</v>
      </c>
      <c r="H3009" s="18">
        <v>-169.16499999999999</v>
      </c>
      <c r="I3009" s="19">
        <v>5.94</v>
      </c>
      <c r="J3009" s="19">
        <v>9.92</v>
      </c>
      <c r="K3009" s="19" t="s">
        <v>124</v>
      </c>
      <c r="L3009" s="19" t="s">
        <v>160</v>
      </c>
      <c r="M3009" s="15" t="s">
        <v>1951</v>
      </c>
      <c r="N3009" s="15" t="s">
        <v>36</v>
      </c>
      <c r="O3009" s="15" t="s">
        <v>170</v>
      </c>
      <c r="P3009" s="20" t="s">
        <v>1900</v>
      </c>
      <c r="Q3009" s="15" t="s">
        <v>83</v>
      </c>
      <c r="R3009" s="4"/>
      <c r="S3009" s="4"/>
    </row>
    <row r="3010" spans="1:19" ht="21" customHeight="1" x14ac:dyDescent="0.25">
      <c r="A3010" s="14">
        <f>DATE(2012,12,31)-698</f>
        <v>40576</v>
      </c>
      <c r="B3010" s="15" t="s">
        <v>1995</v>
      </c>
      <c r="C3010" s="15" t="s">
        <v>43</v>
      </c>
      <c r="D3010" s="16">
        <v>3</v>
      </c>
      <c r="E3010" s="17">
        <v>131.5</v>
      </c>
      <c r="F3010" s="16">
        <v>0.01</v>
      </c>
      <c r="G3010" s="15" t="s">
        <v>32</v>
      </c>
      <c r="H3010" s="18">
        <v>105.9</v>
      </c>
      <c r="I3010" s="19">
        <v>39.979999999999997</v>
      </c>
      <c r="J3010" s="19">
        <v>9.1999999999999993</v>
      </c>
      <c r="K3010" s="19" t="s">
        <v>124</v>
      </c>
      <c r="L3010" s="19" t="s">
        <v>160</v>
      </c>
      <c r="M3010" s="15" t="s">
        <v>1951</v>
      </c>
      <c r="N3010" s="15" t="s">
        <v>54</v>
      </c>
      <c r="O3010" s="15" t="s">
        <v>55</v>
      </c>
      <c r="P3010" s="20" t="s">
        <v>1693</v>
      </c>
      <c r="Q3010" s="15" t="s">
        <v>79</v>
      </c>
      <c r="R3010" s="4"/>
      <c r="S3010" s="4"/>
    </row>
    <row r="3011" spans="1:19" ht="21" customHeight="1" x14ac:dyDescent="0.25">
      <c r="A3011" s="14">
        <f>DATE(2012,12,31)-698</f>
        <v>40576</v>
      </c>
      <c r="B3011" s="15" t="s">
        <v>1995</v>
      </c>
      <c r="C3011" s="15" t="s">
        <v>43</v>
      </c>
      <c r="D3011" s="16">
        <v>38</v>
      </c>
      <c r="E3011" s="17">
        <v>7814.59</v>
      </c>
      <c r="F3011" s="16">
        <v>0.02</v>
      </c>
      <c r="G3011" s="15" t="s">
        <v>32</v>
      </c>
      <c r="H3011" s="18">
        <v>3408.46</v>
      </c>
      <c r="I3011" s="19">
        <v>194.3</v>
      </c>
      <c r="J3011" s="19">
        <v>11.54</v>
      </c>
      <c r="K3011" s="19" t="s">
        <v>124</v>
      </c>
      <c r="L3011" s="19" t="s">
        <v>160</v>
      </c>
      <c r="M3011" s="15" t="s">
        <v>1951</v>
      </c>
      <c r="N3011" s="15" t="s">
        <v>54</v>
      </c>
      <c r="O3011" s="15" t="s">
        <v>55</v>
      </c>
      <c r="P3011" s="20" t="s">
        <v>1627</v>
      </c>
      <c r="Q3011" s="15" t="s">
        <v>39</v>
      </c>
      <c r="R3011" s="4"/>
      <c r="S3011" s="4"/>
    </row>
    <row r="3012" spans="1:19" ht="21" customHeight="1" x14ac:dyDescent="0.25">
      <c r="A3012" s="14">
        <f>DATE(2012,12,31)-698</f>
        <v>40576</v>
      </c>
      <c r="B3012" s="15" t="s">
        <v>1995</v>
      </c>
      <c r="C3012" s="15" t="s">
        <v>43</v>
      </c>
      <c r="D3012" s="16">
        <v>23</v>
      </c>
      <c r="E3012" s="17">
        <v>158.99</v>
      </c>
      <c r="F3012" s="16">
        <v>7.0000000000000007E-2</v>
      </c>
      <c r="G3012" s="15" t="s">
        <v>32</v>
      </c>
      <c r="H3012" s="18">
        <v>-197.13</v>
      </c>
      <c r="I3012" s="19">
        <v>6.98</v>
      </c>
      <c r="J3012" s="19">
        <v>9.69</v>
      </c>
      <c r="K3012" s="19" t="s">
        <v>124</v>
      </c>
      <c r="L3012" s="19" t="s">
        <v>164</v>
      </c>
      <c r="M3012" s="15" t="s">
        <v>1996</v>
      </c>
      <c r="N3012" s="15" t="s">
        <v>36</v>
      </c>
      <c r="O3012" s="15" t="s">
        <v>37</v>
      </c>
      <c r="P3012" s="20" t="s">
        <v>1855</v>
      </c>
      <c r="Q3012" s="15" t="s">
        <v>83</v>
      </c>
      <c r="R3012" s="4"/>
      <c r="S3012" s="4"/>
    </row>
    <row r="3013" spans="1:19" ht="21" customHeight="1" x14ac:dyDescent="0.25">
      <c r="A3013" s="14">
        <f>DATE(2012,12,31)-77</f>
        <v>41197</v>
      </c>
      <c r="B3013" s="15" t="s">
        <v>254</v>
      </c>
      <c r="C3013" s="15" t="s">
        <v>51</v>
      </c>
      <c r="D3013" s="16">
        <v>5</v>
      </c>
      <c r="E3013" s="17">
        <v>474.79300000000001</v>
      </c>
      <c r="F3013" s="16">
        <v>0.09</v>
      </c>
      <c r="G3013" s="15" t="s">
        <v>101</v>
      </c>
      <c r="H3013" s="18">
        <v>-407.26400000000001</v>
      </c>
      <c r="I3013" s="19">
        <v>115.99</v>
      </c>
      <c r="J3013" s="19">
        <v>2.5</v>
      </c>
      <c r="K3013" s="19" t="s">
        <v>124</v>
      </c>
      <c r="L3013" s="19" t="s">
        <v>160</v>
      </c>
      <c r="M3013" s="15" t="s">
        <v>1951</v>
      </c>
      <c r="N3013" s="15" t="s">
        <v>64</v>
      </c>
      <c r="O3013" s="15" t="s">
        <v>65</v>
      </c>
      <c r="P3013" s="20" t="s">
        <v>1997</v>
      </c>
      <c r="Q3013" s="15" t="s">
        <v>83</v>
      </c>
      <c r="R3013" s="4"/>
      <c r="S3013" s="4"/>
    </row>
    <row r="3014" spans="1:19" ht="21" customHeight="1" x14ac:dyDescent="0.25">
      <c r="A3014" s="14">
        <f>DATE(2012,12,31)-720</f>
        <v>40554</v>
      </c>
      <c r="B3014" s="15" t="s">
        <v>516</v>
      </c>
      <c r="C3014" s="15" t="s">
        <v>51</v>
      </c>
      <c r="D3014" s="16">
        <v>24</v>
      </c>
      <c r="E3014" s="17">
        <v>1965.21</v>
      </c>
      <c r="F3014" s="16">
        <v>0</v>
      </c>
      <c r="G3014" s="15" t="s">
        <v>32</v>
      </c>
      <c r="H3014" s="18">
        <v>830.75</v>
      </c>
      <c r="I3014" s="19">
        <v>78.69</v>
      </c>
      <c r="J3014" s="19">
        <v>19.989999999999998</v>
      </c>
      <c r="K3014" s="19" t="s">
        <v>124</v>
      </c>
      <c r="L3014" s="19" t="s">
        <v>160</v>
      </c>
      <c r="M3014" s="15" t="s">
        <v>1951</v>
      </c>
      <c r="N3014" s="15" t="s">
        <v>54</v>
      </c>
      <c r="O3014" s="15" t="s">
        <v>55</v>
      </c>
      <c r="P3014" s="20" t="s">
        <v>1922</v>
      </c>
      <c r="Q3014" s="15" t="s">
        <v>83</v>
      </c>
      <c r="R3014" s="4"/>
      <c r="S3014" s="4"/>
    </row>
    <row r="3015" spans="1:19" ht="21" customHeight="1" x14ac:dyDescent="0.25">
      <c r="A3015" s="14">
        <f>DATE(2012,12,31)-930</f>
        <v>40344</v>
      </c>
      <c r="B3015" s="15" t="s">
        <v>1378</v>
      </c>
      <c r="C3015" s="15" t="s">
        <v>51</v>
      </c>
      <c r="D3015" s="16">
        <v>15</v>
      </c>
      <c r="E3015" s="17">
        <v>670.94</v>
      </c>
      <c r="F3015" s="16">
        <v>0.02</v>
      </c>
      <c r="G3015" s="15" t="s">
        <v>32</v>
      </c>
      <c r="H3015" s="18">
        <v>87.51</v>
      </c>
      <c r="I3015" s="19">
        <v>45.19</v>
      </c>
      <c r="J3015" s="19">
        <v>1.99</v>
      </c>
      <c r="K3015" s="19" t="s">
        <v>124</v>
      </c>
      <c r="L3015" s="19" t="s">
        <v>160</v>
      </c>
      <c r="M3015" s="15" t="s">
        <v>1951</v>
      </c>
      <c r="N3015" s="15" t="s">
        <v>64</v>
      </c>
      <c r="O3015" s="15" t="s">
        <v>72</v>
      </c>
      <c r="P3015" s="20" t="s">
        <v>877</v>
      </c>
      <c r="Q3015" s="15" t="s">
        <v>49</v>
      </c>
      <c r="R3015" s="4"/>
      <c r="S3015" s="4"/>
    </row>
    <row r="3016" spans="1:19" ht="21" customHeight="1" x14ac:dyDescent="0.25">
      <c r="A3016" s="14">
        <f>DATE(2012,12,31)-802</f>
        <v>40472</v>
      </c>
      <c r="B3016" s="15" t="s">
        <v>1334</v>
      </c>
      <c r="C3016" s="15" t="s">
        <v>85</v>
      </c>
      <c r="D3016" s="16">
        <v>14</v>
      </c>
      <c r="E3016" s="17">
        <v>278.27</v>
      </c>
      <c r="F3016" s="16">
        <v>0.02</v>
      </c>
      <c r="G3016" s="15" t="s">
        <v>32</v>
      </c>
      <c r="H3016" s="18">
        <v>-51.911000000000001</v>
      </c>
      <c r="I3016" s="19">
        <v>19.350000000000001</v>
      </c>
      <c r="J3016" s="19">
        <v>12.79</v>
      </c>
      <c r="K3016" s="19" t="s">
        <v>124</v>
      </c>
      <c r="L3016" s="19" t="s">
        <v>160</v>
      </c>
      <c r="M3016" s="15" t="s">
        <v>1951</v>
      </c>
      <c r="N3016" s="15" t="s">
        <v>36</v>
      </c>
      <c r="O3016" s="15" t="s">
        <v>170</v>
      </c>
      <c r="P3016" s="20" t="s">
        <v>1998</v>
      </c>
      <c r="Q3016" s="15" t="s">
        <v>83</v>
      </c>
      <c r="R3016" s="4"/>
      <c r="S3016" s="4"/>
    </row>
    <row r="3017" spans="1:19" ht="21" customHeight="1" x14ac:dyDescent="0.25">
      <c r="A3017" s="14">
        <f>DATE(2012,12,31)-745</f>
        <v>40529</v>
      </c>
      <c r="B3017" s="15" t="s">
        <v>1166</v>
      </c>
      <c r="C3017" s="15" t="s">
        <v>43</v>
      </c>
      <c r="D3017" s="16">
        <v>40</v>
      </c>
      <c r="E3017" s="17">
        <v>5232.83</v>
      </c>
      <c r="F3017" s="16">
        <v>0.01</v>
      </c>
      <c r="G3017" s="15" t="s">
        <v>58</v>
      </c>
      <c r="H3017" s="18">
        <v>-1461.65</v>
      </c>
      <c r="I3017" s="19">
        <v>122.99</v>
      </c>
      <c r="J3017" s="19">
        <v>70.2</v>
      </c>
      <c r="K3017" s="19" t="s">
        <v>124</v>
      </c>
      <c r="L3017" s="19" t="s">
        <v>160</v>
      </c>
      <c r="M3017" s="15" t="s">
        <v>1951</v>
      </c>
      <c r="N3017" s="15" t="s">
        <v>54</v>
      </c>
      <c r="O3017" s="15" t="s">
        <v>252</v>
      </c>
      <c r="P3017" s="20" t="s">
        <v>819</v>
      </c>
      <c r="Q3017" s="15" t="s">
        <v>181</v>
      </c>
      <c r="R3017" s="4"/>
      <c r="S3017" s="4"/>
    </row>
    <row r="3018" spans="1:19" ht="21" customHeight="1" x14ac:dyDescent="0.25">
      <c r="A3018" s="14">
        <f>DATE(2012,12,31)-1400</f>
        <v>39874</v>
      </c>
      <c r="B3018" s="15" t="s">
        <v>564</v>
      </c>
      <c r="C3018" s="15" t="s">
        <v>43</v>
      </c>
      <c r="D3018" s="16">
        <v>3</v>
      </c>
      <c r="E3018" s="17">
        <v>12.01</v>
      </c>
      <c r="F3018" s="16">
        <v>0</v>
      </c>
      <c r="G3018" s="15" t="s">
        <v>32</v>
      </c>
      <c r="H3018" s="18">
        <v>-1.08</v>
      </c>
      <c r="I3018" s="19">
        <v>3.69</v>
      </c>
      <c r="J3018" s="19">
        <v>0.5</v>
      </c>
      <c r="K3018" s="19" t="s">
        <v>124</v>
      </c>
      <c r="L3018" s="19" t="s">
        <v>160</v>
      </c>
      <c r="M3018" s="15" t="s">
        <v>1951</v>
      </c>
      <c r="N3018" s="15" t="s">
        <v>36</v>
      </c>
      <c r="O3018" s="15" t="s">
        <v>114</v>
      </c>
      <c r="P3018" s="20" t="s">
        <v>224</v>
      </c>
      <c r="Q3018" s="15" t="s">
        <v>83</v>
      </c>
      <c r="R3018" s="4"/>
      <c r="S3018" s="4"/>
    </row>
    <row r="3019" spans="1:19" ht="21" customHeight="1" x14ac:dyDescent="0.25">
      <c r="A3019" s="14">
        <f>DATE(2012,12,31)-1400</f>
        <v>39874</v>
      </c>
      <c r="B3019" s="15" t="s">
        <v>564</v>
      </c>
      <c r="C3019" s="15" t="s">
        <v>43</v>
      </c>
      <c r="D3019" s="16">
        <v>20</v>
      </c>
      <c r="E3019" s="17">
        <v>1846.76</v>
      </c>
      <c r="F3019" s="16">
        <v>0.03</v>
      </c>
      <c r="G3019" s="15" t="s">
        <v>32</v>
      </c>
      <c r="H3019" s="18">
        <v>3.1400000000000432</v>
      </c>
      <c r="I3019" s="19">
        <v>92.23</v>
      </c>
      <c r="J3019" s="19">
        <v>39.61</v>
      </c>
      <c r="K3019" s="19" t="s">
        <v>124</v>
      </c>
      <c r="L3019" s="19" t="s">
        <v>319</v>
      </c>
      <c r="M3019" s="15" t="s">
        <v>1966</v>
      </c>
      <c r="N3019" s="15" t="s">
        <v>54</v>
      </c>
      <c r="O3019" s="15" t="s">
        <v>55</v>
      </c>
      <c r="P3019" s="20" t="s">
        <v>1111</v>
      </c>
      <c r="Q3019" s="15" t="s">
        <v>57</v>
      </c>
      <c r="R3019" s="4"/>
      <c r="S3019" s="4"/>
    </row>
    <row r="3020" spans="1:19" ht="21" customHeight="1" x14ac:dyDescent="0.25">
      <c r="A3020" s="14">
        <f>DATE(2012,12,31)-1400</f>
        <v>39874</v>
      </c>
      <c r="B3020" s="15" t="s">
        <v>564</v>
      </c>
      <c r="C3020" s="15" t="s">
        <v>43</v>
      </c>
      <c r="D3020" s="16">
        <v>15</v>
      </c>
      <c r="E3020" s="17">
        <v>2211.7339999999999</v>
      </c>
      <c r="F3020" s="16">
        <v>0.02</v>
      </c>
      <c r="G3020" s="15" t="s">
        <v>101</v>
      </c>
      <c r="H3020" s="18">
        <v>80.757000000000005</v>
      </c>
      <c r="I3020" s="19">
        <v>175.99</v>
      </c>
      <c r="J3020" s="19">
        <v>4.99</v>
      </c>
      <c r="K3020" s="19" t="s">
        <v>124</v>
      </c>
      <c r="L3020" s="19" t="s">
        <v>164</v>
      </c>
      <c r="M3020" s="15" t="s">
        <v>1996</v>
      </c>
      <c r="N3020" s="15" t="s">
        <v>64</v>
      </c>
      <c r="O3020" s="15" t="s">
        <v>65</v>
      </c>
      <c r="P3020" s="20" t="s">
        <v>452</v>
      </c>
      <c r="Q3020" s="15" t="s">
        <v>83</v>
      </c>
      <c r="R3020" s="4"/>
      <c r="S3020" s="4"/>
    </row>
    <row r="3021" spans="1:19" ht="21" customHeight="1" x14ac:dyDescent="0.25">
      <c r="A3021" s="14">
        <f>DATE(2012,12,31)-25</f>
        <v>41249</v>
      </c>
      <c r="B3021" s="15" t="s">
        <v>1012</v>
      </c>
      <c r="C3021" s="15" t="s">
        <v>31</v>
      </c>
      <c r="D3021" s="16">
        <v>28</v>
      </c>
      <c r="E3021" s="17">
        <v>120.98</v>
      </c>
      <c r="F3021" s="16">
        <v>0</v>
      </c>
      <c r="G3021" s="15" t="s">
        <v>32</v>
      </c>
      <c r="H3021" s="18">
        <v>-92.850999999999999</v>
      </c>
      <c r="I3021" s="19">
        <v>4.13</v>
      </c>
      <c r="J3021" s="19">
        <v>5.34</v>
      </c>
      <c r="K3021" s="19" t="s">
        <v>124</v>
      </c>
      <c r="L3021" s="19" t="s">
        <v>158</v>
      </c>
      <c r="M3021" s="15" t="s">
        <v>158</v>
      </c>
      <c r="N3021" s="15" t="s">
        <v>36</v>
      </c>
      <c r="O3021" s="15" t="s">
        <v>170</v>
      </c>
      <c r="P3021" s="20" t="s">
        <v>575</v>
      </c>
      <c r="Q3021" s="15" t="s">
        <v>83</v>
      </c>
      <c r="R3021" s="4"/>
      <c r="S3021" s="4"/>
    </row>
    <row r="3022" spans="1:19" ht="21" customHeight="1" x14ac:dyDescent="0.25">
      <c r="A3022" s="14">
        <f>DATE(2012,12,31)-25</f>
        <v>41249</v>
      </c>
      <c r="B3022" s="15" t="s">
        <v>1012</v>
      </c>
      <c r="C3022" s="15" t="s">
        <v>31</v>
      </c>
      <c r="D3022" s="16">
        <v>14</v>
      </c>
      <c r="E3022" s="17">
        <v>1082.6600000000001</v>
      </c>
      <c r="F3022" s="16">
        <v>0.08</v>
      </c>
      <c r="G3022" s="15" t="s">
        <v>32</v>
      </c>
      <c r="H3022" s="18">
        <v>-256.93</v>
      </c>
      <c r="I3022" s="19">
        <v>79.52</v>
      </c>
      <c r="J3022" s="19">
        <v>48.2</v>
      </c>
      <c r="K3022" s="19" t="s">
        <v>124</v>
      </c>
      <c r="L3022" s="19" t="s">
        <v>164</v>
      </c>
      <c r="M3022" s="15" t="s">
        <v>1996</v>
      </c>
      <c r="N3022" s="15" t="s">
        <v>54</v>
      </c>
      <c r="O3022" s="15" t="s">
        <v>55</v>
      </c>
      <c r="P3022" s="20" t="s">
        <v>909</v>
      </c>
      <c r="Q3022" s="15" t="s">
        <v>57</v>
      </c>
      <c r="R3022" s="4"/>
      <c r="S3022" s="4"/>
    </row>
    <row r="3023" spans="1:19" ht="21" customHeight="1" x14ac:dyDescent="0.25">
      <c r="A3023" s="14">
        <f>DATE(2012,12,31)-401</f>
        <v>40873</v>
      </c>
      <c r="B3023" s="15" t="s">
        <v>489</v>
      </c>
      <c r="C3023" s="15" t="s">
        <v>31</v>
      </c>
      <c r="D3023" s="16">
        <v>26</v>
      </c>
      <c r="E3023" s="17">
        <v>1580.57</v>
      </c>
      <c r="F3023" s="16">
        <v>0.08</v>
      </c>
      <c r="G3023" s="15" t="s">
        <v>32</v>
      </c>
      <c r="H3023" s="18">
        <v>-750.82</v>
      </c>
      <c r="I3023" s="19">
        <v>60.98</v>
      </c>
      <c r="J3023" s="19">
        <v>49</v>
      </c>
      <c r="K3023" s="19" t="s">
        <v>124</v>
      </c>
      <c r="L3023" s="19" t="s">
        <v>158</v>
      </c>
      <c r="M3023" s="15" t="s">
        <v>158</v>
      </c>
      <c r="N3023" s="15" t="s">
        <v>36</v>
      </c>
      <c r="O3023" s="15" t="s">
        <v>176</v>
      </c>
      <c r="P3023" s="20" t="s">
        <v>534</v>
      </c>
      <c r="Q3023" s="15" t="s">
        <v>39</v>
      </c>
      <c r="R3023" s="4"/>
      <c r="S3023" s="4"/>
    </row>
    <row r="3024" spans="1:19" ht="21" customHeight="1" x14ac:dyDescent="0.25">
      <c r="A3024" s="14">
        <f>DATE(2012,12,31)-1028</f>
        <v>40246</v>
      </c>
      <c r="B3024" s="15" t="s">
        <v>50</v>
      </c>
      <c r="C3024" s="15" t="s">
        <v>43</v>
      </c>
      <c r="D3024" s="16">
        <v>23</v>
      </c>
      <c r="E3024" s="17">
        <v>239.49</v>
      </c>
      <c r="F3024" s="16">
        <v>0.04</v>
      </c>
      <c r="G3024" s="15" t="s">
        <v>32</v>
      </c>
      <c r="H3024" s="18">
        <v>-159.35</v>
      </c>
      <c r="I3024" s="19">
        <v>9.98</v>
      </c>
      <c r="J3024" s="19">
        <v>12.52</v>
      </c>
      <c r="K3024" s="19" t="s">
        <v>124</v>
      </c>
      <c r="L3024" s="19" t="s">
        <v>125</v>
      </c>
      <c r="M3024" s="15" t="s">
        <v>1829</v>
      </c>
      <c r="N3024" s="15" t="s">
        <v>54</v>
      </c>
      <c r="O3024" s="15" t="s">
        <v>55</v>
      </c>
      <c r="P3024" s="20" t="s">
        <v>1999</v>
      </c>
      <c r="Q3024" s="15" t="s">
        <v>83</v>
      </c>
      <c r="R3024" s="4"/>
      <c r="S3024" s="4"/>
    </row>
    <row r="3025" spans="1:19" ht="21" customHeight="1" x14ac:dyDescent="0.25">
      <c r="A3025" s="14">
        <f>DATE(2012,12,31)-1028</f>
        <v>40246</v>
      </c>
      <c r="B3025" s="15" t="s">
        <v>50</v>
      </c>
      <c r="C3025" s="15" t="s">
        <v>43</v>
      </c>
      <c r="D3025" s="16">
        <v>14</v>
      </c>
      <c r="E3025" s="17">
        <v>1819.1529999999998</v>
      </c>
      <c r="F3025" s="16">
        <v>0.02</v>
      </c>
      <c r="G3025" s="15" t="s">
        <v>32</v>
      </c>
      <c r="H3025" s="18">
        <v>-35.497</v>
      </c>
      <c r="I3025" s="19">
        <v>155.99</v>
      </c>
      <c r="J3025" s="19">
        <v>8.99</v>
      </c>
      <c r="K3025" s="19" t="s">
        <v>44</v>
      </c>
      <c r="L3025" s="19" t="s">
        <v>52</v>
      </c>
      <c r="M3025" s="15" t="s">
        <v>1685</v>
      </c>
      <c r="N3025" s="15" t="s">
        <v>64</v>
      </c>
      <c r="O3025" s="15" t="s">
        <v>65</v>
      </c>
      <c r="P3025" s="20" t="s">
        <v>438</v>
      </c>
      <c r="Q3025" s="15" t="s">
        <v>83</v>
      </c>
      <c r="R3025" s="4"/>
      <c r="S3025" s="4"/>
    </row>
    <row r="3026" spans="1:19" ht="21" customHeight="1" x14ac:dyDescent="0.25">
      <c r="A3026" s="14">
        <f>DATE(2012,12,31)-701</f>
        <v>40573</v>
      </c>
      <c r="B3026" s="15" t="s">
        <v>416</v>
      </c>
      <c r="C3026" s="15" t="s">
        <v>43</v>
      </c>
      <c r="D3026" s="16">
        <v>9</v>
      </c>
      <c r="E3026" s="17">
        <v>71.2</v>
      </c>
      <c r="F3026" s="16">
        <v>0.08</v>
      </c>
      <c r="G3026" s="15" t="s">
        <v>32</v>
      </c>
      <c r="H3026" s="18">
        <v>1.87</v>
      </c>
      <c r="I3026" s="19">
        <v>7.38</v>
      </c>
      <c r="J3026" s="19">
        <v>5.21</v>
      </c>
      <c r="K3026" s="19" t="s">
        <v>44</v>
      </c>
      <c r="L3026" s="19" t="s">
        <v>52</v>
      </c>
      <c r="M3026" s="15" t="s">
        <v>1685</v>
      </c>
      <c r="N3026" s="15" t="s">
        <v>54</v>
      </c>
      <c r="O3026" s="15" t="s">
        <v>55</v>
      </c>
      <c r="P3026" s="20" t="s">
        <v>154</v>
      </c>
      <c r="Q3026" s="15" t="s">
        <v>83</v>
      </c>
      <c r="R3026" s="4"/>
      <c r="S3026" s="4"/>
    </row>
    <row r="3027" spans="1:19" ht="21" customHeight="1" x14ac:dyDescent="0.25">
      <c r="A3027" s="14">
        <f>DATE(2012,12,31)-217</f>
        <v>41057</v>
      </c>
      <c r="B3027" s="15" t="s">
        <v>2000</v>
      </c>
      <c r="C3027" s="15" t="s">
        <v>31</v>
      </c>
      <c r="D3027" s="16">
        <v>22</v>
      </c>
      <c r="E3027" s="17">
        <v>1239.4445000000001</v>
      </c>
      <c r="F3027" s="16">
        <v>7.0000000000000007E-2</v>
      </c>
      <c r="G3027" s="15" t="s">
        <v>32</v>
      </c>
      <c r="H3027" s="18">
        <v>165.50099999999998</v>
      </c>
      <c r="I3027" s="19">
        <v>65.989999999999995</v>
      </c>
      <c r="J3027" s="19">
        <v>3.99</v>
      </c>
      <c r="K3027" s="19" t="s">
        <v>44</v>
      </c>
      <c r="L3027" s="19" t="s">
        <v>52</v>
      </c>
      <c r="M3027" s="15" t="s">
        <v>1685</v>
      </c>
      <c r="N3027" s="15" t="s">
        <v>64</v>
      </c>
      <c r="O3027" s="15" t="s">
        <v>65</v>
      </c>
      <c r="P3027" s="20" t="s">
        <v>689</v>
      </c>
      <c r="Q3027" s="15" t="s">
        <v>83</v>
      </c>
      <c r="R3027" s="4"/>
      <c r="S3027" s="4"/>
    </row>
    <row r="3028" spans="1:19" ht="21" customHeight="1" x14ac:dyDescent="0.25">
      <c r="A3028" s="14">
        <f>DATE(2012,12,31)-1309</f>
        <v>39965</v>
      </c>
      <c r="B3028" s="15" t="s">
        <v>797</v>
      </c>
      <c r="C3028" s="15" t="s">
        <v>51</v>
      </c>
      <c r="D3028" s="16">
        <v>41</v>
      </c>
      <c r="E3028" s="17">
        <v>5178.17</v>
      </c>
      <c r="F3028" s="16">
        <v>0.03</v>
      </c>
      <c r="G3028" s="15" t="s">
        <v>58</v>
      </c>
      <c r="H3028" s="18">
        <v>531.69000000000005</v>
      </c>
      <c r="I3028" s="19">
        <v>120.98</v>
      </c>
      <c r="J3028" s="19">
        <v>30</v>
      </c>
      <c r="K3028" s="19" t="s">
        <v>44</v>
      </c>
      <c r="L3028" s="19" t="s">
        <v>52</v>
      </c>
      <c r="M3028" s="15" t="s">
        <v>1685</v>
      </c>
      <c r="N3028" s="15" t="s">
        <v>54</v>
      </c>
      <c r="O3028" s="15" t="s">
        <v>252</v>
      </c>
      <c r="P3028" s="20" t="s">
        <v>712</v>
      </c>
      <c r="Q3028" s="15" t="s">
        <v>181</v>
      </c>
      <c r="R3028" s="4"/>
      <c r="S3028" s="4"/>
    </row>
    <row r="3029" spans="1:19" ht="21" customHeight="1" x14ac:dyDescent="0.25">
      <c r="A3029" s="14">
        <f>DATE(2012,12,31)-1309</f>
        <v>39965</v>
      </c>
      <c r="B3029" s="15" t="s">
        <v>797</v>
      </c>
      <c r="C3029" s="15" t="s">
        <v>51</v>
      </c>
      <c r="D3029" s="16">
        <v>32</v>
      </c>
      <c r="E3029" s="17">
        <v>535.24</v>
      </c>
      <c r="F3029" s="16">
        <v>0.01</v>
      </c>
      <c r="G3029" s="15" t="s">
        <v>32</v>
      </c>
      <c r="H3029" s="18">
        <v>216.43</v>
      </c>
      <c r="I3029" s="19">
        <v>15.68</v>
      </c>
      <c r="J3029" s="19">
        <v>3.73</v>
      </c>
      <c r="K3029" s="19" t="s">
        <v>44</v>
      </c>
      <c r="L3029" s="19" t="s">
        <v>52</v>
      </c>
      <c r="M3029" s="15" t="s">
        <v>1685</v>
      </c>
      <c r="N3029" s="15" t="s">
        <v>54</v>
      </c>
      <c r="O3029" s="15" t="s">
        <v>55</v>
      </c>
      <c r="P3029" s="20" t="s">
        <v>718</v>
      </c>
      <c r="Q3029" s="15" t="s">
        <v>49</v>
      </c>
      <c r="R3029" s="4"/>
      <c r="S3029" s="4"/>
    </row>
    <row r="3030" spans="1:19" ht="21" customHeight="1" x14ac:dyDescent="0.25">
      <c r="A3030" s="14">
        <f>DATE(2012,12,31)-97</f>
        <v>41177</v>
      </c>
      <c r="B3030" s="15" t="s">
        <v>1866</v>
      </c>
      <c r="C3030" s="15" t="s">
        <v>43</v>
      </c>
      <c r="D3030" s="16">
        <v>26</v>
      </c>
      <c r="E3030" s="17">
        <v>362.76</v>
      </c>
      <c r="F3030" s="16">
        <v>0.09</v>
      </c>
      <c r="G3030" s="15" t="s">
        <v>32</v>
      </c>
      <c r="H3030" s="18">
        <v>19.363</v>
      </c>
      <c r="I3030" s="19">
        <v>14.48</v>
      </c>
      <c r="J3030" s="19">
        <v>6.46</v>
      </c>
      <c r="K3030" s="19" t="s">
        <v>44</v>
      </c>
      <c r="L3030" s="19" t="s">
        <v>52</v>
      </c>
      <c r="M3030" s="15" t="s">
        <v>1685</v>
      </c>
      <c r="N3030" s="15" t="s">
        <v>36</v>
      </c>
      <c r="O3030" s="15" t="s">
        <v>170</v>
      </c>
      <c r="P3030" s="20" t="s">
        <v>646</v>
      </c>
      <c r="Q3030" s="15" t="s">
        <v>83</v>
      </c>
      <c r="R3030" s="4"/>
      <c r="S3030" s="4"/>
    </row>
    <row r="3031" spans="1:19" ht="21" customHeight="1" x14ac:dyDescent="0.25">
      <c r="A3031" s="14">
        <f>DATE(2012,12,31)-932</f>
        <v>40342</v>
      </c>
      <c r="B3031" s="15" t="s">
        <v>1094</v>
      </c>
      <c r="C3031" s="15" t="s">
        <v>43</v>
      </c>
      <c r="D3031" s="16">
        <v>10</v>
      </c>
      <c r="E3031" s="17">
        <v>278.66000000000003</v>
      </c>
      <c r="F3031" s="16">
        <v>0.05</v>
      </c>
      <c r="G3031" s="15" t="s">
        <v>101</v>
      </c>
      <c r="H3031" s="18">
        <v>-77.36</v>
      </c>
      <c r="I3031" s="19">
        <v>27.48</v>
      </c>
      <c r="J3031" s="19">
        <v>4</v>
      </c>
      <c r="K3031" s="19" t="s">
        <v>44</v>
      </c>
      <c r="L3031" s="19" t="s">
        <v>52</v>
      </c>
      <c r="M3031" s="15" t="s">
        <v>1685</v>
      </c>
      <c r="N3031" s="15" t="s">
        <v>64</v>
      </c>
      <c r="O3031" s="15" t="s">
        <v>72</v>
      </c>
      <c r="P3031" s="20" t="s">
        <v>1322</v>
      </c>
      <c r="Q3031" s="15" t="s">
        <v>83</v>
      </c>
      <c r="R3031" s="4"/>
      <c r="S3031" s="4"/>
    </row>
    <row r="3032" spans="1:19" ht="21" customHeight="1" x14ac:dyDescent="0.25">
      <c r="A3032" s="14">
        <f>DATE(2012,12,31)-932</f>
        <v>40342</v>
      </c>
      <c r="B3032" s="15" t="s">
        <v>1094</v>
      </c>
      <c r="C3032" s="15" t="s">
        <v>43</v>
      </c>
      <c r="D3032" s="16">
        <v>28</v>
      </c>
      <c r="E3032" s="17">
        <v>491.85</v>
      </c>
      <c r="F3032" s="16">
        <v>0.1</v>
      </c>
      <c r="G3032" s="15" t="s">
        <v>32</v>
      </c>
      <c r="H3032" s="18">
        <v>4.54</v>
      </c>
      <c r="I3032" s="19">
        <v>18.97</v>
      </c>
      <c r="J3032" s="19">
        <v>9.0299999999999994</v>
      </c>
      <c r="K3032" s="19" t="s">
        <v>44</v>
      </c>
      <c r="L3032" s="19" t="s">
        <v>52</v>
      </c>
      <c r="M3032" s="15" t="s">
        <v>1685</v>
      </c>
      <c r="N3032" s="15" t="s">
        <v>36</v>
      </c>
      <c r="O3032" s="15" t="s">
        <v>117</v>
      </c>
      <c r="P3032" s="20" t="s">
        <v>127</v>
      </c>
      <c r="Q3032" s="15" t="s">
        <v>83</v>
      </c>
      <c r="R3032" s="4"/>
      <c r="S3032" s="4"/>
    </row>
    <row r="3033" spans="1:19" ht="21" customHeight="1" x14ac:dyDescent="0.25">
      <c r="A3033" s="14">
        <f>DATE(2012,12,31)-239</f>
        <v>41035</v>
      </c>
      <c r="B3033" s="15" t="s">
        <v>1658</v>
      </c>
      <c r="C3033" s="15" t="s">
        <v>31</v>
      </c>
      <c r="D3033" s="16">
        <v>46</v>
      </c>
      <c r="E3033" s="17">
        <v>4744.6400000000003</v>
      </c>
      <c r="F3033" s="16">
        <v>0.04</v>
      </c>
      <c r="G3033" s="15" t="s">
        <v>32</v>
      </c>
      <c r="H3033" s="18">
        <v>1033.3800000000001</v>
      </c>
      <c r="I3033" s="19">
        <v>99.99</v>
      </c>
      <c r="J3033" s="19">
        <v>19.989999999999998</v>
      </c>
      <c r="K3033" s="19" t="s">
        <v>44</v>
      </c>
      <c r="L3033" s="19" t="s">
        <v>52</v>
      </c>
      <c r="M3033" s="15" t="s">
        <v>1685</v>
      </c>
      <c r="N3033" s="15" t="s">
        <v>64</v>
      </c>
      <c r="O3033" s="15" t="s">
        <v>72</v>
      </c>
      <c r="P3033" s="20" t="s">
        <v>496</v>
      </c>
      <c r="Q3033" s="15" t="s">
        <v>83</v>
      </c>
      <c r="R3033" s="4"/>
      <c r="S3033" s="4"/>
    </row>
    <row r="3034" spans="1:19" ht="21" customHeight="1" x14ac:dyDescent="0.25">
      <c r="A3034" s="14">
        <f>DATE(2012,12,31)-239</f>
        <v>41035</v>
      </c>
      <c r="B3034" s="15" t="s">
        <v>1658</v>
      </c>
      <c r="C3034" s="15" t="s">
        <v>31</v>
      </c>
      <c r="D3034" s="16">
        <v>2</v>
      </c>
      <c r="E3034" s="17">
        <v>40.825499999999998</v>
      </c>
      <c r="F3034" s="16">
        <v>0.01</v>
      </c>
      <c r="G3034" s="15" t="s">
        <v>32</v>
      </c>
      <c r="H3034" s="18">
        <v>-99.978999999999999</v>
      </c>
      <c r="I3034" s="19">
        <v>20.99</v>
      </c>
      <c r="J3034" s="19">
        <v>4.8099999999999996</v>
      </c>
      <c r="K3034" s="19" t="s">
        <v>44</v>
      </c>
      <c r="L3034" s="19" t="s">
        <v>236</v>
      </c>
      <c r="M3034" s="15" t="s">
        <v>1887</v>
      </c>
      <c r="N3034" s="15" t="s">
        <v>64</v>
      </c>
      <c r="O3034" s="15" t="s">
        <v>65</v>
      </c>
      <c r="P3034" s="20" t="s">
        <v>654</v>
      </c>
      <c r="Q3034" s="15" t="s">
        <v>57</v>
      </c>
      <c r="R3034" s="4"/>
      <c r="S3034" s="4"/>
    </row>
    <row r="3035" spans="1:19" ht="21" customHeight="1" x14ac:dyDescent="0.25">
      <c r="A3035" s="14">
        <f>DATE(2012,12,31)-239</f>
        <v>41035</v>
      </c>
      <c r="B3035" s="15" t="s">
        <v>1658</v>
      </c>
      <c r="C3035" s="15" t="s">
        <v>31</v>
      </c>
      <c r="D3035" s="16">
        <v>41</v>
      </c>
      <c r="E3035" s="17">
        <v>607.13</v>
      </c>
      <c r="F3035" s="16">
        <v>0.1</v>
      </c>
      <c r="G3035" s="15" t="s">
        <v>32</v>
      </c>
      <c r="H3035" s="18">
        <v>274.66000000000003</v>
      </c>
      <c r="I3035" s="19">
        <v>15.67</v>
      </c>
      <c r="J3035" s="19">
        <v>1.39</v>
      </c>
      <c r="K3035" s="19" t="s">
        <v>44</v>
      </c>
      <c r="L3035" s="19" t="s">
        <v>52</v>
      </c>
      <c r="M3035" s="15" t="s">
        <v>1685</v>
      </c>
      <c r="N3035" s="15" t="s">
        <v>36</v>
      </c>
      <c r="O3035" s="15" t="s">
        <v>189</v>
      </c>
      <c r="P3035" s="20" t="s">
        <v>967</v>
      </c>
      <c r="Q3035" s="15" t="s">
        <v>83</v>
      </c>
      <c r="R3035" s="4"/>
      <c r="S3035" s="4"/>
    </row>
    <row r="3036" spans="1:19" ht="21" customHeight="1" x14ac:dyDescent="0.25">
      <c r="A3036" s="14">
        <f>DATE(2012,12,31)-239</f>
        <v>41035</v>
      </c>
      <c r="B3036" s="15" t="s">
        <v>1658</v>
      </c>
      <c r="C3036" s="15" t="s">
        <v>31</v>
      </c>
      <c r="D3036" s="16">
        <v>31</v>
      </c>
      <c r="E3036" s="17">
        <v>34.22</v>
      </c>
      <c r="F3036" s="16">
        <v>7.0000000000000007E-2</v>
      </c>
      <c r="G3036" s="15" t="s">
        <v>32</v>
      </c>
      <c r="H3036" s="18">
        <v>-3.19</v>
      </c>
      <c r="I3036" s="19">
        <v>1.1399999999999999</v>
      </c>
      <c r="J3036" s="19">
        <v>0.7</v>
      </c>
      <c r="K3036" s="19" t="s">
        <v>44</v>
      </c>
      <c r="L3036" s="19" t="s">
        <v>89</v>
      </c>
      <c r="M3036" s="15" t="s">
        <v>1932</v>
      </c>
      <c r="N3036" s="15" t="s">
        <v>36</v>
      </c>
      <c r="O3036" s="15" t="s">
        <v>105</v>
      </c>
      <c r="P3036" s="20" t="s">
        <v>1551</v>
      </c>
      <c r="Q3036" s="15" t="s">
        <v>79</v>
      </c>
      <c r="R3036" s="4"/>
      <c r="S3036" s="4"/>
    </row>
    <row r="3037" spans="1:19" ht="21" customHeight="1" x14ac:dyDescent="0.25">
      <c r="A3037" s="14">
        <f>DATE(2012,12,31)-622</f>
        <v>40652</v>
      </c>
      <c r="B3037" s="15" t="s">
        <v>856</v>
      </c>
      <c r="C3037" s="15" t="s">
        <v>43</v>
      </c>
      <c r="D3037" s="16">
        <v>42</v>
      </c>
      <c r="E3037" s="17">
        <v>115.99</v>
      </c>
      <c r="F3037" s="16">
        <v>0.05</v>
      </c>
      <c r="G3037" s="15" t="s">
        <v>101</v>
      </c>
      <c r="H3037" s="18">
        <v>-53.35</v>
      </c>
      <c r="I3037" s="19">
        <v>2.6</v>
      </c>
      <c r="J3037" s="19">
        <v>2.4</v>
      </c>
      <c r="K3037" s="19" t="s">
        <v>44</v>
      </c>
      <c r="L3037" s="19" t="s">
        <v>120</v>
      </c>
      <c r="M3037" s="15" t="s">
        <v>121</v>
      </c>
      <c r="N3037" s="15" t="s">
        <v>36</v>
      </c>
      <c r="O3037" s="15" t="s">
        <v>77</v>
      </c>
      <c r="P3037" s="20" t="s">
        <v>1783</v>
      </c>
      <c r="Q3037" s="15" t="s">
        <v>79</v>
      </c>
      <c r="R3037" s="4"/>
      <c r="S3037" s="4"/>
    </row>
    <row r="3038" spans="1:19" ht="21" customHeight="1" x14ac:dyDescent="0.25">
      <c r="A3038" s="14">
        <f>DATE(2012,12,31)-693</f>
        <v>40581</v>
      </c>
      <c r="B3038" s="15" t="s">
        <v>276</v>
      </c>
      <c r="C3038" s="15" t="s">
        <v>31</v>
      </c>
      <c r="D3038" s="16">
        <v>37</v>
      </c>
      <c r="E3038" s="17">
        <v>3351.55</v>
      </c>
      <c r="F3038" s="16">
        <v>0.04</v>
      </c>
      <c r="G3038" s="15" t="s">
        <v>101</v>
      </c>
      <c r="H3038" s="18">
        <v>-1036.92</v>
      </c>
      <c r="I3038" s="19">
        <v>90.98</v>
      </c>
      <c r="J3038" s="19">
        <v>56.2</v>
      </c>
      <c r="K3038" s="19" t="s">
        <v>44</v>
      </c>
      <c r="L3038" s="19" t="s">
        <v>89</v>
      </c>
      <c r="M3038" s="15" t="s">
        <v>1932</v>
      </c>
      <c r="N3038" s="15" t="s">
        <v>54</v>
      </c>
      <c r="O3038" s="15" t="s">
        <v>55</v>
      </c>
      <c r="P3038" s="20" t="s">
        <v>1038</v>
      </c>
      <c r="Q3038" s="15" t="s">
        <v>57</v>
      </c>
      <c r="R3038" s="4"/>
      <c r="S3038" s="4"/>
    </row>
    <row r="3039" spans="1:19" ht="21" customHeight="1" x14ac:dyDescent="0.25">
      <c r="A3039" s="14">
        <f>DATE(2012,12,31)-52</f>
        <v>41222</v>
      </c>
      <c r="B3039" s="15" t="s">
        <v>518</v>
      </c>
      <c r="C3039" s="15" t="s">
        <v>43</v>
      </c>
      <c r="D3039" s="16">
        <v>25</v>
      </c>
      <c r="E3039" s="17">
        <v>1351.78</v>
      </c>
      <c r="F3039" s="16">
        <v>0.06</v>
      </c>
      <c r="G3039" s="15" t="s">
        <v>32</v>
      </c>
      <c r="H3039" s="18">
        <v>109.92</v>
      </c>
      <c r="I3039" s="19">
        <v>56.96</v>
      </c>
      <c r="J3039" s="19">
        <v>13.22</v>
      </c>
      <c r="K3039" s="19" t="s">
        <v>33</v>
      </c>
      <c r="L3039" s="19" t="s">
        <v>128</v>
      </c>
      <c r="M3039" s="15" t="s">
        <v>129</v>
      </c>
      <c r="N3039" s="15" t="s">
        <v>36</v>
      </c>
      <c r="O3039" s="15" t="s">
        <v>176</v>
      </c>
      <c r="P3039" s="20" t="s">
        <v>904</v>
      </c>
      <c r="Q3039" s="15" t="s">
        <v>83</v>
      </c>
      <c r="R3039" s="4"/>
      <c r="S3039" s="4"/>
    </row>
    <row r="3040" spans="1:19" ht="21" customHeight="1" x14ac:dyDescent="0.25">
      <c r="A3040" s="14">
        <f>DATE(2012,12,31)-52</f>
        <v>41222</v>
      </c>
      <c r="B3040" s="15" t="s">
        <v>518</v>
      </c>
      <c r="C3040" s="15" t="s">
        <v>43</v>
      </c>
      <c r="D3040" s="16">
        <v>21</v>
      </c>
      <c r="E3040" s="17">
        <v>1560.96</v>
      </c>
      <c r="F3040" s="16">
        <v>7.0000000000000007E-2</v>
      </c>
      <c r="G3040" s="15" t="s">
        <v>101</v>
      </c>
      <c r="H3040" s="18">
        <v>-120.27</v>
      </c>
      <c r="I3040" s="19">
        <v>73.98</v>
      </c>
      <c r="J3040" s="19">
        <v>4</v>
      </c>
      <c r="K3040" s="19" t="s">
        <v>124</v>
      </c>
      <c r="L3040" s="19" t="s">
        <v>168</v>
      </c>
      <c r="M3040" s="15" t="s">
        <v>1624</v>
      </c>
      <c r="N3040" s="15" t="s">
        <v>64</v>
      </c>
      <c r="O3040" s="15" t="s">
        <v>72</v>
      </c>
      <c r="P3040" s="20" t="s">
        <v>842</v>
      </c>
      <c r="Q3040" s="15" t="s">
        <v>83</v>
      </c>
      <c r="R3040" s="4"/>
      <c r="S3040" s="4"/>
    </row>
    <row r="3041" spans="1:19" ht="21" customHeight="1" x14ac:dyDescent="0.25">
      <c r="A3041" s="14">
        <f>DATE(2012,12,31)-1450</f>
        <v>39824</v>
      </c>
      <c r="B3041" s="15" t="s">
        <v>1233</v>
      </c>
      <c r="C3041" s="15" t="s">
        <v>31</v>
      </c>
      <c r="D3041" s="16">
        <v>19</v>
      </c>
      <c r="E3041" s="17">
        <v>6991.65</v>
      </c>
      <c r="F3041" s="16">
        <v>0.08</v>
      </c>
      <c r="G3041" s="15" t="s">
        <v>58</v>
      </c>
      <c r="H3041" s="18">
        <v>906.8</v>
      </c>
      <c r="I3041" s="19">
        <v>399.98</v>
      </c>
      <c r="J3041" s="19">
        <v>12.06</v>
      </c>
      <c r="K3041" s="19" t="s">
        <v>69</v>
      </c>
      <c r="L3041" s="19" t="s">
        <v>75</v>
      </c>
      <c r="M3041" s="15" t="s">
        <v>1980</v>
      </c>
      <c r="N3041" s="15" t="s">
        <v>64</v>
      </c>
      <c r="O3041" s="15" t="s">
        <v>122</v>
      </c>
      <c r="P3041" s="20" t="s">
        <v>561</v>
      </c>
      <c r="Q3041" s="15" t="s">
        <v>63</v>
      </c>
      <c r="R3041" s="4"/>
      <c r="S3041" s="4"/>
    </row>
    <row r="3042" spans="1:19" ht="21" customHeight="1" x14ac:dyDescent="0.25">
      <c r="A3042" s="14">
        <f>DATE(2012,12,31)-1199</f>
        <v>40075</v>
      </c>
      <c r="B3042" s="15" t="s">
        <v>1866</v>
      </c>
      <c r="C3042" s="15" t="s">
        <v>43</v>
      </c>
      <c r="D3042" s="16">
        <v>6</v>
      </c>
      <c r="E3042" s="17">
        <v>28.39</v>
      </c>
      <c r="F3042" s="16">
        <v>0.05</v>
      </c>
      <c r="G3042" s="15" t="s">
        <v>32</v>
      </c>
      <c r="H3042" s="18">
        <v>3.84</v>
      </c>
      <c r="I3042" s="19">
        <v>4.9800000000000004</v>
      </c>
      <c r="J3042" s="19">
        <v>0.49</v>
      </c>
      <c r="K3042" s="19" t="s">
        <v>69</v>
      </c>
      <c r="L3042" s="19" t="s">
        <v>70</v>
      </c>
      <c r="M3042" s="15" t="s">
        <v>1895</v>
      </c>
      <c r="N3042" s="15" t="s">
        <v>36</v>
      </c>
      <c r="O3042" s="15" t="s">
        <v>114</v>
      </c>
      <c r="P3042" s="20" t="s">
        <v>304</v>
      </c>
      <c r="Q3042" s="15" t="s">
        <v>83</v>
      </c>
      <c r="R3042" s="4"/>
      <c r="S3042" s="4"/>
    </row>
    <row r="3043" spans="1:19" ht="21" customHeight="1" x14ac:dyDescent="0.25">
      <c r="A3043" s="14">
        <f>DATE(2012,12,31)-270</f>
        <v>41004</v>
      </c>
      <c r="B3043" s="15" t="s">
        <v>183</v>
      </c>
      <c r="C3043" s="15" t="s">
        <v>43</v>
      </c>
      <c r="D3043" s="16">
        <v>47</v>
      </c>
      <c r="E3043" s="17">
        <v>168.55</v>
      </c>
      <c r="F3043" s="16">
        <v>0.05</v>
      </c>
      <c r="G3043" s="15" t="s">
        <v>32</v>
      </c>
      <c r="H3043" s="18">
        <v>71.77</v>
      </c>
      <c r="I3043" s="19">
        <v>3.69</v>
      </c>
      <c r="J3043" s="19">
        <v>0.5</v>
      </c>
      <c r="K3043" s="19" t="s">
        <v>44</v>
      </c>
      <c r="L3043" s="19" t="s">
        <v>89</v>
      </c>
      <c r="M3043" s="15" t="s">
        <v>1932</v>
      </c>
      <c r="N3043" s="15" t="s">
        <v>36</v>
      </c>
      <c r="O3043" s="15" t="s">
        <v>114</v>
      </c>
      <c r="P3043" s="20" t="s">
        <v>1169</v>
      </c>
      <c r="Q3043" s="15" t="s">
        <v>83</v>
      </c>
      <c r="R3043" s="4"/>
      <c r="S3043" s="4"/>
    </row>
    <row r="3044" spans="1:19" ht="21" customHeight="1" x14ac:dyDescent="0.25">
      <c r="A3044" s="14">
        <f>DATE(2012,12,31)-270</f>
        <v>41004</v>
      </c>
      <c r="B3044" s="15" t="s">
        <v>183</v>
      </c>
      <c r="C3044" s="15" t="s">
        <v>43</v>
      </c>
      <c r="D3044" s="16">
        <v>26</v>
      </c>
      <c r="E3044" s="17">
        <v>77.03</v>
      </c>
      <c r="F3044" s="16">
        <v>0.08</v>
      </c>
      <c r="G3044" s="15" t="s">
        <v>32</v>
      </c>
      <c r="H3044" s="18">
        <v>-47.75</v>
      </c>
      <c r="I3044" s="19">
        <v>3.14</v>
      </c>
      <c r="J3044" s="19">
        <v>1.92</v>
      </c>
      <c r="K3044" s="19" t="s">
        <v>44</v>
      </c>
      <c r="L3044" s="19" t="s">
        <v>89</v>
      </c>
      <c r="M3044" s="15" t="s">
        <v>1932</v>
      </c>
      <c r="N3044" s="15" t="s">
        <v>36</v>
      </c>
      <c r="O3044" s="15" t="s">
        <v>47</v>
      </c>
      <c r="P3044" s="20" t="s">
        <v>148</v>
      </c>
      <c r="Q3044" s="15" t="s">
        <v>79</v>
      </c>
      <c r="R3044" s="4"/>
      <c r="S3044" s="4"/>
    </row>
    <row r="3045" spans="1:19" ht="21" customHeight="1" x14ac:dyDescent="0.25">
      <c r="A3045" s="14">
        <f>DATE(2012,12,31)-409</f>
        <v>40865</v>
      </c>
      <c r="B3045" s="15" t="s">
        <v>1567</v>
      </c>
      <c r="C3045" s="15" t="s">
        <v>51</v>
      </c>
      <c r="D3045" s="16">
        <v>42</v>
      </c>
      <c r="E3045" s="17">
        <v>401.37</v>
      </c>
      <c r="F3045" s="16">
        <v>7.0000000000000007E-2</v>
      </c>
      <c r="G3045" s="15" t="s">
        <v>32</v>
      </c>
      <c r="H3045" s="18">
        <v>13.31</v>
      </c>
      <c r="I3045" s="19">
        <v>9.74</v>
      </c>
      <c r="J3045" s="19">
        <v>5.71</v>
      </c>
      <c r="K3045" s="19" t="s">
        <v>97</v>
      </c>
      <c r="L3045" s="19" t="s">
        <v>132</v>
      </c>
      <c r="M3045" s="15" t="s">
        <v>133</v>
      </c>
      <c r="N3045" s="15" t="s">
        <v>54</v>
      </c>
      <c r="O3045" s="15" t="s">
        <v>55</v>
      </c>
      <c r="P3045" s="20" t="s">
        <v>1363</v>
      </c>
      <c r="Q3045" s="15" t="s">
        <v>83</v>
      </c>
      <c r="R3045" s="4"/>
      <c r="S3045" s="4"/>
    </row>
    <row r="3046" spans="1:19" ht="21" customHeight="1" x14ac:dyDescent="0.25">
      <c r="A3046" s="14">
        <f>DATE(2012,12,31)-247</f>
        <v>41027</v>
      </c>
      <c r="B3046" s="15" t="s">
        <v>2001</v>
      </c>
      <c r="C3046" s="15" t="s">
        <v>85</v>
      </c>
      <c r="D3046" s="16">
        <v>9</v>
      </c>
      <c r="E3046" s="17">
        <v>73.7</v>
      </c>
      <c r="F3046" s="16">
        <v>0.06</v>
      </c>
      <c r="G3046" s="15" t="s">
        <v>101</v>
      </c>
      <c r="H3046" s="18">
        <v>1.42</v>
      </c>
      <c r="I3046" s="19">
        <v>7.59</v>
      </c>
      <c r="J3046" s="19">
        <v>4</v>
      </c>
      <c r="K3046" s="19" t="s">
        <v>44</v>
      </c>
      <c r="L3046" s="19" t="s">
        <v>89</v>
      </c>
      <c r="M3046" s="15" t="s">
        <v>1932</v>
      </c>
      <c r="N3046" s="15" t="s">
        <v>54</v>
      </c>
      <c r="O3046" s="15" t="s">
        <v>55</v>
      </c>
      <c r="P3046" s="20" t="s">
        <v>951</v>
      </c>
      <c r="Q3046" s="15" t="s">
        <v>79</v>
      </c>
      <c r="R3046" s="4"/>
      <c r="S3046" s="4"/>
    </row>
    <row r="3047" spans="1:19" ht="21" customHeight="1" x14ac:dyDescent="0.25">
      <c r="A3047" s="14">
        <f>DATE(2012,12,31)-1231</f>
        <v>40043</v>
      </c>
      <c r="B3047" s="15" t="s">
        <v>1653</v>
      </c>
      <c r="C3047" s="15" t="s">
        <v>85</v>
      </c>
      <c r="D3047" s="16">
        <v>5</v>
      </c>
      <c r="E3047" s="17">
        <v>244.9</v>
      </c>
      <c r="F3047" s="16">
        <v>0.06</v>
      </c>
      <c r="G3047" s="15" t="s">
        <v>32</v>
      </c>
      <c r="H3047" s="18">
        <v>-135.4</v>
      </c>
      <c r="I3047" s="19">
        <v>47.98</v>
      </c>
      <c r="J3047" s="19">
        <v>3.61</v>
      </c>
      <c r="K3047" s="19" t="s">
        <v>124</v>
      </c>
      <c r="L3047" s="19" t="s">
        <v>160</v>
      </c>
      <c r="M3047" s="15" t="s">
        <v>1951</v>
      </c>
      <c r="N3047" s="15" t="s">
        <v>64</v>
      </c>
      <c r="O3047" s="15" t="s">
        <v>72</v>
      </c>
      <c r="P3047" s="20" t="s">
        <v>338</v>
      </c>
      <c r="Q3047" s="15" t="s">
        <v>49</v>
      </c>
      <c r="R3047" s="4"/>
      <c r="S3047" s="4"/>
    </row>
    <row r="3048" spans="1:19" ht="21" customHeight="1" x14ac:dyDescent="0.25">
      <c r="A3048" s="14">
        <f>DATE(2012,12,31)-841</f>
        <v>40433</v>
      </c>
      <c r="B3048" s="15" t="s">
        <v>1273</v>
      </c>
      <c r="C3048" s="15" t="s">
        <v>43</v>
      </c>
      <c r="D3048" s="16">
        <v>1</v>
      </c>
      <c r="E3048" s="17">
        <v>28.75</v>
      </c>
      <c r="F3048" s="16">
        <v>0.09</v>
      </c>
      <c r="G3048" s="15" t="s">
        <v>101</v>
      </c>
      <c r="H3048" s="18">
        <v>-14.352</v>
      </c>
      <c r="I3048" s="19">
        <v>14.27</v>
      </c>
      <c r="J3048" s="19">
        <v>7.27</v>
      </c>
      <c r="K3048" s="19" t="s">
        <v>124</v>
      </c>
      <c r="L3048" s="19" t="s">
        <v>160</v>
      </c>
      <c r="M3048" s="15" t="s">
        <v>1951</v>
      </c>
      <c r="N3048" s="15" t="s">
        <v>36</v>
      </c>
      <c r="O3048" s="15" t="s">
        <v>170</v>
      </c>
      <c r="P3048" s="20" t="s">
        <v>1224</v>
      </c>
      <c r="Q3048" s="15" t="s">
        <v>83</v>
      </c>
      <c r="R3048" s="4"/>
      <c r="S3048" s="4"/>
    </row>
    <row r="3049" spans="1:19" ht="21" customHeight="1" x14ac:dyDescent="0.25">
      <c r="A3049" s="14">
        <f>DATE(2012,12,31)-841</f>
        <v>40433</v>
      </c>
      <c r="B3049" s="15" t="s">
        <v>1273</v>
      </c>
      <c r="C3049" s="15" t="s">
        <v>43</v>
      </c>
      <c r="D3049" s="16">
        <v>4</v>
      </c>
      <c r="E3049" s="17">
        <v>19014.240000000002</v>
      </c>
      <c r="F3049" s="16">
        <v>0.06</v>
      </c>
      <c r="G3049" s="15" t="s">
        <v>32</v>
      </c>
      <c r="H3049" s="18">
        <v>-10263.6597</v>
      </c>
      <c r="I3049" s="19">
        <v>6783.02</v>
      </c>
      <c r="J3049" s="19">
        <v>24.49</v>
      </c>
      <c r="K3049" s="19" t="s">
        <v>124</v>
      </c>
      <c r="L3049" s="19" t="s">
        <v>493</v>
      </c>
      <c r="M3049" s="15" t="s">
        <v>1927</v>
      </c>
      <c r="N3049" s="15" t="s">
        <v>64</v>
      </c>
      <c r="O3049" s="15" t="s">
        <v>122</v>
      </c>
      <c r="P3049" s="20" t="s">
        <v>750</v>
      </c>
      <c r="Q3049" s="15" t="s">
        <v>39</v>
      </c>
      <c r="R3049" s="4"/>
      <c r="S3049" s="4"/>
    </row>
    <row r="3050" spans="1:19" ht="21" customHeight="1" x14ac:dyDescent="0.25">
      <c r="A3050" s="14">
        <f>DATE(2012,12,31)-841</f>
        <v>40433</v>
      </c>
      <c r="B3050" s="15" t="s">
        <v>1273</v>
      </c>
      <c r="C3050" s="15" t="s">
        <v>43</v>
      </c>
      <c r="D3050" s="16">
        <v>46</v>
      </c>
      <c r="E3050" s="17">
        <v>385.05</v>
      </c>
      <c r="F3050" s="16">
        <v>0</v>
      </c>
      <c r="G3050" s="15" t="s">
        <v>32</v>
      </c>
      <c r="H3050" s="18">
        <v>56.75</v>
      </c>
      <c r="I3050" s="19">
        <v>8.14</v>
      </c>
      <c r="J3050" s="19">
        <v>3.12</v>
      </c>
      <c r="K3050" s="19" t="s">
        <v>124</v>
      </c>
      <c r="L3050" s="19" t="s">
        <v>164</v>
      </c>
      <c r="M3050" s="15" t="s">
        <v>1996</v>
      </c>
      <c r="N3050" s="15" t="s">
        <v>36</v>
      </c>
      <c r="O3050" s="15" t="s">
        <v>77</v>
      </c>
      <c r="P3050" s="20" t="s">
        <v>1844</v>
      </c>
      <c r="Q3050" s="15" t="s">
        <v>79</v>
      </c>
      <c r="R3050" s="4"/>
      <c r="S3050" s="4"/>
    </row>
    <row r="3051" spans="1:19" ht="21" customHeight="1" x14ac:dyDescent="0.25">
      <c r="A3051" s="14">
        <f>DATE(2012,12,31)-771</f>
        <v>40503</v>
      </c>
      <c r="B3051" s="15" t="s">
        <v>908</v>
      </c>
      <c r="C3051" s="15" t="s">
        <v>43</v>
      </c>
      <c r="D3051" s="16">
        <v>27</v>
      </c>
      <c r="E3051" s="17">
        <v>85.77</v>
      </c>
      <c r="F3051" s="16">
        <v>0.03</v>
      </c>
      <c r="G3051" s="15" t="s">
        <v>32</v>
      </c>
      <c r="H3051" s="18">
        <v>-102.01649999999999</v>
      </c>
      <c r="I3051" s="19">
        <v>2.84</v>
      </c>
      <c r="J3051" s="19">
        <v>5.44</v>
      </c>
      <c r="K3051" s="19" t="s">
        <v>124</v>
      </c>
      <c r="L3051" s="19" t="s">
        <v>125</v>
      </c>
      <c r="M3051" s="15" t="s">
        <v>1829</v>
      </c>
      <c r="N3051" s="15" t="s">
        <v>36</v>
      </c>
      <c r="O3051" s="15" t="s">
        <v>170</v>
      </c>
      <c r="P3051" s="20" t="s">
        <v>641</v>
      </c>
      <c r="Q3051" s="15" t="s">
        <v>83</v>
      </c>
      <c r="R3051" s="4"/>
      <c r="S3051" s="4"/>
    </row>
    <row r="3052" spans="1:19" ht="21" customHeight="1" x14ac:dyDescent="0.25">
      <c r="A3052" s="14">
        <f>DATE(2012,12,31)-771</f>
        <v>40503</v>
      </c>
      <c r="B3052" s="15" t="s">
        <v>908</v>
      </c>
      <c r="C3052" s="15" t="s">
        <v>43</v>
      </c>
      <c r="D3052" s="16">
        <v>13</v>
      </c>
      <c r="E3052" s="17">
        <v>149.31</v>
      </c>
      <c r="F3052" s="16">
        <v>0</v>
      </c>
      <c r="G3052" s="15" t="s">
        <v>32</v>
      </c>
      <c r="H3052" s="18">
        <v>7.7690000000000001</v>
      </c>
      <c r="I3052" s="19">
        <v>10.98</v>
      </c>
      <c r="J3052" s="19">
        <v>5.14</v>
      </c>
      <c r="K3052" s="19" t="s">
        <v>124</v>
      </c>
      <c r="L3052" s="19" t="s">
        <v>319</v>
      </c>
      <c r="M3052" s="15" t="s">
        <v>1966</v>
      </c>
      <c r="N3052" s="15" t="s">
        <v>36</v>
      </c>
      <c r="O3052" s="15" t="s">
        <v>170</v>
      </c>
      <c r="P3052" s="20" t="s">
        <v>1590</v>
      </c>
      <c r="Q3052" s="15" t="s">
        <v>83</v>
      </c>
      <c r="R3052" s="4"/>
      <c r="S3052" s="4"/>
    </row>
    <row r="3053" spans="1:19" ht="21" customHeight="1" x14ac:dyDescent="0.25">
      <c r="A3053" s="14">
        <f>DATE(2012,12,31)-1005</f>
        <v>40269</v>
      </c>
      <c r="B3053" s="15" t="s">
        <v>1874</v>
      </c>
      <c r="C3053" s="15" t="s">
        <v>31</v>
      </c>
      <c r="D3053" s="16">
        <v>21</v>
      </c>
      <c r="E3053" s="17">
        <v>1049.79</v>
      </c>
      <c r="F3053" s="16">
        <v>0.08</v>
      </c>
      <c r="G3053" s="15" t="s">
        <v>32</v>
      </c>
      <c r="H3053" s="18">
        <v>135.79</v>
      </c>
      <c r="I3053" s="19">
        <v>51.75</v>
      </c>
      <c r="J3053" s="19">
        <v>19.989999999999998</v>
      </c>
      <c r="K3053" s="19" t="s">
        <v>44</v>
      </c>
      <c r="L3053" s="19" t="s">
        <v>52</v>
      </c>
      <c r="M3053" s="15" t="s">
        <v>1685</v>
      </c>
      <c r="N3053" s="15" t="s">
        <v>54</v>
      </c>
      <c r="O3053" s="15" t="s">
        <v>55</v>
      </c>
      <c r="P3053" s="20" t="s">
        <v>2002</v>
      </c>
      <c r="Q3053" s="15" t="s">
        <v>83</v>
      </c>
      <c r="R3053" s="4"/>
      <c r="S3053" s="4"/>
    </row>
    <row r="3054" spans="1:19" ht="21" customHeight="1" x14ac:dyDescent="0.25">
      <c r="A3054" s="14">
        <f>DATE(2012,12,31)-1005</f>
        <v>40269</v>
      </c>
      <c r="B3054" s="15" t="s">
        <v>1874</v>
      </c>
      <c r="C3054" s="15" t="s">
        <v>31</v>
      </c>
      <c r="D3054" s="16">
        <v>16</v>
      </c>
      <c r="E3054" s="17">
        <v>817.18</v>
      </c>
      <c r="F3054" s="16">
        <v>0.1</v>
      </c>
      <c r="G3054" s="15" t="s">
        <v>32</v>
      </c>
      <c r="H3054" s="18">
        <v>103.38</v>
      </c>
      <c r="I3054" s="19">
        <v>55.29</v>
      </c>
      <c r="J3054" s="19">
        <v>5.08</v>
      </c>
      <c r="K3054" s="19" t="s">
        <v>44</v>
      </c>
      <c r="L3054" s="19" t="s">
        <v>80</v>
      </c>
      <c r="M3054" s="15" t="s">
        <v>1823</v>
      </c>
      <c r="N3054" s="15" t="s">
        <v>36</v>
      </c>
      <c r="O3054" s="15" t="s">
        <v>37</v>
      </c>
      <c r="P3054" s="20" t="s">
        <v>1230</v>
      </c>
      <c r="Q3054" s="15" t="s">
        <v>83</v>
      </c>
      <c r="R3054" s="4"/>
      <c r="S3054" s="4"/>
    </row>
    <row r="3055" spans="1:19" ht="21" customHeight="1" x14ac:dyDescent="0.25">
      <c r="A3055" s="14">
        <f>DATE(2012,12,31)-707</f>
        <v>40567</v>
      </c>
      <c r="B3055" s="15" t="s">
        <v>1926</v>
      </c>
      <c r="C3055" s="15" t="s">
        <v>43</v>
      </c>
      <c r="D3055" s="16">
        <v>27</v>
      </c>
      <c r="E3055" s="17">
        <v>81.900000000000006</v>
      </c>
      <c r="F3055" s="16">
        <v>0.01</v>
      </c>
      <c r="G3055" s="15" t="s">
        <v>32</v>
      </c>
      <c r="H3055" s="18">
        <v>4.0599999999999996</v>
      </c>
      <c r="I3055" s="19">
        <v>2.94</v>
      </c>
      <c r="J3055" s="19">
        <v>0.96</v>
      </c>
      <c r="K3055" s="19" t="s">
        <v>44</v>
      </c>
      <c r="L3055" s="19" t="s">
        <v>52</v>
      </c>
      <c r="M3055" s="15" t="s">
        <v>1685</v>
      </c>
      <c r="N3055" s="15" t="s">
        <v>36</v>
      </c>
      <c r="O3055" s="15" t="s">
        <v>77</v>
      </c>
      <c r="P3055" s="20" t="s">
        <v>830</v>
      </c>
      <c r="Q3055" s="15" t="s">
        <v>79</v>
      </c>
      <c r="R3055" s="4"/>
      <c r="S3055" s="4"/>
    </row>
    <row r="3056" spans="1:19" ht="21" customHeight="1" x14ac:dyDescent="0.25">
      <c r="A3056" s="14">
        <f>DATE(2012,12,31)-707</f>
        <v>40567</v>
      </c>
      <c r="B3056" s="15" t="s">
        <v>1926</v>
      </c>
      <c r="C3056" s="15" t="s">
        <v>43</v>
      </c>
      <c r="D3056" s="16">
        <v>44</v>
      </c>
      <c r="E3056" s="17">
        <v>495.5</v>
      </c>
      <c r="F3056" s="16">
        <v>0.06</v>
      </c>
      <c r="G3056" s="15" t="s">
        <v>32</v>
      </c>
      <c r="H3056" s="18">
        <v>-12.67</v>
      </c>
      <c r="I3056" s="19">
        <v>11.58</v>
      </c>
      <c r="J3056" s="19">
        <v>6.97</v>
      </c>
      <c r="K3056" s="19" t="s">
        <v>33</v>
      </c>
      <c r="L3056" s="19" t="s">
        <v>145</v>
      </c>
      <c r="M3056" s="15" t="s">
        <v>1761</v>
      </c>
      <c r="N3056" s="15" t="s">
        <v>36</v>
      </c>
      <c r="O3056" s="15" t="s">
        <v>189</v>
      </c>
      <c r="P3056" s="20" t="s">
        <v>977</v>
      </c>
      <c r="Q3056" s="15" t="s">
        <v>83</v>
      </c>
      <c r="R3056" s="4"/>
      <c r="S3056" s="4"/>
    </row>
    <row r="3057" spans="1:19" ht="21" customHeight="1" x14ac:dyDescent="0.25">
      <c r="A3057" s="14">
        <f>DATE(2012,12,31)-911</f>
        <v>40363</v>
      </c>
      <c r="B3057" s="15" t="s">
        <v>433</v>
      </c>
      <c r="C3057" s="15" t="s">
        <v>51</v>
      </c>
      <c r="D3057" s="16">
        <v>6</v>
      </c>
      <c r="E3057" s="17">
        <v>34.880000000000003</v>
      </c>
      <c r="F3057" s="16">
        <v>0.06</v>
      </c>
      <c r="G3057" s="15" t="s">
        <v>32</v>
      </c>
      <c r="H3057" s="18">
        <v>-18.342500000000001</v>
      </c>
      <c r="I3057" s="19">
        <v>4.91</v>
      </c>
      <c r="J3057" s="19">
        <v>4.97</v>
      </c>
      <c r="K3057" s="19" t="s">
        <v>69</v>
      </c>
      <c r="L3057" s="19" t="s">
        <v>70</v>
      </c>
      <c r="M3057" s="15" t="s">
        <v>1895</v>
      </c>
      <c r="N3057" s="15" t="s">
        <v>36</v>
      </c>
      <c r="O3057" s="15" t="s">
        <v>170</v>
      </c>
      <c r="P3057" s="20" t="s">
        <v>2003</v>
      </c>
      <c r="Q3057" s="15" t="s">
        <v>83</v>
      </c>
      <c r="R3057" s="4"/>
      <c r="S3057" s="4"/>
    </row>
    <row r="3058" spans="1:19" ht="21" customHeight="1" x14ac:dyDescent="0.25">
      <c r="A3058" s="14">
        <f>DATE(2012,12,31)-434</f>
        <v>40840</v>
      </c>
      <c r="B3058" s="15" t="s">
        <v>796</v>
      </c>
      <c r="C3058" s="15" t="s">
        <v>85</v>
      </c>
      <c r="D3058" s="16">
        <v>30</v>
      </c>
      <c r="E3058" s="17">
        <v>532.11</v>
      </c>
      <c r="F3058" s="16">
        <v>0.01</v>
      </c>
      <c r="G3058" s="15" t="s">
        <v>101</v>
      </c>
      <c r="H3058" s="18">
        <v>59.47</v>
      </c>
      <c r="I3058" s="19">
        <v>17.07</v>
      </c>
      <c r="J3058" s="19">
        <v>8.1300000000000008</v>
      </c>
      <c r="K3058" s="19" t="s">
        <v>33</v>
      </c>
      <c r="L3058" s="19" t="s">
        <v>93</v>
      </c>
      <c r="M3058" s="15" t="s">
        <v>94</v>
      </c>
      <c r="N3058" s="15" t="s">
        <v>36</v>
      </c>
      <c r="O3058" s="15" t="s">
        <v>189</v>
      </c>
      <c r="P3058" s="20" t="s">
        <v>2004</v>
      </c>
      <c r="Q3058" s="15" t="s">
        <v>83</v>
      </c>
      <c r="R3058" s="4"/>
      <c r="S3058" s="4"/>
    </row>
    <row r="3059" spans="1:19" ht="21" customHeight="1" x14ac:dyDescent="0.25">
      <c r="A3059" s="14">
        <f>DATE(2012,12,31)-379</f>
        <v>40895</v>
      </c>
      <c r="B3059" s="15" t="s">
        <v>2005</v>
      </c>
      <c r="C3059" s="15" t="s">
        <v>85</v>
      </c>
      <c r="D3059" s="16">
        <v>6</v>
      </c>
      <c r="E3059" s="17">
        <v>54.3</v>
      </c>
      <c r="F3059" s="16">
        <v>0.1</v>
      </c>
      <c r="G3059" s="15" t="s">
        <v>32</v>
      </c>
      <c r="H3059" s="18">
        <v>1.27</v>
      </c>
      <c r="I3059" s="19">
        <v>9.68</v>
      </c>
      <c r="J3059" s="19">
        <v>2.0299999999999998</v>
      </c>
      <c r="K3059" s="19" t="s">
        <v>33</v>
      </c>
      <c r="L3059" s="19" t="s">
        <v>59</v>
      </c>
      <c r="M3059" s="15" t="s">
        <v>1941</v>
      </c>
      <c r="N3059" s="15" t="s">
        <v>36</v>
      </c>
      <c r="O3059" s="15" t="s">
        <v>117</v>
      </c>
      <c r="P3059" s="20" t="s">
        <v>1060</v>
      </c>
      <c r="Q3059" s="15" t="s">
        <v>79</v>
      </c>
      <c r="R3059" s="4"/>
      <c r="S3059" s="4"/>
    </row>
    <row r="3060" spans="1:19" ht="21" customHeight="1" x14ac:dyDescent="0.25">
      <c r="A3060" s="14">
        <f>DATE(2012,12,31)-1146</f>
        <v>40128</v>
      </c>
      <c r="B3060" s="15" t="s">
        <v>1782</v>
      </c>
      <c r="C3060" s="15" t="s">
        <v>51</v>
      </c>
      <c r="D3060" s="16">
        <v>17</v>
      </c>
      <c r="E3060" s="17">
        <v>8937.3799999999992</v>
      </c>
      <c r="F3060" s="16">
        <v>0.01</v>
      </c>
      <c r="G3060" s="15" t="s">
        <v>58</v>
      </c>
      <c r="H3060" s="18">
        <v>2383.42</v>
      </c>
      <c r="I3060" s="19">
        <v>500.98</v>
      </c>
      <c r="J3060" s="19">
        <v>26</v>
      </c>
      <c r="K3060" s="19" t="s">
        <v>33</v>
      </c>
      <c r="L3060" s="19" t="s">
        <v>145</v>
      </c>
      <c r="M3060" s="15" t="s">
        <v>1761</v>
      </c>
      <c r="N3060" s="15" t="s">
        <v>54</v>
      </c>
      <c r="O3060" s="15" t="s">
        <v>252</v>
      </c>
      <c r="P3060" s="20" t="s">
        <v>577</v>
      </c>
      <c r="Q3060" s="15" t="s">
        <v>181</v>
      </c>
      <c r="R3060" s="4"/>
      <c r="S3060" s="4"/>
    </row>
    <row r="3061" spans="1:19" ht="21" customHeight="1" x14ac:dyDescent="0.25">
      <c r="A3061" s="14">
        <f>DATE(2012,12,31)-1146</f>
        <v>40128</v>
      </c>
      <c r="B3061" s="15" t="s">
        <v>1782</v>
      </c>
      <c r="C3061" s="15" t="s">
        <v>51</v>
      </c>
      <c r="D3061" s="16">
        <v>11</v>
      </c>
      <c r="E3061" s="17">
        <v>108.85</v>
      </c>
      <c r="F3061" s="16">
        <v>0.08</v>
      </c>
      <c r="G3061" s="15" t="s">
        <v>32</v>
      </c>
      <c r="H3061" s="18">
        <v>10.58</v>
      </c>
      <c r="I3061" s="19">
        <v>9.77</v>
      </c>
      <c r="J3061" s="19">
        <v>6.02</v>
      </c>
      <c r="K3061" s="19" t="s">
        <v>33</v>
      </c>
      <c r="L3061" s="19" t="s">
        <v>59</v>
      </c>
      <c r="M3061" s="15" t="s">
        <v>1941</v>
      </c>
      <c r="N3061" s="15" t="s">
        <v>54</v>
      </c>
      <c r="O3061" s="15" t="s">
        <v>55</v>
      </c>
      <c r="P3061" s="20" t="s">
        <v>1171</v>
      </c>
      <c r="Q3061" s="15" t="s">
        <v>57</v>
      </c>
      <c r="R3061" s="4"/>
      <c r="S3061" s="4"/>
    </row>
    <row r="3062" spans="1:19" ht="21" customHeight="1" x14ac:dyDescent="0.25">
      <c r="A3062" s="14">
        <f>DATE(2012,12,31)-1146</f>
        <v>40128</v>
      </c>
      <c r="B3062" s="15" t="s">
        <v>1782</v>
      </c>
      <c r="C3062" s="15" t="s">
        <v>51</v>
      </c>
      <c r="D3062" s="16">
        <v>49</v>
      </c>
      <c r="E3062" s="17">
        <v>157.47</v>
      </c>
      <c r="F3062" s="16">
        <v>0.09</v>
      </c>
      <c r="G3062" s="15" t="s">
        <v>32</v>
      </c>
      <c r="H3062" s="18">
        <v>8.07</v>
      </c>
      <c r="I3062" s="19">
        <v>3.28</v>
      </c>
      <c r="J3062" s="19">
        <v>0.98</v>
      </c>
      <c r="K3062" s="19" t="s">
        <v>33</v>
      </c>
      <c r="L3062" s="19" t="s">
        <v>145</v>
      </c>
      <c r="M3062" s="15" t="s">
        <v>1761</v>
      </c>
      <c r="N3062" s="15" t="s">
        <v>36</v>
      </c>
      <c r="O3062" s="15" t="s">
        <v>77</v>
      </c>
      <c r="P3062" s="20" t="s">
        <v>1600</v>
      </c>
      <c r="Q3062" s="15" t="s">
        <v>79</v>
      </c>
      <c r="R3062" s="4"/>
      <c r="S3062" s="4"/>
    </row>
    <row r="3063" spans="1:19" ht="21" customHeight="1" x14ac:dyDescent="0.25">
      <c r="A3063" s="14">
        <f>DATE(2012,12,31)-172</f>
        <v>41102</v>
      </c>
      <c r="B3063" s="15" t="s">
        <v>823</v>
      </c>
      <c r="C3063" s="15" t="s">
        <v>43</v>
      </c>
      <c r="D3063" s="16">
        <v>3</v>
      </c>
      <c r="E3063" s="17">
        <v>236.32</v>
      </c>
      <c r="F3063" s="16">
        <v>0.03</v>
      </c>
      <c r="G3063" s="15" t="s">
        <v>32</v>
      </c>
      <c r="H3063" s="18">
        <v>-339.95</v>
      </c>
      <c r="I3063" s="19">
        <v>77.510000000000005</v>
      </c>
      <c r="J3063" s="19">
        <v>4</v>
      </c>
      <c r="K3063" s="19" t="s">
        <v>33</v>
      </c>
      <c r="L3063" s="19" t="s">
        <v>145</v>
      </c>
      <c r="M3063" s="15" t="s">
        <v>2006</v>
      </c>
      <c r="N3063" s="15" t="s">
        <v>64</v>
      </c>
      <c r="O3063" s="15" t="s">
        <v>72</v>
      </c>
      <c r="P3063" s="20" t="s">
        <v>2007</v>
      </c>
      <c r="Q3063" s="15" t="s">
        <v>83</v>
      </c>
      <c r="R3063" s="4"/>
      <c r="S3063" s="4"/>
    </row>
    <row r="3064" spans="1:19" ht="21" customHeight="1" x14ac:dyDescent="0.25">
      <c r="A3064" s="14">
        <f>DATE(2012,12,31)-387</f>
        <v>40887</v>
      </c>
      <c r="B3064" s="15" t="s">
        <v>346</v>
      </c>
      <c r="C3064" s="15" t="s">
        <v>51</v>
      </c>
      <c r="D3064" s="16">
        <v>23</v>
      </c>
      <c r="E3064" s="17">
        <v>8225.24</v>
      </c>
      <c r="F3064" s="16">
        <v>0.06</v>
      </c>
      <c r="G3064" s="15" t="s">
        <v>58</v>
      </c>
      <c r="H3064" s="18">
        <v>1909.03</v>
      </c>
      <c r="I3064" s="19">
        <v>350.98</v>
      </c>
      <c r="J3064" s="19">
        <v>30</v>
      </c>
      <c r="K3064" s="19" t="s">
        <v>33</v>
      </c>
      <c r="L3064" s="19" t="s">
        <v>145</v>
      </c>
      <c r="M3064" s="15" t="s">
        <v>2006</v>
      </c>
      <c r="N3064" s="15" t="s">
        <v>54</v>
      </c>
      <c r="O3064" s="15" t="s">
        <v>252</v>
      </c>
      <c r="P3064" s="20" t="s">
        <v>2008</v>
      </c>
      <c r="Q3064" s="15" t="s">
        <v>181</v>
      </c>
      <c r="R3064" s="4"/>
      <c r="S3064" s="4"/>
    </row>
    <row r="3065" spans="1:19" ht="21" customHeight="1" x14ac:dyDescent="0.25">
      <c r="A3065" s="14">
        <f>DATE(2012,12,31)-699</f>
        <v>40575</v>
      </c>
      <c r="B3065" s="15" t="s">
        <v>1189</v>
      </c>
      <c r="C3065" s="15" t="s">
        <v>51</v>
      </c>
      <c r="D3065" s="16">
        <v>2</v>
      </c>
      <c r="E3065" s="17">
        <v>125.273</v>
      </c>
      <c r="F3065" s="16">
        <v>0.02</v>
      </c>
      <c r="G3065" s="15" t="s">
        <v>32</v>
      </c>
      <c r="H3065" s="18">
        <v>-301.90599999999995</v>
      </c>
      <c r="I3065" s="19">
        <v>65.989999999999995</v>
      </c>
      <c r="J3065" s="19">
        <v>8.99</v>
      </c>
      <c r="K3065" s="19" t="s">
        <v>33</v>
      </c>
      <c r="L3065" s="19" t="s">
        <v>145</v>
      </c>
      <c r="M3065" s="15" t="s">
        <v>2006</v>
      </c>
      <c r="N3065" s="15" t="s">
        <v>64</v>
      </c>
      <c r="O3065" s="15" t="s">
        <v>65</v>
      </c>
      <c r="P3065" s="20" t="s">
        <v>692</v>
      </c>
      <c r="Q3065" s="15" t="s">
        <v>83</v>
      </c>
      <c r="R3065" s="4"/>
      <c r="S3065" s="4"/>
    </row>
    <row r="3066" spans="1:19" ht="21" customHeight="1" x14ac:dyDescent="0.25">
      <c r="A3066" s="14">
        <f>DATE(2012,12,31)-1305</f>
        <v>39969</v>
      </c>
      <c r="B3066" s="15" t="s">
        <v>637</v>
      </c>
      <c r="C3066" s="15" t="s">
        <v>51</v>
      </c>
      <c r="D3066" s="16">
        <v>14</v>
      </c>
      <c r="E3066" s="17">
        <v>4998.03</v>
      </c>
      <c r="F3066" s="16">
        <v>0.09</v>
      </c>
      <c r="G3066" s="15" t="s">
        <v>32</v>
      </c>
      <c r="H3066" s="18">
        <v>1092.94</v>
      </c>
      <c r="I3066" s="19">
        <v>363.25</v>
      </c>
      <c r="J3066" s="19">
        <v>19.989999999999998</v>
      </c>
      <c r="K3066" s="19" t="s">
        <v>33</v>
      </c>
      <c r="L3066" s="19" t="s">
        <v>145</v>
      </c>
      <c r="M3066" s="15" t="s">
        <v>2006</v>
      </c>
      <c r="N3066" s="15" t="s">
        <v>36</v>
      </c>
      <c r="O3066" s="15" t="s">
        <v>176</v>
      </c>
      <c r="P3066" s="20" t="s">
        <v>177</v>
      </c>
      <c r="Q3066" s="15" t="s">
        <v>83</v>
      </c>
      <c r="R3066" s="4"/>
      <c r="S3066" s="4"/>
    </row>
    <row r="3067" spans="1:19" ht="21" customHeight="1" x14ac:dyDescent="0.25">
      <c r="A3067" s="14">
        <f>DATE(2012,12,31)-1223</f>
        <v>40051</v>
      </c>
      <c r="B3067" s="15" t="s">
        <v>856</v>
      </c>
      <c r="C3067" s="15" t="s">
        <v>85</v>
      </c>
      <c r="D3067" s="16">
        <v>1</v>
      </c>
      <c r="E3067" s="17">
        <v>255.83</v>
      </c>
      <c r="F3067" s="16">
        <v>7.0000000000000007E-2</v>
      </c>
      <c r="G3067" s="15" t="s">
        <v>58</v>
      </c>
      <c r="H3067" s="18">
        <v>-132.74</v>
      </c>
      <c r="I3067" s="19">
        <v>226.67</v>
      </c>
      <c r="J3067" s="19">
        <v>28.16</v>
      </c>
      <c r="K3067" s="19" t="s">
        <v>33</v>
      </c>
      <c r="L3067" s="19" t="s">
        <v>145</v>
      </c>
      <c r="M3067" s="15" t="s">
        <v>2006</v>
      </c>
      <c r="N3067" s="15" t="s">
        <v>54</v>
      </c>
      <c r="O3067" s="15" t="s">
        <v>252</v>
      </c>
      <c r="P3067" s="20" t="s">
        <v>1655</v>
      </c>
      <c r="Q3067" s="15" t="s">
        <v>181</v>
      </c>
      <c r="R3067" s="4"/>
      <c r="S3067" s="4"/>
    </row>
    <row r="3068" spans="1:19" ht="21" customHeight="1" x14ac:dyDescent="0.25">
      <c r="A3068" s="14">
        <f>DATE(2012,12,31)-1223</f>
        <v>40051</v>
      </c>
      <c r="B3068" s="15" t="s">
        <v>856</v>
      </c>
      <c r="C3068" s="15" t="s">
        <v>85</v>
      </c>
      <c r="D3068" s="16">
        <v>45</v>
      </c>
      <c r="E3068" s="17">
        <v>947.66</v>
      </c>
      <c r="F3068" s="16">
        <v>0.08</v>
      </c>
      <c r="G3068" s="15" t="s">
        <v>58</v>
      </c>
      <c r="H3068" s="18">
        <v>-2175.09</v>
      </c>
      <c r="I3068" s="19">
        <v>20.98</v>
      </c>
      <c r="J3068" s="19">
        <v>53.03</v>
      </c>
      <c r="K3068" s="19" t="s">
        <v>33</v>
      </c>
      <c r="L3068" s="19" t="s">
        <v>145</v>
      </c>
      <c r="M3068" s="15" t="s">
        <v>2006</v>
      </c>
      <c r="N3068" s="15" t="s">
        <v>36</v>
      </c>
      <c r="O3068" s="15" t="s">
        <v>37</v>
      </c>
      <c r="P3068" s="20" t="s">
        <v>180</v>
      </c>
      <c r="Q3068" s="15" t="s">
        <v>181</v>
      </c>
      <c r="R3068" s="4"/>
      <c r="S3068" s="4"/>
    </row>
    <row r="3069" spans="1:19" ht="21" customHeight="1" x14ac:dyDescent="0.25">
      <c r="A3069" s="14">
        <f>DATE(2012,12,31)-1009</f>
        <v>40265</v>
      </c>
      <c r="B3069" s="15" t="s">
        <v>1410</v>
      </c>
      <c r="C3069" s="15" t="s">
        <v>85</v>
      </c>
      <c r="D3069" s="16">
        <v>4</v>
      </c>
      <c r="E3069" s="17">
        <v>1337.19</v>
      </c>
      <c r="F3069" s="16">
        <v>0.06</v>
      </c>
      <c r="G3069" s="15" t="s">
        <v>58</v>
      </c>
      <c r="H3069" s="18">
        <v>-431.45</v>
      </c>
      <c r="I3069" s="19">
        <v>328.14</v>
      </c>
      <c r="J3069" s="19">
        <v>91.05</v>
      </c>
      <c r="K3069" s="19" t="s">
        <v>69</v>
      </c>
      <c r="L3069" s="19" t="s">
        <v>70</v>
      </c>
      <c r="M3069" s="15" t="s">
        <v>1895</v>
      </c>
      <c r="N3069" s="15" t="s">
        <v>36</v>
      </c>
      <c r="O3069" s="15" t="s">
        <v>176</v>
      </c>
      <c r="P3069" s="20" t="s">
        <v>549</v>
      </c>
      <c r="Q3069" s="15" t="s">
        <v>181</v>
      </c>
      <c r="R3069" s="4"/>
      <c r="S3069" s="4"/>
    </row>
    <row r="3070" spans="1:19" ht="21" customHeight="1" x14ac:dyDescent="0.25">
      <c r="A3070" s="14">
        <f>DATE(2012,12,31)-690</f>
        <v>40584</v>
      </c>
      <c r="B3070" s="15" t="s">
        <v>426</v>
      </c>
      <c r="C3070" s="15" t="s">
        <v>31</v>
      </c>
      <c r="D3070" s="16">
        <v>9</v>
      </c>
      <c r="E3070" s="17">
        <v>118.95</v>
      </c>
      <c r="F3070" s="16">
        <v>0.03</v>
      </c>
      <c r="G3070" s="15" t="s">
        <v>32</v>
      </c>
      <c r="H3070" s="18">
        <v>30.8</v>
      </c>
      <c r="I3070" s="19">
        <v>12.07</v>
      </c>
      <c r="J3070" s="19">
        <v>6.2</v>
      </c>
      <c r="K3070" s="19" t="s">
        <v>69</v>
      </c>
      <c r="L3070" s="19" t="s">
        <v>70</v>
      </c>
      <c r="M3070" s="15" t="s">
        <v>1895</v>
      </c>
      <c r="N3070" s="15" t="s">
        <v>54</v>
      </c>
      <c r="O3070" s="15" t="s">
        <v>55</v>
      </c>
      <c r="P3070" s="20" t="s">
        <v>829</v>
      </c>
      <c r="Q3070" s="15" t="s">
        <v>79</v>
      </c>
      <c r="R3070" s="4"/>
      <c r="S3070" s="4"/>
    </row>
    <row r="3071" spans="1:19" ht="21" customHeight="1" x14ac:dyDescent="0.25">
      <c r="A3071" s="14">
        <f>DATE(2012,12,31)-690</f>
        <v>40584</v>
      </c>
      <c r="B3071" s="15" t="s">
        <v>426</v>
      </c>
      <c r="C3071" s="15" t="s">
        <v>31</v>
      </c>
      <c r="D3071" s="16">
        <v>35</v>
      </c>
      <c r="E3071" s="17">
        <v>3814.1710000000003</v>
      </c>
      <c r="F3071" s="16">
        <v>0.04</v>
      </c>
      <c r="G3071" s="15" t="s">
        <v>32</v>
      </c>
      <c r="H3071" s="18">
        <v>1077.1289999999999</v>
      </c>
      <c r="I3071" s="19">
        <v>125.99</v>
      </c>
      <c r="J3071" s="19">
        <v>4.2</v>
      </c>
      <c r="K3071" s="19" t="s">
        <v>69</v>
      </c>
      <c r="L3071" s="19" t="s">
        <v>70</v>
      </c>
      <c r="M3071" s="15" t="s">
        <v>1895</v>
      </c>
      <c r="N3071" s="15" t="s">
        <v>64</v>
      </c>
      <c r="O3071" s="15" t="s">
        <v>65</v>
      </c>
      <c r="P3071" s="20" t="s">
        <v>1382</v>
      </c>
      <c r="Q3071" s="15" t="s">
        <v>83</v>
      </c>
      <c r="R3071" s="4"/>
      <c r="S3071" s="4"/>
    </row>
    <row r="3072" spans="1:19" ht="21" customHeight="1" x14ac:dyDescent="0.25">
      <c r="A3072" s="14">
        <f>DATE(2012,12,31)-959</f>
        <v>40315</v>
      </c>
      <c r="B3072" s="15" t="s">
        <v>390</v>
      </c>
      <c r="C3072" s="15" t="s">
        <v>85</v>
      </c>
      <c r="D3072" s="16">
        <v>37</v>
      </c>
      <c r="E3072" s="17">
        <v>498.28</v>
      </c>
      <c r="F3072" s="16">
        <v>0.01</v>
      </c>
      <c r="G3072" s="15" t="s">
        <v>32</v>
      </c>
      <c r="H3072" s="18">
        <v>10.18</v>
      </c>
      <c r="I3072" s="19">
        <v>13.48</v>
      </c>
      <c r="J3072" s="19">
        <v>4.51</v>
      </c>
      <c r="K3072" s="19" t="s">
        <v>69</v>
      </c>
      <c r="L3072" s="19" t="s">
        <v>75</v>
      </c>
      <c r="M3072" s="15" t="s">
        <v>1980</v>
      </c>
      <c r="N3072" s="15" t="s">
        <v>36</v>
      </c>
      <c r="O3072" s="15" t="s">
        <v>37</v>
      </c>
      <c r="P3072" s="20" t="s">
        <v>515</v>
      </c>
      <c r="Q3072" s="15" t="s">
        <v>83</v>
      </c>
      <c r="R3072" s="4"/>
      <c r="S3072" s="4"/>
    </row>
    <row r="3073" spans="1:19" ht="21" customHeight="1" x14ac:dyDescent="0.25">
      <c r="A3073" s="14">
        <f>DATE(2012,12,31)-1003</f>
        <v>40271</v>
      </c>
      <c r="B3073" s="15" t="s">
        <v>380</v>
      </c>
      <c r="C3073" s="15" t="s">
        <v>85</v>
      </c>
      <c r="D3073" s="16">
        <v>1</v>
      </c>
      <c r="E3073" s="17">
        <v>1409.86</v>
      </c>
      <c r="F3073" s="16">
        <v>7.0000000000000007E-2</v>
      </c>
      <c r="G3073" s="15" t="s">
        <v>58</v>
      </c>
      <c r="H3073" s="18">
        <v>-3461.1210000000001</v>
      </c>
      <c r="I3073" s="19">
        <v>1500.97</v>
      </c>
      <c r="J3073" s="19">
        <v>29.7</v>
      </c>
      <c r="K3073" s="19" t="s">
        <v>69</v>
      </c>
      <c r="L3073" s="19" t="s">
        <v>70</v>
      </c>
      <c r="M3073" s="15" t="s">
        <v>1895</v>
      </c>
      <c r="N3073" s="15" t="s">
        <v>64</v>
      </c>
      <c r="O3073" s="15" t="s">
        <v>122</v>
      </c>
      <c r="P3073" s="20" t="s">
        <v>1332</v>
      </c>
      <c r="Q3073" s="15" t="s">
        <v>181</v>
      </c>
      <c r="R3073" s="4"/>
      <c r="S3073" s="4"/>
    </row>
    <row r="3074" spans="1:19" ht="21" customHeight="1" x14ac:dyDescent="0.25">
      <c r="A3074" s="14">
        <f>DATE(2012,12,31)-367</f>
        <v>40907</v>
      </c>
      <c r="B3074" s="15" t="s">
        <v>649</v>
      </c>
      <c r="C3074" s="15" t="s">
        <v>43</v>
      </c>
      <c r="D3074" s="16">
        <v>39</v>
      </c>
      <c r="E3074" s="17">
        <v>209.33</v>
      </c>
      <c r="F3074" s="16">
        <v>0.01</v>
      </c>
      <c r="G3074" s="15" t="s">
        <v>32</v>
      </c>
      <c r="H3074" s="18">
        <v>-160.71</v>
      </c>
      <c r="I3074" s="19">
        <v>4.9800000000000004</v>
      </c>
      <c r="J3074" s="19">
        <v>7.44</v>
      </c>
      <c r="K3074" s="19" t="s">
        <v>69</v>
      </c>
      <c r="L3074" s="19" t="s">
        <v>70</v>
      </c>
      <c r="M3074" s="15" t="s">
        <v>1895</v>
      </c>
      <c r="N3074" s="15" t="s">
        <v>36</v>
      </c>
      <c r="O3074" s="15" t="s">
        <v>117</v>
      </c>
      <c r="P3074" s="20" t="s">
        <v>266</v>
      </c>
      <c r="Q3074" s="15" t="s">
        <v>83</v>
      </c>
      <c r="R3074" s="4"/>
      <c r="S3074" s="4"/>
    </row>
    <row r="3075" spans="1:19" ht="21" customHeight="1" x14ac:dyDescent="0.25">
      <c r="A3075" s="14">
        <f>DATE(2012,12,31)-863</f>
        <v>40411</v>
      </c>
      <c r="B3075" s="15" t="s">
        <v>1021</v>
      </c>
      <c r="C3075" s="15" t="s">
        <v>85</v>
      </c>
      <c r="D3075" s="16">
        <v>32</v>
      </c>
      <c r="E3075" s="17">
        <v>563.08000000000004</v>
      </c>
      <c r="F3075" s="16">
        <v>0.1</v>
      </c>
      <c r="G3075" s="15" t="s">
        <v>32</v>
      </c>
      <c r="H3075" s="18">
        <v>112.965</v>
      </c>
      <c r="I3075" s="19">
        <v>18.989999999999998</v>
      </c>
      <c r="J3075" s="19">
        <v>5.23</v>
      </c>
      <c r="K3075" s="19" t="s">
        <v>69</v>
      </c>
      <c r="L3075" s="19" t="s">
        <v>70</v>
      </c>
      <c r="M3075" s="15" t="s">
        <v>1895</v>
      </c>
      <c r="N3075" s="15" t="s">
        <v>36</v>
      </c>
      <c r="O3075" s="15" t="s">
        <v>170</v>
      </c>
      <c r="P3075" s="20" t="s">
        <v>2009</v>
      </c>
      <c r="Q3075" s="15" t="s">
        <v>83</v>
      </c>
      <c r="R3075" s="4"/>
      <c r="S3075" s="4"/>
    </row>
    <row r="3076" spans="1:19" ht="21" customHeight="1" x14ac:dyDescent="0.25">
      <c r="A3076" s="14">
        <f>DATE(2012,12,31)-886</f>
        <v>40388</v>
      </c>
      <c r="B3076" s="15" t="s">
        <v>239</v>
      </c>
      <c r="C3076" s="15" t="s">
        <v>85</v>
      </c>
      <c r="D3076" s="16">
        <v>32</v>
      </c>
      <c r="E3076" s="17">
        <v>216.79</v>
      </c>
      <c r="F3076" s="16">
        <v>7.0000000000000007E-2</v>
      </c>
      <c r="G3076" s="15" t="s">
        <v>32</v>
      </c>
      <c r="H3076" s="18">
        <v>57.55</v>
      </c>
      <c r="I3076" s="19">
        <v>6.98</v>
      </c>
      <c r="J3076" s="19">
        <v>2.83</v>
      </c>
      <c r="K3076" s="19" t="s">
        <v>69</v>
      </c>
      <c r="L3076" s="19" t="s">
        <v>215</v>
      </c>
      <c r="M3076" s="15" t="s">
        <v>1704</v>
      </c>
      <c r="N3076" s="15" t="s">
        <v>54</v>
      </c>
      <c r="O3076" s="15" t="s">
        <v>55</v>
      </c>
      <c r="P3076" s="20" t="s">
        <v>1873</v>
      </c>
      <c r="Q3076" s="15" t="s">
        <v>49</v>
      </c>
      <c r="R3076" s="4"/>
      <c r="S3076" s="4"/>
    </row>
    <row r="3077" spans="1:19" ht="21" customHeight="1" x14ac:dyDescent="0.25">
      <c r="A3077" s="14">
        <f>DATE(2012,12,31)-99</f>
        <v>41175</v>
      </c>
      <c r="B3077" s="15" t="s">
        <v>1395</v>
      </c>
      <c r="C3077" s="15" t="s">
        <v>85</v>
      </c>
      <c r="D3077" s="16">
        <v>40</v>
      </c>
      <c r="E3077" s="17">
        <v>6147.24</v>
      </c>
      <c r="F3077" s="16">
        <v>0.05</v>
      </c>
      <c r="G3077" s="15" t="s">
        <v>58</v>
      </c>
      <c r="H3077" s="18">
        <v>632.98</v>
      </c>
      <c r="I3077" s="19">
        <v>160.97999999999999</v>
      </c>
      <c r="J3077" s="19">
        <v>30</v>
      </c>
      <c r="K3077" s="19" t="s">
        <v>69</v>
      </c>
      <c r="L3077" s="19" t="s">
        <v>215</v>
      </c>
      <c r="M3077" s="15" t="s">
        <v>1704</v>
      </c>
      <c r="N3077" s="15" t="s">
        <v>54</v>
      </c>
      <c r="O3077" s="15" t="s">
        <v>252</v>
      </c>
      <c r="P3077" s="20" t="s">
        <v>726</v>
      </c>
      <c r="Q3077" s="15" t="s">
        <v>181</v>
      </c>
      <c r="R3077" s="4"/>
      <c r="S3077" s="4"/>
    </row>
    <row r="3078" spans="1:19" ht="21" customHeight="1" x14ac:dyDescent="0.25">
      <c r="A3078" s="14">
        <f>DATE(2012,12,31)-1413</f>
        <v>39861</v>
      </c>
      <c r="B3078" s="15" t="s">
        <v>1688</v>
      </c>
      <c r="C3078" s="15" t="s">
        <v>85</v>
      </c>
      <c r="D3078" s="16">
        <v>2</v>
      </c>
      <c r="E3078" s="17">
        <v>16.809999999999999</v>
      </c>
      <c r="F3078" s="16">
        <v>0.05</v>
      </c>
      <c r="G3078" s="15" t="s">
        <v>101</v>
      </c>
      <c r="H3078" s="18">
        <v>-4.1399999999999997</v>
      </c>
      <c r="I3078" s="19">
        <v>6.04</v>
      </c>
      <c r="J3078" s="19">
        <v>2.14</v>
      </c>
      <c r="K3078" s="19" t="s">
        <v>111</v>
      </c>
      <c r="L3078" s="19" t="s">
        <v>442</v>
      </c>
      <c r="M3078" s="15" t="s">
        <v>2010</v>
      </c>
      <c r="N3078" s="15" t="s">
        <v>36</v>
      </c>
      <c r="O3078" s="15" t="s">
        <v>117</v>
      </c>
      <c r="P3078" s="20" t="s">
        <v>2011</v>
      </c>
      <c r="Q3078" s="15" t="s">
        <v>79</v>
      </c>
      <c r="R3078" s="4"/>
      <c r="S3078" s="4"/>
    </row>
    <row r="3079" spans="1:19" ht="21" customHeight="1" x14ac:dyDescent="0.25">
      <c r="A3079" s="14">
        <f>DATE(2012,12,31)-297</f>
        <v>40977</v>
      </c>
      <c r="B3079" s="15" t="s">
        <v>1338</v>
      </c>
      <c r="C3079" s="15" t="s">
        <v>31</v>
      </c>
      <c r="D3079" s="16">
        <v>41</v>
      </c>
      <c r="E3079" s="17">
        <v>265.61</v>
      </c>
      <c r="F3079" s="16">
        <v>0.1</v>
      </c>
      <c r="G3079" s="15" t="s">
        <v>32</v>
      </c>
      <c r="H3079" s="18">
        <v>-147.82</v>
      </c>
      <c r="I3079" s="19">
        <v>6.48</v>
      </c>
      <c r="J3079" s="19">
        <v>7.37</v>
      </c>
      <c r="K3079" s="19" t="s">
        <v>44</v>
      </c>
      <c r="L3079" s="19" t="s">
        <v>80</v>
      </c>
      <c r="M3079" s="15" t="s">
        <v>2012</v>
      </c>
      <c r="N3079" s="15" t="s">
        <v>36</v>
      </c>
      <c r="O3079" s="15" t="s">
        <v>117</v>
      </c>
      <c r="P3079" s="20" t="s">
        <v>998</v>
      </c>
      <c r="Q3079" s="15" t="s">
        <v>83</v>
      </c>
      <c r="R3079" s="4"/>
      <c r="S3079" s="4"/>
    </row>
    <row r="3080" spans="1:19" ht="21" customHeight="1" x14ac:dyDescent="0.25">
      <c r="A3080" s="14">
        <f>DATE(2012,12,31)-297</f>
        <v>40977</v>
      </c>
      <c r="B3080" s="15" t="s">
        <v>1338</v>
      </c>
      <c r="C3080" s="15" t="s">
        <v>31</v>
      </c>
      <c r="D3080" s="16">
        <v>27</v>
      </c>
      <c r="E3080" s="17">
        <v>485.03</v>
      </c>
      <c r="F3080" s="16">
        <v>7.0000000000000007E-2</v>
      </c>
      <c r="G3080" s="15" t="s">
        <v>32</v>
      </c>
      <c r="H3080" s="18">
        <v>-88.02</v>
      </c>
      <c r="I3080" s="19">
        <v>17.7</v>
      </c>
      <c r="J3080" s="19">
        <v>9.4700000000000006</v>
      </c>
      <c r="K3080" s="19" t="s">
        <v>44</v>
      </c>
      <c r="L3080" s="19" t="s">
        <v>89</v>
      </c>
      <c r="M3080" s="15" t="s">
        <v>1932</v>
      </c>
      <c r="N3080" s="15" t="s">
        <v>36</v>
      </c>
      <c r="O3080" s="15" t="s">
        <v>37</v>
      </c>
      <c r="P3080" s="20" t="s">
        <v>269</v>
      </c>
      <c r="Q3080" s="15" t="s">
        <v>83</v>
      </c>
      <c r="R3080" s="4"/>
      <c r="S3080" s="4"/>
    </row>
    <row r="3081" spans="1:19" ht="21" customHeight="1" x14ac:dyDescent="0.25">
      <c r="A3081" s="14">
        <f>DATE(2012,12,31)-382</f>
        <v>40892</v>
      </c>
      <c r="B3081" s="15" t="s">
        <v>2013</v>
      </c>
      <c r="C3081" s="15" t="s">
        <v>85</v>
      </c>
      <c r="D3081" s="16">
        <v>21</v>
      </c>
      <c r="E3081" s="17">
        <v>2039.33</v>
      </c>
      <c r="F3081" s="16">
        <v>0.08</v>
      </c>
      <c r="G3081" s="15" t="s">
        <v>58</v>
      </c>
      <c r="H3081" s="18">
        <v>-862.44</v>
      </c>
      <c r="I3081" s="19">
        <v>95.95</v>
      </c>
      <c r="J3081" s="19">
        <v>74.349999999999994</v>
      </c>
      <c r="K3081" s="19" t="s">
        <v>44</v>
      </c>
      <c r="L3081" s="19" t="s">
        <v>89</v>
      </c>
      <c r="M3081" s="15" t="s">
        <v>1932</v>
      </c>
      <c r="N3081" s="15" t="s">
        <v>54</v>
      </c>
      <c r="O3081" s="15" t="s">
        <v>252</v>
      </c>
      <c r="P3081" s="20" t="s">
        <v>540</v>
      </c>
      <c r="Q3081" s="15" t="s">
        <v>181</v>
      </c>
      <c r="R3081" s="4"/>
      <c r="S3081" s="4"/>
    </row>
    <row r="3082" spans="1:19" ht="21" customHeight="1" x14ac:dyDescent="0.25">
      <c r="A3082" s="14">
        <f>DATE(2012,12,31)-930</f>
        <v>40344</v>
      </c>
      <c r="B3082" s="15" t="s">
        <v>630</v>
      </c>
      <c r="C3082" s="15" t="s">
        <v>31</v>
      </c>
      <c r="D3082" s="16">
        <v>5</v>
      </c>
      <c r="E3082" s="17">
        <v>751.94</v>
      </c>
      <c r="F3082" s="16">
        <v>0.02</v>
      </c>
      <c r="G3082" s="15" t="s">
        <v>58</v>
      </c>
      <c r="H3082" s="18">
        <v>-283.94189999999998</v>
      </c>
      <c r="I3082" s="19">
        <v>145.44999999999999</v>
      </c>
      <c r="J3082" s="19">
        <v>17.850000000000001</v>
      </c>
      <c r="K3082" s="19" t="s">
        <v>44</v>
      </c>
      <c r="L3082" s="19" t="s">
        <v>45</v>
      </c>
      <c r="M3082" s="15" t="s">
        <v>1985</v>
      </c>
      <c r="N3082" s="15" t="s">
        <v>64</v>
      </c>
      <c r="O3082" s="15" t="s">
        <v>122</v>
      </c>
      <c r="P3082" s="20" t="s">
        <v>299</v>
      </c>
      <c r="Q3082" s="15" t="s">
        <v>181</v>
      </c>
      <c r="R3082" s="4"/>
      <c r="S3082" s="4"/>
    </row>
    <row r="3083" spans="1:19" ht="21" customHeight="1" x14ac:dyDescent="0.25">
      <c r="A3083" s="14">
        <f>DATE(2012,12,31)-872</f>
        <v>40402</v>
      </c>
      <c r="B3083" s="15" t="s">
        <v>1070</v>
      </c>
      <c r="C3083" s="15" t="s">
        <v>85</v>
      </c>
      <c r="D3083" s="16">
        <v>16</v>
      </c>
      <c r="E3083" s="17">
        <v>581.52</v>
      </c>
      <c r="F3083" s="16">
        <v>0.03</v>
      </c>
      <c r="G3083" s="15" t="s">
        <v>101</v>
      </c>
      <c r="H3083" s="18">
        <v>175.16</v>
      </c>
      <c r="I3083" s="19">
        <v>35.44</v>
      </c>
      <c r="J3083" s="19">
        <v>7.5</v>
      </c>
      <c r="K3083" s="19" t="s">
        <v>44</v>
      </c>
      <c r="L3083" s="19" t="s">
        <v>45</v>
      </c>
      <c r="M3083" s="15" t="s">
        <v>1985</v>
      </c>
      <c r="N3083" s="15" t="s">
        <v>36</v>
      </c>
      <c r="O3083" s="15" t="s">
        <v>117</v>
      </c>
      <c r="P3083" s="20" t="s">
        <v>1697</v>
      </c>
      <c r="Q3083" s="15" t="s">
        <v>83</v>
      </c>
      <c r="R3083" s="4"/>
      <c r="S3083" s="4"/>
    </row>
    <row r="3084" spans="1:19" ht="21" customHeight="1" x14ac:dyDescent="0.25">
      <c r="A3084" s="14">
        <f>DATE(2012,12,31)-872</f>
        <v>40402</v>
      </c>
      <c r="B3084" s="15" t="s">
        <v>1070</v>
      </c>
      <c r="C3084" s="15" t="s">
        <v>85</v>
      </c>
      <c r="D3084" s="16">
        <v>5</v>
      </c>
      <c r="E3084" s="17">
        <v>19.170000000000002</v>
      </c>
      <c r="F3084" s="16">
        <v>0.1</v>
      </c>
      <c r="G3084" s="15" t="s">
        <v>32</v>
      </c>
      <c r="H3084" s="18">
        <v>-16.420000000000002</v>
      </c>
      <c r="I3084" s="19">
        <v>3.28</v>
      </c>
      <c r="J3084" s="19">
        <v>3.97</v>
      </c>
      <c r="K3084" s="19" t="s">
        <v>44</v>
      </c>
      <c r="L3084" s="19" t="s">
        <v>89</v>
      </c>
      <c r="M3084" s="15" t="s">
        <v>1932</v>
      </c>
      <c r="N3084" s="15" t="s">
        <v>36</v>
      </c>
      <c r="O3084" s="15" t="s">
        <v>77</v>
      </c>
      <c r="P3084" s="20" t="s">
        <v>1663</v>
      </c>
      <c r="Q3084" s="15" t="s">
        <v>79</v>
      </c>
      <c r="R3084" s="4"/>
      <c r="S3084" s="4"/>
    </row>
    <row r="3085" spans="1:19" ht="21" customHeight="1" x14ac:dyDescent="0.25">
      <c r="A3085" s="14">
        <f>DATE(2012,12,31)-1443</f>
        <v>39831</v>
      </c>
      <c r="B3085" s="15" t="s">
        <v>1189</v>
      </c>
      <c r="C3085" s="15" t="s">
        <v>51</v>
      </c>
      <c r="D3085" s="16">
        <v>50</v>
      </c>
      <c r="E3085" s="17">
        <v>2842.54</v>
      </c>
      <c r="F3085" s="16">
        <v>0.05</v>
      </c>
      <c r="G3085" s="15" t="s">
        <v>32</v>
      </c>
      <c r="H3085" s="18">
        <v>1315.749</v>
      </c>
      <c r="I3085" s="19">
        <v>58.1</v>
      </c>
      <c r="J3085" s="19">
        <v>1.49</v>
      </c>
      <c r="K3085" s="19" t="s">
        <v>44</v>
      </c>
      <c r="L3085" s="19" t="s">
        <v>89</v>
      </c>
      <c r="M3085" s="15" t="s">
        <v>1932</v>
      </c>
      <c r="N3085" s="15" t="s">
        <v>36</v>
      </c>
      <c r="O3085" s="15" t="s">
        <v>170</v>
      </c>
      <c r="P3085" s="20" t="s">
        <v>1104</v>
      </c>
      <c r="Q3085" s="15" t="s">
        <v>83</v>
      </c>
      <c r="R3085" s="4"/>
      <c r="S3085" s="4"/>
    </row>
    <row r="3086" spans="1:19" ht="21" customHeight="1" x14ac:dyDescent="0.25">
      <c r="A3086" s="14">
        <f>DATE(2012,12,31)-1256</f>
        <v>40018</v>
      </c>
      <c r="B3086" s="15" t="s">
        <v>1969</v>
      </c>
      <c r="C3086" s="15" t="s">
        <v>31</v>
      </c>
      <c r="D3086" s="16">
        <v>20</v>
      </c>
      <c r="E3086" s="17">
        <v>939.39</v>
      </c>
      <c r="F3086" s="16">
        <v>7.0000000000000007E-2</v>
      </c>
      <c r="G3086" s="15" t="s">
        <v>32</v>
      </c>
      <c r="H3086" s="18">
        <v>-122.77</v>
      </c>
      <c r="I3086" s="19">
        <v>49.43</v>
      </c>
      <c r="J3086" s="19">
        <v>19.989999999999998</v>
      </c>
      <c r="K3086" s="19" t="s">
        <v>44</v>
      </c>
      <c r="L3086" s="19" t="s">
        <v>120</v>
      </c>
      <c r="M3086" s="15" t="s">
        <v>121</v>
      </c>
      <c r="N3086" s="15" t="s">
        <v>36</v>
      </c>
      <c r="O3086" s="15" t="s">
        <v>176</v>
      </c>
      <c r="P3086" s="20" t="s">
        <v>1710</v>
      </c>
      <c r="Q3086" s="15" t="s">
        <v>83</v>
      </c>
      <c r="R3086" s="4"/>
      <c r="S3086" s="4"/>
    </row>
    <row r="3087" spans="1:19" ht="21" customHeight="1" x14ac:dyDescent="0.25">
      <c r="A3087" s="14">
        <f>DATE(2012,12,31)-1445</f>
        <v>39829</v>
      </c>
      <c r="B3087" s="15" t="s">
        <v>979</v>
      </c>
      <c r="C3087" s="15" t="s">
        <v>31</v>
      </c>
      <c r="D3087" s="16">
        <v>37</v>
      </c>
      <c r="E3087" s="17">
        <v>832.14</v>
      </c>
      <c r="F3087" s="16">
        <v>0.04</v>
      </c>
      <c r="G3087" s="15" t="s">
        <v>32</v>
      </c>
      <c r="H3087" s="18">
        <v>175.07</v>
      </c>
      <c r="I3087" s="19">
        <v>22.72</v>
      </c>
      <c r="J3087" s="19">
        <v>8.99</v>
      </c>
      <c r="K3087" s="19" t="s">
        <v>44</v>
      </c>
      <c r="L3087" s="19" t="s">
        <v>45</v>
      </c>
      <c r="M3087" s="15" t="s">
        <v>1985</v>
      </c>
      <c r="N3087" s="15" t="s">
        <v>54</v>
      </c>
      <c r="O3087" s="15" t="s">
        <v>55</v>
      </c>
      <c r="P3087" s="20" t="s">
        <v>927</v>
      </c>
      <c r="Q3087" s="15" t="s">
        <v>49</v>
      </c>
      <c r="R3087" s="4"/>
      <c r="S3087" s="4"/>
    </row>
    <row r="3088" spans="1:19" ht="21" customHeight="1" x14ac:dyDescent="0.25">
      <c r="A3088" s="14">
        <f>DATE(2012,12,31)-465</f>
        <v>40809</v>
      </c>
      <c r="B3088" s="15" t="s">
        <v>1748</v>
      </c>
      <c r="C3088" s="15" t="s">
        <v>31</v>
      </c>
      <c r="D3088" s="16">
        <v>47</v>
      </c>
      <c r="E3088" s="17">
        <v>191.13</v>
      </c>
      <c r="F3088" s="16">
        <v>7.0000000000000007E-2</v>
      </c>
      <c r="G3088" s="15" t="s">
        <v>32</v>
      </c>
      <c r="H3088" s="18">
        <v>38.11</v>
      </c>
      <c r="I3088" s="19">
        <v>4.26</v>
      </c>
      <c r="J3088" s="19">
        <v>1.2</v>
      </c>
      <c r="K3088" s="19" t="s">
        <v>44</v>
      </c>
      <c r="L3088" s="19" t="s">
        <v>80</v>
      </c>
      <c r="M3088" s="15" t="s">
        <v>2012</v>
      </c>
      <c r="N3088" s="15" t="s">
        <v>36</v>
      </c>
      <c r="O3088" s="15" t="s">
        <v>77</v>
      </c>
      <c r="P3088" s="20" t="s">
        <v>317</v>
      </c>
      <c r="Q3088" s="15" t="s">
        <v>79</v>
      </c>
      <c r="R3088" s="4"/>
      <c r="S3088" s="4"/>
    </row>
    <row r="3089" spans="1:19" ht="21" customHeight="1" x14ac:dyDescent="0.25">
      <c r="A3089" s="14">
        <f>DATE(2012,12,31)-465</f>
        <v>40809</v>
      </c>
      <c r="B3089" s="15" t="s">
        <v>1748</v>
      </c>
      <c r="C3089" s="15" t="s">
        <v>31</v>
      </c>
      <c r="D3089" s="16">
        <v>17</v>
      </c>
      <c r="E3089" s="17">
        <v>48.24</v>
      </c>
      <c r="F3089" s="16">
        <v>0.09</v>
      </c>
      <c r="G3089" s="15" t="s">
        <v>32</v>
      </c>
      <c r="H3089" s="18">
        <v>-1.62</v>
      </c>
      <c r="I3089" s="19">
        <v>2.88</v>
      </c>
      <c r="J3089" s="19">
        <v>1.01</v>
      </c>
      <c r="K3089" s="19" t="s">
        <v>33</v>
      </c>
      <c r="L3089" s="19" t="s">
        <v>128</v>
      </c>
      <c r="M3089" s="15" t="s">
        <v>129</v>
      </c>
      <c r="N3089" s="15" t="s">
        <v>36</v>
      </c>
      <c r="O3089" s="15" t="s">
        <v>77</v>
      </c>
      <c r="P3089" s="20" t="s">
        <v>1461</v>
      </c>
      <c r="Q3089" s="15" t="s">
        <v>79</v>
      </c>
      <c r="R3089" s="4"/>
      <c r="S3089" s="4"/>
    </row>
    <row r="3090" spans="1:19" ht="21" customHeight="1" x14ac:dyDescent="0.25">
      <c r="A3090" s="14">
        <f>DATE(2012,12,31)-884</f>
        <v>40390</v>
      </c>
      <c r="B3090" s="15" t="s">
        <v>1058</v>
      </c>
      <c r="C3090" s="15" t="s">
        <v>51</v>
      </c>
      <c r="D3090" s="16">
        <v>49</v>
      </c>
      <c r="E3090" s="17">
        <v>465.83</v>
      </c>
      <c r="F3090" s="16">
        <v>0.1</v>
      </c>
      <c r="G3090" s="15" t="s">
        <v>32</v>
      </c>
      <c r="H3090" s="18">
        <v>-79.72</v>
      </c>
      <c r="I3090" s="19">
        <v>9.65</v>
      </c>
      <c r="J3090" s="19">
        <v>6.22</v>
      </c>
      <c r="K3090" s="19" t="s">
        <v>33</v>
      </c>
      <c r="L3090" s="19" t="s">
        <v>93</v>
      </c>
      <c r="M3090" s="15" t="s">
        <v>94</v>
      </c>
      <c r="N3090" s="15" t="s">
        <v>54</v>
      </c>
      <c r="O3090" s="15" t="s">
        <v>55</v>
      </c>
      <c r="P3090" s="20" t="s">
        <v>490</v>
      </c>
      <c r="Q3090" s="15" t="s">
        <v>83</v>
      </c>
      <c r="R3090" s="4"/>
      <c r="S3090" s="4"/>
    </row>
    <row r="3091" spans="1:19" ht="21" customHeight="1" x14ac:dyDescent="0.25">
      <c r="A3091" s="14">
        <f>DATE(2012,12,31)-884</f>
        <v>40390</v>
      </c>
      <c r="B3091" s="15" t="s">
        <v>1058</v>
      </c>
      <c r="C3091" s="15" t="s">
        <v>51</v>
      </c>
      <c r="D3091" s="16">
        <v>20</v>
      </c>
      <c r="E3091" s="17">
        <v>515.37</v>
      </c>
      <c r="F3091" s="16">
        <v>0.04</v>
      </c>
      <c r="G3091" s="15" t="s">
        <v>32</v>
      </c>
      <c r="H3091" s="18">
        <v>9.8175000000000008</v>
      </c>
      <c r="I3091" s="19">
        <v>24.92</v>
      </c>
      <c r="J3091" s="19">
        <v>12.98</v>
      </c>
      <c r="K3091" s="19" t="s">
        <v>33</v>
      </c>
      <c r="L3091" s="19" t="s">
        <v>128</v>
      </c>
      <c r="M3091" s="15" t="s">
        <v>129</v>
      </c>
      <c r="N3091" s="15" t="s">
        <v>36</v>
      </c>
      <c r="O3091" s="15" t="s">
        <v>170</v>
      </c>
      <c r="P3091" s="20" t="s">
        <v>171</v>
      </c>
      <c r="Q3091" s="15" t="s">
        <v>83</v>
      </c>
      <c r="R3091" s="4"/>
      <c r="S3091" s="4"/>
    </row>
    <row r="3092" spans="1:19" ht="21" customHeight="1" x14ac:dyDescent="0.25">
      <c r="A3092" s="14">
        <f>DATE(2012,12,31)-451</f>
        <v>40823</v>
      </c>
      <c r="B3092" s="15" t="s">
        <v>564</v>
      </c>
      <c r="C3092" s="15" t="s">
        <v>31</v>
      </c>
      <c r="D3092" s="16">
        <v>41</v>
      </c>
      <c r="E3092" s="17">
        <v>258.13</v>
      </c>
      <c r="F3092" s="16">
        <v>0.03</v>
      </c>
      <c r="G3092" s="15" t="s">
        <v>32</v>
      </c>
      <c r="H3092" s="18">
        <v>84.1</v>
      </c>
      <c r="I3092" s="19">
        <v>6.08</v>
      </c>
      <c r="J3092" s="19">
        <v>1.82</v>
      </c>
      <c r="K3092" s="19" t="s">
        <v>33</v>
      </c>
      <c r="L3092" s="19" t="s">
        <v>128</v>
      </c>
      <c r="M3092" s="15" t="s">
        <v>129</v>
      </c>
      <c r="N3092" s="15" t="s">
        <v>36</v>
      </c>
      <c r="O3092" s="15" t="s">
        <v>105</v>
      </c>
      <c r="P3092" s="20" t="s">
        <v>244</v>
      </c>
      <c r="Q3092" s="15" t="s">
        <v>79</v>
      </c>
      <c r="R3092" s="4"/>
      <c r="S3092" s="4"/>
    </row>
    <row r="3093" spans="1:19" ht="21" customHeight="1" x14ac:dyDescent="0.25">
      <c r="A3093" s="14">
        <f>DATE(2012,12,31)-117</f>
        <v>41157</v>
      </c>
      <c r="B3093" s="15" t="s">
        <v>1177</v>
      </c>
      <c r="C3093" s="15" t="s">
        <v>85</v>
      </c>
      <c r="D3093" s="16">
        <v>4</v>
      </c>
      <c r="E3093" s="17">
        <v>55.97</v>
      </c>
      <c r="F3093" s="16">
        <v>0.09</v>
      </c>
      <c r="G3093" s="15" t="s">
        <v>32</v>
      </c>
      <c r="H3093" s="18">
        <v>-19.343</v>
      </c>
      <c r="I3093" s="19">
        <v>12.53</v>
      </c>
      <c r="J3093" s="19">
        <v>7.17</v>
      </c>
      <c r="K3093" s="19" t="s">
        <v>33</v>
      </c>
      <c r="L3093" s="19" t="s">
        <v>93</v>
      </c>
      <c r="M3093" s="15" t="s">
        <v>94</v>
      </c>
      <c r="N3093" s="15" t="s">
        <v>36</v>
      </c>
      <c r="O3093" s="15" t="s">
        <v>170</v>
      </c>
      <c r="P3093" s="20" t="s">
        <v>332</v>
      </c>
      <c r="Q3093" s="15" t="s">
        <v>83</v>
      </c>
      <c r="R3093" s="4"/>
      <c r="S3093" s="4"/>
    </row>
    <row r="3094" spans="1:19" ht="21" customHeight="1" x14ac:dyDescent="0.25">
      <c r="A3094" s="14">
        <f>DATE(2012,12,31)-117</f>
        <v>41157</v>
      </c>
      <c r="B3094" s="15" t="s">
        <v>1177</v>
      </c>
      <c r="C3094" s="15" t="s">
        <v>85</v>
      </c>
      <c r="D3094" s="16">
        <v>9</v>
      </c>
      <c r="E3094" s="17">
        <v>174.72</v>
      </c>
      <c r="F3094" s="16">
        <v>0.06</v>
      </c>
      <c r="G3094" s="15" t="s">
        <v>32</v>
      </c>
      <c r="H3094" s="18">
        <v>-63.48</v>
      </c>
      <c r="I3094" s="19">
        <v>19.98</v>
      </c>
      <c r="J3094" s="19">
        <v>4</v>
      </c>
      <c r="K3094" s="19" t="s">
        <v>33</v>
      </c>
      <c r="L3094" s="19" t="s">
        <v>93</v>
      </c>
      <c r="M3094" s="15" t="s">
        <v>94</v>
      </c>
      <c r="N3094" s="15" t="s">
        <v>64</v>
      </c>
      <c r="O3094" s="15" t="s">
        <v>72</v>
      </c>
      <c r="P3094" s="20" t="s">
        <v>805</v>
      </c>
      <c r="Q3094" s="15" t="s">
        <v>83</v>
      </c>
      <c r="R3094" s="4"/>
      <c r="S3094" s="4"/>
    </row>
    <row r="3095" spans="1:19" ht="21" customHeight="1" x14ac:dyDescent="0.25">
      <c r="A3095" s="14">
        <f>DATE(2012,12,31)-117</f>
        <v>41157</v>
      </c>
      <c r="B3095" s="15" t="s">
        <v>1177</v>
      </c>
      <c r="C3095" s="15" t="s">
        <v>85</v>
      </c>
      <c r="D3095" s="16">
        <v>48</v>
      </c>
      <c r="E3095" s="17">
        <v>2271.37</v>
      </c>
      <c r="F3095" s="16">
        <v>0.09</v>
      </c>
      <c r="G3095" s="15" t="s">
        <v>101</v>
      </c>
      <c r="H3095" s="18">
        <v>528.11</v>
      </c>
      <c r="I3095" s="19">
        <v>49.34</v>
      </c>
      <c r="J3095" s="19">
        <v>10.25</v>
      </c>
      <c r="K3095" s="19" t="s">
        <v>97</v>
      </c>
      <c r="L3095" s="19" t="s">
        <v>98</v>
      </c>
      <c r="M3095" s="15" t="s">
        <v>1991</v>
      </c>
      <c r="N3095" s="15" t="s">
        <v>54</v>
      </c>
      <c r="O3095" s="15" t="s">
        <v>55</v>
      </c>
      <c r="P3095" s="20" t="s">
        <v>1283</v>
      </c>
      <c r="Q3095" s="15" t="s">
        <v>39</v>
      </c>
      <c r="R3095" s="4"/>
      <c r="S3095" s="4"/>
    </row>
    <row r="3096" spans="1:19" ht="21" customHeight="1" x14ac:dyDescent="0.25">
      <c r="A3096" s="14">
        <f>DATE(2012,12,31)-252</f>
        <v>41022</v>
      </c>
      <c r="B3096" s="15" t="s">
        <v>1370</v>
      </c>
      <c r="C3096" s="15" t="s">
        <v>85</v>
      </c>
      <c r="D3096" s="16">
        <v>30</v>
      </c>
      <c r="E3096" s="17">
        <v>177.22</v>
      </c>
      <c r="F3096" s="16">
        <v>0.06</v>
      </c>
      <c r="G3096" s="15" t="s">
        <v>32</v>
      </c>
      <c r="H3096" s="18">
        <v>68.959999999999994</v>
      </c>
      <c r="I3096" s="19">
        <v>5.84</v>
      </c>
      <c r="J3096" s="19">
        <v>1</v>
      </c>
      <c r="K3096" s="19" t="s">
        <v>97</v>
      </c>
      <c r="L3096" s="19" t="s">
        <v>98</v>
      </c>
      <c r="M3096" s="15" t="s">
        <v>1991</v>
      </c>
      <c r="N3096" s="15" t="s">
        <v>36</v>
      </c>
      <c r="O3096" s="15" t="s">
        <v>77</v>
      </c>
      <c r="P3096" s="20" t="s">
        <v>1148</v>
      </c>
      <c r="Q3096" s="15" t="s">
        <v>79</v>
      </c>
      <c r="R3096" s="4"/>
      <c r="S3096" s="4"/>
    </row>
    <row r="3097" spans="1:19" ht="21" customHeight="1" x14ac:dyDescent="0.25">
      <c r="A3097" s="14">
        <f>DATE(2012,12,31)-1175</f>
        <v>40099</v>
      </c>
      <c r="B3097" s="15" t="s">
        <v>498</v>
      </c>
      <c r="C3097" s="15" t="s">
        <v>51</v>
      </c>
      <c r="D3097" s="16">
        <v>37</v>
      </c>
      <c r="E3097" s="17">
        <v>1138.43</v>
      </c>
      <c r="F3097" s="16">
        <v>0.01</v>
      </c>
      <c r="G3097" s="15" t="s">
        <v>32</v>
      </c>
      <c r="H3097" s="18">
        <v>18.59</v>
      </c>
      <c r="I3097" s="19">
        <v>30.97</v>
      </c>
      <c r="J3097" s="19">
        <v>4</v>
      </c>
      <c r="K3097" s="19" t="s">
        <v>97</v>
      </c>
      <c r="L3097" s="19" t="s">
        <v>98</v>
      </c>
      <c r="M3097" s="15" t="s">
        <v>1991</v>
      </c>
      <c r="N3097" s="15" t="s">
        <v>64</v>
      </c>
      <c r="O3097" s="15" t="s">
        <v>72</v>
      </c>
      <c r="P3097" s="20" t="s">
        <v>924</v>
      </c>
      <c r="Q3097" s="15" t="s">
        <v>83</v>
      </c>
      <c r="R3097" s="4"/>
      <c r="S3097" s="4"/>
    </row>
    <row r="3098" spans="1:19" ht="21" customHeight="1" x14ac:dyDescent="0.25">
      <c r="A3098" s="14">
        <f>DATE(2012,12,31)-1175</f>
        <v>40099</v>
      </c>
      <c r="B3098" s="15" t="s">
        <v>498</v>
      </c>
      <c r="C3098" s="15" t="s">
        <v>51</v>
      </c>
      <c r="D3098" s="16">
        <v>50</v>
      </c>
      <c r="E3098" s="17">
        <v>5271.0454999999993</v>
      </c>
      <c r="F3098" s="16">
        <v>0.08</v>
      </c>
      <c r="G3098" s="15" t="s">
        <v>32</v>
      </c>
      <c r="H3098" s="18">
        <v>1379.7629999999999</v>
      </c>
      <c r="I3098" s="19">
        <v>125.99</v>
      </c>
      <c r="J3098" s="19">
        <v>7.69</v>
      </c>
      <c r="K3098" s="19" t="s">
        <v>97</v>
      </c>
      <c r="L3098" s="19" t="s">
        <v>98</v>
      </c>
      <c r="M3098" s="15" t="s">
        <v>1991</v>
      </c>
      <c r="N3098" s="15" t="s">
        <v>64</v>
      </c>
      <c r="O3098" s="15" t="s">
        <v>65</v>
      </c>
      <c r="P3098" s="20" t="s">
        <v>860</v>
      </c>
      <c r="Q3098" s="15" t="s">
        <v>83</v>
      </c>
      <c r="R3098" s="4"/>
      <c r="S3098" s="4"/>
    </row>
    <row r="3099" spans="1:19" ht="21" customHeight="1" x14ac:dyDescent="0.25">
      <c r="A3099" s="14">
        <f>DATE(2012,12,31)-469</f>
        <v>40805</v>
      </c>
      <c r="B3099" s="15" t="s">
        <v>1766</v>
      </c>
      <c r="C3099" s="15" t="s">
        <v>85</v>
      </c>
      <c r="D3099" s="16">
        <v>37</v>
      </c>
      <c r="E3099" s="17">
        <v>1033.44</v>
      </c>
      <c r="F3099" s="16">
        <v>0.1</v>
      </c>
      <c r="G3099" s="15" t="s">
        <v>32</v>
      </c>
      <c r="H3099" s="18">
        <v>385.63</v>
      </c>
      <c r="I3099" s="19">
        <v>29.14</v>
      </c>
      <c r="J3099" s="19">
        <v>4.8600000000000003</v>
      </c>
      <c r="K3099" s="19" t="s">
        <v>97</v>
      </c>
      <c r="L3099" s="19" t="s">
        <v>195</v>
      </c>
      <c r="M3099" s="15" t="s">
        <v>1964</v>
      </c>
      <c r="N3099" s="15" t="s">
        <v>36</v>
      </c>
      <c r="O3099" s="15" t="s">
        <v>117</v>
      </c>
      <c r="P3099" s="20" t="s">
        <v>2014</v>
      </c>
      <c r="Q3099" s="15" t="s">
        <v>79</v>
      </c>
      <c r="R3099" s="4"/>
      <c r="S3099" s="4"/>
    </row>
    <row r="3100" spans="1:19" ht="21" customHeight="1" x14ac:dyDescent="0.25">
      <c r="A3100" s="14">
        <f>DATE(2012,12,31)-455</f>
        <v>40819</v>
      </c>
      <c r="B3100" s="15" t="s">
        <v>163</v>
      </c>
      <c r="C3100" s="15" t="s">
        <v>43</v>
      </c>
      <c r="D3100" s="16">
        <v>30</v>
      </c>
      <c r="E3100" s="17">
        <v>943.44</v>
      </c>
      <c r="F3100" s="16">
        <v>0.08</v>
      </c>
      <c r="G3100" s="15" t="s">
        <v>32</v>
      </c>
      <c r="H3100" s="18">
        <v>-89.98</v>
      </c>
      <c r="I3100" s="19">
        <v>30.98</v>
      </c>
      <c r="J3100" s="19">
        <v>19.989999999999998</v>
      </c>
      <c r="K3100" s="19" t="s">
        <v>97</v>
      </c>
      <c r="L3100" s="19" t="s">
        <v>283</v>
      </c>
      <c r="M3100" s="15" t="s">
        <v>1901</v>
      </c>
      <c r="N3100" s="15" t="s">
        <v>36</v>
      </c>
      <c r="O3100" s="15" t="s">
        <v>117</v>
      </c>
      <c r="P3100" s="20" t="s">
        <v>2015</v>
      </c>
      <c r="Q3100" s="15" t="s">
        <v>83</v>
      </c>
      <c r="R3100" s="4"/>
      <c r="S3100" s="4"/>
    </row>
    <row r="3101" spans="1:19" ht="21" customHeight="1" x14ac:dyDescent="0.25">
      <c r="A3101" s="14">
        <f>DATE(2012,12,31)-455</f>
        <v>40819</v>
      </c>
      <c r="B3101" s="15" t="s">
        <v>163</v>
      </c>
      <c r="C3101" s="15" t="s">
        <v>43</v>
      </c>
      <c r="D3101" s="16">
        <v>47</v>
      </c>
      <c r="E3101" s="17">
        <v>14493.84</v>
      </c>
      <c r="F3101" s="16">
        <v>0</v>
      </c>
      <c r="G3101" s="15" t="s">
        <v>58</v>
      </c>
      <c r="H3101" s="18">
        <v>634.76</v>
      </c>
      <c r="I3101" s="19">
        <v>376.13</v>
      </c>
      <c r="J3101" s="19">
        <v>85.63</v>
      </c>
      <c r="K3101" s="19" t="s">
        <v>97</v>
      </c>
      <c r="L3101" s="19" t="s">
        <v>283</v>
      </c>
      <c r="M3101" s="15" t="s">
        <v>1901</v>
      </c>
      <c r="N3101" s="15" t="s">
        <v>54</v>
      </c>
      <c r="O3101" s="15" t="s">
        <v>61</v>
      </c>
      <c r="P3101" s="20" t="s">
        <v>1159</v>
      </c>
      <c r="Q3101" s="15" t="s">
        <v>63</v>
      </c>
      <c r="R3101" s="4"/>
      <c r="S3101" s="4"/>
    </row>
    <row r="3102" spans="1:19" ht="21" customHeight="1" x14ac:dyDescent="0.25">
      <c r="A3102" s="14">
        <f>DATE(2012,12,31)-836</f>
        <v>40438</v>
      </c>
      <c r="B3102" s="15" t="s">
        <v>2016</v>
      </c>
      <c r="C3102" s="15" t="s">
        <v>85</v>
      </c>
      <c r="D3102" s="16">
        <v>19</v>
      </c>
      <c r="E3102" s="17">
        <v>116.22</v>
      </c>
      <c r="F3102" s="16">
        <v>0.01</v>
      </c>
      <c r="G3102" s="15" t="s">
        <v>32</v>
      </c>
      <c r="H3102" s="18">
        <v>26.894000000000002</v>
      </c>
      <c r="I3102" s="19">
        <v>5.98</v>
      </c>
      <c r="J3102" s="19">
        <v>1.49</v>
      </c>
      <c r="K3102" s="19" t="s">
        <v>97</v>
      </c>
      <c r="L3102" s="19" t="s">
        <v>98</v>
      </c>
      <c r="M3102" s="15" t="s">
        <v>1991</v>
      </c>
      <c r="N3102" s="15" t="s">
        <v>36</v>
      </c>
      <c r="O3102" s="15" t="s">
        <v>170</v>
      </c>
      <c r="P3102" s="20" t="s">
        <v>365</v>
      </c>
      <c r="Q3102" s="15" t="s">
        <v>83</v>
      </c>
      <c r="R3102" s="4"/>
      <c r="S3102" s="4"/>
    </row>
    <row r="3103" spans="1:19" ht="21" customHeight="1" x14ac:dyDescent="0.25">
      <c r="A3103" s="14">
        <f>DATE(2012,12,31)-1295</f>
        <v>39979</v>
      </c>
      <c r="B3103" s="15" t="s">
        <v>459</v>
      </c>
      <c r="C3103" s="15" t="s">
        <v>43</v>
      </c>
      <c r="D3103" s="16">
        <v>50</v>
      </c>
      <c r="E3103" s="17">
        <v>329.91</v>
      </c>
      <c r="F3103" s="16">
        <v>0.04</v>
      </c>
      <c r="G3103" s="15" t="s">
        <v>32</v>
      </c>
      <c r="H3103" s="18">
        <v>-279.93</v>
      </c>
      <c r="I3103" s="19">
        <v>6.48</v>
      </c>
      <c r="J3103" s="19">
        <v>9.5399999999999991</v>
      </c>
      <c r="K3103" s="19" t="s">
        <v>124</v>
      </c>
      <c r="L3103" s="19" t="s">
        <v>160</v>
      </c>
      <c r="M3103" s="15" t="s">
        <v>1951</v>
      </c>
      <c r="N3103" s="15" t="s">
        <v>36</v>
      </c>
      <c r="O3103" s="15" t="s">
        <v>117</v>
      </c>
      <c r="P3103" s="20" t="s">
        <v>684</v>
      </c>
      <c r="Q3103" s="15" t="s">
        <v>83</v>
      </c>
      <c r="R3103" s="4"/>
      <c r="S3103" s="4"/>
    </row>
    <row r="3104" spans="1:19" ht="21" customHeight="1" x14ac:dyDescent="0.25">
      <c r="A3104" s="14">
        <f>DATE(2012,12,31)-1446</f>
        <v>39828</v>
      </c>
      <c r="B3104" s="15" t="s">
        <v>1281</v>
      </c>
      <c r="C3104" s="15" t="s">
        <v>85</v>
      </c>
      <c r="D3104" s="16">
        <v>9</v>
      </c>
      <c r="E3104" s="17">
        <v>24.76</v>
      </c>
      <c r="F3104" s="16">
        <v>0.09</v>
      </c>
      <c r="G3104" s="15" t="s">
        <v>32</v>
      </c>
      <c r="H3104" s="18">
        <v>-1.82</v>
      </c>
      <c r="I3104" s="19">
        <v>2.88</v>
      </c>
      <c r="J3104" s="19">
        <v>0.7</v>
      </c>
      <c r="K3104" s="19" t="s">
        <v>124</v>
      </c>
      <c r="L3104" s="19" t="s">
        <v>160</v>
      </c>
      <c r="M3104" s="15" t="s">
        <v>1951</v>
      </c>
      <c r="N3104" s="15" t="s">
        <v>36</v>
      </c>
      <c r="O3104" s="15" t="s">
        <v>77</v>
      </c>
      <c r="P3104" s="20" t="s">
        <v>482</v>
      </c>
      <c r="Q3104" s="15" t="s">
        <v>79</v>
      </c>
      <c r="R3104" s="4"/>
      <c r="S3104" s="4"/>
    </row>
    <row r="3105" spans="1:19" ht="21" customHeight="1" x14ac:dyDescent="0.25">
      <c r="A3105" s="14">
        <f>DATE(2012,12,31)-239</f>
        <v>41035</v>
      </c>
      <c r="B3105" s="15" t="s">
        <v>342</v>
      </c>
      <c r="C3105" s="15" t="s">
        <v>51</v>
      </c>
      <c r="D3105" s="16">
        <v>37</v>
      </c>
      <c r="E3105" s="17">
        <v>5382.24</v>
      </c>
      <c r="F3105" s="16">
        <v>0.1</v>
      </c>
      <c r="G3105" s="15" t="s">
        <v>32</v>
      </c>
      <c r="H3105" s="18">
        <v>14.85</v>
      </c>
      <c r="I3105" s="19">
        <v>152.47999999999999</v>
      </c>
      <c r="J3105" s="19">
        <v>4</v>
      </c>
      <c r="K3105" s="19" t="s">
        <v>124</v>
      </c>
      <c r="L3105" s="19" t="s">
        <v>160</v>
      </c>
      <c r="M3105" s="15" t="s">
        <v>1951</v>
      </c>
      <c r="N3105" s="15" t="s">
        <v>64</v>
      </c>
      <c r="O3105" s="15" t="s">
        <v>72</v>
      </c>
      <c r="P3105" s="20" t="s">
        <v>473</v>
      </c>
      <c r="Q3105" s="15" t="s">
        <v>83</v>
      </c>
      <c r="R3105" s="4"/>
      <c r="S3105" s="4"/>
    </row>
    <row r="3106" spans="1:19" ht="21" customHeight="1" x14ac:dyDescent="0.25">
      <c r="A3106" s="14">
        <f>DATE(2012,12,31)-239</f>
        <v>41035</v>
      </c>
      <c r="B3106" s="15" t="s">
        <v>342</v>
      </c>
      <c r="C3106" s="15" t="s">
        <v>51</v>
      </c>
      <c r="D3106" s="16">
        <v>30</v>
      </c>
      <c r="E3106" s="17">
        <v>1035.95</v>
      </c>
      <c r="F3106" s="16">
        <v>0.08</v>
      </c>
      <c r="G3106" s="15" t="s">
        <v>32</v>
      </c>
      <c r="H3106" s="18">
        <v>342.41</v>
      </c>
      <c r="I3106" s="19">
        <v>35.409999999999997</v>
      </c>
      <c r="J3106" s="19">
        <v>1.99</v>
      </c>
      <c r="K3106" s="19" t="s">
        <v>124</v>
      </c>
      <c r="L3106" s="19" t="s">
        <v>164</v>
      </c>
      <c r="M3106" s="15" t="s">
        <v>1996</v>
      </c>
      <c r="N3106" s="15" t="s">
        <v>64</v>
      </c>
      <c r="O3106" s="15" t="s">
        <v>72</v>
      </c>
      <c r="P3106" s="20" t="s">
        <v>1004</v>
      </c>
      <c r="Q3106" s="15" t="s">
        <v>49</v>
      </c>
      <c r="R3106" s="4"/>
      <c r="S3106" s="4"/>
    </row>
    <row r="3107" spans="1:19" ht="21" customHeight="1" x14ac:dyDescent="0.25">
      <c r="A3107" s="14">
        <f>DATE(2012,12,31)-1105</f>
        <v>40169</v>
      </c>
      <c r="B3107" s="15" t="s">
        <v>485</v>
      </c>
      <c r="C3107" s="15" t="s">
        <v>43</v>
      </c>
      <c r="D3107" s="16">
        <v>43</v>
      </c>
      <c r="E3107" s="17">
        <v>2463.6</v>
      </c>
      <c r="F3107" s="16">
        <v>0.03</v>
      </c>
      <c r="G3107" s="15" t="s">
        <v>32</v>
      </c>
      <c r="H3107" s="18">
        <v>1040.6500000000001</v>
      </c>
      <c r="I3107" s="19">
        <v>54.96</v>
      </c>
      <c r="J3107" s="19">
        <v>10.75</v>
      </c>
      <c r="K3107" s="19" t="s">
        <v>124</v>
      </c>
      <c r="L3107" s="19" t="s">
        <v>168</v>
      </c>
      <c r="M3107" s="15" t="s">
        <v>1624</v>
      </c>
      <c r="N3107" s="15" t="s">
        <v>36</v>
      </c>
      <c r="O3107" s="15" t="s">
        <v>117</v>
      </c>
      <c r="P3107" s="20" t="s">
        <v>1611</v>
      </c>
      <c r="Q3107" s="15" t="s">
        <v>83</v>
      </c>
      <c r="R3107" s="4"/>
      <c r="S3107" s="4"/>
    </row>
    <row r="3108" spans="1:19" ht="21" customHeight="1" x14ac:dyDescent="0.25">
      <c r="A3108" s="14">
        <f>DATE(2012,12,31)-402</f>
        <v>40872</v>
      </c>
      <c r="B3108" s="15" t="s">
        <v>1364</v>
      </c>
      <c r="C3108" s="15" t="s">
        <v>31</v>
      </c>
      <c r="D3108" s="16">
        <v>24</v>
      </c>
      <c r="E3108" s="17">
        <v>40.24</v>
      </c>
      <c r="F3108" s="16">
        <v>0.1</v>
      </c>
      <c r="G3108" s="15" t="s">
        <v>32</v>
      </c>
      <c r="H3108" s="18">
        <v>-3.73</v>
      </c>
      <c r="I3108" s="19">
        <v>1.76</v>
      </c>
      <c r="J3108" s="19">
        <v>0.7</v>
      </c>
      <c r="K3108" s="19" t="s">
        <v>124</v>
      </c>
      <c r="L3108" s="19" t="s">
        <v>319</v>
      </c>
      <c r="M3108" s="15" t="s">
        <v>1966</v>
      </c>
      <c r="N3108" s="15" t="s">
        <v>36</v>
      </c>
      <c r="O3108" s="15" t="s">
        <v>77</v>
      </c>
      <c r="P3108" s="20" t="s">
        <v>526</v>
      </c>
      <c r="Q3108" s="15" t="s">
        <v>79</v>
      </c>
      <c r="R3108" s="4"/>
      <c r="S3108" s="4"/>
    </row>
    <row r="3109" spans="1:19" ht="21" customHeight="1" x14ac:dyDescent="0.25">
      <c r="A3109" s="14">
        <f>DATE(2012,12,31)-962</f>
        <v>40312</v>
      </c>
      <c r="B3109" s="15" t="s">
        <v>724</v>
      </c>
      <c r="C3109" s="15" t="s">
        <v>85</v>
      </c>
      <c r="D3109" s="16">
        <v>36</v>
      </c>
      <c r="E3109" s="17">
        <v>200.08</v>
      </c>
      <c r="F3109" s="16">
        <v>0.05</v>
      </c>
      <c r="G3109" s="15" t="s">
        <v>32</v>
      </c>
      <c r="H3109" s="18">
        <v>-62.97</v>
      </c>
      <c r="I3109" s="19">
        <v>5.28</v>
      </c>
      <c r="J3109" s="19">
        <v>5.0599999999999996</v>
      </c>
      <c r="K3109" s="19" t="s">
        <v>124</v>
      </c>
      <c r="L3109" s="19" t="s">
        <v>319</v>
      </c>
      <c r="M3109" s="15" t="s">
        <v>1966</v>
      </c>
      <c r="N3109" s="15" t="s">
        <v>36</v>
      </c>
      <c r="O3109" s="15" t="s">
        <v>117</v>
      </c>
      <c r="P3109" s="20" t="s">
        <v>1795</v>
      </c>
      <c r="Q3109" s="15" t="s">
        <v>83</v>
      </c>
      <c r="R3109" s="4"/>
      <c r="S3109" s="4"/>
    </row>
    <row r="3110" spans="1:19" ht="21" customHeight="1" x14ac:dyDescent="0.25">
      <c r="A3110" s="14">
        <f>DATE(2012,12,31)-962</f>
        <v>40312</v>
      </c>
      <c r="B3110" s="15" t="s">
        <v>724</v>
      </c>
      <c r="C3110" s="15" t="s">
        <v>85</v>
      </c>
      <c r="D3110" s="16">
        <v>24</v>
      </c>
      <c r="E3110" s="17">
        <v>790.24</v>
      </c>
      <c r="F3110" s="16">
        <v>0.09</v>
      </c>
      <c r="G3110" s="15" t="s">
        <v>32</v>
      </c>
      <c r="H3110" s="18">
        <v>-213.18</v>
      </c>
      <c r="I3110" s="19">
        <v>35.770000000000003</v>
      </c>
      <c r="J3110" s="19">
        <v>9.02</v>
      </c>
      <c r="K3110" s="19" t="s">
        <v>124</v>
      </c>
      <c r="L3110" s="19" t="s">
        <v>164</v>
      </c>
      <c r="M3110" s="15" t="s">
        <v>1996</v>
      </c>
      <c r="N3110" s="15" t="s">
        <v>64</v>
      </c>
      <c r="O3110" s="15" t="s">
        <v>72</v>
      </c>
      <c r="P3110" s="20" t="s">
        <v>1771</v>
      </c>
      <c r="Q3110" s="15" t="s">
        <v>83</v>
      </c>
      <c r="R3110" s="4"/>
      <c r="S3110" s="4"/>
    </row>
    <row r="3111" spans="1:19" ht="21" customHeight="1" x14ac:dyDescent="0.25">
      <c r="A3111" s="14">
        <f>DATE(2012,12,31)-1312</f>
        <v>39962</v>
      </c>
      <c r="B3111" s="15" t="s">
        <v>357</v>
      </c>
      <c r="C3111" s="15" t="s">
        <v>31</v>
      </c>
      <c r="D3111" s="16">
        <v>13</v>
      </c>
      <c r="E3111" s="17">
        <v>241.70600000000002</v>
      </c>
      <c r="F3111" s="16">
        <v>0</v>
      </c>
      <c r="G3111" s="15" t="s">
        <v>32</v>
      </c>
      <c r="H3111" s="18">
        <v>-92.961000000000013</v>
      </c>
      <c r="I3111" s="19">
        <v>20.99</v>
      </c>
      <c r="J3111" s="19">
        <v>3.3</v>
      </c>
      <c r="K3111" s="19" t="s">
        <v>124</v>
      </c>
      <c r="L3111" s="19" t="s">
        <v>164</v>
      </c>
      <c r="M3111" s="15" t="s">
        <v>1996</v>
      </c>
      <c r="N3111" s="15" t="s">
        <v>64</v>
      </c>
      <c r="O3111" s="15" t="s">
        <v>65</v>
      </c>
      <c r="P3111" s="20" t="s">
        <v>769</v>
      </c>
      <c r="Q3111" s="15" t="s">
        <v>49</v>
      </c>
      <c r="R3111" s="4"/>
      <c r="S3111" s="4"/>
    </row>
    <row r="3112" spans="1:19" ht="21" customHeight="1" x14ac:dyDescent="0.25">
      <c r="A3112" s="14">
        <f>DATE(2012,12,31)-1046</f>
        <v>40228</v>
      </c>
      <c r="B3112" s="15" t="s">
        <v>294</v>
      </c>
      <c r="C3112" s="15" t="s">
        <v>85</v>
      </c>
      <c r="D3112" s="16">
        <v>5</v>
      </c>
      <c r="E3112" s="17">
        <v>192.12</v>
      </c>
      <c r="F3112" s="16">
        <v>0.04</v>
      </c>
      <c r="G3112" s="15" t="s">
        <v>32</v>
      </c>
      <c r="H3112" s="18">
        <v>-74.849999999999994</v>
      </c>
      <c r="I3112" s="19">
        <v>39.24</v>
      </c>
      <c r="J3112" s="19">
        <v>1.99</v>
      </c>
      <c r="K3112" s="19" t="s">
        <v>44</v>
      </c>
      <c r="L3112" s="19" t="s">
        <v>52</v>
      </c>
      <c r="M3112" s="15" t="s">
        <v>1685</v>
      </c>
      <c r="N3112" s="15" t="s">
        <v>64</v>
      </c>
      <c r="O3112" s="15" t="s">
        <v>72</v>
      </c>
      <c r="P3112" s="20" t="s">
        <v>1930</v>
      </c>
      <c r="Q3112" s="15" t="s">
        <v>49</v>
      </c>
      <c r="R3112" s="4"/>
      <c r="S3112" s="4"/>
    </row>
    <row r="3113" spans="1:19" ht="21" customHeight="1" x14ac:dyDescent="0.25">
      <c r="A3113" s="14">
        <f>DATE(2012,12,31)-1046</f>
        <v>40228</v>
      </c>
      <c r="B3113" s="15" t="s">
        <v>294</v>
      </c>
      <c r="C3113" s="15" t="s">
        <v>85</v>
      </c>
      <c r="D3113" s="16">
        <v>33</v>
      </c>
      <c r="E3113" s="17">
        <v>3917.61</v>
      </c>
      <c r="F3113" s="16">
        <v>0.08</v>
      </c>
      <c r="G3113" s="15" t="s">
        <v>58</v>
      </c>
      <c r="H3113" s="18">
        <v>40.76</v>
      </c>
      <c r="I3113" s="19">
        <v>119.99</v>
      </c>
      <c r="J3113" s="19">
        <v>56.14</v>
      </c>
      <c r="K3113" s="19" t="s">
        <v>44</v>
      </c>
      <c r="L3113" s="19" t="s">
        <v>52</v>
      </c>
      <c r="M3113" s="15" t="s">
        <v>1685</v>
      </c>
      <c r="N3113" s="15" t="s">
        <v>64</v>
      </c>
      <c r="O3113" s="15" t="s">
        <v>122</v>
      </c>
      <c r="P3113" s="20" t="s">
        <v>1542</v>
      </c>
      <c r="Q3113" s="15" t="s">
        <v>63</v>
      </c>
      <c r="R3113" s="4"/>
      <c r="S3113" s="4"/>
    </row>
    <row r="3114" spans="1:19" ht="21" customHeight="1" x14ac:dyDescent="0.25">
      <c r="A3114" s="14">
        <f>DATE(2012,12,31)-1046</f>
        <v>40228</v>
      </c>
      <c r="B3114" s="15" t="s">
        <v>294</v>
      </c>
      <c r="C3114" s="15" t="s">
        <v>85</v>
      </c>
      <c r="D3114" s="16">
        <v>34</v>
      </c>
      <c r="E3114" s="17">
        <v>2788.04</v>
      </c>
      <c r="F3114" s="16">
        <v>0.01</v>
      </c>
      <c r="G3114" s="15" t="s">
        <v>32</v>
      </c>
      <c r="H3114" s="18">
        <v>-849.18</v>
      </c>
      <c r="I3114" s="19">
        <v>80.98</v>
      </c>
      <c r="J3114" s="19">
        <v>35</v>
      </c>
      <c r="K3114" s="19" t="s">
        <v>44</v>
      </c>
      <c r="L3114" s="19" t="s">
        <v>52</v>
      </c>
      <c r="M3114" s="15" t="s">
        <v>1685</v>
      </c>
      <c r="N3114" s="15" t="s">
        <v>36</v>
      </c>
      <c r="O3114" s="15" t="s">
        <v>37</v>
      </c>
      <c r="P3114" s="20" t="s">
        <v>1806</v>
      </c>
      <c r="Q3114" s="15" t="s">
        <v>39</v>
      </c>
      <c r="R3114" s="4"/>
      <c r="S3114" s="4"/>
    </row>
    <row r="3115" spans="1:19" ht="21" customHeight="1" x14ac:dyDescent="0.25">
      <c r="A3115" s="14">
        <f>DATE(2012,12,31)-1367</f>
        <v>39907</v>
      </c>
      <c r="B3115" s="15" t="s">
        <v>1129</v>
      </c>
      <c r="C3115" s="15" t="s">
        <v>51</v>
      </c>
      <c r="D3115" s="16">
        <v>8</v>
      </c>
      <c r="E3115" s="17">
        <v>70.55</v>
      </c>
      <c r="F3115" s="16">
        <v>0</v>
      </c>
      <c r="G3115" s="15" t="s">
        <v>32</v>
      </c>
      <c r="H3115" s="18">
        <v>-66.170999999999992</v>
      </c>
      <c r="I3115" s="19">
        <v>7.38</v>
      </c>
      <c r="J3115" s="19">
        <v>11.51</v>
      </c>
      <c r="K3115" s="19" t="s">
        <v>44</v>
      </c>
      <c r="L3115" s="19" t="s">
        <v>52</v>
      </c>
      <c r="M3115" s="15" t="s">
        <v>1685</v>
      </c>
      <c r="N3115" s="15" t="s">
        <v>36</v>
      </c>
      <c r="O3115" s="15" t="s">
        <v>170</v>
      </c>
      <c r="P3115" s="20" t="s">
        <v>1646</v>
      </c>
      <c r="Q3115" s="15" t="s">
        <v>83</v>
      </c>
      <c r="R3115" s="4"/>
      <c r="S3115" s="4"/>
    </row>
    <row r="3116" spans="1:19" ht="21" customHeight="1" x14ac:dyDescent="0.25">
      <c r="A3116" s="14">
        <f>DATE(2012,12,31)-278</f>
        <v>40996</v>
      </c>
      <c r="B3116" s="15" t="s">
        <v>239</v>
      </c>
      <c r="C3116" s="15" t="s">
        <v>51</v>
      </c>
      <c r="D3116" s="16">
        <v>26</v>
      </c>
      <c r="E3116" s="17">
        <v>233.03</v>
      </c>
      <c r="F3116" s="16">
        <v>0.05</v>
      </c>
      <c r="G3116" s="15" t="s">
        <v>101</v>
      </c>
      <c r="H3116" s="18">
        <v>-86.34</v>
      </c>
      <c r="I3116" s="19">
        <v>8.74</v>
      </c>
      <c r="J3116" s="19">
        <v>8.2899999999999991</v>
      </c>
      <c r="K3116" s="19" t="s">
        <v>44</v>
      </c>
      <c r="L3116" s="19" t="s">
        <v>52</v>
      </c>
      <c r="M3116" s="15" t="s">
        <v>1685</v>
      </c>
      <c r="N3116" s="15" t="s">
        <v>36</v>
      </c>
      <c r="O3116" s="15" t="s">
        <v>189</v>
      </c>
      <c r="P3116" s="20" t="s">
        <v>581</v>
      </c>
      <c r="Q3116" s="15" t="s">
        <v>83</v>
      </c>
      <c r="R3116" s="4"/>
      <c r="S3116" s="4"/>
    </row>
    <row r="3117" spans="1:19" ht="21" customHeight="1" x14ac:dyDescent="0.25">
      <c r="A3117" s="14">
        <f>DATE(2012,12,31)-634</f>
        <v>40640</v>
      </c>
      <c r="B3117" s="15" t="s">
        <v>1043</v>
      </c>
      <c r="C3117" s="15" t="s">
        <v>43</v>
      </c>
      <c r="D3117" s="16">
        <v>43</v>
      </c>
      <c r="E3117" s="17">
        <v>816.11</v>
      </c>
      <c r="F3117" s="16">
        <v>0.04</v>
      </c>
      <c r="G3117" s="15" t="s">
        <v>32</v>
      </c>
      <c r="H3117" s="18">
        <v>66.14</v>
      </c>
      <c r="I3117" s="19">
        <v>18.97</v>
      </c>
      <c r="J3117" s="19">
        <v>9.5399999999999991</v>
      </c>
      <c r="K3117" s="19" t="s">
        <v>44</v>
      </c>
      <c r="L3117" s="19" t="s">
        <v>52</v>
      </c>
      <c r="M3117" s="15" t="s">
        <v>1685</v>
      </c>
      <c r="N3117" s="15" t="s">
        <v>36</v>
      </c>
      <c r="O3117" s="15" t="s">
        <v>117</v>
      </c>
      <c r="P3117" s="20" t="s">
        <v>281</v>
      </c>
      <c r="Q3117" s="15" t="s">
        <v>83</v>
      </c>
      <c r="R3117" s="4"/>
      <c r="S3117" s="4"/>
    </row>
    <row r="3118" spans="1:19" ht="21" customHeight="1" x14ac:dyDescent="0.25">
      <c r="A3118" s="14">
        <f>DATE(2012,12,31)-1314</f>
        <v>39960</v>
      </c>
      <c r="B3118" s="15" t="s">
        <v>149</v>
      </c>
      <c r="C3118" s="15" t="s">
        <v>85</v>
      </c>
      <c r="D3118" s="16">
        <v>33</v>
      </c>
      <c r="E3118" s="17">
        <v>1194.3399999999999</v>
      </c>
      <c r="F3118" s="16">
        <v>0.04</v>
      </c>
      <c r="G3118" s="15" t="s">
        <v>32</v>
      </c>
      <c r="H3118" s="18">
        <v>497.11400000000003</v>
      </c>
      <c r="I3118" s="19">
        <v>37.700000000000003</v>
      </c>
      <c r="J3118" s="19">
        <v>2.99</v>
      </c>
      <c r="K3118" s="19" t="s">
        <v>44</v>
      </c>
      <c r="L3118" s="19" t="s">
        <v>52</v>
      </c>
      <c r="M3118" s="15" t="s">
        <v>1685</v>
      </c>
      <c r="N3118" s="15" t="s">
        <v>36</v>
      </c>
      <c r="O3118" s="15" t="s">
        <v>170</v>
      </c>
      <c r="P3118" s="20" t="s">
        <v>391</v>
      </c>
      <c r="Q3118" s="15" t="s">
        <v>83</v>
      </c>
      <c r="R3118" s="4"/>
      <c r="S3118" s="4"/>
    </row>
    <row r="3119" spans="1:19" ht="21" customHeight="1" x14ac:dyDescent="0.25">
      <c r="A3119" s="14">
        <f>DATE(2012,12,31)-1314</f>
        <v>39960</v>
      </c>
      <c r="B3119" s="15" t="s">
        <v>149</v>
      </c>
      <c r="C3119" s="15" t="s">
        <v>85</v>
      </c>
      <c r="D3119" s="16">
        <v>1</v>
      </c>
      <c r="E3119" s="17">
        <v>51.832999999999998</v>
      </c>
      <c r="F3119" s="16">
        <v>0.01</v>
      </c>
      <c r="G3119" s="15" t="s">
        <v>32</v>
      </c>
      <c r="H3119" s="18">
        <v>-235.89500000000001</v>
      </c>
      <c r="I3119" s="19">
        <v>55.99</v>
      </c>
      <c r="J3119" s="19">
        <v>5</v>
      </c>
      <c r="K3119" s="19" t="s">
        <v>44</v>
      </c>
      <c r="L3119" s="19" t="s">
        <v>52</v>
      </c>
      <c r="M3119" s="15" t="s">
        <v>1685</v>
      </c>
      <c r="N3119" s="15" t="s">
        <v>64</v>
      </c>
      <c r="O3119" s="15" t="s">
        <v>65</v>
      </c>
      <c r="P3119" s="20" t="s">
        <v>1377</v>
      </c>
      <c r="Q3119" s="15" t="s">
        <v>49</v>
      </c>
      <c r="R3119" s="4"/>
      <c r="S3119" s="4"/>
    </row>
    <row r="3120" spans="1:19" ht="21" customHeight="1" x14ac:dyDescent="0.25">
      <c r="A3120" s="14">
        <f>DATE(2012,12,31)-776</f>
        <v>40498</v>
      </c>
      <c r="B3120" s="15" t="s">
        <v>1157</v>
      </c>
      <c r="C3120" s="15" t="s">
        <v>31</v>
      </c>
      <c r="D3120" s="16">
        <v>35</v>
      </c>
      <c r="E3120" s="17">
        <v>7264.64</v>
      </c>
      <c r="F3120" s="16">
        <v>0.06</v>
      </c>
      <c r="G3120" s="15" t="s">
        <v>32</v>
      </c>
      <c r="H3120" s="18">
        <v>1845.68</v>
      </c>
      <c r="I3120" s="19">
        <v>218.08</v>
      </c>
      <c r="J3120" s="19">
        <v>18.059999999999999</v>
      </c>
      <c r="K3120" s="19" t="s">
        <v>44</v>
      </c>
      <c r="L3120" s="19" t="s">
        <v>52</v>
      </c>
      <c r="M3120" s="15" t="s">
        <v>1685</v>
      </c>
      <c r="N3120" s="15" t="s">
        <v>54</v>
      </c>
      <c r="O3120" s="15" t="s">
        <v>252</v>
      </c>
      <c r="P3120" s="20" t="s">
        <v>253</v>
      </c>
      <c r="Q3120" s="15" t="s">
        <v>39</v>
      </c>
      <c r="R3120" s="4"/>
      <c r="S3120" s="4"/>
    </row>
    <row r="3121" spans="1:19" ht="21" customHeight="1" x14ac:dyDescent="0.25">
      <c r="A3121" s="14">
        <f>DATE(2012,12,31)-1140</f>
        <v>40134</v>
      </c>
      <c r="B3121" s="15" t="s">
        <v>409</v>
      </c>
      <c r="C3121" s="15" t="s">
        <v>43</v>
      </c>
      <c r="D3121" s="16">
        <v>20</v>
      </c>
      <c r="E3121" s="17">
        <v>676.44</v>
      </c>
      <c r="F3121" s="16">
        <v>7.0000000000000007E-2</v>
      </c>
      <c r="G3121" s="15" t="s">
        <v>32</v>
      </c>
      <c r="H3121" s="18">
        <v>48.756</v>
      </c>
      <c r="I3121" s="19">
        <v>34.54</v>
      </c>
      <c r="J3121" s="19">
        <v>14.72</v>
      </c>
      <c r="K3121" s="19" t="s">
        <v>44</v>
      </c>
      <c r="L3121" s="19" t="s">
        <v>52</v>
      </c>
      <c r="M3121" s="15" t="s">
        <v>1685</v>
      </c>
      <c r="N3121" s="15" t="s">
        <v>36</v>
      </c>
      <c r="O3121" s="15" t="s">
        <v>170</v>
      </c>
      <c r="P3121" s="20" t="s">
        <v>1306</v>
      </c>
      <c r="Q3121" s="15" t="s">
        <v>83</v>
      </c>
      <c r="R3121" s="4"/>
      <c r="S3121" s="4"/>
    </row>
    <row r="3122" spans="1:19" ht="21" customHeight="1" x14ac:dyDescent="0.25">
      <c r="A3122" s="14">
        <f>DATE(2012,12,31)-1140</f>
        <v>40134</v>
      </c>
      <c r="B3122" s="15" t="s">
        <v>409</v>
      </c>
      <c r="C3122" s="15" t="s">
        <v>43</v>
      </c>
      <c r="D3122" s="16">
        <v>10</v>
      </c>
      <c r="E3122" s="17">
        <v>128.02000000000001</v>
      </c>
      <c r="F3122" s="16">
        <v>0.02</v>
      </c>
      <c r="G3122" s="15" t="s">
        <v>32</v>
      </c>
      <c r="H3122" s="18">
        <v>-7.9</v>
      </c>
      <c r="I3122" s="19">
        <v>12.28</v>
      </c>
      <c r="J3122" s="19">
        <v>6.47</v>
      </c>
      <c r="K3122" s="19" t="s">
        <v>44</v>
      </c>
      <c r="L3122" s="19" t="s">
        <v>52</v>
      </c>
      <c r="M3122" s="15" t="s">
        <v>1685</v>
      </c>
      <c r="N3122" s="15" t="s">
        <v>36</v>
      </c>
      <c r="O3122" s="15" t="s">
        <v>117</v>
      </c>
      <c r="P3122" s="20" t="s">
        <v>832</v>
      </c>
      <c r="Q3122" s="15" t="s">
        <v>83</v>
      </c>
      <c r="R3122" s="4"/>
      <c r="S3122" s="4"/>
    </row>
    <row r="3123" spans="1:19" ht="21" customHeight="1" x14ac:dyDescent="0.25">
      <c r="A3123" s="14">
        <f>DATE(2012,12,31)-1140</f>
        <v>40134</v>
      </c>
      <c r="B3123" s="15" t="s">
        <v>409</v>
      </c>
      <c r="C3123" s="15" t="s">
        <v>43</v>
      </c>
      <c r="D3123" s="16">
        <v>15</v>
      </c>
      <c r="E3123" s="17">
        <v>526.82000000000005</v>
      </c>
      <c r="F3123" s="16">
        <v>0.06</v>
      </c>
      <c r="G3123" s="15" t="s">
        <v>101</v>
      </c>
      <c r="H3123" s="18">
        <v>32.340000000000003</v>
      </c>
      <c r="I3123" s="19">
        <v>34.58</v>
      </c>
      <c r="J3123" s="19">
        <v>8.99</v>
      </c>
      <c r="K3123" s="19" t="s">
        <v>124</v>
      </c>
      <c r="L3123" s="19" t="s">
        <v>160</v>
      </c>
      <c r="M3123" s="15" t="s">
        <v>1951</v>
      </c>
      <c r="N3123" s="15" t="s">
        <v>36</v>
      </c>
      <c r="O3123" s="15" t="s">
        <v>77</v>
      </c>
      <c r="P3123" s="20" t="s">
        <v>241</v>
      </c>
      <c r="Q3123" s="15" t="s">
        <v>49</v>
      </c>
      <c r="R3123" s="4"/>
      <c r="S3123" s="4"/>
    </row>
    <row r="3124" spans="1:19" ht="21" customHeight="1" x14ac:dyDescent="0.25">
      <c r="A3124" s="14">
        <f>DATE(2012,12,31)-33</f>
        <v>41241</v>
      </c>
      <c r="B3124" s="15" t="s">
        <v>401</v>
      </c>
      <c r="C3124" s="15" t="s">
        <v>43</v>
      </c>
      <c r="D3124" s="16">
        <v>45</v>
      </c>
      <c r="E3124" s="17">
        <v>2728.42</v>
      </c>
      <c r="F3124" s="16">
        <v>0.06</v>
      </c>
      <c r="G3124" s="15" t="s">
        <v>32</v>
      </c>
      <c r="H3124" s="18">
        <v>664.15</v>
      </c>
      <c r="I3124" s="19">
        <v>60.98</v>
      </c>
      <c r="J3124" s="19">
        <v>19.989999999999998</v>
      </c>
      <c r="K3124" s="19" t="s">
        <v>124</v>
      </c>
      <c r="L3124" s="19" t="s">
        <v>168</v>
      </c>
      <c r="M3124" s="15" t="s">
        <v>1624</v>
      </c>
      <c r="N3124" s="15" t="s">
        <v>36</v>
      </c>
      <c r="O3124" s="15" t="s">
        <v>189</v>
      </c>
      <c r="P3124" s="20" t="s">
        <v>1251</v>
      </c>
      <c r="Q3124" s="15" t="s">
        <v>83</v>
      </c>
      <c r="R3124" s="4"/>
      <c r="S3124" s="4"/>
    </row>
    <row r="3125" spans="1:19" ht="21" customHeight="1" x14ac:dyDescent="0.25">
      <c r="A3125" s="14">
        <f>DATE(2012,12,31)-669</f>
        <v>40605</v>
      </c>
      <c r="B3125" s="15" t="s">
        <v>784</v>
      </c>
      <c r="C3125" s="15" t="s">
        <v>85</v>
      </c>
      <c r="D3125" s="16">
        <v>44</v>
      </c>
      <c r="E3125" s="17">
        <v>797.98</v>
      </c>
      <c r="F3125" s="16">
        <v>0.05</v>
      </c>
      <c r="G3125" s="15" t="s">
        <v>32</v>
      </c>
      <c r="H3125" s="18">
        <v>237.47400000000002</v>
      </c>
      <c r="I3125" s="19">
        <v>20.99</v>
      </c>
      <c r="J3125" s="19">
        <v>0.99</v>
      </c>
      <c r="K3125" s="19" t="s">
        <v>69</v>
      </c>
      <c r="L3125" s="19" t="s">
        <v>70</v>
      </c>
      <c r="M3125" s="15" t="s">
        <v>1895</v>
      </c>
      <c r="N3125" s="15" t="s">
        <v>64</v>
      </c>
      <c r="O3125" s="15" t="s">
        <v>65</v>
      </c>
      <c r="P3125" s="20" t="s">
        <v>1616</v>
      </c>
      <c r="Q3125" s="15" t="s">
        <v>79</v>
      </c>
      <c r="R3125" s="4"/>
      <c r="S3125" s="4"/>
    </row>
    <row r="3126" spans="1:19" ht="21" customHeight="1" x14ac:dyDescent="0.25">
      <c r="A3126" s="14">
        <f>DATE(2012,12,31)-124</f>
        <v>41150</v>
      </c>
      <c r="B3126" s="15" t="s">
        <v>919</v>
      </c>
      <c r="C3126" s="15" t="s">
        <v>85</v>
      </c>
      <c r="D3126" s="16">
        <v>3</v>
      </c>
      <c r="E3126" s="17">
        <v>18.7</v>
      </c>
      <c r="F3126" s="16">
        <v>0.1</v>
      </c>
      <c r="G3126" s="15" t="s">
        <v>32</v>
      </c>
      <c r="H3126" s="18">
        <v>-14.685499999999999</v>
      </c>
      <c r="I3126" s="19">
        <v>4.54</v>
      </c>
      <c r="J3126" s="19">
        <v>5.83</v>
      </c>
      <c r="K3126" s="19" t="s">
        <v>44</v>
      </c>
      <c r="L3126" s="19" t="s">
        <v>89</v>
      </c>
      <c r="M3126" s="15" t="s">
        <v>1932</v>
      </c>
      <c r="N3126" s="15" t="s">
        <v>36</v>
      </c>
      <c r="O3126" s="15" t="s">
        <v>170</v>
      </c>
      <c r="P3126" s="20" t="s">
        <v>1796</v>
      </c>
      <c r="Q3126" s="15" t="s">
        <v>83</v>
      </c>
      <c r="R3126" s="4"/>
      <c r="S3126" s="4"/>
    </row>
    <row r="3127" spans="1:19" ht="21" customHeight="1" x14ac:dyDescent="0.25">
      <c r="A3127" s="14">
        <f>DATE(2012,12,31)-124</f>
        <v>41150</v>
      </c>
      <c r="B3127" s="15" t="s">
        <v>919</v>
      </c>
      <c r="C3127" s="15" t="s">
        <v>85</v>
      </c>
      <c r="D3127" s="16">
        <v>39</v>
      </c>
      <c r="E3127" s="17">
        <v>140.74</v>
      </c>
      <c r="F3127" s="16">
        <v>0.01</v>
      </c>
      <c r="G3127" s="15" t="s">
        <v>32</v>
      </c>
      <c r="H3127" s="18">
        <v>-92.29</v>
      </c>
      <c r="I3127" s="19">
        <v>3.28</v>
      </c>
      <c r="J3127" s="19">
        <v>3.97</v>
      </c>
      <c r="K3127" s="19" t="s">
        <v>44</v>
      </c>
      <c r="L3127" s="19" t="s">
        <v>89</v>
      </c>
      <c r="M3127" s="15" t="s">
        <v>1932</v>
      </c>
      <c r="N3127" s="15" t="s">
        <v>36</v>
      </c>
      <c r="O3127" s="15" t="s">
        <v>77</v>
      </c>
      <c r="P3127" s="20" t="s">
        <v>1326</v>
      </c>
      <c r="Q3127" s="15" t="s">
        <v>79</v>
      </c>
      <c r="R3127" s="4"/>
      <c r="S3127" s="4"/>
    </row>
    <row r="3128" spans="1:19" ht="21" customHeight="1" x14ac:dyDescent="0.25">
      <c r="A3128" s="14">
        <f>DATE(2012,12,31)-163</f>
        <v>41111</v>
      </c>
      <c r="B3128" s="15" t="s">
        <v>396</v>
      </c>
      <c r="C3128" s="15" t="s">
        <v>43</v>
      </c>
      <c r="D3128" s="16">
        <v>4</v>
      </c>
      <c r="E3128" s="17">
        <v>1121.78</v>
      </c>
      <c r="F3128" s="16">
        <v>0.04</v>
      </c>
      <c r="G3128" s="15" t="s">
        <v>58</v>
      </c>
      <c r="H3128" s="18">
        <v>-454.8</v>
      </c>
      <c r="I3128" s="19">
        <v>270.98</v>
      </c>
      <c r="J3128" s="19">
        <v>50</v>
      </c>
      <c r="K3128" s="19" t="s">
        <v>124</v>
      </c>
      <c r="L3128" s="19" t="s">
        <v>125</v>
      </c>
      <c r="M3128" s="15" t="s">
        <v>1829</v>
      </c>
      <c r="N3128" s="15" t="s">
        <v>54</v>
      </c>
      <c r="O3128" s="15" t="s">
        <v>252</v>
      </c>
      <c r="P3128" s="20" t="s">
        <v>1684</v>
      </c>
      <c r="Q3128" s="15" t="s">
        <v>181</v>
      </c>
      <c r="R3128" s="4"/>
      <c r="S3128" s="4"/>
    </row>
    <row r="3129" spans="1:19" ht="21" customHeight="1" x14ac:dyDescent="0.25">
      <c r="A3129" s="14">
        <f>DATE(2012,12,31)-278</f>
        <v>40996</v>
      </c>
      <c r="B3129" s="15" t="s">
        <v>931</v>
      </c>
      <c r="C3129" s="15" t="s">
        <v>31</v>
      </c>
      <c r="D3129" s="16">
        <v>31</v>
      </c>
      <c r="E3129" s="17">
        <v>5404.18</v>
      </c>
      <c r="F3129" s="16">
        <v>7.0000000000000007E-2</v>
      </c>
      <c r="G3129" s="15" t="s">
        <v>58</v>
      </c>
      <c r="H3129" s="18">
        <v>241.06</v>
      </c>
      <c r="I3129" s="19">
        <v>180.98</v>
      </c>
      <c r="J3129" s="19">
        <v>30</v>
      </c>
      <c r="K3129" s="19" t="s">
        <v>124</v>
      </c>
      <c r="L3129" s="19" t="s">
        <v>160</v>
      </c>
      <c r="M3129" s="15" t="s">
        <v>1951</v>
      </c>
      <c r="N3129" s="15" t="s">
        <v>54</v>
      </c>
      <c r="O3129" s="15" t="s">
        <v>252</v>
      </c>
      <c r="P3129" s="20" t="s">
        <v>1543</v>
      </c>
      <c r="Q3129" s="15" t="s">
        <v>181</v>
      </c>
      <c r="R3129" s="4"/>
      <c r="S3129" s="4"/>
    </row>
    <row r="3130" spans="1:19" ht="21" customHeight="1" x14ac:dyDescent="0.25">
      <c r="A3130" s="14">
        <f>DATE(2012,12,31)-278</f>
        <v>40996</v>
      </c>
      <c r="B3130" s="15" t="s">
        <v>931</v>
      </c>
      <c r="C3130" s="15" t="s">
        <v>31</v>
      </c>
      <c r="D3130" s="16">
        <v>40</v>
      </c>
      <c r="E3130" s="17">
        <v>430.19</v>
      </c>
      <c r="F3130" s="16">
        <v>0.02</v>
      </c>
      <c r="G3130" s="15" t="s">
        <v>32</v>
      </c>
      <c r="H3130" s="18">
        <v>181.26</v>
      </c>
      <c r="I3130" s="19">
        <v>10.31</v>
      </c>
      <c r="J3130" s="19">
        <v>1.79</v>
      </c>
      <c r="K3130" s="19" t="s">
        <v>44</v>
      </c>
      <c r="L3130" s="19" t="s">
        <v>52</v>
      </c>
      <c r="M3130" s="15" t="s">
        <v>1685</v>
      </c>
      <c r="N3130" s="15" t="s">
        <v>36</v>
      </c>
      <c r="O3130" s="15" t="s">
        <v>117</v>
      </c>
      <c r="P3130" s="20" t="s">
        <v>1011</v>
      </c>
      <c r="Q3130" s="15" t="s">
        <v>79</v>
      </c>
      <c r="R3130" s="4"/>
      <c r="S3130" s="4"/>
    </row>
    <row r="3131" spans="1:19" ht="21" customHeight="1" x14ac:dyDescent="0.25">
      <c r="A3131" s="14">
        <f>DATE(2012,12,31)-935</f>
        <v>40339</v>
      </c>
      <c r="B3131" s="15" t="s">
        <v>812</v>
      </c>
      <c r="C3131" s="15" t="s">
        <v>43</v>
      </c>
      <c r="D3131" s="16">
        <v>14</v>
      </c>
      <c r="E3131" s="17">
        <v>323.11</v>
      </c>
      <c r="F3131" s="16">
        <v>0</v>
      </c>
      <c r="G3131" s="15" t="s">
        <v>32</v>
      </c>
      <c r="H3131" s="18">
        <v>41.522500000000001</v>
      </c>
      <c r="I3131" s="19">
        <v>20.98</v>
      </c>
      <c r="J3131" s="19">
        <v>8.83</v>
      </c>
      <c r="K3131" s="19" t="s">
        <v>44</v>
      </c>
      <c r="L3131" s="19" t="s">
        <v>52</v>
      </c>
      <c r="M3131" s="15" t="s">
        <v>1685</v>
      </c>
      <c r="N3131" s="15" t="s">
        <v>36</v>
      </c>
      <c r="O3131" s="15" t="s">
        <v>170</v>
      </c>
      <c r="P3131" s="20" t="s">
        <v>1891</v>
      </c>
      <c r="Q3131" s="15" t="s">
        <v>83</v>
      </c>
      <c r="R3131" s="4"/>
      <c r="S3131" s="4"/>
    </row>
    <row r="3132" spans="1:19" ht="21" customHeight="1" x14ac:dyDescent="0.25">
      <c r="A3132" s="14">
        <f>DATE(2012,12,31)-935</f>
        <v>40339</v>
      </c>
      <c r="B3132" s="15" t="s">
        <v>812</v>
      </c>
      <c r="C3132" s="15" t="s">
        <v>43</v>
      </c>
      <c r="D3132" s="16">
        <v>11</v>
      </c>
      <c r="E3132" s="17">
        <v>65.099999999999994</v>
      </c>
      <c r="F3132" s="16">
        <v>0.03</v>
      </c>
      <c r="G3132" s="15" t="s">
        <v>32</v>
      </c>
      <c r="H3132" s="18">
        <v>13.31</v>
      </c>
      <c r="I3132" s="19">
        <v>5.68</v>
      </c>
      <c r="J3132" s="19">
        <v>1.46</v>
      </c>
      <c r="K3132" s="19" t="s">
        <v>33</v>
      </c>
      <c r="L3132" s="19" t="s">
        <v>93</v>
      </c>
      <c r="M3132" s="15" t="s">
        <v>94</v>
      </c>
      <c r="N3132" s="15" t="s">
        <v>36</v>
      </c>
      <c r="O3132" s="15" t="s">
        <v>117</v>
      </c>
      <c r="P3132" s="20" t="s">
        <v>2017</v>
      </c>
      <c r="Q3132" s="15" t="s">
        <v>79</v>
      </c>
      <c r="R3132" s="4"/>
      <c r="S3132" s="4"/>
    </row>
    <row r="3133" spans="1:19" ht="21" customHeight="1" x14ac:dyDescent="0.25">
      <c r="A3133" s="14">
        <f>DATE(2012,12,31)-935</f>
        <v>40339</v>
      </c>
      <c r="B3133" s="15" t="s">
        <v>812</v>
      </c>
      <c r="C3133" s="15" t="s">
        <v>43</v>
      </c>
      <c r="D3133" s="16">
        <v>19</v>
      </c>
      <c r="E3133" s="17">
        <v>163.75</v>
      </c>
      <c r="F3133" s="16">
        <v>0</v>
      </c>
      <c r="G3133" s="15" t="s">
        <v>32</v>
      </c>
      <c r="H3133" s="18">
        <v>23.61</v>
      </c>
      <c r="I3133" s="19">
        <v>7.96</v>
      </c>
      <c r="J3133" s="19">
        <v>4.95</v>
      </c>
      <c r="K3133" s="19" t="s">
        <v>33</v>
      </c>
      <c r="L3133" s="19" t="s">
        <v>59</v>
      </c>
      <c r="M3133" s="15" t="s">
        <v>1941</v>
      </c>
      <c r="N3133" s="15" t="s">
        <v>54</v>
      </c>
      <c r="O3133" s="15" t="s">
        <v>55</v>
      </c>
      <c r="P3133" s="20" t="s">
        <v>1114</v>
      </c>
      <c r="Q3133" s="15" t="s">
        <v>83</v>
      </c>
      <c r="R3133" s="4"/>
      <c r="S3133" s="4"/>
    </row>
    <row r="3134" spans="1:19" ht="21" customHeight="1" x14ac:dyDescent="0.25">
      <c r="A3134" s="14">
        <f>DATE(2012,12,31)-812</f>
        <v>40462</v>
      </c>
      <c r="B3134" s="15" t="s">
        <v>903</v>
      </c>
      <c r="C3134" s="15" t="s">
        <v>51</v>
      </c>
      <c r="D3134" s="16">
        <v>24</v>
      </c>
      <c r="E3134" s="17">
        <v>1482.81</v>
      </c>
      <c r="F3134" s="16">
        <v>0.03</v>
      </c>
      <c r="G3134" s="15" t="s">
        <v>32</v>
      </c>
      <c r="H3134" s="18">
        <v>-678.63</v>
      </c>
      <c r="I3134" s="19">
        <v>60.98</v>
      </c>
      <c r="J3134" s="19">
        <v>49</v>
      </c>
      <c r="K3134" s="19" t="s">
        <v>44</v>
      </c>
      <c r="L3134" s="19" t="s">
        <v>89</v>
      </c>
      <c r="M3134" s="15" t="s">
        <v>1932</v>
      </c>
      <c r="N3134" s="15" t="s">
        <v>36</v>
      </c>
      <c r="O3134" s="15" t="s">
        <v>176</v>
      </c>
      <c r="P3134" s="20" t="s">
        <v>534</v>
      </c>
      <c r="Q3134" s="15" t="s">
        <v>39</v>
      </c>
      <c r="R3134" s="4"/>
      <c r="S3134" s="4"/>
    </row>
    <row r="3135" spans="1:19" ht="21" customHeight="1" x14ac:dyDescent="0.25">
      <c r="A3135" s="14">
        <f>DATE(2012,12,31)-812</f>
        <v>40462</v>
      </c>
      <c r="B3135" s="15" t="s">
        <v>903</v>
      </c>
      <c r="C3135" s="15" t="s">
        <v>51</v>
      </c>
      <c r="D3135" s="16">
        <v>23</v>
      </c>
      <c r="E3135" s="17">
        <v>6693.28</v>
      </c>
      <c r="F3135" s="16">
        <v>0.02</v>
      </c>
      <c r="G3135" s="15" t="s">
        <v>32</v>
      </c>
      <c r="H3135" s="18">
        <v>40.319999999999936</v>
      </c>
      <c r="I3135" s="19">
        <v>290.98</v>
      </c>
      <c r="J3135" s="19">
        <v>69</v>
      </c>
      <c r="K3135" s="19" t="s">
        <v>44</v>
      </c>
      <c r="L3135" s="19" t="s">
        <v>45</v>
      </c>
      <c r="M3135" s="15" t="s">
        <v>1985</v>
      </c>
      <c r="N3135" s="15" t="s">
        <v>54</v>
      </c>
      <c r="O3135" s="15" t="s">
        <v>61</v>
      </c>
      <c r="P3135" s="20" t="s">
        <v>2018</v>
      </c>
      <c r="Q3135" s="15" t="s">
        <v>39</v>
      </c>
      <c r="R3135" s="4"/>
      <c r="S3135" s="4"/>
    </row>
    <row r="3136" spans="1:19" ht="21" customHeight="1" x14ac:dyDescent="0.25">
      <c r="A3136" s="14">
        <f>DATE(2012,12,31)-812</f>
        <v>40462</v>
      </c>
      <c r="B3136" s="15" t="s">
        <v>903</v>
      </c>
      <c r="C3136" s="15" t="s">
        <v>51</v>
      </c>
      <c r="D3136" s="16">
        <v>44</v>
      </c>
      <c r="E3136" s="17">
        <v>275.91000000000003</v>
      </c>
      <c r="F3136" s="16">
        <v>0.1</v>
      </c>
      <c r="G3136" s="15" t="s">
        <v>32</v>
      </c>
      <c r="H3136" s="18">
        <v>-162.37100000000001</v>
      </c>
      <c r="I3136" s="19">
        <v>7.99</v>
      </c>
      <c r="J3136" s="19">
        <v>5.03</v>
      </c>
      <c r="K3136" s="19" t="s">
        <v>33</v>
      </c>
      <c r="L3136" s="19" t="s">
        <v>128</v>
      </c>
      <c r="M3136" s="15" t="s">
        <v>129</v>
      </c>
      <c r="N3136" s="15" t="s">
        <v>64</v>
      </c>
      <c r="O3136" s="15" t="s">
        <v>65</v>
      </c>
      <c r="P3136" s="20" t="s">
        <v>66</v>
      </c>
      <c r="Q3136" s="15" t="s">
        <v>57</v>
      </c>
      <c r="R3136" s="4"/>
      <c r="S3136" s="4"/>
    </row>
    <row r="3137" spans="1:19" ht="21" customHeight="1" x14ac:dyDescent="0.25">
      <c r="A3137" s="14">
        <f>DATE(2012,12,31)-247</f>
        <v>41027</v>
      </c>
      <c r="B3137" s="15" t="s">
        <v>1916</v>
      </c>
      <c r="C3137" s="15" t="s">
        <v>85</v>
      </c>
      <c r="D3137" s="16">
        <v>37</v>
      </c>
      <c r="E3137" s="17">
        <v>3259.25</v>
      </c>
      <c r="F3137" s="16">
        <v>0.04</v>
      </c>
      <c r="G3137" s="15" t="s">
        <v>58</v>
      </c>
      <c r="H3137" s="18">
        <v>580.33000000000004</v>
      </c>
      <c r="I3137" s="19">
        <v>90.97</v>
      </c>
      <c r="J3137" s="19">
        <v>28</v>
      </c>
      <c r="K3137" s="19" t="s">
        <v>124</v>
      </c>
      <c r="L3137" s="19" t="s">
        <v>164</v>
      </c>
      <c r="M3137" s="15" t="s">
        <v>1996</v>
      </c>
      <c r="N3137" s="15" t="s">
        <v>64</v>
      </c>
      <c r="O3137" s="15" t="s">
        <v>122</v>
      </c>
      <c r="P3137" s="20" t="s">
        <v>1440</v>
      </c>
      <c r="Q3137" s="15" t="s">
        <v>181</v>
      </c>
      <c r="R3137" s="4"/>
      <c r="S3137" s="4"/>
    </row>
    <row r="3138" spans="1:19" ht="21" customHeight="1" x14ac:dyDescent="0.25">
      <c r="A3138" s="14">
        <f>DATE(2012,12,31)-783</f>
        <v>40491</v>
      </c>
      <c r="B3138" s="15" t="s">
        <v>606</v>
      </c>
      <c r="C3138" s="15" t="s">
        <v>85</v>
      </c>
      <c r="D3138" s="16">
        <v>20</v>
      </c>
      <c r="E3138" s="17">
        <v>34.94</v>
      </c>
      <c r="F3138" s="16">
        <v>0.05</v>
      </c>
      <c r="G3138" s="15" t="s">
        <v>32</v>
      </c>
      <c r="H3138" s="18">
        <v>-30.7</v>
      </c>
      <c r="I3138" s="19">
        <v>1.7</v>
      </c>
      <c r="J3138" s="19">
        <v>1.99</v>
      </c>
      <c r="K3138" s="19" t="s">
        <v>124</v>
      </c>
      <c r="L3138" s="19" t="s">
        <v>160</v>
      </c>
      <c r="M3138" s="15" t="s">
        <v>1951</v>
      </c>
      <c r="N3138" s="15" t="s">
        <v>64</v>
      </c>
      <c r="O3138" s="15" t="s">
        <v>72</v>
      </c>
      <c r="P3138" s="20" t="s">
        <v>1852</v>
      </c>
      <c r="Q3138" s="15" t="s">
        <v>49</v>
      </c>
      <c r="R3138" s="4"/>
      <c r="S3138" s="4"/>
    </row>
    <row r="3139" spans="1:19" ht="21" customHeight="1" x14ac:dyDescent="0.25">
      <c r="A3139" s="14">
        <f>DATE(2012,12,31)-958</f>
        <v>40316</v>
      </c>
      <c r="B3139" s="15" t="s">
        <v>655</v>
      </c>
      <c r="C3139" s="15" t="s">
        <v>51</v>
      </c>
      <c r="D3139" s="16">
        <v>2</v>
      </c>
      <c r="E3139" s="17">
        <v>30.83</v>
      </c>
      <c r="F3139" s="16">
        <v>0.04</v>
      </c>
      <c r="G3139" s="15" t="s">
        <v>101</v>
      </c>
      <c r="H3139" s="18">
        <v>7.27</v>
      </c>
      <c r="I3139" s="19">
        <v>7.64</v>
      </c>
      <c r="J3139" s="19">
        <v>1.39</v>
      </c>
      <c r="K3139" s="19" t="s">
        <v>97</v>
      </c>
      <c r="L3139" s="19" t="s">
        <v>283</v>
      </c>
      <c r="M3139" s="15" t="s">
        <v>1901</v>
      </c>
      <c r="N3139" s="15" t="s">
        <v>36</v>
      </c>
      <c r="O3139" s="15" t="s">
        <v>189</v>
      </c>
      <c r="P3139" s="20" t="s">
        <v>1272</v>
      </c>
      <c r="Q3139" s="15" t="s">
        <v>83</v>
      </c>
      <c r="R3139" s="4"/>
      <c r="S3139" s="4"/>
    </row>
    <row r="3140" spans="1:19" ht="21" customHeight="1" x14ac:dyDescent="0.25">
      <c r="A3140" s="14">
        <f>DATE(2012,12,31)-969</f>
        <v>40305</v>
      </c>
      <c r="B3140" s="15" t="s">
        <v>602</v>
      </c>
      <c r="C3140" s="15" t="s">
        <v>85</v>
      </c>
      <c r="D3140" s="16">
        <v>28</v>
      </c>
      <c r="E3140" s="17">
        <v>1623.09</v>
      </c>
      <c r="F3140" s="16">
        <v>0.02</v>
      </c>
      <c r="G3140" s="15" t="s">
        <v>32</v>
      </c>
      <c r="H3140" s="18">
        <v>245.88</v>
      </c>
      <c r="I3140" s="19">
        <v>56.96</v>
      </c>
      <c r="J3140" s="19">
        <v>13.22</v>
      </c>
      <c r="K3140" s="19" t="s">
        <v>69</v>
      </c>
      <c r="L3140" s="19" t="s">
        <v>75</v>
      </c>
      <c r="M3140" s="15" t="s">
        <v>1980</v>
      </c>
      <c r="N3140" s="15" t="s">
        <v>36</v>
      </c>
      <c r="O3140" s="15" t="s">
        <v>176</v>
      </c>
      <c r="P3140" s="20" t="s">
        <v>904</v>
      </c>
      <c r="Q3140" s="15" t="s">
        <v>83</v>
      </c>
      <c r="R3140" s="4"/>
      <c r="S3140" s="4"/>
    </row>
    <row r="3141" spans="1:19" ht="21" customHeight="1" x14ac:dyDescent="0.25">
      <c r="A3141" s="14">
        <f>DATE(2012,12,31)-692</f>
        <v>40582</v>
      </c>
      <c r="B3141" s="15" t="s">
        <v>256</v>
      </c>
      <c r="C3141" s="15" t="s">
        <v>85</v>
      </c>
      <c r="D3141" s="16">
        <v>13</v>
      </c>
      <c r="E3141" s="17">
        <v>121.66</v>
      </c>
      <c r="F3141" s="16">
        <v>0.03</v>
      </c>
      <c r="G3141" s="15" t="s">
        <v>32</v>
      </c>
      <c r="H3141" s="18">
        <v>-11.798999999999999</v>
      </c>
      <c r="I3141" s="19">
        <v>8.85</v>
      </c>
      <c r="J3141" s="19">
        <v>5.6</v>
      </c>
      <c r="K3141" s="19" t="s">
        <v>33</v>
      </c>
      <c r="L3141" s="19" t="s">
        <v>145</v>
      </c>
      <c r="M3141" s="15" t="s">
        <v>2006</v>
      </c>
      <c r="N3141" s="15" t="s">
        <v>36</v>
      </c>
      <c r="O3141" s="15" t="s">
        <v>170</v>
      </c>
      <c r="P3141" s="20" t="s">
        <v>1218</v>
      </c>
      <c r="Q3141" s="15" t="s">
        <v>83</v>
      </c>
      <c r="R3141" s="4"/>
      <c r="S3141" s="4"/>
    </row>
    <row r="3142" spans="1:19" ht="21" customHeight="1" x14ac:dyDescent="0.25">
      <c r="A3142" s="14">
        <f>DATE(2012,12,31)-532</f>
        <v>40742</v>
      </c>
      <c r="B3142" s="15" t="s">
        <v>1040</v>
      </c>
      <c r="C3142" s="15" t="s">
        <v>85</v>
      </c>
      <c r="D3142" s="16">
        <v>3</v>
      </c>
      <c r="E3142" s="17">
        <v>279.33</v>
      </c>
      <c r="F3142" s="16">
        <v>0</v>
      </c>
      <c r="G3142" s="15" t="s">
        <v>32</v>
      </c>
      <c r="H3142" s="18">
        <v>-44.18</v>
      </c>
      <c r="I3142" s="19">
        <v>83.93</v>
      </c>
      <c r="J3142" s="19">
        <v>19.989999999999998</v>
      </c>
      <c r="K3142" s="19" t="s">
        <v>33</v>
      </c>
      <c r="L3142" s="19" t="s">
        <v>145</v>
      </c>
      <c r="M3142" s="15" t="s">
        <v>2006</v>
      </c>
      <c r="N3142" s="15" t="s">
        <v>36</v>
      </c>
      <c r="O3142" s="15" t="s">
        <v>189</v>
      </c>
      <c r="P3142" s="20" t="s">
        <v>1759</v>
      </c>
      <c r="Q3142" s="15" t="s">
        <v>83</v>
      </c>
      <c r="R3142" s="4"/>
      <c r="S3142" s="4"/>
    </row>
    <row r="3143" spans="1:19" ht="21" customHeight="1" x14ac:dyDescent="0.25">
      <c r="A3143" s="14">
        <f>DATE(2012,12,31)-711</f>
        <v>40563</v>
      </c>
      <c r="B3143" s="15" t="s">
        <v>752</v>
      </c>
      <c r="C3143" s="15" t="s">
        <v>85</v>
      </c>
      <c r="D3143" s="16">
        <v>7</v>
      </c>
      <c r="E3143" s="17">
        <v>128.62</v>
      </c>
      <c r="F3143" s="16">
        <v>7.0000000000000007E-2</v>
      </c>
      <c r="G3143" s="15" t="s">
        <v>32</v>
      </c>
      <c r="H3143" s="18">
        <v>-27.78</v>
      </c>
      <c r="I3143" s="19">
        <v>17.670000000000002</v>
      </c>
      <c r="J3143" s="19">
        <v>8.99</v>
      </c>
      <c r="K3143" s="19" t="s">
        <v>69</v>
      </c>
      <c r="L3143" s="19" t="s">
        <v>75</v>
      </c>
      <c r="M3143" s="15" t="s">
        <v>1980</v>
      </c>
      <c r="N3143" s="15" t="s">
        <v>54</v>
      </c>
      <c r="O3143" s="15" t="s">
        <v>55</v>
      </c>
      <c r="P3143" s="20" t="s">
        <v>458</v>
      </c>
      <c r="Q3143" s="15" t="s">
        <v>49</v>
      </c>
      <c r="R3143" s="4"/>
      <c r="S3143" s="4"/>
    </row>
    <row r="3144" spans="1:19" ht="21" customHeight="1" x14ac:dyDescent="0.25">
      <c r="A3144" s="14">
        <f>DATE(2012,12,31)-711</f>
        <v>40563</v>
      </c>
      <c r="B3144" s="15" t="s">
        <v>752</v>
      </c>
      <c r="C3144" s="15" t="s">
        <v>85</v>
      </c>
      <c r="D3144" s="16">
        <v>50</v>
      </c>
      <c r="E3144" s="17">
        <v>424</v>
      </c>
      <c r="F3144" s="16">
        <v>0.03</v>
      </c>
      <c r="G3144" s="15" t="s">
        <v>32</v>
      </c>
      <c r="H3144" s="18">
        <v>-19.77</v>
      </c>
      <c r="I3144" s="19">
        <v>8.67</v>
      </c>
      <c r="J3144" s="19">
        <v>3.5</v>
      </c>
      <c r="K3144" s="19" t="s">
        <v>111</v>
      </c>
      <c r="L3144" s="19" t="s">
        <v>112</v>
      </c>
      <c r="M3144" s="15" t="s">
        <v>1982</v>
      </c>
      <c r="N3144" s="15" t="s">
        <v>36</v>
      </c>
      <c r="O3144" s="15" t="s">
        <v>176</v>
      </c>
      <c r="P3144" s="20" t="s">
        <v>841</v>
      </c>
      <c r="Q3144" s="15" t="s">
        <v>83</v>
      </c>
      <c r="R3144" s="4"/>
      <c r="S3144" s="4"/>
    </row>
    <row r="3145" spans="1:19" ht="21" customHeight="1" x14ac:dyDescent="0.25">
      <c r="A3145" s="14">
        <f>DATE(2012,12,31)-711</f>
        <v>40563</v>
      </c>
      <c r="B3145" s="15" t="s">
        <v>752</v>
      </c>
      <c r="C3145" s="15" t="s">
        <v>85</v>
      </c>
      <c r="D3145" s="16">
        <v>5</v>
      </c>
      <c r="E3145" s="17">
        <v>504.79</v>
      </c>
      <c r="F3145" s="16">
        <v>0.03</v>
      </c>
      <c r="G3145" s="15" t="s">
        <v>101</v>
      </c>
      <c r="H3145" s="18">
        <v>-245.09</v>
      </c>
      <c r="I3145" s="19">
        <v>99.99</v>
      </c>
      <c r="J3145" s="19">
        <v>19.989999999999998</v>
      </c>
      <c r="K3145" s="19" t="s">
        <v>44</v>
      </c>
      <c r="L3145" s="19" t="s">
        <v>80</v>
      </c>
      <c r="M3145" s="15" t="s">
        <v>2012</v>
      </c>
      <c r="N3145" s="15" t="s">
        <v>64</v>
      </c>
      <c r="O3145" s="15" t="s">
        <v>72</v>
      </c>
      <c r="P3145" s="20" t="s">
        <v>1800</v>
      </c>
      <c r="Q3145" s="15" t="s">
        <v>83</v>
      </c>
      <c r="R3145" s="4"/>
      <c r="S3145" s="4"/>
    </row>
    <row r="3146" spans="1:19" ht="21" customHeight="1" x14ac:dyDescent="0.25">
      <c r="A3146" s="14">
        <f>DATE(2012,12,31)-1375</f>
        <v>39899</v>
      </c>
      <c r="B3146" s="15" t="s">
        <v>1692</v>
      </c>
      <c r="C3146" s="15" t="s">
        <v>85</v>
      </c>
      <c r="D3146" s="16">
        <v>46</v>
      </c>
      <c r="E3146" s="17">
        <v>9304.2000000000007</v>
      </c>
      <c r="F3146" s="16">
        <v>0.08</v>
      </c>
      <c r="G3146" s="15" t="s">
        <v>58</v>
      </c>
      <c r="H3146" s="18">
        <v>1981.17</v>
      </c>
      <c r="I3146" s="19">
        <v>213.45</v>
      </c>
      <c r="J3146" s="19">
        <v>14.7</v>
      </c>
      <c r="K3146" s="19" t="s">
        <v>44</v>
      </c>
      <c r="L3146" s="19" t="s">
        <v>89</v>
      </c>
      <c r="M3146" s="15" t="s">
        <v>1932</v>
      </c>
      <c r="N3146" s="15" t="s">
        <v>64</v>
      </c>
      <c r="O3146" s="15" t="s">
        <v>122</v>
      </c>
      <c r="P3146" s="20" t="s">
        <v>1623</v>
      </c>
      <c r="Q3146" s="15" t="s">
        <v>181</v>
      </c>
      <c r="R3146" s="4"/>
      <c r="S3146" s="4"/>
    </row>
    <row r="3147" spans="1:19" ht="21" customHeight="1" x14ac:dyDescent="0.25">
      <c r="A3147" s="14">
        <f>DATE(2012,12,31)-1375</f>
        <v>39899</v>
      </c>
      <c r="B3147" s="15" t="s">
        <v>1692</v>
      </c>
      <c r="C3147" s="15" t="s">
        <v>85</v>
      </c>
      <c r="D3147" s="16">
        <v>31</v>
      </c>
      <c r="E3147" s="17">
        <v>1685.05</v>
      </c>
      <c r="F3147" s="16">
        <v>0.1</v>
      </c>
      <c r="G3147" s="15" t="s">
        <v>32</v>
      </c>
      <c r="H3147" s="18">
        <v>518.07000000000005</v>
      </c>
      <c r="I3147" s="19">
        <v>55.98</v>
      </c>
      <c r="J3147" s="19">
        <v>13.88</v>
      </c>
      <c r="K3147" s="19" t="s">
        <v>97</v>
      </c>
      <c r="L3147" s="19" t="s">
        <v>98</v>
      </c>
      <c r="M3147" s="15" t="s">
        <v>1991</v>
      </c>
      <c r="N3147" s="15" t="s">
        <v>36</v>
      </c>
      <c r="O3147" s="15" t="s">
        <v>117</v>
      </c>
      <c r="P3147" s="20" t="s">
        <v>1127</v>
      </c>
      <c r="Q3147" s="15" t="s">
        <v>83</v>
      </c>
      <c r="R3147" s="4"/>
      <c r="S3147" s="4"/>
    </row>
    <row r="3148" spans="1:19" ht="21" customHeight="1" x14ac:dyDescent="0.25">
      <c r="A3148" s="14">
        <f>DATE(2012,12,31)-1375</f>
        <v>39899</v>
      </c>
      <c r="B3148" s="15" t="s">
        <v>1692</v>
      </c>
      <c r="C3148" s="15" t="s">
        <v>85</v>
      </c>
      <c r="D3148" s="16">
        <v>3</v>
      </c>
      <c r="E3148" s="17">
        <v>57.48</v>
      </c>
      <c r="F3148" s="16">
        <v>0</v>
      </c>
      <c r="G3148" s="15" t="s">
        <v>32</v>
      </c>
      <c r="H3148" s="18">
        <v>-28.09</v>
      </c>
      <c r="I3148" s="19">
        <v>16.059999999999999</v>
      </c>
      <c r="J3148" s="19">
        <v>8.34</v>
      </c>
      <c r="K3148" s="19" t="s">
        <v>124</v>
      </c>
      <c r="L3148" s="19" t="s">
        <v>160</v>
      </c>
      <c r="M3148" s="15" t="s">
        <v>1951</v>
      </c>
      <c r="N3148" s="15" t="s">
        <v>36</v>
      </c>
      <c r="O3148" s="15" t="s">
        <v>37</v>
      </c>
      <c r="P3148" s="20" t="s">
        <v>1676</v>
      </c>
      <c r="Q3148" s="15" t="s">
        <v>83</v>
      </c>
      <c r="R3148" s="4"/>
      <c r="S3148" s="4"/>
    </row>
    <row r="3149" spans="1:19" ht="21" customHeight="1" x14ac:dyDescent="0.25">
      <c r="A3149" s="14">
        <f>DATE(2012,12,31)-225</f>
        <v>41049</v>
      </c>
      <c r="B3149" s="15" t="s">
        <v>2019</v>
      </c>
      <c r="C3149" s="15" t="s">
        <v>85</v>
      </c>
      <c r="D3149" s="16">
        <v>32</v>
      </c>
      <c r="E3149" s="17">
        <v>251.51</v>
      </c>
      <c r="F3149" s="16">
        <v>0.06</v>
      </c>
      <c r="G3149" s="15" t="s">
        <v>32</v>
      </c>
      <c r="H3149" s="18">
        <v>-9.7799999999999994</v>
      </c>
      <c r="I3149" s="19">
        <v>7.7</v>
      </c>
      <c r="J3149" s="19">
        <v>3.68</v>
      </c>
      <c r="K3149" s="19" t="s">
        <v>124</v>
      </c>
      <c r="L3149" s="19" t="s">
        <v>160</v>
      </c>
      <c r="M3149" s="15" t="s">
        <v>1951</v>
      </c>
      <c r="N3149" s="15" t="s">
        <v>54</v>
      </c>
      <c r="O3149" s="15" t="s">
        <v>55</v>
      </c>
      <c r="P3149" s="20" t="s">
        <v>978</v>
      </c>
      <c r="Q3149" s="15" t="s">
        <v>79</v>
      </c>
      <c r="R3149" s="4"/>
      <c r="S3149" s="4"/>
    </row>
    <row r="3150" spans="1:19" ht="21" customHeight="1" x14ac:dyDescent="0.25">
      <c r="A3150" s="14">
        <f>DATE(2012,12,31)-916</f>
        <v>40358</v>
      </c>
      <c r="B3150" s="15" t="s">
        <v>500</v>
      </c>
      <c r="C3150" s="15" t="s">
        <v>85</v>
      </c>
      <c r="D3150" s="16">
        <v>17</v>
      </c>
      <c r="E3150" s="17">
        <v>90.93</v>
      </c>
      <c r="F3150" s="16">
        <v>0.02</v>
      </c>
      <c r="G3150" s="15" t="s">
        <v>32</v>
      </c>
      <c r="H3150" s="18">
        <v>14.19</v>
      </c>
      <c r="I3150" s="19">
        <v>5.18</v>
      </c>
      <c r="J3150" s="19">
        <v>2.04</v>
      </c>
      <c r="K3150" s="19" t="s">
        <v>124</v>
      </c>
      <c r="L3150" s="19" t="s">
        <v>164</v>
      </c>
      <c r="M3150" s="15" t="s">
        <v>1996</v>
      </c>
      <c r="N3150" s="15" t="s">
        <v>36</v>
      </c>
      <c r="O3150" s="15" t="s">
        <v>117</v>
      </c>
      <c r="P3150" s="20" t="s">
        <v>1443</v>
      </c>
      <c r="Q3150" s="15" t="s">
        <v>79</v>
      </c>
      <c r="R3150" s="4"/>
      <c r="S3150" s="4"/>
    </row>
    <row r="3151" spans="1:19" ht="21" customHeight="1" x14ac:dyDescent="0.25">
      <c r="A3151" s="14">
        <f>DATE(2012,12,31)-916</f>
        <v>40358</v>
      </c>
      <c r="B3151" s="15" t="s">
        <v>500</v>
      </c>
      <c r="C3151" s="15" t="s">
        <v>85</v>
      </c>
      <c r="D3151" s="16">
        <v>35</v>
      </c>
      <c r="E3151" s="17">
        <v>6170.9120000000003</v>
      </c>
      <c r="F3151" s="16">
        <v>0.04</v>
      </c>
      <c r="G3151" s="15" t="s">
        <v>58</v>
      </c>
      <c r="H3151" s="18">
        <v>-528.65312500000005</v>
      </c>
      <c r="I3151" s="19">
        <v>218.75</v>
      </c>
      <c r="J3151" s="19">
        <v>69.64</v>
      </c>
      <c r="K3151" s="19" t="s">
        <v>44</v>
      </c>
      <c r="L3151" s="19" t="s">
        <v>236</v>
      </c>
      <c r="M3151" s="15" t="s">
        <v>1887</v>
      </c>
      <c r="N3151" s="15" t="s">
        <v>54</v>
      </c>
      <c r="O3151" s="15" t="s">
        <v>61</v>
      </c>
      <c r="P3151" s="20" t="s">
        <v>425</v>
      </c>
      <c r="Q3151" s="15" t="s">
        <v>63</v>
      </c>
      <c r="R3151" s="4"/>
      <c r="S3151" s="4"/>
    </row>
    <row r="3152" spans="1:19" ht="21" customHeight="1" x14ac:dyDescent="0.25">
      <c r="A3152" s="14">
        <f>DATE(2012,12,31)-1003</f>
        <v>40271</v>
      </c>
      <c r="B3152" s="15" t="s">
        <v>683</v>
      </c>
      <c r="C3152" s="15" t="s">
        <v>31</v>
      </c>
      <c r="D3152" s="16">
        <v>33</v>
      </c>
      <c r="E3152" s="17">
        <v>1934.6</v>
      </c>
      <c r="F3152" s="16">
        <v>0.09</v>
      </c>
      <c r="G3152" s="15" t="s">
        <v>32</v>
      </c>
      <c r="H3152" s="18">
        <v>614.03</v>
      </c>
      <c r="I3152" s="19">
        <v>63.94</v>
      </c>
      <c r="J3152" s="19">
        <v>14.48</v>
      </c>
      <c r="K3152" s="19" t="s">
        <v>44</v>
      </c>
      <c r="L3152" s="19" t="s">
        <v>120</v>
      </c>
      <c r="M3152" s="15" t="s">
        <v>121</v>
      </c>
      <c r="N3152" s="15" t="s">
        <v>54</v>
      </c>
      <c r="O3152" s="15" t="s">
        <v>55</v>
      </c>
      <c r="P3152" s="20" t="s">
        <v>1787</v>
      </c>
      <c r="Q3152" s="15" t="s">
        <v>83</v>
      </c>
      <c r="R3152" s="4"/>
      <c r="S3152" s="4"/>
    </row>
    <row r="3153" spans="1:19" ht="21" customHeight="1" x14ac:dyDescent="0.25">
      <c r="A3153" s="14">
        <f>DATE(2012,12,31)-1003</f>
        <v>40271</v>
      </c>
      <c r="B3153" s="15" t="s">
        <v>683</v>
      </c>
      <c r="C3153" s="15" t="s">
        <v>31</v>
      </c>
      <c r="D3153" s="16">
        <v>46</v>
      </c>
      <c r="E3153" s="17">
        <v>6803</v>
      </c>
      <c r="F3153" s="16">
        <v>0.03</v>
      </c>
      <c r="G3153" s="15" t="s">
        <v>58</v>
      </c>
      <c r="H3153" s="18">
        <v>-1061.68</v>
      </c>
      <c r="I3153" s="19">
        <v>150.97999999999999</v>
      </c>
      <c r="J3153" s="19">
        <v>66.27</v>
      </c>
      <c r="K3153" s="19" t="s">
        <v>44</v>
      </c>
      <c r="L3153" s="19" t="s">
        <v>52</v>
      </c>
      <c r="M3153" s="15" t="s">
        <v>1685</v>
      </c>
      <c r="N3153" s="15" t="s">
        <v>54</v>
      </c>
      <c r="O3153" s="15" t="s">
        <v>134</v>
      </c>
      <c r="P3153" s="20" t="s">
        <v>1113</v>
      </c>
      <c r="Q3153" s="15" t="s">
        <v>63</v>
      </c>
      <c r="R3153" s="4"/>
      <c r="S3153" s="4"/>
    </row>
    <row r="3154" spans="1:19" ht="21" customHeight="1" x14ac:dyDescent="0.25">
      <c r="A3154" s="14">
        <f>DATE(2012,12,31)-1159</f>
        <v>40115</v>
      </c>
      <c r="B3154" s="15" t="s">
        <v>856</v>
      </c>
      <c r="C3154" s="15" t="s">
        <v>85</v>
      </c>
      <c r="D3154" s="16">
        <v>30</v>
      </c>
      <c r="E3154" s="17">
        <v>2951.7</v>
      </c>
      <c r="F3154" s="16">
        <v>0.02</v>
      </c>
      <c r="G3154" s="15" t="s">
        <v>58</v>
      </c>
      <c r="H3154" s="18">
        <v>-1111.45</v>
      </c>
      <c r="I3154" s="19">
        <v>95.95</v>
      </c>
      <c r="J3154" s="19">
        <v>74.349999999999994</v>
      </c>
      <c r="K3154" s="19" t="s">
        <v>33</v>
      </c>
      <c r="L3154" s="19" t="s">
        <v>59</v>
      </c>
      <c r="M3154" s="15" t="s">
        <v>1941</v>
      </c>
      <c r="N3154" s="15" t="s">
        <v>54</v>
      </c>
      <c r="O3154" s="15" t="s">
        <v>252</v>
      </c>
      <c r="P3154" s="20" t="s">
        <v>540</v>
      </c>
      <c r="Q3154" s="15" t="s">
        <v>181</v>
      </c>
      <c r="R3154" s="4"/>
      <c r="S3154" s="4"/>
    </row>
    <row r="3155" spans="1:19" ht="21" customHeight="1" x14ac:dyDescent="0.25">
      <c r="A3155" s="14">
        <f>DATE(2012,12,31)-991</f>
        <v>40283</v>
      </c>
      <c r="B3155" s="15" t="s">
        <v>183</v>
      </c>
      <c r="C3155" s="15" t="s">
        <v>31</v>
      </c>
      <c r="D3155" s="16">
        <v>5</v>
      </c>
      <c r="E3155" s="17">
        <v>365.93</v>
      </c>
      <c r="F3155" s="16">
        <v>0.05</v>
      </c>
      <c r="G3155" s="15" t="s">
        <v>32</v>
      </c>
      <c r="H3155" s="18">
        <v>-243.02</v>
      </c>
      <c r="I3155" s="19">
        <v>73.98</v>
      </c>
      <c r="J3155" s="19">
        <v>14.52</v>
      </c>
      <c r="K3155" s="19" t="s">
        <v>33</v>
      </c>
      <c r="L3155" s="19" t="s">
        <v>59</v>
      </c>
      <c r="M3155" s="15" t="s">
        <v>1941</v>
      </c>
      <c r="N3155" s="15" t="s">
        <v>64</v>
      </c>
      <c r="O3155" s="15" t="s">
        <v>72</v>
      </c>
      <c r="P3155" s="20" t="s">
        <v>842</v>
      </c>
      <c r="Q3155" s="15" t="s">
        <v>83</v>
      </c>
      <c r="R3155" s="4"/>
      <c r="S3155" s="4"/>
    </row>
    <row r="3156" spans="1:19" ht="21" customHeight="1" x14ac:dyDescent="0.25">
      <c r="A3156" s="14">
        <f>DATE(2012,12,31)-740</f>
        <v>40534</v>
      </c>
      <c r="B3156" s="15" t="s">
        <v>1500</v>
      </c>
      <c r="C3156" s="15" t="s">
        <v>43</v>
      </c>
      <c r="D3156" s="16">
        <v>10</v>
      </c>
      <c r="E3156" s="17">
        <v>309.3</v>
      </c>
      <c r="F3156" s="16">
        <v>0.05</v>
      </c>
      <c r="G3156" s="15" t="s">
        <v>101</v>
      </c>
      <c r="H3156" s="18">
        <v>-77.89</v>
      </c>
      <c r="I3156" s="19">
        <v>30.98</v>
      </c>
      <c r="J3156" s="19">
        <v>6.5</v>
      </c>
      <c r="K3156" s="19" t="s">
        <v>33</v>
      </c>
      <c r="L3156" s="19" t="s">
        <v>145</v>
      </c>
      <c r="M3156" s="15" t="s">
        <v>2006</v>
      </c>
      <c r="N3156" s="15" t="s">
        <v>64</v>
      </c>
      <c r="O3156" s="15" t="s">
        <v>72</v>
      </c>
      <c r="P3156" s="20" t="s">
        <v>706</v>
      </c>
      <c r="Q3156" s="15" t="s">
        <v>83</v>
      </c>
      <c r="R3156" s="4"/>
      <c r="S3156" s="4"/>
    </row>
    <row r="3157" spans="1:19" ht="21" customHeight="1" x14ac:dyDescent="0.25">
      <c r="A3157" s="14">
        <f>DATE(2012,12,31)-429</f>
        <v>40845</v>
      </c>
      <c r="B3157" s="15" t="s">
        <v>1000</v>
      </c>
      <c r="C3157" s="15" t="s">
        <v>51</v>
      </c>
      <c r="D3157" s="16">
        <v>36</v>
      </c>
      <c r="E3157" s="17">
        <v>9544.18</v>
      </c>
      <c r="F3157" s="16">
        <v>0</v>
      </c>
      <c r="G3157" s="15" t="s">
        <v>101</v>
      </c>
      <c r="H3157" s="18">
        <v>3392.88</v>
      </c>
      <c r="I3157" s="19">
        <v>256.99</v>
      </c>
      <c r="J3157" s="19">
        <v>11.25</v>
      </c>
      <c r="K3157" s="19" t="s">
        <v>33</v>
      </c>
      <c r="L3157" s="19" t="s">
        <v>145</v>
      </c>
      <c r="M3157" s="15" t="s">
        <v>2006</v>
      </c>
      <c r="N3157" s="15" t="s">
        <v>64</v>
      </c>
      <c r="O3157" s="15" t="s">
        <v>72</v>
      </c>
      <c r="P3157" s="20" t="s">
        <v>2020</v>
      </c>
      <c r="Q3157" s="15" t="s">
        <v>83</v>
      </c>
      <c r="R3157" s="4"/>
      <c r="S3157" s="4"/>
    </row>
    <row r="3158" spans="1:19" ht="21" customHeight="1" x14ac:dyDescent="0.25">
      <c r="A3158" s="14">
        <f>DATE(2012,12,31)-429</f>
        <v>40845</v>
      </c>
      <c r="B3158" s="15" t="s">
        <v>1000</v>
      </c>
      <c r="C3158" s="15" t="s">
        <v>51</v>
      </c>
      <c r="D3158" s="16">
        <v>8</v>
      </c>
      <c r="E3158" s="17">
        <v>32.92</v>
      </c>
      <c r="F3158" s="16">
        <v>0.05</v>
      </c>
      <c r="G3158" s="15" t="s">
        <v>32</v>
      </c>
      <c r="H3158" s="18">
        <v>-7.73</v>
      </c>
      <c r="I3158" s="19">
        <v>3.95</v>
      </c>
      <c r="J3158" s="19">
        <v>2</v>
      </c>
      <c r="K3158" s="19" t="s">
        <v>33</v>
      </c>
      <c r="L3158" s="19" t="s">
        <v>59</v>
      </c>
      <c r="M3158" s="15" t="s">
        <v>1941</v>
      </c>
      <c r="N3158" s="15" t="s">
        <v>36</v>
      </c>
      <c r="O3158" s="15" t="s">
        <v>105</v>
      </c>
      <c r="P3158" s="20" t="s">
        <v>329</v>
      </c>
      <c r="Q3158" s="15" t="s">
        <v>79</v>
      </c>
      <c r="R3158" s="4"/>
      <c r="S3158" s="4"/>
    </row>
    <row r="3159" spans="1:19" ht="21" customHeight="1" x14ac:dyDescent="0.25">
      <c r="A3159" s="14">
        <f>DATE(2012,12,31)-827</f>
        <v>40447</v>
      </c>
      <c r="B3159" s="15" t="s">
        <v>1483</v>
      </c>
      <c r="C3159" s="15" t="s">
        <v>43</v>
      </c>
      <c r="D3159" s="16">
        <v>11</v>
      </c>
      <c r="E3159" s="17">
        <v>18.260000000000002</v>
      </c>
      <c r="F3159" s="16">
        <v>0.05</v>
      </c>
      <c r="G3159" s="15" t="s">
        <v>32</v>
      </c>
      <c r="H3159" s="18">
        <v>-3.89</v>
      </c>
      <c r="I3159" s="19">
        <v>1.68</v>
      </c>
      <c r="J3159" s="19">
        <v>0.7</v>
      </c>
      <c r="K3159" s="19" t="s">
        <v>33</v>
      </c>
      <c r="L3159" s="19" t="s">
        <v>34</v>
      </c>
      <c r="M3159" s="15" t="s">
        <v>1915</v>
      </c>
      <c r="N3159" s="15" t="s">
        <v>36</v>
      </c>
      <c r="O3159" s="15" t="s">
        <v>77</v>
      </c>
      <c r="P3159" s="20" t="s">
        <v>102</v>
      </c>
      <c r="Q3159" s="15" t="s">
        <v>79</v>
      </c>
      <c r="R3159" s="4"/>
      <c r="S3159" s="4"/>
    </row>
    <row r="3160" spans="1:19" ht="21" customHeight="1" x14ac:dyDescent="0.25">
      <c r="A3160" s="14">
        <f>DATE(2012,12,31)-355</f>
        <v>40919</v>
      </c>
      <c r="B3160" s="15" t="s">
        <v>1484</v>
      </c>
      <c r="C3160" s="15" t="s">
        <v>31</v>
      </c>
      <c r="D3160" s="16">
        <v>35</v>
      </c>
      <c r="E3160" s="17">
        <v>9843.11</v>
      </c>
      <c r="F3160" s="16">
        <v>7.0000000000000007E-2</v>
      </c>
      <c r="G3160" s="15" t="s">
        <v>58</v>
      </c>
      <c r="H3160" s="18">
        <v>-384.6</v>
      </c>
      <c r="I3160" s="19">
        <v>280.98</v>
      </c>
      <c r="J3160" s="19">
        <v>57</v>
      </c>
      <c r="K3160" s="19" t="s">
        <v>33</v>
      </c>
      <c r="L3160" s="19" t="s">
        <v>145</v>
      </c>
      <c r="M3160" s="15" t="s">
        <v>2006</v>
      </c>
      <c r="N3160" s="15" t="s">
        <v>54</v>
      </c>
      <c r="O3160" s="15" t="s">
        <v>252</v>
      </c>
      <c r="P3160" s="20" t="s">
        <v>1220</v>
      </c>
      <c r="Q3160" s="15" t="s">
        <v>181</v>
      </c>
      <c r="R3160" s="4"/>
      <c r="S3160" s="4"/>
    </row>
    <row r="3161" spans="1:19" ht="21" customHeight="1" x14ac:dyDescent="0.25">
      <c r="A3161" s="14">
        <f>DATE(2012,12,31)-355</f>
        <v>40919</v>
      </c>
      <c r="B3161" s="15" t="s">
        <v>1484</v>
      </c>
      <c r="C3161" s="15" t="s">
        <v>31</v>
      </c>
      <c r="D3161" s="16">
        <v>15</v>
      </c>
      <c r="E3161" s="17">
        <v>7190.06</v>
      </c>
      <c r="F3161" s="16">
        <v>0.08</v>
      </c>
      <c r="G3161" s="15" t="s">
        <v>58</v>
      </c>
      <c r="H3161" s="18">
        <v>1908.45</v>
      </c>
      <c r="I3161" s="19">
        <v>500.98</v>
      </c>
      <c r="J3161" s="19">
        <v>28.14</v>
      </c>
      <c r="K3161" s="19" t="s">
        <v>33</v>
      </c>
      <c r="L3161" s="19" t="s">
        <v>34</v>
      </c>
      <c r="M3161" s="15" t="s">
        <v>1915</v>
      </c>
      <c r="N3161" s="15" t="s">
        <v>64</v>
      </c>
      <c r="O3161" s="15" t="s">
        <v>122</v>
      </c>
      <c r="P3161" s="20" t="s">
        <v>231</v>
      </c>
      <c r="Q3161" s="15" t="s">
        <v>181</v>
      </c>
      <c r="R3161" s="4"/>
      <c r="S3161" s="4"/>
    </row>
    <row r="3162" spans="1:19" ht="21" customHeight="1" x14ac:dyDescent="0.25">
      <c r="A3162" s="14">
        <f>DATE(2012,12,31)-258</f>
        <v>41016</v>
      </c>
      <c r="B3162" s="15" t="s">
        <v>1132</v>
      </c>
      <c r="C3162" s="15" t="s">
        <v>85</v>
      </c>
      <c r="D3162" s="16">
        <v>40</v>
      </c>
      <c r="E3162" s="17">
        <v>2044.2755000000002</v>
      </c>
      <c r="F3162" s="16">
        <v>0.1</v>
      </c>
      <c r="G3162" s="15" t="s">
        <v>32</v>
      </c>
      <c r="H3162" s="18">
        <v>334.53</v>
      </c>
      <c r="I3162" s="19">
        <v>65.989999999999995</v>
      </c>
      <c r="J3162" s="19">
        <v>5.63</v>
      </c>
      <c r="K3162" s="19" t="s">
        <v>33</v>
      </c>
      <c r="L3162" s="19" t="s">
        <v>59</v>
      </c>
      <c r="M3162" s="15" t="s">
        <v>1941</v>
      </c>
      <c r="N3162" s="15" t="s">
        <v>64</v>
      </c>
      <c r="O3162" s="15" t="s">
        <v>65</v>
      </c>
      <c r="P3162" s="20" t="s">
        <v>695</v>
      </c>
      <c r="Q3162" s="15" t="s">
        <v>83</v>
      </c>
      <c r="R3162" s="4"/>
      <c r="S3162" s="4"/>
    </row>
    <row r="3163" spans="1:19" ht="21" customHeight="1" x14ac:dyDescent="0.25">
      <c r="A3163" s="14">
        <f>DATE(2012,12,31)-449</f>
        <v>40825</v>
      </c>
      <c r="B3163" s="15" t="s">
        <v>1321</v>
      </c>
      <c r="C3163" s="15" t="s">
        <v>31</v>
      </c>
      <c r="D3163" s="16">
        <v>39</v>
      </c>
      <c r="E3163" s="17">
        <v>2405</v>
      </c>
      <c r="F3163" s="16">
        <v>0.1</v>
      </c>
      <c r="G3163" s="15" t="s">
        <v>32</v>
      </c>
      <c r="H3163" s="18">
        <v>696.17</v>
      </c>
      <c r="I3163" s="19">
        <v>67.84</v>
      </c>
      <c r="J3163" s="19">
        <v>0.99</v>
      </c>
      <c r="K3163" s="19" t="s">
        <v>33</v>
      </c>
      <c r="L3163" s="19" t="s">
        <v>145</v>
      </c>
      <c r="M3163" s="15" t="s">
        <v>2006</v>
      </c>
      <c r="N3163" s="15" t="s">
        <v>36</v>
      </c>
      <c r="O3163" s="15" t="s">
        <v>176</v>
      </c>
      <c r="P3163" s="20" t="s">
        <v>2021</v>
      </c>
      <c r="Q3163" s="15" t="s">
        <v>83</v>
      </c>
      <c r="R3163" s="4"/>
      <c r="S3163" s="4"/>
    </row>
    <row r="3164" spans="1:19" ht="21" customHeight="1" x14ac:dyDescent="0.25">
      <c r="A3164" s="14">
        <f>DATE(2012,12,31)-1277</f>
        <v>39997</v>
      </c>
      <c r="B3164" s="15" t="s">
        <v>1438</v>
      </c>
      <c r="C3164" s="15" t="s">
        <v>31</v>
      </c>
      <c r="D3164" s="16">
        <v>44</v>
      </c>
      <c r="E3164" s="17">
        <v>444.52</v>
      </c>
      <c r="F3164" s="16">
        <v>0.02</v>
      </c>
      <c r="G3164" s="15" t="s">
        <v>32</v>
      </c>
      <c r="H3164" s="18">
        <v>161.13</v>
      </c>
      <c r="I3164" s="19">
        <v>10.06</v>
      </c>
      <c r="J3164" s="19">
        <v>2.06</v>
      </c>
      <c r="K3164" s="19" t="s">
        <v>33</v>
      </c>
      <c r="L3164" s="19" t="s">
        <v>59</v>
      </c>
      <c r="M3164" s="15" t="s">
        <v>1941</v>
      </c>
      <c r="N3164" s="15" t="s">
        <v>36</v>
      </c>
      <c r="O3164" s="15" t="s">
        <v>117</v>
      </c>
      <c r="P3164" s="20" t="s">
        <v>837</v>
      </c>
      <c r="Q3164" s="15" t="s">
        <v>79</v>
      </c>
      <c r="R3164" s="4"/>
      <c r="S3164" s="4"/>
    </row>
    <row r="3165" spans="1:19" ht="21" customHeight="1" x14ac:dyDescent="0.25">
      <c r="A3165" s="14">
        <f>DATE(2012,12,31)-547</f>
        <v>40727</v>
      </c>
      <c r="B3165" s="15" t="s">
        <v>705</v>
      </c>
      <c r="C3165" s="15" t="s">
        <v>43</v>
      </c>
      <c r="D3165" s="16">
        <v>45</v>
      </c>
      <c r="E3165" s="17">
        <v>296.82</v>
      </c>
      <c r="F3165" s="16">
        <v>7.0000000000000007E-2</v>
      </c>
      <c r="G3165" s="15" t="s">
        <v>32</v>
      </c>
      <c r="H3165" s="18">
        <v>-120.37</v>
      </c>
      <c r="I3165" s="19">
        <v>6.48</v>
      </c>
      <c r="J3165" s="19">
        <v>6.65</v>
      </c>
      <c r="K3165" s="19" t="s">
        <v>33</v>
      </c>
      <c r="L3165" s="19" t="s">
        <v>59</v>
      </c>
      <c r="M3165" s="15" t="s">
        <v>1941</v>
      </c>
      <c r="N3165" s="15" t="s">
        <v>36</v>
      </c>
      <c r="O3165" s="15" t="s">
        <v>117</v>
      </c>
      <c r="P3165" s="20" t="s">
        <v>1052</v>
      </c>
      <c r="Q3165" s="15" t="s">
        <v>83</v>
      </c>
      <c r="R3165" s="4"/>
      <c r="S3165" s="4"/>
    </row>
    <row r="3166" spans="1:19" ht="21" customHeight="1" x14ac:dyDescent="0.25">
      <c r="A3166" s="14">
        <f>DATE(2012,12,31)-24</f>
        <v>41250</v>
      </c>
      <c r="B3166" s="15" t="s">
        <v>1137</v>
      </c>
      <c r="C3166" s="15" t="s">
        <v>31</v>
      </c>
      <c r="D3166" s="16">
        <v>2</v>
      </c>
      <c r="E3166" s="17">
        <v>238.76</v>
      </c>
      <c r="F3166" s="16">
        <v>0.1</v>
      </c>
      <c r="G3166" s="15" t="s">
        <v>32</v>
      </c>
      <c r="H3166" s="18">
        <v>-235.21</v>
      </c>
      <c r="I3166" s="19">
        <v>110.98</v>
      </c>
      <c r="J3166" s="19">
        <v>35</v>
      </c>
      <c r="K3166" s="19" t="s">
        <v>69</v>
      </c>
      <c r="L3166" s="19" t="s">
        <v>70</v>
      </c>
      <c r="M3166" s="15" t="s">
        <v>1895</v>
      </c>
      <c r="N3166" s="15" t="s">
        <v>36</v>
      </c>
      <c r="O3166" s="15" t="s">
        <v>37</v>
      </c>
      <c r="P3166" s="20" t="s">
        <v>1620</v>
      </c>
      <c r="Q3166" s="15" t="s">
        <v>39</v>
      </c>
      <c r="R3166" s="4"/>
      <c r="S3166" s="4"/>
    </row>
    <row r="3167" spans="1:19" ht="21" customHeight="1" x14ac:dyDescent="0.25">
      <c r="A3167" s="14">
        <f>DATE(2012,12,31)-1372</f>
        <v>39902</v>
      </c>
      <c r="B3167" s="15" t="s">
        <v>631</v>
      </c>
      <c r="C3167" s="15" t="s">
        <v>85</v>
      </c>
      <c r="D3167" s="16">
        <v>35</v>
      </c>
      <c r="E3167" s="17">
        <v>187.84</v>
      </c>
      <c r="F3167" s="16">
        <v>0</v>
      </c>
      <c r="G3167" s="15" t="s">
        <v>32</v>
      </c>
      <c r="H3167" s="18">
        <v>-95.047499999999999</v>
      </c>
      <c r="I3167" s="19">
        <v>4.91</v>
      </c>
      <c r="J3167" s="19">
        <v>5.68</v>
      </c>
      <c r="K3167" s="19" t="s">
        <v>69</v>
      </c>
      <c r="L3167" s="19" t="s">
        <v>75</v>
      </c>
      <c r="M3167" s="15" t="s">
        <v>1980</v>
      </c>
      <c r="N3167" s="15" t="s">
        <v>36</v>
      </c>
      <c r="O3167" s="15" t="s">
        <v>170</v>
      </c>
      <c r="P3167" s="20" t="s">
        <v>1284</v>
      </c>
      <c r="Q3167" s="15" t="s">
        <v>83</v>
      </c>
      <c r="R3167" s="4"/>
      <c r="S3167" s="4"/>
    </row>
    <row r="3168" spans="1:19" ht="21" customHeight="1" x14ac:dyDescent="0.25">
      <c r="A3168" s="14">
        <f>DATE(2012,12,31)-1372</f>
        <v>39902</v>
      </c>
      <c r="B3168" s="15" t="s">
        <v>631</v>
      </c>
      <c r="C3168" s="15" t="s">
        <v>85</v>
      </c>
      <c r="D3168" s="16">
        <v>45</v>
      </c>
      <c r="E3168" s="17">
        <v>240.6</v>
      </c>
      <c r="F3168" s="16">
        <v>0.04</v>
      </c>
      <c r="G3168" s="15" t="s">
        <v>32</v>
      </c>
      <c r="H3168" s="18">
        <v>3.4509999999999996</v>
      </c>
      <c r="I3168" s="19">
        <v>5.34</v>
      </c>
      <c r="J3168" s="19">
        <v>2.99</v>
      </c>
      <c r="K3168" s="19" t="s">
        <v>69</v>
      </c>
      <c r="L3168" s="19" t="s">
        <v>70</v>
      </c>
      <c r="M3168" s="15" t="s">
        <v>1895</v>
      </c>
      <c r="N3168" s="15" t="s">
        <v>36</v>
      </c>
      <c r="O3168" s="15" t="s">
        <v>170</v>
      </c>
      <c r="P3168" s="20" t="s">
        <v>388</v>
      </c>
      <c r="Q3168" s="15" t="s">
        <v>83</v>
      </c>
      <c r="R3168" s="4"/>
      <c r="S3168" s="4"/>
    </row>
    <row r="3169" spans="1:19" ht="21" customHeight="1" x14ac:dyDescent="0.25">
      <c r="A3169" s="14">
        <f>DATE(2012,12,31)-1372</f>
        <v>39902</v>
      </c>
      <c r="B3169" s="15" t="s">
        <v>631</v>
      </c>
      <c r="C3169" s="15" t="s">
        <v>85</v>
      </c>
      <c r="D3169" s="16">
        <v>5</v>
      </c>
      <c r="E3169" s="17">
        <v>236.87799999999999</v>
      </c>
      <c r="F3169" s="16">
        <v>0.06</v>
      </c>
      <c r="G3169" s="15" t="s">
        <v>32</v>
      </c>
      <c r="H3169" s="18">
        <v>-275.25299999999999</v>
      </c>
      <c r="I3169" s="19">
        <v>55.99</v>
      </c>
      <c r="J3169" s="19">
        <v>5</v>
      </c>
      <c r="K3169" s="19" t="s">
        <v>69</v>
      </c>
      <c r="L3169" s="19" t="s">
        <v>70</v>
      </c>
      <c r="M3169" s="15" t="s">
        <v>1895</v>
      </c>
      <c r="N3169" s="15" t="s">
        <v>64</v>
      </c>
      <c r="O3169" s="15" t="s">
        <v>65</v>
      </c>
      <c r="P3169" s="20" t="s">
        <v>975</v>
      </c>
      <c r="Q3169" s="15" t="s">
        <v>49</v>
      </c>
      <c r="R3169" s="4"/>
      <c r="S3169" s="4"/>
    </row>
    <row r="3170" spans="1:19" ht="21" customHeight="1" x14ac:dyDescent="0.25">
      <c r="A3170" s="14">
        <f>DATE(2012,12,31)-636</f>
        <v>40638</v>
      </c>
      <c r="B3170" s="15" t="s">
        <v>214</v>
      </c>
      <c r="C3170" s="15" t="s">
        <v>85</v>
      </c>
      <c r="D3170" s="16">
        <v>35</v>
      </c>
      <c r="E3170" s="17">
        <v>46.44</v>
      </c>
      <c r="F3170" s="16">
        <v>0.06</v>
      </c>
      <c r="G3170" s="15" t="s">
        <v>101</v>
      </c>
      <c r="H3170" s="18">
        <v>-16.3</v>
      </c>
      <c r="I3170" s="19">
        <v>1.26</v>
      </c>
      <c r="J3170" s="19">
        <v>0.7</v>
      </c>
      <c r="K3170" s="19" t="s">
        <v>69</v>
      </c>
      <c r="L3170" s="19" t="s">
        <v>70</v>
      </c>
      <c r="M3170" s="15" t="s">
        <v>1895</v>
      </c>
      <c r="N3170" s="15" t="s">
        <v>36</v>
      </c>
      <c r="O3170" s="15" t="s">
        <v>105</v>
      </c>
      <c r="P3170" s="20" t="s">
        <v>316</v>
      </c>
      <c r="Q3170" s="15" t="s">
        <v>79</v>
      </c>
      <c r="R3170" s="4"/>
      <c r="S3170" s="4"/>
    </row>
    <row r="3171" spans="1:19" ht="21" customHeight="1" x14ac:dyDescent="0.25">
      <c r="A3171" s="14">
        <f>DATE(2012,12,31)-40</f>
        <v>41234</v>
      </c>
      <c r="B3171" s="15" t="s">
        <v>1444</v>
      </c>
      <c r="C3171" s="15" t="s">
        <v>85</v>
      </c>
      <c r="D3171" s="16">
        <v>27</v>
      </c>
      <c r="E3171" s="17">
        <v>6785.86</v>
      </c>
      <c r="F3171" s="16">
        <v>0.05</v>
      </c>
      <c r="G3171" s="15" t="s">
        <v>58</v>
      </c>
      <c r="H3171" s="18">
        <v>-740.07</v>
      </c>
      <c r="I3171" s="19">
        <v>262.11</v>
      </c>
      <c r="J3171" s="19">
        <v>62.74</v>
      </c>
      <c r="K3171" s="19" t="s">
        <v>69</v>
      </c>
      <c r="L3171" s="19" t="s">
        <v>70</v>
      </c>
      <c r="M3171" s="15" t="s">
        <v>1895</v>
      </c>
      <c r="N3171" s="15" t="s">
        <v>54</v>
      </c>
      <c r="O3171" s="15" t="s">
        <v>61</v>
      </c>
      <c r="P3171" s="20" t="s">
        <v>1510</v>
      </c>
      <c r="Q3171" s="15" t="s">
        <v>63</v>
      </c>
      <c r="R3171" s="4"/>
      <c r="S3171" s="4"/>
    </row>
    <row r="3172" spans="1:19" ht="21" customHeight="1" x14ac:dyDescent="0.25">
      <c r="A3172" s="14">
        <f>DATE(2012,12,31)-1319</f>
        <v>39955</v>
      </c>
      <c r="B3172" s="15" t="s">
        <v>1144</v>
      </c>
      <c r="C3172" s="15" t="s">
        <v>85</v>
      </c>
      <c r="D3172" s="16">
        <v>50</v>
      </c>
      <c r="E3172" s="17">
        <v>6277.75</v>
      </c>
      <c r="F3172" s="16">
        <v>0.1</v>
      </c>
      <c r="G3172" s="15" t="s">
        <v>58</v>
      </c>
      <c r="H3172" s="18">
        <v>-592.42999999999995</v>
      </c>
      <c r="I3172" s="19">
        <v>130.97999999999999</v>
      </c>
      <c r="J3172" s="19">
        <v>30</v>
      </c>
      <c r="K3172" s="19" t="s">
        <v>69</v>
      </c>
      <c r="L3172" s="19" t="s">
        <v>70</v>
      </c>
      <c r="M3172" s="15" t="s">
        <v>1895</v>
      </c>
      <c r="N3172" s="15" t="s">
        <v>54</v>
      </c>
      <c r="O3172" s="15" t="s">
        <v>252</v>
      </c>
      <c r="P3172" s="20" t="s">
        <v>980</v>
      </c>
      <c r="Q3172" s="15" t="s">
        <v>181</v>
      </c>
      <c r="R3172" s="4"/>
      <c r="S3172" s="4"/>
    </row>
    <row r="3173" spans="1:19" ht="21" customHeight="1" x14ac:dyDescent="0.25">
      <c r="A3173" s="14">
        <f>DATE(2012,12,31)-1319</f>
        <v>39955</v>
      </c>
      <c r="B3173" s="15" t="s">
        <v>1144</v>
      </c>
      <c r="C3173" s="15" t="s">
        <v>31</v>
      </c>
      <c r="D3173" s="16">
        <v>19</v>
      </c>
      <c r="E3173" s="17">
        <v>360.24</v>
      </c>
      <c r="F3173" s="16">
        <v>0.08</v>
      </c>
      <c r="G3173" s="15" t="s">
        <v>32</v>
      </c>
      <c r="H3173" s="18">
        <v>-53.82</v>
      </c>
      <c r="I3173" s="19">
        <v>19.98</v>
      </c>
      <c r="J3173" s="19">
        <v>4</v>
      </c>
      <c r="K3173" s="19" t="s">
        <v>69</v>
      </c>
      <c r="L3173" s="19" t="s">
        <v>70</v>
      </c>
      <c r="M3173" s="15" t="s">
        <v>1895</v>
      </c>
      <c r="N3173" s="15" t="s">
        <v>64</v>
      </c>
      <c r="O3173" s="15" t="s">
        <v>72</v>
      </c>
      <c r="P3173" s="20" t="s">
        <v>805</v>
      </c>
      <c r="Q3173" s="15" t="s">
        <v>83</v>
      </c>
      <c r="R3173" s="4"/>
      <c r="S3173" s="4"/>
    </row>
    <row r="3174" spans="1:19" ht="21" customHeight="1" x14ac:dyDescent="0.25">
      <c r="A3174" s="14">
        <f>DATE(2012,12,31)-51</f>
        <v>41223</v>
      </c>
      <c r="B3174" s="15" t="s">
        <v>823</v>
      </c>
      <c r="C3174" s="15" t="s">
        <v>51</v>
      </c>
      <c r="D3174" s="16">
        <v>1</v>
      </c>
      <c r="E3174" s="17">
        <v>6.77</v>
      </c>
      <c r="F3174" s="16">
        <v>0.06</v>
      </c>
      <c r="G3174" s="15" t="s">
        <v>32</v>
      </c>
      <c r="H3174" s="18">
        <v>-3.66</v>
      </c>
      <c r="I3174" s="19">
        <v>2.52</v>
      </c>
      <c r="J3174" s="19">
        <v>4.28</v>
      </c>
      <c r="K3174" s="19" t="s">
        <v>69</v>
      </c>
      <c r="L3174" s="19" t="s">
        <v>70</v>
      </c>
      <c r="M3174" s="15" t="s">
        <v>1895</v>
      </c>
      <c r="N3174" s="15" t="s">
        <v>36</v>
      </c>
      <c r="O3174" s="15" t="s">
        <v>77</v>
      </c>
      <c r="P3174" s="20" t="s">
        <v>1568</v>
      </c>
      <c r="Q3174" s="15" t="s">
        <v>79</v>
      </c>
      <c r="R3174" s="4"/>
      <c r="S3174" s="4"/>
    </row>
    <row r="3175" spans="1:19" ht="21" customHeight="1" x14ac:dyDescent="0.25">
      <c r="A3175" s="14">
        <f>DATE(2012,12,31)-867</f>
        <v>40407</v>
      </c>
      <c r="B3175" s="15" t="s">
        <v>110</v>
      </c>
      <c r="C3175" s="15" t="s">
        <v>51</v>
      </c>
      <c r="D3175" s="16">
        <v>34</v>
      </c>
      <c r="E3175" s="17">
        <v>209.12</v>
      </c>
      <c r="F3175" s="16">
        <v>0.05</v>
      </c>
      <c r="G3175" s="15" t="s">
        <v>32</v>
      </c>
      <c r="H3175" s="18">
        <v>-116.21</v>
      </c>
      <c r="I3175" s="19">
        <v>5.98</v>
      </c>
      <c r="J3175" s="19">
        <v>4.38</v>
      </c>
      <c r="K3175" s="19" t="s">
        <v>69</v>
      </c>
      <c r="L3175" s="19" t="s">
        <v>75</v>
      </c>
      <c r="M3175" s="15" t="s">
        <v>1980</v>
      </c>
      <c r="N3175" s="15" t="s">
        <v>64</v>
      </c>
      <c r="O3175" s="15" t="s">
        <v>72</v>
      </c>
      <c r="P3175" s="20" t="s">
        <v>618</v>
      </c>
      <c r="Q3175" s="15" t="s">
        <v>49</v>
      </c>
      <c r="R3175" s="4"/>
      <c r="S3175" s="4"/>
    </row>
    <row r="3176" spans="1:19" ht="21" customHeight="1" x14ac:dyDescent="0.25">
      <c r="A3176" s="14">
        <f>DATE(2012,12,31)-867</f>
        <v>40407</v>
      </c>
      <c r="B3176" s="15" t="s">
        <v>110</v>
      </c>
      <c r="C3176" s="15" t="s">
        <v>51</v>
      </c>
      <c r="D3176" s="16">
        <v>18</v>
      </c>
      <c r="E3176" s="17">
        <v>144.84</v>
      </c>
      <c r="F3176" s="16">
        <v>0</v>
      </c>
      <c r="G3176" s="15" t="s">
        <v>32</v>
      </c>
      <c r="H3176" s="18">
        <v>21.49</v>
      </c>
      <c r="I3176" s="19">
        <v>7.89</v>
      </c>
      <c r="J3176" s="19">
        <v>2.82</v>
      </c>
      <c r="K3176" s="19" t="s">
        <v>69</v>
      </c>
      <c r="L3176" s="19" t="s">
        <v>70</v>
      </c>
      <c r="M3176" s="15" t="s">
        <v>1895</v>
      </c>
      <c r="N3176" s="15" t="s">
        <v>36</v>
      </c>
      <c r="O3176" s="15" t="s">
        <v>105</v>
      </c>
      <c r="P3176" s="20" t="s">
        <v>2022</v>
      </c>
      <c r="Q3176" s="15" t="s">
        <v>79</v>
      </c>
      <c r="R3176" s="4"/>
      <c r="S3176" s="4"/>
    </row>
    <row r="3177" spans="1:19" ht="21" customHeight="1" x14ac:dyDescent="0.25">
      <c r="A3177" s="14">
        <f>DATE(2012,12,31)-387</f>
        <v>40887</v>
      </c>
      <c r="B3177" s="15" t="s">
        <v>416</v>
      </c>
      <c r="C3177" s="15" t="s">
        <v>43</v>
      </c>
      <c r="D3177" s="16">
        <v>20</v>
      </c>
      <c r="E3177" s="17">
        <v>140.37</v>
      </c>
      <c r="F3177" s="16">
        <v>0.01</v>
      </c>
      <c r="G3177" s="15" t="s">
        <v>32</v>
      </c>
      <c r="H3177" s="18">
        <v>-893.39</v>
      </c>
      <c r="I3177" s="19">
        <v>4.4800000000000004</v>
      </c>
      <c r="J3177" s="19">
        <v>49</v>
      </c>
      <c r="K3177" s="19" t="s">
        <v>69</v>
      </c>
      <c r="L3177" s="19" t="s">
        <v>70</v>
      </c>
      <c r="M3177" s="15" t="s">
        <v>1895</v>
      </c>
      <c r="N3177" s="15" t="s">
        <v>36</v>
      </c>
      <c r="O3177" s="15" t="s">
        <v>176</v>
      </c>
      <c r="P3177" s="20" t="s">
        <v>314</v>
      </c>
      <c r="Q3177" s="15" t="s">
        <v>39</v>
      </c>
      <c r="R3177" s="4"/>
      <c r="S3177" s="4"/>
    </row>
    <row r="3178" spans="1:19" ht="21" customHeight="1" x14ac:dyDescent="0.25">
      <c r="A3178" s="14">
        <f>DATE(2012,12,31)-387</f>
        <v>40887</v>
      </c>
      <c r="B3178" s="15" t="s">
        <v>416</v>
      </c>
      <c r="C3178" s="15" t="s">
        <v>43</v>
      </c>
      <c r="D3178" s="16">
        <v>45</v>
      </c>
      <c r="E3178" s="17">
        <v>5921.74</v>
      </c>
      <c r="F3178" s="16">
        <v>0.02</v>
      </c>
      <c r="G3178" s="15" t="s">
        <v>58</v>
      </c>
      <c r="H3178" s="18">
        <v>-287.62</v>
      </c>
      <c r="I3178" s="19">
        <v>130.97999999999999</v>
      </c>
      <c r="J3178" s="19">
        <v>30</v>
      </c>
      <c r="K3178" s="19" t="s">
        <v>69</v>
      </c>
      <c r="L3178" s="19" t="s">
        <v>70</v>
      </c>
      <c r="M3178" s="15" t="s">
        <v>1895</v>
      </c>
      <c r="N3178" s="15" t="s">
        <v>54</v>
      </c>
      <c r="O3178" s="15" t="s">
        <v>252</v>
      </c>
      <c r="P3178" s="20" t="s">
        <v>980</v>
      </c>
      <c r="Q3178" s="15" t="s">
        <v>181</v>
      </c>
      <c r="R3178" s="4"/>
      <c r="S3178" s="4"/>
    </row>
    <row r="3179" spans="1:19" ht="21" customHeight="1" x14ac:dyDescent="0.25">
      <c r="A3179" s="14">
        <f>DATE(2012,12,31)-387</f>
        <v>40887</v>
      </c>
      <c r="B3179" s="15" t="s">
        <v>416</v>
      </c>
      <c r="C3179" s="15" t="s">
        <v>43</v>
      </c>
      <c r="D3179" s="16">
        <v>4</v>
      </c>
      <c r="E3179" s="17">
        <v>68.16</v>
      </c>
      <c r="F3179" s="16">
        <v>0.09</v>
      </c>
      <c r="G3179" s="15" t="s">
        <v>32</v>
      </c>
      <c r="H3179" s="18">
        <v>-52.44</v>
      </c>
      <c r="I3179" s="19">
        <v>15.98</v>
      </c>
      <c r="J3179" s="19">
        <v>6.5</v>
      </c>
      <c r="K3179" s="19" t="s">
        <v>69</v>
      </c>
      <c r="L3179" s="19" t="s">
        <v>215</v>
      </c>
      <c r="M3179" s="15" t="s">
        <v>1704</v>
      </c>
      <c r="N3179" s="15" t="s">
        <v>64</v>
      </c>
      <c r="O3179" s="15" t="s">
        <v>72</v>
      </c>
      <c r="P3179" s="20" t="s">
        <v>344</v>
      </c>
      <c r="Q3179" s="15" t="s">
        <v>83</v>
      </c>
      <c r="R3179" s="4"/>
      <c r="S3179" s="4"/>
    </row>
    <row r="3180" spans="1:19" ht="21" customHeight="1" x14ac:dyDescent="0.25">
      <c r="A3180" s="14">
        <f>DATE(2012,12,31)-686</f>
        <v>40588</v>
      </c>
      <c r="B3180" s="15" t="s">
        <v>172</v>
      </c>
      <c r="C3180" s="15" t="s">
        <v>43</v>
      </c>
      <c r="D3180" s="16">
        <v>27</v>
      </c>
      <c r="E3180" s="17">
        <v>304.98</v>
      </c>
      <c r="F3180" s="16">
        <v>0.08</v>
      </c>
      <c r="G3180" s="15" t="s">
        <v>32</v>
      </c>
      <c r="H3180" s="18">
        <v>2.7284999999999999</v>
      </c>
      <c r="I3180" s="19">
        <v>11.7</v>
      </c>
      <c r="J3180" s="19">
        <v>5.63</v>
      </c>
      <c r="K3180" s="19" t="s">
        <v>69</v>
      </c>
      <c r="L3180" s="19" t="s">
        <v>215</v>
      </c>
      <c r="M3180" s="15" t="s">
        <v>1704</v>
      </c>
      <c r="N3180" s="15" t="s">
        <v>36</v>
      </c>
      <c r="O3180" s="15" t="s">
        <v>170</v>
      </c>
      <c r="P3180" s="20" t="s">
        <v>323</v>
      </c>
      <c r="Q3180" s="15" t="s">
        <v>83</v>
      </c>
      <c r="R3180" s="4"/>
      <c r="S3180" s="4"/>
    </row>
    <row r="3181" spans="1:19" ht="21" customHeight="1" x14ac:dyDescent="0.25">
      <c r="A3181" s="14">
        <f>DATE(2012,12,31)-686</f>
        <v>40588</v>
      </c>
      <c r="B3181" s="15" t="s">
        <v>172</v>
      </c>
      <c r="C3181" s="15" t="s">
        <v>43</v>
      </c>
      <c r="D3181" s="16">
        <v>34</v>
      </c>
      <c r="E3181" s="17">
        <v>104.24</v>
      </c>
      <c r="F3181" s="16">
        <v>0</v>
      </c>
      <c r="G3181" s="15" t="s">
        <v>101</v>
      </c>
      <c r="H3181" s="18">
        <v>10.59</v>
      </c>
      <c r="I3181" s="19">
        <v>2.78</v>
      </c>
      <c r="J3181" s="19">
        <v>1.34</v>
      </c>
      <c r="K3181" s="19" t="s">
        <v>69</v>
      </c>
      <c r="L3181" s="19" t="s">
        <v>215</v>
      </c>
      <c r="M3181" s="15" t="s">
        <v>1704</v>
      </c>
      <c r="N3181" s="15" t="s">
        <v>36</v>
      </c>
      <c r="O3181" s="15" t="s">
        <v>77</v>
      </c>
      <c r="P3181" s="20" t="s">
        <v>422</v>
      </c>
      <c r="Q3181" s="15" t="s">
        <v>79</v>
      </c>
      <c r="R3181" s="4"/>
      <c r="S3181" s="4"/>
    </row>
    <row r="3182" spans="1:19" ht="21" customHeight="1" x14ac:dyDescent="0.25">
      <c r="A3182" s="14">
        <f>DATE(2012,12,31)-686</f>
        <v>40588</v>
      </c>
      <c r="B3182" s="15" t="s">
        <v>172</v>
      </c>
      <c r="C3182" s="15" t="s">
        <v>43</v>
      </c>
      <c r="D3182" s="16">
        <v>27</v>
      </c>
      <c r="E3182" s="17">
        <v>198.13</v>
      </c>
      <c r="F3182" s="16">
        <v>0.01</v>
      </c>
      <c r="G3182" s="15" t="s">
        <v>32</v>
      </c>
      <c r="H3182" s="18">
        <v>-219.92</v>
      </c>
      <c r="I3182" s="19">
        <v>6.98</v>
      </c>
      <c r="J3182" s="19">
        <v>9.69</v>
      </c>
      <c r="K3182" s="19" t="s">
        <v>111</v>
      </c>
      <c r="L3182" s="19" t="s">
        <v>258</v>
      </c>
      <c r="M3182" s="15" t="s">
        <v>259</v>
      </c>
      <c r="N3182" s="15" t="s">
        <v>36</v>
      </c>
      <c r="O3182" s="15" t="s">
        <v>37</v>
      </c>
      <c r="P3182" s="20" t="s">
        <v>1855</v>
      </c>
      <c r="Q3182" s="15" t="s">
        <v>83</v>
      </c>
      <c r="R3182" s="4"/>
      <c r="S3182" s="4"/>
    </row>
    <row r="3183" spans="1:19" ht="21" customHeight="1" x14ac:dyDescent="0.25">
      <c r="A3183" s="14">
        <f>DATE(2012,12,31)-686</f>
        <v>40588</v>
      </c>
      <c r="B3183" s="15" t="s">
        <v>172</v>
      </c>
      <c r="C3183" s="15" t="s">
        <v>43</v>
      </c>
      <c r="D3183" s="16">
        <v>25</v>
      </c>
      <c r="E3183" s="17">
        <v>4366.348</v>
      </c>
      <c r="F3183" s="16">
        <v>0.05</v>
      </c>
      <c r="G3183" s="15" t="s">
        <v>32</v>
      </c>
      <c r="H3183" s="18">
        <v>940.57199999999989</v>
      </c>
      <c r="I3183" s="19">
        <v>205.99</v>
      </c>
      <c r="J3183" s="19">
        <v>3</v>
      </c>
      <c r="K3183" s="19" t="s">
        <v>111</v>
      </c>
      <c r="L3183" s="19" t="s">
        <v>112</v>
      </c>
      <c r="M3183" s="15" t="s">
        <v>2023</v>
      </c>
      <c r="N3183" s="15" t="s">
        <v>64</v>
      </c>
      <c r="O3183" s="15" t="s">
        <v>65</v>
      </c>
      <c r="P3183" s="20" t="s">
        <v>1920</v>
      </c>
      <c r="Q3183" s="15" t="s">
        <v>83</v>
      </c>
      <c r="R3183" s="4"/>
      <c r="S3183" s="4"/>
    </row>
    <row r="3184" spans="1:19" ht="21" customHeight="1" x14ac:dyDescent="0.25">
      <c r="A3184" s="14">
        <f>DATE(2012,12,31)-611</f>
        <v>40663</v>
      </c>
      <c r="B3184" s="15" t="s">
        <v>1726</v>
      </c>
      <c r="C3184" s="15" t="s">
        <v>85</v>
      </c>
      <c r="D3184" s="16">
        <v>4</v>
      </c>
      <c r="E3184" s="17">
        <v>105.13</v>
      </c>
      <c r="F3184" s="16">
        <v>0.08</v>
      </c>
      <c r="G3184" s="15" t="s">
        <v>32</v>
      </c>
      <c r="H3184" s="18">
        <v>-103.23</v>
      </c>
      <c r="I3184" s="19">
        <v>27.48</v>
      </c>
      <c r="J3184" s="19">
        <v>4</v>
      </c>
      <c r="K3184" s="19" t="s">
        <v>111</v>
      </c>
      <c r="L3184" s="19" t="s">
        <v>258</v>
      </c>
      <c r="M3184" s="15" t="s">
        <v>259</v>
      </c>
      <c r="N3184" s="15" t="s">
        <v>64</v>
      </c>
      <c r="O3184" s="15" t="s">
        <v>72</v>
      </c>
      <c r="P3184" s="20" t="s">
        <v>1322</v>
      </c>
      <c r="Q3184" s="15" t="s">
        <v>83</v>
      </c>
      <c r="R3184" s="4"/>
      <c r="S3184" s="4"/>
    </row>
    <row r="3185" spans="1:19" ht="21" customHeight="1" x14ac:dyDescent="0.25">
      <c r="A3185" s="14">
        <f>DATE(2012,12,31)-1401</f>
        <v>39873</v>
      </c>
      <c r="B3185" s="15" t="s">
        <v>854</v>
      </c>
      <c r="C3185" s="15" t="s">
        <v>85</v>
      </c>
      <c r="D3185" s="16">
        <v>25</v>
      </c>
      <c r="E3185" s="17">
        <v>667.36</v>
      </c>
      <c r="F3185" s="16">
        <v>0.09</v>
      </c>
      <c r="G3185" s="15" t="s">
        <v>32</v>
      </c>
      <c r="H3185" s="18">
        <v>218.89</v>
      </c>
      <c r="I3185" s="19">
        <v>28.48</v>
      </c>
      <c r="J3185" s="19">
        <v>1.99</v>
      </c>
      <c r="K3185" s="19" t="s">
        <v>111</v>
      </c>
      <c r="L3185" s="19" t="s">
        <v>407</v>
      </c>
      <c r="M3185" s="15" t="s">
        <v>407</v>
      </c>
      <c r="N3185" s="15" t="s">
        <v>64</v>
      </c>
      <c r="O3185" s="15" t="s">
        <v>72</v>
      </c>
      <c r="P3185" s="20" t="s">
        <v>382</v>
      </c>
      <c r="Q3185" s="15" t="s">
        <v>49</v>
      </c>
      <c r="R3185" s="4"/>
      <c r="S3185" s="4"/>
    </row>
    <row r="3186" spans="1:19" ht="21" customHeight="1" x14ac:dyDescent="0.25">
      <c r="A3186" s="14">
        <f>DATE(2012,12,31)-1401</f>
        <v>39873</v>
      </c>
      <c r="B3186" s="15" t="s">
        <v>854</v>
      </c>
      <c r="C3186" s="15" t="s">
        <v>85</v>
      </c>
      <c r="D3186" s="16">
        <v>13</v>
      </c>
      <c r="E3186" s="17">
        <v>32.369999999999997</v>
      </c>
      <c r="F3186" s="16">
        <v>0</v>
      </c>
      <c r="G3186" s="15" t="s">
        <v>32</v>
      </c>
      <c r="H3186" s="18">
        <v>-48.55</v>
      </c>
      <c r="I3186" s="19">
        <v>2.08</v>
      </c>
      <c r="J3186" s="19">
        <v>5.33</v>
      </c>
      <c r="K3186" s="19" t="s">
        <v>44</v>
      </c>
      <c r="L3186" s="19" t="s">
        <v>120</v>
      </c>
      <c r="M3186" s="15" t="s">
        <v>121</v>
      </c>
      <c r="N3186" s="15" t="s">
        <v>54</v>
      </c>
      <c r="O3186" s="15" t="s">
        <v>55</v>
      </c>
      <c r="P3186" s="20" t="s">
        <v>858</v>
      </c>
      <c r="Q3186" s="15" t="s">
        <v>83</v>
      </c>
      <c r="R3186" s="4"/>
      <c r="S3186" s="4"/>
    </row>
    <row r="3187" spans="1:19" ht="21" customHeight="1" x14ac:dyDescent="0.25">
      <c r="A3187" s="14">
        <f>DATE(2012,12,31)-1401</f>
        <v>39873</v>
      </c>
      <c r="B3187" s="15" t="s">
        <v>854</v>
      </c>
      <c r="C3187" s="15" t="s">
        <v>85</v>
      </c>
      <c r="D3187" s="16">
        <v>38</v>
      </c>
      <c r="E3187" s="17">
        <v>1409.0874999999999</v>
      </c>
      <c r="F3187" s="16">
        <v>0.06</v>
      </c>
      <c r="G3187" s="15" t="s">
        <v>101</v>
      </c>
      <c r="H3187" s="18">
        <v>233.559</v>
      </c>
      <c r="I3187" s="19">
        <v>45.99</v>
      </c>
      <c r="J3187" s="19">
        <v>4.99</v>
      </c>
      <c r="K3187" s="19" t="s">
        <v>44</v>
      </c>
      <c r="L3187" s="19" t="s">
        <v>120</v>
      </c>
      <c r="M3187" s="15" t="s">
        <v>121</v>
      </c>
      <c r="N3187" s="15" t="s">
        <v>64</v>
      </c>
      <c r="O3187" s="15" t="s">
        <v>65</v>
      </c>
      <c r="P3187" s="20" t="s">
        <v>1057</v>
      </c>
      <c r="Q3187" s="15" t="s">
        <v>83</v>
      </c>
      <c r="R3187" s="4"/>
      <c r="S3187" s="4"/>
    </row>
    <row r="3188" spans="1:19" ht="21" customHeight="1" x14ac:dyDescent="0.25">
      <c r="A3188" s="14">
        <f>DATE(2012,12,31)-946</f>
        <v>40328</v>
      </c>
      <c r="B3188" s="15" t="s">
        <v>2024</v>
      </c>
      <c r="C3188" s="15" t="s">
        <v>85</v>
      </c>
      <c r="D3188" s="16">
        <v>13</v>
      </c>
      <c r="E3188" s="17">
        <v>24.96</v>
      </c>
      <c r="F3188" s="16">
        <v>0.01</v>
      </c>
      <c r="G3188" s="15" t="s">
        <v>32</v>
      </c>
      <c r="H3188" s="18">
        <v>-20.68</v>
      </c>
      <c r="I3188" s="19">
        <v>1.7</v>
      </c>
      <c r="J3188" s="19">
        <v>1.99</v>
      </c>
      <c r="K3188" s="19" t="s">
        <v>44</v>
      </c>
      <c r="L3188" s="19" t="s">
        <v>120</v>
      </c>
      <c r="M3188" s="15" t="s">
        <v>121</v>
      </c>
      <c r="N3188" s="15" t="s">
        <v>64</v>
      </c>
      <c r="O3188" s="15" t="s">
        <v>72</v>
      </c>
      <c r="P3188" s="20" t="s">
        <v>1852</v>
      </c>
      <c r="Q3188" s="15" t="s">
        <v>49</v>
      </c>
      <c r="R3188" s="4"/>
      <c r="S3188" s="4"/>
    </row>
    <row r="3189" spans="1:19" ht="21" customHeight="1" x14ac:dyDescent="0.25">
      <c r="A3189" s="14">
        <f>DATE(2012,12,31)-1000</f>
        <v>40274</v>
      </c>
      <c r="B3189" s="15" t="s">
        <v>1497</v>
      </c>
      <c r="C3189" s="15" t="s">
        <v>85</v>
      </c>
      <c r="D3189" s="16">
        <v>33</v>
      </c>
      <c r="E3189" s="17">
        <v>476.06</v>
      </c>
      <c r="F3189" s="16">
        <v>0.04</v>
      </c>
      <c r="G3189" s="15" t="s">
        <v>32</v>
      </c>
      <c r="H3189" s="18">
        <v>-120.48</v>
      </c>
      <c r="I3189" s="19">
        <v>14.03</v>
      </c>
      <c r="J3189" s="19">
        <v>9.3699999999999992</v>
      </c>
      <c r="K3189" s="19" t="s">
        <v>44</v>
      </c>
      <c r="L3189" s="19" t="s">
        <v>120</v>
      </c>
      <c r="M3189" s="15" t="s">
        <v>2025</v>
      </c>
      <c r="N3189" s="15" t="s">
        <v>36</v>
      </c>
      <c r="O3189" s="15" t="s">
        <v>37</v>
      </c>
      <c r="P3189" s="20" t="s">
        <v>969</v>
      </c>
      <c r="Q3189" s="15" t="s">
        <v>83</v>
      </c>
      <c r="R3189" s="4"/>
      <c r="S3189" s="4"/>
    </row>
    <row r="3190" spans="1:19" ht="21" customHeight="1" x14ac:dyDescent="0.25">
      <c r="A3190" s="14">
        <f>DATE(2012,12,31)-840</f>
        <v>40434</v>
      </c>
      <c r="B3190" s="15" t="s">
        <v>716</v>
      </c>
      <c r="C3190" s="15" t="s">
        <v>85</v>
      </c>
      <c r="D3190" s="16">
        <v>10</v>
      </c>
      <c r="E3190" s="17">
        <v>71.239999999999995</v>
      </c>
      <c r="F3190" s="16">
        <v>0.03</v>
      </c>
      <c r="G3190" s="15" t="s">
        <v>32</v>
      </c>
      <c r="H3190" s="18">
        <v>2.78</v>
      </c>
      <c r="I3190" s="19">
        <v>6.69</v>
      </c>
      <c r="J3190" s="19">
        <v>3.1</v>
      </c>
      <c r="K3190" s="19" t="s">
        <v>44</v>
      </c>
      <c r="L3190" s="19" t="s">
        <v>89</v>
      </c>
      <c r="M3190" s="15" t="s">
        <v>1932</v>
      </c>
      <c r="N3190" s="15" t="s">
        <v>36</v>
      </c>
      <c r="O3190" s="15" t="s">
        <v>117</v>
      </c>
      <c r="P3190" s="20" t="s">
        <v>2026</v>
      </c>
      <c r="Q3190" s="15" t="s">
        <v>79</v>
      </c>
      <c r="R3190" s="4"/>
      <c r="S3190" s="4"/>
    </row>
    <row r="3191" spans="1:19" ht="21" customHeight="1" x14ac:dyDescent="0.25">
      <c r="A3191" s="14">
        <f>DATE(2012,12,31)-1134</f>
        <v>40140</v>
      </c>
      <c r="B3191" s="15" t="s">
        <v>2027</v>
      </c>
      <c r="C3191" s="15" t="s">
        <v>85</v>
      </c>
      <c r="D3191" s="16">
        <v>4</v>
      </c>
      <c r="E3191" s="17">
        <v>56.47</v>
      </c>
      <c r="F3191" s="16">
        <v>0.05</v>
      </c>
      <c r="G3191" s="15" t="s">
        <v>32</v>
      </c>
      <c r="H3191" s="18">
        <v>-29.9</v>
      </c>
      <c r="I3191" s="19">
        <v>12.88</v>
      </c>
      <c r="J3191" s="19">
        <v>4.59</v>
      </c>
      <c r="K3191" s="19" t="s">
        <v>44</v>
      </c>
      <c r="L3191" s="19" t="s">
        <v>120</v>
      </c>
      <c r="M3191" s="15" t="s">
        <v>2025</v>
      </c>
      <c r="N3191" s="15" t="s">
        <v>36</v>
      </c>
      <c r="O3191" s="15" t="s">
        <v>47</v>
      </c>
      <c r="P3191" s="20" t="s">
        <v>1538</v>
      </c>
      <c r="Q3191" s="15" t="s">
        <v>79</v>
      </c>
      <c r="R3191" s="4"/>
      <c r="S3191" s="4"/>
    </row>
    <row r="3192" spans="1:19" ht="21" customHeight="1" x14ac:dyDescent="0.25">
      <c r="A3192" s="14">
        <f>DATE(2012,12,31)-774</f>
        <v>40500</v>
      </c>
      <c r="B3192" s="15" t="s">
        <v>333</v>
      </c>
      <c r="C3192" s="15" t="s">
        <v>43</v>
      </c>
      <c r="D3192" s="16">
        <v>34</v>
      </c>
      <c r="E3192" s="17">
        <v>9107.27</v>
      </c>
      <c r="F3192" s="16">
        <v>7.0000000000000007E-2</v>
      </c>
      <c r="G3192" s="15" t="s">
        <v>32</v>
      </c>
      <c r="H3192" s="18">
        <v>2463.36</v>
      </c>
      <c r="I3192" s="19">
        <v>276.2</v>
      </c>
      <c r="J3192" s="19">
        <v>24.49</v>
      </c>
      <c r="K3192" s="19" t="s">
        <v>44</v>
      </c>
      <c r="L3192" s="19" t="s">
        <v>89</v>
      </c>
      <c r="M3192" s="15" t="s">
        <v>1932</v>
      </c>
      <c r="N3192" s="15" t="s">
        <v>54</v>
      </c>
      <c r="O3192" s="15" t="s">
        <v>252</v>
      </c>
      <c r="P3192" s="20" t="s">
        <v>524</v>
      </c>
      <c r="Q3192" s="15" t="s">
        <v>39</v>
      </c>
      <c r="R3192" s="4"/>
      <c r="S3192" s="4"/>
    </row>
    <row r="3193" spans="1:19" ht="21" customHeight="1" x14ac:dyDescent="0.25">
      <c r="A3193" s="14">
        <f>DATE(2012,12,31)-807</f>
        <v>40467</v>
      </c>
      <c r="B3193" s="15" t="s">
        <v>1778</v>
      </c>
      <c r="C3193" s="15" t="s">
        <v>31</v>
      </c>
      <c r="D3193" s="16">
        <v>33</v>
      </c>
      <c r="E3193" s="17">
        <v>10168.23</v>
      </c>
      <c r="F3193" s="16">
        <v>0.03</v>
      </c>
      <c r="G3193" s="15" t="s">
        <v>101</v>
      </c>
      <c r="H3193" s="18">
        <v>4141.8035</v>
      </c>
      <c r="I3193" s="19">
        <v>304.99</v>
      </c>
      <c r="J3193" s="19">
        <v>19.989999999999998</v>
      </c>
      <c r="K3193" s="19" t="s">
        <v>44</v>
      </c>
      <c r="L3193" s="19" t="s">
        <v>45</v>
      </c>
      <c r="M3193" s="15" t="s">
        <v>1985</v>
      </c>
      <c r="N3193" s="15" t="s">
        <v>36</v>
      </c>
      <c r="O3193" s="15" t="s">
        <v>170</v>
      </c>
      <c r="P3193" s="20" t="s">
        <v>743</v>
      </c>
      <c r="Q3193" s="15" t="s">
        <v>83</v>
      </c>
      <c r="R3193" s="4"/>
      <c r="S3193" s="4"/>
    </row>
    <row r="3194" spans="1:19" ht="21" customHeight="1" x14ac:dyDescent="0.25">
      <c r="A3194" s="14">
        <f>DATE(2012,12,31)-920</f>
        <v>40354</v>
      </c>
      <c r="B3194" s="15" t="s">
        <v>1007</v>
      </c>
      <c r="C3194" s="15" t="s">
        <v>85</v>
      </c>
      <c r="D3194" s="16">
        <v>32</v>
      </c>
      <c r="E3194" s="17">
        <v>176.77</v>
      </c>
      <c r="F3194" s="16">
        <v>0.06</v>
      </c>
      <c r="G3194" s="15" t="s">
        <v>101</v>
      </c>
      <c r="H3194" s="18">
        <v>-41.6</v>
      </c>
      <c r="I3194" s="19">
        <v>4.9800000000000004</v>
      </c>
      <c r="J3194" s="19">
        <v>4.72</v>
      </c>
      <c r="K3194" s="19" t="s">
        <v>44</v>
      </c>
      <c r="L3194" s="19" t="s">
        <v>89</v>
      </c>
      <c r="M3194" s="15" t="s">
        <v>1932</v>
      </c>
      <c r="N3194" s="15" t="s">
        <v>36</v>
      </c>
      <c r="O3194" s="15" t="s">
        <v>117</v>
      </c>
      <c r="P3194" s="20" t="s">
        <v>308</v>
      </c>
      <c r="Q3194" s="15" t="s">
        <v>83</v>
      </c>
      <c r="R3194" s="4"/>
      <c r="S3194" s="4"/>
    </row>
    <row r="3195" spans="1:19" ht="21" customHeight="1" x14ac:dyDescent="0.25">
      <c r="A3195" s="14">
        <f>DATE(2012,12,31)-920</f>
        <v>40354</v>
      </c>
      <c r="B3195" s="15" t="s">
        <v>1007</v>
      </c>
      <c r="C3195" s="15" t="s">
        <v>85</v>
      </c>
      <c r="D3195" s="16">
        <v>24</v>
      </c>
      <c r="E3195" s="17">
        <v>6568.0240000000013</v>
      </c>
      <c r="F3195" s="16">
        <v>0.06</v>
      </c>
      <c r="G3195" s="15" t="s">
        <v>58</v>
      </c>
      <c r="H3195" s="18">
        <v>1715.9</v>
      </c>
      <c r="I3195" s="19">
        <v>348.21</v>
      </c>
      <c r="J3195" s="19">
        <v>40.19</v>
      </c>
      <c r="K3195" s="19" t="s">
        <v>44</v>
      </c>
      <c r="L3195" s="19" t="s">
        <v>89</v>
      </c>
      <c r="M3195" s="15" t="s">
        <v>1932</v>
      </c>
      <c r="N3195" s="15" t="s">
        <v>54</v>
      </c>
      <c r="O3195" s="15" t="s">
        <v>61</v>
      </c>
      <c r="P3195" s="20" t="s">
        <v>1141</v>
      </c>
      <c r="Q3195" s="15" t="s">
        <v>63</v>
      </c>
      <c r="R3195" s="4"/>
      <c r="S3195" s="4"/>
    </row>
    <row r="3196" spans="1:19" ht="21" customHeight="1" x14ac:dyDescent="0.25">
      <c r="A3196" s="14">
        <f>DATE(2012,12,31)-920</f>
        <v>40354</v>
      </c>
      <c r="B3196" s="15" t="s">
        <v>1007</v>
      </c>
      <c r="C3196" s="15" t="s">
        <v>85</v>
      </c>
      <c r="D3196" s="16">
        <v>50</v>
      </c>
      <c r="E3196" s="17">
        <v>1579.028</v>
      </c>
      <c r="F3196" s="16">
        <v>0.02</v>
      </c>
      <c r="G3196" s="15" t="s">
        <v>32</v>
      </c>
      <c r="H3196" s="18">
        <v>624.97799999999995</v>
      </c>
      <c r="I3196" s="19">
        <v>35.99</v>
      </c>
      <c r="J3196" s="19">
        <v>5.99</v>
      </c>
      <c r="K3196" s="19" t="s">
        <v>44</v>
      </c>
      <c r="L3196" s="19" t="s">
        <v>120</v>
      </c>
      <c r="M3196" s="15" t="s">
        <v>2025</v>
      </c>
      <c r="N3196" s="15" t="s">
        <v>64</v>
      </c>
      <c r="O3196" s="15" t="s">
        <v>65</v>
      </c>
      <c r="P3196" s="20" t="s">
        <v>1577</v>
      </c>
      <c r="Q3196" s="15" t="s">
        <v>79</v>
      </c>
      <c r="R3196" s="4"/>
      <c r="S3196" s="4"/>
    </row>
    <row r="3197" spans="1:19" ht="21" customHeight="1" x14ac:dyDescent="0.25">
      <c r="A3197" s="14">
        <f>DATE(2012,12,31)-353</f>
        <v>40921</v>
      </c>
      <c r="B3197" s="15" t="s">
        <v>643</v>
      </c>
      <c r="C3197" s="15" t="s">
        <v>85</v>
      </c>
      <c r="D3197" s="16">
        <v>30</v>
      </c>
      <c r="E3197" s="17">
        <v>336.65</v>
      </c>
      <c r="F3197" s="16">
        <v>7.0000000000000007E-2</v>
      </c>
      <c r="G3197" s="15" t="s">
        <v>32</v>
      </c>
      <c r="H3197" s="18">
        <v>-71.05</v>
      </c>
      <c r="I3197" s="19">
        <v>11.7</v>
      </c>
      <c r="J3197" s="19">
        <v>6.96</v>
      </c>
      <c r="K3197" s="19" t="s">
        <v>44</v>
      </c>
      <c r="L3197" s="19" t="s">
        <v>45</v>
      </c>
      <c r="M3197" s="15" t="s">
        <v>1985</v>
      </c>
      <c r="N3197" s="15" t="s">
        <v>36</v>
      </c>
      <c r="O3197" s="15" t="s">
        <v>176</v>
      </c>
      <c r="P3197" s="20" t="s">
        <v>227</v>
      </c>
      <c r="Q3197" s="15" t="s">
        <v>57</v>
      </c>
      <c r="R3197" s="4"/>
      <c r="S3197" s="4"/>
    </row>
    <row r="3198" spans="1:19" ht="21" customHeight="1" x14ac:dyDescent="0.25">
      <c r="A3198" s="14">
        <f>DATE(2012,12,31)-333</f>
        <v>40941</v>
      </c>
      <c r="B3198" s="15" t="s">
        <v>1028</v>
      </c>
      <c r="C3198" s="15" t="s">
        <v>85</v>
      </c>
      <c r="D3198" s="16">
        <v>18</v>
      </c>
      <c r="E3198" s="17">
        <v>122.02</v>
      </c>
      <c r="F3198" s="16">
        <v>0.04</v>
      </c>
      <c r="G3198" s="15" t="s">
        <v>32</v>
      </c>
      <c r="H3198" s="18">
        <v>-115</v>
      </c>
      <c r="I3198" s="19">
        <v>6.48</v>
      </c>
      <c r="J3198" s="19">
        <v>10.050000000000001</v>
      </c>
      <c r="K3198" s="19" t="s">
        <v>44</v>
      </c>
      <c r="L3198" s="19" t="s">
        <v>89</v>
      </c>
      <c r="M3198" s="15" t="s">
        <v>1932</v>
      </c>
      <c r="N3198" s="15" t="s">
        <v>36</v>
      </c>
      <c r="O3198" s="15" t="s">
        <v>117</v>
      </c>
      <c r="P3198" s="20" t="s">
        <v>200</v>
      </c>
      <c r="Q3198" s="15" t="s">
        <v>83</v>
      </c>
      <c r="R3198" s="4"/>
      <c r="S3198" s="4"/>
    </row>
    <row r="3199" spans="1:19" ht="21" customHeight="1" x14ac:dyDescent="0.25">
      <c r="A3199" s="14">
        <f>DATE(2012,12,31)-1401</f>
        <v>39873</v>
      </c>
      <c r="B3199" s="15" t="s">
        <v>1166</v>
      </c>
      <c r="C3199" s="15" t="s">
        <v>85</v>
      </c>
      <c r="D3199" s="16">
        <v>1</v>
      </c>
      <c r="E3199" s="17">
        <v>3550.28</v>
      </c>
      <c r="F3199" s="16">
        <v>0.06</v>
      </c>
      <c r="G3199" s="15" t="s">
        <v>101</v>
      </c>
      <c r="H3199" s="18">
        <v>-11769.17</v>
      </c>
      <c r="I3199" s="19">
        <v>3499.99</v>
      </c>
      <c r="J3199" s="19">
        <v>24.49</v>
      </c>
      <c r="K3199" s="19" t="s">
        <v>44</v>
      </c>
      <c r="L3199" s="19" t="s">
        <v>45</v>
      </c>
      <c r="M3199" s="15" t="s">
        <v>1985</v>
      </c>
      <c r="N3199" s="15" t="s">
        <v>64</v>
      </c>
      <c r="O3199" s="15" t="s">
        <v>460</v>
      </c>
      <c r="P3199" s="20" t="s">
        <v>1763</v>
      </c>
      <c r="Q3199" s="15" t="s">
        <v>39</v>
      </c>
      <c r="R3199" s="4"/>
      <c r="S3199" s="4"/>
    </row>
    <row r="3200" spans="1:19" ht="21" customHeight="1" x14ac:dyDescent="0.25">
      <c r="A3200" s="14">
        <f>DATE(2012,12,31)-1263</f>
        <v>40011</v>
      </c>
      <c r="B3200" s="15" t="s">
        <v>1033</v>
      </c>
      <c r="C3200" s="15" t="s">
        <v>85</v>
      </c>
      <c r="D3200" s="16">
        <v>21</v>
      </c>
      <c r="E3200" s="17">
        <v>98.77</v>
      </c>
      <c r="F3200" s="16">
        <v>7.0000000000000007E-2</v>
      </c>
      <c r="G3200" s="15" t="s">
        <v>32</v>
      </c>
      <c r="H3200" s="18">
        <v>41.33</v>
      </c>
      <c r="I3200" s="19">
        <v>4.91</v>
      </c>
      <c r="J3200" s="19">
        <v>0.5</v>
      </c>
      <c r="K3200" s="19" t="s">
        <v>44</v>
      </c>
      <c r="L3200" s="19" t="s">
        <v>52</v>
      </c>
      <c r="M3200" s="15" t="s">
        <v>1685</v>
      </c>
      <c r="N3200" s="15" t="s">
        <v>36</v>
      </c>
      <c r="O3200" s="15" t="s">
        <v>114</v>
      </c>
      <c r="P3200" s="20" t="s">
        <v>786</v>
      </c>
      <c r="Q3200" s="15" t="s">
        <v>83</v>
      </c>
      <c r="R3200" s="4"/>
      <c r="S3200" s="4"/>
    </row>
    <row r="3201" spans="1:19" ht="21" customHeight="1" x14ac:dyDescent="0.25">
      <c r="A3201" s="14">
        <f>DATE(2012,12,31)-1109</f>
        <v>40165</v>
      </c>
      <c r="B3201" s="15" t="s">
        <v>294</v>
      </c>
      <c r="C3201" s="15" t="s">
        <v>31</v>
      </c>
      <c r="D3201" s="16">
        <v>19</v>
      </c>
      <c r="E3201" s="17">
        <v>216.25</v>
      </c>
      <c r="F3201" s="16">
        <v>0.09</v>
      </c>
      <c r="G3201" s="15" t="s">
        <v>32</v>
      </c>
      <c r="H3201" s="18">
        <v>58.84</v>
      </c>
      <c r="I3201" s="19">
        <v>12.22</v>
      </c>
      <c r="J3201" s="19">
        <v>2.85</v>
      </c>
      <c r="K3201" s="19" t="s">
        <v>33</v>
      </c>
      <c r="L3201" s="19" t="s">
        <v>93</v>
      </c>
      <c r="M3201" s="15" t="s">
        <v>94</v>
      </c>
      <c r="N3201" s="15" t="s">
        <v>54</v>
      </c>
      <c r="O3201" s="15" t="s">
        <v>55</v>
      </c>
      <c r="P3201" s="20" t="s">
        <v>1073</v>
      </c>
      <c r="Q3201" s="15" t="s">
        <v>49</v>
      </c>
      <c r="R3201" s="4"/>
      <c r="S3201" s="4"/>
    </row>
    <row r="3202" spans="1:19" ht="21" customHeight="1" x14ac:dyDescent="0.25">
      <c r="A3202" s="14">
        <f>DATE(2012,12,31)-376</f>
        <v>40898</v>
      </c>
      <c r="B3202" s="15" t="s">
        <v>2028</v>
      </c>
      <c r="C3202" s="15" t="s">
        <v>31</v>
      </c>
      <c r="D3202" s="16">
        <v>29</v>
      </c>
      <c r="E3202" s="17">
        <v>1756.11</v>
      </c>
      <c r="F3202" s="16">
        <v>0.1</v>
      </c>
      <c r="G3202" s="15" t="s">
        <v>32</v>
      </c>
      <c r="H3202" s="18">
        <v>-888.07</v>
      </c>
      <c r="I3202" s="19">
        <v>64.650000000000006</v>
      </c>
      <c r="J3202" s="19">
        <v>35</v>
      </c>
      <c r="K3202" s="19" t="s">
        <v>33</v>
      </c>
      <c r="L3202" s="19" t="s">
        <v>93</v>
      </c>
      <c r="M3202" s="15" t="s">
        <v>94</v>
      </c>
      <c r="N3202" s="15" t="s">
        <v>36</v>
      </c>
      <c r="O3202" s="15" t="s">
        <v>37</v>
      </c>
      <c r="P3202" s="20" t="s">
        <v>1245</v>
      </c>
      <c r="Q3202" s="15" t="s">
        <v>39</v>
      </c>
      <c r="R3202" s="4"/>
      <c r="S3202" s="4"/>
    </row>
    <row r="3203" spans="1:19" ht="21" customHeight="1" x14ac:dyDescent="0.25">
      <c r="A3203" s="14">
        <f>DATE(2012,12,31)-242</f>
        <v>41032</v>
      </c>
      <c r="B3203" s="15" t="s">
        <v>426</v>
      </c>
      <c r="C3203" s="15" t="s">
        <v>85</v>
      </c>
      <c r="D3203" s="16">
        <v>24</v>
      </c>
      <c r="E3203" s="17">
        <v>1304.0274999999999</v>
      </c>
      <c r="F3203" s="16">
        <v>0.1</v>
      </c>
      <c r="G3203" s="15" t="s">
        <v>32</v>
      </c>
      <c r="H3203" s="18">
        <v>34.362000000000002</v>
      </c>
      <c r="I3203" s="19">
        <v>65.989999999999995</v>
      </c>
      <c r="J3203" s="19">
        <v>8.99</v>
      </c>
      <c r="K3203" s="19" t="s">
        <v>33</v>
      </c>
      <c r="L3203" s="19" t="s">
        <v>128</v>
      </c>
      <c r="M3203" s="15" t="s">
        <v>129</v>
      </c>
      <c r="N3203" s="15" t="s">
        <v>64</v>
      </c>
      <c r="O3203" s="15" t="s">
        <v>65</v>
      </c>
      <c r="P3203" s="20" t="s">
        <v>2029</v>
      </c>
      <c r="Q3203" s="15" t="s">
        <v>83</v>
      </c>
      <c r="R3203" s="4"/>
      <c r="S3203" s="4"/>
    </row>
    <row r="3204" spans="1:19" ht="21" customHeight="1" x14ac:dyDescent="0.25">
      <c r="A3204" s="14">
        <f>DATE(2012,12,31)-1369</f>
        <v>39905</v>
      </c>
      <c r="B3204" s="15" t="s">
        <v>923</v>
      </c>
      <c r="C3204" s="15" t="s">
        <v>85</v>
      </c>
      <c r="D3204" s="16">
        <v>28</v>
      </c>
      <c r="E3204" s="17">
        <v>1801.95</v>
      </c>
      <c r="F3204" s="16">
        <v>0.03</v>
      </c>
      <c r="G3204" s="15" t="s">
        <v>58</v>
      </c>
      <c r="H3204" s="18">
        <v>-182.07</v>
      </c>
      <c r="I3204" s="19">
        <v>60.89</v>
      </c>
      <c r="J3204" s="19">
        <v>32.409999999999997</v>
      </c>
      <c r="K3204" s="19" t="s">
        <v>33</v>
      </c>
      <c r="L3204" s="19" t="s">
        <v>128</v>
      </c>
      <c r="M3204" s="15" t="s">
        <v>129</v>
      </c>
      <c r="N3204" s="15" t="s">
        <v>54</v>
      </c>
      <c r="O3204" s="15" t="s">
        <v>252</v>
      </c>
      <c r="P3204" s="20" t="s">
        <v>486</v>
      </c>
      <c r="Q3204" s="15" t="s">
        <v>181</v>
      </c>
      <c r="R3204" s="4"/>
      <c r="S3204" s="4"/>
    </row>
    <row r="3205" spans="1:19" ht="21" customHeight="1" x14ac:dyDescent="0.25">
      <c r="A3205" s="14">
        <f>DATE(2012,12,31)-91</f>
        <v>41183</v>
      </c>
      <c r="B3205" s="15" t="s">
        <v>620</v>
      </c>
      <c r="C3205" s="15" t="s">
        <v>43</v>
      </c>
      <c r="D3205" s="16">
        <v>17</v>
      </c>
      <c r="E3205" s="17">
        <v>224.09</v>
      </c>
      <c r="F3205" s="16">
        <v>0</v>
      </c>
      <c r="G3205" s="15" t="s">
        <v>32</v>
      </c>
      <c r="H3205" s="18">
        <v>-27.92</v>
      </c>
      <c r="I3205" s="19">
        <v>12.44</v>
      </c>
      <c r="J3205" s="19">
        <v>6.27</v>
      </c>
      <c r="K3205" s="19" t="s">
        <v>33</v>
      </c>
      <c r="L3205" s="19" t="s">
        <v>93</v>
      </c>
      <c r="M3205" s="15" t="s">
        <v>94</v>
      </c>
      <c r="N3205" s="15" t="s">
        <v>36</v>
      </c>
      <c r="O3205" s="15" t="s">
        <v>37</v>
      </c>
      <c r="P3205" s="20" t="s">
        <v>143</v>
      </c>
      <c r="Q3205" s="15" t="s">
        <v>57</v>
      </c>
      <c r="R3205" s="4"/>
      <c r="S3205" s="4"/>
    </row>
    <row r="3206" spans="1:19" ht="21" customHeight="1" x14ac:dyDescent="0.25">
      <c r="A3206" s="14">
        <f>DATE(2012,12,31)-91</f>
        <v>41183</v>
      </c>
      <c r="B3206" s="15" t="s">
        <v>620</v>
      </c>
      <c r="C3206" s="15" t="s">
        <v>43</v>
      </c>
      <c r="D3206" s="16">
        <v>10</v>
      </c>
      <c r="E3206" s="17">
        <v>56.05</v>
      </c>
      <c r="F3206" s="16">
        <v>0.06</v>
      </c>
      <c r="G3206" s="15" t="s">
        <v>32</v>
      </c>
      <c r="H3206" s="18">
        <v>-27.73</v>
      </c>
      <c r="I3206" s="19">
        <v>4.9800000000000004</v>
      </c>
      <c r="J3206" s="19">
        <v>5.49</v>
      </c>
      <c r="K3206" s="19" t="s">
        <v>33</v>
      </c>
      <c r="L3206" s="19" t="s">
        <v>93</v>
      </c>
      <c r="M3206" s="15" t="s">
        <v>94</v>
      </c>
      <c r="N3206" s="15" t="s">
        <v>36</v>
      </c>
      <c r="O3206" s="15" t="s">
        <v>117</v>
      </c>
      <c r="P3206" s="20" t="s">
        <v>569</v>
      </c>
      <c r="Q3206" s="15" t="s">
        <v>83</v>
      </c>
      <c r="R3206" s="4"/>
      <c r="S3206" s="4"/>
    </row>
    <row r="3207" spans="1:19" ht="21" customHeight="1" x14ac:dyDescent="0.25">
      <c r="A3207" s="14">
        <f>DATE(2012,12,31)-1179</f>
        <v>40095</v>
      </c>
      <c r="B3207" s="15" t="s">
        <v>1207</v>
      </c>
      <c r="C3207" s="15" t="s">
        <v>85</v>
      </c>
      <c r="D3207" s="16">
        <v>10</v>
      </c>
      <c r="E3207" s="17">
        <v>1136.47</v>
      </c>
      <c r="F3207" s="16">
        <v>0.1</v>
      </c>
      <c r="G3207" s="15" t="s">
        <v>101</v>
      </c>
      <c r="H3207" s="18">
        <v>323.32299999999998</v>
      </c>
      <c r="I3207" s="19">
        <v>120.98</v>
      </c>
      <c r="J3207" s="19">
        <v>9.07</v>
      </c>
      <c r="K3207" s="19" t="s">
        <v>33</v>
      </c>
      <c r="L3207" s="19" t="s">
        <v>128</v>
      </c>
      <c r="M3207" s="15" t="s">
        <v>129</v>
      </c>
      <c r="N3207" s="15" t="s">
        <v>36</v>
      </c>
      <c r="O3207" s="15" t="s">
        <v>170</v>
      </c>
      <c r="P3207" s="20" t="s">
        <v>1445</v>
      </c>
      <c r="Q3207" s="15" t="s">
        <v>83</v>
      </c>
      <c r="R3207" s="4"/>
      <c r="S3207" s="4"/>
    </row>
    <row r="3208" spans="1:19" ht="21" customHeight="1" x14ac:dyDescent="0.25">
      <c r="A3208" s="14">
        <f>DATE(2012,12,31)-1179</f>
        <v>40095</v>
      </c>
      <c r="B3208" s="15" t="s">
        <v>1207</v>
      </c>
      <c r="C3208" s="15" t="s">
        <v>85</v>
      </c>
      <c r="D3208" s="16">
        <v>2</v>
      </c>
      <c r="E3208" s="17">
        <v>325.81</v>
      </c>
      <c r="F3208" s="16">
        <v>0.02</v>
      </c>
      <c r="G3208" s="15" t="s">
        <v>101</v>
      </c>
      <c r="H3208" s="18">
        <v>-522.78</v>
      </c>
      <c r="I3208" s="19">
        <v>152.47999999999999</v>
      </c>
      <c r="J3208" s="19">
        <v>6.5</v>
      </c>
      <c r="K3208" s="19" t="s">
        <v>33</v>
      </c>
      <c r="L3208" s="19" t="s">
        <v>128</v>
      </c>
      <c r="M3208" s="15" t="s">
        <v>129</v>
      </c>
      <c r="N3208" s="15" t="s">
        <v>64</v>
      </c>
      <c r="O3208" s="15" t="s">
        <v>72</v>
      </c>
      <c r="P3208" s="20" t="s">
        <v>473</v>
      </c>
      <c r="Q3208" s="15" t="s">
        <v>83</v>
      </c>
      <c r="R3208" s="4"/>
      <c r="S3208" s="4"/>
    </row>
    <row r="3209" spans="1:19" ht="21" customHeight="1" x14ac:dyDescent="0.25">
      <c r="A3209" s="14">
        <f>DATE(2012,12,31)-930</f>
        <v>40344</v>
      </c>
      <c r="B3209" s="15" t="s">
        <v>1040</v>
      </c>
      <c r="C3209" s="15" t="s">
        <v>31</v>
      </c>
      <c r="D3209" s="16">
        <v>1</v>
      </c>
      <c r="E3209" s="17">
        <v>12.2</v>
      </c>
      <c r="F3209" s="16">
        <v>0.01</v>
      </c>
      <c r="G3209" s="15" t="s">
        <v>32</v>
      </c>
      <c r="H3209" s="18">
        <v>-33.93</v>
      </c>
      <c r="I3209" s="19">
        <v>10.01</v>
      </c>
      <c r="J3209" s="19">
        <v>1.99</v>
      </c>
      <c r="K3209" s="19" t="s">
        <v>33</v>
      </c>
      <c r="L3209" s="19" t="s">
        <v>128</v>
      </c>
      <c r="M3209" s="15" t="s">
        <v>129</v>
      </c>
      <c r="N3209" s="15" t="s">
        <v>64</v>
      </c>
      <c r="O3209" s="15" t="s">
        <v>72</v>
      </c>
      <c r="P3209" s="20" t="s">
        <v>471</v>
      </c>
      <c r="Q3209" s="15" t="s">
        <v>49</v>
      </c>
      <c r="R3209" s="4"/>
      <c r="S3209" s="4"/>
    </row>
    <row r="3210" spans="1:19" ht="21" customHeight="1" x14ac:dyDescent="0.25">
      <c r="A3210" s="14">
        <f>DATE(2012,12,31)-895</f>
        <v>40379</v>
      </c>
      <c r="B3210" s="15" t="s">
        <v>744</v>
      </c>
      <c r="C3210" s="15" t="s">
        <v>31</v>
      </c>
      <c r="D3210" s="16">
        <v>21</v>
      </c>
      <c r="E3210" s="17">
        <v>173.7</v>
      </c>
      <c r="F3210" s="16">
        <v>0.02</v>
      </c>
      <c r="G3210" s="15" t="s">
        <v>32</v>
      </c>
      <c r="H3210" s="18">
        <v>-31.590499999999999</v>
      </c>
      <c r="I3210" s="19">
        <v>7.68</v>
      </c>
      <c r="J3210" s="19">
        <v>6.16</v>
      </c>
      <c r="K3210" s="19" t="s">
        <v>97</v>
      </c>
      <c r="L3210" s="19" t="s">
        <v>195</v>
      </c>
      <c r="M3210" s="15" t="s">
        <v>1964</v>
      </c>
      <c r="N3210" s="15" t="s">
        <v>36</v>
      </c>
      <c r="O3210" s="15" t="s">
        <v>170</v>
      </c>
      <c r="P3210" s="20" t="s">
        <v>1201</v>
      </c>
      <c r="Q3210" s="15" t="s">
        <v>83</v>
      </c>
      <c r="R3210" s="4"/>
      <c r="S3210" s="4"/>
    </row>
    <row r="3211" spans="1:19" ht="21" customHeight="1" x14ac:dyDescent="0.25">
      <c r="A3211" s="14">
        <f>DATE(2012,12,31)-895</f>
        <v>40379</v>
      </c>
      <c r="B3211" s="15" t="s">
        <v>744</v>
      </c>
      <c r="C3211" s="15" t="s">
        <v>31</v>
      </c>
      <c r="D3211" s="16">
        <v>5</v>
      </c>
      <c r="E3211" s="17">
        <v>1811.25</v>
      </c>
      <c r="F3211" s="16">
        <v>0.08</v>
      </c>
      <c r="G3211" s="15" t="s">
        <v>32</v>
      </c>
      <c r="H3211" s="18">
        <v>203.43900000000002</v>
      </c>
      <c r="I3211" s="19">
        <v>367.99</v>
      </c>
      <c r="J3211" s="19">
        <v>19.989999999999998</v>
      </c>
      <c r="K3211" s="19" t="s">
        <v>97</v>
      </c>
      <c r="L3211" s="19" t="s">
        <v>132</v>
      </c>
      <c r="M3211" s="15" t="s">
        <v>133</v>
      </c>
      <c r="N3211" s="15" t="s">
        <v>36</v>
      </c>
      <c r="O3211" s="15" t="s">
        <v>170</v>
      </c>
      <c r="P3211" s="20" t="s">
        <v>2030</v>
      </c>
      <c r="Q3211" s="15" t="s">
        <v>83</v>
      </c>
      <c r="R3211" s="4"/>
      <c r="S3211" s="4"/>
    </row>
    <row r="3212" spans="1:19" ht="21" customHeight="1" x14ac:dyDescent="0.25">
      <c r="A3212" s="14">
        <f>DATE(2012,12,31)-895</f>
        <v>40379</v>
      </c>
      <c r="B3212" s="15" t="s">
        <v>744</v>
      </c>
      <c r="C3212" s="15" t="s">
        <v>31</v>
      </c>
      <c r="D3212" s="16">
        <v>10</v>
      </c>
      <c r="E3212" s="17">
        <v>2642.95</v>
      </c>
      <c r="F3212" s="16">
        <v>0.08</v>
      </c>
      <c r="G3212" s="15" t="s">
        <v>58</v>
      </c>
      <c r="H3212" s="18">
        <v>-474.49</v>
      </c>
      <c r="I3212" s="19">
        <v>262.11</v>
      </c>
      <c r="J3212" s="19">
        <v>62.74</v>
      </c>
      <c r="K3212" s="19" t="s">
        <v>97</v>
      </c>
      <c r="L3212" s="19" t="s">
        <v>98</v>
      </c>
      <c r="M3212" s="15" t="s">
        <v>1991</v>
      </c>
      <c r="N3212" s="15" t="s">
        <v>54</v>
      </c>
      <c r="O3212" s="15" t="s">
        <v>61</v>
      </c>
      <c r="P3212" s="20" t="s">
        <v>1510</v>
      </c>
      <c r="Q3212" s="15" t="s">
        <v>63</v>
      </c>
      <c r="R3212" s="4"/>
      <c r="S3212" s="4"/>
    </row>
    <row r="3213" spans="1:19" ht="21" customHeight="1" x14ac:dyDescent="0.25">
      <c r="A3213" s="14">
        <f>DATE(2012,12,31)-1345</f>
        <v>39929</v>
      </c>
      <c r="B3213" s="15" t="s">
        <v>416</v>
      </c>
      <c r="C3213" s="15" t="s">
        <v>85</v>
      </c>
      <c r="D3213" s="16">
        <v>20</v>
      </c>
      <c r="E3213" s="17">
        <v>8048.45</v>
      </c>
      <c r="F3213" s="16">
        <v>0.04</v>
      </c>
      <c r="G3213" s="15" t="s">
        <v>32</v>
      </c>
      <c r="H3213" s="18">
        <v>1947.67</v>
      </c>
      <c r="I3213" s="19">
        <v>419.19</v>
      </c>
      <c r="J3213" s="19">
        <v>19.989999999999998</v>
      </c>
      <c r="K3213" s="19" t="s">
        <v>97</v>
      </c>
      <c r="L3213" s="19" t="s">
        <v>195</v>
      </c>
      <c r="M3213" s="15" t="s">
        <v>1964</v>
      </c>
      <c r="N3213" s="15" t="s">
        <v>36</v>
      </c>
      <c r="O3213" s="15" t="s">
        <v>37</v>
      </c>
      <c r="P3213" s="20" t="s">
        <v>1168</v>
      </c>
      <c r="Q3213" s="15" t="s">
        <v>83</v>
      </c>
      <c r="R3213" s="4"/>
      <c r="S3213" s="4"/>
    </row>
    <row r="3214" spans="1:19" ht="21" customHeight="1" x14ac:dyDescent="0.25">
      <c r="A3214" s="14">
        <f>DATE(2012,12,31)-817</f>
        <v>40457</v>
      </c>
      <c r="B3214" s="15" t="s">
        <v>1152</v>
      </c>
      <c r="C3214" s="15" t="s">
        <v>85</v>
      </c>
      <c r="D3214" s="16">
        <v>33</v>
      </c>
      <c r="E3214" s="17">
        <v>292.75</v>
      </c>
      <c r="F3214" s="16">
        <v>0.08</v>
      </c>
      <c r="G3214" s="15" t="s">
        <v>32</v>
      </c>
      <c r="H3214" s="18">
        <v>93.33</v>
      </c>
      <c r="I3214" s="19">
        <v>8.9499999999999993</v>
      </c>
      <c r="J3214" s="19">
        <v>2.0099999999999998</v>
      </c>
      <c r="K3214" s="19" t="s">
        <v>97</v>
      </c>
      <c r="L3214" s="19" t="s">
        <v>98</v>
      </c>
      <c r="M3214" s="15" t="s">
        <v>1991</v>
      </c>
      <c r="N3214" s="15" t="s">
        <v>36</v>
      </c>
      <c r="O3214" s="15" t="s">
        <v>117</v>
      </c>
      <c r="P3214" s="20" t="s">
        <v>1955</v>
      </c>
      <c r="Q3214" s="15" t="s">
        <v>79</v>
      </c>
      <c r="R3214" s="4"/>
      <c r="S3214" s="4"/>
    </row>
    <row r="3215" spans="1:19" ht="21" customHeight="1" x14ac:dyDescent="0.25">
      <c r="A3215" s="14">
        <f>DATE(2012,12,31)-1314</f>
        <v>39960</v>
      </c>
      <c r="B3215" s="15" t="s">
        <v>1729</v>
      </c>
      <c r="C3215" s="15" t="s">
        <v>85</v>
      </c>
      <c r="D3215" s="16">
        <v>50</v>
      </c>
      <c r="E3215" s="17">
        <v>742.21</v>
      </c>
      <c r="F3215" s="16">
        <v>0.03</v>
      </c>
      <c r="G3215" s="15" t="s">
        <v>32</v>
      </c>
      <c r="H3215" s="18">
        <v>122.21</v>
      </c>
      <c r="I3215" s="19">
        <v>14.2</v>
      </c>
      <c r="J3215" s="19">
        <v>5.3</v>
      </c>
      <c r="K3215" s="19" t="s">
        <v>97</v>
      </c>
      <c r="L3215" s="19" t="s">
        <v>132</v>
      </c>
      <c r="M3215" s="15" t="s">
        <v>133</v>
      </c>
      <c r="N3215" s="15" t="s">
        <v>54</v>
      </c>
      <c r="O3215" s="15" t="s">
        <v>55</v>
      </c>
      <c r="P3215" s="20" t="s">
        <v>930</v>
      </c>
      <c r="Q3215" s="15" t="s">
        <v>79</v>
      </c>
      <c r="R3215" s="4"/>
      <c r="S3215" s="4"/>
    </row>
    <row r="3216" spans="1:19" ht="21" customHeight="1" x14ac:dyDescent="0.25">
      <c r="A3216" s="14">
        <f>DATE(2012,12,31)-473</f>
        <v>40801</v>
      </c>
      <c r="B3216" s="15" t="s">
        <v>690</v>
      </c>
      <c r="C3216" s="15" t="s">
        <v>85</v>
      </c>
      <c r="D3216" s="16">
        <v>8</v>
      </c>
      <c r="E3216" s="17">
        <v>342.27</v>
      </c>
      <c r="F3216" s="16">
        <v>0.09</v>
      </c>
      <c r="G3216" s="15" t="s">
        <v>32</v>
      </c>
      <c r="H3216" s="18">
        <v>-17.68</v>
      </c>
      <c r="I3216" s="19">
        <v>40.99</v>
      </c>
      <c r="J3216" s="19">
        <v>19.989999999999998</v>
      </c>
      <c r="K3216" s="19" t="s">
        <v>97</v>
      </c>
      <c r="L3216" s="19" t="s">
        <v>195</v>
      </c>
      <c r="M3216" s="15" t="s">
        <v>1964</v>
      </c>
      <c r="N3216" s="15" t="s">
        <v>36</v>
      </c>
      <c r="O3216" s="15" t="s">
        <v>117</v>
      </c>
      <c r="P3216" s="20" t="s">
        <v>619</v>
      </c>
      <c r="Q3216" s="15" t="s">
        <v>83</v>
      </c>
      <c r="R3216" s="4"/>
      <c r="S3216" s="4"/>
    </row>
    <row r="3217" spans="1:19" ht="21" customHeight="1" x14ac:dyDescent="0.25">
      <c r="A3217" s="14">
        <f>DATE(2012,12,31)-473</f>
        <v>40801</v>
      </c>
      <c r="B3217" s="15" t="s">
        <v>690</v>
      </c>
      <c r="C3217" s="15" t="s">
        <v>85</v>
      </c>
      <c r="D3217" s="16">
        <v>18</v>
      </c>
      <c r="E3217" s="17">
        <v>168.95</v>
      </c>
      <c r="F3217" s="16">
        <v>0.1</v>
      </c>
      <c r="G3217" s="15" t="s">
        <v>32</v>
      </c>
      <c r="H3217" s="18">
        <v>-15.9</v>
      </c>
      <c r="I3217" s="19">
        <v>9.7799999999999994</v>
      </c>
      <c r="J3217" s="19">
        <v>5.76</v>
      </c>
      <c r="K3217" s="19" t="s">
        <v>97</v>
      </c>
      <c r="L3217" s="19" t="s">
        <v>132</v>
      </c>
      <c r="M3217" s="15" t="s">
        <v>133</v>
      </c>
      <c r="N3217" s="15" t="s">
        <v>36</v>
      </c>
      <c r="O3217" s="15" t="s">
        <v>189</v>
      </c>
      <c r="P3217" s="20" t="s">
        <v>917</v>
      </c>
      <c r="Q3217" s="15" t="s">
        <v>83</v>
      </c>
      <c r="R3217" s="4"/>
      <c r="S3217" s="4"/>
    </row>
    <row r="3218" spans="1:19" ht="21" customHeight="1" x14ac:dyDescent="0.25">
      <c r="A3218" s="14">
        <f>DATE(2012,12,31)-473</f>
        <v>40801</v>
      </c>
      <c r="B3218" s="15" t="s">
        <v>690</v>
      </c>
      <c r="C3218" s="15" t="s">
        <v>85</v>
      </c>
      <c r="D3218" s="16">
        <v>39</v>
      </c>
      <c r="E3218" s="17">
        <v>577.95000000000005</v>
      </c>
      <c r="F3218" s="16">
        <v>7.0000000000000007E-2</v>
      </c>
      <c r="G3218" s="15" t="s">
        <v>32</v>
      </c>
      <c r="H3218" s="18">
        <v>-86.43</v>
      </c>
      <c r="I3218" s="19">
        <v>15.73</v>
      </c>
      <c r="J3218" s="19">
        <v>7.42</v>
      </c>
      <c r="K3218" s="19" t="s">
        <v>97</v>
      </c>
      <c r="L3218" s="19" t="s">
        <v>98</v>
      </c>
      <c r="M3218" s="15" t="s">
        <v>1991</v>
      </c>
      <c r="N3218" s="15" t="s">
        <v>36</v>
      </c>
      <c r="O3218" s="15" t="s">
        <v>47</v>
      </c>
      <c r="P3218" s="20" t="s">
        <v>1498</v>
      </c>
      <c r="Q3218" s="15" t="s">
        <v>49</v>
      </c>
      <c r="R3218" s="4"/>
      <c r="S3218" s="4"/>
    </row>
    <row r="3219" spans="1:19" ht="21" customHeight="1" x14ac:dyDescent="0.25">
      <c r="A3219" s="14">
        <f>DATE(2012,12,31)-632</f>
        <v>40642</v>
      </c>
      <c r="B3219" s="15" t="s">
        <v>1491</v>
      </c>
      <c r="C3219" s="15" t="s">
        <v>85</v>
      </c>
      <c r="D3219" s="16">
        <v>3</v>
      </c>
      <c r="E3219" s="17">
        <v>30.92</v>
      </c>
      <c r="F3219" s="16">
        <v>0.02</v>
      </c>
      <c r="G3219" s="15" t="s">
        <v>101</v>
      </c>
      <c r="H3219" s="18">
        <v>28.64</v>
      </c>
      <c r="I3219" s="19">
        <v>6.98</v>
      </c>
      <c r="J3219" s="19">
        <v>2.83</v>
      </c>
      <c r="K3219" s="19" t="s">
        <v>97</v>
      </c>
      <c r="L3219" s="19" t="s">
        <v>98</v>
      </c>
      <c r="M3219" s="15" t="s">
        <v>1991</v>
      </c>
      <c r="N3219" s="15" t="s">
        <v>54</v>
      </c>
      <c r="O3219" s="15" t="s">
        <v>55</v>
      </c>
      <c r="P3219" s="20" t="s">
        <v>1873</v>
      </c>
      <c r="Q3219" s="15" t="s">
        <v>49</v>
      </c>
      <c r="R3219" s="4"/>
      <c r="S3219" s="4"/>
    </row>
    <row r="3220" spans="1:19" ht="21" customHeight="1" x14ac:dyDescent="0.25">
      <c r="A3220" s="14">
        <f>DATE(2012,12,31)-632</f>
        <v>40642</v>
      </c>
      <c r="B3220" s="15" t="s">
        <v>1491</v>
      </c>
      <c r="C3220" s="15" t="s">
        <v>85</v>
      </c>
      <c r="D3220" s="16">
        <v>24</v>
      </c>
      <c r="E3220" s="17">
        <v>142.80000000000001</v>
      </c>
      <c r="F3220" s="16">
        <v>0.01</v>
      </c>
      <c r="G3220" s="15" t="s">
        <v>32</v>
      </c>
      <c r="H3220" s="18">
        <v>-25</v>
      </c>
      <c r="I3220" s="19">
        <v>5.81</v>
      </c>
      <c r="J3220" s="19">
        <v>3.37</v>
      </c>
      <c r="K3220" s="19" t="s">
        <v>124</v>
      </c>
      <c r="L3220" s="19" t="s">
        <v>160</v>
      </c>
      <c r="M3220" s="15" t="s">
        <v>1951</v>
      </c>
      <c r="N3220" s="15" t="s">
        <v>36</v>
      </c>
      <c r="O3220" s="15" t="s">
        <v>105</v>
      </c>
      <c r="P3220" s="20" t="s">
        <v>209</v>
      </c>
      <c r="Q3220" s="15" t="s">
        <v>79</v>
      </c>
      <c r="R3220" s="4"/>
      <c r="S3220" s="4"/>
    </row>
    <row r="3221" spans="1:19" ht="21" customHeight="1" x14ac:dyDescent="0.25">
      <c r="A3221" s="14">
        <f>DATE(2012,12,31)-803</f>
        <v>40471</v>
      </c>
      <c r="B3221" s="15" t="s">
        <v>489</v>
      </c>
      <c r="C3221" s="15" t="s">
        <v>85</v>
      </c>
      <c r="D3221" s="16">
        <v>35</v>
      </c>
      <c r="E3221" s="17">
        <v>25313.34</v>
      </c>
      <c r="F3221" s="16">
        <v>0.05</v>
      </c>
      <c r="G3221" s="15" t="s">
        <v>58</v>
      </c>
      <c r="H3221" s="18">
        <v>8612.11</v>
      </c>
      <c r="I3221" s="19">
        <v>810.98</v>
      </c>
      <c r="J3221" s="19">
        <v>16.059999999999999</v>
      </c>
      <c r="K3221" s="19" t="s">
        <v>124</v>
      </c>
      <c r="L3221" s="19" t="s">
        <v>160</v>
      </c>
      <c r="M3221" s="15" t="s">
        <v>1951</v>
      </c>
      <c r="N3221" s="15" t="s">
        <v>64</v>
      </c>
      <c r="O3221" s="15" t="s">
        <v>122</v>
      </c>
      <c r="P3221" s="20" t="s">
        <v>1857</v>
      </c>
      <c r="Q3221" s="15" t="s">
        <v>181</v>
      </c>
      <c r="R3221" s="4"/>
      <c r="S3221" s="4"/>
    </row>
    <row r="3222" spans="1:19" ht="21" customHeight="1" x14ac:dyDescent="0.25">
      <c r="A3222" s="14">
        <f>DATE(2012,12,31)-569</f>
        <v>40705</v>
      </c>
      <c r="B3222" s="15" t="s">
        <v>589</v>
      </c>
      <c r="C3222" s="15" t="s">
        <v>85</v>
      </c>
      <c r="D3222" s="16">
        <v>7</v>
      </c>
      <c r="E3222" s="17">
        <v>43.29</v>
      </c>
      <c r="F3222" s="16">
        <v>7.0000000000000007E-2</v>
      </c>
      <c r="G3222" s="15" t="s">
        <v>32</v>
      </c>
      <c r="H3222" s="18">
        <v>-39.123000000000005</v>
      </c>
      <c r="I3222" s="19">
        <v>5.38</v>
      </c>
      <c r="J3222" s="19">
        <v>7.57</v>
      </c>
      <c r="K3222" s="19" t="s">
        <v>124</v>
      </c>
      <c r="L3222" s="19" t="s">
        <v>160</v>
      </c>
      <c r="M3222" s="15" t="s">
        <v>1951</v>
      </c>
      <c r="N3222" s="15" t="s">
        <v>36</v>
      </c>
      <c r="O3222" s="15" t="s">
        <v>170</v>
      </c>
      <c r="P3222" s="20" t="s">
        <v>2031</v>
      </c>
      <c r="Q3222" s="15" t="s">
        <v>83</v>
      </c>
      <c r="R3222" s="4"/>
      <c r="S3222" s="4"/>
    </row>
    <row r="3223" spans="1:19" ht="21" customHeight="1" x14ac:dyDescent="0.25">
      <c r="A3223" s="14">
        <f>DATE(2012,12,31)-1193</f>
        <v>40081</v>
      </c>
      <c r="B3223" s="15" t="s">
        <v>1812</v>
      </c>
      <c r="C3223" s="15" t="s">
        <v>43</v>
      </c>
      <c r="D3223" s="16">
        <v>41</v>
      </c>
      <c r="E3223" s="17">
        <v>9312.52</v>
      </c>
      <c r="F3223" s="16">
        <v>0.01</v>
      </c>
      <c r="G3223" s="15" t="s">
        <v>32</v>
      </c>
      <c r="H3223" s="18">
        <v>3039.37</v>
      </c>
      <c r="I3223" s="19">
        <v>218.08</v>
      </c>
      <c r="J3223" s="19">
        <v>18.059999999999999</v>
      </c>
      <c r="K3223" s="19" t="s">
        <v>124</v>
      </c>
      <c r="L3223" s="19" t="s">
        <v>160</v>
      </c>
      <c r="M3223" s="15" t="s">
        <v>1951</v>
      </c>
      <c r="N3223" s="15" t="s">
        <v>54</v>
      </c>
      <c r="O3223" s="15" t="s">
        <v>252</v>
      </c>
      <c r="P3223" s="20" t="s">
        <v>253</v>
      </c>
      <c r="Q3223" s="15" t="s">
        <v>39</v>
      </c>
      <c r="R3223" s="4"/>
      <c r="S3223" s="4"/>
    </row>
    <row r="3224" spans="1:19" ht="21" customHeight="1" x14ac:dyDescent="0.25">
      <c r="A3224" s="14">
        <f>DATE(2012,12,31)-1193</f>
        <v>40081</v>
      </c>
      <c r="B3224" s="15" t="s">
        <v>1812</v>
      </c>
      <c r="C3224" s="15" t="s">
        <v>43</v>
      </c>
      <c r="D3224" s="16">
        <v>43</v>
      </c>
      <c r="E3224" s="17">
        <v>220.47</v>
      </c>
      <c r="F3224" s="16">
        <v>0.04</v>
      </c>
      <c r="G3224" s="15" t="s">
        <v>32</v>
      </c>
      <c r="H3224" s="18">
        <v>-135.16</v>
      </c>
      <c r="I3224" s="19">
        <v>4.9800000000000004</v>
      </c>
      <c r="J3224" s="19">
        <v>4.62</v>
      </c>
      <c r="K3224" s="19" t="s">
        <v>124</v>
      </c>
      <c r="L3224" s="19" t="s">
        <v>493</v>
      </c>
      <c r="M3224" s="15" t="s">
        <v>1927</v>
      </c>
      <c r="N3224" s="15" t="s">
        <v>64</v>
      </c>
      <c r="O3224" s="15" t="s">
        <v>72</v>
      </c>
      <c r="P3224" s="20" t="s">
        <v>139</v>
      </c>
      <c r="Q3224" s="15" t="s">
        <v>49</v>
      </c>
      <c r="R3224" s="4"/>
      <c r="S3224" s="4"/>
    </row>
    <row r="3225" spans="1:19" ht="21" customHeight="1" x14ac:dyDescent="0.25">
      <c r="A3225" s="14">
        <f>DATE(2012,12,31)-327</f>
        <v>40947</v>
      </c>
      <c r="B3225" s="15" t="s">
        <v>1733</v>
      </c>
      <c r="C3225" s="15" t="s">
        <v>51</v>
      </c>
      <c r="D3225" s="16">
        <v>18</v>
      </c>
      <c r="E3225" s="17">
        <v>1713.8</v>
      </c>
      <c r="F3225" s="16">
        <v>0.05</v>
      </c>
      <c r="G3225" s="15" t="s">
        <v>32</v>
      </c>
      <c r="H3225" s="18">
        <v>1125.29</v>
      </c>
      <c r="I3225" s="19">
        <v>99.23</v>
      </c>
      <c r="J3225" s="19">
        <v>8.99</v>
      </c>
      <c r="K3225" s="19" t="s">
        <v>124</v>
      </c>
      <c r="L3225" s="19" t="s">
        <v>160</v>
      </c>
      <c r="M3225" s="15" t="s">
        <v>1951</v>
      </c>
      <c r="N3225" s="15" t="s">
        <v>54</v>
      </c>
      <c r="O3225" s="15" t="s">
        <v>55</v>
      </c>
      <c r="P3225" s="20" t="s">
        <v>1406</v>
      </c>
      <c r="Q3225" s="15" t="s">
        <v>49</v>
      </c>
      <c r="R3225" s="4"/>
      <c r="S3225" s="4"/>
    </row>
    <row r="3226" spans="1:19" ht="21" customHeight="1" x14ac:dyDescent="0.25">
      <c r="A3226" s="14">
        <f>DATE(2012,12,31)-327</f>
        <v>40947</v>
      </c>
      <c r="B3226" s="15" t="s">
        <v>1733</v>
      </c>
      <c r="C3226" s="15" t="s">
        <v>51</v>
      </c>
      <c r="D3226" s="16">
        <v>16</v>
      </c>
      <c r="E3226" s="17">
        <v>116.69</v>
      </c>
      <c r="F3226" s="16">
        <v>0.02</v>
      </c>
      <c r="G3226" s="15" t="s">
        <v>32</v>
      </c>
      <c r="H3226" s="18">
        <v>11.69</v>
      </c>
      <c r="I3226" s="19">
        <v>7.08</v>
      </c>
      <c r="J3226" s="19">
        <v>2.35</v>
      </c>
      <c r="K3226" s="19" t="s">
        <v>124</v>
      </c>
      <c r="L3226" s="19" t="s">
        <v>164</v>
      </c>
      <c r="M3226" s="15" t="s">
        <v>1996</v>
      </c>
      <c r="N3226" s="15" t="s">
        <v>36</v>
      </c>
      <c r="O3226" s="15" t="s">
        <v>77</v>
      </c>
      <c r="P3226" s="20" t="s">
        <v>1833</v>
      </c>
      <c r="Q3226" s="15" t="s">
        <v>79</v>
      </c>
      <c r="R3226" s="4"/>
      <c r="S3226" s="4"/>
    </row>
    <row r="3227" spans="1:19" ht="21" customHeight="1" x14ac:dyDescent="0.25">
      <c r="A3227" s="14">
        <f>DATE(2012,12,31)-838</f>
        <v>40436</v>
      </c>
      <c r="B3227" s="15" t="s">
        <v>1282</v>
      </c>
      <c r="C3227" s="15" t="s">
        <v>31</v>
      </c>
      <c r="D3227" s="16">
        <v>46</v>
      </c>
      <c r="E3227" s="17">
        <v>23949.51</v>
      </c>
      <c r="F3227" s="16">
        <v>0</v>
      </c>
      <c r="G3227" s="15" t="s">
        <v>101</v>
      </c>
      <c r="H3227" s="18">
        <v>-1312.84</v>
      </c>
      <c r="I3227" s="19">
        <v>499.99</v>
      </c>
      <c r="J3227" s="19">
        <v>24.49</v>
      </c>
      <c r="K3227" s="19" t="s">
        <v>124</v>
      </c>
      <c r="L3227" s="19" t="s">
        <v>164</v>
      </c>
      <c r="M3227" s="15" t="s">
        <v>1996</v>
      </c>
      <c r="N3227" s="15" t="s">
        <v>64</v>
      </c>
      <c r="O3227" s="15" t="s">
        <v>460</v>
      </c>
      <c r="P3227" s="20" t="s">
        <v>1118</v>
      </c>
      <c r="Q3227" s="15" t="s">
        <v>39</v>
      </c>
      <c r="R3227" s="4"/>
      <c r="S3227" s="4"/>
    </row>
    <row r="3228" spans="1:19" ht="21" customHeight="1" x14ac:dyDescent="0.25">
      <c r="A3228" s="14">
        <f>DATE(2012,12,31)-557</f>
        <v>40717</v>
      </c>
      <c r="B3228" s="15" t="s">
        <v>406</v>
      </c>
      <c r="C3228" s="15" t="s">
        <v>85</v>
      </c>
      <c r="D3228" s="16">
        <v>27</v>
      </c>
      <c r="E3228" s="17">
        <v>172.7</v>
      </c>
      <c r="F3228" s="16">
        <v>7.0000000000000007E-2</v>
      </c>
      <c r="G3228" s="15" t="s">
        <v>32</v>
      </c>
      <c r="H3228" s="18">
        <v>-42.97</v>
      </c>
      <c r="I3228" s="19">
        <v>6.48</v>
      </c>
      <c r="J3228" s="19">
        <v>5.1100000000000003</v>
      </c>
      <c r="K3228" s="19" t="s">
        <v>44</v>
      </c>
      <c r="L3228" s="19" t="s">
        <v>52</v>
      </c>
      <c r="M3228" s="15" t="s">
        <v>1685</v>
      </c>
      <c r="N3228" s="15" t="s">
        <v>36</v>
      </c>
      <c r="O3228" s="15" t="s">
        <v>117</v>
      </c>
      <c r="P3228" s="20" t="s">
        <v>1659</v>
      </c>
      <c r="Q3228" s="15" t="s">
        <v>83</v>
      </c>
      <c r="R3228" s="4"/>
      <c r="S3228" s="4"/>
    </row>
    <row r="3229" spans="1:19" ht="21" customHeight="1" x14ac:dyDescent="0.25">
      <c r="A3229" s="14">
        <f>DATE(2012,12,31)-557</f>
        <v>40717</v>
      </c>
      <c r="B3229" s="15" t="s">
        <v>406</v>
      </c>
      <c r="C3229" s="15" t="s">
        <v>85</v>
      </c>
      <c r="D3229" s="16">
        <v>22</v>
      </c>
      <c r="E3229" s="17">
        <v>1683.57</v>
      </c>
      <c r="F3229" s="16">
        <v>0.1</v>
      </c>
      <c r="G3229" s="15" t="s">
        <v>32</v>
      </c>
      <c r="H3229" s="18">
        <v>346.54</v>
      </c>
      <c r="I3229" s="19">
        <v>80.98</v>
      </c>
      <c r="J3229" s="19">
        <v>7.18</v>
      </c>
      <c r="K3229" s="19" t="s">
        <v>44</v>
      </c>
      <c r="L3229" s="19" t="s">
        <v>52</v>
      </c>
      <c r="M3229" s="15" t="s">
        <v>1685</v>
      </c>
      <c r="N3229" s="15" t="s">
        <v>64</v>
      </c>
      <c r="O3229" s="15" t="s">
        <v>72</v>
      </c>
      <c r="P3229" s="20" t="s">
        <v>1641</v>
      </c>
      <c r="Q3229" s="15" t="s">
        <v>83</v>
      </c>
      <c r="R3229" s="4"/>
      <c r="S3229" s="4"/>
    </row>
    <row r="3230" spans="1:19" ht="21" customHeight="1" x14ac:dyDescent="0.25">
      <c r="A3230" s="14">
        <f>DATE(2012,12,31)-1320</f>
        <v>39954</v>
      </c>
      <c r="B3230" s="15" t="s">
        <v>732</v>
      </c>
      <c r="C3230" s="15" t="s">
        <v>43</v>
      </c>
      <c r="D3230" s="16">
        <v>20</v>
      </c>
      <c r="E3230" s="17">
        <v>4252.8900000000003</v>
      </c>
      <c r="F3230" s="16">
        <v>0.06</v>
      </c>
      <c r="G3230" s="15" t="s">
        <v>101</v>
      </c>
      <c r="H3230" s="18">
        <v>969.42</v>
      </c>
      <c r="I3230" s="19">
        <v>218.08</v>
      </c>
      <c r="J3230" s="19">
        <v>18.059999999999999</v>
      </c>
      <c r="K3230" s="19" t="s">
        <v>44</v>
      </c>
      <c r="L3230" s="19" t="s">
        <v>52</v>
      </c>
      <c r="M3230" s="15" t="s">
        <v>1685</v>
      </c>
      <c r="N3230" s="15" t="s">
        <v>54</v>
      </c>
      <c r="O3230" s="15" t="s">
        <v>252</v>
      </c>
      <c r="P3230" s="20" t="s">
        <v>253</v>
      </c>
      <c r="Q3230" s="15" t="s">
        <v>39</v>
      </c>
      <c r="R3230" s="4"/>
      <c r="S3230" s="4"/>
    </row>
    <row r="3231" spans="1:19" ht="21" customHeight="1" x14ac:dyDescent="0.25">
      <c r="A3231" s="14">
        <f>DATE(2012,12,31)-251</f>
        <v>41023</v>
      </c>
      <c r="B3231" s="15" t="s">
        <v>1295</v>
      </c>
      <c r="C3231" s="15" t="s">
        <v>31</v>
      </c>
      <c r="D3231" s="16">
        <v>13</v>
      </c>
      <c r="E3231" s="17">
        <v>1191.73</v>
      </c>
      <c r="F3231" s="16">
        <v>7.0000000000000007E-2</v>
      </c>
      <c r="G3231" s="15" t="s">
        <v>32</v>
      </c>
      <c r="H3231" s="18">
        <v>147.6</v>
      </c>
      <c r="I3231" s="19">
        <v>96.45</v>
      </c>
      <c r="J3231" s="19">
        <v>13.99</v>
      </c>
      <c r="K3231" s="19" t="s">
        <v>44</v>
      </c>
      <c r="L3231" s="19" t="s">
        <v>52</v>
      </c>
      <c r="M3231" s="15" t="s">
        <v>1685</v>
      </c>
      <c r="N3231" s="15" t="s">
        <v>64</v>
      </c>
      <c r="O3231" s="15" t="s">
        <v>122</v>
      </c>
      <c r="P3231" s="20" t="s">
        <v>2032</v>
      </c>
      <c r="Q3231" s="15" t="s">
        <v>57</v>
      </c>
      <c r="R3231" s="4"/>
      <c r="S3231" s="4"/>
    </row>
    <row r="3232" spans="1:19" ht="21" customHeight="1" x14ac:dyDescent="0.25">
      <c r="A3232" s="14">
        <f>DATE(2012,12,31)-158</f>
        <v>41116</v>
      </c>
      <c r="B3232" s="15" t="s">
        <v>1765</v>
      </c>
      <c r="C3232" s="15" t="s">
        <v>31</v>
      </c>
      <c r="D3232" s="16">
        <v>16</v>
      </c>
      <c r="E3232" s="17">
        <v>3549.9</v>
      </c>
      <c r="F3232" s="16">
        <v>0.06</v>
      </c>
      <c r="G3232" s="15" t="s">
        <v>58</v>
      </c>
      <c r="H3232" s="18">
        <v>44.8</v>
      </c>
      <c r="I3232" s="19">
        <v>216.6</v>
      </c>
      <c r="J3232" s="19">
        <v>64.2</v>
      </c>
      <c r="K3232" s="19" t="s">
        <v>44</v>
      </c>
      <c r="L3232" s="19" t="s">
        <v>52</v>
      </c>
      <c r="M3232" s="15" t="s">
        <v>1685</v>
      </c>
      <c r="N3232" s="15" t="s">
        <v>54</v>
      </c>
      <c r="O3232" s="15" t="s">
        <v>252</v>
      </c>
      <c r="P3232" s="20" t="s">
        <v>855</v>
      </c>
      <c r="Q3232" s="15" t="s">
        <v>181</v>
      </c>
      <c r="R3232" s="4"/>
      <c r="S3232" s="4"/>
    </row>
    <row r="3233" spans="1:19" ht="21" customHeight="1" x14ac:dyDescent="0.25">
      <c r="A3233" s="14">
        <f>DATE(2012,12,31)-158</f>
        <v>41116</v>
      </c>
      <c r="B3233" s="15" t="s">
        <v>1765</v>
      </c>
      <c r="C3233" s="15" t="s">
        <v>31</v>
      </c>
      <c r="D3233" s="16">
        <v>8</v>
      </c>
      <c r="E3233" s="17">
        <v>138.24</v>
      </c>
      <c r="F3233" s="16">
        <v>0.03</v>
      </c>
      <c r="G3233" s="15" t="s">
        <v>32</v>
      </c>
      <c r="H3233" s="18">
        <v>-60.04</v>
      </c>
      <c r="I3233" s="19">
        <v>16.739999999999998</v>
      </c>
      <c r="J3233" s="19">
        <v>7.04</v>
      </c>
      <c r="K3233" s="19" t="s">
        <v>44</v>
      </c>
      <c r="L3233" s="19" t="s">
        <v>52</v>
      </c>
      <c r="M3233" s="15" t="s">
        <v>1685</v>
      </c>
      <c r="N3233" s="15" t="s">
        <v>36</v>
      </c>
      <c r="O3233" s="15" t="s">
        <v>37</v>
      </c>
      <c r="P3233" s="20" t="s">
        <v>1598</v>
      </c>
      <c r="Q3233" s="15" t="s">
        <v>83</v>
      </c>
      <c r="R3233" s="4"/>
      <c r="S3233" s="4"/>
    </row>
    <row r="3234" spans="1:19" ht="21" customHeight="1" x14ac:dyDescent="0.25">
      <c r="A3234" s="14">
        <f>DATE(2012,12,31)-520</f>
        <v>40754</v>
      </c>
      <c r="B3234" s="15" t="s">
        <v>1817</v>
      </c>
      <c r="C3234" s="15" t="s">
        <v>51</v>
      </c>
      <c r="D3234" s="16">
        <v>39</v>
      </c>
      <c r="E3234" s="17">
        <v>307.42</v>
      </c>
      <c r="F3234" s="16">
        <v>0.05</v>
      </c>
      <c r="G3234" s="15" t="s">
        <v>32</v>
      </c>
      <c r="H3234" s="18">
        <v>104.09</v>
      </c>
      <c r="I3234" s="19">
        <v>8.17</v>
      </c>
      <c r="J3234" s="19">
        <v>1.69</v>
      </c>
      <c r="K3234" s="19" t="s">
        <v>44</v>
      </c>
      <c r="L3234" s="19" t="s">
        <v>52</v>
      </c>
      <c r="M3234" s="15" t="s">
        <v>1685</v>
      </c>
      <c r="N3234" s="15" t="s">
        <v>36</v>
      </c>
      <c r="O3234" s="15" t="s">
        <v>117</v>
      </c>
      <c r="P3234" s="20" t="s">
        <v>1008</v>
      </c>
      <c r="Q3234" s="15" t="s">
        <v>79</v>
      </c>
      <c r="R3234" s="4"/>
      <c r="S3234" s="4"/>
    </row>
    <row r="3235" spans="1:19" ht="21" customHeight="1" x14ac:dyDescent="0.25">
      <c r="A3235" s="14">
        <f>DATE(2012,12,31)-520</f>
        <v>40754</v>
      </c>
      <c r="B3235" s="15" t="s">
        <v>1817</v>
      </c>
      <c r="C3235" s="15" t="s">
        <v>51</v>
      </c>
      <c r="D3235" s="16">
        <v>48</v>
      </c>
      <c r="E3235" s="17">
        <v>608.29</v>
      </c>
      <c r="F3235" s="16">
        <v>0.02</v>
      </c>
      <c r="G3235" s="15" t="s">
        <v>32</v>
      </c>
      <c r="H3235" s="18">
        <v>-39.270000000000003</v>
      </c>
      <c r="I3235" s="19">
        <v>11.97</v>
      </c>
      <c r="J3235" s="19">
        <v>5.81</v>
      </c>
      <c r="K3235" s="19" t="s">
        <v>44</v>
      </c>
      <c r="L3235" s="19" t="s">
        <v>45</v>
      </c>
      <c r="M3235" s="15" t="s">
        <v>1985</v>
      </c>
      <c r="N3235" s="15" t="s">
        <v>36</v>
      </c>
      <c r="O3235" s="15" t="s">
        <v>77</v>
      </c>
      <c r="P3235" s="20" t="s">
        <v>467</v>
      </c>
      <c r="Q3235" s="15" t="s">
        <v>49</v>
      </c>
      <c r="R3235" s="4"/>
      <c r="S3235" s="4"/>
    </row>
    <row r="3236" spans="1:19" ht="21" customHeight="1" x14ac:dyDescent="0.25">
      <c r="A3236" s="14">
        <f>DATE(2012,12,31)-1317</f>
        <v>39957</v>
      </c>
      <c r="B3236" s="15" t="s">
        <v>228</v>
      </c>
      <c r="C3236" s="15" t="s">
        <v>51</v>
      </c>
      <c r="D3236" s="16">
        <v>8</v>
      </c>
      <c r="E3236" s="17">
        <v>319.62</v>
      </c>
      <c r="F3236" s="16">
        <v>0.08</v>
      </c>
      <c r="G3236" s="15" t="s">
        <v>101</v>
      </c>
      <c r="H3236" s="18">
        <v>-16.64</v>
      </c>
      <c r="I3236" s="19">
        <v>40.98</v>
      </c>
      <c r="J3236" s="19">
        <v>7.2</v>
      </c>
      <c r="K3236" s="19" t="s">
        <v>44</v>
      </c>
      <c r="L3236" s="19" t="s">
        <v>52</v>
      </c>
      <c r="M3236" s="15" t="s">
        <v>1685</v>
      </c>
      <c r="N3236" s="15" t="s">
        <v>36</v>
      </c>
      <c r="O3236" s="15" t="s">
        <v>176</v>
      </c>
      <c r="P3236" s="20" t="s">
        <v>1657</v>
      </c>
      <c r="Q3236" s="15" t="s">
        <v>83</v>
      </c>
      <c r="R3236" s="4"/>
      <c r="S3236" s="4"/>
    </row>
    <row r="3237" spans="1:19" ht="21" customHeight="1" x14ac:dyDescent="0.25">
      <c r="A3237" s="14">
        <f>DATE(2012,12,31)-1317</f>
        <v>39957</v>
      </c>
      <c r="B3237" s="15" t="s">
        <v>228</v>
      </c>
      <c r="C3237" s="15" t="s">
        <v>51</v>
      </c>
      <c r="D3237" s="16">
        <v>32</v>
      </c>
      <c r="E3237" s="17">
        <v>263.39</v>
      </c>
      <c r="F3237" s="16">
        <v>0.08</v>
      </c>
      <c r="G3237" s="15" t="s">
        <v>101</v>
      </c>
      <c r="H3237" s="18">
        <v>-59.73</v>
      </c>
      <c r="I3237" s="19">
        <v>8.1199999999999992</v>
      </c>
      <c r="J3237" s="19">
        <v>2.83</v>
      </c>
      <c r="K3237" s="19" t="s">
        <v>44</v>
      </c>
      <c r="L3237" s="19" t="s">
        <v>52</v>
      </c>
      <c r="M3237" s="15" t="s">
        <v>1685</v>
      </c>
      <c r="N3237" s="15" t="s">
        <v>64</v>
      </c>
      <c r="O3237" s="15" t="s">
        <v>72</v>
      </c>
      <c r="P3237" s="20" t="s">
        <v>879</v>
      </c>
      <c r="Q3237" s="15" t="s">
        <v>49</v>
      </c>
      <c r="R3237" s="4"/>
      <c r="S3237" s="4"/>
    </row>
    <row r="3238" spans="1:19" ht="21" customHeight="1" x14ac:dyDescent="0.25">
      <c r="A3238" s="14">
        <f>DATE(2012,12,31)-1317</f>
        <v>39957</v>
      </c>
      <c r="B3238" s="15" t="s">
        <v>228</v>
      </c>
      <c r="C3238" s="15" t="s">
        <v>51</v>
      </c>
      <c r="D3238" s="16">
        <v>26</v>
      </c>
      <c r="E3238" s="17">
        <v>7208.8</v>
      </c>
      <c r="F3238" s="16">
        <v>0.02</v>
      </c>
      <c r="G3238" s="15" t="s">
        <v>58</v>
      </c>
      <c r="H3238" s="18">
        <v>-633.44123700000023</v>
      </c>
      <c r="I3238" s="19">
        <v>262.11</v>
      </c>
      <c r="J3238" s="19">
        <v>62.74</v>
      </c>
      <c r="K3238" s="19" t="s">
        <v>44</v>
      </c>
      <c r="L3238" s="19" t="s">
        <v>52</v>
      </c>
      <c r="M3238" s="15" t="s">
        <v>1685</v>
      </c>
      <c r="N3238" s="15" t="s">
        <v>54</v>
      </c>
      <c r="O3238" s="15" t="s">
        <v>61</v>
      </c>
      <c r="P3238" s="20" t="s">
        <v>1510</v>
      </c>
      <c r="Q3238" s="15" t="s">
        <v>63</v>
      </c>
      <c r="R3238" s="4"/>
      <c r="S3238" s="4"/>
    </row>
    <row r="3239" spans="1:19" ht="21" customHeight="1" x14ac:dyDescent="0.25">
      <c r="A3239" s="14">
        <f>DATE(2012,12,31)-801</f>
        <v>40473</v>
      </c>
      <c r="B3239" s="15" t="s">
        <v>1000</v>
      </c>
      <c r="C3239" s="15" t="s">
        <v>85</v>
      </c>
      <c r="D3239" s="16">
        <v>11</v>
      </c>
      <c r="E3239" s="17">
        <v>336.91</v>
      </c>
      <c r="F3239" s="16">
        <v>0.1</v>
      </c>
      <c r="G3239" s="15" t="s">
        <v>32</v>
      </c>
      <c r="H3239" s="18">
        <v>42.5</v>
      </c>
      <c r="I3239" s="19">
        <v>30.98</v>
      </c>
      <c r="J3239" s="19">
        <v>8.74</v>
      </c>
      <c r="K3239" s="19" t="s">
        <v>44</v>
      </c>
      <c r="L3239" s="19" t="s">
        <v>52</v>
      </c>
      <c r="M3239" s="15" t="s">
        <v>1685</v>
      </c>
      <c r="N3239" s="15" t="s">
        <v>36</v>
      </c>
      <c r="O3239" s="15" t="s">
        <v>117</v>
      </c>
      <c r="P3239" s="20" t="s">
        <v>464</v>
      </c>
      <c r="Q3239" s="15" t="s">
        <v>83</v>
      </c>
      <c r="R3239" s="4"/>
      <c r="S3239" s="4"/>
    </row>
    <row r="3240" spans="1:19" ht="21" customHeight="1" x14ac:dyDescent="0.25">
      <c r="A3240" s="14">
        <f>DATE(2012,12,31)-990</f>
        <v>40284</v>
      </c>
      <c r="B3240" s="15" t="s">
        <v>151</v>
      </c>
      <c r="C3240" s="15" t="s">
        <v>51</v>
      </c>
      <c r="D3240" s="16">
        <v>15</v>
      </c>
      <c r="E3240" s="17">
        <v>614.15</v>
      </c>
      <c r="F3240" s="16">
        <v>0.03</v>
      </c>
      <c r="G3240" s="15" t="s">
        <v>101</v>
      </c>
      <c r="H3240" s="18">
        <v>-54.37</v>
      </c>
      <c r="I3240" s="19">
        <v>39.979999999999997</v>
      </c>
      <c r="J3240" s="19">
        <v>7.12</v>
      </c>
      <c r="K3240" s="19" t="s">
        <v>44</v>
      </c>
      <c r="L3240" s="19" t="s">
        <v>52</v>
      </c>
      <c r="M3240" s="15" t="s">
        <v>1685</v>
      </c>
      <c r="N3240" s="15" t="s">
        <v>64</v>
      </c>
      <c r="O3240" s="15" t="s">
        <v>72</v>
      </c>
      <c r="P3240" s="20" t="s">
        <v>1468</v>
      </c>
      <c r="Q3240" s="15" t="s">
        <v>83</v>
      </c>
      <c r="R3240" s="4"/>
      <c r="S3240" s="4"/>
    </row>
    <row r="3241" spans="1:19" ht="21" customHeight="1" x14ac:dyDescent="0.25">
      <c r="A3241" s="14">
        <f>DATE(2012,12,31)-990</f>
        <v>40284</v>
      </c>
      <c r="B3241" s="15" t="s">
        <v>151</v>
      </c>
      <c r="C3241" s="15" t="s">
        <v>51</v>
      </c>
      <c r="D3241" s="16">
        <v>31</v>
      </c>
      <c r="E3241" s="17">
        <v>154.24</v>
      </c>
      <c r="F3241" s="16">
        <v>0.03</v>
      </c>
      <c r="G3241" s="15" t="s">
        <v>32</v>
      </c>
      <c r="H3241" s="18">
        <v>68.88</v>
      </c>
      <c r="I3241" s="19">
        <v>4.9800000000000004</v>
      </c>
      <c r="J3241" s="19">
        <v>0.49</v>
      </c>
      <c r="K3241" s="19" t="s">
        <v>44</v>
      </c>
      <c r="L3241" s="19" t="s">
        <v>45</v>
      </c>
      <c r="M3241" s="15" t="s">
        <v>1985</v>
      </c>
      <c r="N3241" s="15" t="s">
        <v>36</v>
      </c>
      <c r="O3241" s="15" t="s">
        <v>114</v>
      </c>
      <c r="P3241" s="20" t="s">
        <v>304</v>
      </c>
      <c r="Q3241" s="15" t="s">
        <v>83</v>
      </c>
      <c r="R3241" s="4"/>
      <c r="S3241" s="4"/>
    </row>
    <row r="3242" spans="1:19" ht="21" customHeight="1" x14ac:dyDescent="0.25">
      <c r="A3242" s="14">
        <f>DATE(2012,12,31)-990</f>
        <v>40284</v>
      </c>
      <c r="B3242" s="15" t="s">
        <v>151</v>
      </c>
      <c r="C3242" s="15" t="s">
        <v>51</v>
      </c>
      <c r="D3242" s="16">
        <v>20</v>
      </c>
      <c r="E3242" s="17">
        <v>140.31</v>
      </c>
      <c r="F3242" s="16">
        <v>0.06</v>
      </c>
      <c r="G3242" s="15" t="s">
        <v>32</v>
      </c>
      <c r="H3242" s="18">
        <v>-94.11</v>
      </c>
      <c r="I3242" s="19">
        <v>6.48</v>
      </c>
      <c r="J3242" s="19">
        <v>8.74</v>
      </c>
      <c r="K3242" s="19" t="s">
        <v>124</v>
      </c>
      <c r="L3242" s="19" t="s">
        <v>164</v>
      </c>
      <c r="M3242" s="15" t="s">
        <v>1996</v>
      </c>
      <c r="N3242" s="15" t="s">
        <v>36</v>
      </c>
      <c r="O3242" s="15" t="s">
        <v>117</v>
      </c>
      <c r="P3242" s="20" t="s">
        <v>179</v>
      </c>
      <c r="Q3242" s="15" t="s">
        <v>83</v>
      </c>
      <c r="R3242" s="4"/>
      <c r="S3242" s="4"/>
    </row>
    <row r="3243" spans="1:19" ht="21" customHeight="1" x14ac:dyDescent="0.25">
      <c r="A3243" s="14">
        <f>DATE(2012,12,31)-545</f>
        <v>40729</v>
      </c>
      <c r="B3243" s="15" t="s">
        <v>1282</v>
      </c>
      <c r="C3243" s="15" t="s">
        <v>51</v>
      </c>
      <c r="D3243" s="16">
        <v>6</v>
      </c>
      <c r="E3243" s="17">
        <v>17.43</v>
      </c>
      <c r="F3243" s="16">
        <v>0.02</v>
      </c>
      <c r="G3243" s="15" t="s">
        <v>32</v>
      </c>
      <c r="H3243" s="18">
        <v>2.4500000000000002</v>
      </c>
      <c r="I3243" s="19">
        <v>2.88</v>
      </c>
      <c r="J3243" s="19">
        <v>0.5</v>
      </c>
      <c r="K3243" s="19" t="s">
        <v>69</v>
      </c>
      <c r="L3243" s="19" t="s">
        <v>70</v>
      </c>
      <c r="M3243" s="15" t="s">
        <v>1895</v>
      </c>
      <c r="N3243" s="15" t="s">
        <v>54</v>
      </c>
      <c r="O3243" s="15" t="s">
        <v>61</v>
      </c>
      <c r="P3243" s="20" t="s">
        <v>1001</v>
      </c>
      <c r="Q3243" s="15" t="s">
        <v>63</v>
      </c>
      <c r="R3243" s="4"/>
      <c r="S3243" s="4"/>
    </row>
    <row r="3244" spans="1:19" ht="21" customHeight="1" x14ac:dyDescent="0.25">
      <c r="A3244" s="14">
        <f>DATE(2012,12,31)-1006</f>
        <v>40268</v>
      </c>
      <c r="B3244" s="15" t="s">
        <v>770</v>
      </c>
      <c r="C3244" s="15" t="s">
        <v>43</v>
      </c>
      <c r="D3244" s="16">
        <v>25</v>
      </c>
      <c r="E3244" s="17">
        <v>2976.19</v>
      </c>
      <c r="F3244" s="16">
        <v>0.05</v>
      </c>
      <c r="G3244" s="15" t="s">
        <v>58</v>
      </c>
      <c r="H3244" s="18">
        <v>-44.517900000000004</v>
      </c>
      <c r="I3244" s="19">
        <v>115.99</v>
      </c>
      <c r="J3244" s="19">
        <v>56.14</v>
      </c>
      <c r="K3244" s="19" t="s">
        <v>69</v>
      </c>
      <c r="L3244" s="19" t="s">
        <v>70</v>
      </c>
      <c r="M3244" s="15" t="s">
        <v>1895</v>
      </c>
      <c r="N3244" s="15" t="s">
        <v>64</v>
      </c>
      <c r="O3244" s="15" t="s">
        <v>122</v>
      </c>
      <c r="P3244" s="20" t="s">
        <v>306</v>
      </c>
      <c r="Q3244" s="15" t="s">
        <v>181</v>
      </c>
      <c r="R3244" s="4"/>
      <c r="S3244" s="4"/>
    </row>
    <row r="3245" spans="1:19" ht="21" customHeight="1" x14ac:dyDescent="0.25">
      <c r="A3245" s="14">
        <f>DATE(2012,12,31)-755</f>
        <v>40519</v>
      </c>
      <c r="B3245" s="15" t="s">
        <v>247</v>
      </c>
      <c r="C3245" s="15" t="s">
        <v>85</v>
      </c>
      <c r="D3245" s="16">
        <v>16</v>
      </c>
      <c r="E3245" s="17">
        <v>108.42</v>
      </c>
      <c r="F3245" s="16">
        <v>0.02</v>
      </c>
      <c r="G3245" s="15" t="s">
        <v>32</v>
      </c>
      <c r="H3245" s="18">
        <v>-50.82</v>
      </c>
      <c r="I3245" s="19">
        <v>6.48</v>
      </c>
      <c r="J3245" s="19">
        <v>6.81</v>
      </c>
      <c r="K3245" s="19" t="s">
        <v>69</v>
      </c>
      <c r="L3245" s="19" t="s">
        <v>215</v>
      </c>
      <c r="M3245" s="15" t="s">
        <v>1704</v>
      </c>
      <c r="N3245" s="15" t="s">
        <v>36</v>
      </c>
      <c r="O3245" s="15" t="s">
        <v>117</v>
      </c>
      <c r="P3245" s="20" t="s">
        <v>735</v>
      </c>
      <c r="Q3245" s="15" t="s">
        <v>83</v>
      </c>
      <c r="R3245" s="4"/>
      <c r="S3245" s="4"/>
    </row>
    <row r="3246" spans="1:19" ht="21" customHeight="1" x14ac:dyDescent="0.25">
      <c r="A3246" s="14">
        <f>DATE(2012,12,31)-755</f>
        <v>40519</v>
      </c>
      <c r="B3246" s="15" t="s">
        <v>247</v>
      </c>
      <c r="C3246" s="15" t="s">
        <v>85</v>
      </c>
      <c r="D3246" s="16">
        <v>27</v>
      </c>
      <c r="E3246" s="17">
        <v>78.47</v>
      </c>
      <c r="F3246" s="16">
        <v>0.06</v>
      </c>
      <c r="G3246" s="15" t="s">
        <v>32</v>
      </c>
      <c r="H3246" s="18">
        <v>17.989999999999998</v>
      </c>
      <c r="I3246" s="19">
        <v>2.88</v>
      </c>
      <c r="J3246" s="19">
        <v>0.99</v>
      </c>
      <c r="K3246" s="19" t="s">
        <v>44</v>
      </c>
      <c r="L3246" s="19" t="s">
        <v>89</v>
      </c>
      <c r="M3246" s="15" t="s">
        <v>1932</v>
      </c>
      <c r="N3246" s="15" t="s">
        <v>36</v>
      </c>
      <c r="O3246" s="15" t="s">
        <v>114</v>
      </c>
      <c r="P3246" s="20" t="s">
        <v>1153</v>
      </c>
      <c r="Q3246" s="15" t="s">
        <v>83</v>
      </c>
      <c r="R3246" s="4"/>
      <c r="S3246" s="4"/>
    </row>
    <row r="3247" spans="1:19" ht="21" customHeight="1" x14ac:dyDescent="0.25">
      <c r="A3247" s="14">
        <f>DATE(2012,12,31)-350</f>
        <v>40924</v>
      </c>
      <c r="B3247" s="15" t="s">
        <v>1709</v>
      </c>
      <c r="C3247" s="15" t="s">
        <v>51</v>
      </c>
      <c r="D3247" s="16">
        <v>5</v>
      </c>
      <c r="E3247" s="17">
        <v>255.31</v>
      </c>
      <c r="F3247" s="16">
        <v>0.02</v>
      </c>
      <c r="G3247" s="15" t="s">
        <v>32</v>
      </c>
      <c r="H3247" s="18">
        <v>41.41</v>
      </c>
      <c r="I3247" s="19">
        <v>48.04</v>
      </c>
      <c r="J3247" s="19">
        <v>5.79</v>
      </c>
      <c r="K3247" s="19" t="s">
        <v>44</v>
      </c>
      <c r="L3247" s="19" t="s">
        <v>89</v>
      </c>
      <c r="M3247" s="15" t="s">
        <v>1932</v>
      </c>
      <c r="N3247" s="15" t="s">
        <v>36</v>
      </c>
      <c r="O3247" s="15" t="s">
        <v>117</v>
      </c>
      <c r="P3247" s="20" t="s">
        <v>1984</v>
      </c>
      <c r="Q3247" s="15" t="s">
        <v>83</v>
      </c>
      <c r="R3247" s="4"/>
      <c r="S3247" s="4"/>
    </row>
    <row r="3248" spans="1:19" ht="21" customHeight="1" x14ac:dyDescent="0.25">
      <c r="A3248" s="14">
        <f>DATE(2012,12,31)-350</f>
        <v>40924</v>
      </c>
      <c r="B3248" s="15" t="s">
        <v>1709</v>
      </c>
      <c r="C3248" s="15" t="s">
        <v>51</v>
      </c>
      <c r="D3248" s="16">
        <v>14</v>
      </c>
      <c r="E3248" s="17">
        <v>50.85</v>
      </c>
      <c r="F3248" s="16">
        <v>0.09</v>
      </c>
      <c r="G3248" s="15" t="s">
        <v>101</v>
      </c>
      <c r="H3248" s="18">
        <v>-6.81</v>
      </c>
      <c r="I3248" s="19">
        <v>3.6</v>
      </c>
      <c r="J3248" s="19">
        <v>2.2000000000000002</v>
      </c>
      <c r="K3248" s="19" t="s">
        <v>44</v>
      </c>
      <c r="L3248" s="19" t="s">
        <v>120</v>
      </c>
      <c r="M3248" s="15" t="s">
        <v>2025</v>
      </c>
      <c r="N3248" s="15" t="s">
        <v>36</v>
      </c>
      <c r="O3248" s="15" t="s">
        <v>117</v>
      </c>
      <c r="P3248" s="20" t="s">
        <v>1925</v>
      </c>
      <c r="Q3248" s="15" t="s">
        <v>79</v>
      </c>
      <c r="R3248" s="4"/>
      <c r="S3248" s="4"/>
    </row>
    <row r="3249" spans="1:19" ht="21" customHeight="1" x14ac:dyDescent="0.25">
      <c r="A3249" s="14">
        <f>DATE(2012,12,31)-659</f>
        <v>40615</v>
      </c>
      <c r="B3249" s="15" t="s">
        <v>818</v>
      </c>
      <c r="C3249" s="15" t="s">
        <v>31</v>
      </c>
      <c r="D3249" s="16">
        <v>20</v>
      </c>
      <c r="E3249" s="17">
        <v>1460.42</v>
      </c>
      <c r="F3249" s="16">
        <v>0.04</v>
      </c>
      <c r="G3249" s="15" t="s">
        <v>58</v>
      </c>
      <c r="H3249" s="18">
        <v>-441.44</v>
      </c>
      <c r="I3249" s="19">
        <v>68.81</v>
      </c>
      <c r="J3249" s="19">
        <v>60</v>
      </c>
      <c r="K3249" s="19" t="s">
        <v>97</v>
      </c>
      <c r="L3249" s="19" t="s">
        <v>195</v>
      </c>
      <c r="M3249" s="15" t="s">
        <v>1964</v>
      </c>
      <c r="N3249" s="15" t="s">
        <v>36</v>
      </c>
      <c r="O3249" s="15" t="s">
        <v>176</v>
      </c>
      <c r="P3249" s="20" t="s">
        <v>363</v>
      </c>
      <c r="Q3249" s="15" t="s">
        <v>181</v>
      </c>
      <c r="R3249" s="4"/>
      <c r="S3249" s="4"/>
    </row>
    <row r="3250" spans="1:19" ht="21" customHeight="1" x14ac:dyDescent="0.25">
      <c r="A3250" s="14">
        <f>DATE(2012,12,31)-659</f>
        <v>40615</v>
      </c>
      <c r="B3250" s="15" t="s">
        <v>818</v>
      </c>
      <c r="C3250" s="15" t="s">
        <v>31</v>
      </c>
      <c r="D3250" s="16">
        <v>42</v>
      </c>
      <c r="E3250" s="17">
        <v>6659.7415000000001</v>
      </c>
      <c r="F3250" s="16">
        <v>0.05</v>
      </c>
      <c r="G3250" s="15" t="s">
        <v>101</v>
      </c>
      <c r="H3250" s="18">
        <v>1647.7469999999998</v>
      </c>
      <c r="I3250" s="19">
        <v>195.99</v>
      </c>
      <c r="J3250" s="19">
        <v>3.99</v>
      </c>
      <c r="K3250" s="19" t="s">
        <v>33</v>
      </c>
      <c r="L3250" s="19" t="s">
        <v>59</v>
      </c>
      <c r="M3250" s="15" t="s">
        <v>2033</v>
      </c>
      <c r="N3250" s="15" t="s">
        <v>64</v>
      </c>
      <c r="O3250" s="15" t="s">
        <v>65</v>
      </c>
      <c r="P3250" s="20" t="s">
        <v>2034</v>
      </c>
      <c r="Q3250" s="15" t="s">
        <v>83</v>
      </c>
      <c r="R3250" s="4"/>
      <c r="S3250" s="4"/>
    </row>
    <row r="3251" spans="1:19" ht="21" customHeight="1" x14ac:dyDescent="0.25">
      <c r="A3251" s="14">
        <f>DATE(2012,12,31)-789</f>
        <v>40485</v>
      </c>
      <c r="B3251" s="15" t="s">
        <v>836</v>
      </c>
      <c r="C3251" s="15" t="s">
        <v>51</v>
      </c>
      <c r="D3251" s="16">
        <v>1</v>
      </c>
      <c r="E3251" s="17">
        <v>794.58</v>
      </c>
      <c r="F3251" s="16">
        <v>0.09</v>
      </c>
      <c r="G3251" s="15" t="s">
        <v>58</v>
      </c>
      <c r="H3251" s="18">
        <v>-1748.3433</v>
      </c>
      <c r="I3251" s="19">
        <v>808.49</v>
      </c>
      <c r="J3251" s="19">
        <v>55.3</v>
      </c>
      <c r="K3251" s="19" t="s">
        <v>124</v>
      </c>
      <c r="L3251" s="19" t="s">
        <v>164</v>
      </c>
      <c r="M3251" s="15" t="s">
        <v>1996</v>
      </c>
      <c r="N3251" s="15" t="s">
        <v>64</v>
      </c>
      <c r="O3251" s="15" t="s">
        <v>122</v>
      </c>
      <c r="P3251" s="20" t="s">
        <v>2035</v>
      </c>
      <c r="Q3251" s="15" t="s">
        <v>181</v>
      </c>
      <c r="R3251" s="4"/>
      <c r="S3251" s="4"/>
    </row>
    <row r="3252" spans="1:19" ht="21" customHeight="1" x14ac:dyDescent="0.25">
      <c r="A3252" s="14">
        <f>DATE(2012,12,31)-182</f>
        <v>41092</v>
      </c>
      <c r="B3252" s="15" t="s">
        <v>643</v>
      </c>
      <c r="C3252" s="15" t="s">
        <v>85</v>
      </c>
      <c r="D3252" s="16">
        <v>20</v>
      </c>
      <c r="E3252" s="17">
        <v>498.68</v>
      </c>
      <c r="F3252" s="16">
        <v>0.06</v>
      </c>
      <c r="G3252" s="15" t="s">
        <v>32</v>
      </c>
      <c r="H3252" s="18">
        <v>79.52</v>
      </c>
      <c r="I3252" s="19">
        <v>25.98</v>
      </c>
      <c r="J3252" s="19">
        <v>5.37</v>
      </c>
      <c r="K3252" s="19" t="s">
        <v>44</v>
      </c>
      <c r="L3252" s="19" t="s">
        <v>80</v>
      </c>
      <c r="M3252" s="15" t="s">
        <v>2012</v>
      </c>
      <c r="N3252" s="15" t="s">
        <v>36</v>
      </c>
      <c r="O3252" s="15" t="s">
        <v>176</v>
      </c>
      <c r="P3252" s="20" t="s">
        <v>1120</v>
      </c>
      <c r="Q3252" s="15" t="s">
        <v>57</v>
      </c>
      <c r="R3252" s="4"/>
      <c r="S3252" s="4"/>
    </row>
    <row r="3253" spans="1:19" ht="21" customHeight="1" x14ac:dyDescent="0.25">
      <c r="A3253" s="14">
        <f>DATE(2012,12,31)-182</f>
        <v>41092</v>
      </c>
      <c r="B3253" s="15" t="s">
        <v>643</v>
      </c>
      <c r="C3253" s="15" t="s">
        <v>85</v>
      </c>
      <c r="D3253" s="16">
        <v>34</v>
      </c>
      <c r="E3253" s="17">
        <v>5208.78</v>
      </c>
      <c r="F3253" s="16">
        <v>0.05</v>
      </c>
      <c r="G3253" s="15" t="s">
        <v>32</v>
      </c>
      <c r="H3253" s="18">
        <v>1547.78</v>
      </c>
      <c r="I3253" s="19">
        <v>155.06</v>
      </c>
      <c r="J3253" s="19">
        <v>7.07</v>
      </c>
      <c r="K3253" s="19" t="s">
        <v>69</v>
      </c>
      <c r="L3253" s="19" t="s">
        <v>70</v>
      </c>
      <c r="M3253" s="15" t="s">
        <v>1895</v>
      </c>
      <c r="N3253" s="15" t="s">
        <v>36</v>
      </c>
      <c r="O3253" s="15" t="s">
        <v>37</v>
      </c>
      <c r="P3253" s="20" t="s">
        <v>1107</v>
      </c>
      <c r="Q3253" s="15" t="s">
        <v>83</v>
      </c>
      <c r="R3253" s="4"/>
      <c r="S3253" s="4"/>
    </row>
    <row r="3254" spans="1:19" ht="21" customHeight="1" x14ac:dyDescent="0.25">
      <c r="A3254" s="14">
        <f>DATE(2012,12,31)-623</f>
        <v>40651</v>
      </c>
      <c r="B3254" s="15" t="s">
        <v>643</v>
      </c>
      <c r="C3254" s="15" t="s">
        <v>51</v>
      </c>
      <c r="D3254" s="16">
        <v>4</v>
      </c>
      <c r="E3254" s="17">
        <v>28.46</v>
      </c>
      <c r="F3254" s="16">
        <v>0.02</v>
      </c>
      <c r="G3254" s="15" t="s">
        <v>32</v>
      </c>
      <c r="H3254" s="18">
        <v>-27.13</v>
      </c>
      <c r="I3254" s="19">
        <v>5.98</v>
      </c>
      <c r="J3254" s="19">
        <v>3.85</v>
      </c>
      <c r="K3254" s="19" t="s">
        <v>69</v>
      </c>
      <c r="L3254" s="19" t="s">
        <v>70</v>
      </c>
      <c r="M3254" s="15" t="s">
        <v>1895</v>
      </c>
      <c r="N3254" s="15" t="s">
        <v>64</v>
      </c>
      <c r="O3254" s="15" t="s">
        <v>72</v>
      </c>
      <c r="P3254" s="20" t="s">
        <v>1084</v>
      </c>
      <c r="Q3254" s="15" t="s">
        <v>49</v>
      </c>
      <c r="R3254" s="4"/>
      <c r="S3254" s="4"/>
    </row>
    <row r="3255" spans="1:19" ht="21" customHeight="1" x14ac:dyDescent="0.25">
      <c r="A3255" s="14">
        <f>DATE(2012,12,31)-623</f>
        <v>40651</v>
      </c>
      <c r="B3255" s="15" t="s">
        <v>643</v>
      </c>
      <c r="C3255" s="15" t="s">
        <v>51</v>
      </c>
      <c r="D3255" s="16">
        <v>3</v>
      </c>
      <c r="E3255" s="17">
        <v>23.44</v>
      </c>
      <c r="F3255" s="16">
        <v>0.05</v>
      </c>
      <c r="G3255" s="15" t="s">
        <v>32</v>
      </c>
      <c r="H3255" s="18">
        <v>-10.58</v>
      </c>
      <c r="I3255" s="19">
        <v>5.98</v>
      </c>
      <c r="J3255" s="19">
        <v>5.2</v>
      </c>
      <c r="K3255" s="19" t="s">
        <v>69</v>
      </c>
      <c r="L3255" s="19" t="s">
        <v>75</v>
      </c>
      <c r="M3255" s="15" t="s">
        <v>1980</v>
      </c>
      <c r="N3255" s="15" t="s">
        <v>36</v>
      </c>
      <c r="O3255" s="15" t="s">
        <v>117</v>
      </c>
      <c r="P3255" s="20" t="s">
        <v>874</v>
      </c>
      <c r="Q3255" s="15" t="s">
        <v>83</v>
      </c>
      <c r="R3255" s="4"/>
      <c r="S3255" s="4"/>
    </row>
    <row r="3256" spans="1:19" ht="21" customHeight="1" x14ac:dyDescent="0.25">
      <c r="A3256" s="14">
        <f>DATE(2012,12,31)-1290</f>
        <v>39984</v>
      </c>
      <c r="B3256" s="15" t="s">
        <v>1172</v>
      </c>
      <c r="C3256" s="15" t="s">
        <v>43</v>
      </c>
      <c r="D3256" s="16">
        <v>39</v>
      </c>
      <c r="E3256" s="17">
        <v>238.49</v>
      </c>
      <c r="F3256" s="16">
        <v>0.09</v>
      </c>
      <c r="G3256" s="15" t="s">
        <v>32</v>
      </c>
      <c r="H3256" s="18">
        <v>-110.56</v>
      </c>
      <c r="I3256" s="19">
        <v>6.48</v>
      </c>
      <c r="J3256" s="19">
        <v>6.22</v>
      </c>
      <c r="K3256" s="19" t="s">
        <v>44</v>
      </c>
      <c r="L3256" s="19" t="s">
        <v>52</v>
      </c>
      <c r="M3256" s="15" t="s">
        <v>1685</v>
      </c>
      <c r="N3256" s="15" t="s">
        <v>36</v>
      </c>
      <c r="O3256" s="15" t="s">
        <v>117</v>
      </c>
      <c r="P3256" s="20" t="s">
        <v>1323</v>
      </c>
      <c r="Q3256" s="15" t="s">
        <v>83</v>
      </c>
      <c r="R3256" s="4"/>
      <c r="S3256" s="4"/>
    </row>
    <row r="3257" spans="1:19" ht="21" customHeight="1" x14ac:dyDescent="0.25">
      <c r="A3257" s="14">
        <f>DATE(2012,12,31)-838</f>
        <v>40436</v>
      </c>
      <c r="B3257" s="15" t="s">
        <v>1268</v>
      </c>
      <c r="C3257" s="15" t="s">
        <v>51</v>
      </c>
      <c r="D3257" s="16">
        <v>39</v>
      </c>
      <c r="E3257" s="17">
        <v>5740.32</v>
      </c>
      <c r="F3257" s="16">
        <v>0.03</v>
      </c>
      <c r="G3257" s="15" t="s">
        <v>58</v>
      </c>
      <c r="H3257" s="18">
        <v>1285.74</v>
      </c>
      <c r="I3257" s="19">
        <v>145.44999999999999</v>
      </c>
      <c r="J3257" s="19">
        <v>17.850000000000001</v>
      </c>
      <c r="K3257" s="19" t="s">
        <v>33</v>
      </c>
      <c r="L3257" s="19" t="s">
        <v>93</v>
      </c>
      <c r="M3257" s="15" t="s">
        <v>94</v>
      </c>
      <c r="N3257" s="15" t="s">
        <v>64</v>
      </c>
      <c r="O3257" s="15" t="s">
        <v>122</v>
      </c>
      <c r="P3257" s="20" t="s">
        <v>299</v>
      </c>
      <c r="Q3257" s="15" t="s">
        <v>181</v>
      </c>
      <c r="R3257" s="4"/>
      <c r="S3257" s="4"/>
    </row>
    <row r="3258" spans="1:19" ht="21" customHeight="1" x14ac:dyDescent="0.25">
      <c r="A3258" s="14">
        <f>DATE(2012,12,31)-736</f>
        <v>40538</v>
      </c>
      <c r="B3258" s="15" t="s">
        <v>2036</v>
      </c>
      <c r="C3258" s="15" t="s">
        <v>31</v>
      </c>
      <c r="D3258" s="16">
        <v>4</v>
      </c>
      <c r="E3258" s="17">
        <v>31.118499999999997</v>
      </c>
      <c r="F3258" s="16">
        <v>0.05</v>
      </c>
      <c r="G3258" s="15" t="s">
        <v>32</v>
      </c>
      <c r="H3258" s="18">
        <v>-46.904000000000003</v>
      </c>
      <c r="I3258" s="19">
        <v>7.99</v>
      </c>
      <c r="J3258" s="19">
        <v>5.03</v>
      </c>
      <c r="K3258" s="19" t="s">
        <v>33</v>
      </c>
      <c r="L3258" s="19" t="s">
        <v>145</v>
      </c>
      <c r="M3258" s="15" t="s">
        <v>2006</v>
      </c>
      <c r="N3258" s="15" t="s">
        <v>64</v>
      </c>
      <c r="O3258" s="15" t="s">
        <v>65</v>
      </c>
      <c r="P3258" s="20" t="s">
        <v>66</v>
      </c>
      <c r="Q3258" s="15" t="s">
        <v>57</v>
      </c>
      <c r="R3258" s="4"/>
      <c r="S3258" s="4"/>
    </row>
    <row r="3259" spans="1:19" ht="21" customHeight="1" x14ac:dyDescent="0.25">
      <c r="A3259" s="14">
        <f>DATE(2012,12,31)-736</f>
        <v>40538</v>
      </c>
      <c r="B3259" s="15" t="s">
        <v>2036</v>
      </c>
      <c r="C3259" s="15" t="s">
        <v>31</v>
      </c>
      <c r="D3259" s="16">
        <v>47</v>
      </c>
      <c r="E3259" s="17">
        <v>4829.4534999999996</v>
      </c>
      <c r="F3259" s="16">
        <v>0.05</v>
      </c>
      <c r="G3259" s="15" t="s">
        <v>32</v>
      </c>
      <c r="H3259" s="18">
        <v>1235.1510000000001</v>
      </c>
      <c r="I3259" s="19">
        <v>125.99</v>
      </c>
      <c r="J3259" s="19">
        <v>8.99</v>
      </c>
      <c r="K3259" s="19" t="s">
        <v>33</v>
      </c>
      <c r="L3259" s="19" t="s">
        <v>34</v>
      </c>
      <c r="M3259" s="15" t="s">
        <v>1915</v>
      </c>
      <c r="N3259" s="15" t="s">
        <v>64</v>
      </c>
      <c r="O3259" s="15" t="s">
        <v>65</v>
      </c>
      <c r="P3259" s="20" t="s">
        <v>109</v>
      </c>
      <c r="Q3259" s="15" t="s">
        <v>83</v>
      </c>
      <c r="R3259" s="4"/>
      <c r="S3259" s="4"/>
    </row>
    <row r="3260" spans="1:19" ht="21" customHeight="1" x14ac:dyDescent="0.25">
      <c r="A3260" s="14">
        <f>DATE(2012,12,31)-1244</f>
        <v>40030</v>
      </c>
      <c r="B3260" s="15" t="s">
        <v>136</v>
      </c>
      <c r="C3260" s="15" t="s">
        <v>85</v>
      </c>
      <c r="D3260" s="16">
        <v>44</v>
      </c>
      <c r="E3260" s="17">
        <v>634.12</v>
      </c>
      <c r="F3260" s="16">
        <v>0.04</v>
      </c>
      <c r="G3260" s="15" t="s">
        <v>32</v>
      </c>
      <c r="H3260" s="18">
        <v>-21.65</v>
      </c>
      <c r="I3260" s="19">
        <v>14.42</v>
      </c>
      <c r="J3260" s="19">
        <v>6.75</v>
      </c>
      <c r="K3260" s="19" t="s">
        <v>33</v>
      </c>
      <c r="L3260" s="19" t="s">
        <v>145</v>
      </c>
      <c r="M3260" s="15" t="s">
        <v>2006</v>
      </c>
      <c r="N3260" s="15" t="s">
        <v>36</v>
      </c>
      <c r="O3260" s="15" t="s">
        <v>176</v>
      </c>
      <c r="P3260" s="20" t="s">
        <v>411</v>
      </c>
      <c r="Q3260" s="15" t="s">
        <v>57</v>
      </c>
      <c r="R3260" s="4"/>
      <c r="S3260" s="4"/>
    </row>
    <row r="3261" spans="1:19" ht="21" customHeight="1" x14ac:dyDescent="0.25">
      <c r="A3261" s="14">
        <f>DATE(2012,12,31)-1244</f>
        <v>40030</v>
      </c>
      <c r="B3261" s="15" t="s">
        <v>136</v>
      </c>
      <c r="C3261" s="15" t="s">
        <v>85</v>
      </c>
      <c r="D3261" s="16">
        <v>32</v>
      </c>
      <c r="E3261" s="17">
        <v>196.84</v>
      </c>
      <c r="F3261" s="16">
        <v>0.04</v>
      </c>
      <c r="G3261" s="15" t="s">
        <v>32</v>
      </c>
      <c r="H3261" s="18">
        <v>-69.290000000000006</v>
      </c>
      <c r="I3261" s="19">
        <v>5.98</v>
      </c>
      <c r="J3261" s="19">
        <v>5.79</v>
      </c>
      <c r="K3261" s="19" t="s">
        <v>33</v>
      </c>
      <c r="L3261" s="19" t="s">
        <v>34</v>
      </c>
      <c r="M3261" s="15" t="s">
        <v>1915</v>
      </c>
      <c r="N3261" s="15" t="s">
        <v>36</v>
      </c>
      <c r="O3261" s="15" t="s">
        <v>117</v>
      </c>
      <c r="P3261" s="20" t="s">
        <v>871</v>
      </c>
      <c r="Q3261" s="15" t="s">
        <v>83</v>
      </c>
      <c r="R3261" s="4"/>
      <c r="S3261" s="4"/>
    </row>
    <row r="3262" spans="1:19" ht="21" customHeight="1" x14ac:dyDescent="0.25">
      <c r="A3262" s="14">
        <f>DATE(2012,12,31)-1244</f>
        <v>40030</v>
      </c>
      <c r="B3262" s="15" t="s">
        <v>136</v>
      </c>
      <c r="C3262" s="15" t="s">
        <v>85</v>
      </c>
      <c r="D3262" s="16">
        <v>16</v>
      </c>
      <c r="E3262" s="17">
        <v>886.89</v>
      </c>
      <c r="F3262" s="16">
        <v>0.03</v>
      </c>
      <c r="G3262" s="15" t="s">
        <v>32</v>
      </c>
      <c r="H3262" s="18">
        <v>-23.826000000000001</v>
      </c>
      <c r="I3262" s="19">
        <v>65.989999999999995</v>
      </c>
      <c r="J3262" s="19">
        <v>8.99</v>
      </c>
      <c r="K3262" s="19" t="s">
        <v>33</v>
      </c>
      <c r="L3262" s="19" t="s">
        <v>145</v>
      </c>
      <c r="M3262" s="15" t="s">
        <v>2006</v>
      </c>
      <c r="N3262" s="15" t="s">
        <v>64</v>
      </c>
      <c r="O3262" s="15" t="s">
        <v>65</v>
      </c>
      <c r="P3262" s="20" t="s">
        <v>312</v>
      </c>
      <c r="Q3262" s="15" t="s">
        <v>83</v>
      </c>
      <c r="R3262" s="4"/>
      <c r="S3262" s="4"/>
    </row>
    <row r="3263" spans="1:19" ht="21" customHeight="1" x14ac:dyDescent="0.25">
      <c r="A3263" s="14">
        <f>DATE(2012,12,31)-1330</f>
        <v>39944</v>
      </c>
      <c r="B3263" s="15" t="s">
        <v>1524</v>
      </c>
      <c r="C3263" s="15" t="s">
        <v>31</v>
      </c>
      <c r="D3263" s="16">
        <v>30</v>
      </c>
      <c r="E3263" s="17">
        <v>512.97</v>
      </c>
      <c r="F3263" s="16">
        <v>0.01</v>
      </c>
      <c r="G3263" s="15" t="s">
        <v>101</v>
      </c>
      <c r="H3263" s="18">
        <v>261.29000000000002</v>
      </c>
      <c r="I3263" s="19">
        <v>15.67</v>
      </c>
      <c r="J3263" s="19">
        <v>1.39</v>
      </c>
      <c r="K3263" s="19" t="s">
        <v>33</v>
      </c>
      <c r="L3263" s="19" t="s">
        <v>59</v>
      </c>
      <c r="M3263" s="15" t="s">
        <v>2033</v>
      </c>
      <c r="N3263" s="15" t="s">
        <v>36</v>
      </c>
      <c r="O3263" s="15" t="s">
        <v>189</v>
      </c>
      <c r="P3263" s="20" t="s">
        <v>967</v>
      </c>
      <c r="Q3263" s="15" t="s">
        <v>83</v>
      </c>
      <c r="R3263" s="4"/>
      <c r="S3263" s="4"/>
    </row>
    <row r="3264" spans="1:19" ht="21" customHeight="1" x14ac:dyDescent="0.25">
      <c r="A3264" s="14">
        <f>DATE(2012,12,31)-912</f>
        <v>40362</v>
      </c>
      <c r="B3264" s="15" t="s">
        <v>1939</v>
      </c>
      <c r="C3264" s="15" t="s">
        <v>85</v>
      </c>
      <c r="D3264" s="16">
        <v>2</v>
      </c>
      <c r="E3264" s="17">
        <v>3.23</v>
      </c>
      <c r="F3264" s="16">
        <v>0.06</v>
      </c>
      <c r="G3264" s="15" t="s">
        <v>32</v>
      </c>
      <c r="H3264" s="18">
        <v>-2.73</v>
      </c>
      <c r="I3264" s="19">
        <v>1.26</v>
      </c>
      <c r="J3264" s="19">
        <v>0.7</v>
      </c>
      <c r="K3264" s="19" t="s">
        <v>33</v>
      </c>
      <c r="L3264" s="19" t="s">
        <v>34</v>
      </c>
      <c r="M3264" s="15" t="s">
        <v>1915</v>
      </c>
      <c r="N3264" s="15" t="s">
        <v>36</v>
      </c>
      <c r="O3264" s="15" t="s">
        <v>105</v>
      </c>
      <c r="P3264" s="20" t="s">
        <v>316</v>
      </c>
      <c r="Q3264" s="15" t="s">
        <v>79</v>
      </c>
      <c r="R3264" s="4"/>
      <c r="S3264" s="4"/>
    </row>
    <row r="3265" spans="1:19" ht="21" customHeight="1" x14ac:dyDescent="0.25">
      <c r="A3265" s="14">
        <f>DATE(2012,12,31)-912</f>
        <v>40362</v>
      </c>
      <c r="B3265" s="15" t="s">
        <v>1939</v>
      </c>
      <c r="C3265" s="15" t="s">
        <v>85</v>
      </c>
      <c r="D3265" s="16">
        <v>36</v>
      </c>
      <c r="E3265" s="17">
        <v>2861.66</v>
      </c>
      <c r="F3265" s="16">
        <v>0.04</v>
      </c>
      <c r="G3265" s="15" t="s">
        <v>32</v>
      </c>
      <c r="H3265" s="18">
        <v>-921.68</v>
      </c>
      <c r="I3265" s="19">
        <v>80.98</v>
      </c>
      <c r="J3265" s="19">
        <v>35</v>
      </c>
      <c r="K3265" s="19" t="s">
        <v>69</v>
      </c>
      <c r="L3265" s="19" t="s">
        <v>70</v>
      </c>
      <c r="M3265" s="15" t="s">
        <v>1895</v>
      </c>
      <c r="N3265" s="15" t="s">
        <v>36</v>
      </c>
      <c r="O3265" s="15" t="s">
        <v>37</v>
      </c>
      <c r="P3265" s="20" t="s">
        <v>1383</v>
      </c>
      <c r="Q3265" s="15" t="s">
        <v>39</v>
      </c>
      <c r="R3265" s="4"/>
      <c r="S3265" s="4"/>
    </row>
    <row r="3266" spans="1:19" ht="21" customHeight="1" x14ac:dyDescent="0.25">
      <c r="A3266" s="14">
        <f>DATE(2012,12,31)-912</f>
        <v>40362</v>
      </c>
      <c r="B3266" s="15" t="s">
        <v>1939</v>
      </c>
      <c r="C3266" s="15" t="s">
        <v>85</v>
      </c>
      <c r="D3266" s="16">
        <v>7</v>
      </c>
      <c r="E3266" s="17">
        <v>373.27749999999997</v>
      </c>
      <c r="F3266" s="16">
        <v>7.0000000000000007E-2</v>
      </c>
      <c r="G3266" s="15" t="s">
        <v>32</v>
      </c>
      <c r="H3266" s="18">
        <v>-204.93</v>
      </c>
      <c r="I3266" s="19">
        <v>65.989999999999995</v>
      </c>
      <c r="J3266" s="19">
        <v>5.26</v>
      </c>
      <c r="K3266" s="19" t="s">
        <v>69</v>
      </c>
      <c r="L3266" s="19" t="s">
        <v>75</v>
      </c>
      <c r="M3266" s="15" t="s">
        <v>1980</v>
      </c>
      <c r="N3266" s="15" t="s">
        <v>64</v>
      </c>
      <c r="O3266" s="15" t="s">
        <v>65</v>
      </c>
      <c r="P3266" s="20" t="s">
        <v>488</v>
      </c>
      <c r="Q3266" s="15" t="s">
        <v>83</v>
      </c>
      <c r="R3266" s="4"/>
      <c r="S3266" s="4"/>
    </row>
    <row r="3267" spans="1:19" ht="21" customHeight="1" x14ac:dyDescent="0.25">
      <c r="A3267" s="14">
        <f>DATE(2012,12,31)-857</f>
        <v>40417</v>
      </c>
      <c r="B3267" s="15" t="s">
        <v>1020</v>
      </c>
      <c r="C3267" s="15" t="s">
        <v>85</v>
      </c>
      <c r="D3267" s="16">
        <v>45</v>
      </c>
      <c r="E3267" s="17">
        <v>852.05</v>
      </c>
      <c r="F3267" s="16">
        <v>0.1</v>
      </c>
      <c r="G3267" s="15" t="s">
        <v>32</v>
      </c>
      <c r="H3267" s="18">
        <v>-20.6</v>
      </c>
      <c r="I3267" s="19">
        <v>19.98</v>
      </c>
      <c r="J3267" s="19">
        <v>10.49</v>
      </c>
      <c r="K3267" s="19" t="s">
        <v>69</v>
      </c>
      <c r="L3267" s="19" t="s">
        <v>70</v>
      </c>
      <c r="M3267" s="15" t="s">
        <v>1895</v>
      </c>
      <c r="N3267" s="15" t="s">
        <v>54</v>
      </c>
      <c r="O3267" s="15" t="s">
        <v>55</v>
      </c>
      <c r="P3267" s="20" t="s">
        <v>889</v>
      </c>
      <c r="Q3267" s="15" t="s">
        <v>83</v>
      </c>
      <c r="R3267" s="4"/>
      <c r="S3267" s="4"/>
    </row>
    <row r="3268" spans="1:19" ht="21" customHeight="1" x14ac:dyDescent="0.25">
      <c r="A3268" s="14">
        <f>DATE(2012,12,31)-216</f>
        <v>41058</v>
      </c>
      <c r="B3268" s="15" t="s">
        <v>1030</v>
      </c>
      <c r="C3268" s="15" t="s">
        <v>31</v>
      </c>
      <c r="D3268" s="16">
        <v>46</v>
      </c>
      <c r="E3268" s="17">
        <v>241.81</v>
      </c>
      <c r="F3268" s="16">
        <v>0.02</v>
      </c>
      <c r="G3268" s="15" t="s">
        <v>32</v>
      </c>
      <c r="H3268" s="18">
        <v>-94.828999999999994</v>
      </c>
      <c r="I3268" s="19">
        <v>4.91</v>
      </c>
      <c r="J3268" s="19">
        <v>4.97</v>
      </c>
      <c r="K3268" s="19" t="s">
        <v>69</v>
      </c>
      <c r="L3268" s="19" t="s">
        <v>70</v>
      </c>
      <c r="M3268" s="15" t="s">
        <v>1895</v>
      </c>
      <c r="N3268" s="15" t="s">
        <v>36</v>
      </c>
      <c r="O3268" s="15" t="s">
        <v>170</v>
      </c>
      <c r="P3268" s="20" t="s">
        <v>2003</v>
      </c>
      <c r="Q3268" s="15" t="s">
        <v>83</v>
      </c>
      <c r="R3268" s="4"/>
      <c r="S3268" s="4"/>
    </row>
    <row r="3269" spans="1:19" ht="21" customHeight="1" x14ac:dyDescent="0.25">
      <c r="A3269" s="14">
        <f>DATE(2012,12,31)-773</f>
        <v>40501</v>
      </c>
      <c r="B3269" s="15" t="s">
        <v>1762</v>
      </c>
      <c r="C3269" s="15" t="s">
        <v>43</v>
      </c>
      <c r="D3269" s="16">
        <v>12</v>
      </c>
      <c r="E3269" s="17">
        <v>136.1</v>
      </c>
      <c r="F3269" s="16">
        <v>0.06</v>
      </c>
      <c r="G3269" s="15" t="s">
        <v>32</v>
      </c>
      <c r="H3269" s="18">
        <v>-3.78</v>
      </c>
      <c r="I3269" s="19">
        <v>10.52</v>
      </c>
      <c r="J3269" s="19">
        <v>7.94</v>
      </c>
      <c r="K3269" s="19" t="s">
        <v>69</v>
      </c>
      <c r="L3269" s="19" t="s">
        <v>70</v>
      </c>
      <c r="M3269" s="15" t="s">
        <v>1895</v>
      </c>
      <c r="N3269" s="15" t="s">
        <v>54</v>
      </c>
      <c r="O3269" s="15" t="s">
        <v>55</v>
      </c>
      <c r="P3269" s="20" t="s">
        <v>1953</v>
      </c>
      <c r="Q3269" s="15" t="s">
        <v>49</v>
      </c>
      <c r="R3269" s="4"/>
      <c r="S3269" s="4"/>
    </row>
    <row r="3270" spans="1:19" ht="21" customHeight="1" x14ac:dyDescent="0.25">
      <c r="A3270" s="14">
        <f>DATE(2012,12,31)-773</f>
        <v>40501</v>
      </c>
      <c r="B3270" s="15" t="s">
        <v>1762</v>
      </c>
      <c r="C3270" s="15" t="s">
        <v>43</v>
      </c>
      <c r="D3270" s="16">
        <v>5</v>
      </c>
      <c r="E3270" s="17">
        <v>297.85000000000002</v>
      </c>
      <c r="F3270" s="16">
        <v>0.04</v>
      </c>
      <c r="G3270" s="15" t="s">
        <v>32</v>
      </c>
      <c r="H3270" s="18">
        <v>-69.89</v>
      </c>
      <c r="I3270" s="19">
        <v>54.1</v>
      </c>
      <c r="J3270" s="19">
        <v>19.989999999999998</v>
      </c>
      <c r="K3270" s="19" t="s">
        <v>69</v>
      </c>
      <c r="L3270" s="19" t="s">
        <v>70</v>
      </c>
      <c r="M3270" s="15" t="s">
        <v>1895</v>
      </c>
      <c r="N3270" s="15" t="s">
        <v>36</v>
      </c>
      <c r="O3270" s="15" t="s">
        <v>37</v>
      </c>
      <c r="P3270" s="20" t="s">
        <v>2037</v>
      </c>
      <c r="Q3270" s="15" t="s">
        <v>83</v>
      </c>
      <c r="R3270" s="4"/>
      <c r="S3270" s="4"/>
    </row>
    <row r="3271" spans="1:19" ht="21" customHeight="1" x14ac:dyDescent="0.25">
      <c r="A3271" s="14">
        <f>DATE(2012,12,31)-1233</f>
        <v>40041</v>
      </c>
      <c r="B3271" s="15" t="s">
        <v>1692</v>
      </c>
      <c r="C3271" s="15" t="s">
        <v>85</v>
      </c>
      <c r="D3271" s="16">
        <v>24</v>
      </c>
      <c r="E3271" s="17">
        <v>4276.0960000000005</v>
      </c>
      <c r="F3271" s="16">
        <v>0</v>
      </c>
      <c r="G3271" s="15" t="s">
        <v>32</v>
      </c>
      <c r="H3271" s="18">
        <v>-505.98447900000014</v>
      </c>
      <c r="I3271" s="19">
        <v>209.37</v>
      </c>
      <c r="J3271" s="19">
        <v>69</v>
      </c>
      <c r="K3271" s="19" t="s">
        <v>69</v>
      </c>
      <c r="L3271" s="19" t="s">
        <v>70</v>
      </c>
      <c r="M3271" s="15" t="s">
        <v>1895</v>
      </c>
      <c r="N3271" s="15" t="s">
        <v>54</v>
      </c>
      <c r="O3271" s="15" t="s">
        <v>61</v>
      </c>
      <c r="P3271" s="20" t="s">
        <v>1131</v>
      </c>
      <c r="Q3271" s="15" t="s">
        <v>39</v>
      </c>
      <c r="R3271" s="4"/>
      <c r="S3271" s="4"/>
    </row>
    <row r="3272" spans="1:19" ht="21" customHeight="1" x14ac:dyDescent="0.25">
      <c r="A3272" s="14">
        <f>DATE(2012,12,31)-977</f>
        <v>40297</v>
      </c>
      <c r="B3272" s="15" t="s">
        <v>322</v>
      </c>
      <c r="C3272" s="15" t="s">
        <v>51</v>
      </c>
      <c r="D3272" s="16">
        <v>45</v>
      </c>
      <c r="E3272" s="17">
        <v>101.57</v>
      </c>
      <c r="F3272" s="16">
        <v>0.01</v>
      </c>
      <c r="G3272" s="15" t="s">
        <v>32</v>
      </c>
      <c r="H3272" s="18">
        <v>-5.9915000000000003</v>
      </c>
      <c r="I3272" s="19">
        <v>2.08</v>
      </c>
      <c r="J3272" s="19">
        <v>1.49</v>
      </c>
      <c r="K3272" s="19" t="s">
        <v>69</v>
      </c>
      <c r="L3272" s="19" t="s">
        <v>75</v>
      </c>
      <c r="M3272" s="15" t="s">
        <v>1980</v>
      </c>
      <c r="N3272" s="15" t="s">
        <v>36</v>
      </c>
      <c r="O3272" s="15" t="s">
        <v>170</v>
      </c>
      <c r="P3272" s="20" t="s">
        <v>1907</v>
      </c>
      <c r="Q3272" s="15" t="s">
        <v>83</v>
      </c>
      <c r="R3272" s="4"/>
      <c r="S3272" s="4"/>
    </row>
    <row r="3273" spans="1:19" ht="21" customHeight="1" x14ac:dyDescent="0.25">
      <c r="A3273" s="14">
        <f>DATE(2012,12,31)-65</f>
        <v>41209</v>
      </c>
      <c r="B3273" s="15" t="s">
        <v>1854</v>
      </c>
      <c r="C3273" s="15" t="s">
        <v>85</v>
      </c>
      <c r="D3273" s="16">
        <v>31</v>
      </c>
      <c r="E3273" s="17">
        <v>1296.46</v>
      </c>
      <c r="F3273" s="16">
        <v>0.01</v>
      </c>
      <c r="G3273" s="15" t="s">
        <v>32</v>
      </c>
      <c r="H3273" s="18">
        <v>376.47</v>
      </c>
      <c r="I3273" s="19">
        <v>39.479999999999997</v>
      </c>
      <c r="J3273" s="19">
        <v>1.99</v>
      </c>
      <c r="K3273" s="19" t="s">
        <v>69</v>
      </c>
      <c r="L3273" s="19" t="s">
        <v>70</v>
      </c>
      <c r="M3273" s="15" t="s">
        <v>1895</v>
      </c>
      <c r="N3273" s="15" t="s">
        <v>64</v>
      </c>
      <c r="O3273" s="15" t="s">
        <v>72</v>
      </c>
      <c r="P3273" s="20" t="s">
        <v>218</v>
      </c>
      <c r="Q3273" s="15" t="s">
        <v>49</v>
      </c>
      <c r="R3273" s="4"/>
      <c r="S3273" s="4"/>
    </row>
    <row r="3274" spans="1:19" ht="21" customHeight="1" x14ac:dyDescent="0.25">
      <c r="A3274" s="14">
        <f>DATE(2012,12,31)-927</f>
        <v>40347</v>
      </c>
      <c r="B3274" s="15" t="s">
        <v>648</v>
      </c>
      <c r="C3274" s="15" t="s">
        <v>31</v>
      </c>
      <c r="D3274" s="16">
        <v>30</v>
      </c>
      <c r="E3274" s="17">
        <v>11481.03</v>
      </c>
      <c r="F3274" s="16">
        <v>0.08</v>
      </c>
      <c r="G3274" s="15" t="s">
        <v>58</v>
      </c>
      <c r="H3274" s="18">
        <v>2799.65</v>
      </c>
      <c r="I3274" s="19">
        <v>399.98</v>
      </c>
      <c r="J3274" s="19">
        <v>12.06</v>
      </c>
      <c r="K3274" s="19" t="s">
        <v>69</v>
      </c>
      <c r="L3274" s="19" t="s">
        <v>70</v>
      </c>
      <c r="M3274" s="15" t="s">
        <v>1895</v>
      </c>
      <c r="N3274" s="15" t="s">
        <v>64</v>
      </c>
      <c r="O3274" s="15" t="s">
        <v>122</v>
      </c>
      <c r="P3274" s="20" t="s">
        <v>561</v>
      </c>
      <c r="Q3274" s="15" t="s">
        <v>63</v>
      </c>
      <c r="R3274" s="4"/>
      <c r="S3274" s="4"/>
    </row>
    <row r="3275" spans="1:19" ht="21" customHeight="1" x14ac:dyDescent="0.25">
      <c r="A3275" s="14">
        <f>DATE(2012,12,31)-1389</f>
        <v>39885</v>
      </c>
      <c r="B3275" s="15" t="s">
        <v>629</v>
      </c>
      <c r="C3275" s="15" t="s">
        <v>85</v>
      </c>
      <c r="D3275" s="16">
        <v>19</v>
      </c>
      <c r="E3275" s="17">
        <v>123.1</v>
      </c>
      <c r="F3275" s="16">
        <v>0.06</v>
      </c>
      <c r="G3275" s="15" t="s">
        <v>32</v>
      </c>
      <c r="H3275" s="18">
        <v>-75.44</v>
      </c>
      <c r="I3275" s="19">
        <v>6.48</v>
      </c>
      <c r="J3275" s="19">
        <v>7.37</v>
      </c>
      <c r="K3275" s="19" t="s">
        <v>69</v>
      </c>
      <c r="L3275" s="19" t="s">
        <v>70</v>
      </c>
      <c r="M3275" s="15" t="s">
        <v>1895</v>
      </c>
      <c r="N3275" s="15" t="s">
        <v>36</v>
      </c>
      <c r="O3275" s="15" t="s">
        <v>117</v>
      </c>
      <c r="P3275" s="20" t="s">
        <v>998</v>
      </c>
      <c r="Q3275" s="15" t="s">
        <v>83</v>
      </c>
      <c r="R3275" s="4"/>
      <c r="S3275" s="4"/>
    </row>
    <row r="3276" spans="1:19" ht="21" customHeight="1" x14ac:dyDescent="0.25">
      <c r="A3276" s="14">
        <f>DATE(2012,12,31)-733</f>
        <v>40541</v>
      </c>
      <c r="B3276" s="15" t="s">
        <v>1020</v>
      </c>
      <c r="C3276" s="15" t="s">
        <v>51</v>
      </c>
      <c r="D3276" s="16">
        <v>14</v>
      </c>
      <c r="E3276" s="17">
        <v>209.3</v>
      </c>
      <c r="F3276" s="16">
        <v>0.01</v>
      </c>
      <c r="G3276" s="15" t="s">
        <v>101</v>
      </c>
      <c r="H3276" s="18">
        <v>7.86</v>
      </c>
      <c r="I3276" s="19">
        <v>13.48</v>
      </c>
      <c r="J3276" s="19">
        <v>4.51</v>
      </c>
      <c r="K3276" s="19" t="s">
        <v>69</v>
      </c>
      <c r="L3276" s="19" t="s">
        <v>75</v>
      </c>
      <c r="M3276" s="15" t="s">
        <v>1980</v>
      </c>
      <c r="N3276" s="15" t="s">
        <v>36</v>
      </c>
      <c r="O3276" s="15" t="s">
        <v>37</v>
      </c>
      <c r="P3276" s="20" t="s">
        <v>515</v>
      </c>
      <c r="Q3276" s="15" t="s">
        <v>83</v>
      </c>
      <c r="R3276" s="4"/>
      <c r="S3276" s="4"/>
    </row>
    <row r="3277" spans="1:19" ht="21" customHeight="1" x14ac:dyDescent="0.25">
      <c r="A3277" s="14">
        <f>DATE(2012,12,31)-684</f>
        <v>40590</v>
      </c>
      <c r="B3277" s="15" t="s">
        <v>1207</v>
      </c>
      <c r="C3277" s="15" t="s">
        <v>85</v>
      </c>
      <c r="D3277" s="16">
        <v>45</v>
      </c>
      <c r="E3277" s="17">
        <v>1009.8</v>
      </c>
      <c r="F3277" s="16">
        <v>7.0000000000000007E-2</v>
      </c>
      <c r="G3277" s="15" t="s">
        <v>32</v>
      </c>
      <c r="H3277" s="18">
        <v>352.64</v>
      </c>
      <c r="I3277" s="19">
        <v>22.98</v>
      </c>
      <c r="J3277" s="19">
        <v>1.99</v>
      </c>
      <c r="K3277" s="19" t="s">
        <v>69</v>
      </c>
      <c r="L3277" s="19" t="s">
        <v>75</v>
      </c>
      <c r="M3277" s="15" t="s">
        <v>1980</v>
      </c>
      <c r="N3277" s="15" t="s">
        <v>64</v>
      </c>
      <c r="O3277" s="15" t="s">
        <v>72</v>
      </c>
      <c r="P3277" s="20" t="s">
        <v>551</v>
      </c>
      <c r="Q3277" s="15" t="s">
        <v>49</v>
      </c>
      <c r="R3277" s="4"/>
      <c r="S3277" s="4"/>
    </row>
    <row r="3278" spans="1:19" ht="21" customHeight="1" x14ac:dyDescent="0.25">
      <c r="A3278" s="14">
        <f>DATE(2012,12,31)-684</f>
        <v>40590</v>
      </c>
      <c r="B3278" s="15" t="s">
        <v>1207</v>
      </c>
      <c r="C3278" s="15" t="s">
        <v>85</v>
      </c>
      <c r="D3278" s="16">
        <v>12</v>
      </c>
      <c r="E3278" s="17">
        <v>29.71</v>
      </c>
      <c r="F3278" s="16">
        <v>0.09</v>
      </c>
      <c r="G3278" s="15" t="s">
        <v>32</v>
      </c>
      <c r="H3278" s="18">
        <v>-23.17</v>
      </c>
      <c r="I3278" s="19">
        <v>2.52</v>
      </c>
      <c r="J3278" s="19">
        <v>1.92</v>
      </c>
      <c r="K3278" s="19" t="s">
        <v>69</v>
      </c>
      <c r="L3278" s="19" t="s">
        <v>215</v>
      </c>
      <c r="M3278" s="15" t="s">
        <v>2038</v>
      </c>
      <c r="N3278" s="15" t="s">
        <v>36</v>
      </c>
      <c r="O3278" s="15" t="s">
        <v>47</v>
      </c>
      <c r="P3278" s="20" t="s">
        <v>999</v>
      </c>
      <c r="Q3278" s="15" t="s">
        <v>79</v>
      </c>
      <c r="R3278" s="4"/>
      <c r="S3278" s="4"/>
    </row>
    <row r="3279" spans="1:19" ht="21" customHeight="1" x14ac:dyDescent="0.25">
      <c r="A3279" s="14">
        <f>DATE(2012,12,31)-511</f>
        <v>40763</v>
      </c>
      <c r="B3279" s="15" t="s">
        <v>659</v>
      </c>
      <c r="C3279" s="15" t="s">
        <v>31</v>
      </c>
      <c r="D3279" s="16">
        <v>30</v>
      </c>
      <c r="E3279" s="17">
        <v>442.76</v>
      </c>
      <c r="F3279" s="16">
        <v>0.09</v>
      </c>
      <c r="G3279" s="15" t="s">
        <v>32</v>
      </c>
      <c r="H3279" s="18">
        <v>-17.112000000000002</v>
      </c>
      <c r="I3279" s="19">
        <v>15.01</v>
      </c>
      <c r="J3279" s="19">
        <v>8.4</v>
      </c>
      <c r="K3279" s="19" t="s">
        <v>69</v>
      </c>
      <c r="L3279" s="19" t="s">
        <v>215</v>
      </c>
      <c r="M3279" s="15" t="s">
        <v>2038</v>
      </c>
      <c r="N3279" s="15" t="s">
        <v>36</v>
      </c>
      <c r="O3279" s="15" t="s">
        <v>170</v>
      </c>
      <c r="P3279" s="20" t="s">
        <v>1304</v>
      </c>
      <c r="Q3279" s="15" t="s">
        <v>83</v>
      </c>
      <c r="R3279" s="4"/>
      <c r="S3279" s="4"/>
    </row>
    <row r="3280" spans="1:19" ht="21" customHeight="1" x14ac:dyDescent="0.25">
      <c r="A3280" s="14">
        <f>DATE(2012,12,31)-511</f>
        <v>40763</v>
      </c>
      <c r="B3280" s="15" t="s">
        <v>659</v>
      </c>
      <c r="C3280" s="15" t="s">
        <v>31</v>
      </c>
      <c r="D3280" s="16">
        <v>22</v>
      </c>
      <c r="E3280" s="17">
        <v>2684.98</v>
      </c>
      <c r="F3280" s="16">
        <v>0.03</v>
      </c>
      <c r="G3280" s="15" t="s">
        <v>32</v>
      </c>
      <c r="H3280" s="18">
        <v>1115.1405</v>
      </c>
      <c r="I3280" s="19">
        <v>120.98</v>
      </c>
      <c r="J3280" s="19">
        <v>9.07</v>
      </c>
      <c r="K3280" s="19" t="s">
        <v>69</v>
      </c>
      <c r="L3280" s="19" t="s">
        <v>215</v>
      </c>
      <c r="M3280" s="15" t="s">
        <v>2038</v>
      </c>
      <c r="N3280" s="15" t="s">
        <v>36</v>
      </c>
      <c r="O3280" s="15" t="s">
        <v>170</v>
      </c>
      <c r="P3280" s="20" t="s">
        <v>1445</v>
      </c>
      <c r="Q3280" s="15" t="s">
        <v>83</v>
      </c>
      <c r="R3280" s="4"/>
      <c r="S3280" s="4"/>
    </row>
    <row r="3281" spans="1:19" ht="21" customHeight="1" x14ac:dyDescent="0.25">
      <c r="A3281" s="14">
        <f>DATE(2012,12,31)-64</f>
        <v>41210</v>
      </c>
      <c r="B3281" s="15" t="s">
        <v>1173</v>
      </c>
      <c r="C3281" s="15" t="s">
        <v>51</v>
      </c>
      <c r="D3281" s="16">
        <v>41</v>
      </c>
      <c r="E3281" s="17">
        <v>980.95</v>
      </c>
      <c r="F3281" s="16">
        <v>0.02</v>
      </c>
      <c r="G3281" s="15" t="s">
        <v>32</v>
      </c>
      <c r="H3281" s="18">
        <v>234.68</v>
      </c>
      <c r="I3281" s="19">
        <v>22.84</v>
      </c>
      <c r="J3281" s="19">
        <v>8.18</v>
      </c>
      <c r="K3281" s="19" t="s">
        <v>69</v>
      </c>
      <c r="L3281" s="19" t="s">
        <v>215</v>
      </c>
      <c r="M3281" s="15" t="s">
        <v>2038</v>
      </c>
      <c r="N3281" s="15" t="s">
        <v>36</v>
      </c>
      <c r="O3281" s="15" t="s">
        <v>117</v>
      </c>
      <c r="P3281" s="20" t="s">
        <v>1489</v>
      </c>
      <c r="Q3281" s="15" t="s">
        <v>83</v>
      </c>
      <c r="R3281" s="4"/>
      <c r="S3281" s="4"/>
    </row>
    <row r="3282" spans="1:19" ht="21" customHeight="1" x14ac:dyDescent="0.25">
      <c r="A3282" s="14">
        <f>DATE(2012,12,31)-1383</f>
        <v>39891</v>
      </c>
      <c r="B3282" s="15" t="s">
        <v>1058</v>
      </c>
      <c r="C3282" s="15" t="s">
        <v>85</v>
      </c>
      <c r="D3282" s="16">
        <v>28</v>
      </c>
      <c r="E3282" s="17">
        <v>154.61000000000001</v>
      </c>
      <c r="F3282" s="16">
        <v>0.06</v>
      </c>
      <c r="G3282" s="15" t="s">
        <v>32</v>
      </c>
      <c r="H3282" s="18">
        <v>-82.822999999999993</v>
      </c>
      <c r="I3282" s="19">
        <v>5.34</v>
      </c>
      <c r="J3282" s="19">
        <v>5.63</v>
      </c>
      <c r="K3282" s="19" t="s">
        <v>111</v>
      </c>
      <c r="L3282" s="19" t="s">
        <v>407</v>
      </c>
      <c r="M3282" s="15" t="s">
        <v>407</v>
      </c>
      <c r="N3282" s="15" t="s">
        <v>36</v>
      </c>
      <c r="O3282" s="15" t="s">
        <v>170</v>
      </c>
      <c r="P3282" s="20" t="s">
        <v>943</v>
      </c>
      <c r="Q3282" s="15" t="s">
        <v>83</v>
      </c>
      <c r="R3282" s="4"/>
      <c r="S3282" s="4"/>
    </row>
    <row r="3283" spans="1:19" ht="21" customHeight="1" x14ac:dyDescent="0.25">
      <c r="A3283" s="14">
        <f>DATE(2012,12,31)-1383</f>
        <v>39891</v>
      </c>
      <c r="B3283" s="15" t="s">
        <v>1058</v>
      </c>
      <c r="C3283" s="15" t="s">
        <v>85</v>
      </c>
      <c r="D3283" s="16">
        <v>19</v>
      </c>
      <c r="E3283" s="17">
        <v>1063.3499999999999</v>
      </c>
      <c r="F3283" s="16">
        <v>7.0000000000000007E-2</v>
      </c>
      <c r="G3283" s="15" t="s">
        <v>101</v>
      </c>
      <c r="H3283" s="18">
        <v>107.08200000000001</v>
      </c>
      <c r="I3283" s="19">
        <v>65.989999999999995</v>
      </c>
      <c r="J3283" s="19">
        <v>5.26</v>
      </c>
      <c r="K3283" s="19" t="s">
        <v>111</v>
      </c>
      <c r="L3283" s="19" t="s">
        <v>112</v>
      </c>
      <c r="M3283" s="15" t="s">
        <v>2023</v>
      </c>
      <c r="N3283" s="15" t="s">
        <v>64</v>
      </c>
      <c r="O3283" s="15" t="s">
        <v>65</v>
      </c>
      <c r="P3283" s="20" t="s">
        <v>488</v>
      </c>
      <c r="Q3283" s="15" t="s">
        <v>83</v>
      </c>
      <c r="R3283" s="4"/>
      <c r="S3283" s="4"/>
    </row>
    <row r="3284" spans="1:19" ht="21" customHeight="1" x14ac:dyDescent="0.25">
      <c r="A3284" s="14">
        <f>DATE(2012,12,31)-1455</f>
        <v>39819</v>
      </c>
      <c r="B3284" s="15" t="s">
        <v>704</v>
      </c>
      <c r="C3284" s="15" t="s">
        <v>51</v>
      </c>
      <c r="D3284" s="16">
        <v>29</v>
      </c>
      <c r="E3284" s="17">
        <v>101.77</v>
      </c>
      <c r="F3284" s="16">
        <v>0.03</v>
      </c>
      <c r="G3284" s="15" t="s">
        <v>32</v>
      </c>
      <c r="H3284" s="18">
        <v>-73.19</v>
      </c>
      <c r="I3284" s="19">
        <v>3.28</v>
      </c>
      <c r="J3284" s="19">
        <v>3.97</v>
      </c>
      <c r="K3284" s="19" t="s">
        <v>111</v>
      </c>
      <c r="L3284" s="19" t="s">
        <v>112</v>
      </c>
      <c r="M3284" s="15" t="s">
        <v>2023</v>
      </c>
      <c r="N3284" s="15" t="s">
        <v>36</v>
      </c>
      <c r="O3284" s="15" t="s">
        <v>77</v>
      </c>
      <c r="P3284" s="20" t="s">
        <v>1663</v>
      </c>
      <c r="Q3284" s="15" t="s">
        <v>79</v>
      </c>
      <c r="R3284" s="4"/>
      <c r="S3284" s="4"/>
    </row>
    <row r="3285" spans="1:19" ht="21" customHeight="1" x14ac:dyDescent="0.25">
      <c r="A3285" s="14">
        <f>DATE(2012,12,31)-1455</f>
        <v>39819</v>
      </c>
      <c r="B3285" s="15" t="s">
        <v>1402</v>
      </c>
      <c r="C3285" s="15" t="s">
        <v>85</v>
      </c>
      <c r="D3285" s="16">
        <v>30</v>
      </c>
      <c r="E3285" s="17">
        <v>26133.39</v>
      </c>
      <c r="F3285" s="16">
        <v>0.04</v>
      </c>
      <c r="G3285" s="15" t="s">
        <v>58</v>
      </c>
      <c r="H3285" s="18">
        <v>-11053.6</v>
      </c>
      <c r="I3285" s="19">
        <v>880.98</v>
      </c>
      <c r="J3285" s="19">
        <v>44.55</v>
      </c>
      <c r="K3285" s="19" t="s">
        <v>111</v>
      </c>
      <c r="L3285" s="19" t="s">
        <v>442</v>
      </c>
      <c r="M3285" s="15" t="s">
        <v>2010</v>
      </c>
      <c r="N3285" s="15" t="s">
        <v>54</v>
      </c>
      <c r="O3285" s="15" t="s">
        <v>134</v>
      </c>
      <c r="P3285" s="20" t="s">
        <v>668</v>
      </c>
      <c r="Q3285" s="15" t="s">
        <v>63</v>
      </c>
      <c r="R3285" s="4"/>
      <c r="S3285" s="4"/>
    </row>
    <row r="3286" spans="1:19" ht="21" customHeight="1" x14ac:dyDescent="0.25">
      <c r="A3286" s="14">
        <f>DATE(2012,12,31)-125</f>
        <v>41149</v>
      </c>
      <c r="B3286" s="15" t="s">
        <v>439</v>
      </c>
      <c r="C3286" s="15" t="s">
        <v>51</v>
      </c>
      <c r="D3286" s="16">
        <v>42</v>
      </c>
      <c r="E3286" s="17">
        <v>2004.6</v>
      </c>
      <c r="F3286" s="16">
        <v>0.02</v>
      </c>
      <c r="G3286" s="15" t="s">
        <v>101</v>
      </c>
      <c r="H3286" s="18">
        <v>230.3</v>
      </c>
      <c r="I3286" s="19">
        <v>47.98</v>
      </c>
      <c r="J3286" s="19">
        <v>3.61</v>
      </c>
      <c r="K3286" s="19" t="s">
        <v>111</v>
      </c>
      <c r="L3286" s="19" t="s">
        <v>442</v>
      </c>
      <c r="M3286" s="15" t="s">
        <v>2010</v>
      </c>
      <c r="N3286" s="15" t="s">
        <v>64</v>
      </c>
      <c r="O3286" s="15" t="s">
        <v>72</v>
      </c>
      <c r="P3286" s="20" t="s">
        <v>338</v>
      </c>
      <c r="Q3286" s="15" t="s">
        <v>49</v>
      </c>
      <c r="R3286" s="4"/>
      <c r="S3286" s="4"/>
    </row>
    <row r="3287" spans="1:19" ht="21" customHeight="1" x14ac:dyDescent="0.25">
      <c r="A3287" s="14">
        <f>DATE(2012,12,31)-630</f>
        <v>40644</v>
      </c>
      <c r="B3287" s="15" t="s">
        <v>1173</v>
      </c>
      <c r="C3287" s="15" t="s">
        <v>85</v>
      </c>
      <c r="D3287" s="16">
        <v>8</v>
      </c>
      <c r="E3287" s="17">
        <v>180.43</v>
      </c>
      <c r="F3287" s="16">
        <v>0.02</v>
      </c>
      <c r="G3287" s="15" t="s">
        <v>32</v>
      </c>
      <c r="H3287" s="18">
        <v>-44.86</v>
      </c>
      <c r="I3287" s="19">
        <v>19.989999999999998</v>
      </c>
      <c r="J3287" s="19">
        <v>11.17</v>
      </c>
      <c r="K3287" s="19" t="s">
        <v>44</v>
      </c>
      <c r="L3287" s="19" t="s">
        <v>120</v>
      </c>
      <c r="M3287" s="15" t="s">
        <v>2025</v>
      </c>
      <c r="N3287" s="15" t="s">
        <v>54</v>
      </c>
      <c r="O3287" s="15" t="s">
        <v>55</v>
      </c>
      <c r="P3287" s="20" t="s">
        <v>1902</v>
      </c>
      <c r="Q3287" s="15" t="s">
        <v>39</v>
      </c>
      <c r="R3287" s="4"/>
      <c r="S3287" s="4"/>
    </row>
    <row r="3288" spans="1:19" ht="21" customHeight="1" x14ac:dyDescent="0.25">
      <c r="A3288" s="14">
        <f>DATE(2012,12,31)-630</f>
        <v>40644</v>
      </c>
      <c r="B3288" s="15" t="s">
        <v>1173</v>
      </c>
      <c r="C3288" s="15" t="s">
        <v>85</v>
      </c>
      <c r="D3288" s="16">
        <v>20</v>
      </c>
      <c r="E3288" s="17">
        <v>1077.8084999999999</v>
      </c>
      <c r="F3288" s="16">
        <v>0.06</v>
      </c>
      <c r="G3288" s="15" t="s">
        <v>101</v>
      </c>
      <c r="H3288" s="18">
        <v>17.253</v>
      </c>
      <c r="I3288" s="19">
        <v>65.989999999999995</v>
      </c>
      <c r="J3288" s="19">
        <v>8.99</v>
      </c>
      <c r="K3288" s="19" t="s">
        <v>44</v>
      </c>
      <c r="L3288" s="19" t="s">
        <v>45</v>
      </c>
      <c r="M3288" s="15" t="s">
        <v>1985</v>
      </c>
      <c r="N3288" s="15" t="s">
        <v>64</v>
      </c>
      <c r="O3288" s="15" t="s">
        <v>65</v>
      </c>
      <c r="P3288" s="20" t="s">
        <v>692</v>
      </c>
      <c r="Q3288" s="15" t="s">
        <v>83</v>
      </c>
      <c r="R3288" s="4"/>
      <c r="S3288" s="4"/>
    </row>
    <row r="3289" spans="1:19" ht="21" customHeight="1" x14ac:dyDescent="0.25">
      <c r="A3289" s="14">
        <f>DATE(2012,12,31)-630</f>
        <v>40644</v>
      </c>
      <c r="B3289" s="15" t="s">
        <v>1173</v>
      </c>
      <c r="C3289" s="15" t="s">
        <v>85</v>
      </c>
      <c r="D3289" s="16">
        <v>19</v>
      </c>
      <c r="E3289" s="17">
        <v>2899.98</v>
      </c>
      <c r="F3289" s="16">
        <v>0.1</v>
      </c>
      <c r="G3289" s="15" t="s">
        <v>32</v>
      </c>
      <c r="H3289" s="18">
        <v>666.01</v>
      </c>
      <c r="I3289" s="19">
        <v>159.99</v>
      </c>
      <c r="J3289" s="19">
        <v>5.5</v>
      </c>
      <c r="K3289" s="19" t="s">
        <v>44</v>
      </c>
      <c r="L3289" s="19" t="s">
        <v>89</v>
      </c>
      <c r="M3289" s="15" t="s">
        <v>1932</v>
      </c>
      <c r="N3289" s="15" t="s">
        <v>64</v>
      </c>
      <c r="O3289" s="15" t="s">
        <v>72</v>
      </c>
      <c r="P3289" s="20" t="s">
        <v>1225</v>
      </c>
      <c r="Q3289" s="15" t="s">
        <v>83</v>
      </c>
      <c r="R3289" s="4"/>
      <c r="S3289" s="4"/>
    </row>
    <row r="3290" spans="1:19" ht="21" customHeight="1" x14ac:dyDescent="0.25">
      <c r="A3290" s="14">
        <f>DATE(2012,12,31)-630</f>
        <v>40644</v>
      </c>
      <c r="B3290" s="15" t="s">
        <v>1173</v>
      </c>
      <c r="C3290" s="15" t="s">
        <v>85</v>
      </c>
      <c r="D3290" s="16">
        <v>36</v>
      </c>
      <c r="E3290" s="17">
        <v>233.38</v>
      </c>
      <c r="F3290" s="16">
        <v>0.1</v>
      </c>
      <c r="G3290" s="15" t="s">
        <v>32</v>
      </c>
      <c r="H3290" s="18">
        <v>-180.17</v>
      </c>
      <c r="I3290" s="19">
        <v>6.48</v>
      </c>
      <c r="J3290" s="19">
        <v>8.73</v>
      </c>
      <c r="K3290" s="19" t="s">
        <v>44</v>
      </c>
      <c r="L3290" s="19" t="s">
        <v>45</v>
      </c>
      <c r="M3290" s="15" t="s">
        <v>1985</v>
      </c>
      <c r="N3290" s="15" t="s">
        <v>36</v>
      </c>
      <c r="O3290" s="15" t="s">
        <v>117</v>
      </c>
      <c r="P3290" s="20" t="s">
        <v>880</v>
      </c>
      <c r="Q3290" s="15" t="s">
        <v>83</v>
      </c>
      <c r="R3290" s="4"/>
      <c r="S3290" s="4"/>
    </row>
    <row r="3291" spans="1:19" ht="21" customHeight="1" x14ac:dyDescent="0.25">
      <c r="A3291" s="14">
        <f>DATE(2012,12,31)-1343</f>
        <v>39931</v>
      </c>
      <c r="B3291" s="15" t="s">
        <v>562</v>
      </c>
      <c r="C3291" s="15" t="s">
        <v>51</v>
      </c>
      <c r="D3291" s="16">
        <v>28</v>
      </c>
      <c r="E3291" s="17">
        <v>129.33000000000001</v>
      </c>
      <c r="F3291" s="16">
        <v>0.04</v>
      </c>
      <c r="G3291" s="15" t="s">
        <v>101</v>
      </c>
      <c r="H3291" s="18">
        <v>48.25</v>
      </c>
      <c r="I3291" s="19">
        <v>4.13</v>
      </c>
      <c r="J3291" s="19">
        <v>0.99</v>
      </c>
      <c r="K3291" s="19" t="s">
        <v>44</v>
      </c>
      <c r="L3291" s="19" t="s">
        <v>80</v>
      </c>
      <c r="M3291" s="15" t="s">
        <v>2012</v>
      </c>
      <c r="N3291" s="15" t="s">
        <v>36</v>
      </c>
      <c r="O3291" s="15" t="s">
        <v>114</v>
      </c>
      <c r="P3291" s="20" t="s">
        <v>926</v>
      </c>
      <c r="Q3291" s="15" t="s">
        <v>83</v>
      </c>
      <c r="R3291" s="4"/>
      <c r="S3291" s="4"/>
    </row>
    <row r="3292" spans="1:19" ht="21" customHeight="1" x14ac:dyDescent="0.25">
      <c r="A3292" s="14">
        <f>DATE(2012,12,31)-1343</f>
        <v>39931</v>
      </c>
      <c r="B3292" s="15" t="s">
        <v>562</v>
      </c>
      <c r="C3292" s="15" t="s">
        <v>51</v>
      </c>
      <c r="D3292" s="16">
        <v>46</v>
      </c>
      <c r="E3292" s="17">
        <v>2461.23</v>
      </c>
      <c r="F3292" s="16">
        <v>0.06</v>
      </c>
      <c r="G3292" s="15" t="s">
        <v>32</v>
      </c>
      <c r="H3292" s="18">
        <v>748.2</v>
      </c>
      <c r="I3292" s="19">
        <v>55.48</v>
      </c>
      <c r="J3292" s="19">
        <v>14.3</v>
      </c>
      <c r="K3292" s="19" t="s">
        <v>44</v>
      </c>
      <c r="L3292" s="19" t="s">
        <v>45</v>
      </c>
      <c r="M3292" s="15" t="s">
        <v>1985</v>
      </c>
      <c r="N3292" s="15" t="s">
        <v>36</v>
      </c>
      <c r="O3292" s="15" t="s">
        <v>117</v>
      </c>
      <c r="P3292" s="20" t="s">
        <v>402</v>
      </c>
      <c r="Q3292" s="15" t="s">
        <v>83</v>
      </c>
      <c r="R3292" s="4"/>
      <c r="S3292" s="4"/>
    </row>
    <row r="3293" spans="1:19" ht="21" customHeight="1" x14ac:dyDescent="0.25">
      <c r="A3293" s="14">
        <f>DATE(2012,12,31)-20</f>
        <v>41254</v>
      </c>
      <c r="B3293" s="15" t="s">
        <v>643</v>
      </c>
      <c r="C3293" s="15" t="s">
        <v>51</v>
      </c>
      <c r="D3293" s="16">
        <v>29</v>
      </c>
      <c r="E3293" s="17">
        <v>104.7</v>
      </c>
      <c r="F3293" s="16">
        <v>0.09</v>
      </c>
      <c r="G3293" s="15" t="s">
        <v>32</v>
      </c>
      <c r="H3293" s="18">
        <v>42.16</v>
      </c>
      <c r="I3293" s="19">
        <v>3.69</v>
      </c>
      <c r="J3293" s="19">
        <v>0.5</v>
      </c>
      <c r="K3293" s="19" t="s">
        <v>44</v>
      </c>
      <c r="L3293" s="19" t="s">
        <v>89</v>
      </c>
      <c r="M3293" s="15" t="s">
        <v>1932</v>
      </c>
      <c r="N3293" s="15" t="s">
        <v>36</v>
      </c>
      <c r="O3293" s="15" t="s">
        <v>114</v>
      </c>
      <c r="P3293" s="20" t="s">
        <v>453</v>
      </c>
      <c r="Q3293" s="15" t="s">
        <v>83</v>
      </c>
      <c r="R3293" s="4"/>
      <c r="S3293" s="4"/>
    </row>
    <row r="3294" spans="1:19" ht="21" customHeight="1" x14ac:dyDescent="0.25">
      <c r="A3294" s="14">
        <f>DATE(2012,12,31)-20</f>
        <v>41254</v>
      </c>
      <c r="B3294" s="15" t="s">
        <v>643</v>
      </c>
      <c r="C3294" s="15" t="s">
        <v>51</v>
      </c>
      <c r="D3294" s="16">
        <v>5</v>
      </c>
      <c r="E3294" s="17">
        <v>284.45249999999999</v>
      </c>
      <c r="F3294" s="16">
        <v>0.06</v>
      </c>
      <c r="G3294" s="15" t="s">
        <v>32</v>
      </c>
      <c r="H3294" s="18">
        <v>-254.78200000000001</v>
      </c>
      <c r="I3294" s="19">
        <v>65.989999999999995</v>
      </c>
      <c r="J3294" s="19">
        <v>8.99</v>
      </c>
      <c r="K3294" s="19" t="s">
        <v>44</v>
      </c>
      <c r="L3294" s="19" t="s">
        <v>89</v>
      </c>
      <c r="M3294" s="15" t="s">
        <v>1932</v>
      </c>
      <c r="N3294" s="15" t="s">
        <v>64</v>
      </c>
      <c r="O3294" s="15" t="s">
        <v>65</v>
      </c>
      <c r="P3294" s="20" t="s">
        <v>1408</v>
      </c>
      <c r="Q3294" s="15" t="s">
        <v>83</v>
      </c>
      <c r="R3294" s="4"/>
      <c r="S3294" s="4"/>
    </row>
    <row r="3295" spans="1:19" ht="21" customHeight="1" x14ac:dyDescent="0.25">
      <c r="A3295" s="14">
        <f>DATE(2012,12,31)-722</f>
        <v>40552</v>
      </c>
      <c r="B3295" s="15" t="s">
        <v>1485</v>
      </c>
      <c r="C3295" s="15" t="s">
        <v>85</v>
      </c>
      <c r="D3295" s="16">
        <v>34</v>
      </c>
      <c r="E3295" s="17">
        <v>11747.97</v>
      </c>
      <c r="F3295" s="16">
        <v>0.05</v>
      </c>
      <c r="G3295" s="15" t="s">
        <v>101</v>
      </c>
      <c r="H3295" s="18">
        <v>3302.03</v>
      </c>
      <c r="I3295" s="19">
        <v>363.25</v>
      </c>
      <c r="J3295" s="19">
        <v>19.989999999999998</v>
      </c>
      <c r="K3295" s="19" t="s">
        <v>33</v>
      </c>
      <c r="L3295" s="19" t="s">
        <v>93</v>
      </c>
      <c r="M3295" s="15" t="s">
        <v>94</v>
      </c>
      <c r="N3295" s="15" t="s">
        <v>36</v>
      </c>
      <c r="O3295" s="15" t="s">
        <v>176</v>
      </c>
      <c r="P3295" s="20" t="s">
        <v>177</v>
      </c>
      <c r="Q3295" s="15" t="s">
        <v>83</v>
      </c>
      <c r="R3295" s="4"/>
      <c r="S3295" s="4"/>
    </row>
    <row r="3296" spans="1:19" ht="21" customHeight="1" x14ac:dyDescent="0.25">
      <c r="A3296" s="14">
        <f>DATE(2012,12,31)-580</f>
        <v>40694</v>
      </c>
      <c r="B3296" s="15" t="s">
        <v>108</v>
      </c>
      <c r="C3296" s="15" t="s">
        <v>43</v>
      </c>
      <c r="D3296" s="16">
        <v>7</v>
      </c>
      <c r="E3296" s="17">
        <v>1011.16</v>
      </c>
      <c r="F3296" s="16">
        <v>0.02</v>
      </c>
      <c r="G3296" s="15" t="s">
        <v>32</v>
      </c>
      <c r="H3296" s="18">
        <v>547.96</v>
      </c>
      <c r="I3296" s="19">
        <v>136.97999999999999</v>
      </c>
      <c r="J3296" s="19">
        <v>24.49</v>
      </c>
      <c r="K3296" s="19" t="s">
        <v>33</v>
      </c>
      <c r="L3296" s="19" t="s">
        <v>128</v>
      </c>
      <c r="M3296" s="15" t="s">
        <v>129</v>
      </c>
      <c r="N3296" s="15" t="s">
        <v>54</v>
      </c>
      <c r="O3296" s="15" t="s">
        <v>55</v>
      </c>
      <c r="P3296" s="20" t="s">
        <v>560</v>
      </c>
      <c r="Q3296" s="15" t="s">
        <v>39</v>
      </c>
      <c r="R3296" s="4"/>
      <c r="S3296" s="4"/>
    </row>
    <row r="3297" spans="1:19" ht="21" customHeight="1" x14ac:dyDescent="0.25">
      <c r="A3297" s="14">
        <f>DATE(2012,12,31)-510</f>
        <v>40764</v>
      </c>
      <c r="B3297" s="15" t="s">
        <v>1174</v>
      </c>
      <c r="C3297" s="15" t="s">
        <v>31</v>
      </c>
      <c r="D3297" s="16">
        <v>4</v>
      </c>
      <c r="E3297" s="17">
        <v>25.82</v>
      </c>
      <c r="F3297" s="16">
        <v>0.01</v>
      </c>
      <c r="G3297" s="15" t="s">
        <v>32</v>
      </c>
      <c r="H3297" s="18">
        <v>-10.19</v>
      </c>
      <c r="I3297" s="19">
        <v>4.9800000000000004</v>
      </c>
      <c r="J3297" s="19">
        <v>4.72</v>
      </c>
      <c r="K3297" s="19" t="s">
        <v>33</v>
      </c>
      <c r="L3297" s="19" t="s">
        <v>128</v>
      </c>
      <c r="M3297" s="15" t="s">
        <v>129</v>
      </c>
      <c r="N3297" s="15" t="s">
        <v>36</v>
      </c>
      <c r="O3297" s="15" t="s">
        <v>117</v>
      </c>
      <c r="P3297" s="20" t="s">
        <v>308</v>
      </c>
      <c r="Q3297" s="15" t="s">
        <v>83</v>
      </c>
      <c r="R3297" s="4"/>
      <c r="S3297" s="4"/>
    </row>
    <row r="3298" spans="1:19" ht="21" customHeight="1" x14ac:dyDescent="0.25">
      <c r="A3298" s="14">
        <f>DATE(2012,12,31)-510</f>
        <v>40764</v>
      </c>
      <c r="B3298" s="15" t="s">
        <v>1174</v>
      </c>
      <c r="C3298" s="15" t="s">
        <v>31</v>
      </c>
      <c r="D3298" s="16">
        <v>17</v>
      </c>
      <c r="E3298" s="17">
        <v>579.71</v>
      </c>
      <c r="F3298" s="16">
        <v>0.03</v>
      </c>
      <c r="G3298" s="15" t="s">
        <v>58</v>
      </c>
      <c r="H3298" s="18">
        <v>24.296400000000002</v>
      </c>
      <c r="I3298" s="19">
        <v>31.76</v>
      </c>
      <c r="J3298" s="19">
        <v>45.51</v>
      </c>
      <c r="K3298" s="19" t="s">
        <v>97</v>
      </c>
      <c r="L3298" s="19" t="s">
        <v>132</v>
      </c>
      <c r="M3298" s="15" t="s">
        <v>133</v>
      </c>
      <c r="N3298" s="15" t="s">
        <v>54</v>
      </c>
      <c r="O3298" s="15" t="s">
        <v>61</v>
      </c>
      <c r="P3298" s="20" t="s">
        <v>542</v>
      </c>
      <c r="Q3298" s="15" t="s">
        <v>63</v>
      </c>
      <c r="R3298" s="4"/>
      <c r="S3298" s="4"/>
    </row>
    <row r="3299" spans="1:19" ht="21" customHeight="1" x14ac:dyDescent="0.25">
      <c r="A3299" s="14">
        <f>DATE(2012,12,31)-897</f>
        <v>40377</v>
      </c>
      <c r="B3299" s="15" t="s">
        <v>1177</v>
      </c>
      <c r="C3299" s="15" t="s">
        <v>31</v>
      </c>
      <c r="D3299" s="16">
        <v>14</v>
      </c>
      <c r="E3299" s="17">
        <v>425.67</v>
      </c>
      <c r="F3299" s="16">
        <v>0.03</v>
      </c>
      <c r="G3299" s="15" t="s">
        <v>101</v>
      </c>
      <c r="H3299" s="18">
        <v>166.5745</v>
      </c>
      <c r="I3299" s="19">
        <v>28.53</v>
      </c>
      <c r="J3299" s="19">
        <v>1.49</v>
      </c>
      <c r="K3299" s="19" t="s">
        <v>97</v>
      </c>
      <c r="L3299" s="19" t="s">
        <v>283</v>
      </c>
      <c r="M3299" s="15" t="s">
        <v>1901</v>
      </c>
      <c r="N3299" s="15" t="s">
        <v>36</v>
      </c>
      <c r="O3299" s="15" t="s">
        <v>170</v>
      </c>
      <c r="P3299" s="20" t="s">
        <v>1566</v>
      </c>
      <c r="Q3299" s="15" t="s">
        <v>83</v>
      </c>
      <c r="R3299" s="4"/>
      <c r="S3299" s="4"/>
    </row>
    <row r="3300" spans="1:19" ht="21" customHeight="1" x14ac:dyDescent="0.25">
      <c r="A3300" s="14">
        <f>DATE(2012,12,31)-897</f>
        <v>40377</v>
      </c>
      <c r="B3300" s="15" t="s">
        <v>1177</v>
      </c>
      <c r="C3300" s="15" t="s">
        <v>31</v>
      </c>
      <c r="D3300" s="16">
        <v>9</v>
      </c>
      <c r="E3300" s="17">
        <v>173.44</v>
      </c>
      <c r="F3300" s="16">
        <v>0.02</v>
      </c>
      <c r="G3300" s="15" t="s">
        <v>32</v>
      </c>
      <c r="H3300" s="18">
        <v>-34.625999999999998</v>
      </c>
      <c r="I3300" s="19">
        <v>17.98</v>
      </c>
      <c r="J3300" s="19">
        <v>8.51</v>
      </c>
      <c r="K3300" s="19" t="s">
        <v>97</v>
      </c>
      <c r="L3300" s="19" t="s">
        <v>283</v>
      </c>
      <c r="M3300" s="15" t="s">
        <v>1901</v>
      </c>
      <c r="N3300" s="15" t="s">
        <v>64</v>
      </c>
      <c r="O3300" s="15" t="s">
        <v>122</v>
      </c>
      <c r="P3300" s="20" t="s">
        <v>1357</v>
      </c>
      <c r="Q3300" s="15" t="s">
        <v>57</v>
      </c>
      <c r="R3300" s="4"/>
      <c r="S3300" s="4"/>
    </row>
    <row r="3301" spans="1:19" ht="21" customHeight="1" x14ac:dyDescent="0.25">
      <c r="A3301" s="14">
        <f>DATE(2012,12,31)-294</f>
        <v>40980</v>
      </c>
      <c r="B3301" s="15" t="s">
        <v>655</v>
      </c>
      <c r="C3301" s="15" t="s">
        <v>85</v>
      </c>
      <c r="D3301" s="16">
        <v>14</v>
      </c>
      <c r="E3301" s="17">
        <v>2671.21</v>
      </c>
      <c r="F3301" s="16">
        <v>0.06</v>
      </c>
      <c r="G3301" s="15" t="s">
        <v>58</v>
      </c>
      <c r="H3301" s="18">
        <v>636.17999999999995</v>
      </c>
      <c r="I3301" s="19">
        <v>200.97</v>
      </c>
      <c r="J3301" s="19">
        <v>15.59</v>
      </c>
      <c r="K3301" s="19" t="s">
        <v>97</v>
      </c>
      <c r="L3301" s="19" t="s">
        <v>195</v>
      </c>
      <c r="M3301" s="15" t="s">
        <v>1964</v>
      </c>
      <c r="N3301" s="15" t="s">
        <v>64</v>
      </c>
      <c r="O3301" s="15" t="s">
        <v>122</v>
      </c>
      <c r="P3301" s="20" t="s">
        <v>1728</v>
      </c>
      <c r="Q3301" s="15" t="s">
        <v>181</v>
      </c>
      <c r="R3301" s="4"/>
      <c r="S3301" s="4"/>
    </row>
    <row r="3302" spans="1:19" ht="21" customHeight="1" x14ac:dyDescent="0.25">
      <c r="A3302" s="14">
        <f>DATE(2012,12,31)-61</f>
        <v>41213</v>
      </c>
      <c r="B3302" s="15" t="s">
        <v>2016</v>
      </c>
      <c r="C3302" s="15" t="s">
        <v>85</v>
      </c>
      <c r="D3302" s="16">
        <v>44</v>
      </c>
      <c r="E3302" s="17">
        <v>192.78</v>
      </c>
      <c r="F3302" s="16">
        <v>0.06</v>
      </c>
      <c r="G3302" s="15" t="s">
        <v>32</v>
      </c>
      <c r="H3302" s="18">
        <v>4.59</v>
      </c>
      <c r="I3302" s="19">
        <v>4.28</v>
      </c>
      <c r="J3302" s="19">
        <v>1.6</v>
      </c>
      <c r="K3302" s="19" t="s">
        <v>97</v>
      </c>
      <c r="L3302" s="19" t="s">
        <v>98</v>
      </c>
      <c r="M3302" s="15" t="s">
        <v>1991</v>
      </c>
      <c r="N3302" s="15" t="s">
        <v>36</v>
      </c>
      <c r="O3302" s="15" t="s">
        <v>77</v>
      </c>
      <c r="P3302" s="20" t="s">
        <v>1333</v>
      </c>
      <c r="Q3302" s="15" t="s">
        <v>79</v>
      </c>
      <c r="R3302" s="4"/>
      <c r="S3302" s="4"/>
    </row>
    <row r="3303" spans="1:19" ht="21" customHeight="1" x14ac:dyDescent="0.25">
      <c r="A3303" s="14">
        <f>DATE(2012,12,31)-1082</f>
        <v>40192</v>
      </c>
      <c r="B3303" s="15" t="s">
        <v>923</v>
      </c>
      <c r="C3303" s="15" t="s">
        <v>85</v>
      </c>
      <c r="D3303" s="16">
        <v>32</v>
      </c>
      <c r="E3303" s="17">
        <v>210.9</v>
      </c>
      <c r="F3303" s="16">
        <v>0.03</v>
      </c>
      <c r="G3303" s="15" t="s">
        <v>32</v>
      </c>
      <c r="H3303" s="18">
        <v>-62.46</v>
      </c>
      <c r="I3303" s="19">
        <v>6.48</v>
      </c>
      <c r="J3303" s="19">
        <v>5.74</v>
      </c>
      <c r="K3303" s="19" t="s">
        <v>124</v>
      </c>
      <c r="L3303" s="19" t="s">
        <v>160</v>
      </c>
      <c r="M3303" s="15" t="s">
        <v>1951</v>
      </c>
      <c r="N3303" s="15" t="s">
        <v>36</v>
      </c>
      <c r="O3303" s="15" t="s">
        <v>117</v>
      </c>
      <c r="P3303" s="20" t="s">
        <v>1559</v>
      </c>
      <c r="Q3303" s="15" t="s">
        <v>83</v>
      </c>
      <c r="R3303" s="4"/>
      <c r="S3303" s="4"/>
    </row>
    <row r="3304" spans="1:19" ht="21" customHeight="1" x14ac:dyDescent="0.25">
      <c r="A3304" s="14">
        <f>DATE(2012,12,31)-125</f>
        <v>41149</v>
      </c>
      <c r="B3304" s="15" t="s">
        <v>1349</v>
      </c>
      <c r="C3304" s="15" t="s">
        <v>43</v>
      </c>
      <c r="D3304" s="16">
        <v>47</v>
      </c>
      <c r="E3304" s="17">
        <v>9262.35</v>
      </c>
      <c r="F3304" s="16">
        <v>0.09</v>
      </c>
      <c r="G3304" s="15" t="s">
        <v>32</v>
      </c>
      <c r="H3304" s="18">
        <v>2787.59</v>
      </c>
      <c r="I3304" s="19">
        <v>199.99</v>
      </c>
      <c r="J3304" s="19">
        <v>24.49</v>
      </c>
      <c r="K3304" s="19" t="s">
        <v>124</v>
      </c>
      <c r="L3304" s="19" t="s">
        <v>160</v>
      </c>
      <c r="M3304" s="15" t="s">
        <v>1951</v>
      </c>
      <c r="N3304" s="15" t="s">
        <v>64</v>
      </c>
      <c r="O3304" s="15" t="s">
        <v>460</v>
      </c>
      <c r="P3304" s="20" t="s">
        <v>1967</v>
      </c>
      <c r="Q3304" s="15" t="s">
        <v>39</v>
      </c>
      <c r="R3304" s="4"/>
      <c r="S3304" s="4"/>
    </row>
    <row r="3305" spans="1:19" ht="21" customHeight="1" x14ac:dyDescent="0.25">
      <c r="A3305" s="14">
        <f>DATE(2012,12,31)-606</f>
        <v>40668</v>
      </c>
      <c r="B3305" s="15" t="s">
        <v>746</v>
      </c>
      <c r="C3305" s="15" t="s">
        <v>43</v>
      </c>
      <c r="D3305" s="16">
        <v>6</v>
      </c>
      <c r="E3305" s="17">
        <v>247.34</v>
      </c>
      <c r="F3305" s="16">
        <v>0.04</v>
      </c>
      <c r="G3305" s="15" t="s">
        <v>101</v>
      </c>
      <c r="H3305" s="18">
        <v>63.605499999999999</v>
      </c>
      <c r="I3305" s="19">
        <v>37.700000000000003</v>
      </c>
      <c r="J3305" s="19">
        <v>2.99</v>
      </c>
      <c r="K3305" s="19" t="s">
        <v>124</v>
      </c>
      <c r="L3305" s="19" t="s">
        <v>160</v>
      </c>
      <c r="M3305" s="15" t="s">
        <v>1951</v>
      </c>
      <c r="N3305" s="15" t="s">
        <v>36</v>
      </c>
      <c r="O3305" s="15" t="s">
        <v>170</v>
      </c>
      <c r="P3305" s="20" t="s">
        <v>391</v>
      </c>
      <c r="Q3305" s="15" t="s">
        <v>83</v>
      </c>
      <c r="R3305" s="4"/>
      <c r="S3305" s="4"/>
    </row>
    <row r="3306" spans="1:19" ht="21" customHeight="1" x14ac:dyDescent="0.25">
      <c r="A3306" s="14">
        <f>DATE(2012,12,31)-34</f>
        <v>41240</v>
      </c>
      <c r="B3306" s="15" t="s">
        <v>1266</v>
      </c>
      <c r="C3306" s="15" t="s">
        <v>85</v>
      </c>
      <c r="D3306" s="16">
        <v>45</v>
      </c>
      <c r="E3306" s="17">
        <v>2601.7904999999996</v>
      </c>
      <c r="F3306" s="16">
        <v>0.02</v>
      </c>
      <c r="G3306" s="15" t="s">
        <v>32</v>
      </c>
      <c r="H3306" s="18">
        <v>748.197</v>
      </c>
      <c r="I3306" s="19">
        <v>65.989999999999995</v>
      </c>
      <c r="J3306" s="19">
        <v>5.26</v>
      </c>
      <c r="K3306" s="19" t="s">
        <v>124</v>
      </c>
      <c r="L3306" s="19" t="s">
        <v>164</v>
      </c>
      <c r="M3306" s="15" t="s">
        <v>1996</v>
      </c>
      <c r="N3306" s="15" t="s">
        <v>64</v>
      </c>
      <c r="O3306" s="15" t="s">
        <v>65</v>
      </c>
      <c r="P3306" s="20" t="s">
        <v>488</v>
      </c>
      <c r="Q3306" s="15" t="s">
        <v>83</v>
      </c>
      <c r="R3306" s="4"/>
      <c r="S3306" s="4"/>
    </row>
    <row r="3307" spans="1:19" ht="21" customHeight="1" x14ac:dyDescent="0.25">
      <c r="A3307" s="14">
        <f>DATE(2012,12,31)-10</f>
        <v>41264</v>
      </c>
      <c r="B3307" s="15" t="s">
        <v>580</v>
      </c>
      <c r="C3307" s="15" t="s">
        <v>85</v>
      </c>
      <c r="D3307" s="16">
        <v>7</v>
      </c>
      <c r="E3307" s="17">
        <v>1043.1199999999999</v>
      </c>
      <c r="F3307" s="16">
        <v>0.06</v>
      </c>
      <c r="G3307" s="15" t="s">
        <v>32</v>
      </c>
      <c r="H3307" s="18">
        <v>-52.495799999999953</v>
      </c>
      <c r="I3307" s="19">
        <v>150.97999999999999</v>
      </c>
      <c r="J3307" s="19">
        <v>13.99</v>
      </c>
      <c r="K3307" s="19" t="s">
        <v>124</v>
      </c>
      <c r="L3307" s="19" t="s">
        <v>164</v>
      </c>
      <c r="M3307" s="15" t="s">
        <v>1996</v>
      </c>
      <c r="N3307" s="15" t="s">
        <v>64</v>
      </c>
      <c r="O3307" s="15" t="s">
        <v>122</v>
      </c>
      <c r="P3307" s="20" t="s">
        <v>123</v>
      </c>
      <c r="Q3307" s="15" t="s">
        <v>57</v>
      </c>
      <c r="R3307" s="4"/>
      <c r="S3307" s="4"/>
    </row>
    <row r="3308" spans="1:19" ht="21" customHeight="1" x14ac:dyDescent="0.25">
      <c r="A3308" s="14">
        <f>DATE(2012,12,31)-10</f>
        <v>41264</v>
      </c>
      <c r="B3308" s="15" t="s">
        <v>580</v>
      </c>
      <c r="C3308" s="15" t="s">
        <v>85</v>
      </c>
      <c r="D3308" s="16">
        <v>45</v>
      </c>
      <c r="E3308" s="17">
        <v>285.91000000000003</v>
      </c>
      <c r="F3308" s="16">
        <v>0.02</v>
      </c>
      <c r="G3308" s="15" t="s">
        <v>32</v>
      </c>
      <c r="H3308" s="18">
        <v>-104.99</v>
      </c>
      <c r="I3308" s="19">
        <v>6.24</v>
      </c>
      <c r="J3308" s="19">
        <v>5.22</v>
      </c>
      <c r="K3308" s="19" t="s">
        <v>124</v>
      </c>
      <c r="L3308" s="19" t="s">
        <v>164</v>
      </c>
      <c r="M3308" s="15" t="s">
        <v>1996</v>
      </c>
      <c r="N3308" s="15" t="s">
        <v>54</v>
      </c>
      <c r="O3308" s="15" t="s">
        <v>55</v>
      </c>
      <c r="P3308" s="20" t="s">
        <v>341</v>
      </c>
      <c r="Q3308" s="15" t="s">
        <v>83</v>
      </c>
      <c r="R3308" s="4"/>
      <c r="S3308" s="4"/>
    </row>
    <row r="3309" spans="1:19" ht="21" customHeight="1" x14ac:dyDescent="0.25">
      <c r="A3309" s="14">
        <f>DATE(2012,12,31)-10</f>
        <v>41264</v>
      </c>
      <c r="B3309" s="15" t="s">
        <v>580</v>
      </c>
      <c r="C3309" s="15" t="s">
        <v>85</v>
      </c>
      <c r="D3309" s="16">
        <v>48</v>
      </c>
      <c r="E3309" s="17">
        <v>2611.8035</v>
      </c>
      <c r="F3309" s="16">
        <v>0.06</v>
      </c>
      <c r="G3309" s="15" t="s">
        <v>32</v>
      </c>
      <c r="H3309" s="18">
        <v>644.81400000000008</v>
      </c>
      <c r="I3309" s="19">
        <v>65.989999999999995</v>
      </c>
      <c r="J3309" s="19">
        <v>5.92</v>
      </c>
      <c r="K3309" s="19" t="s">
        <v>44</v>
      </c>
      <c r="L3309" s="19" t="s">
        <v>52</v>
      </c>
      <c r="M3309" s="15" t="s">
        <v>1685</v>
      </c>
      <c r="N3309" s="15" t="s">
        <v>64</v>
      </c>
      <c r="O3309" s="15" t="s">
        <v>65</v>
      </c>
      <c r="P3309" s="20" t="s">
        <v>1135</v>
      </c>
      <c r="Q3309" s="15" t="s">
        <v>83</v>
      </c>
      <c r="R3309" s="4"/>
      <c r="S3309" s="4"/>
    </row>
    <row r="3310" spans="1:19" ht="21" customHeight="1" x14ac:dyDescent="0.25">
      <c r="A3310" s="14">
        <f>DATE(2012,12,31)-98</f>
        <v>41176</v>
      </c>
      <c r="B3310" s="15" t="s">
        <v>767</v>
      </c>
      <c r="C3310" s="15" t="s">
        <v>85</v>
      </c>
      <c r="D3310" s="16">
        <v>44</v>
      </c>
      <c r="E3310" s="17">
        <v>6768.16</v>
      </c>
      <c r="F3310" s="16">
        <v>0.03</v>
      </c>
      <c r="G3310" s="15" t="s">
        <v>32</v>
      </c>
      <c r="H3310" s="18">
        <v>907.49</v>
      </c>
      <c r="I3310" s="19">
        <v>152.47999999999999</v>
      </c>
      <c r="J3310" s="19">
        <v>6.5</v>
      </c>
      <c r="K3310" s="19" t="s">
        <v>44</v>
      </c>
      <c r="L3310" s="19" t="s">
        <v>52</v>
      </c>
      <c r="M3310" s="15" t="s">
        <v>1685</v>
      </c>
      <c r="N3310" s="15" t="s">
        <v>64</v>
      </c>
      <c r="O3310" s="15" t="s">
        <v>72</v>
      </c>
      <c r="P3310" s="20" t="s">
        <v>473</v>
      </c>
      <c r="Q3310" s="15" t="s">
        <v>83</v>
      </c>
      <c r="R3310" s="4"/>
      <c r="S3310" s="4"/>
    </row>
    <row r="3311" spans="1:19" ht="21" customHeight="1" x14ac:dyDescent="0.25">
      <c r="A3311" s="14">
        <f>DATE(2012,12,31)-98</f>
        <v>41176</v>
      </c>
      <c r="B3311" s="15" t="s">
        <v>767</v>
      </c>
      <c r="C3311" s="15" t="s">
        <v>85</v>
      </c>
      <c r="D3311" s="16">
        <v>4</v>
      </c>
      <c r="E3311" s="17">
        <v>10.65</v>
      </c>
      <c r="F3311" s="16">
        <v>0.1</v>
      </c>
      <c r="G3311" s="15" t="s">
        <v>32</v>
      </c>
      <c r="H3311" s="18">
        <v>-0.64</v>
      </c>
      <c r="I3311" s="19">
        <v>2.61</v>
      </c>
      <c r="J3311" s="19">
        <v>0.5</v>
      </c>
      <c r="K3311" s="19" t="s">
        <v>44</v>
      </c>
      <c r="L3311" s="19" t="s">
        <v>52</v>
      </c>
      <c r="M3311" s="15" t="s">
        <v>1685</v>
      </c>
      <c r="N3311" s="15" t="s">
        <v>36</v>
      </c>
      <c r="O3311" s="15" t="s">
        <v>114</v>
      </c>
      <c r="P3311" s="20" t="s">
        <v>593</v>
      </c>
      <c r="Q3311" s="15" t="s">
        <v>83</v>
      </c>
      <c r="R3311" s="4"/>
      <c r="S3311" s="4"/>
    </row>
    <row r="3312" spans="1:19" ht="21" customHeight="1" x14ac:dyDescent="0.25">
      <c r="A3312" s="14">
        <f>DATE(2012,12,31)-117</f>
        <v>41157</v>
      </c>
      <c r="B3312" s="15" t="s">
        <v>1689</v>
      </c>
      <c r="C3312" s="15" t="s">
        <v>43</v>
      </c>
      <c r="D3312" s="16">
        <v>30</v>
      </c>
      <c r="E3312" s="17">
        <v>4587.9260000000004</v>
      </c>
      <c r="F3312" s="16">
        <v>0.1</v>
      </c>
      <c r="G3312" s="15" t="s">
        <v>32</v>
      </c>
      <c r="H3312" s="18">
        <v>687.41099999999994</v>
      </c>
      <c r="I3312" s="19">
        <v>195.99</v>
      </c>
      <c r="J3312" s="19">
        <v>4.2</v>
      </c>
      <c r="K3312" s="19" t="s">
        <v>44</v>
      </c>
      <c r="L3312" s="19" t="s">
        <v>80</v>
      </c>
      <c r="M3312" s="15" t="s">
        <v>2012</v>
      </c>
      <c r="N3312" s="15" t="s">
        <v>64</v>
      </c>
      <c r="O3312" s="15" t="s">
        <v>65</v>
      </c>
      <c r="P3312" s="20" t="s">
        <v>1393</v>
      </c>
      <c r="Q3312" s="15" t="s">
        <v>83</v>
      </c>
      <c r="R3312" s="4"/>
      <c r="S3312" s="4"/>
    </row>
    <row r="3313" spans="1:19" ht="21" customHeight="1" x14ac:dyDescent="0.25">
      <c r="A3313" s="14">
        <f>DATE(2012,12,31)-117</f>
        <v>41157</v>
      </c>
      <c r="B3313" s="15" t="s">
        <v>1689</v>
      </c>
      <c r="C3313" s="15" t="s">
        <v>43</v>
      </c>
      <c r="D3313" s="16">
        <v>42</v>
      </c>
      <c r="E3313" s="17">
        <v>4541.924</v>
      </c>
      <c r="F3313" s="16">
        <v>0.01</v>
      </c>
      <c r="G3313" s="15" t="s">
        <v>32</v>
      </c>
      <c r="H3313" s="18">
        <v>1222.1370000000002</v>
      </c>
      <c r="I3313" s="19">
        <v>125.99</v>
      </c>
      <c r="J3313" s="19">
        <v>8.08</v>
      </c>
      <c r="K3313" s="19" t="s">
        <v>44</v>
      </c>
      <c r="L3313" s="19" t="s">
        <v>52</v>
      </c>
      <c r="M3313" s="15" t="s">
        <v>1685</v>
      </c>
      <c r="N3313" s="15" t="s">
        <v>64</v>
      </c>
      <c r="O3313" s="15" t="s">
        <v>65</v>
      </c>
      <c r="P3313" s="20" t="s">
        <v>535</v>
      </c>
      <c r="Q3313" s="15" t="s">
        <v>83</v>
      </c>
      <c r="R3313" s="4"/>
      <c r="S3313" s="4"/>
    </row>
    <row r="3314" spans="1:19" ht="21" customHeight="1" x14ac:dyDescent="0.25">
      <c r="A3314" s="14">
        <f>DATE(2012,12,31)-1219</f>
        <v>40055</v>
      </c>
      <c r="B3314" s="15" t="s">
        <v>635</v>
      </c>
      <c r="C3314" s="15" t="s">
        <v>43</v>
      </c>
      <c r="D3314" s="16">
        <v>27</v>
      </c>
      <c r="E3314" s="17">
        <v>305.48</v>
      </c>
      <c r="F3314" s="16">
        <v>0.1</v>
      </c>
      <c r="G3314" s="15" t="s">
        <v>32</v>
      </c>
      <c r="H3314" s="18">
        <v>47.14</v>
      </c>
      <c r="I3314" s="19">
        <v>11.55</v>
      </c>
      <c r="J3314" s="19">
        <v>2.36</v>
      </c>
      <c r="K3314" s="19" t="s">
        <v>44</v>
      </c>
      <c r="L3314" s="19" t="s">
        <v>52</v>
      </c>
      <c r="M3314" s="15" t="s">
        <v>1685</v>
      </c>
      <c r="N3314" s="15" t="s">
        <v>36</v>
      </c>
      <c r="O3314" s="15" t="s">
        <v>77</v>
      </c>
      <c r="P3314" s="20" t="s">
        <v>996</v>
      </c>
      <c r="Q3314" s="15" t="s">
        <v>79</v>
      </c>
      <c r="R3314" s="4"/>
      <c r="S3314" s="4"/>
    </row>
    <row r="3315" spans="1:19" ht="21" customHeight="1" x14ac:dyDescent="0.25">
      <c r="A3315" s="14">
        <f>DATE(2012,12,31)-786</f>
        <v>40488</v>
      </c>
      <c r="B3315" s="15" t="s">
        <v>1619</v>
      </c>
      <c r="C3315" s="15" t="s">
        <v>43</v>
      </c>
      <c r="D3315" s="16">
        <v>8</v>
      </c>
      <c r="E3315" s="17">
        <v>2029.4960000000001</v>
      </c>
      <c r="F3315" s="16">
        <v>0.1</v>
      </c>
      <c r="G3315" s="15" t="s">
        <v>58</v>
      </c>
      <c r="H3315" s="18">
        <v>251.64</v>
      </c>
      <c r="I3315" s="19">
        <v>320.64</v>
      </c>
      <c r="J3315" s="19">
        <v>43.57</v>
      </c>
      <c r="K3315" s="19" t="s">
        <v>44</v>
      </c>
      <c r="L3315" s="19" t="s">
        <v>52</v>
      </c>
      <c r="M3315" s="15" t="s">
        <v>1685</v>
      </c>
      <c r="N3315" s="15" t="s">
        <v>54</v>
      </c>
      <c r="O3315" s="15" t="s">
        <v>61</v>
      </c>
      <c r="P3315" s="20" t="s">
        <v>1280</v>
      </c>
      <c r="Q3315" s="15" t="s">
        <v>63</v>
      </c>
      <c r="R3315" s="4"/>
      <c r="S3315" s="4"/>
    </row>
    <row r="3316" spans="1:19" ht="21" customHeight="1" x14ac:dyDescent="0.25">
      <c r="A3316" s="14">
        <f>DATE(2012,12,31)-226</f>
        <v>41048</v>
      </c>
      <c r="B3316" s="15" t="s">
        <v>1537</v>
      </c>
      <c r="C3316" s="15" t="s">
        <v>51</v>
      </c>
      <c r="D3316" s="16">
        <v>42</v>
      </c>
      <c r="E3316" s="17">
        <v>4182.5200000000004</v>
      </c>
      <c r="F3316" s="16">
        <v>0</v>
      </c>
      <c r="G3316" s="15" t="s">
        <v>101</v>
      </c>
      <c r="H3316" s="18">
        <v>-785.36</v>
      </c>
      <c r="I3316" s="19">
        <v>95.99</v>
      </c>
      <c r="J3316" s="19">
        <v>35</v>
      </c>
      <c r="K3316" s="19" t="s">
        <v>44</v>
      </c>
      <c r="L3316" s="19" t="s">
        <v>52</v>
      </c>
      <c r="M3316" s="15" t="s">
        <v>1685</v>
      </c>
      <c r="N3316" s="15" t="s">
        <v>36</v>
      </c>
      <c r="O3316" s="15" t="s">
        <v>37</v>
      </c>
      <c r="P3316" s="20" t="s">
        <v>137</v>
      </c>
      <c r="Q3316" s="15" t="s">
        <v>39</v>
      </c>
      <c r="R3316" s="4"/>
      <c r="S3316" s="4"/>
    </row>
    <row r="3317" spans="1:19" ht="21" customHeight="1" x14ac:dyDescent="0.25">
      <c r="A3317" s="14">
        <f>DATE(2012,12,31)-185</f>
        <v>41089</v>
      </c>
      <c r="B3317" s="15" t="s">
        <v>1558</v>
      </c>
      <c r="C3317" s="15" t="s">
        <v>43</v>
      </c>
      <c r="D3317" s="16">
        <v>46</v>
      </c>
      <c r="E3317" s="17">
        <v>7928.561999999999</v>
      </c>
      <c r="F3317" s="16">
        <v>0.08</v>
      </c>
      <c r="G3317" s="15" t="s">
        <v>32</v>
      </c>
      <c r="H3317" s="18">
        <v>2229.48</v>
      </c>
      <c r="I3317" s="19">
        <v>205.99</v>
      </c>
      <c r="J3317" s="19">
        <v>5</v>
      </c>
      <c r="K3317" s="19" t="s">
        <v>44</v>
      </c>
      <c r="L3317" s="19" t="s">
        <v>52</v>
      </c>
      <c r="M3317" s="15" t="s">
        <v>1685</v>
      </c>
      <c r="N3317" s="15" t="s">
        <v>64</v>
      </c>
      <c r="O3317" s="15" t="s">
        <v>65</v>
      </c>
      <c r="P3317" s="20" t="s">
        <v>1869</v>
      </c>
      <c r="Q3317" s="15" t="s">
        <v>83</v>
      </c>
      <c r="R3317" s="4"/>
      <c r="S3317" s="4"/>
    </row>
    <row r="3318" spans="1:19" ht="21" customHeight="1" x14ac:dyDescent="0.25">
      <c r="A3318" s="14">
        <f>DATE(2012,12,31)-33</f>
        <v>41241</v>
      </c>
      <c r="B3318" s="15" t="s">
        <v>2005</v>
      </c>
      <c r="C3318" s="15" t="s">
        <v>43</v>
      </c>
      <c r="D3318" s="16">
        <v>38</v>
      </c>
      <c r="E3318" s="17">
        <v>3701.5204999999996</v>
      </c>
      <c r="F3318" s="16">
        <v>0.05</v>
      </c>
      <c r="G3318" s="15" t="s">
        <v>32</v>
      </c>
      <c r="H3318" s="18">
        <v>894.06</v>
      </c>
      <c r="I3318" s="19">
        <v>115.99</v>
      </c>
      <c r="J3318" s="19">
        <v>5.92</v>
      </c>
      <c r="K3318" s="19" t="s">
        <v>44</v>
      </c>
      <c r="L3318" s="19" t="s">
        <v>236</v>
      </c>
      <c r="M3318" s="15" t="s">
        <v>1887</v>
      </c>
      <c r="N3318" s="15" t="s">
        <v>64</v>
      </c>
      <c r="O3318" s="15" t="s">
        <v>65</v>
      </c>
      <c r="P3318" s="20" t="s">
        <v>1053</v>
      </c>
      <c r="Q3318" s="15" t="s">
        <v>83</v>
      </c>
      <c r="R3318" s="4"/>
      <c r="S3318" s="4"/>
    </row>
    <row r="3319" spans="1:19" ht="21" customHeight="1" x14ac:dyDescent="0.25">
      <c r="A3319" s="14">
        <f>DATE(2012,12,31)-890</f>
        <v>40384</v>
      </c>
      <c r="B3319" s="15" t="s">
        <v>1480</v>
      </c>
      <c r="C3319" s="15" t="s">
        <v>85</v>
      </c>
      <c r="D3319" s="16">
        <v>17</v>
      </c>
      <c r="E3319" s="17">
        <v>122.74</v>
      </c>
      <c r="F3319" s="16">
        <v>0.08</v>
      </c>
      <c r="G3319" s="15" t="s">
        <v>32</v>
      </c>
      <c r="H3319" s="18">
        <v>-28.13</v>
      </c>
      <c r="I3319" s="19">
        <v>7.28</v>
      </c>
      <c r="J3319" s="19">
        <v>5.47</v>
      </c>
      <c r="K3319" s="19" t="s">
        <v>44</v>
      </c>
      <c r="L3319" s="19" t="s">
        <v>52</v>
      </c>
      <c r="M3319" s="15" t="s">
        <v>1685</v>
      </c>
      <c r="N3319" s="15" t="s">
        <v>36</v>
      </c>
      <c r="O3319" s="15" t="s">
        <v>117</v>
      </c>
      <c r="P3319" s="20" t="s">
        <v>1606</v>
      </c>
      <c r="Q3319" s="15" t="s">
        <v>83</v>
      </c>
      <c r="R3319" s="4"/>
      <c r="S3319" s="4"/>
    </row>
    <row r="3320" spans="1:19" ht="21" customHeight="1" x14ac:dyDescent="0.25">
      <c r="A3320" s="14">
        <f>DATE(2012,12,31)-26</f>
        <v>41248</v>
      </c>
      <c r="B3320" s="15" t="s">
        <v>1808</v>
      </c>
      <c r="C3320" s="15" t="s">
        <v>31</v>
      </c>
      <c r="D3320" s="16">
        <v>12</v>
      </c>
      <c r="E3320" s="17">
        <v>715.8</v>
      </c>
      <c r="F3320" s="16">
        <v>0.06</v>
      </c>
      <c r="G3320" s="15" t="s">
        <v>32</v>
      </c>
      <c r="H3320" s="18">
        <v>-279.12</v>
      </c>
      <c r="I3320" s="19">
        <v>55.5</v>
      </c>
      <c r="J3320" s="19">
        <v>52.2</v>
      </c>
      <c r="K3320" s="19" t="s">
        <v>44</v>
      </c>
      <c r="L3320" s="19" t="s">
        <v>52</v>
      </c>
      <c r="M3320" s="15" t="s">
        <v>1685</v>
      </c>
      <c r="N3320" s="15" t="s">
        <v>54</v>
      </c>
      <c r="O3320" s="15" t="s">
        <v>55</v>
      </c>
      <c r="P3320" s="20" t="s">
        <v>1884</v>
      </c>
      <c r="Q3320" s="15" t="s">
        <v>57</v>
      </c>
      <c r="R3320" s="4"/>
      <c r="S3320" s="4"/>
    </row>
    <row r="3321" spans="1:19" ht="21" customHeight="1" x14ac:dyDescent="0.25">
      <c r="A3321" s="14">
        <f>DATE(2012,12,31)-26</f>
        <v>41248</v>
      </c>
      <c r="B3321" s="15" t="s">
        <v>1808</v>
      </c>
      <c r="C3321" s="15" t="s">
        <v>31</v>
      </c>
      <c r="D3321" s="16">
        <v>47</v>
      </c>
      <c r="E3321" s="17">
        <v>10941.23</v>
      </c>
      <c r="F3321" s="16">
        <v>0</v>
      </c>
      <c r="G3321" s="15" t="s">
        <v>58</v>
      </c>
      <c r="H3321" s="18">
        <v>1687.07</v>
      </c>
      <c r="I3321" s="19">
        <v>227.55</v>
      </c>
      <c r="J3321" s="19">
        <v>32.479999999999997</v>
      </c>
      <c r="K3321" s="19" t="s">
        <v>44</v>
      </c>
      <c r="L3321" s="19" t="s">
        <v>45</v>
      </c>
      <c r="M3321" s="15" t="s">
        <v>1985</v>
      </c>
      <c r="N3321" s="15" t="s">
        <v>54</v>
      </c>
      <c r="O3321" s="15" t="s">
        <v>61</v>
      </c>
      <c r="P3321" s="20" t="s">
        <v>372</v>
      </c>
      <c r="Q3321" s="15" t="s">
        <v>63</v>
      </c>
      <c r="R3321" s="4"/>
      <c r="S3321" s="4"/>
    </row>
    <row r="3322" spans="1:19" ht="21" customHeight="1" x14ac:dyDescent="0.25">
      <c r="A3322" s="14">
        <f>DATE(2012,12,31)-747</f>
        <v>40527</v>
      </c>
      <c r="B3322" s="15" t="s">
        <v>420</v>
      </c>
      <c r="C3322" s="15" t="s">
        <v>51</v>
      </c>
      <c r="D3322" s="16">
        <v>10</v>
      </c>
      <c r="E3322" s="17">
        <v>408.23</v>
      </c>
      <c r="F3322" s="16">
        <v>0.06</v>
      </c>
      <c r="G3322" s="15" t="s">
        <v>32</v>
      </c>
      <c r="H3322" s="18">
        <v>52.38</v>
      </c>
      <c r="I3322" s="19">
        <v>40.97</v>
      </c>
      <c r="J3322" s="19">
        <v>1.99</v>
      </c>
      <c r="K3322" s="19" t="s">
        <v>44</v>
      </c>
      <c r="L3322" s="19" t="s">
        <v>89</v>
      </c>
      <c r="M3322" s="15" t="s">
        <v>1932</v>
      </c>
      <c r="N3322" s="15" t="s">
        <v>64</v>
      </c>
      <c r="O3322" s="15" t="s">
        <v>72</v>
      </c>
      <c r="P3322" s="20" t="s">
        <v>691</v>
      </c>
      <c r="Q3322" s="15" t="s">
        <v>49</v>
      </c>
      <c r="R3322" s="4"/>
      <c r="S3322" s="4"/>
    </row>
    <row r="3323" spans="1:19" ht="21" customHeight="1" x14ac:dyDescent="0.25">
      <c r="A3323" s="14">
        <f>DATE(2012,12,31)-143</f>
        <v>41131</v>
      </c>
      <c r="B3323" s="15" t="s">
        <v>1817</v>
      </c>
      <c r="C3323" s="15" t="s">
        <v>51</v>
      </c>
      <c r="D3323" s="16">
        <v>26</v>
      </c>
      <c r="E3323" s="17">
        <v>6163.52</v>
      </c>
      <c r="F3323" s="16">
        <v>0.02</v>
      </c>
      <c r="G3323" s="15" t="s">
        <v>58</v>
      </c>
      <c r="H3323" s="18">
        <v>755.95</v>
      </c>
      <c r="I3323" s="19">
        <v>225.02</v>
      </c>
      <c r="J3323" s="19">
        <v>28.66</v>
      </c>
      <c r="K3323" s="19" t="s">
        <v>124</v>
      </c>
      <c r="L3323" s="19" t="s">
        <v>160</v>
      </c>
      <c r="M3323" s="15" t="s">
        <v>1951</v>
      </c>
      <c r="N3323" s="15" t="s">
        <v>36</v>
      </c>
      <c r="O3323" s="15" t="s">
        <v>37</v>
      </c>
      <c r="P3323" s="20" t="s">
        <v>722</v>
      </c>
      <c r="Q3323" s="15" t="s">
        <v>181</v>
      </c>
      <c r="R3323" s="4"/>
      <c r="S3323" s="4"/>
    </row>
    <row r="3324" spans="1:19" ht="21" customHeight="1" x14ac:dyDescent="0.25">
      <c r="A3324" s="14">
        <f>DATE(2012,12,31)-1384</f>
        <v>39890</v>
      </c>
      <c r="B3324" s="15" t="s">
        <v>214</v>
      </c>
      <c r="C3324" s="15" t="s">
        <v>85</v>
      </c>
      <c r="D3324" s="16">
        <v>44</v>
      </c>
      <c r="E3324" s="17">
        <v>10364.36</v>
      </c>
      <c r="F3324" s="16">
        <v>0.01</v>
      </c>
      <c r="G3324" s="15" t="s">
        <v>58</v>
      </c>
      <c r="H3324" s="18">
        <v>1049.03</v>
      </c>
      <c r="I3324" s="19">
        <v>220.98</v>
      </c>
      <c r="J3324" s="19">
        <v>64.66</v>
      </c>
      <c r="K3324" s="19" t="s">
        <v>111</v>
      </c>
      <c r="L3324" s="19" t="s">
        <v>258</v>
      </c>
      <c r="M3324" s="15" t="s">
        <v>259</v>
      </c>
      <c r="N3324" s="15" t="s">
        <v>54</v>
      </c>
      <c r="O3324" s="15" t="s">
        <v>134</v>
      </c>
      <c r="P3324" s="20" t="s">
        <v>447</v>
      </c>
      <c r="Q3324" s="15" t="s">
        <v>63</v>
      </c>
      <c r="R3324" s="4"/>
      <c r="S3324" s="4"/>
    </row>
    <row r="3325" spans="1:19" ht="21" customHeight="1" x14ac:dyDescent="0.25">
      <c r="A3325" s="14">
        <f>DATE(2012,12,31)-35</f>
        <v>41239</v>
      </c>
      <c r="B3325" s="15" t="s">
        <v>131</v>
      </c>
      <c r="C3325" s="15" t="s">
        <v>43</v>
      </c>
      <c r="D3325" s="16">
        <v>16</v>
      </c>
      <c r="E3325" s="17">
        <v>487.7</v>
      </c>
      <c r="F3325" s="16">
        <v>0.06</v>
      </c>
      <c r="G3325" s="15" t="s">
        <v>32</v>
      </c>
      <c r="H3325" s="18">
        <v>-67.540000000000006</v>
      </c>
      <c r="I3325" s="19">
        <v>31.98</v>
      </c>
      <c r="J3325" s="19">
        <v>6.72</v>
      </c>
      <c r="K3325" s="19" t="s">
        <v>33</v>
      </c>
      <c r="L3325" s="19" t="s">
        <v>128</v>
      </c>
      <c r="M3325" s="15" t="s">
        <v>129</v>
      </c>
      <c r="N3325" s="15" t="s">
        <v>36</v>
      </c>
      <c r="O3325" s="15" t="s">
        <v>37</v>
      </c>
      <c r="P3325" s="20" t="s">
        <v>419</v>
      </c>
      <c r="Q3325" s="15" t="s">
        <v>83</v>
      </c>
      <c r="R3325" s="4"/>
      <c r="S3325" s="4"/>
    </row>
    <row r="3326" spans="1:19" ht="21" customHeight="1" x14ac:dyDescent="0.25">
      <c r="A3326" s="14">
        <f>DATE(2012,12,31)-1267</f>
        <v>40007</v>
      </c>
      <c r="B3326" s="15" t="s">
        <v>974</v>
      </c>
      <c r="C3326" s="15" t="s">
        <v>31</v>
      </c>
      <c r="D3326" s="16">
        <v>13</v>
      </c>
      <c r="E3326" s="17">
        <v>105.94</v>
      </c>
      <c r="F3326" s="16">
        <v>0.06</v>
      </c>
      <c r="G3326" s="15" t="s">
        <v>32</v>
      </c>
      <c r="H3326" s="18">
        <v>-566</v>
      </c>
      <c r="I3326" s="19">
        <v>4.4800000000000004</v>
      </c>
      <c r="J3326" s="19">
        <v>49</v>
      </c>
      <c r="K3326" s="19" t="s">
        <v>44</v>
      </c>
      <c r="L3326" s="19" t="s">
        <v>89</v>
      </c>
      <c r="M3326" s="15" t="s">
        <v>1932</v>
      </c>
      <c r="N3326" s="15" t="s">
        <v>36</v>
      </c>
      <c r="O3326" s="15" t="s">
        <v>176</v>
      </c>
      <c r="P3326" s="20" t="s">
        <v>314</v>
      </c>
      <c r="Q3326" s="15" t="s">
        <v>39</v>
      </c>
      <c r="R3326" s="4"/>
      <c r="S3326" s="4"/>
    </row>
    <row r="3327" spans="1:19" ht="21" customHeight="1" x14ac:dyDescent="0.25">
      <c r="A3327" s="14">
        <f>DATE(2012,12,31)-427</f>
        <v>40847</v>
      </c>
      <c r="B3327" s="15" t="s">
        <v>1059</v>
      </c>
      <c r="C3327" s="15" t="s">
        <v>85</v>
      </c>
      <c r="D3327" s="16">
        <v>30</v>
      </c>
      <c r="E3327" s="17">
        <v>200.24</v>
      </c>
      <c r="F3327" s="16">
        <v>0</v>
      </c>
      <c r="G3327" s="15" t="s">
        <v>32</v>
      </c>
      <c r="H3327" s="18">
        <v>-59.85</v>
      </c>
      <c r="I3327" s="19">
        <v>6.48</v>
      </c>
      <c r="J3327" s="19">
        <v>5.84</v>
      </c>
      <c r="K3327" s="19" t="s">
        <v>124</v>
      </c>
      <c r="L3327" s="19" t="s">
        <v>160</v>
      </c>
      <c r="M3327" s="15" t="s">
        <v>1951</v>
      </c>
      <c r="N3327" s="15" t="s">
        <v>36</v>
      </c>
      <c r="O3327" s="15" t="s">
        <v>117</v>
      </c>
      <c r="P3327" s="20" t="s">
        <v>2039</v>
      </c>
      <c r="Q3327" s="15" t="s">
        <v>83</v>
      </c>
      <c r="R3327" s="4"/>
      <c r="S3327" s="4"/>
    </row>
    <row r="3328" spans="1:19" ht="21" customHeight="1" x14ac:dyDescent="0.25">
      <c r="A3328" s="14">
        <f>DATE(2012,12,31)-1086</f>
        <v>40188</v>
      </c>
      <c r="B3328" s="15" t="s">
        <v>1970</v>
      </c>
      <c r="C3328" s="15" t="s">
        <v>31</v>
      </c>
      <c r="D3328" s="16">
        <v>46</v>
      </c>
      <c r="E3328" s="17">
        <v>21390.44</v>
      </c>
      <c r="F3328" s="16">
        <v>0.09</v>
      </c>
      <c r="G3328" s="15" t="s">
        <v>58</v>
      </c>
      <c r="H3328" s="18">
        <v>5365.43</v>
      </c>
      <c r="I3328" s="19">
        <v>500.98</v>
      </c>
      <c r="J3328" s="19">
        <v>26</v>
      </c>
      <c r="K3328" s="19" t="s">
        <v>33</v>
      </c>
      <c r="L3328" s="19" t="s">
        <v>145</v>
      </c>
      <c r="M3328" s="15" t="s">
        <v>2006</v>
      </c>
      <c r="N3328" s="15" t="s">
        <v>54</v>
      </c>
      <c r="O3328" s="15" t="s">
        <v>252</v>
      </c>
      <c r="P3328" s="20" t="s">
        <v>577</v>
      </c>
      <c r="Q3328" s="15" t="s">
        <v>181</v>
      </c>
      <c r="R3328" s="4"/>
      <c r="S3328" s="4"/>
    </row>
    <row r="3329" spans="1:19" ht="21" customHeight="1" x14ac:dyDescent="0.25">
      <c r="A3329" s="14">
        <f>DATE(2012,12,31)-1086</f>
        <v>40188</v>
      </c>
      <c r="B3329" s="15" t="s">
        <v>1970</v>
      </c>
      <c r="C3329" s="15" t="s">
        <v>31</v>
      </c>
      <c r="D3329" s="16">
        <v>7</v>
      </c>
      <c r="E3329" s="17">
        <v>169.75</v>
      </c>
      <c r="F3329" s="16">
        <v>0.09</v>
      </c>
      <c r="G3329" s="15" t="s">
        <v>32</v>
      </c>
      <c r="H3329" s="18">
        <v>-194.85</v>
      </c>
      <c r="I3329" s="19">
        <v>20.34</v>
      </c>
      <c r="J3329" s="19">
        <v>35</v>
      </c>
      <c r="K3329" s="19" t="s">
        <v>69</v>
      </c>
      <c r="L3329" s="19" t="s">
        <v>70</v>
      </c>
      <c r="M3329" s="15" t="s">
        <v>1895</v>
      </c>
      <c r="N3329" s="15" t="s">
        <v>36</v>
      </c>
      <c r="O3329" s="15" t="s">
        <v>37</v>
      </c>
      <c r="P3329" s="20" t="s">
        <v>1690</v>
      </c>
      <c r="Q3329" s="15" t="s">
        <v>39</v>
      </c>
      <c r="R3329" s="4"/>
      <c r="S3329" s="4"/>
    </row>
    <row r="3330" spans="1:19" ht="21" customHeight="1" x14ac:dyDescent="0.25">
      <c r="A3330" s="14">
        <f>DATE(2012,12,31)-1423</f>
        <v>39851</v>
      </c>
      <c r="B3330" s="15" t="s">
        <v>394</v>
      </c>
      <c r="C3330" s="15" t="s">
        <v>31</v>
      </c>
      <c r="D3330" s="16">
        <v>30</v>
      </c>
      <c r="E3330" s="17">
        <v>630.14</v>
      </c>
      <c r="F3330" s="16">
        <v>0.04</v>
      </c>
      <c r="G3330" s="15" t="s">
        <v>32</v>
      </c>
      <c r="H3330" s="18">
        <v>108</v>
      </c>
      <c r="I3330" s="19">
        <v>19.98</v>
      </c>
      <c r="J3330" s="19">
        <v>8.68</v>
      </c>
      <c r="K3330" s="19" t="s">
        <v>44</v>
      </c>
      <c r="L3330" s="19" t="s">
        <v>45</v>
      </c>
      <c r="M3330" s="15" t="s">
        <v>1985</v>
      </c>
      <c r="N3330" s="15" t="s">
        <v>36</v>
      </c>
      <c r="O3330" s="15" t="s">
        <v>117</v>
      </c>
      <c r="P3330" s="20" t="s">
        <v>1274</v>
      </c>
      <c r="Q3330" s="15" t="s">
        <v>83</v>
      </c>
      <c r="R3330" s="4"/>
      <c r="S3330" s="4"/>
    </row>
    <row r="3331" spans="1:19" ht="21" customHeight="1" x14ac:dyDescent="0.25">
      <c r="A3331" s="14">
        <f>DATE(2012,12,31)-1423</f>
        <v>39851</v>
      </c>
      <c r="B3331" s="15" t="s">
        <v>394</v>
      </c>
      <c r="C3331" s="15" t="s">
        <v>31</v>
      </c>
      <c r="D3331" s="16">
        <v>28</v>
      </c>
      <c r="E3331" s="17">
        <v>2813.8484999999996</v>
      </c>
      <c r="F3331" s="16">
        <v>0.08</v>
      </c>
      <c r="G3331" s="15" t="s">
        <v>32</v>
      </c>
      <c r="H3331" s="18">
        <v>377.154</v>
      </c>
      <c r="I3331" s="19">
        <v>125.99</v>
      </c>
      <c r="J3331" s="19">
        <v>7.69</v>
      </c>
      <c r="K3331" s="19" t="s">
        <v>97</v>
      </c>
      <c r="L3331" s="19" t="s">
        <v>98</v>
      </c>
      <c r="M3331" s="15" t="s">
        <v>1991</v>
      </c>
      <c r="N3331" s="15" t="s">
        <v>64</v>
      </c>
      <c r="O3331" s="15" t="s">
        <v>65</v>
      </c>
      <c r="P3331" s="20" t="s">
        <v>860</v>
      </c>
      <c r="Q3331" s="15" t="s">
        <v>83</v>
      </c>
      <c r="R3331" s="4"/>
      <c r="S3331" s="4"/>
    </row>
    <row r="3332" spans="1:19" ht="21" customHeight="1" x14ac:dyDescent="0.25">
      <c r="A3332" s="14">
        <f>DATE(2012,12,31)-210</f>
        <v>41064</v>
      </c>
      <c r="B3332" s="15" t="s">
        <v>728</v>
      </c>
      <c r="C3332" s="15" t="s">
        <v>43</v>
      </c>
      <c r="D3332" s="16">
        <v>7</v>
      </c>
      <c r="E3332" s="17">
        <v>86.61</v>
      </c>
      <c r="F3332" s="16">
        <v>0.1</v>
      </c>
      <c r="G3332" s="15" t="s">
        <v>32</v>
      </c>
      <c r="H3332" s="18">
        <v>15.691000000000001</v>
      </c>
      <c r="I3332" s="19">
        <v>12.97</v>
      </c>
      <c r="J3332" s="19">
        <v>1.49</v>
      </c>
      <c r="K3332" s="19" t="s">
        <v>97</v>
      </c>
      <c r="L3332" s="19" t="s">
        <v>98</v>
      </c>
      <c r="M3332" s="15" t="s">
        <v>1991</v>
      </c>
      <c r="N3332" s="15" t="s">
        <v>36</v>
      </c>
      <c r="O3332" s="15" t="s">
        <v>170</v>
      </c>
      <c r="P3332" s="20" t="s">
        <v>873</v>
      </c>
      <c r="Q3332" s="15" t="s">
        <v>83</v>
      </c>
      <c r="R3332" s="4"/>
      <c r="S3332" s="4"/>
    </row>
    <row r="3333" spans="1:19" ht="21" customHeight="1" x14ac:dyDescent="0.25">
      <c r="A3333" s="14">
        <f>DATE(2012,12,31)-157</f>
        <v>41117</v>
      </c>
      <c r="B3333" s="15" t="s">
        <v>1125</v>
      </c>
      <c r="C3333" s="15" t="s">
        <v>85</v>
      </c>
      <c r="D3333" s="16">
        <v>32</v>
      </c>
      <c r="E3333" s="17">
        <v>5845.82</v>
      </c>
      <c r="F3333" s="16">
        <v>0.1</v>
      </c>
      <c r="G3333" s="15" t="s">
        <v>58</v>
      </c>
      <c r="H3333" s="18">
        <v>2227.89</v>
      </c>
      <c r="I3333" s="19">
        <v>200.97</v>
      </c>
      <c r="J3333" s="19">
        <v>15.59</v>
      </c>
      <c r="K3333" s="19" t="s">
        <v>97</v>
      </c>
      <c r="L3333" s="19" t="s">
        <v>195</v>
      </c>
      <c r="M3333" s="15" t="s">
        <v>2040</v>
      </c>
      <c r="N3333" s="15" t="s">
        <v>64</v>
      </c>
      <c r="O3333" s="15" t="s">
        <v>122</v>
      </c>
      <c r="P3333" s="20" t="s">
        <v>1728</v>
      </c>
      <c r="Q3333" s="15" t="s">
        <v>181</v>
      </c>
      <c r="R3333" s="4"/>
      <c r="S3333" s="4"/>
    </row>
    <row r="3334" spans="1:19" ht="21" customHeight="1" x14ac:dyDescent="0.25">
      <c r="A3334" s="14">
        <f>DATE(2012,12,31)-836</f>
        <v>40438</v>
      </c>
      <c r="B3334" s="15" t="s">
        <v>725</v>
      </c>
      <c r="C3334" s="15" t="s">
        <v>31</v>
      </c>
      <c r="D3334" s="16">
        <v>20</v>
      </c>
      <c r="E3334" s="17">
        <v>127.16</v>
      </c>
      <c r="F3334" s="16">
        <v>0.1</v>
      </c>
      <c r="G3334" s="15" t="s">
        <v>32</v>
      </c>
      <c r="H3334" s="18">
        <v>-74.03</v>
      </c>
      <c r="I3334" s="19">
        <v>6.68</v>
      </c>
      <c r="J3334" s="19">
        <v>6.92</v>
      </c>
      <c r="K3334" s="19" t="s">
        <v>44</v>
      </c>
      <c r="L3334" s="19" t="s">
        <v>236</v>
      </c>
      <c r="M3334" s="15" t="s">
        <v>1887</v>
      </c>
      <c r="N3334" s="15" t="s">
        <v>36</v>
      </c>
      <c r="O3334" s="15" t="s">
        <v>117</v>
      </c>
      <c r="P3334" s="20" t="s">
        <v>878</v>
      </c>
      <c r="Q3334" s="15" t="s">
        <v>83</v>
      </c>
      <c r="R3334" s="4"/>
      <c r="S3334" s="4"/>
    </row>
    <row r="3335" spans="1:19" ht="21" customHeight="1" x14ac:dyDescent="0.25">
      <c r="A3335" s="14">
        <f>DATE(2012,12,31)-1274</f>
        <v>40000</v>
      </c>
      <c r="B3335" s="15" t="s">
        <v>791</v>
      </c>
      <c r="C3335" s="15" t="s">
        <v>43</v>
      </c>
      <c r="D3335" s="16">
        <v>40</v>
      </c>
      <c r="E3335" s="17">
        <v>1861.36</v>
      </c>
      <c r="F3335" s="16">
        <v>0</v>
      </c>
      <c r="G3335" s="15" t="s">
        <v>32</v>
      </c>
      <c r="H3335" s="18">
        <v>627.85</v>
      </c>
      <c r="I3335" s="19">
        <v>42.98</v>
      </c>
      <c r="J3335" s="19">
        <v>4.62</v>
      </c>
      <c r="K3335" s="19" t="s">
        <v>97</v>
      </c>
      <c r="L3335" s="19" t="s">
        <v>195</v>
      </c>
      <c r="M3335" s="15" t="s">
        <v>2040</v>
      </c>
      <c r="N3335" s="15" t="s">
        <v>36</v>
      </c>
      <c r="O3335" s="15" t="s">
        <v>176</v>
      </c>
      <c r="P3335" s="20" t="s">
        <v>1670</v>
      </c>
      <c r="Q3335" s="15" t="s">
        <v>83</v>
      </c>
      <c r="R3335" s="4"/>
      <c r="S3335" s="4"/>
    </row>
    <row r="3336" spans="1:19" ht="21" customHeight="1" x14ac:dyDescent="0.25">
      <c r="A3336" s="14">
        <f>DATE(2012,12,31)-1274</f>
        <v>40000</v>
      </c>
      <c r="B3336" s="15" t="s">
        <v>791</v>
      </c>
      <c r="C3336" s="15" t="s">
        <v>43</v>
      </c>
      <c r="D3336" s="16">
        <v>42</v>
      </c>
      <c r="E3336" s="17">
        <v>937.62</v>
      </c>
      <c r="F3336" s="16">
        <v>0.03</v>
      </c>
      <c r="G3336" s="15" t="s">
        <v>32</v>
      </c>
      <c r="H3336" s="18">
        <v>187.2</v>
      </c>
      <c r="I3336" s="19">
        <v>21.78</v>
      </c>
      <c r="J3336" s="19">
        <v>5.94</v>
      </c>
      <c r="K3336" s="19" t="s">
        <v>33</v>
      </c>
      <c r="L3336" s="19" t="s">
        <v>59</v>
      </c>
      <c r="M3336" s="15" t="s">
        <v>2033</v>
      </c>
      <c r="N3336" s="15" t="s">
        <v>36</v>
      </c>
      <c r="O3336" s="15" t="s">
        <v>176</v>
      </c>
      <c r="P3336" s="20" t="s">
        <v>257</v>
      </c>
      <c r="Q3336" s="15" t="s">
        <v>57</v>
      </c>
      <c r="R3336" s="4"/>
      <c r="S3336" s="4"/>
    </row>
    <row r="3337" spans="1:19" ht="21" customHeight="1" x14ac:dyDescent="0.25">
      <c r="A3337" s="14">
        <f>DATE(2012,12,31)-1274</f>
        <v>40000</v>
      </c>
      <c r="B3337" s="15" t="s">
        <v>791</v>
      </c>
      <c r="C3337" s="15" t="s">
        <v>43</v>
      </c>
      <c r="D3337" s="16">
        <v>11</v>
      </c>
      <c r="E3337" s="17">
        <v>33.020000000000003</v>
      </c>
      <c r="F3337" s="16">
        <v>0.08</v>
      </c>
      <c r="G3337" s="15" t="s">
        <v>32</v>
      </c>
      <c r="H3337" s="18">
        <v>8.4</v>
      </c>
      <c r="I3337" s="19">
        <v>3.15</v>
      </c>
      <c r="J3337" s="19">
        <v>0.5</v>
      </c>
      <c r="K3337" s="19" t="s">
        <v>44</v>
      </c>
      <c r="L3337" s="19" t="s">
        <v>45</v>
      </c>
      <c r="M3337" s="15" t="s">
        <v>1985</v>
      </c>
      <c r="N3337" s="15" t="s">
        <v>36</v>
      </c>
      <c r="O3337" s="15" t="s">
        <v>114</v>
      </c>
      <c r="P3337" s="20" t="s">
        <v>1718</v>
      </c>
      <c r="Q3337" s="15" t="s">
        <v>83</v>
      </c>
      <c r="R3337" s="4"/>
      <c r="S3337" s="4"/>
    </row>
    <row r="3338" spans="1:19" ht="21" customHeight="1" x14ac:dyDescent="0.25">
      <c r="A3338" s="14">
        <f>DATE(2012,12,31)-52</f>
        <v>41222</v>
      </c>
      <c r="B3338" s="15" t="s">
        <v>1282</v>
      </c>
      <c r="C3338" s="15" t="s">
        <v>43</v>
      </c>
      <c r="D3338" s="16">
        <v>7</v>
      </c>
      <c r="E3338" s="17">
        <v>1278.6464999999998</v>
      </c>
      <c r="F3338" s="16">
        <v>0.01</v>
      </c>
      <c r="G3338" s="15" t="s">
        <v>32</v>
      </c>
      <c r="H3338" s="18">
        <v>-396.16500000000002</v>
      </c>
      <c r="I3338" s="19">
        <v>200.99</v>
      </c>
      <c r="J3338" s="19">
        <v>4.2</v>
      </c>
      <c r="K3338" s="19" t="s">
        <v>97</v>
      </c>
      <c r="L3338" s="19" t="s">
        <v>195</v>
      </c>
      <c r="M3338" s="15" t="s">
        <v>2040</v>
      </c>
      <c r="N3338" s="15" t="s">
        <v>64</v>
      </c>
      <c r="O3338" s="15" t="s">
        <v>65</v>
      </c>
      <c r="P3338" s="20" t="s">
        <v>740</v>
      </c>
      <c r="Q3338" s="15" t="s">
        <v>83</v>
      </c>
      <c r="R3338" s="4"/>
      <c r="S3338" s="4"/>
    </row>
    <row r="3339" spans="1:19" ht="21" customHeight="1" x14ac:dyDescent="0.25">
      <c r="A3339" s="14">
        <f>DATE(2012,12,31)-1268</f>
        <v>40006</v>
      </c>
      <c r="B3339" s="15" t="s">
        <v>416</v>
      </c>
      <c r="C3339" s="15" t="s">
        <v>43</v>
      </c>
      <c r="D3339" s="16">
        <v>31</v>
      </c>
      <c r="E3339" s="17">
        <v>1624.5964999999999</v>
      </c>
      <c r="F3339" s="16">
        <v>7.0000000000000007E-2</v>
      </c>
      <c r="G3339" s="15" t="s">
        <v>32</v>
      </c>
      <c r="H3339" s="18">
        <v>109.83600000000001</v>
      </c>
      <c r="I3339" s="19">
        <v>65.989999999999995</v>
      </c>
      <c r="J3339" s="19">
        <v>8.8000000000000007</v>
      </c>
      <c r="K3339" s="19" t="s">
        <v>44</v>
      </c>
      <c r="L3339" s="19" t="s">
        <v>80</v>
      </c>
      <c r="M3339" s="15" t="s">
        <v>2012</v>
      </c>
      <c r="N3339" s="15" t="s">
        <v>64</v>
      </c>
      <c r="O3339" s="15" t="s">
        <v>65</v>
      </c>
      <c r="P3339" s="20" t="s">
        <v>2041</v>
      </c>
      <c r="Q3339" s="15" t="s">
        <v>83</v>
      </c>
      <c r="R3339" s="4"/>
      <c r="S3339" s="4"/>
    </row>
    <row r="3340" spans="1:19" ht="21" customHeight="1" x14ac:dyDescent="0.25">
      <c r="A3340" s="14">
        <f>DATE(2012,12,31)-1268</f>
        <v>40006</v>
      </c>
      <c r="B3340" s="15" t="s">
        <v>416</v>
      </c>
      <c r="C3340" s="15" t="s">
        <v>43</v>
      </c>
      <c r="D3340" s="16">
        <v>35</v>
      </c>
      <c r="E3340" s="17">
        <v>381.36</v>
      </c>
      <c r="F3340" s="16">
        <v>0</v>
      </c>
      <c r="G3340" s="15" t="s">
        <v>101</v>
      </c>
      <c r="H3340" s="18">
        <v>128.03</v>
      </c>
      <c r="I3340" s="19">
        <v>10.01</v>
      </c>
      <c r="J3340" s="19">
        <v>1.99</v>
      </c>
      <c r="K3340" s="19" t="s">
        <v>44</v>
      </c>
      <c r="L3340" s="19" t="s">
        <v>89</v>
      </c>
      <c r="M3340" s="15" t="s">
        <v>1932</v>
      </c>
      <c r="N3340" s="15" t="s">
        <v>64</v>
      </c>
      <c r="O3340" s="15" t="s">
        <v>72</v>
      </c>
      <c r="P3340" s="20" t="s">
        <v>471</v>
      </c>
      <c r="Q3340" s="15" t="s">
        <v>49</v>
      </c>
      <c r="R3340" s="4"/>
      <c r="S3340" s="4"/>
    </row>
    <row r="3341" spans="1:19" ht="21" customHeight="1" x14ac:dyDescent="0.25">
      <c r="A3341" s="14">
        <f>DATE(2012,12,31)-833</f>
        <v>40441</v>
      </c>
      <c r="B3341" s="15" t="s">
        <v>1889</v>
      </c>
      <c r="C3341" s="15" t="s">
        <v>85</v>
      </c>
      <c r="D3341" s="16">
        <v>37</v>
      </c>
      <c r="E3341" s="17">
        <v>321.02</v>
      </c>
      <c r="F3341" s="16">
        <v>0.1</v>
      </c>
      <c r="G3341" s="15" t="s">
        <v>101</v>
      </c>
      <c r="H3341" s="18">
        <v>-11.88</v>
      </c>
      <c r="I3341" s="19">
        <v>8.67</v>
      </c>
      <c r="J3341" s="19">
        <v>3.5</v>
      </c>
      <c r="K3341" s="19" t="s">
        <v>33</v>
      </c>
      <c r="L3341" s="19" t="s">
        <v>128</v>
      </c>
      <c r="M3341" s="15" t="s">
        <v>129</v>
      </c>
      <c r="N3341" s="15" t="s">
        <v>36</v>
      </c>
      <c r="O3341" s="15" t="s">
        <v>176</v>
      </c>
      <c r="P3341" s="20" t="s">
        <v>841</v>
      </c>
      <c r="Q3341" s="15" t="s">
        <v>83</v>
      </c>
      <c r="R3341" s="4"/>
      <c r="S3341" s="4"/>
    </row>
    <row r="3342" spans="1:19" ht="21" customHeight="1" x14ac:dyDescent="0.25">
      <c r="A3342" s="14">
        <f>DATE(2012,12,31)-536</f>
        <v>40738</v>
      </c>
      <c r="B3342" s="15" t="s">
        <v>74</v>
      </c>
      <c r="C3342" s="15" t="s">
        <v>43</v>
      </c>
      <c r="D3342" s="16">
        <v>7</v>
      </c>
      <c r="E3342" s="17">
        <v>384.2</v>
      </c>
      <c r="F3342" s="16">
        <v>0.05</v>
      </c>
      <c r="G3342" s="15" t="s">
        <v>32</v>
      </c>
      <c r="H3342" s="18">
        <v>-164.46099999999998</v>
      </c>
      <c r="I3342" s="19">
        <v>65.989999999999995</v>
      </c>
      <c r="J3342" s="19">
        <v>2.5</v>
      </c>
      <c r="K3342" s="19" t="s">
        <v>124</v>
      </c>
      <c r="L3342" s="19" t="s">
        <v>168</v>
      </c>
      <c r="M3342" s="15" t="s">
        <v>1624</v>
      </c>
      <c r="N3342" s="15" t="s">
        <v>64</v>
      </c>
      <c r="O3342" s="15" t="s">
        <v>65</v>
      </c>
      <c r="P3342" s="20" t="s">
        <v>272</v>
      </c>
      <c r="Q3342" s="15" t="s">
        <v>83</v>
      </c>
      <c r="R3342" s="4"/>
      <c r="S3342" s="4"/>
    </row>
    <row r="3343" spans="1:19" ht="21" customHeight="1" x14ac:dyDescent="0.25">
      <c r="A3343" s="14">
        <f>DATE(2012,12,31)-213</f>
        <v>41061</v>
      </c>
      <c r="B3343" s="15" t="s">
        <v>1423</v>
      </c>
      <c r="C3343" s="15" t="s">
        <v>85</v>
      </c>
      <c r="D3343" s="16">
        <v>21</v>
      </c>
      <c r="E3343" s="17">
        <v>2580.67</v>
      </c>
      <c r="F3343" s="16">
        <v>0.1</v>
      </c>
      <c r="G3343" s="15" t="s">
        <v>58</v>
      </c>
      <c r="H3343" s="18">
        <v>-1050.77</v>
      </c>
      <c r="I3343" s="19">
        <v>122.99</v>
      </c>
      <c r="J3343" s="19">
        <v>70.2</v>
      </c>
      <c r="K3343" s="19" t="s">
        <v>124</v>
      </c>
      <c r="L3343" s="19" t="s">
        <v>319</v>
      </c>
      <c r="M3343" s="15" t="s">
        <v>1966</v>
      </c>
      <c r="N3343" s="15" t="s">
        <v>54</v>
      </c>
      <c r="O3343" s="15" t="s">
        <v>252</v>
      </c>
      <c r="P3343" s="20" t="s">
        <v>819</v>
      </c>
      <c r="Q3343" s="15" t="s">
        <v>181</v>
      </c>
      <c r="R3343" s="4"/>
      <c r="S3343" s="4"/>
    </row>
    <row r="3344" spans="1:19" ht="21" customHeight="1" x14ac:dyDescent="0.25">
      <c r="A3344" s="14">
        <f>DATE(2012,12,31)-213</f>
        <v>41061</v>
      </c>
      <c r="B3344" s="15" t="s">
        <v>1423</v>
      </c>
      <c r="C3344" s="15" t="s">
        <v>85</v>
      </c>
      <c r="D3344" s="16">
        <v>19</v>
      </c>
      <c r="E3344" s="17">
        <v>955.46</v>
      </c>
      <c r="F3344" s="16">
        <v>0.03</v>
      </c>
      <c r="G3344" s="15" t="s">
        <v>32</v>
      </c>
      <c r="H3344" s="18">
        <v>-79.05</v>
      </c>
      <c r="I3344" s="19">
        <v>50.98</v>
      </c>
      <c r="J3344" s="19">
        <v>6.5</v>
      </c>
      <c r="K3344" s="19" t="s">
        <v>33</v>
      </c>
      <c r="L3344" s="19" t="s">
        <v>145</v>
      </c>
      <c r="M3344" s="15" t="s">
        <v>2006</v>
      </c>
      <c r="N3344" s="15" t="s">
        <v>64</v>
      </c>
      <c r="O3344" s="15" t="s">
        <v>72</v>
      </c>
      <c r="P3344" s="20" t="s">
        <v>1422</v>
      </c>
      <c r="Q3344" s="15" t="s">
        <v>83</v>
      </c>
      <c r="R3344" s="4"/>
      <c r="S3344" s="4"/>
    </row>
    <row r="3345" spans="1:19" ht="21" customHeight="1" x14ac:dyDescent="0.25">
      <c r="A3345" s="14">
        <f>DATE(2012,12,31)-213</f>
        <v>41061</v>
      </c>
      <c r="B3345" s="15" t="s">
        <v>1423</v>
      </c>
      <c r="C3345" s="15" t="s">
        <v>85</v>
      </c>
      <c r="D3345" s="16">
        <v>3</v>
      </c>
      <c r="E3345" s="17">
        <v>121.26</v>
      </c>
      <c r="F3345" s="16">
        <v>0</v>
      </c>
      <c r="G3345" s="15" t="s">
        <v>32</v>
      </c>
      <c r="H3345" s="18">
        <v>-12.52</v>
      </c>
      <c r="I3345" s="19">
        <v>35.44</v>
      </c>
      <c r="J3345" s="19">
        <v>7.5</v>
      </c>
      <c r="K3345" s="19" t="s">
        <v>33</v>
      </c>
      <c r="L3345" s="19" t="s">
        <v>145</v>
      </c>
      <c r="M3345" s="15" t="s">
        <v>2006</v>
      </c>
      <c r="N3345" s="15" t="s">
        <v>36</v>
      </c>
      <c r="O3345" s="15" t="s">
        <v>117</v>
      </c>
      <c r="P3345" s="20" t="s">
        <v>1697</v>
      </c>
      <c r="Q3345" s="15" t="s">
        <v>83</v>
      </c>
      <c r="R3345" s="4"/>
      <c r="S3345" s="4"/>
    </row>
    <row r="3346" spans="1:19" ht="21" customHeight="1" x14ac:dyDescent="0.25">
      <c r="A3346" s="14">
        <f>DATE(2012,12,31)-1110</f>
        <v>40164</v>
      </c>
      <c r="B3346" s="15" t="s">
        <v>307</v>
      </c>
      <c r="C3346" s="15" t="s">
        <v>85</v>
      </c>
      <c r="D3346" s="16">
        <v>27</v>
      </c>
      <c r="E3346" s="17">
        <v>71.39</v>
      </c>
      <c r="F3346" s="16">
        <v>0.09</v>
      </c>
      <c r="G3346" s="15" t="s">
        <v>32</v>
      </c>
      <c r="H3346" s="18">
        <v>-39.33</v>
      </c>
      <c r="I3346" s="19">
        <v>2.6</v>
      </c>
      <c r="J3346" s="19">
        <v>2.4</v>
      </c>
      <c r="K3346" s="19" t="s">
        <v>33</v>
      </c>
      <c r="L3346" s="19" t="s">
        <v>34</v>
      </c>
      <c r="M3346" s="15" t="s">
        <v>1915</v>
      </c>
      <c r="N3346" s="15" t="s">
        <v>36</v>
      </c>
      <c r="O3346" s="15" t="s">
        <v>77</v>
      </c>
      <c r="P3346" s="20" t="s">
        <v>1783</v>
      </c>
      <c r="Q3346" s="15" t="s">
        <v>79</v>
      </c>
      <c r="R3346" s="4"/>
      <c r="S3346" s="4"/>
    </row>
    <row r="3347" spans="1:19" ht="21" customHeight="1" x14ac:dyDescent="0.25">
      <c r="A3347" s="14">
        <f>DATE(2012,12,31)-633</f>
        <v>40641</v>
      </c>
      <c r="B3347" s="15" t="s">
        <v>1037</v>
      </c>
      <c r="C3347" s="15" t="s">
        <v>85</v>
      </c>
      <c r="D3347" s="16">
        <v>20</v>
      </c>
      <c r="E3347" s="17">
        <v>138.52000000000001</v>
      </c>
      <c r="F3347" s="16">
        <v>0.03</v>
      </c>
      <c r="G3347" s="15" t="s">
        <v>32</v>
      </c>
      <c r="H3347" s="18">
        <v>-895.24</v>
      </c>
      <c r="I3347" s="19">
        <v>4.4800000000000004</v>
      </c>
      <c r="J3347" s="19">
        <v>49</v>
      </c>
      <c r="K3347" s="19" t="s">
        <v>33</v>
      </c>
      <c r="L3347" s="19" t="s">
        <v>145</v>
      </c>
      <c r="M3347" s="15" t="s">
        <v>2006</v>
      </c>
      <c r="N3347" s="15" t="s">
        <v>36</v>
      </c>
      <c r="O3347" s="15" t="s">
        <v>176</v>
      </c>
      <c r="P3347" s="20" t="s">
        <v>314</v>
      </c>
      <c r="Q3347" s="15" t="s">
        <v>39</v>
      </c>
      <c r="R3347" s="4"/>
      <c r="S3347" s="4"/>
    </row>
    <row r="3348" spans="1:19" ht="21" customHeight="1" x14ac:dyDescent="0.25">
      <c r="A3348" s="14">
        <f>DATE(2012,12,31)-633</f>
        <v>40641</v>
      </c>
      <c r="B3348" s="15" t="s">
        <v>1037</v>
      </c>
      <c r="C3348" s="15" t="s">
        <v>85</v>
      </c>
      <c r="D3348" s="16">
        <v>11</v>
      </c>
      <c r="E3348" s="17">
        <v>1735.59</v>
      </c>
      <c r="F3348" s="16">
        <v>0.02</v>
      </c>
      <c r="G3348" s="15" t="s">
        <v>58</v>
      </c>
      <c r="H3348" s="18">
        <v>-506.43</v>
      </c>
      <c r="I3348" s="19">
        <v>150.88999999999999</v>
      </c>
      <c r="J3348" s="19">
        <v>60.2</v>
      </c>
      <c r="K3348" s="19" t="s">
        <v>33</v>
      </c>
      <c r="L3348" s="19" t="s">
        <v>145</v>
      </c>
      <c r="M3348" s="15" t="s">
        <v>2006</v>
      </c>
      <c r="N3348" s="15" t="s">
        <v>54</v>
      </c>
      <c r="O3348" s="15" t="s">
        <v>252</v>
      </c>
      <c r="P3348" s="20" t="s">
        <v>255</v>
      </c>
      <c r="Q3348" s="15" t="s">
        <v>181</v>
      </c>
      <c r="R3348" s="4"/>
      <c r="S3348" s="4"/>
    </row>
    <row r="3349" spans="1:19" ht="21" customHeight="1" x14ac:dyDescent="0.25">
      <c r="A3349" s="14">
        <f>DATE(2012,12,31)-557</f>
        <v>40717</v>
      </c>
      <c r="B3349" s="15" t="s">
        <v>1628</v>
      </c>
      <c r="C3349" s="15" t="s">
        <v>85</v>
      </c>
      <c r="D3349" s="16">
        <v>24</v>
      </c>
      <c r="E3349" s="17">
        <v>376.53</v>
      </c>
      <c r="F3349" s="16">
        <v>0.03</v>
      </c>
      <c r="G3349" s="15" t="s">
        <v>32</v>
      </c>
      <c r="H3349" s="18">
        <v>3.44</v>
      </c>
      <c r="I3349" s="19">
        <v>15.94</v>
      </c>
      <c r="J3349" s="19">
        <v>5.45</v>
      </c>
      <c r="K3349" s="19" t="s">
        <v>69</v>
      </c>
      <c r="L3349" s="19" t="s">
        <v>215</v>
      </c>
      <c r="M3349" s="15" t="s">
        <v>2038</v>
      </c>
      <c r="N3349" s="15" t="s">
        <v>36</v>
      </c>
      <c r="O3349" s="15" t="s">
        <v>77</v>
      </c>
      <c r="P3349" s="20" t="s">
        <v>755</v>
      </c>
      <c r="Q3349" s="15" t="s">
        <v>49</v>
      </c>
      <c r="R3349" s="4"/>
      <c r="S3349" s="4"/>
    </row>
    <row r="3350" spans="1:19" ht="21" customHeight="1" x14ac:dyDescent="0.25">
      <c r="A3350" s="14">
        <f>DATE(2012,12,31)-668</f>
        <v>40606</v>
      </c>
      <c r="B3350" s="15" t="s">
        <v>223</v>
      </c>
      <c r="C3350" s="15" t="s">
        <v>85</v>
      </c>
      <c r="D3350" s="16">
        <v>19</v>
      </c>
      <c r="E3350" s="17">
        <v>127.48</v>
      </c>
      <c r="F3350" s="16">
        <v>0.05</v>
      </c>
      <c r="G3350" s="15" t="s">
        <v>32</v>
      </c>
      <c r="H3350" s="18">
        <v>-41.99</v>
      </c>
      <c r="I3350" s="19">
        <v>6.48</v>
      </c>
      <c r="J3350" s="19">
        <v>5.84</v>
      </c>
      <c r="K3350" s="19" t="s">
        <v>111</v>
      </c>
      <c r="L3350" s="19" t="s">
        <v>407</v>
      </c>
      <c r="M3350" s="15" t="s">
        <v>407</v>
      </c>
      <c r="N3350" s="15" t="s">
        <v>36</v>
      </c>
      <c r="O3350" s="15" t="s">
        <v>117</v>
      </c>
      <c r="P3350" s="20" t="s">
        <v>2039</v>
      </c>
      <c r="Q3350" s="15" t="s">
        <v>83</v>
      </c>
      <c r="R3350" s="4"/>
      <c r="S3350" s="4"/>
    </row>
    <row r="3351" spans="1:19" ht="21" customHeight="1" x14ac:dyDescent="0.25">
      <c r="A3351" s="14">
        <f>DATE(2012,12,31)-1136</f>
        <v>40138</v>
      </c>
      <c r="B3351" s="15" t="s">
        <v>1177</v>
      </c>
      <c r="C3351" s="15" t="s">
        <v>85</v>
      </c>
      <c r="D3351" s="16">
        <v>5</v>
      </c>
      <c r="E3351" s="17">
        <v>66.63</v>
      </c>
      <c r="F3351" s="16">
        <v>0</v>
      </c>
      <c r="G3351" s="15" t="s">
        <v>32</v>
      </c>
      <c r="H3351" s="18">
        <v>-16.920000000000002</v>
      </c>
      <c r="I3351" s="19">
        <v>11.97</v>
      </c>
      <c r="J3351" s="19">
        <v>4.9800000000000004</v>
      </c>
      <c r="K3351" s="19" t="s">
        <v>111</v>
      </c>
      <c r="L3351" s="19" t="s">
        <v>407</v>
      </c>
      <c r="M3351" s="15" t="s">
        <v>407</v>
      </c>
      <c r="N3351" s="15" t="s">
        <v>36</v>
      </c>
      <c r="O3351" s="15" t="s">
        <v>176</v>
      </c>
      <c r="P3351" s="20" t="s">
        <v>1735</v>
      </c>
      <c r="Q3351" s="15" t="s">
        <v>83</v>
      </c>
      <c r="R3351" s="4"/>
      <c r="S3351" s="4"/>
    </row>
    <row r="3352" spans="1:19" ht="21" customHeight="1" x14ac:dyDescent="0.25">
      <c r="A3352" s="14">
        <f>DATE(2012,12,31)-1157</f>
        <v>40117</v>
      </c>
      <c r="B3352" s="15" t="s">
        <v>937</v>
      </c>
      <c r="C3352" s="15" t="s">
        <v>85</v>
      </c>
      <c r="D3352" s="16">
        <v>49</v>
      </c>
      <c r="E3352" s="17">
        <v>87.44</v>
      </c>
      <c r="F3352" s="16">
        <v>0.06</v>
      </c>
      <c r="G3352" s="15" t="s">
        <v>32</v>
      </c>
      <c r="H3352" s="18">
        <v>1.33</v>
      </c>
      <c r="I3352" s="19">
        <v>1.76</v>
      </c>
      <c r="J3352" s="19">
        <v>0.7</v>
      </c>
      <c r="K3352" s="19" t="s">
        <v>44</v>
      </c>
      <c r="L3352" s="19" t="s">
        <v>89</v>
      </c>
      <c r="M3352" s="15" t="s">
        <v>1932</v>
      </c>
      <c r="N3352" s="15" t="s">
        <v>36</v>
      </c>
      <c r="O3352" s="15" t="s">
        <v>77</v>
      </c>
      <c r="P3352" s="20" t="s">
        <v>526</v>
      </c>
      <c r="Q3352" s="15" t="s">
        <v>79</v>
      </c>
      <c r="R3352" s="4"/>
      <c r="S3352" s="4"/>
    </row>
    <row r="3353" spans="1:19" ht="21" customHeight="1" x14ac:dyDescent="0.25">
      <c r="A3353" s="14">
        <f>DATE(2012,12,31)-1157</f>
        <v>40117</v>
      </c>
      <c r="B3353" s="15" t="s">
        <v>937</v>
      </c>
      <c r="C3353" s="15" t="s">
        <v>85</v>
      </c>
      <c r="D3353" s="16">
        <v>50</v>
      </c>
      <c r="E3353" s="17">
        <v>1318.49</v>
      </c>
      <c r="F3353" s="16">
        <v>0.02</v>
      </c>
      <c r="G3353" s="15" t="s">
        <v>32</v>
      </c>
      <c r="H3353" s="18">
        <v>4.6900000000000004</v>
      </c>
      <c r="I3353" s="19">
        <v>24.98</v>
      </c>
      <c r="J3353" s="19">
        <v>8.7899999999999991</v>
      </c>
      <c r="K3353" s="19" t="s">
        <v>44</v>
      </c>
      <c r="L3353" s="19" t="s">
        <v>89</v>
      </c>
      <c r="M3353" s="15" t="s">
        <v>1932</v>
      </c>
      <c r="N3353" s="15" t="s">
        <v>36</v>
      </c>
      <c r="O3353" s="15" t="s">
        <v>37</v>
      </c>
      <c r="P3353" s="20" t="s">
        <v>1613</v>
      </c>
      <c r="Q3353" s="15" t="s">
        <v>83</v>
      </c>
      <c r="R3353" s="4"/>
      <c r="S3353" s="4"/>
    </row>
    <row r="3354" spans="1:19" ht="21" customHeight="1" x14ac:dyDescent="0.25">
      <c r="A3354" s="14">
        <f>DATE(2012,12,31)-1157</f>
        <v>40117</v>
      </c>
      <c r="B3354" s="15" t="s">
        <v>937</v>
      </c>
      <c r="C3354" s="15" t="s">
        <v>85</v>
      </c>
      <c r="D3354" s="16">
        <v>9</v>
      </c>
      <c r="E3354" s="17">
        <v>11.89</v>
      </c>
      <c r="F3354" s="16">
        <v>0.06</v>
      </c>
      <c r="G3354" s="15" t="s">
        <v>32</v>
      </c>
      <c r="H3354" s="18">
        <v>-6.12</v>
      </c>
      <c r="I3354" s="19">
        <v>1.26</v>
      </c>
      <c r="J3354" s="19">
        <v>0.7</v>
      </c>
      <c r="K3354" s="19" t="s">
        <v>44</v>
      </c>
      <c r="L3354" s="19" t="s">
        <v>45</v>
      </c>
      <c r="M3354" s="15" t="s">
        <v>1985</v>
      </c>
      <c r="N3354" s="15" t="s">
        <v>36</v>
      </c>
      <c r="O3354" s="15" t="s">
        <v>105</v>
      </c>
      <c r="P3354" s="20" t="s">
        <v>316</v>
      </c>
      <c r="Q3354" s="15" t="s">
        <v>79</v>
      </c>
      <c r="R3354" s="4"/>
      <c r="S3354" s="4"/>
    </row>
    <row r="3355" spans="1:19" ht="21" customHeight="1" x14ac:dyDescent="0.25">
      <c r="A3355" s="14">
        <f>DATE(2012,12,31)-1157</f>
        <v>40117</v>
      </c>
      <c r="B3355" s="15" t="s">
        <v>937</v>
      </c>
      <c r="C3355" s="15" t="s">
        <v>85</v>
      </c>
      <c r="D3355" s="16">
        <v>4</v>
      </c>
      <c r="E3355" s="17">
        <v>129.78649999999999</v>
      </c>
      <c r="F3355" s="16">
        <v>0.05</v>
      </c>
      <c r="G3355" s="15" t="s">
        <v>101</v>
      </c>
      <c r="H3355" s="18">
        <v>-116.512</v>
      </c>
      <c r="I3355" s="19">
        <v>35.99</v>
      </c>
      <c r="J3355" s="19">
        <v>5.99</v>
      </c>
      <c r="K3355" s="19" t="s">
        <v>44</v>
      </c>
      <c r="L3355" s="19" t="s">
        <v>80</v>
      </c>
      <c r="M3355" s="15" t="s">
        <v>2012</v>
      </c>
      <c r="N3355" s="15" t="s">
        <v>64</v>
      </c>
      <c r="O3355" s="15" t="s">
        <v>65</v>
      </c>
      <c r="P3355" s="20" t="s">
        <v>1577</v>
      </c>
      <c r="Q3355" s="15" t="s">
        <v>79</v>
      </c>
      <c r="R3355" s="4"/>
      <c r="S3355" s="4"/>
    </row>
    <row r="3356" spans="1:19" ht="21" customHeight="1" x14ac:dyDescent="0.25">
      <c r="A3356" s="14">
        <f>DATE(2012,12,31)-858</f>
        <v>40416</v>
      </c>
      <c r="B3356" s="15" t="s">
        <v>1110</v>
      </c>
      <c r="C3356" s="15" t="s">
        <v>31</v>
      </c>
      <c r="D3356" s="16">
        <v>26</v>
      </c>
      <c r="E3356" s="17">
        <v>531.66</v>
      </c>
      <c r="F3356" s="16">
        <v>0.08</v>
      </c>
      <c r="G3356" s="15" t="s">
        <v>32</v>
      </c>
      <c r="H3356" s="18">
        <v>135.65</v>
      </c>
      <c r="I3356" s="19">
        <v>20.89</v>
      </c>
      <c r="J3356" s="19">
        <v>1.99</v>
      </c>
      <c r="K3356" s="19" t="s">
        <v>44</v>
      </c>
      <c r="L3356" s="19" t="s">
        <v>120</v>
      </c>
      <c r="M3356" s="15" t="s">
        <v>2025</v>
      </c>
      <c r="N3356" s="15" t="s">
        <v>64</v>
      </c>
      <c r="O3356" s="15" t="s">
        <v>72</v>
      </c>
      <c r="P3356" s="20" t="s">
        <v>1652</v>
      </c>
      <c r="Q3356" s="15" t="s">
        <v>49</v>
      </c>
      <c r="R3356" s="4"/>
      <c r="S3356" s="4"/>
    </row>
    <row r="3357" spans="1:19" ht="21" customHeight="1" x14ac:dyDescent="0.25">
      <c r="A3357" s="14">
        <f>DATE(2012,12,31)-858</f>
        <v>40416</v>
      </c>
      <c r="B3357" s="15" t="s">
        <v>1110</v>
      </c>
      <c r="C3357" s="15" t="s">
        <v>31</v>
      </c>
      <c r="D3357" s="16">
        <v>28</v>
      </c>
      <c r="E3357" s="17">
        <v>317.85000000000002</v>
      </c>
      <c r="F3357" s="16">
        <v>0.06</v>
      </c>
      <c r="G3357" s="15" t="s">
        <v>32</v>
      </c>
      <c r="H3357" s="18">
        <v>-13.95</v>
      </c>
      <c r="I3357" s="19">
        <v>11.58</v>
      </c>
      <c r="J3357" s="19">
        <v>6.97</v>
      </c>
      <c r="K3357" s="19" t="s">
        <v>33</v>
      </c>
      <c r="L3357" s="19" t="s">
        <v>93</v>
      </c>
      <c r="M3357" s="15" t="s">
        <v>94</v>
      </c>
      <c r="N3357" s="15" t="s">
        <v>36</v>
      </c>
      <c r="O3357" s="15" t="s">
        <v>189</v>
      </c>
      <c r="P3357" s="20" t="s">
        <v>977</v>
      </c>
      <c r="Q3357" s="15" t="s">
        <v>83</v>
      </c>
      <c r="R3357" s="4"/>
      <c r="S3357" s="4"/>
    </row>
    <row r="3358" spans="1:19" ht="21" customHeight="1" x14ac:dyDescent="0.25">
      <c r="A3358" s="14">
        <f>DATE(2012,12,31)-858</f>
        <v>40416</v>
      </c>
      <c r="B3358" s="15" t="s">
        <v>1110</v>
      </c>
      <c r="C3358" s="15" t="s">
        <v>31</v>
      </c>
      <c r="D3358" s="16">
        <v>42</v>
      </c>
      <c r="E3358" s="17">
        <v>163.08000000000001</v>
      </c>
      <c r="F3358" s="16">
        <v>0.09</v>
      </c>
      <c r="G3358" s="15" t="s">
        <v>32</v>
      </c>
      <c r="H3358" s="18">
        <v>66.17</v>
      </c>
      <c r="I3358" s="19">
        <v>4.13</v>
      </c>
      <c r="J3358" s="19">
        <v>0.5</v>
      </c>
      <c r="K3358" s="19" t="s">
        <v>33</v>
      </c>
      <c r="L3358" s="19" t="s">
        <v>93</v>
      </c>
      <c r="M3358" s="15" t="s">
        <v>94</v>
      </c>
      <c r="N3358" s="15" t="s">
        <v>36</v>
      </c>
      <c r="O3358" s="15" t="s">
        <v>114</v>
      </c>
      <c r="P3358" s="20" t="s">
        <v>653</v>
      </c>
      <c r="Q3358" s="15" t="s">
        <v>83</v>
      </c>
      <c r="R3358" s="4"/>
      <c r="S3358" s="4"/>
    </row>
    <row r="3359" spans="1:19" ht="21" customHeight="1" x14ac:dyDescent="0.25">
      <c r="A3359" s="14">
        <f>DATE(2012,12,31)-729</f>
        <v>40545</v>
      </c>
      <c r="B3359" s="15" t="s">
        <v>850</v>
      </c>
      <c r="C3359" s="15" t="s">
        <v>51</v>
      </c>
      <c r="D3359" s="16">
        <v>50</v>
      </c>
      <c r="E3359" s="17">
        <v>1227.18</v>
      </c>
      <c r="F3359" s="16">
        <v>0</v>
      </c>
      <c r="G3359" s="15" t="s">
        <v>58</v>
      </c>
      <c r="H3359" s="18">
        <v>-252.53</v>
      </c>
      <c r="I3359" s="19">
        <v>23.99</v>
      </c>
      <c r="J3359" s="19">
        <v>15.68</v>
      </c>
      <c r="K3359" s="19" t="s">
        <v>33</v>
      </c>
      <c r="L3359" s="19" t="s">
        <v>128</v>
      </c>
      <c r="M3359" s="15" t="s">
        <v>129</v>
      </c>
      <c r="N3359" s="15" t="s">
        <v>54</v>
      </c>
      <c r="O3359" s="15" t="s">
        <v>55</v>
      </c>
      <c r="P3359" s="20" t="s">
        <v>1975</v>
      </c>
      <c r="Q3359" s="15" t="s">
        <v>181</v>
      </c>
      <c r="R3359" s="4"/>
      <c r="S3359" s="4"/>
    </row>
    <row r="3360" spans="1:19" ht="21" customHeight="1" x14ac:dyDescent="0.25">
      <c r="A3360" s="14">
        <f>DATE(2012,12,31)-560</f>
        <v>40714</v>
      </c>
      <c r="B3360" s="15" t="s">
        <v>903</v>
      </c>
      <c r="C3360" s="15" t="s">
        <v>51</v>
      </c>
      <c r="D3360" s="16">
        <v>38</v>
      </c>
      <c r="E3360" s="17">
        <v>103.07</v>
      </c>
      <c r="F3360" s="16">
        <v>0.1</v>
      </c>
      <c r="G3360" s="15" t="s">
        <v>32</v>
      </c>
      <c r="H3360" s="18">
        <v>-0.94999999999999929</v>
      </c>
      <c r="I3360" s="19">
        <v>2.78</v>
      </c>
      <c r="J3360" s="19">
        <v>1.34</v>
      </c>
      <c r="K3360" s="19" t="s">
        <v>33</v>
      </c>
      <c r="L3360" s="19" t="s">
        <v>128</v>
      </c>
      <c r="M3360" s="15" t="s">
        <v>129</v>
      </c>
      <c r="N3360" s="15" t="s">
        <v>36</v>
      </c>
      <c r="O3360" s="15" t="s">
        <v>77</v>
      </c>
      <c r="P3360" s="20" t="s">
        <v>422</v>
      </c>
      <c r="Q3360" s="15" t="s">
        <v>79</v>
      </c>
      <c r="R3360" s="4"/>
      <c r="S3360" s="4"/>
    </row>
    <row r="3361" spans="1:19" ht="21" customHeight="1" x14ac:dyDescent="0.25">
      <c r="A3361" s="14">
        <f>DATE(2012,12,31)-560</f>
        <v>40714</v>
      </c>
      <c r="B3361" s="15" t="s">
        <v>903</v>
      </c>
      <c r="C3361" s="15" t="s">
        <v>51</v>
      </c>
      <c r="D3361" s="16">
        <v>15</v>
      </c>
      <c r="E3361" s="17">
        <v>896.18049999999994</v>
      </c>
      <c r="F3361" s="16">
        <v>0</v>
      </c>
      <c r="G3361" s="15" t="s">
        <v>101</v>
      </c>
      <c r="H3361" s="18">
        <v>82.043999999999997</v>
      </c>
      <c r="I3361" s="19">
        <v>65.989999999999995</v>
      </c>
      <c r="J3361" s="19">
        <v>5.26</v>
      </c>
      <c r="K3361" s="19" t="s">
        <v>97</v>
      </c>
      <c r="L3361" s="19" t="s">
        <v>98</v>
      </c>
      <c r="M3361" s="15" t="s">
        <v>1991</v>
      </c>
      <c r="N3361" s="15" t="s">
        <v>64</v>
      </c>
      <c r="O3361" s="15" t="s">
        <v>65</v>
      </c>
      <c r="P3361" s="20" t="s">
        <v>488</v>
      </c>
      <c r="Q3361" s="15" t="s">
        <v>83</v>
      </c>
      <c r="R3361" s="4"/>
      <c r="S3361" s="4"/>
    </row>
    <row r="3362" spans="1:19" ht="21" customHeight="1" x14ac:dyDescent="0.25">
      <c r="A3362" s="14">
        <f>DATE(2012,12,31)-167</f>
        <v>41107</v>
      </c>
      <c r="B3362" s="15" t="s">
        <v>1021</v>
      </c>
      <c r="C3362" s="15" t="s">
        <v>43</v>
      </c>
      <c r="D3362" s="16">
        <v>5</v>
      </c>
      <c r="E3362" s="17">
        <v>199.16</v>
      </c>
      <c r="F3362" s="16">
        <v>0.1</v>
      </c>
      <c r="G3362" s="15" t="s">
        <v>32</v>
      </c>
      <c r="H3362" s="18">
        <v>-64.87</v>
      </c>
      <c r="I3362" s="19">
        <v>40.98</v>
      </c>
      <c r="J3362" s="19">
        <v>1.99</v>
      </c>
      <c r="K3362" s="19" t="s">
        <v>124</v>
      </c>
      <c r="L3362" s="19" t="s">
        <v>125</v>
      </c>
      <c r="M3362" s="15" t="s">
        <v>1829</v>
      </c>
      <c r="N3362" s="15" t="s">
        <v>64</v>
      </c>
      <c r="O3362" s="15" t="s">
        <v>72</v>
      </c>
      <c r="P3362" s="20" t="s">
        <v>507</v>
      </c>
      <c r="Q3362" s="15" t="s">
        <v>49</v>
      </c>
      <c r="R3362" s="4"/>
      <c r="S3362" s="4"/>
    </row>
    <row r="3363" spans="1:19" ht="21" customHeight="1" x14ac:dyDescent="0.25">
      <c r="A3363" s="14">
        <f>DATE(2012,12,31)-890</f>
        <v>40384</v>
      </c>
      <c r="B3363" s="15" t="s">
        <v>194</v>
      </c>
      <c r="C3363" s="15" t="s">
        <v>85</v>
      </c>
      <c r="D3363" s="16">
        <v>23</v>
      </c>
      <c r="E3363" s="17">
        <v>6366.52</v>
      </c>
      <c r="F3363" s="16">
        <v>7.0000000000000007E-2</v>
      </c>
      <c r="G3363" s="15" t="s">
        <v>58</v>
      </c>
      <c r="H3363" s="18">
        <v>935.80000000000052</v>
      </c>
      <c r="I3363" s="19">
        <v>297.64</v>
      </c>
      <c r="J3363" s="19">
        <v>14.7</v>
      </c>
      <c r="K3363" s="19" t="s">
        <v>124</v>
      </c>
      <c r="L3363" s="19" t="s">
        <v>160</v>
      </c>
      <c r="M3363" s="15" t="s">
        <v>1951</v>
      </c>
      <c r="N3363" s="15" t="s">
        <v>64</v>
      </c>
      <c r="O3363" s="15" t="s">
        <v>122</v>
      </c>
      <c r="P3363" s="20" t="s">
        <v>1942</v>
      </c>
      <c r="Q3363" s="15" t="s">
        <v>181</v>
      </c>
      <c r="R3363" s="4"/>
      <c r="S3363" s="4"/>
    </row>
    <row r="3364" spans="1:19" ht="21" customHeight="1" x14ac:dyDescent="0.25">
      <c r="A3364" s="14">
        <f>DATE(2012,12,31)-262</f>
        <v>41012</v>
      </c>
      <c r="B3364" s="15" t="s">
        <v>1338</v>
      </c>
      <c r="C3364" s="15" t="s">
        <v>51</v>
      </c>
      <c r="D3364" s="16">
        <v>30</v>
      </c>
      <c r="E3364" s="17">
        <v>4278.6099999999997</v>
      </c>
      <c r="F3364" s="16">
        <v>7.0000000000000007E-2</v>
      </c>
      <c r="G3364" s="15" t="s">
        <v>58</v>
      </c>
      <c r="H3364" s="18">
        <v>-955.56</v>
      </c>
      <c r="I3364" s="19">
        <v>150.97999999999999</v>
      </c>
      <c r="J3364" s="19">
        <v>66.27</v>
      </c>
      <c r="K3364" s="19" t="s">
        <v>124</v>
      </c>
      <c r="L3364" s="19" t="s">
        <v>160</v>
      </c>
      <c r="M3364" s="15" t="s">
        <v>1951</v>
      </c>
      <c r="N3364" s="15" t="s">
        <v>54</v>
      </c>
      <c r="O3364" s="15" t="s">
        <v>134</v>
      </c>
      <c r="P3364" s="20" t="s">
        <v>1113</v>
      </c>
      <c r="Q3364" s="15" t="s">
        <v>63</v>
      </c>
      <c r="R3364" s="4"/>
      <c r="S3364" s="4"/>
    </row>
    <row r="3365" spans="1:19" ht="21" customHeight="1" x14ac:dyDescent="0.25">
      <c r="A3365" s="14">
        <f>DATE(2012,12,31)-131</f>
        <v>41143</v>
      </c>
      <c r="B3365" s="15" t="s">
        <v>1987</v>
      </c>
      <c r="C3365" s="15" t="s">
        <v>51</v>
      </c>
      <c r="D3365" s="16">
        <v>30</v>
      </c>
      <c r="E3365" s="17">
        <v>128.25</v>
      </c>
      <c r="F3365" s="16">
        <v>7.0000000000000007E-2</v>
      </c>
      <c r="G3365" s="15" t="s">
        <v>101</v>
      </c>
      <c r="H3365" s="18">
        <v>-95.311999999999998</v>
      </c>
      <c r="I3365" s="19">
        <v>3.98</v>
      </c>
      <c r="J3365" s="19">
        <v>5.26</v>
      </c>
      <c r="K3365" s="19" t="s">
        <v>124</v>
      </c>
      <c r="L3365" s="19" t="s">
        <v>160</v>
      </c>
      <c r="M3365" s="15" t="s">
        <v>1951</v>
      </c>
      <c r="N3365" s="15" t="s">
        <v>36</v>
      </c>
      <c r="O3365" s="15" t="s">
        <v>170</v>
      </c>
      <c r="P3365" s="20" t="s">
        <v>446</v>
      </c>
      <c r="Q3365" s="15" t="s">
        <v>83</v>
      </c>
      <c r="R3365" s="4"/>
      <c r="S3365" s="4"/>
    </row>
    <row r="3366" spans="1:19" ht="21" customHeight="1" x14ac:dyDescent="0.25">
      <c r="A3366" s="14">
        <f>DATE(2012,12,31)-131</f>
        <v>41143</v>
      </c>
      <c r="B3366" s="15" t="s">
        <v>1987</v>
      </c>
      <c r="C3366" s="15" t="s">
        <v>51</v>
      </c>
      <c r="D3366" s="16">
        <v>19</v>
      </c>
      <c r="E3366" s="17">
        <v>120.56</v>
      </c>
      <c r="F3366" s="16">
        <v>7.0000000000000007E-2</v>
      </c>
      <c r="G3366" s="15" t="s">
        <v>32</v>
      </c>
      <c r="H3366" s="18">
        <v>-79.349999999999994</v>
      </c>
      <c r="I3366" s="19">
        <v>5.98</v>
      </c>
      <c r="J3366" s="19">
        <v>7.5</v>
      </c>
      <c r="K3366" s="19" t="s">
        <v>124</v>
      </c>
      <c r="L3366" s="19" t="s">
        <v>319</v>
      </c>
      <c r="M3366" s="15" t="s">
        <v>1966</v>
      </c>
      <c r="N3366" s="15" t="s">
        <v>36</v>
      </c>
      <c r="O3366" s="15" t="s">
        <v>117</v>
      </c>
      <c r="P3366" s="20" t="s">
        <v>1801</v>
      </c>
      <c r="Q3366" s="15" t="s">
        <v>83</v>
      </c>
      <c r="R3366" s="4"/>
      <c r="S3366" s="4"/>
    </row>
    <row r="3367" spans="1:19" ht="21" customHeight="1" x14ac:dyDescent="0.25">
      <c r="A3367" s="14">
        <f>DATE(2012,12,31)-131</f>
        <v>41143</v>
      </c>
      <c r="B3367" s="15" t="s">
        <v>1987</v>
      </c>
      <c r="C3367" s="15" t="s">
        <v>51</v>
      </c>
      <c r="D3367" s="16">
        <v>46</v>
      </c>
      <c r="E3367" s="17">
        <v>2640.6864999999998</v>
      </c>
      <c r="F3367" s="16">
        <v>0.03</v>
      </c>
      <c r="G3367" s="15" t="s">
        <v>101</v>
      </c>
      <c r="H3367" s="18">
        <v>751.38300000000004</v>
      </c>
      <c r="I3367" s="19">
        <v>65.989999999999995</v>
      </c>
      <c r="J3367" s="19">
        <v>5.92</v>
      </c>
      <c r="K3367" s="19" t="s">
        <v>124</v>
      </c>
      <c r="L3367" s="19" t="s">
        <v>319</v>
      </c>
      <c r="M3367" s="15" t="s">
        <v>1966</v>
      </c>
      <c r="N3367" s="15" t="s">
        <v>64</v>
      </c>
      <c r="O3367" s="15" t="s">
        <v>65</v>
      </c>
      <c r="P3367" s="20" t="s">
        <v>1135</v>
      </c>
      <c r="Q3367" s="15" t="s">
        <v>83</v>
      </c>
      <c r="R3367" s="4"/>
      <c r="S3367" s="4"/>
    </row>
    <row r="3368" spans="1:19" ht="21" customHeight="1" x14ac:dyDescent="0.25">
      <c r="A3368" s="14">
        <f>DATE(2012,12,31)-899</f>
        <v>40375</v>
      </c>
      <c r="B3368" s="15" t="s">
        <v>1256</v>
      </c>
      <c r="C3368" s="15" t="s">
        <v>31</v>
      </c>
      <c r="D3368" s="16">
        <v>21</v>
      </c>
      <c r="E3368" s="17">
        <v>7981.2</v>
      </c>
      <c r="F3368" s="16">
        <v>0.02</v>
      </c>
      <c r="G3368" s="15" t="s">
        <v>58</v>
      </c>
      <c r="H3368" s="18">
        <v>-592.5205000000002</v>
      </c>
      <c r="I3368" s="19">
        <v>376.13</v>
      </c>
      <c r="J3368" s="19">
        <v>85.63</v>
      </c>
      <c r="K3368" s="19" t="s">
        <v>44</v>
      </c>
      <c r="L3368" s="19" t="s">
        <v>52</v>
      </c>
      <c r="M3368" s="15" t="s">
        <v>1685</v>
      </c>
      <c r="N3368" s="15" t="s">
        <v>54</v>
      </c>
      <c r="O3368" s="15" t="s">
        <v>61</v>
      </c>
      <c r="P3368" s="20" t="s">
        <v>1159</v>
      </c>
      <c r="Q3368" s="15" t="s">
        <v>63</v>
      </c>
      <c r="R3368" s="4"/>
      <c r="S3368" s="4"/>
    </row>
    <row r="3369" spans="1:19" ht="21" customHeight="1" x14ac:dyDescent="0.25">
      <c r="A3369" s="14">
        <f>DATE(2012,12,31)-657</f>
        <v>40617</v>
      </c>
      <c r="B3369" s="15" t="s">
        <v>183</v>
      </c>
      <c r="C3369" s="15" t="s">
        <v>51</v>
      </c>
      <c r="D3369" s="16">
        <v>36</v>
      </c>
      <c r="E3369" s="17">
        <v>170.42</v>
      </c>
      <c r="F3369" s="16">
        <v>0.1</v>
      </c>
      <c r="G3369" s="15" t="s">
        <v>32</v>
      </c>
      <c r="H3369" s="18">
        <v>-98.313499999999991</v>
      </c>
      <c r="I3369" s="19">
        <v>4.91</v>
      </c>
      <c r="J3369" s="19">
        <v>4.97</v>
      </c>
      <c r="K3369" s="19" t="s">
        <v>33</v>
      </c>
      <c r="L3369" s="19" t="s">
        <v>145</v>
      </c>
      <c r="M3369" s="15" t="s">
        <v>2006</v>
      </c>
      <c r="N3369" s="15" t="s">
        <v>36</v>
      </c>
      <c r="O3369" s="15" t="s">
        <v>170</v>
      </c>
      <c r="P3369" s="20" t="s">
        <v>2003</v>
      </c>
      <c r="Q3369" s="15" t="s">
        <v>83</v>
      </c>
      <c r="R3369" s="4"/>
      <c r="S3369" s="4"/>
    </row>
    <row r="3370" spans="1:19" ht="21" customHeight="1" x14ac:dyDescent="0.25">
      <c r="A3370" s="14">
        <f>DATE(2012,12,31)-657</f>
        <v>40617</v>
      </c>
      <c r="B3370" s="15" t="s">
        <v>183</v>
      </c>
      <c r="C3370" s="15" t="s">
        <v>51</v>
      </c>
      <c r="D3370" s="16">
        <v>3</v>
      </c>
      <c r="E3370" s="17">
        <v>431.29</v>
      </c>
      <c r="F3370" s="16">
        <v>0.1</v>
      </c>
      <c r="G3370" s="15" t="s">
        <v>32</v>
      </c>
      <c r="H3370" s="18">
        <v>-164.59</v>
      </c>
      <c r="I3370" s="19">
        <v>140.81</v>
      </c>
      <c r="J3370" s="19">
        <v>24.49</v>
      </c>
      <c r="K3370" s="19" t="s">
        <v>44</v>
      </c>
      <c r="L3370" s="19" t="s">
        <v>52</v>
      </c>
      <c r="M3370" s="15" t="s">
        <v>1685</v>
      </c>
      <c r="N3370" s="15" t="s">
        <v>54</v>
      </c>
      <c r="O3370" s="15" t="s">
        <v>252</v>
      </c>
      <c r="P3370" s="20" t="s">
        <v>1392</v>
      </c>
      <c r="Q3370" s="15" t="s">
        <v>39</v>
      </c>
      <c r="R3370" s="4"/>
      <c r="S3370" s="4"/>
    </row>
    <row r="3371" spans="1:19" ht="21" customHeight="1" x14ac:dyDescent="0.25">
      <c r="A3371" s="14">
        <f>DATE(2012,12,31)-657</f>
        <v>40617</v>
      </c>
      <c r="B3371" s="15" t="s">
        <v>183</v>
      </c>
      <c r="C3371" s="15" t="s">
        <v>51</v>
      </c>
      <c r="D3371" s="16">
        <v>48</v>
      </c>
      <c r="E3371" s="17">
        <v>294.26</v>
      </c>
      <c r="F3371" s="16">
        <v>0</v>
      </c>
      <c r="G3371" s="15" t="s">
        <v>101</v>
      </c>
      <c r="H3371" s="18">
        <v>88.8</v>
      </c>
      <c r="I3371" s="19">
        <v>5.58</v>
      </c>
      <c r="J3371" s="19">
        <v>0.7</v>
      </c>
      <c r="K3371" s="19" t="s">
        <v>44</v>
      </c>
      <c r="L3371" s="19" t="s">
        <v>52</v>
      </c>
      <c r="M3371" s="15" t="s">
        <v>1685</v>
      </c>
      <c r="N3371" s="15" t="s">
        <v>36</v>
      </c>
      <c r="O3371" s="15" t="s">
        <v>77</v>
      </c>
      <c r="P3371" s="20" t="s">
        <v>159</v>
      </c>
      <c r="Q3371" s="15" t="s">
        <v>79</v>
      </c>
      <c r="R3371" s="4"/>
      <c r="S3371" s="4"/>
    </row>
    <row r="3372" spans="1:19" ht="21" customHeight="1" x14ac:dyDescent="0.25">
      <c r="A3372" s="14">
        <f>DATE(2012,12,31)-880</f>
        <v>40394</v>
      </c>
      <c r="B3372" s="15" t="s">
        <v>807</v>
      </c>
      <c r="C3372" s="15" t="s">
        <v>51</v>
      </c>
      <c r="D3372" s="16">
        <v>1</v>
      </c>
      <c r="E3372" s="17">
        <v>17.190000000000001</v>
      </c>
      <c r="F3372" s="16">
        <v>0</v>
      </c>
      <c r="G3372" s="15" t="s">
        <v>32</v>
      </c>
      <c r="H3372" s="18">
        <v>-35.340000000000003</v>
      </c>
      <c r="I3372" s="19">
        <v>14.48</v>
      </c>
      <c r="J3372" s="19">
        <v>1.99</v>
      </c>
      <c r="K3372" s="19" t="s">
        <v>44</v>
      </c>
      <c r="L3372" s="19" t="s">
        <v>236</v>
      </c>
      <c r="M3372" s="15" t="s">
        <v>1887</v>
      </c>
      <c r="N3372" s="15" t="s">
        <v>64</v>
      </c>
      <c r="O3372" s="15" t="s">
        <v>72</v>
      </c>
      <c r="P3372" s="20" t="s">
        <v>658</v>
      </c>
      <c r="Q3372" s="15" t="s">
        <v>49</v>
      </c>
      <c r="R3372" s="4"/>
      <c r="S3372" s="4"/>
    </row>
    <row r="3373" spans="1:19" ht="21" customHeight="1" x14ac:dyDescent="0.25">
      <c r="A3373" s="14">
        <f>DATE(2012,12,31)-880</f>
        <v>40394</v>
      </c>
      <c r="B3373" s="15" t="s">
        <v>807</v>
      </c>
      <c r="C3373" s="15" t="s">
        <v>51</v>
      </c>
      <c r="D3373" s="16">
        <v>27</v>
      </c>
      <c r="E3373" s="17">
        <v>2689.48</v>
      </c>
      <c r="F3373" s="16">
        <v>0.04</v>
      </c>
      <c r="G3373" s="15" t="s">
        <v>32</v>
      </c>
      <c r="H3373" s="18">
        <v>399.93</v>
      </c>
      <c r="I3373" s="19">
        <v>99.99</v>
      </c>
      <c r="J3373" s="19">
        <v>19.989999999999998</v>
      </c>
      <c r="K3373" s="19" t="s">
        <v>44</v>
      </c>
      <c r="L3373" s="19" t="s">
        <v>52</v>
      </c>
      <c r="M3373" s="15" t="s">
        <v>1685</v>
      </c>
      <c r="N3373" s="15" t="s">
        <v>64</v>
      </c>
      <c r="O3373" s="15" t="s">
        <v>72</v>
      </c>
      <c r="P3373" s="20" t="s">
        <v>1800</v>
      </c>
      <c r="Q3373" s="15" t="s">
        <v>83</v>
      </c>
      <c r="R3373" s="4"/>
      <c r="S3373" s="4"/>
    </row>
    <row r="3374" spans="1:19" ht="21" customHeight="1" x14ac:dyDescent="0.25">
      <c r="A3374" s="14">
        <f>DATE(2012,12,31)-880</f>
        <v>40394</v>
      </c>
      <c r="B3374" s="15" t="s">
        <v>807</v>
      </c>
      <c r="C3374" s="15" t="s">
        <v>51</v>
      </c>
      <c r="D3374" s="16">
        <v>2</v>
      </c>
      <c r="E3374" s="17">
        <v>15.31</v>
      </c>
      <c r="F3374" s="16">
        <v>0.01</v>
      </c>
      <c r="G3374" s="15" t="s">
        <v>32</v>
      </c>
      <c r="H3374" s="18">
        <v>-8.15</v>
      </c>
      <c r="I3374" s="19">
        <v>4.9800000000000004</v>
      </c>
      <c r="J3374" s="19">
        <v>4.8600000000000003</v>
      </c>
      <c r="K3374" s="19" t="s">
        <v>44</v>
      </c>
      <c r="L3374" s="19" t="s">
        <v>52</v>
      </c>
      <c r="M3374" s="15" t="s">
        <v>1685</v>
      </c>
      <c r="N3374" s="15" t="s">
        <v>36</v>
      </c>
      <c r="O3374" s="15" t="s">
        <v>117</v>
      </c>
      <c r="P3374" s="20" t="s">
        <v>234</v>
      </c>
      <c r="Q3374" s="15" t="s">
        <v>83</v>
      </c>
      <c r="R3374" s="4"/>
      <c r="S3374" s="4"/>
    </row>
    <row r="3375" spans="1:19" ht="21" customHeight="1" x14ac:dyDescent="0.25">
      <c r="A3375" s="14">
        <f>DATE(2012,12,31)-258</f>
        <v>41016</v>
      </c>
      <c r="B3375" s="15" t="s">
        <v>1824</v>
      </c>
      <c r="C3375" s="15" t="s">
        <v>85</v>
      </c>
      <c r="D3375" s="16">
        <v>42</v>
      </c>
      <c r="E3375" s="17">
        <v>199.58</v>
      </c>
      <c r="F3375" s="16">
        <v>0.05</v>
      </c>
      <c r="G3375" s="15" t="s">
        <v>32</v>
      </c>
      <c r="H3375" s="18">
        <v>46.308</v>
      </c>
      <c r="I3375" s="19">
        <v>4.82</v>
      </c>
      <c r="J3375" s="19">
        <v>1.49</v>
      </c>
      <c r="K3375" s="19" t="s">
        <v>44</v>
      </c>
      <c r="L3375" s="19" t="s">
        <v>52</v>
      </c>
      <c r="M3375" s="15" t="s">
        <v>2042</v>
      </c>
      <c r="N3375" s="15" t="s">
        <v>36</v>
      </c>
      <c r="O3375" s="15" t="s">
        <v>170</v>
      </c>
      <c r="P3375" s="20" t="s">
        <v>1789</v>
      </c>
      <c r="Q3375" s="15" t="s">
        <v>83</v>
      </c>
      <c r="R3375" s="4"/>
      <c r="S3375" s="4"/>
    </row>
    <row r="3376" spans="1:19" ht="21" customHeight="1" x14ac:dyDescent="0.25">
      <c r="A3376" s="14">
        <f>DATE(2012,12,31)-258</f>
        <v>41016</v>
      </c>
      <c r="B3376" s="15" t="s">
        <v>1824</v>
      </c>
      <c r="C3376" s="15" t="s">
        <v>85</v>
      </c>
      <c r="D3376" s="16">
        <v>10</v>
      </c>
      <c r="E3376" s="17">
        <v>80.59</v>
      </c>
      <c r="F3376" s="16">
        <v>0.05</v>
      </c>
      <c r="G3376" s="15" t="s">
        <v>32</v>
      </c>
      <c r="H3376" s="18">
        <v>-20.49</v>
      </c>
      <c r="I3376" s="19">
        <v>7.64</v>
      </c>
      <c r="J3376" s="19">
        <v>5.83</v>
      </c>
      <c r="K3376" s="19" t="s">
        <v>44</v>
      </c>
      <c r="L3376" s="19" t="s">
        <v>52</v>
      </c>
      <c r="M3376" s="15" t="s">
        <v>2042</v>
      </c>
      <c r="N3376" s="15" t="s">
        <v>36</v>
      </c>
      <c r="O3376" s="15" t="s">
        <v>117</v>
      </c>
      <c r="P3376" s="20" t="s">
        <v>188</v>
      </c>
      <c r="Q3376" s="15" t="s">
        <v>79</v>
      </c>
      <c r="R3376" s="4"/>
      <c r="S3376" s="4"/>
    </row>
    <row r="3377" spans="1:19" ht="21" customHeight="1" x14ac:dyDescent="0.25">
      <c r="A3377" s="14">
        <f>DATE(2012,12,31)-258</f>
        <v>41016</v>
      </c>
      <c r="B3377" s="15" t="s">
        <v>1824</v>
      </c>
      <c r="C3377" s="15" t="s">
        <v>85</v>
      </c>
      <c r="D3377" s="16">
        <v>32</v>
      </c>
      <c r="E3377" s="17">
        <v>4158.0725000000002</v>
      </c>
      <c r="F3377" s="16">
        <v>0.02</v>
      </c>
      <c r="G3377" s="15" t="s">
        <v>32</v>
      </c>
      <c r="H3377" s="18">
        <v>836.14499999999998</v>
      </c>
      <c r="I3377" s="19">
        <v>155.99</v>
      </c>
      <c r="J3377" s="19">
        <v>8.99</v>
      </c>
      <c r="K3377" s="19" t="s">
        <v>44</v>
      </c>
      <c r="L3377" s="19" t="s">
        <v>52</v>
      </c>
      <c r="M3377" s="15" t="s">
        <v>2042</v>
      </c>
      <c r="N3377" s="15" t="s">
        <v>64</v>
      </c>
      <c r="O3377" s="15" t="s">
        <v>65</v>
      </c>
      <c r="P3377" s="20" t="s">
        <v>438</v>
      </c>
      <c r="Q3377" s="15" t="s">
        <v>83</v>
      </c>
      <c r="R3377" s="4"/>
      <c r="S3377" s="4"/>
    </row>
    <row r="3378" spans="1:19" ht="21" customHeight="1" x14ac:dyDescent="0.25">
      <c r="A3378" s="14">
        <f>DATE(2012,12,31)-591</f>
        <v>40683</v>
      </c>
      <c r="B3378" s="15" t="s">
        <v>994</v>
      </c>
      <c r="C3378" s="15" t="s">
        <v>43</v>
      </c>
      <c r="D3378" s="16">
        <v>6</v>
      </c>
      <c r="E3378" s="17">
        <v>205.24</v>
      </c>
      <c r="F3378" s="16">
        <v>0.01</v>
      </c>
      <c r="G3378" s="15" t="s">
        <v>32</v>
      </c>
      <c r="H3378" s="18">
        <v>-135.51</v>
      </c>
      <c r="I3378" s="19">
        <v>30.98</v>
      </c>
      <c r="J3378" s="19">
        <v>6.5</v>
      </c>
      <c r="K3378" s="19" t="s">
        <v>69</v>
      </c>
      <c r="L3378" s="19" t="s">
        <v>70</v>
      </c>
      <c r="M3378" s="15" t="s">
        <v>1895</v>
      </c>
      <c r="N3378" s="15" t="s">
        <v>64</v>
      </c>
      <c r="O3378" s="15" t="s">
        <v>72</v>
      </c>
      <c r="P3378" s="20" t="s">
        <v>1346</v>
      </c>
      <c r="Q3378" s="15" t="s">
        <v>83</v>
      </c>
      <c r="R3378" s="4"/>
      <c r="S3378" s="4"/>
    </row>
    <row r="3379" spans="1:19" ht="21" customHeight="1" x14ac:dyDescent="0.25">
      <c r="A3379" s="14">
        <f>DATE(2012,12,31)-591</f>
        <v>40683</v>
      </c>
      <c r="B3379" s="15" t="s">
        <v>994</v>
      </c>
      <c r="C3379" s="15" t="s">
        <v>43</v>
      </c>
      <c r="D3379" s="16">
        <v>36</v>
      </c>
      <c r="E3379" s="17">
        <v>825.82</v>
      </c>
      <c r="F3379" s="16">
        <v>0</v>
      </c>
      <c r="G3379" s="15" t="s">
        <v>32</v>
      </c>
      <c r="H3379" s="18">
        <v>-1049.26</v>
      </c>
      <c r="I3379" s="19">
        <v>20.34</v>
      </c>
      <c r="J3379" s="19">
        <v>35</v>
      </c>
      <c r="K3379" s="19" t="s">
        <v>44</v>
      </c>
      <c r="L3379" s="19" t="s">
        <v>89</v>
      </c>
      <c r="M3379" s="15" t="s">
        <v>1932</v>
      </c>
      <c r="N3379" s="15" t="s">
        <v>36</v>
      </c>
      <c r="O3379" s="15" t="s">
        <v>37</v>
      </c>
      <c r="P3379" s="20" t="s">
        <v>1690</v>
      </c>
      <c r="Q3379" s="15" t="s">
        <v>39</v>
      </c>
      <c r="R3379" s="4"/>
      <c r="S3379" s="4"/>
    </row>
    <row r="3380" spans="1:19" ht="21" customHeight="1" x14ac:dyDescent="0.25">
      <c r="A3380" s="14">
        <f>DATE(2012,12,31)-762</f>
        <v>40512</v>
      </c>
      <c r="B3380" s="15" t="s">
        <v>1356</v>
      </c>
      <c r="C3380" s="15" t="s">
        <v>85</v>
      </c>
      <c r="D3380" s="16">
        <v>50</v>
      </c>
      <c r="E3380" s="17">
        <v>1844.26</v>
      </c>
      <c r="F3380" s="16">
        <v>0.03</v>
      </c>
      <c r="G3380" s="15" t="s">
        <v>32</v>
      </c>
      <c r="H3380" s="18">
        <v>47.58</v>
      </c>
      <c r="I3380" s="19">
        <v>37.76</v>
      </c>
      <c r="J3380" s="19">
        <v>12.9</v>
      </c>
      <c r="K3380" s="19" t="s">
        <v>124</v>
      </c>
      <c r="L3380" s="19" t="s">
        <v>160</v>
      </c>
      <c r="M3380" s="15" t="s">
        <v>1951</v>
      </c>
      <c r="N3380" s="15" t="s">
        <v>36</v>
      </c>
      <c r="O3380" s="15" t="s">
        <v>37</v>
      </c>
      <c r="P3380" s="20" t="s">
        <v>1427</v>
      </c>
      <c r="Q3380" s="15" t="s">
        <v>83</v>
      </c>
      <c r="R3380" s="4"/>
      <c r="S3380" s="4"/>
    </row>
    <row r="3381" spans="1:19" ht="21" customHeight="1" x14ac:dyDescent="0.25">
      <c r="A3381" s="14">
        <f>DATE(2012,12,31)-769</f>
        <v>40505</v>
      </c>
      <c r="B3381" s="15" t="s">
        <v>710</v>
      </c>
      <c r="C3381" s="15" t="s">
        <v>51</v>
      </c>
      <c r="D3381" s="16">
        <v>13</v>
      </c>
      <c r="E3381" s="17">
        <v>270.63</v>
      </c>
      <c r="F3381" s="16">
        <v>0.1</v>
      </c>
      <c r="G3381" s="15" t="s">
        <v>32</v>
      </c>
      <c r="H3381" s="18">
        <v>7.07</v>
      </c>
      <c r="I3381" s="19">
        <v>21.98</v>
      </c>
      <c r="J3381" s="19">
        <v>8.32</v>
      </c>
      <c r="K3381" s="19" t="s">
        <v>44</v>
      </c>
      <c r="L3381" s="19" t="s">
        <v>52</v>
      </c>
      <c r="M3381" s="15" t="s">
        <v>2042</v>
      </c>
      <c r="N3381" s="15" t="s">
        <v>36</v>
      </c>
      <c r="O3381" s="15" t="s">
        <v>117</v>
      </c>
      <c r="P3381" s="20" t="s">
        <v>1986</v>
      </c>
      <c r="Q3381" s="15" t="s">
        <v>79</v>
      </c>
      <c r="R3381" s="4"/>
      <c r="S3381" s="4"/>
    </row>
    <row r="3382" spans="1:19" ht="21" customHeight="1" x14ac:dyDescent="0.25">
      <c r="A3382" s="14">
        <f>DATE(2012,12,31)-769</f>
        <v>40505</v>
      </c>
      <c r="B3382" s="15" t="s">
        <v>710</v>
      </c>
      <c r="C3382" s="15" t="s">
        <v>51</v>
      </c>
      <c r="D3382" s="16">
        <v>43</v>
      </c>
      <c r="E3382" s="17">
        <v>6583.9129999999996</v>
      </c>
      <c r="F3382" s="16">
        <v>0.09</v>
      </c>
      <c r="G3382" s="15" t="s">
        <v>32</v>
      </c>
      <c r="H3382" s="18">
        <v>1459.7909999999999</v>
      </c>
      <c r="I3382" s="19">
        <v>195.99</v>
      </c>
      <c r="J3382" s="19">
        <v>3.99</v>
      </c>
      <c r="K3382" s="19" t="s">
        <v>33</v>
      </c>
      <c r="L3382" s="19" t="s">
        <v>59</v>
      </c>
      <c r="M3382" s="15" t="s">
        <v>2033</v>
      </c>
      <c r="N3382" s="15" t="s">
        <v>64</v>
      </c>
      <c r="O3382" s="15" t="s">
        <v>65</v>
      </c>
      <c r="P3382" s="20" t="s">
        <v>2034</v>
      </c>
      <c r="Q3382" s="15" t="s">
        <v>83</v>
      </c>
      <c r="R3382" s="4"/>
      <c r="S3382" s="4"/>
    </row>
    <row r="3383" spans="1:19" ht="21" customHeight="1" x14ac:dyDescent="0.25">
      <c r="A3383" s="14">
        <f t="shared" ref="A3383:A3388" si="0">DATE(2012,12,31)-1274</f>
        <v>40000</v>
      </c>
      <c r="B3383" s="15" t="s">
        <v>433</v>
      </c>
      <c r="C3383" s="15" t="s">
        <v>31</v>
      </c>
      <c r="D3383" s="16">
        <v>4</v>
      </c>
      <c r="E3383" s="17">
        <v>31.01</v>
      </c>
      <c r="F3383" s="16">
        <v>0.03</v>
      </c>
      <c r="G3383" s="15" t="s">
        <v>32</v>
      </c>
      <c r="H3383" s="18">
        <v>-4.4850000000000003</v>
      </c>
      <c r="I3383" s="19">
        <v>6.75</v>
      </c>
      <c r="J3383" s="19">
        <v>2.99</v>
      </c>
      <c r="K3383" s="19" t="s">
        <v>33</v>
      </c>
      <c r="L3383" s="19" t="s">
        <v>59</v>
      </c>
      <c r="M3383" s="15" t="s">
        <v>2033</v>
      </c>
      <c r="N3383" s="15" t="s">
        <v>36</v>
      </c>
      <c r="O3383" s="15" t="s">
        <v>170</v>
      </c>
      <c r="P3383" s="20" t="s">
        <v>1453</v>
      </c>
      <c r="Q3383" s="15" t="s">
        <v>83</v>
      </c>
      <c r="R3383" s="4"/>
      <c r="S3383" s="4"/>
    </row>
    <row r="3384" spans="1:19" ht="21" customHeight="1" x14ac:dyDescent="0.25">
      <c r="A3384" s="14">
        <f t="shared" si="0"/>
        <v>40000</v>
      </c>
      <c r="B3384" s="15" t="s">
        <v>433</v>
      </c>
      <c r="C3384" s="15" t="s">
        <v>31</v>
      </c>
      <c r="D3384" s="16">
        <v>46</v>
      </c>
      <c r="E3384" s="17">
        <v>331.83</v>
      </c>
      <c r="F3384" s="16">
        <v>0.05</v>
      </c>
      <c r="G3384" s="15" t="s">
        <v>32</v>
      </c>
      <c r="H3384" s="18">
        <v>-101.24600000000001</v>
      </c>
      <c r="I3384" s="19">
        <v>7.1</v>
      </c>
      <c r="J3384" s="19">
        <v>6.05</v>
      </c>
      <c r="K3384" s="19" t="s">
        <v>33</v>
      </c>
      <c r="L3384" s="19" t="s">
        <v>128</v>
      </c>
      <c r="M3384" s="15" t="s">
        <v>129</v>
      </c>
      <c r="N3384" s="15" t="s">
        <v>36</v>
      </c>
      <c r="O3384" s="15" t="s">
        <v>170</v>
      </c>
      <c r="P3384" s="20" t="s">
        <v>913</v>
      </c>
      <c r="Q3384" s="15" t="s">
        <v>83</v>
      </c>
      <c r="R3384" s="4"/>
      <c r="S3384" s="4"/>
    </row>
    <row r="3385" spans="1:19" ht="21" customHeight="1" x14ac:dyDescent="0.25">
      <c r="A3385" s="14">
        <f t="shared" si="0"/>
        <v>40000</v>
      </c>
      <c r="B3385" s="15" t="s">
        <v>433</v>
      </c>
      <c r="C3385" s="15" t="s">
        <v>31</v>
      </c>
      <c r="D3385" s="16">
        <v>22</v>
      </c>
      <c r="E3385" s="17">
        <v>446.46</v>
      </c>
      <c r="F3385" s="16">
        <v>0.04</v>
      </c>
      <c r="G3385" s="15" t="s">
        <v>32</v>
      </c>
      <c r="H3385" s="18">
        <v>-1.88</v>
      </c>
      <c r="I3385" s="19">
        <v>20.95</v>
      </c>
      <c r="J3385" s="19">
        <v>4</v>
      </c>
      <c r="K3385" s="19" t="s">
        <v>33</v>
      </c>
      <c r="L3385" s="19" t="s">
        <v>145</v>
      </c>
      <c r="M3385" s="15" t="s">
        <v>2006</v>
      </c>
      <c r="N3385" s="15" t="s">
        <v>64</v>
      </c>
      <c r="O3385" s="15" t="s">
        <v>72</v>
      </c>
      <c r="P3385" s="20" t="s">
        <v>1259</v>
      </c>
      <c r="Q3385" s="15" t="s">
        <v>83</v>
      </c>
      <c r="R3385" s="4"/>
      <c r="S3385" s="4"/>
    </row>
    <row r="3386" spans="1:19" ht="21" customHeight="1" x14ac:dyDescent="0.25">
      <c r="A3386" s="14">
        <f t="shared" si="0"/>
        <v>40000</v>
      </c>
      <c r="B3386" s="15" t="s">
        <v>433</v>
      </c>
      <c r="C3386" s="15" t="s">
        <v>31</v>
      </c>
      <c r="D3386" s="16">
        <v>31</v>
      </c>
      <c r="E3386" s="17">
        <v>1252.8900000000001</v>
      </c>
      <c r="F3386" s="16">
        <v>0.05</v>
      </c>
      <c r="G3386" s="15" t="s">
        <v>32</v>
      </c>
      <c r="H3386" s="18">
        <v>339.745</v>
      </c>
      <c r="I3386" s="19">
        <v>39.06</v>
      </c>
      <c r="J3386" s="19">
        <v>10.55</v>
      </c>
      <c r="K3386" s="19" t="s">
        <v>33</v>
      </c>
      <c r="L3386" s="19" t="s">
        <v>59</v>
      </c>
      <c r="M3386" s="15" t="s">
        <v>2033</v>
      </c>
      <c r="N3386" s="15" t="s">
        <v>36</v>
      </c>
      <c r="O3386" s="15" t="s">
        <v>170</v>
      </c>
      <c r="P3386" s="20" t="s">
        <v>1186</v>
      </c>
      <c r="Q3386" s="15" t="s">
        <v>83</v>
      </c>
      <c r="R3386" s="4"/>
      <c r="S3386" s="4"/>
    </row>
    <row r="3387" spans="1:19" ht="21" customHeight="1" x14ac:dyDescent="0.25">
      <c r="A3387" s="14">
        <f t="shared" si="0"/>
        <v>40000</v>
      </c>
      <c r="B3387" s="15" t="s">
        <v>433</v>
      </c>
      <c r="C3387" s="15" t="s">
        <v>31</v>
      </c>
      <c r="D3387" s="16">
        <v>12</v>
      </c>
      <c r="E3387" s="17">
        <v>47.79</v>
      </c>
      <c r="F3387" s="16">
        <v>0.04</v>
      </c>
      <c r="G3387" s="15" t="s">
        <v>32</v>
      </c>
      <c r="H3387" s="18">
        <v>-57.753</v>
      </c>
      <c r="I3387" s="19">
        <v>3.52</v>
      </c>
      <c r="J3387" s="19">
        <v>6.83</v>
      </c>
      <c r="K3387" s="19" t="s">
        <v>33</v>
      </c>
      <c r="L3387" s="19" t="s">
        <v>59</v>
      </c>
      <c r="M3387" s="15" t="s">
        <v>2033</v>
      </c>
      <c r="N3387" s="15" t="s">
        <v>36</v>
      </c>
      <c r="O3387" s="15" t="s">
        <v>170</v>
      </c>
      <c r="P3387" s="20" t="s">
        <v>1859</v>
      </c>
      <c r="Q3387" s="15" t="s">
        <v>83</v>
      </c>
      <c r="R3387" s="4"/>
      <c r="S3387" s="4"/>
    </row>
    <row r="3388" spans="1:19" ht="21" customHeight="1" x14ac:dyDescent="0.25">
      <c r="A3388" s="14">
        <f t="shared" si="0"/>
        <v>40000</v>
      </c>
      <c r="B3388" s="15" t="s">
        <v>433</v>
      </c>
      <c r="C3388" s="15" t="s">
        <v>31</v>
      </c>
      <c r="D3388" s="16">
        <v>3</v>
      </c>
      <c r="E3388" s="17">
        <v>63.84</v>
      </c>
      <c r="F3388" s="16">
        <v>0.02</v>
      </c>
      <c r="G3388" s="15" t="s">
        <v>32</v>
      </c>
      <c r="H3388" s="18">
        <v>-47.97</v>
      </c>
      <c r="I3388" s="19">
        <v>15.51</v>
      </c>
      <c r="J3388" s="19">
        <v>17.78</v>
      </c>
      <c r="K3388" s="19" t="s">
        <v>33</v>
      </c>
      <c r="L3388" s="19" t="s">
        <v>59</v>
      </c>
      <c r="M3388" s="15" t="s">
        <v>2033</v>
      </c>
      <c r="N3388" s="15" t="s">
        <v>36</v>
      </c>
      <c r="O3388" s="15" t="s">
        <v>37</v>
      </c>
      <c r="P3388" s="20" t="s">
        <v>1434</v>
      </c>
      <c r="Q3388" s="15" t="s">
        <v>83</v>
      </c>
      <c r="R3388" s="4"/>
      <c r="S3388" s="4"/>
    </row>
    <row r="3389" spans="1:19" ht="21" customHeight="1" x14ac:dyDescent="0.25">
      <c r="A3389" s="14">
        <f>DATE(2012,12,31)-1074</f>
        <v>40200</v>
      </c>
      <c r="B3389" s="15" t="s">
        <v>506</v>
      </c>
      <c r="C3389" s="15" t="s">
        <v>31</v>
      </c>
      <c r="D3389" s="16">
        <v>12</v>
      </c>
      <c r="E3389" s="17">
        <v>345.19</v>
      </c>
      <c r="F3389" s="16">
        <v>0.1</v>
      </c>
      <c r="G3389" s="15" t="s">
        <v>32</v>
      </c>
      <c r="H3389" s="18">
        <v>111.58799999999999</v>
      </c>
      <c r="I3389" s="19">
        <v>30.44</v>
      </c>
      <c r="J3389" s="19">
        <v>1.49</v>
      </c>
      <c r="K3389" s="19" t="s">
        <v>33</v>
      </c>
      <c r="L3389" s="19" t="s">
        <v>59</v>
      </c>
      <c r="M3389" s="15" t="s">
        <v>2033</v>
      </c>
      <c r="N3389" s="15" t="s">
        <v>36</v>
      </c>
      <c r="O3389" s="15" t="s">
        <v>170</v>
      </c>
      <c r="P3389" s="20" t="s">
        <v>1850</v>
      </c>
      <c r="Q3389" s="15" t="s">
        <v>83</v>
      </c>
      <c r="R3389" s="4"/>
      <c r="S3389" s="4"/>
    </row>
    <row r="3390" spans="1:19" ht="21" customHeight="1" x14ac:dyDescent="0.25">
      <c r="A3390" s="14">
        <f>DATE(2012,12,31)-699</f>
        <v>40575</v>
      </c>
      <c r="B3390" s="15" t="s">
        <v>1281</v>
      </c>
      <c r="C3390" s="15" t="s">
        <v>85</v>
      </c>
      <c r="D3390" s="16">
        <v>44</v>
      </c>
      <c r="E3390" s="17">
        <v>3644.596</v>
      </c>
      <c r="F3390" s="16">
        <v>0.06</v>
      </c>
      <c r="G3390" s="15" t="s">
        <v>32</v>
      </c>
      <c r="H3390" s="18">
        <v>1104.318</v>
      </c>
      <c r="I3390" s="19">
        <v>95.99</v>
      </c>
      <c r="J3390" s="19">
        <v>4.9000000000000004</v>
      </c>
      <c r="K3390" s="19" t="s">
        <v>33</v>
      </c>
      <c r="L3390" s="19" t="s">
        <v>145</v>
      </c>
      <c r="M3390" s="15" t="s">
        <v>2006</v>
      </c>
      <c r="N3390" s="15" t="s">
        <v>64</v>
      </c>
      <c r="O3390" s="15" t="s">
        <v>65</v>
      </c>
      <c r="P3390" s="20" t="s">
        <v>477</v>
      </c>
      <c r="Q3390" s="15" t="s">
        <v>83</v>
      </c>
      <c r="R3390" s="4"/>
      <c r="S3390" s="4"/>
    </row>
    <row r="3391" spans="1:19" ht="21" customHeight="1" x14ac:dyDescent="0.25">
      <c r="A3391" s="14">
        <f>DATE(2012,12,31)-1227</f>
        <v>40047</v>
      </c>
      <c r="B3391" s="15" t="s">
        <v>175</v>
      </c>
      <c r="C3391" s="15" t="s">
        <v>43</v>
      </c>
      <c r="D3391" s="16">
        <v>1</v>
      </c>
      <c r="E3391" s="17">
        <v>10.94</v>
      </c>
      <c r="F3391" s="16">
        <v>0.08</v>
      </c>
      <c r="G3391" s="15" t="s">
        <v>32</v>
      </c>
      <c r="H3391" s="18">
        <v>-4.3499999999999996</v>
      </c>
      <c r="I3391" s="19">
        <v>9.68</v>
      </c>
      <c r="J3391" s="19">
        <v>2.0299999999999998</v>
      </c>
      <c r="K3391" s="19" t="s">
        <v>33</v>
      </c>
      <c r="L3391" s="19" t="s">
        <v>59</v>
      </c>
      <c r="M3391" s="15" t="s">
        <v>2033</v>
      </c>
      <c r="N3391" s="15" t="s">
        <v>36</v>
      </c>
      <c r="O3391" s="15" t="s">
        <v>117</v>
      </c>
      <c r="P3391" s="20" t="s">
        <v>1060</v>
      </c>
      <c r="Q3391" s="15" t="s">
        <v>79</v>
      </c>
      <c r="R3391" s="4"/>
      <c r="S3391" s="4"/>
    </row>
    <row r="3392" spans="1:19" ht="21" customHeight="1" x14ac:dyDescent="0.25">
      <c r="A3392" s="14">
        <f>DATE(2012,12,31)-1227</f>
        <v>40047</v>
      </c>
      <c r="B3392" s="15" t="s">
        <v>175</v>
      </c>
      <c r="C3392" s="15" t="s">
        <v>43</v>
      </c>
      <c r="D3392" s="16">
        <v>12</v>
      </c>
      <c r="E3392" s="17">
        <v>1755.3</v>
      </c>
      <c r="F3392" s="16">
        <v>0.04</v>
      </c>
      <c r="G3392" s="15" t="s">
        <v>58</v>
      </c>
      <c r="H3392" s="18">
        <v>-7.0099999999999909</v>
      </c>
      <c r="I3392" s="19">
        <v>150.97999999999999</v>
      </c>
      <c r="J3392" s="19">
        <v>16.010000000000002</v>
      </c>
      <c r="K3392" s="19" t="s">
        <v>33</v>
      </c>
      <c r="L3392" s="19" t="s">
        <v>145</v>
      </c>
      <c r="M3392" s="15" t="s">
        <v>2006</v>
      </c>
      <c r="N3392" s="15" t="s">
        <v>54</v>
      </c>
      <c r="O3392" s="15" t="s">
        <v>61</v>
      </c>
      <c r="P3392" s="20" t="s">
        <v>941</v>
      </c>
      <c r="Q3392" s="15" t="s">
        <v>63</v>
      </c>
      <c r="R3392" s="4"/>
      <c r="S3392" s="4"/>
    </row>
    <row r="3393" spans="1:19" ht="21" customHeight="1" x14ac:dyDescent="0.25">
      <c r="A3393" s="14">
        <f>DATE(2012,12,31)-1388</f>
        <v>39886</v>
      </c>
      <c r="B3393" s="15" t="s">
        <v>1837</v>
      </c>
      <c r="C3393" s="15" t="s">
        <v>43</v>
      </c>
      <c r="D3393" s="16">
        <v>45</v>
      </c>
      <c r="E3393" s="17">
        <v>9539.6</v>
      </c>
      <c r="F3393" s="16">
        <v>0.02</v>
      </c>
      <c r="G3393" s="15" t="s">
        <v>58</v>
      </c>
      <c r="H3393" s="18">
        <v>-163.63</v>
      </c>
      <c r="I3393" s="19">
        <v>200.98</v>
      </c>
      <c r="J3393" s="19">
        <v>55.96</v>
      </c>
      <c r="K3393" s="19" t="s">
        <v>33</v>
      </c>
      <c r="L3393" s="19" t="s">
        <v>34</v>
      </c>
      <c r="M3393" s="15" t="s">
        <v>2043</v>
      </c>
      <c r="N3393" s="15" t="s">
        <v>54</v>
      </c>
      <c r="O3393" s="15" t="s">
        <v>134</v>
      </c>
      <c r="P3393" s="20" t="s">
        <v>2044</v>
      </c>
      <c r="Q3393" s="15" t="s">
        <v>63</v>
      </c>
      <c r="R3393" s="4"/>
      <c r="S3393" s="4"/>
    </row>
    <row r="3394" spans="1:19" ht="21" customHeight="1" x14ac:dyDescent="0.25">
      <c r="A3394" s="14">
        <f>DATE(2012,12,31)-1388</f>
        <v>39886</v>
      </c>
      <c r="B3394" s="15" t="s">
        <v>1837</v>
      </c>
      <c r="C3394" s="15" t="s">
        <v>43</v>
      </c>
      <c r="D3394" s="16">
        <v>24</v>
      </c>
      <c r="E3394" s="17">
        <v>109.86</v>
      </c>
      <c r="F3394" s="16">
        <v>0.02</v>
      </c>
      <c r="G3394" s="15" t="s">
        <v>32</v>
      </c>
      <c r="H3394" s="18">
        <v>-63.87</v>
      </c>
      <c r="I3394" s="19">
        <v>4.28</v>
      </c>
      <c r="J3394" s="19">
        <v>5.17</v>
      </c>
      <c r="K3394" s="19" t="s">
        <v>33</v>
      </c>
      <c r="L3394" s="19" t="s">
        <v>145</v>
      </c>
      <c r="M3394" s="15" t="s">
        <v>2006</v>
      </c>
      <c r="N3394" s="15" t="s">
        <v>36</v>
      </c>
      <c r="O3394" s="15" t="s">
        <v>117</v>
      </c>
      <c r="P3394" s="20" t="s">
        <v>1882</v>
      </c>
      <c r="Q3394" s="15" t="s">
        <v>83</v>
      </c>
      <c r="R3394" s="4"/>
      <c r="S3394" s="4"/>
    </row>
    <row r="3395" spans="1:19" ht="21" customHeight="1" x14ac:dyDescent="0.25">
      <c r="A3395" s="14">
        <f>DATE(2012,12,31)-1388</f>
        <v>39886</v>
      </c>
      <c r="B3395" s="15" t="s">
        <v>1837</v>
      </c>
      <c r="C3395" s="15" t="s">
        <v>43</v>
      </c>
      <c r="D3395" s="16">
        <v>19</v>
      </c>
      <c r="E3395" s="17">
        <v>1426.5125</v>
      </c>
      <c r="F3395" s="16">
        <v>0.04</v>
      </c>
      <c r="G3395" s="15" t="s">
        <v>32</v>
      </c>
      <c r="H3395" s="18">
        <v>-175.17500000000001</v>
      </c>
      <c r="I3395" s="19">
        <v>85.99</v>
      </c>
      <c r="J3395" s="19">
        <v>0.99</v>
      </c>
      <c r="K3395" s="19" t="s">
        <v>69</v>
      </c>
      <c r="L3395" s="19" t="s">
        <v>70</v>
      </c>
      <c r="M3395" s="15" t="s">
        <v>1895</v>
      </c>
      <c r="N3395" s="15" t="s">
        <v>64</v>
      </c>
      <c r="O3395" s="15" t="s">
        <v>65</v>
      </c>
      <c r="P3395" s="20" t="s">
        <v>213</v>
      </c>
      <c r="Q3395" s="15" t="s">
        <v>79</v>
      </c>
      <c r="R3395" s="4"/>
      <c r="S3395" s="4"/>
    </row>
    <row r="3396" spans="1:19" ht="21" customHeight="1" x14ac:dyDescent="0.25">
      <c r="A3396" s="14">
        <f>DATE(2012,12,31)-885</f>
        <v>40389</v>
      </c>
      <c r="B3396" s="15" t="s">
        <v>1931</v>
      </c>
      <c r="C3396" s="15" t="s">
        <v>51</v>
      </c>
      <c r="D3396" s="16">
        <v>2</v>
      </c>
      <c r="E3396" s="17">
        <v>13.44</v>
      </c>
      <c r="F3396" s="16">
        <v>0.08</v>
      </c>
      <c r="G3396" s="15" t="s">
        <v>32</v>
      </c>
      <c r="H3396" s="18">
        <v>-8.8800000000000008</v>
      </c>
      <c r="I3396" s="19">
        <v>4.28</v>
      </c>
      <c r="J3396" s="19">
        <v>5.17</v>
      </c>
      <c r="K3396" s="19" t="s">
        <v>69</v>
      </c>
      <c r="L3396" s="19" t="s">
        <v>70</v>
      </c>
      <c r="M3396" s="15" t="s">
        <v>1895</v>
      </c>
      <c r="N3396" s="15" t="s">
        <v>36</v>
      </c>
      <c r="O3396" s="15" t="s">
        <v>117</v>
      </c>
      <c r="P3396" s="20" t="s">
        <v>1882</v>
      </c>
      <c r="Q3396" s="15" t="s">
        <v>83</v>
      </c>
      <c r="R3396" s="4"/>
      <c r="S3396" s="4"/>
    </row>
    <row r="3397" spans="1:19" ht="21" customHeight="1" x14ac:dyDescent="0.25">
      <c r="A3397" s="14">
        <f>DATE(2012,12,31)-885</f>
        <v>40389</v>
      </c>
      <c r="B3397" s="15" t="s">
        <v>1931</v>
      </c>
      <c r="C3397" s="15" t="s">
        <v>51</v>
      </c>
      <c r="D3397" s="16">
        <v>24</v>
      </c>
      <c r="E3397" s="17">
        <v>1049.49</v>
      </c>
      <c r="F3397" s="16">
        <v>0.05</v>
      </c>
      <c r="G3397" s="15" t="s">
        <v>32</v>
      </c>
      <c r="H3397" s="18">
        <v>-5.41</v>
      </c>
      <c r="I3397" s="19">
        <v>43.57</v>
      </c>
      <c r="J3397" s="19">
        <v>16.36</v>
      </c>
      <c r="K3397" s="19" t="s">
        <v>69</v>
      </c>
      <c r="L3397" s="19" t="s">
        <v>70</v>
      </c>
      <c r="M3397" s="15" t="s">
        <v>1895</v>
      </c>
      <c r="N3397" s="15" t="s">
        <v>36</v>
      </c>
      <c r="O3397" s="15" t="s">
        <v>37</v>
      </c>
      <c r="P3397" s="20" t="s">
        <v>1371</v>
      </c>
      <c r="Q3397" s="15" t="s">
        <v>83</v>
      </c>
      <c r="R3397" s="4"/>
      <c r="S3397" s="4"/>
    </row>
    <row r="3398" spans="1:19" ht="21" customHeight="1" x14ac:dyDescent="0.25">
      <c r="A3398" s="14">
        <f>DATE(2012,12,31)-1062</f>
        <v>40212</v>
      </c>
      <c r="B3398" s="15" t="s">
        <v>1776</v>
      </c>
      <c r="C3398" s="15" t="s">
        <v>31</v>
      </c>
      <c r="D3398" s="16">
        <v>41</v>
      </c>
      <c r="E3398" s="17">
        <v>2354.4</v>
      </c>
      <c r="F3398" s="16">
        <v>0</v>
      </c>
      <c r="G3398" s="15" t="s">
        <v>101</v>
      </c>
      <c r="H3398" s="18">
        <v>246.54</v>
      </c>
      <c r="I3398" s="19">
        <v>55.94</v>
      </c>
      <c r="J3398" s="19">
        <v>6.55</v>
      </c>
      <c r="K3398" s="19" t="s">
        <v>69</v>
      </c>
      <c r="L3398" s="19" t="s">
        <v>70</v>
      </c>
      <c r="M3398" s="15" t="s">
        <v>1895</v>
      </c>
      <c r="N3398" s="15" t="s">
        <v>64</v>
      </c>
      <c r="O3398" s="15" t="s">
        <v>72</v>
      </c>
      <c r="P3398" s="20" t="s">
        <v>702</v>
      </c>
      <c r="Q3398" s="15" t="s">
        <v>83</v>
      </c>
      <c r="R3398" s="4"/>
      <c r="S3398" s="4"/>
    </row>
    <row r="3399" spans="1:19" ht="21" customHeight="1" x14ac:dyDescent="0.25">
      <c r="A3399" s="14">
        <f>DATE(2012,12,31)-1062</f>
        <v>40212</v>
      </c>
      <c r="B3399" s="15" t="s">
        <v>1776</v>
      </c>
      <c r="C3399" s="15" t="s">
        <v>31</v>
      </c>
      <c r="D3399" s="16">
        <v>2</v>
      </c>
      <c r="E3399" s="17">
        <v>35.640499999999996</v>
      </c>
      <c r="F3399" s="16">
        <v>0.05</v>
      </c>
      <c r="G3399" s="15" t="s">
        <v>32</v>
      </c>
      <c r="H3399" s="18">
        <v>-110.396</v>
      </c>
      <c r="I3399" s="19">
        <v>20.99</v>
      </c>
      <c r="J3399" s="19">
        <v>1.25</v>
      </c>
      <c r="K3399" s="19" t="s">
        <v>69</v>
      </c>
      <c r="L3399" s="19" t="s">
        <v>75</v>
      </c>
      <c r="M3399" s="15" t="s">
        <v>1980</v>
      </c>
      <c r="N3399" s="15" t="s">
        <v>64</v>
      </c>
      <c r="O3399" s="15" t="s">
        <v>65</v>
      </c>
      <c r="P3399" s="20" t="s">
        <v>1261</v>
      </c>
      <c r="Q3399" s="15" t="s">
        <v>49</v>
      </c>
      <c r="R3399" s="4"/>
      <c r="S3399" s="4"/>
    </row>
    <row r="3400" spans="1:19" ht="21" customHeight="1" x14ac:dyDescent="0.25">
      <c r="A3400" s="14">
        <f>DATE(2012,12,31)-1294</f>
        <v>39980</v>
      </c>
      <c r="B3400" s="15" t="s">
        <v>1020</v>
      </c>
      <c r="C3400" s="15" t="s">
        <v>85</v>
      </c>
      <c r="D3400" s="16">
        <v>16</v>
      </c>
      <c r="E3400" s="17">
        <v>706.53</v>
      </c>
      <c r="F3400" s="16">
        <v>0</v>
      </c>
      <c r="G3400" s="15" t="s">
        <v>32</v>
      </c>
      <c r="H3400" s="18">
        <v>-314.42</v>
      </c>
      <c r="I3400" s="19">
        <v>40.479999999999997</v>
      </c>
      <c r="J3400" s="19">
        <v>19.989999999999998</v>
      </c>
      <c r="K3400" s="19" t="s">
        <v>69</v>
      </c>
      <c r="L3400" s="19" t="s">
        <v>75</v>
      </c>
      <c r="M3400" s="15" t="s">
        <v>1980</v>
      </c>
      <c r="N3400" s="15" t="s">
        <v>64</v>
      </c>
      <c r="O3400" s="15" t="s">
        <v>72</v>
      </c>
      <c r="P3400" s="20" t="s">
        <v>1247</v>
      </c>
      <c r="Q3400" s="15" t="s">
        <v>83</v>
      </c>
      <c r="R3400" s="4"/>
      <c r="S3400" s="4"/>
    </row>
    <row r="3401" spans="1:19" ht="21" customHeight="1" x14ac:dyDescent="0.25">
      <c r="A3401" s="14">
        <f>DATE(2012,12,31)-868</f>
        <v>40406</v>
      </c>
      <c r="B3401" s="15" t="s">
        <v>1339</v>
      </c>
      <c r="C3401" s="15" t="s">
        <v>85</v>
      </c>
      <c r="D3401" s="16">
        <v>24</v>
      </c>
      <c r="E3401" s="17">
        <v>1840.8534999999999</v>
      </c>
      <c r="F3401" s="16">
        <v>0.01</v>
      </c>
      <c r="G3401" s="15" t="s">
        <v>32</v>
      </c>
      <c r="H3401" s="18">
        <v>424.63799999999998</v>
      </c>
      <c r="I3401" s="19">
        <v>85.99</v>
      </c>
      <c r="J3401" s="19">
        <v>2.79</v>
      </c>
      <c r="K3401" s="19" t="s">
        <v>69</v>
      </c>
      <c r="L3401" s="19" t="s">
        <v>70</v>
      </c>
      <c r="M3401" s="15" t="s">
        <v>1895</v>
      </c>
      <c r="N3401" s="15" t="s">
        <v>64</v>
      </c>
      <c r="O3401" s="15" t="s">
        <v>65</v>
      </c>
      <c r="P3401" s="20" t="s">
        <v>1394</v>
      </c>
      <c r="Q3401" s="15" t="s">
        <v>83</v>
      </c>
      <c r="R3401" s="4"/>
      <c r="S3401" s="4"/>
    </row>
    <row r="3402" spans="1:19" ht="21" customHeight="1" x14ac:dyDescent="0.25">
      <c r="A3402" s="14">
        <f>DATE(2012,12,31)-1263</f>
        <v>40011</v>
      </c>
      <c r="B3402" s="15" t="s">
        <v>138</v>
      </c>
      <c r="C3402" s="15" t="s">
        <v>31</v>
      </c>
      <c r="D3402" s="16">
        <v>31</v>
      </c>
      <c r="E3402" s="17">
        <v>60.64</v>
      </c>
      <c r="F3402" s="16">
        <v>0.05</v>
      </c>
      <c r="G3402" s="15" t="s">
        <v>32</v>
      </c>
      <c r="H3402" s="18">
        <v>-66.62</v>
      </c>
      <c r="I3402" s="19">
        <v>1.86</v>
      </c>
      <c r="J3402" s="19">
        <v>2.58</v>
      </c>
      <c r="K3402" s="19" t="s">
        <v>69</v>
      </c>
      <c r="L3402" s="19" t="s">
        <v>75</v>
      </c>
      <c r="M3402" s="15" t="s">
        <v>1980</v>
      </c>
      <c r="N3402" s="15" t="s">
        <v>36</v>
      </c>
      <c r="O3402" s="15" t="s">
        <v>105</v>
      </c>
      <c r="P3402" s="20" t="s">
        <v>106</v>
      </c>
      <c r="Q3402" s="15" t="s">
        <v>79</v>
      </c>
      <c r="R3402" s="4"/>
      <c r="S3402" s="4"/>
    </row>
    <row r="3403" spans="1:19" ht="21" customHeight="1" x14ac:dyDescent="0.25">
      <c r="A3403" s="14">
        <f>DATE(2012,12,31)-1242</f>
        <v>40032</v>
      </c>
      <c r="B3403" s="15" t="s">
        <v>1077</v>
      </c>
      <c r="C3403" s="15" t="s">
        <v>43</v>
      </c>
      <c r="D3403" s="16">
        <v>48</v>
      </c>
      <c r="E3403" s="17">
        <v>2482.0340000000001</v>
      </c>
      <c r="F3403" s="16">
        <v>0.08</v>
      </c>
      <c r="G3403" s="15" t="s">
        <v>32</v>
      </c>
      <c r="H3403" s="18">
        <v>421.89299999999997</v>
      </c>
      <c r="I3403" s="19">
        <v>65.989999999999995</v>
      </c>
      <c r="J3403" s="19">
        <v>5.92</v>
      </c>
      <c r="K3403" s="19" t="s">
        <v>69</v>
      </c>
      <c r="L3403" s="19" t="s">
        <v>215</v>
      </c>
      <c r="M3403" s="15" t="s">
        <v>2038</v>
      </c>
      <c r="N3403" s="15" t="s">
        <v>64</v>
      </c>
      <c r="O3403" s="15" t="s">
        <v>65</v>
      </c>
      <c r="P3403" s="20" t="s">
        <v>1578</v>
      </c>
      <c r="Q3403" s="15" t="s">
        <v>83</v>
      </c>
      <c r="R3403" s="4"/>
      <c r="S3403" s="4"/>
    </row>
    <row r="3404" spans="1:19" ht="21" customHeight="1" x14ac:dyDescent="0.25">
      <c r="A3404" s="14">
        <f>DATE(2012,12,31)-820</f>
        <v>40454</v>
      </c>
      <c r="B3404" s="15" t="s">
        <v>311</v>
      </c>
      <c r="C3404" s="15" t="s">
        <v>43</v>
      </c>
      <c r="D3404" s="16">
        <v>48</v>
      </c>
      <c r="E3404" s="17">
        <v>548.29999999999995</v>
      </c>
      <c r="F3404" s="16">
        <v>0.09</v>
      </c>
      <c r="G3404" s="15" t="s">
        <v>101</v>
      </c>
      <c r="H3404" s="18">
        <v>-47.92</v>
      </c>
      <c r="I3404" s="19">
        <v>11.97</v>
      </c>
      <c r="J3404" s="19">
        <v>4.9800000000000004</v>
      </c>
      <c r="K3404" s="19" t="s">
        <v>69</v>
      </c>
      <c r="L3404" s="19" t="s">
        <v>215</v>
      </c>
      <c r="M3404" s="15" t="s">
        <v>2038</v>
      </c>
      <c r="N3404" s="15" t="s">
        <v>36</v>
      </c>
      <c r="O3404" s="15" t="s">
        <v>176</v>
      </c>
      <c r="P3404" s="20" t="s">
        <v>1735</v>
      </c>
      <c r="Q3404" s="15" t="s">
        <v>83</v>
      </c>
      <c r="R3404" s="4"/>
      <c r="S3404" s="4"/>
    </row>
    <row r="3405" spans="1:19" ht="21" customHeight="1" x14ac:dyDescent="0.25">
      <c r="A3405" s="14">
        <f>DATE(2012,12,31)-105</f>
        <v>41169</v>
      </c>
      <c r="B3405" s="15" t="s">
        <v>539</v>
      </c>
      <c r="C3405" s="15" t="s">
        <v>85</v>
      </c>
      <c r="D3405" s="16">
        <v>28</v>
      </c>
      <c r="E3405" s="17">
        <v>946.27</v>
      </c>
      <c r="F3405" s="16">
        <v>0.06</v>
      </c>
      <c r="G3405" s="15" t="s">
        <v>32</v>
      </c>
      <c r="H3405" s="18">
        <v>66.38</v>
      </c>
      <c r="I3405" s="19">
        <v>33.29</v>
      </c>
      <c r="J3405" s="19">
        <v>8.74</v>
      </c>
      <c r="K3405" s="19" t="s">
        <v>111</v>
      </c>
      <c r="L3405" s="19" t="s">
        <v>112</v>
      </c>
      <c r="M3405" s="15" t="s">
        <v>2023</v>
      </c>
      <c r="N3405" s="15" t="s">
        <v>36</v>
      </c>
      <c r="O3405" s="15" t="s">
        <v>37</v>
      </c>
      <c r="P3405" s="20" t="s">
        <v>1885</v>
      </c>
      <c r="Q3405" s="15" t="s">
        <v>83</v>
      </c>
      <c r="R3405" s="4"/>
      <c r="S3405" s="4"/>
    </row>
    <row r="3406" spans="1:19" ht="21" customHeight="1" x14ac:dyDescent="0.25">
      <c r="A3406" s="14">
        <f>DATE(2012,12,31)-107</f>
        <v>41167</v>
      </c>
      <c r="B3406" s="15" t="s">
        <v>620</v>
      </c>
      <c r="C3406" s="15" t="s">
        <v>31</v>
      </c>
      <c r="D3406" s="16">
        <v>16</v>
      </c>
      <c r="E3406" s="17">
        <v>512.80999999999995</v>
      </c>
      <c r="F3406" s="16">
        <v>0.1</v>
      </c>
      <c r="G3406" s="15" t="s">
        <v>58</v>
      </c>
      <c r="H3406" s="18">
        <v>-177.07</v>
      </c>
      <c r="I3406" s="19">
        <v>33.94</v>
      </c>
      <c r="J3406" s="19">
        <v>19.190000000000001</v>
      </c>
      <c r="K3406" s="19" t="s">
        <v>44</v>
      </c>
      <c r="L3406" s="19" t="s">
        <v>120</v>
      </c>
      <c r="M3406" s="15" t="s">
        <v>2025</v>
      </c>
      <c r="N3406" s="15" t="s">
        <v>54</v>
      </c>
      <c r="O3406" s="15" t="s">
        <v>252</v>
      </c>
      <c r="P3406" s="20" t="s">
        <v>2045</v>
      </c>
      <c r="Q3406" s="15" t="s">
        <v>181</v>
      </c>
      <c r="R3406" s="4"/>
      <c r="S3406" s="4"/>
    </row>
    <row r="3407" spans="1:19" ht="21" customHeight="1" x14ac:dyDescent="0.25">
      <c r="A3407" s="14">
        <f>DATE(2012,12,31)-1247</f>
        <v>40027</v>
      </c>
      <c r="B3407" s="15" t="s">
        <v>1815</v>
      </c>
      <c r="C3407" s="15" t="s">
        <v>43</v>
      </c>
      <c r="D3407" s="16">
        <v>24</v>
      </c>
      <c r="E3407" s="17">
        <v>4865.72</v>
      </c>
      <c r="F3407" s="16">
        <v>0.03</v>
      </c>
      <c r="G3407" s="15" t="s">
        <v>58</v>
      </c>
      <c r="H3407" s="18">
        <v>1951.3</v>
      </c>
      <c r="I3407" s="19">
        <v>200.97</v>
      </c>
      <c r="J3407" s="19">
        <v>15.59</v>
      </c>
      <c r="K3407" s="19" t="s">
        <v>44</v>
      </c>
      <c r="L3407" s="19" t="s">
        <v>89</v>
      </c>
      <c r="M3407" s="15" t="s">
        <v>1932</v>
      </c>
      <c r="N3407" s="15" t="s">
        <v>64</v>
      </c>
      <c r="O3407" s="15" t="s">
        <v>122</v>
      </c>
      <c r="P3407" s="20" t="s">
        <v>1728</v>
      </c>
      <c r="Q3407" s="15" t="s">
        <v>181</v>
      </c>
      <c r="R3407" s="4"/>
      <c r="S3407" s="4"/>
    </row>
    <row r="3408" spans="1:19" ht="21" customHeight="1" x14ac:dyDescent="0.25">
      <c r="A3408" s="14">
        <f>DATE(2012,12,31)-459</f>
        <v>40815</v>
      </c>
      <c r="B3408" s="15" t="s">
        <v>1961</v>
      </c>
      <c r="C3408" s="15" t="s">
        <v>85</v>
      </c>
      <c r="D3408" s="16">
        <v>37</v>
      </c>
      <c r="E3408" s="17">
        <v>1596.86</v>
      </c>
      <c r="F3408" s="16">
        <v>0.05</v>
      </c>
      <c r="G3408" s="15" t="s">
        <v>32</v>
      </c>
      <c r="H3408" s="18">
        <v>418.6</v>
      </c>
      <c r="I3408" s="19">
        <v>44.01</v>
      </c>
      <c r="J3408" s="19">
        <v>3.5</v>
      </c>
      <c r="K3408" s="19" t="s">
        <v>44</v>
      </c>
      <c r="L3408" s="19" t="s">
        <v>45</v>
      </c>
      <c r="M3408" s="15" t="s">
        <v>1985</v>
      </c>
      <c r="N3408" s="15" t="s">
        <v>36</v>
      </c>
      <c r="O3408" s="15" t="s">
        <v>176</v>
      </c>
      <c r="P3408" s="20" t="s">
        <v>1507</v>
      </c>
      <c r="Q3408" s="15" t="s">
        <v>83</v>
      </c>
      <c r="R3408" s="4"/>
      <c r="S3408" s="4"/>
    </row>
    <row r="3409" spans="1:19" ht="21" customHeight="1" x14ac:dyDescent="0.25">
      <c r="A3409" s="14">
        <f>DATE(2012,12,31)-459</f>
        <v>40815</v>
      </c>
      <c r="B3409" s="15" t="s">
        <v>1961</v>
      </c>
      <c r="C3409" s="15" t="s">
        <v>85</v>
      </c>
      <c r="D3409" s="16">
        <v>12</v>
      </c>
      <c r="E3409" s="17">
        <v>78.36</v>
      </c>
      <c r="F3409" s="16">
        <v>0.06</v>
      </c>
      <c r="G3409" s="15" t="s">
        <v>32</v>
      </c>
      <c r="H3409" s="18">
        <v>8.52</v>
      </c>
      <c r="I3409" s="19">
        <v>6.68</v>
      </c>
      <c r="J3409" s="19">
        <v>1.5</v>
      </c>
      <c r="K3409" s="19" t="s">
        <v>44</v>
      </c>
      <c r="L3409" s="19" t="s">
        <v>89</v>
      </c>
      <c r="M3409" s="15" t="s">
        <v>1932</v>
      </c>
      <c r="N3409" s="15" t="s">
        <v>36</v>
      </c>
      <c r="O3409" s="15" t="s">
        <v>77</v>
      </c>
      <c r="P3409" s="20" t="s">
        <v>857</v>
      </c>
      <c r="Q3409" s="15" t="s">
        <v>79</v>
      </c>
      <c r="R3409" s="4"/>
      <c r="S3409" s="4"/>
    </row>
    <row r="3410" spans="1:19" ht="21" customHeight="1" x14ac:dyDescent="0.25">
      <c r="A3410" s="14">
        <f>DATE(2012,12,31)-966</f>
        <v>40308</v>
      </c>
      <c r="B3410" s="15" t="s">
        <v>325</v>
      </c>
      <c r="C3410" s="15" t="s">
        <v>85</v>
      </c>
      <c r="D3410" s="16">
        <v>32</v>
      </c>
      <c r="E3410" s="17">
        <v>103.48</v>
      </c>
      <c r="F3410" s="16">
        <v>0.03</v>
      </c>
      <c r="G3410" s="15" t="s">
        <v>32</v>
      </c>
      <c r="H3410" s="18">
        <v>20.53</v>
      </c>
      <c r="I3410" s="19">
        <v>3.14</v>
      </c>
      <c r="J3410" s="19">
        <v>1.1399999999999999</v>
      </c>
      <c r="K3410" s="19" t="s">
        <v>44</v>
      </c>
      <c r="L3410" s="19" t="s">
        <v>89</v>
      </c>
      <c r="M3410" s="15" t="s">
        <v>1932</v>
      </c>
      <c r="N3410" s="15" t="s">
        <v>36</v>
      </c>
      <c r="O3410" s="15" t="s">
        <v>117</v>
      </c>
      <c r="P3410" s="20" t="s">
        <v>2046</v>
      </c>
      <c r="Q3410" s="15" t="s">
        <v>79</v>
      </c>
      <c r="R3410" s="4"/>
      <c r="S3410" s="4"/>
    </row>
    <row r="3411" spans="1:19" ht="21" customHeight="1" x14ac:dyDescent="0.25">
      <c r="A3411" s="14">
        <f>DATE(2012,12,31)-965</f>
        <v>40309</v>
      </c>
      <c r="B3411" s="15" t="s">
        <v>468</v>
      </c>
      <c r="C3411" s="15" t="s">
        <v>85</v>
      </c>
      <c r="D3411" s="16">
        <v>37</v>
      </c>
      <c r="E3411" s="17">
        <v>12612.66</v>
      </c>
      <c r="F3411" s="16">
        <v>0.06</v>
      </c>
      <c r="G3411" s="15" t="s">
        <v>58</v>
      </c>
      <c r="H3411" s="18">
        <v>3325.03</v>
      </c>
      <c r="I3411" s="19">
        <v>350.99</v>
      </c>
      <c r="J3411" s="19">
        <v>39</v>
      </c>
      <c r="K3411" s="19" t="s">
        <v>44</v>
      </c>
      <c r="L3411" s="19" t="s">
        <v>45</v>
      </c>
      <c r="M3411" s="15" t="s">
        <v>1985</v>
      </c>
      <c r="N3411" s="15" t="s">
        <v>54</v>
      </c>
      <c r="O3411" s="15" t="s">
        <v>252</v>
      </c>
      <c r="P3411" s="20" t="s">
        <v>1254</v>
      </c>
      <c r="Q3411" s="15" t="s">
        <v>181</v>
      </c>
      <c r="R3411" s="4"/>
      <c r="S3411" s="4"/>
    </row>
    <row r="3412" spans="1:19" ht="21" customHeight="1" x14ac:dyDescent="0.25">
      <c r="A3412" s="14">
        <f>DATE(2012,12,31)-1325</f>
        <v>39949</v>
      </c>
      <c r="B3412" s="15" t="s">
        <v>908</v>
      </c>
      <c r="C3412" s="15" t="s">
        <v>85</v>
      </c>
      <c r="D3412" s="16">
        <v>27</v>
      </c>
      <c r="E3412" s="17">
        <v>7333.45</v>
      </c>
      <c r="F3412" s="16">
        <v>7.0000000000000007E-2</v>
      </c>
      <c r="G3412" s="15" t="s">
        <v>32</v>
      </c>
      <c r="H3412" s="18">
        <v>-207.28</v>
      </c>
      <c r="I3412" s="19">
        <v>279.48</v>
      </c>
      <c r="J3412" s="19">
        <v>35</v>
      </c>
      <c r="K3412" s="19" t="s">
        <v>44</v>
      </c>
      <c r="L3412" s="19" t="s">
        <v>45</v>
      </c>
      <c r="M3412" s="15" t="s">
        <v>1985</v>
      </c>
      <c r="N3412" s="15" t="s">
        <v>36</v>
      </c>
      <c r="O3412" s="15" t="s">
        <v>37</v>
      </c>
      <c r="P3412" s="20" t="s">
        <v>905</v>
      </c>
      <c r="Q3412" s="15" t="s">
        <v>39</v>
      </c>
      <c r="R3412" s="4"/>
      <c r="S3412" s="4"/>
    </row>
    <row r="3413" spans="1:19" ht="21" customHeight="1" x14ac:dyDescent="0.25">
      <c r="A3413" s="14">
        <f>DATE(2012,12,31)-646</f>
        <v>40628</v>
      </c>
      <c r="B3413" s="15" t="s">
        <v>292</v>
      </c>
      <c r="C3413" s="15" t="s">
        <v>85</v>
      </c>
      <c r="D3413" s="16">
        <v>44</v>
      </c>
      <c r="E3413" s="17">
        <v>205.11</v>
      </c>
      <c r="F3413" s="16">
        <v>0.06</v>
      </c>
      <c r="G3413" s="15" t="s">
        <v>32</v>
      </c>
      <c r="H3413" s="18">
        <v>95.52</v>
      </c>
      <c r="I3413" s="19">
        <v>4.91</v>
      </c>
      <c r="J3413" s="19">
        <v>0.5</v>
      </c>
      <c r="K3413" s="19" t="s">
        <v>44</v>
      </c>
      <c r="L3413" s="19" t="s">
        <v>120</v>
      </c>
      <c r="M3413" s="15" t="s">
        <v>2025</v>
      </c>
      <c r="N3413" s="15" t="s">
        <v>36</v>
      </c>
      <c r="O3413" s="15" t="s">
        <v>114</v>
      </c>
      <c r="P3413" s="20" t="s">
        <v>786</v>
      </c>
      <c r="Q3413" s="15" t="s">
        <v>83</v>
      </c>
      <c r="R3413" s="4"/>
      <c r="S3413" s="4"/>
    </row>
    <row r="3414" spans="1:19" ht="21" customHeight="1" x14ac:dyDescent="0.25">
      <c r="A3414" s="14">
        <f>DATE(2012,12,31)-646</f>
        <v>40628</v>
      </c>
      <c r="B3414" s="15" t="s">
        <v>292</v>
      </c>
      <c r="C3414" s="15" t="s">
        <v>85</v>
      </c>
      <c r="D3414" s="16">
        <v>21</v>
      </c>
      <c r="E3414" s="17">
        <v>3981.23</v>
      </c>
      <c r="F3414" s="16">
        <v>7.0000000000000007E-2</v>
      </c>
      <c r="G3414" s="15" t="s">
        <v>32</v>
      </c>
      <c r="H3414" s="18">
        <v>294.94</v>
      </c>
      <c r="I3414" s="19">
        <v>193.17</v>
      </c>
      <c r="J3414" s="19">
        <v>19.989999999999998</v>
      </c>
      <c r="K3414" s="19" t="s">
        <v>44</v>
      </c>
      <c r="L3414" s="19" t="s">
        <v>45</v>
      </c>
      <c r="M3414" s="15" t="s">
        <v>1985</v>
      </c>
      <c r="N3414" s="15" t="s">
        <v>36</v>
      </c>
      <c r="O3414" s="15" t="s">
        <v>37</v>
      </c>
      <c r="P3414" s="20" t="s">
        <v>197</v>
      </c>
      <c r="Q3414" s="15" t="s">
        <v>83</v>
      </c>
      <c r="R3414" s="4"/>
      <c r="S3414" s="4"/>
    </row>
    <row r="3415" spans="1:19" ht="21" customHeight="1" x14ac:dyDescent="0.25">
      <c r="A3415" s="14">
        <f>DATE(2012,12,31)-646</f>
        <v>40628</v>
      </c>
      <c r="B3415" s="15" t="s">
        <v>292</v>
      </c>
      <c r="C3415" s="15" t="s">
        <v>85</v>
      </c>
      <c r="D3415" s="16">
        <v>20</v>
      </c>
      <c r="E3415" s="17">
        <v>2458.2425000000003</v>
      </c>
      <c r="F3415" s="16">
        <v>0.1</v>
      </c>
      <c r="G3415" s="15" t="s">
        <v>32</v>
      </c>
      <c r="H3415" s="18">
        <v>110.538</v>
      </c>
      <c r="I3415" s="19">
        <v>155.99</v>
      </c>
      <c r="J3415" s="19">
        <v>8.99</v>
      </c>
      <c r="K3415" s="19" t="s">
        <v>44</v>
      </c>
      <c r="L3415" s="19" t="s">
        <v>89</v>
      </c>
      <c r="M3415" s="15" t="s">
        <v>1932</v>
      </c>
      <c r="N3415" s="15" t="s">
        <v>64</v>
      </c>
      <c r="O3415" s="15" t="s">
        <v>65</v>
      </c>
      <c r="P3415" s="20" t="s">
        <v>82</v>
      </c>
      <c r="Q3415" s="15" t="s">
        <v>83</v>
      </c>
      <c r="R3415" s="4"/>
      <c r="S3415" s="4"/>
    </row>
    <row r="3416" spans="1:19" ht="21" customHeight="1" x14ac:dyDescent="0.25">
      <c r="A3416" s="14">
        <f>DATE(2012,12,31)-188</f>
        <v>41086</v>
      </c>
      <c r="B3416" s="15" t="s">
        <v>911</v>
      </c>
      <c r="C3416" s="15" t="s">
        <v>51</v>
      </c>
      <c r="D3416" s="16">
        <v>41</v>
      </c>
      <c r="E3416" s="17">
        <v>4256.51</v>
      </c>
      <c r="F3416" s="16">
        <v>0.03</v>
      </c>
      <c r="G3416" s="15" t="s">
        <v>32</v>
      </c>
      <c r="H3416" s="18">
        <v>1653.96</v>
      </c>
      <c r="I3416" s="19">
        <v>100.97</v>
      </c>
      <c r="J3416" s="19">
        <v>7.18</v>
      </c>
      <c r="K3416" s="19" t="s">
        <v>44</v>
      </c>
      <c r="L3416" s="19" t="s">
        <v>89</v>
      </c>
      <c r="M3416" s="15" t="s">
        <v>1932</v>
      </c>
      <c r="N3416" s="15" t="s">
        <v>64</v>
      </c>
      <c r="O3416" s="15" t="s">
        <v>72</v>
      </c>
      <c r="P3416" s="20" t="s">
        <v>2047</v>
      </c>
      <c r="Q3416" s="15" t="s">
        <v>83</v>
      </c>
      <c r="R3416" s="4"/>
      <c r="S3416" s="4"/>
    </row>
    <row r="3417" spans="1:19" ht="21" customHeight="1" x14ac:dyDescent="0.25">
      <c r="A3417" s="14">
        <f>DATE(2012,12,31)-188</f>
        <v>41086</v>
      </c>
      <c r="B3417" s="15" t="s">
        <v>911</v>
      </c>
      <c r="C3417" s="15" t="s">
        <v>51</v>
      </c>
      <c r="D3417" s="16">
        <v>12</v>
      </c>
      <c r="E3417" s="17">
        <v>503.08</v>
      </c>
      <c r="F3417" s="16">
        <v>0.01</v>
      </c>
      <c r="G3417" s="15" t="s">
        <v>32</v>
      </c>
      <c r="H3417" s="18">
        <v>-102.74</v>
      </c>
      <c r="I3417" s="19">
        <v>40.98</v>
      </c>
      <c r="J3417" s="19">
        <v>6.5</v>
      </c>
      <c r="K3417" s="19" t="s">
        <v>44</v>
      </c>
      <c r="L3417" s="19" t="s">
        <v>89</v>
      </c>
      <c r="M3417" s="15" t="s">
        <v>1932</v>
      </c>
      <c r="N3417" s="15" t="s">
        <v>64</v>
      </c>
      <c r="O3417" s="15" t="s">
        <v>72</v>
      </c>
      <c r="P3417" s="20" t="s">
        <v>1369</v>
      </c>
      <c r="Q3417" s="15" t="s">
        <v>83</v>
      </c>
      <c r="R3417" s="4"/>
      <c r="S3417" s="4"/>
    </row>
    <row r="3418" spans="1:19" ht="21" customHeight="1" x14ac:dyDescent="0.25">
      <c r="A3418" s="14">
        <f>DATE(2012,12,31)-188</f>
        <v>41086</v>
      </c>
      <c r="B3418" s="15" t="s">
        <v>911</v>
      </c>
      <c r="C3418" s="15" t="s">
        <v>51</v>
      </c>
      <c r="D3418" s="16">
        <v>15</v>
      </c>
      <c r="E3418" s="17">
        <v>76.94</v>
      </c>
      <c r="F3418" s="16">
        <v>0</v>
      </c>
      <c r="G3418" s="15" t="s">
        <v>101</v>
      </c>
      <c r="H3418" s="18">
        <v>29.67</v>
      </c>
      <c r="I3418" s="19">
        <v>4.13</v>
      </c>
      <c r="J3418" s="19">
        <v>0.99</v>
      </c>
      <c r="K3418" s="19" t="s">
        <v>44</v>
      </c>
      <c r="L3418" s="19" t="s">
        <v>45</v>
      </c>
      <c r="M3418" s="15" t="s">
        <v>1985</v>
      </c>
      <c r="N3418" s="15" t="s">
        <v>36</v>
      </c>
      <c r="O3418" s="15" t="s">
        <v>114</v>
      </c>
      <c r="P3418" s="20" t="s">
        <v>926</v>
      </c>
      <c r="Q3418" s="15" t="s">
        <v>83</v>
      </c>
      <c r="R3418" s="4"/>
      <c r="S3418" s="4"/>
    </row>
    <row r="3419" spans="1:19" ht="21" customHeight="1" x14ac:dyDescent="0.25">
      <c r="A3419" s="14">
        <f>DATE(2012,12,31)-509</f>
        <v>40765</v>
      </c>
      <c r="B3419" s="15" t="s">
        <v>1950</v>
      </c>
      <c r="C3419" s="15" t="s">
        <v>85</v>
      </c>
      <c r="D3419" s="16">
        <v>23</v>
      </c>
      <c r="E3419" s="17">
        <v>1003.31</v>
      </c>
      <c r="F3419" s="16">
        <v>0.01</v>
      </c>
      <c r="G3419" s="15" t="s">
        <v>32</v>
      </c>
      <c r="H3419" s="18">
        <v>51.9</v>
      </c>
      <c r="I3419" s="19">
        <v>40.97</v>
      </c>
      <c r="J3419" s="19">
        <v>14.45</v>
      </c>
      <c r="K3419" s="19" t="s">
        <v>44</v>
      </c>
      <c r="L3419" s="19" t="s">
        <v>45</v>
      </c>
      <c r="M3419" s="15" t="s">
        <v>1985</v>
      </c>
      <c r="N3419" s="15" t="s">
        <v>54</v>
      </c>
      <c r="O3419" s="15" t="s">
        <v>55</v>
      </c>
      <c r="P3419" s="20" t="s">
        <v>508</v>
      </c>
      <c r="Q3419" s="15" t="s">
        <v>39</v>
      </c>
      <c r="R3419" s="4"/>
      <c r="S3419" s="4"/>
    </row>
    <row r="3420" spans="1:19" ht="21" customHeight="1" x14ac:dyDescent="0.25">
      <c r="A3420" s="14">
        <f>DATE(2012,12,31)-509</f>
        <v>40765</v>
      </c>
      <c r="B3420" s="15" t="s">
        <v>1950</v>
      </c>
      <c r="C3420" s="15" t="s">
        <v>85</v>
      </c>
      <c r="D3420" s="16">
        <v>17</v>
      </c>
      <c r="E3420" s="17">
        <v>6048.18</v>
      </c>
      <c r="F3420" s="16">
        <v>0.04</v>
      </c>
      <c r="G3420" s="15" t="s">
        <v>58</v>
      </c>
      <c r="H3420" s="18">
        <v>1418.36</v>
      </c>
      <c r="I3420" s="19">
        <v>349.45</v>
      </c>
      <c r="J3420" s="19">
        <v>60</v>
      </c>
      <c r="K3420" s="19" t="s">
        <v>44</v>
      </c>
      <c r="L3420" s="19" t="s">
        <v>120</v>
      </c>
      <c r="M3420" s="15" t="s">
        <v>2025</v>
      </c>
      <c r="N3420" s="15" t="s">
        <v>54</v>
      </c>
      <c r="O3420" s="15" t="s">
        <v>61</v>
      </c>
      <c r="P3420" s="20" t="s">
        <v>1031</v>
      </c>
      <c r="Q3420" s="15" t="s">
        <v>181</v>
      </c>
      <c r="R3420" s="4"/>
      <c r="S3420" s="4"/>
    </row>
    <row r="3421" spans="1:19" ht="21" customHeight="1" x14ac:dyDescent="0.25">
      <c r="A3421" s="14">
        <f>DATE(2012,12,31)-705</f>
        <v>40569</v>
      </c>
      <c r="B3421" s="15" t="s">
        <v>944</v>
      </c>
      <c r="C3421" s="15" t="s">
        <v>85</v>
      </c>
      <c r="D3421" s="16">
        <v>15</v>
      </c>
      <c r="E3421" s="17">
        <v>8662.34</v>
      </c>
      <c r="F3421" s="16">
        <v>0</v>
      </c>
      <c r="G3421" s="15" t="s">
        <v>58</v>
      </c>
      <c r="H3421" s="18">
        <v>-704.66</v>
      </c>
      <c r="I3421" s="19">
        <v>549.99</v>
      </c>
      <c r="J3421" s="19">
        <v>49</v>
      </c>
      <c r="K3421" s="19" t="s">
        <v>44</v>
      </c>
      <c r="L3421" s="19" t="s">
        <v>89</v>
      </c>
      <c r="M3421" s="15" t="s">
        <v>1932</v>
      </c>
      <c r="N3421" s="15" t="s">
        <v>64</v>
      </c>
      <c r="O3421" s="15" t="s">
        <v>460</v>
      </c>
      <c r="P3421" s="20" t="s">
        <v>708</v>
      </c>
      <c r="Q3421" s="15" t="s">
        <v>181</v>
      </c>
      <c r="R3421" s="4"/>
      <c r="S3421" s="4"/>
    </row>
    <row r="3422" spans="1:19" ht="21" customHeight="1" x14ac:dyDescent="0.25">
      <c r="A3422" s="14">
        <f>DATE(2012,12,31)-208</f>
        <v>41066</v>
      </c>
      <c r="B3422" s="15" t="s">
        <v>1713</v>
      </c>
      <c r="C3422" s="15" t="s">
        <v>31</v>
      </c>
      <c r="D3422" s="16">
        <v>2</v>
      </c>
      <c r="E3422" s="17">
        <v>107.67</v>
      </c>
      <c r="F3422" s="16">
        <v>0.1</v>
      </c>
      <c r="G3422" s="15" t="s">
        <v>101</v>
      </c>
      <c r="H3422" s="18">
        <v>-234.66</v>
      </c>
      <c r="I3422" s="19">
        <v>50.98</v>
      </c>
      <c r="J3422" s="19">
        <v>6.5</v>
      </c>
      <c r="K3422" s="19" t="s">
        <v>44</v>
      </c>
      <c r="L3422" s="19" t="s">
        <v>45</v>
      </c>
      <c r="M3422" s="15" t="s">
        <v>1985</v>
      </c>
      <c r="N3422" s="15" t="s">
        <v>64</v>
      </c>
      <c r="O3422" s="15" t="s">
        <v>72</v>
      </c>
      <c r="P3422" s="20" t="s">
        <v>1422</v>
      </c>
      <c r="Q3422" s="15" t="s">
        <v>83</v>
      </c>
      <c r="R3422" s="4"/>
      <c r="S3422" s="4"/>
    </row>
    <row r="3423" spans="1:19" ht="21" customHeight="1" x14ac:dyDescent="0.25">
      <c r="A3423" s="14">
        <f>DATE(2012,12,31)-1396</f>
        <v>39878</v>
      </c>
      <c r="B3423" s="15" t="s">
        <v>782</v>
      </c>
      <c r="C3423" s="15" t="s">
        <v>31</v>
      </c>
      <c r="D3423" s="16">
        <v>14</v>
      </c>
      <c r="E3423" s="17">
        <v>3236.8</v>
      </c>
      <c r="F3423" s="16">
        <v>0.08</v>
      </c>
      <c r="G3423" s="15" t="s">
        <v>58</v>
      </c>
      <c r="H3423" s="18">
        <v>501.69</v>
      </c>
      <c r="I3423" s="19">
        <v>230.98</v>
      </c>
      <c r="J3423" s="19">
        <v>23.78</v>
      </c>
      <c r="K3423" s="19" t="s">
        <v>44</v>
      </c>
      <c r="L3423" s="19" t="s">
        <v>89</v>
      </c>
      <c r="M3423" s="15" t="s">
        <v>1932</v>
      </c>
      <c r="N3423" s="15" t="s">
        <v>54</v>
      </c>
      <c r="O3423" s="15" t="s">
        <v>61</v>
      </c>
      <c r="P3423" s="20" t="s">
        <v>1097</v>
      </c>
      <c r="Q3423" s="15" t="s">
        <v>63</v>
      </c>
      <c r="R3423" s="4"/>
      <c r="S3423" s="4"/>
    </row>
    <row r="3424" spans="1:19" ht="21" customHeight="1" x14ac:dyDescent="0.25">
      <c r="A3424" s="14">
        <f>DATE(2012,12,31)-368</f>
        <v>40906</v>
      </c>
      <c r="B3424" s="15" t="s">
        <v>110</v>
      </c>
      <c r="C3424" s="15" t="s">
        <v>85</v>
      </c>
      <c r="D3424" s="16">
        <v>20</v>
      </c>
      <c r="E3424" s="17">
        <v>3467.28</v>
      </c>
      <c r="F3424" s="16">
        <v>0.06</v>
      </c>
      <c r="G3424" s="15" t="s">
        <v>58</v>
      </c>
      <c r="H3424" s="18">
        <v>-433.29014300000011</v>
      </c>
      <c r="I3424" s="19">
        <v>179.29</v>
      </c>
      <c r="J3424" s="19">
        <v>29.21</v>
      </c>
      <c r="K3424" s="19" t="s">
        <v>44</v>
      </c>
      <c r="L3424" s="19" t="s">
        <v>89</v>
      </c>
      <c r="M3424" s="15" t="s">
        <v>1932</v>
      </c>
      <c r="N3424" s="15" t="s">
        <v>54</v>
      </c>
      <c r="O3424" s="15" t="s">
        <v>61</v>
      </c>
      <c r="P3424" s="20" t="s">
        <v>592</v>
      </c>
      <c r="Q3424" s="15" t="s">
        <v>63</v>
      </c>
      <c r="R3424" s="4"/>
      <c r="S3424" s="4"/>
    </row>
    <row r="3425" spans="1:19" ht="21" customHeight="1" x14ac:dyDescent="0.25">
      <c r="A3425" s="14">
        <f>DATE(2012,12,31)-329</f>
        <v>40945</v>
      </c>
      <c r="B3425" s="15" t="s">
        <v>820</v>
      </c>
      <c r="C3425" s="15" t="s">
        <v>51</v>
      </c>
      <c r="D3425" s="16">
        <v>46</v>
      </c>
      <c r="E3425" s="17">
        <v>11036.16</v>
      </c>
      <c r="F3425" s="16">
        <v>0.05</v>
      </c>
      <c r="G3425" s="15" t="s">
        <v>58</v>
      </c>
      <c r="H3425" s="18">
        <v>1187.8</v>
      </c>
      <c r="I3425" s="19">
        <v>236.97</v>
      </c>
      <c r="J3425" s="19">
        <v>59.24</v>
      </c>
      <c r="K3425" s="19" t="s">
        <v>124</v>
      </c>
      <c r="L3425" s="19" t="s">
        <v>125</v>
      </c>
      <c r="M3425" s="15" t="s">
        <v>2048</v>
      </c>
      <c r="N3425" s="15" t="s">
        <v>54</v>
      </c>
      <c r="O3425" s="15" t="s">
        <v>61</v>
      </c>
      <c r="P3425" s="20" t="s">
        <v>2049</v>
      </c>
      <c r="Q3425" s="15" t="s">
        <v>63</v>
      </c>
      <c r="R3425" s="4"/>
      <c r="S3425" s="4"/>
    </row>
    <row r="3426" spans="1:19" ht="21" customHeight="1" x14ac:dyDescent="0.25">
      <c r="A3426" s="14">
        <f>DATE(2012,12,31)-175</f>
        <v>41099</v>
      </c>
      <c r="B3426" s="15" t="s">
        <v>1086</v>
      </c>
      <c r="C3426" s="15" t="s">
        <v>85</v>
      </c>
      <c r="D3426" s="16">
        <v>37</v>
      </c>
      <c r="E3426" s="17">
        <v>443.35</v>
      </c>
      <c r="F3426" s="16">
        <v>0.02</v>
      </c>
      <c r="G3426" s="15" t="s">
        <v>32</v>
      </c>
      <c r="H3426" s="18">
        <v>-21.73</v>
      </c>
      <c r="I3426" s="19">
        <v>11.97</v>
      </c>
      <c r="J3426" s="19">
        <v>4.9800000000000004</v>
      </c>
      <c r="K3426" s="19" t="s">
        <v>33</v>
      </c>
      <c r="L3426" s="19" t="s">
        <v>93</v>
      </c>
      <c r="M3426" s="15" t="s">
        <v>94</v>
      </c>
      <c r="N3426" s="15" t="s">
        <v>36</v>
      </c>
      <c r="O3426" s="15" t="s">
        <v>176</v>
      </c>
      <c r="P3426" s="20" t="s">
        <v>1735</v>
      </c>
      <c r="Q3426" s="15" t="s">
        <v>83</v>
      </c>
      <c r="R3426" s="4"/>
      <c r="S3426" s="4"/>
    </row>
    <row r="3427" spans="1:19" ht="21" customHeight="1" x14ac:dyDescent="0.25">
      <c r="A3427" s="14">
        <f>DATE(2012,12,31)-175</f>
        <v>41099</v>
      </c>
      <c r="B3427" s="15" t="s">
        <v>1086</v>
      </c>
      <c r="C3427" s="15" t="s">
        <v>85</v>
      </c>
      <c r="D3427" s="16">
        <v>41</v>
      </c>
      <c r="E3427" s="17">
        <v>392.61</v>
      </c>
      <c r="F3427" s="16">
        <v>0.08</v>
      </c>
      <c r="G3427" s="15" t="s">
        <v>101</v>
      </c>
      <c r="H3427" s="18">
        <v>-100.15</v>
      </c>
      <c r="I3427" s="19">
        <v>9.48</v>
      </c>
      <c r="J3427" s="19">
        <v>7.29</v>
      </c>
      <c r="K3427" s="19" t="s">
        <v>97</v>
      </c>
      <c r="L3427" s="19" t="s">
        <v>283</v>
      </c>
      <c r="M3427" s="15" t="s">
        <v>1901</v>
      </c>
      <c r="N3427" s="15" t="s">
        <v>54</v>
      </c>
      <c r="O3427" s="15" t="s">
        <v>55</v>
      </c>
      <c r="P3427" s="20" t="s">
        <v>798</v>
      </c>
      <c r="Q3427" s="15" t="s">
        <v>49</v>
      </c>
      <c r="R3427" s="4"/>
      <c r="S3427" s="4"/>
    </row>
    <row r="3428" spans="1:19" ht="21" customHeight="1" x14ac:dyDescent="0.25">
      <c r="A3428" s="14">
        <f>DATE(2012,12,31)-175</f>
        <v>41099</v>
      </c>
      <c r="B3428" s="15" t="s">
        <v>1086</v>
      </c>
      <c r="C3428" s="15" t="s">
        <v>85</v>
      </c>
      <c r="D3428" s="16">
        <v>4</v>
      </c>
      <c r="E3428" s="17">
        <v>30.85</v>
      </c>
      <c r="F3428" s="16">
        <v>0.03</v>
      </c>
      <c r="G3428" s="15" t="s">
        <v>32</v>
      </c>
      <c r="H3428" s="18">
        <v>-12.88</v>
      </c>
      <c r="I3428" s="19">
        <v>5.98</v>
      </c>
      <c r="J3428" s="19">
        <v>5.79</v>
      </c>
      <c r="K3428" s="19" t="s">
        <v>97</v>
      </c>
      <c r="L3428" s="19" t="s">
        <v>283</v>
      </c>
      <c r="M3428" s="15" t="s">
        <v>1901</v>
      </c>
      <c r="N3428" s="15" t="s">
        <v>36</v>
      </c>
      <c r="O3428" s="15" t="s">
        <v>117</v>
      </c>
      <c r="P3428" s="20" t="s">
        <v>871</v>
      </c>
      <c r="Q3428" s="15" t="s">
        <v>83</v>
      </c>
      <c r="R3428" s="4"/>
      <c r="S3428" s="4"/>
    </row>
    <row r="3429" spans="1:19" ht="21" customHeight="1" x14ac:dyDescent="0.25">
      <c r="A3429" s="14">
        <f>DATE(2012,12,31)-28</f>
        <v>41246</v>
      </c>
      <c r="B3429" s="15" t="s">
        <v>903</v>
      </c>
      <c r="C3429" s="15" t="s">
        <v>85</v>
      </c>
      <c r="D3429" s="16">
        <v>24</v>
      </c>
      <c r="E3429" s="17">
        <v>1689.97</v>
      </c>
      <c r="F3429" s="16">
        <v>0.06</v>
      </c>
      <c r="G3429" s="15" t="s">
        <v>58</v>
      </c>
      <c r="H3429" s="18">
        <v>-564.74</v>
      </c>
      <c r="I3429" s="19">
        <v>68.81</v>
      </c>
      <c r="J3429" s="19">
        <v>60</v>
      </c>
      <c r="K3429" s="19" t="s">
        <v>97</v>
      </c>
      <c r="L3429" s="19" t="s">
        <v>98</v>
      </c>
      <c r="M3429" s="15" t="s">
        <v>1991</v>
      </c>
      <c r="N3429" s="15" t="s">
        <v>36</v>
      </c>
      <c r="O3429" s="15" t="s">
        <v>176</v>
      </c>
      <c r="P3429" s="20" t="s">
        <v>363</v>
      </c>
      <c r="Q3429" s="15" t="s">
        <v>181</v>
      </c>
      <c r="R3429" s="4"/>
      <c r="S3429" s="4"/>
    </row>
    <row r="3430" spans="1:19" ht="21" customHeight="1" x14ac:dyDescent="0.25">
      <c r="A3430" s="14">
        <f>DATE(2012,12,31)-1334</f>
        <v>39940</v>
      </c>
      <c r="B3430" s="15" t="s">
        <v>140</v>
      </c>
      <c r="C3430" s="15" t="s">
        <v>51</v>
      </c>
      <c r="D3430" s="16">
        <v>18</v>
      </c>
      <c r="E3430" s="17">
        <v>115.71</v>
      </c>
      <c r="F3430" s="16">
        <v>0.08</v>
      </c>
      <c r="G3430" s="15" t="s">
        <v>32</v>
      </c>
      <c r="H3430" s="18">
        <v>-91.61</v>
      </c>
      <c r="I3430" s="19">
        <v>6.48</v>
      </c>
      <c r="J3430" s="19">
        <v>8.4</v>
      </c>
      <c r="K3430" s="19" t="s">
        <v>97</v>
      </c>
      <c r="L3430" s="19" t="s">
        <v>98</v>
      </c>
      <c r="M3430" s="15" t="s">
        <v>1991</v>
      </c>
      <c r="N3430" s="15" t="s">
        <v>36</v>
      </c>
      <c r="O3430" s="15" t="s">
        <v>117</v>
      </c>
      <c r="P3430" s="20" t="s">
        <v>729</v>
      </c>
      <c r="Q3430" s="15" t="s">
        <v>83</v>
      </c>
      <c r="R3430" s="4"/>
      <c r="S3430" s="4"/>
    </row>
    <row r="3431" spans="1:19" ht="21" customHeight="1" x14ac:dyDescent="0.25">
      <c r="A3431" s="14">
        <f>DATE(2012,12,31)-1121</f>
        <v>40153</v>
      </c>
      <c r="B3431" s="15" t="s">
        <v>1994</v>
      </c>
      <c r="C3431" s="15" t="s">
        <v>43</v>
      </c>
      <c r="D3431" s="16">
        <v>8</v>
      </c>
      <c r="E3431" s="17">
        <v>169.11</v>
      </c>
      <c r="F3431" s="16">
        <v>0</v>
      </c>
      <c r="G3431" s="15" t="s">
        <v>32</v>
      </c>
      <c r="H3431" s="18">
        <v>-10.59</v>
      </c>
      <c r="I3431" s="19">
        <v>20.89</v>
      </c>
      <c r="J3431" s="19">
        <v>1.99</v>
      </c>
      <c r="K3431" s="19" t="s">
        <v>97</v>
      </c>
      <c r="L3431" s="19" t="s">
        <v>132</v>
      </c>
      <c r="M3431" s="15" t="s">
        <v>133</v>
      </c>
      <c r="N3431" s="15" t="s">
        <v>64</v>
      </c>
      <c r="O3431" s="15" t="s">
        <v>72</v>
      </c>
      <c r="P3431" s="20" t="s">
        <v>1652</v>
      </c>
      <c r="Q3431" s="15" t="s">
        <v>49</v>
      </c>
      <c r="R3431" s="4"/>
      <c r="S3431" s="4"/>
    </row>
    <row r="3432" spans="1:19" ht="21" customHeight="1" x14ac:dyDescent="0.25">
      <c r="A3432" s="14">
        <f>DATE(2012,12,31)-1121</f>
        <v>40153</v>
      </c>
      <c r="B3432" s="15" t="s">
        <v>1994</v>
      </c>
      <c r="C3432" s="15" t="s">
        <v>43</v>
      </c>
      <c r="D3432" s="16">
        <v>41</v>
      </c>
      <c r="E3432" s="17">
        <v>152.59</v>
      </c>
      <c r="F3432" s="16">
        <v>7.0000000000000007E-2</v>
      </c>
      <c r="G3432" s="15" t="s">
        <v>32</v>
      </c>
      <c r="H3432" s="18">
        <v>27.38</v>
      </c>
      <c r="I3432" s="19">
        <v>3.98</v>
      </c>
      <c r="J3432" s="19">
        <v>0.83</v>
      </c>
      <c r="K3432" s="19" t="s">
        <v>97</v>
      </c>
      <c r="L3432" s="19" t="s">
        <v>195</v>
      </c>
      <c r="M3432" s="15" t="s">
        <v>2040</v>
      </c>
      <c r="N3432" s="15" t="s">
        <v>36</v>
      </c>
      <c r="O3432" s="15" t="s">
        <v>77</v>
      </c>
      <c r="P3432" s="20" t="s">
        <v>1473</v>
      </c>
      <c r="Q3432" s="15" t="s">
        <v>79</v>
      </c>
      <c r="R3432" s="4"/>
      <c r="S3432" s="4"/>
    </row>
    <row r="3433" spans="1:19" ht="21" customHeight="1" x14ac:dyDescent="0.25">
      <c r="A3433" s="14">
        <f>DATE(2012,12,31)-619</f>
        <v>40655</v>
      </c>
      <c r="B3433" s="15" t="s">
        <v>598</v>
      </c>
      <c r="C3433" s="15" t="s">
        <v>85</v>
      </c>
      <c r="D3433" s="16">
        <v>3</v>
      </c>
      <c r="E3433" s="17">
        <v>28.11</v>
      </c>
      <c r="F3433" s="16">
        <v>0.03</v>
      </c>
      <c r="G3433" s="15" t="s">
        <v>32</v>
      </c>
      <c r="H3433" s="18">
        <v>-31.62</v>
      </c>
      <c r="I3433" s="19">
        <v>8.1199999999999992</v>
      </c>
      <c r="J3433" s="19">
        <v>2.83</v>
      </c>
      <c r="K3433" s="19" t="s">
        <v>97</v>
      </c>
      <c r="L3433" s="19" t="s">
        <v>98</v>
      </c>
      <c r="M3433" s="15" t="s">
        <v>1991</v>
      </c>
      <c r="N3433" s="15" t="s">
        <v>64</v>
      </c>
      <c r="O3433" s="15" t="s">
        <v>72</v>
      </c>
      <c r="P3433" s="20" t="s">
        <v>879</v>
      </c>
      <c r="Q3433" s="15" t="s">
        <v>49</v>
      </c>
      <c r="R3433" s="4"/>
      <c r="S3433" s="4"/>
    </row>
    <row r="3434" spans="1:19" ht="21" customHeight="1" x14ac:dyDescent="0.25">
      <c r="A3434" s="14">
        <f>DATE(2012,12,31)-619</f>
        <v>40655</v>
      </c>
      <c r="B3434" s="15" t="s">
        <v>598</v>
      </c>
      <c r="C3434" s="15" t="s">
        <v>85</v>
      </c>
      <c r="D3434" s="16">
        <v>14</v>
      </c>
      <c r="E3434" s="17">
        <v>27.06</v>
      </c>
      <c r="F3434" s="16">
        <v>0</v>
      </c>
      <c r="G3434" s="15" t="s">
        <v>32</v>
      </c>
      <c r="H3434" s="18">
        <v>-6.0000000000000053E-2</v>
      </c>
      <c r="I3434" s="19">
        <v>1.76</v>
      </c>
      <c r="J3434" s="19">
        <v>0.7</v>
      </c>
      <c r="K3434" s="19" t="s">
        <v>97</v>
      </c>
      <c r="L3434" s="19" t="s">
        <v>283</v>
      </c>
      <c r="M3434" s="15" t="s">
        <v>1901</v>
      </c>
      <c r="N3434" s="15" t="s">
        <v>36</v>
      </c>
      <c r="O3434" s="15" t="s">
        <v>77</v>
      </c>
      <c r="P3434" s="20" t="s">
        <v>526</v>
      </c>
      <c r="Q3434" s="15" t="s">
        <v>79</v>
      </c>
      <c r="R3434" s="4"/>
      <c r="S3434" s="4"/>
    </row>
    <row r="3435" spans="1:19" ht="21" customHeight="1" x14ac:dyDescent="0.25">
      <c r="A3435" s="14">
        <f>DATE(2012,12,31)-970</f>
        <v>40304</v>
      </c>
      <c r="B3435" s="15" t="s">
        <v>710</v>
      </c>
      <c r="C3435" s="15" t="s">
        <v>85</v>
      </c>
      <c r="D3435" s="16">
        <v>41</v>
      </c>
      <c r="E3435" s="17">
        <v>3051.27</v>
      </c>
      <c r="F3435" s="16">
        <v>0.1</v>
      </c>
      <c r="G3435" s="15" t="s">
        <v>58</v>
      </c>
      <c r="H3435" s="18">
        <v>121.48</v>
      </c>
      <c r="I3435" s="19">
        <v>80.97</v>
      </c>
      <c r="J3435" s="19">
        <v>33.6</v>
      </c>
      <c r="K3435" s="19" t="s">
        <v>97</v>
      </c>
      <c r="L3435" s="19" t="s">
        <v>195</v>
      </c>
      <c r="M3435" s="15" t="s">
        <v>2040</v>
      </c>
      <c r="N3435" s="15" t="s">
        <v>64</v>
      </c>
      <c r="O3435" s="15" t="s">
        <v>122</v>
      </c>
      <c r="P3435" s="20" t="s">
        <v>1130</v>
      </c>
      <c r="Q3435" s="15" t="s">
        <v>181</v>
      </c>
      <c r="R3435" s="4"/>
      <c r="S3435" s="4"/>
    </row>
    <row r="3436" spans="1:19" ht="21" customHeight="1" x14ac:dyDescent="0.25">
      <c r="A3436" s="14">
        <f>DATE(2012,12,31)-569</f>
        <v>40705</v>
      </c>
      <c r="B3436" s="15" t="s">
        <v>290</v>
      </c>
      <c r="C3436" s="15" t="s">
        <v>85</v>
      </c>
      <c r="D3436" s="16">
        <v>22</v>
      </c>
      <c r="E3436" s="17">
        <v>127.56</v>
      </c>
      <c r="F3436" s="16">
        <v>0.03</v>
      </c>
      <c r="G3436" s="15" t="s">
        <v>32</v>
      </c>
      <c r="H3436" s="18">
        <v>-60.72</v>
      </c>
      <c r="I3436" s="19">
        <v>5.34</v>
      </c>
      <c r="J3436" s="19">
        <v>5.63</v>
      </c>
      <c r="K3436" s="19" t="s">
        <v>97</v>
      </c>
      <c r="L3436" s="19" t="s">
        <v>98</v>
      </c>
      <c r="M3436" s="15" t="s">
        <v>1991</v>
      </c>
      <c r="N3436" s="15" t="s">
        <v>36</v>
      </c>
      <c r="O3436" s="15" t="s">
        <v>170</v>
      </c>
      <c r="P3436" s="20" t="s">
        <v>943</v>
      </c>
      <c r="Q3436" s="15" t="s">
        <v>83</v>
      </c>
      <c r="R3436" s="4"/>
      <c r="S3436" s="4"/>
    </row>
    <row r="3437" spans="1:19" ht="21" customHeight="1" x14ac:dyDescent="0.25">
      <c r="A3437" s="14">
        <f>DATE(2012,12,31)-1435</f>
        <v>39839</v>
      </c>
      <c r="B3437" s="15" t="s">
        <v>418</v>
      </c>
      <c r="C3437" s="15" t="s">
        <v>51</v>
      </c>
      <c r="D3437" s="16">
        <v>31</v>
      </c>
      <c r="E3437" s="17">
        <v>4587.3</v>
      </c>
      <c r="F3437" s="16">
        <v>0.08</v>
      </c>
      <c r="G3437" s="15" t="s">
        <v>101</v>
      </c>
      <c r="H3437" s="18">
        <v>1771.15</v>
      </c>
      <c r="I3437" s="19">
        <v>150.97999999999999</v>
      </c>
      <c r="J3437" s="19">
        <v>13.99</v>
      </c>
      <c r="K3437" s="19" t="s">
        <v>124</v>
      </c>
      <c r="L3437" s="19" t="s">
        <v>160</v>
      </c>
      <c r="M3437" s="15" t="s">
        <v>1951</v>
      </c>
      <c r="N3437" s="15" t="s">
        <v>64</v>
      </c>
      <c r="O3437" s="15" t="s">
        <v>122</v>
      </c>
      <c r="P3437" s="20" t="s">
        <v>123</v>
      </c>
      <c r="Q3437" s="15" t="s">
        <v>57</v>
      </c>
      <c r="R3437" s="4"/>
      <c r="S3437" s="4"/>
    </row>
    <row r="3438" spans="1:19" ht="21" customHeight="1" x14ac:dyDescent="0.25">
      <c r="A3438" s="14">
        <f>DATE(2012,12,31)-1435</f>
        <v>39839</v>
      </c>
      <c r="B3438" s="15" t="s">
        <v>418</v>
      </c>
      <c r="C3438" s="15" t="s">
        <v>51</v>
      </c>
      <c r="D3438" s="16">
        <v>15</v>
      </c>
      <c r="E3438" s="17">
        <v>403.71</v>
      </c>
      <c r="F3438" s="16">
        <v>0.03</v>
      </c>
      <c r="G3438" s="15" t="s">
        <v>58</v>
      </c>
      <c r="H3438" s="18">
        <v>-97.47</v>
      </c>
      <c r="I3438" s="19">
        <v>25.98</v>
      </c>
      <c r="J3438" s="19">
        <v>14.36</v>
      </c>
      <c r="K3438" s="19" t="s">
        <v>124</v>
      </c>
      <c r="L3438" s="19" t="s">
        <v>160</v>
      </c>
      <c r="M3438" s="15" t="s">
        <v>1951</v>
      </c>
      <c r="N3438" s="15" t="s">
        <v>54</v>
      </c>
      <c r="O3438" s="15" t="s">
        <v>252</v>
      </c>
      <c r="P3438" s="20" t="s">
        <v>1431</v>
      </c>
      <c r="Q3438" s="15" t="s">
        <v>181</v>
      </c>
      <c r="R3438" s="4"/>
      <c r="S3438" s="4"/>
    </row>
    <row r="3439" spans="1:19" ht="21" customHeight="1" x14ac:dyDescent="0.25">
      <c r="A3439" s="14">
        <f>DATE(2012,12,31)-1435</f>
        <v>39839</v>
      </c>
      <c r="B3439" s="15" t="s">
        <v>418</v>
      </c>
      <c r="C3439" s="15" t="s">
        <v>51</v>
      </c>
      <c r="D3439" s="16">
        <v>39</v>
      </c>
      <c r="E3439" s="17">
        <v>1243.45</v>
      </c>
      <c r="F3439" s="16">
        <v>0.1</v>
      </c>
      <c r="G3439" s="15" t="s">
        <v>32</v>
      </c>
      <c r="H3439" s="18">
        <v>-1212.55</v>
      </c>
      <c r="I3439" s="19">
        <v>32.479999999999997</v>
      </c>
      <c r="J3439" s="19">
        <v>35</v>
      </c>
      <c r="K3439" s="19" t="s">
        <v>124</v>
      </c>
      <c r="L3439" s="19" t="s">
        <v>160</v>
      </c>
      <c r="M3439" s="15" t="s">
        <v>1951</v>
      </c>
      <c r="N3439" s="15" t="s">
        <v>36</v>
      </c>
      <c r="O3439" s="15" t="s">
        <v>37</v>
      </c>
      <c r="P3439" s="20" t="s">
        <v>1856</v>
      </c>
      <c r="Q3439" s="15" t="s">
        <v>39</v>
      </c>
      <c r="R3439" s="4"/>
      <c r="S3439" s="4"/>
    </row>
    <row r="3440" spans="1:19" ht="21" customHeight="1" x14ac:dyDescent="0.25">
      <c r="A3440" s="14">
        <f>DATE(2012,12,31)-280</f>
        <v>40994</v>
      </c>
      <c r="B3440" s="15" t="s">
        <v>342</v>
      </c>
      <c r="C3440" s="15" t="s">
        <v>85</v>
      </c>
      <c r="D3440" s="16">
        <v>7</v>
      </c>
      <c r="E3440" s="17">
        <v>81.58</v>
      </c>
      <c r="F3440" s="16">
        <v>0.04</v>
      </c>
      <c r="G3440" s="15" t="s">
        <v>32</v>
      </c>
      <c r="H3440" s="18">
        <v>-7.78</v>
      </c>
      <c r="I3440" s="19">
        <v>10.98</v>
      </c>
      <c r="J3440" s="19">
        <v>3.37</v>
      </c>
      <c r="K3440" s="19" t="s">
        <v>124</v>
      </c>
      <c r="L3440" s="19" t="s">
        <v>493</v>
      </c>
      <c r="M3440" s="15" t="s">
        <v>2050</v>
      </c>
      <c r="N3440" s="15" t="s">
        <v>36</v>
      </c>
      <c r="O3440" s="15" t="s">
        <v>47</v>
      </c>
      <c r="P3440" s="20" t="s">
        <v>1698</v>
      </c>
      <c r="Q3440" s="15" t="s">
        <v>49</v>
      </c>
      <c r="R3440" s="4"/>
      <c r="S3440" s="4"/>
    </row>
    <row r="3441" spans="1:19" ht="21" customHeight="1" x14ac:dyDescent="0.25">
      <c r="A3441" s="14">
        <f>DATE(2012,12,31)-658</f>
        <v>40616</v>
      </c>
      <c r="B3441" s="15" t="s">
        <v>518</v>
      </c>
      <c r="C3441" s="15" t="s">
        <v>51</v>
      </c>
      <c r="D3441" s="16">
        <v>32</v>
      </c>
      <c r="E3441" s="17">
        <v>269.3</v>
      </c>
      <c r="F3441" s="16">
        <v>0.04</v>
      </c>
      <c r="G3441" s="15" t="s">
        <v>101</v>
      </c>
      <c r="H3441" s="18">
        <v>22.38</v>
      </c>
      <c r="I3441" s="19">
        <v>7.96</v>
      </c>
      <c r="J3441" s="19">
        <v>4.95</v>
      </c>
      <c r="K3441" s="19" t="s">
        <v>124</v>
      </c>
      <c r="L3441" s="19" t="s">
        <v>160</v>
      </c>
      <c r="M3441" s="15" t="s">
        <v>1951</v>
      </c>
      <c r="N3441" s="15" t="s">
        <v>54</v>
      </c>
      <c r="O3441" s="15" t="s">
        <v>55</v>
      </c>
      <c r="P3441" s="20" t="s">
        <v>1114</v>
      </c>
      <c r="Q3441" s="15" t="s">
        <v>83</v>
      </c>
      <c r="R3441" s="4"/>
      <c r="S3441" s="4"/>
    </row>
    <row r="3442" spans="1:19" ht="21" customHeight="1" x14ac:dyDescent="0.25">
      <c r="A3442" s="14">
        <f>DATE(2012,12,31)-20</f>
        <v>41254</v>
      </c>
      <c r="B3442" s="15" t="s">
        <v>1954</v>
      </c>
      <c r="C3442" s="15" t="s">
        <v>43</v>
      </c>
      <c r="D3442" s="16">
        <v>29</v>
      </c>
      <c r="E3442" s="17">
        <v>531.06299999999999</v>
      </c>
      <c r="F3442" s="16">
        <v>0.03</v>
      </c>
      <c r="G3442" s="15" t="s">
        <v>32</v>
      </c>
      <c r="H3442" s="18">
        <v>24.561</v>
      </c>
      <c r="I3442" s="19">
        <v>20.99</v>
      </c>
      <c r="J3442" s="19">
        <v>4.8099999999999996</v>
      </c>
      <c r="K3442" s="19" t="s">
        <v>124</v>
      </c>
      <c r="L3442" s="19" t="s">
        <v>160</v>
      </c>
      <c r="M3442" s="15" t="s">
        <v>1951</v>
      </c>
      <c r="N3442" s="15" t="s">
        <v>64</v>
      </c>
      <c r="O3442" s="15" t="s">
        <v>65</v>
      </c>
      <c r="P3442" s="20" t="s">
        <v>654</v>
      </c>
      <c r="Q3442" s="15" t="s">
        <v>57</v>
      </c>
      <c r="R3442" s="4"/>
      <c r="S3442" s="4"/>
    </row>
    <row r="3443" spans="1:19" ht="21" customHeight="1" x14ac:dyDescent="0.25">
      <c r="A3443" s="14">
        <f>DATE(2012,12,31)-20</f>
        <v>41254</v>
      </c>
      <c r="B3443" s="15" t="s">
        <v>1954</v>
      </c>
      <c r="C3443" s="15" t="s">
        <v>43</v>
      </c>
      <c r="D3443" s="16">
        <v>10</v>
      </c>
      <c r="E3443" s="17">
        <v>152.84</v>
      </c>
      <c r="F3443" s="16">
        <v>0.05</v>
      </c>
      <c r="G3443" s="15" t="s">
        <v>32</v>
      </c>
      <c r="H3443" s="18">
        <v>38.020000000000003</v>
      </c>
      <c r="I3443" s="19">
        <v>14.58</v>
      </c>
      <c r="J3443" s="19">
        <v>7.4</v>
      </c>
      <c r="K3443" s="19" t="s">
        <v>124</v>
      </c>
      <c r="L3443" s="19" t="s">
        <v>158</v>
      </c>
      <c r="M3443" s="15" t="s">
        <v>158</v>
      </c>
      <c r="N3443" s="15" t="s">
        <v>54</v>
      </c>
      <c r="O3443" s="15" t="s">
        <v>55</v>
      </c>
      <c r="P3443" s="20" t="s">
        <v>352</v>
      </c>
      <c r="Q3443" s="15" t="s">
        <v>83</v>
      </c>
      <c r="R3443" s="4"/>
      <c r="S3443" s="4"/>
    </row>
    <row r="3444" spans="1:19" ht="21" customHeight="1" x14ac:dyDescent="0.25">
      <c r="A3444" s="14">
        <f>DATE(2012,12,31)-1036</f>
        <v>40238</v>
      </c>
      <c r="B3444" s="15" t="s">
        <v>1227</v>
      </c>
      <c r="C3444" s="15" t="s">
        <v>85</v>
      </c>
      <c r="D3444" s="16">
        <v>8</v>
      </c>
      <c r="E3444" s="17">
        <v>180.79</v>
      </c>
      <c r="F3444" s="16">
        <v>0.05</v>
      </c>
      <c r="G3444" s="15" t="s">
        <v>32</v>
      </c>
      <c r="H3444" s="18">
        <v>20.09</v>
      </c>
      <c r="I3444" s="19">
        <v>22.84</v>
      </c>
      <c r="J3444" s="19">
        <v>5.47</v>
      </c>
      <c r="K3444" s="19" t="s">
        <v>124</v>
      </c>
      <c r="L3444" s="19" t="s">
        <v>319</v>
      </c>
      <c r="M3444" s="15" t="s">
        <v>1966</v>
      </c>
      <c r="N3444" s="15" t="s">
        <v>36</v>
      </c>
      <c r="O3444" s="15" t="s">
        <v>117</v>
      </c>
      <c r="P3444" s="20" t="s">
        <v>644</v>
      </c>
      <c r="Q3444" s="15" t="s">
        <v>83</v>
      </c>
      <c r="R3444" s="4"/>
      <c r="S3444" s="4"/>
    </row>
    <row r="3445" spans="1:19" ht="21" customHeight="1" x14ac:dyDescent="0.25">
      <c r="A3445" s="14">
        <f>DATE(2012,12,31)-43</f>
        <v>41231</v>
      </c>
      <c r="B3445" s="15" t="s">
        <v>342</v>
      </c>
      <c r="C3445" s="15" t="s">
        <v>51</v>
      </c>
      <c r="D3445" s="16">
        <v>45</v>
      </c>
      <c r="E3445" s="17">
        <v>13921.6</v>
      </c>
      <c r="F3445" s="16">
        <v>0.02</v>
      </c>
      <c r="G3445" s="15" t="s">
        <v>32</v>
      </c>
      <c r="H3445" s="18">
        <v>5183.04</v>
      </c>
      <c r="I3445" s="19">
        <v>300.64999999999998</v>
      </c>
      <c r="J3445" s="19">
        <v>24.49</v>
      </c>
      <c r="K3445" s="19" t="s">
        <v>44</v>
      </c>
      <c r="L3445" s="19" t="s">
        <v>52</v>
      </c>
      <c r="M3445" s="15" t="s">
        <v>2042</v>
      </c>
      <c r="N3445" s="15" t="s">
        <v>36</v>
      </c>
      <c r="O3445" s="15" t="s">
        <v>176</v>
      </c>
      <c r="P3445" s="20" t="s">
        <v>934</v>
      </c>
      <c r="Q3445" s="15" t="s">
        <v>39</v>
      </c>
      <c r="R3445" s="4"/>
      <c r="S3445" s="4"/>
    </row>
    <row r="3446" spans="1:19" ht="21" customHeight="1" x14ac:dyDescent="0.25">
      <c r="A3446" s="14">
        <f>DATE(2012,12,31)-43</f>
        <v>41231</v>
      </c>
      <c r="B3446" s="15" t="s">
        <v>342</v>
      </c>
      <c r="C3446" s="15" t="s">
        <v>51</v>
      </c>
      <c r="D3446" s="16">
        <v>40</v>
      </c>
      <c r="E3446" s="17">
        <v>467.5</v>
      </c>
      <c r="F3446" s="16">
        <v>0.08</v>
      </c>
      <c r="G3446" s="15" t="s">
        <v>32</v>
      </c>
      <c r="H3446" s="18">
        <v>-33.340000000000003</v>
      </c>
      <c r="I3446" s="19">
        <v>11.97</v>
      </c>
      <c r="J3446" s="19">
        <v>4.9800000000000004</v>
      </c>
      <c r="K3446" s="19" t="s">
        <v>44</v>
      </c>
      <c r="L3446" s="19" t="s">
        <v>52</v>
      </c>
      <c r="M3446" s="15" t="s">
        <v>2042</v>
      </c>
      <c r="N3446" s="15" t="s">
        <v>36</v>
      </c>
      <c r="O3446" s="15" t="s">
        <v>176</v>
      </c>
      <c r="P3446" s="20" t="s">
        <v>1735</v>
      </c>
      <c r="Q3446" s="15" t="s">
        <v>83</v>
      </c>
      <c r="R3446" s="4"/>
      <c r="S3446" s="4"/>
    </row>
    <row r="3447" spans="1:19" ht="21" customHeight="1" x14ac:dyDescent="0.25">
      <c r="A3447" s="14">
        <f>DATE(2012,12,31)-191</f>
        <v>41083</v>
      </c>
      <c r="B3447" s="15" t="s">
        <v>1605</v>
      </c>
      <c r="C3447" s="15" t="s">
        <v>51</v>
      </c>
      <c r="D3447" s="16">
        <v>25</v>
      </c>
      <c r="E3447" s="17">
        <v>1081.22</v>
      </c>
      <c r="F3447" s="16">
        <v>0.08</v>
      </c>
      <c r="G3447" s="15" t="s">
        <v>32</v>
      </c>
      <c r="H3447" s="18">
        <v>130.80000000000001</v>
      </c>
      <c r="I3447" s="19">
        <v>43.98</v>
      </c>
      <c r="J3447" s="19">
        <v>8.99</v>
      </c>
      <c r="K3447" s="19" t="s">
        <v>44</v>
      </c>
      <c r="L3447" s="19" t="s">
        <v>52</v>
      </c>
      <c r="M3447" s="15" t="s">
        <v>2042</v>
      </c>
      <c r="N3447" s="15" t="s">
        <v>36</v>
      </c>
      <c r="O3447" s="15" t="s">
        <v>77</v>
      </c>
      <c r="P3447" s="20" t="s">
        <v>173</v>
      </c>
      <c r="Q3447" s="15" t="s">
        <v>49</v>
      </c>
      <c r="R3447" s="4"/>
      <c r="S3447" s="4"/>
    </row>
    <row r="3448" spans="1:19" ht="21" customHeight="1" x14ac:dyDescent="0.25">
      <c r="A3448" s="14">
        <f>DATE(2012,12,31)-191</f>
        <v>41083</v>
      </c>
      <c r="B3448" s="15" t="s">
        <v>1605</v>
      </c>
      <c r="C3448" s="15" t="s">
        <v>51</v>
      </c>
      <c r="D3448" s="16">
        <v>14</v>
      </c>
      <c r="E3448" s="17">
        <v>36.409999999999997</v>
      </c>
      <c r="F3448" s="16">
        <v>0.01</v>
      </c>
      <c r="G3448" s="15" t="s">
        <v>32</v>
      </c>
      <c r="H3448" s="18">
        <v>-31.45</v>
      </c>
      <c r="I3448" s="19">
        <v>2.23</v>
      </c>
      <c r="J3448" s="19">
        <v>4.57</v>
      </c>
      <c r="K3448" s="19" t="s">
        <v>44</v>
      </c>
      <c r="L3448" s="19" t="s">
        <v>52</v>
      </c>
      <c r="M3448" s="15" t="s">
        <v>2042</v>
      </c>
      <c r="N3448" s="15" t="s">
        <v>54</v>
      </c>
      <c r="O3448" s="15" t="s">
        <v>55</v>
      </c>
      <c r="P3448" s="20" t="s">
        <v>1249</v>
      </c>
      <c r="Q3448" s="15" t="s">
        <v>49</v>
      </c>
      <c r="R3448" s="4"/>
      <c r="S3448" s="4"/>
    </row>
    <row r="3449" spans="1:19" ht="21" customHeight="1" x14ac:dyDescent="0.25">
      <c r="A3449" s="14">
        <f>DATE(2012,12,31)-997</f>
        <v>40277</v>
      </c>
      <c r="B3449" s="15" t="s">
        <v>1660</v>
      </c>
      <c r="C3449" s="15" t="s">
        <v>51</v>
      </c>
      <c r="D3449" s="16">
        <v>8</v>
      </c>
      <c r="E3449" s="17">
        <v>38.56</v>
      </c>
      <c r="F3449" s="16">
        <v>0.03</v>
      </c>
      <c r="G3449" s="15" t="s">
        <v>32</v>
      </c>
      <c r="H3449" s="18">
        <v>4.08</v>
      </c>
      <c r="I3449" s="19">
        <v>4.55</v>
      </c>
      <c r="J3449" s="19">
        <v>1.49</v>
      </c>
      <c r="K3449" s="19" t="s">
        <v>44</v>
      </c>
      <c r="L3449" s="19" t="s">
        <v>52</v>
      </c>
      <c r="M3449" s="15" t="s">
        <v>2042</v>
      </c>
      <c r="N3449" s="15" t="s">
        <v>36</v>
      </c>
      <c r="O3449" s="15" t="s">
        <v>170</v>
      </c>
      <c r="P3449" s="20" t="s">
        <v>1581</v>
      </c>
      <c r="Q3449" s="15" t="s">
        <v>83</v>
      </c>
      <c r="R3449" s="4"/>
      <c r="S3449" s="4"/>
    </row>
    <row r="3450" spans="1:19" ht="21" customHeight="1" x14ac:dyDescent="0.25">
      <c r="A3450" s="14">
        <f>DATE(2012,12,31)-510</f>
        <v>40764</v>
      </c>
      <c r="B3450" s="15" t="s">
        <v>523</v>
      </c>
      <c r="C3450" s="15" t="s">
        <v>85</v>
      </c>
      <c r="D3450" s="16">
        <v>17</v>
      </c>
      <c r="E3450" s="17">
        <v>42.29</v>
      </c>
      <c r="F3450" s="16">
        <v>0.06</v>
      </c>
      <c r="G3450" s="15" t="s">
        <v>32</v>
      </c>
      <c r="H3450" s="18">
        <v>-85.272499999999994</v>
      </c>
      <c r="I3450" s="19">
        <v>2.16</v>
      </c>
      <c r="J3450" s="19">
        <v>6.05</v>
      </c>
      <c r="K3450" s="19" t="s">
        <v>44</v>
      </c>
      <c r="L3450" s="19" t="s">
        <v>52</v>
      </c>
      <c r="M3450" s="15" t="s">
        <v>2042</v>
      </c>
      <c r="N3450" s="15" t="s">
        <v>36</v>
      </c>
      <c r="O3450" s="15" t="s">
        <v>170</v>
      </c>
      <c r="P3450" s="20" t="s">
        <v>475</v>
      </c>
      <c r="Q3450" s="15" t="s">
        <v>83</v>
      </c>
      <c r="R3450" s="4"/>
      <c r="S3450" s="4"/>
    </row>
    <row r="3451" spans="1:19" ht="21" customHeight="1" x14ac:dyDescent="0.25">
      <c r="A3451" s="14">
        <f>DATE(2012,12,31)-139</f>
        <v>41135</v>
      </c>
      <c r="B3451" s="15" t="s">
        <v>648</v>
      </c>
      <c r="C3451" s="15" t="s">
        <v>85</v>
      </c>
      <c r="D3451" s="16">
        <v>50</v>
      </c>
      <c r="E3451" s="17">
        <v>197.36</v>
      </c>
      <c r="F3451" s="16">
        <v>7.0000000000000007E-2</v>
      </c>
      <c r="G3451" s="15" t="s">
        <v>32</v>
      </c>
      <c r="H3451" s="18">
        <v>-43.5045</v>
      </c>
      <c r="I3451" s="19">
        <v>4.18</v>
      </c>
      <c r="J3451" s="19">
        <v>2.99</v>
      </c>
      <c r="K3451" s="19" t="s">
        <v>44</v>
      </c>
      <c r="L3451" s="19" t="s">
        <v>52</v>
      </c>
      <c r="M3451" s="15" t="s">
        <v>2042</v>
      </c>
      <c r="N3451" s="15" t="s">
        <v>36</v>
      </c>
      <c r="O3451" s="15" t="s">
        <v>170</v>
      </c>
      <c r="P3451" s="20" t="s">
        <v>1452</v>
      </c>
      <c r="Q3451" s="15" t="s">
        <v>83</v>
      </c>
      <c r="R3451" s="4"/>
      <c r="S3451" s="4"/>
    </row>
    <row r="3452" spans="1:19" ht="21" customHeight="1" x14ac:dyDescent="0.25">
      <c r="A3452" s="14">
        <f>DATE(2012,12,31)-1078</f>
        <v>40196</v>
      </c>
      <c r="B3452" s="15" t="s">
        <v>1217</v>
      </c>
      <c r="C3452" s="15" t="s">
        <v>43</v>
      </c>
      <c r="D3452" s="16">
        <v>4</v>
      </c>
      <c r="E3452" s="17">
        <v>883.31</v>
      </c>
      <c r="F3452" s="16">
        <v>0.01</v>
      </c>
      <c r="G3452" s="15" t="s">
        <v>58</v>
      </c>
      <c r="H3452" s="18">
        <v>-79.959999999999994</v>
      </c>
      <c r="I3452" s="19">
        <v>200.98</v>
      </c>
      <c r="J3452" s="19">
        <v>23.76</v>
      </c>
      <c r="K3452" s="19" t="s">
        <v>44</v>
      </c>
      <c r="L3452" s="19" t="s">
        <v>236</v>
      </c>
      <c r="M3452" s="15" t="s">
        <v>2051</v>
      </c>
      <c r="N3452" s="15" t="s">
        <v>54</v>
      </c>
      <c r="O3452" s="15" t="s">
        <v>252</v>
      </c>
      <c r="P3452" s="20" t="s">
        <v>1277</v>
      </c>
      <c r="Q3452" s="15" t="s">
        <v>181</v>
      </c>
      <c r="R3452" s="4"/>
      <c r="S3452" s="4"/>
    </row>
    <row r="3453" spans="1:19" ht="21" customHeight="1" x14ac:dyDescent="0.25">
      <c r="A3453" s="14">
        <f>DATE(2012,12,31)-168</f>
        <v>41106</v>
      </c>
      <c r="B3453" s="15" t="s">
        <v>747</v>
      </c>
      <c r="C3453" s="15" t="s">
        <v>31</v>
      </c>
      <c r="D3453" s="16">
        <v>16</v>
      </c>
      <c r="E3453" s="17">
        <v>9695.84</v>
      </c>
      <c r="F3453" s="16">
        <v>0</v>
      </c>
      <c r="G3453" s="15" t="s">
        <v>32</v>
      </c>
      <c r="H3453" s="18">
        <v>2752.11</v>
      </c>
      <c r="I3453" s="19">
        <v>599.99</v>
      </c>
      <c r="J3453" s="19">
        <v>24.49</v>
      </c>
      <c r="K3453" s="19" t="s">
        <v>44</v>
      </c>
      <c r="L3453" s="19" t="s">
        <v>80</v>
      </c>
      <c r="M3453" s="15" t="s">
        <v>2012</v>
      </c>
      <c r="N3453" s="15" t="s">
        <v>64</v>
      </c>
      <c r="O3453" s="15" t="s">
        <v>460</v>
      </c>
      <c r="P3453" s="20" t="s">
        <v>597</v>
      </c>
      <c r="Q3453" s="15" t="s">
        <v>39</v>
      </c>
      <c r="R3453" s="4"/>
      <c r="S3453" s="4"/>
    </row>
    <row r="3454" spans="1:19" ht="21" customHeight="1" x14ac:dyDescent="0.25">
      <c r="A3454" s="14">
        <f>DATE(2012,12,31)-168</f>
        <v>41106</v>
      </c>
      <c r="B3454" s="15" t="s">
        <v>747</v>
      </c>
      <c r="C3454" s="15" t="s">
        <v>31</v>
      </c>
      <c r="D3454" s="16">
        <v>36</v>
      </c>
      <c r="E3454" s="17">
        <v>246.79</v>
      </c>
      <c r="F3454" s="16">
        <v>0.01</v>
      </c>
      <c r="G3454" s="15" t="s">
        <v>32</v>
      </c>
      <c r="H3454" s="18">
        <v>-90.08</v>
      </c>
      <c r="I3454" s="19">
        <v>6.48</v>
      </c>
      <c r="J3454" s="19">
        <v>6.6</v>
      </c>
      <c r="K3454" s="19" t="s">
        <v>44</v>
      </c>
      <c r="L3454" s="19" t="s">
        <v>52</v>
      </c>
      <c r="M3454" s="15" t="s">
        <v>2042</v>
      </c>
      <c r="N3454" s="15" t="s">
        <v>36</v>
      </c>
      <c r="O3454" s="15" t="s">
        <v>117</v>
      </c>
      <c r="P3454" s="20" t="s">
        <v>745</v>
      </c>
      <c r="Q3454" s="15" t="s">
        <v>83</v>
      </c>
      <c r="R3454" s="4"/>
      <c r="S3454" s="4"/>
    </row>
    <row r="3455" spans="1:19" ht="21" customHeight="1" x14ac:dyDescent="0.25">
      <c r="A3455" s="14">
        <f>DATE(2012,12,31)-168</f>
        <v>41106</v>
      </c>
      <c r="B3455" s="15" t="s">
        <v>747</v>
      </c>
      <c r="C3455" s="15" t="s">
        <v>31</v>
      </c>
      <c r="D3455" s="16">
        <v>39</v>
      </c>
      <c r="E3455" s="17">
        <v>777.78</v>
      </c>
      <c r="F3455" s="16">
        <v>0.01</v>
      </c>
      <c r="G3455" s="15" t="s">
        <v>32</v>
      </c>
      <c r="H3455" s="18">
        <v>237.75</v>
      </c>
      <c r="I3455" s="19">
        <v>19.84</v>
      </c>
      <c r="J3455" s="19">
        <v>4.0999999999999996</v>
      </c>
      <c r="K3455" s="19" t="s">
        <v>44</v>
      </c>
      <c r="L3455" s="19" t="s">
        <v>52</v>
      </c>
      <c r="M3455" s="15" t="s">
        <v>2042</v>
      </c>
      <c r="N3455" s="15" t="s">
        <v>36</v>
      </c>
      <c r="O3455" s="15" t="s">
        <v>77</v>
      </c>
      <c r="P3455" s="20" t="s">
        <v>162</v>
      </c>
      <c r="Q3455" s="15" t="s">
        <v>79</v>
      </c>
      <c r="R3455" s="4"/>
      <c r="S3455" s="4"/>
    </row>
    <row r="3456" spans="1:19" ht="21" customHeight="1" x14ac:dyDescent="0.25">
      <c r="A3456" s="14">
        <f>DATE(2012,12,31)-1136</f>
        <v>40138</v>
      </c>
      <c r="B3456" s="15" t="s">
        <v>401</v>
      </c>
      <c r="C3456" s="15" t="s">
        <v>31</v>
      </c>
      <c r="D3456" s="16">
        <v>33</v>
      </c>
      <c r="E3456" s="17">
        <v>1644.59</v>
      </c>
      <c r="F3456" s="16">
        <v>0.09</v>
      </c>
      <c r="G3456" s="15" t="s">
        <v>32</v>
      </c>
      <c r="H3456" s="18">
        <v>-52.92</v>
      </c>
      <c r="I3456" s="19">
        <v>50.98</v>
      </c>
      <c r="J3456" s="19">
        <v>6.5</v>
      </c>
      <c r="K3456" s="19" t="s">
        <v>44</v>
      </c>
      <c r="L3456" s="19" t="s">
        <v>52</v>
      </c>
      <c r="M3456" s="15" t="s">
        <v>2042</v>
      </c>
      <c r="N3456" s="15" t="s">
        <v>64</v>
      </c>
      <c r="O3456" s="15" t="s">
        <v>72</v>
      </c>
      <c r="P3456" s="20" t="s">
        <v>1422</v>
      </c>
      <c r="Q3456" s="15" t="s">
        <v>83</v>
      </c>
      <c r="R3456" s="4"/>
      <c r="S3456" s="4"/>
    </row>
    <row r="3457" spans="1:19" ht="21" customHeight="1" x14ac:dyDescent="0.25">
      <c r="A3457" s="14">
        <f>DATE(2012,12,31)-702</f>
        <v>40572</v>
      </c>
      <c r="B3457" s="15" t="s">
        <v>1949</v>
      </c>
      <c r="C3457" s="15" t="s">
        <v>85</v>
      </c>
      <c r="D3457" s="16">
        <v>12</v>
      </c>
      <c r="E3457" s="17">
        <v>1379.98</v>
      </c>
      <c r="F3457" s="16">
        <v>0.06</v>
      </c>
      <c r="G3457" s="15" t="s">
        <v>58</v>
      </c>
      <c r="H3457" s="18">
        <v>-151.72999999999999</v>
      </c>
      <c r="I3457" s="19">
        <v>113.98</v>
      </c>
      <c r="J3457" s="19">
        <v>30</v>
      </c>
      <c r="K3457" s="19" t="s">
        <v>44</v>
      </c>
      <c r="L3457" s="19" t="s">
        <v>52</v>
      </c>
      <c r="M3457" s="15" t="s">
        <v>2042</v>
      </c>
      <c r="N3457" s="15" t="s">
        <v>54</v>
      </c>
      <c r="O3457" s="15" t="s">
        <v>252</v>
      </c>
      <c r="P3457" s="20" t="s">
        <v>521</v>
      </c>
      <c r="Q3457" s="15" t="s">
        <v>181</v>
      </c>
      <c r="R3457" s="4"/>
      <c r="S3457" s="4"/>
    </row>
    <row r="3458" spans="1:19" ht="21" customHeight="1" x14ac:dyDescent="0.25">
      <c r="A3458" s="14">
        <f>DATE(2012,12,31)-246</f>
        <v>41028</v>
      </c>
      <c r="B3458" s="15" t="s">
        <v>1687</v>
      </c>
      <c r="C3458" s="15" t="s">
        <v>85</v>
      </c>
      <c r="D3458" s="16">
        <v>30</v>
      </c>
      <c r="E3458" s="17">
        <v>2368.1679999999997</v>
      </c>
      <c r="F3458" s="16">
        <v>0</v>
      </c>
      <c r="G3458" s="15" t="s">
        <v>32</v>
      </c>
      <c r="H3458" s="18">
        <v>1181.2950000000001</v>
      </c>
      <c r="I3458" s="19">
        <v>85.99</v>
      </c>
      <c r="J3458" s="19">
        <v>1.25</v>
      </c>
      <c r="K3458" s="19" t="s">
        <v>44</v>
      </c>
      <c r="L3458" s="19" t="s">
        <v>52</v>
      </c>
      <c r="M3458" s="15" t="s">
        <v>2042</v>
      </c>
      <c r="N3458" s="15" t="s">
        <v>64</v>
      </c>
      <c r="O3458" s="15" t="s">
        <v>65</v>
      </c>
      <c r="P3458" s="20" t="s">
        <v>685</v>
      </c>
      <c r="Q3458" s="15" t="s">
        <v>49</v>
      </c>
      <c r="R3458" s="4"/>
      <c r="S3458" s="4"/>
    </row>
    <row r="3459" spans="1:19" ht="21" customHeight="1" x14ac:dyDescent="0.25">
      <c r="A3459" s="14">
        <f>DATE(2012,12,31)-1252</f>
        <v>40022</v>
      </c>
      <c r="B3459" s="15" t="s">
        <v>1389</v>
      </c>
      <c r="C3459" s="15" t="s">
        <v>85</v>
      </c>
      <c r="D3459" s="16">
        <v>40</v>
      </c>
      <c r="E3459" s="17">
        <v>2550.12</v>
      </c>
      <c r="F3459" s="16">
        <v>0.01</v>
      </c>
      <c r="G3459" s="15" t="s">
        <v>101</v>
      </c>
      <c r="H3459" s="18">
        <v>882.45</v>
      </c>
      <c r="I3459" s="19">
        <v>60.97</v>
      </c>
      <c r="J3459" s="19">
        <v>4.5</v>
      </c>
      <c r="K3459" s="19" t="s">
        <v>44</v>
      </c>
      <c r="L3459" s="19" t="s">
        <v>52</v>
      </c>
      <c r="M3459" s="15" t="s">
        <v>2042</v>
      </c>
      <c r="N3459" s="15" t="s">
        <v>36</v>
      </c>
      <c r="O3459" s="15" t="s">
        <v>176</v>
      </c>
      <c r="P3459" s="20" t="s">
        <v>571</v>
      </c>
      <c r="Q3459" s="15" t="s">
        <v>83</v>
      </c>
      <c r="R3459" s="4"/>
      <c r="S3459" s="4"/>
    </row>
    <row r="3460" spans="1:19" ht="21" customHeight="1" x14ac:dyDescent="0.25">
      <c r="A3460" s="14">
        <f>DATE(2012,12,31)-1252</f>
        <v>40022</v>
      </c>
      <c r="B3460" s="15" t="s">
        <v>1389</v>
      </c>
      <c r="C3460" s="15" t="s">
        <v>85</v>
      </c>
      <c r="D3460" s="16">
        <v>46</v>
      </c>
      <c r="E3460" s="17">
        <v>5897.47</v>
      </c>
      <c r="F3460" s="16">
        <v>0</v>
      </c>
      <c r="G3460" s="15" t="s">
        <v>58</v>
      </c>
      <c r="H3460" s="18">
        <v>-1764.29</v>
      </c>
      <c r="I3460" s="19">
        <v>122.99</v>
      </c>
      <c r="J3460" s="19">
        <v>70.2</v>
      </c>
      <c r="K3460" s="19" t="s">
        <v>44</v>
      </c>
      <c r="L3460" s="19" t="s">
        <v>89</v>
      </c>
      <c r="M3460" s="15" t="s">
        <v>1932</v>
      </c>
      <c r="N3460" s="15" t="s">
        <v>54</v>
      </c>
      <c r="O3460" s="15" t="s">
        <v>252</v>
      </c>
      <c r="P3460" s="20" t="s">
        <v>819</v>
      </c>
      <c r="Q3460" s="15" t="s">
        <v>181</v>
      </c>
      <c r="R3460" s="4"/>
      <c r="S3460" s="4"/>
    </row>
    <row r="3461" spans="1:19" ht="21" customHeight="1" x14ac:dyDescent="0.25">
      <c r="A3461" s="14">
        <f>DATE(2012,12,31)-626</f>
        <v>40648</v>
      </c>
      <c r="B3461" s="15" t="s">
        <v>1491</v>
      </c>
      <c r="C3461" s="15" t="s">
        <v>43</v>
      </c>
      <c r="D3461" s="16">
        <v>46</v>
      </c>
      <c r="E3461" s="17">
        <v>662.51</v>
      </c>
      <c r="F3461" s="16">
        <v>0.09</v>
      </c>
      <c r="G3461" s="15" t="s">
        <v>32</v>
      </c>
      <c r="H3461" s="18">
        <v>293.32</v>
      </c>
      <c r="I3461" s="19">
        <v>15.67</v>
      </c>
      <c r="J3461" s="19">
        <v>1.39</v>
      </c>
      <c r="K3461" s="19" t="s">
        <v>44</v>
      </c>
      <c r="L3461" s="19" t="s">
        <v>45</v>
      </c>
      <c r="M3461" s="15" t="s">
        <v>1985</v>
      </c>
      <c r="N3461" s="15" t="s">
        <v>36</v>
      </c>
      <c r="O3461" s="15" t="s">
        <v>189</v>
      </c>
      <c r="P3461" s="20" t="s">
        <v>967</v>
      </c>
      <c r="Q3461" s="15" t="s">
        <v>83</v>
      </c>
      <c r="R3461" s="4"/>
      <c r="S3461" s="4"/>
    </row>
    <row r="3462" spans="1:19" ht="21" customHeight="1" x14ac:dyDescent="0.25">
      <c r="A3462" s="14">
        <f>DATE(2012,12,31)-626</f>
        <v>40648</v>
      </c>
      <c r="B3462" s="15" t="s">
        <v>1491</v>
      </c>
      <c r="C3462" s="15" t="s">
        <v>43</v>
      </c>
      <c r="D3462" s="16">
        <v>21</v>
      </c>
      <c r="E3462" s="17">
        <v>61.18</v>
      </c>
      <c r="F3462" s="16">
        <v>0</v>
      </c>
      <c r="G3462" s="15" t="s">
        <v>32</v>
      </c>
      <c r="H3462" s="18">
        <v>6.85</v>
      </c>
      <c r="I3462" s="19">
        <v>2.88</v>
      </c>
      <c r="J3462" s="19">
        <v>0.7</v>
      </c>
      <c r="K3462" s="19" t="s">
        <v>124</v>
      </c>
      <c r="L3462" s="19" t="s">
        <v>158</v>
      </c>
      <c r="M3462" s="15" t="s">
        <v>158</v>
      </c>
      <c r="N3462" s="15" t="s">
        <v>36</v>
      </c>
      <c r="O3462" s="15" t="s">
        <v>77</v>
      </c>
      <c r="P3462" s="20" t="s">
        <v>95</v>
      </c>
      <c r="Q3462" s="15" t="s">
        <v>79</v>
      </c>
      <c r="R3462" s="4"/>
      <c r="S3462" s="4"/>
    </row>
    <row r="3463" spans="1:19" ht="21" customHeight="1" x14ac:dyDescent="0.25">
      <c r="A3463" s="14">
        <f>DATE(2012,12,31)-1306</f>
        <v>39968</v>
      </c>
      <c r="B3463" s="15" t="s">
        <v>1935</v>
      </c>
      <c r="C3463" s="15" t="s">
        <v>43</v>
      </c>
      <c r="D3463" s="16">
        <v>3</v>
      </c>
      <c r="E3463" s="17">
        <v>3029.97</v>
      </c>
      <c r="F3463" s="16">
        <v>0</v>
      </c>
      <c r="G3463" s="15" t="s">
        <v>32</v>
      </c>
      <c r="H3463" s="18">
        <v>-1819.9964999999997</v>
      </c>
      <c r="I3463" s="19">
        <v>999.99</v>
      </c>
      <c r="J3463" s="19">
        <v>13.99</v>
      </c>
      <c r="K3463" s="19" t="s">
        <v>44</v>
      </c>
      <c r="L3463" s="19" t="s">
        <v>52</v>
      </c>
      <c r="M3463" s="15" t="s">
        <v>2042</v>
      </c>
      <c r="N3463" s="15" t="s">
        <v>64</v>
      </c>
      <c r="O3463" s="15" t="s">
        <v>122</v>
      </c>
      <c r="P3463" s="20" t="s">
        <v>1495</v>
      </c>
      <c r="Q3463" s="15" t="s">
        <v>57</v>
      </c>
      <c r="R3463" s="4"/>
      <c r="S3463" s="4"/>
    </row>
    <row r="3464" spans="1:19" ht="21" customHeight="1" x14ac:dyDescent="0.25">
      <c r="A3464" s="14">
        <f>DATE(2012,12,31)-1306</f>
        <v>39968</v>
      </c>
      <c r="B3464" s="15" t="s">
        <v>1935</v>
      </c>
      <c r="C3464" s="15" t="s">
        <v>43</v>
      </c>
      <c r="D3464" s="16">
        <v>34</v>
      </c>
      <c r="E3464" s="17">
        <v>241.04</v>
      </c>
      <c r="F3464" s="16">
        <v>0.05</v>
      </c>
      <c r="G3464" s="15" t="s">
        <v>101</v>
      </c>
      <c r="H3464" s="18">
        <v>-28.2</v>
      </c>
      <c r="I3464" s="19">
        <v>6.48</v>
      </c>
      <c r="J3464" s="19">
        <v>5.14</v>
      </c>
      <c r="K3464" s="19" t="s">
        <v>33</v>
      </c>
      <c r="L3464" s="19" t="s">
        <v>145</v>
      </c>
      <c r="M3464" s="15" t="s">
        <v>2006</v>
      </c>
      <c r="N3464" s="15" t="s">
        <v>36</v>
      </c>
      <c r="O3464" s="15" t="s">
        <v>117</v>
      </c>
      <c r="P3464" s="20" t="s">
        <v>302</v>
      </c>
      <c r="Q3464" s="15" t="s">
        <v>83</v>
      </c>
      <c r="R3464" s="4"/>
      <c r="S3464" s="4"/>
    </row>
    <row r="3465" spans="1:19" ht="21" customHeight="1" x14ac:dyDescent="0.25">
      <c r="A3465" s="14">
        <f>DATE(2012,12,31)-289</f>
        <v>40985</v>
      </c>
      <c r="B3465" s="15" t="s">
        <v>1191</v>
      </c>
      <c r="C3465" s="15" t="s">
        <v>85</v>
      </c>
      <c r="D3465" s="16">
        <v>5</v>
      </c>
      <c r="E3465" s="17">
        <v>44.17</v>
      </c>
      <c r="F3465" s="16">
        <v>0.02</v>
      </c>
      <c r="G3465" s="15" t="s">
        <v>32</v>
      </c>
      <c r="H3465" s="18">
        <v>23.41</v>
      </c>
      <c r="I3465" s="19">
        <v>7.59</v>
      </c>
      <c r="J3465" s="19">
        <v>4</v>
      </c>
      <c r="K3465" s="19" t="s">
        <v>33</v>
      </c>
      <c r="L3465" s="19" t="s">
        <v>59</v>
      </c>
      <c r="M3465" s="15" t="s">
        <v>2033</v>
      </c>
      <c r="N3465" s="15" t="s">
        <v>54</v>
      </c>
      <c r="O3465" s="15" t="s">
        <v>55</v>
      </c>
      <c r="P3465" s="20" t="s">
        <v>951</v>
      </c>
      <c r="Q3465" s="15" t="s">
        <v>79</v>
      </c>
      <c r="R3465" s="4"/>
      <c r="S3465" s="4"/>
    </row>
    <row r="3466" spans="1:19" ht="21" customHeight="1" x14ac:dyDescent="0.25">
      <c r="A3466" s="14">
        <f>DATE(2012,12,31)-289</f>
        <v>40985</v>
      </c>
      <c r="B3466" s="15" t="s">
        <v>1191</v>
      </c>
      <c r="C3466" s="15" t="s">
        <v>85</v>
      </c>
      <c r="D3466" s="16">
        <v>37</v>
      </c>
      <c r="E3466" s="17">
        <v>192.92</v>
      </c>
      <c r="F3466" s="16">
        <v>0.09</v>
      </c>
      <c r="G3466" s="15" t="s">
        <v>32</v>
      </c>
      <c r="H3466" s="18">
        <v>74.58</v>
      </c>
      <c r="I3466" s="19">
        <v>5.43</v>
      </c>
      <c r="J3466" s="19">
        <v>0.95</v>
      </c>
      <c r="K3466" s="19" t="s">
        <v>69</v>
      </c>
      <c r="L3466" s="19" t="s">
        <v>70</v>
      </c>
      <c r="M3466" s="15" t="s">
        <v>1895</v>
      </c>
      <c r="N3466" s="15" t="s">
        <v>36</v>
      </c>
      <c r="O3466" s="15" t="s">
        <v>117</v>
      </c>
      <c r="P3466" s="20" t="s">
        <v>1243</v>
      </c>
      <c r="Q3466" s="15" t="s">
        <v>79</v>
      </c>
      <c r="R3466" s="4"/>
      <c r="S3466" s="4"/>
    </row>
    <row r="3467" spans="1:19" ht="21" customHeight="1" x14ac:dyDescent="0.25">
      <c r="A3467" s="14">
        <f>DATE(2012,12,31)-289</f>
        <v>40985</v>
      </c>
      <c r="B3467" s="15" t="s">
        <v>1191</v>
      </c>
      <c r="C3467" s="15" t="s">
        <v>85</v>
      </c>
      <c r="D3467" s="16">
        <v>37</v>
      </c>
      <c r="E3467" s="17">
        <v>10532.94</v>
      </c>
      <c r="F3467" s="16">
        <v>0.06</v>
      </c>
      <c r="G3467" s="15" t="s">
        <v>32</v>
      </c>
      <c r="H3467" s="18">
        <v>406.37</v>
      </c>
      <c r="I3467" s="19">
        <v>279.48</v>
      </c>
      <c r="J3467" s="19">
        <v>35</v>
      </c>
      <c r="K3467" s="19" t="s">
        <v>69</v>
      </c>
      <c r="L3467" s="19" t="s">
        <v>215</v>
      </c>
      <c r="M3467" s="15" t="s">
        <v>2038</v>
      </c>
      <c r="N3467" s="15" t="s">
        <v>36</v>
      </c>
      <c r="O3467" s="15" t="s">
        <v>37</v>
      </c>
      <c r="P3467" s="20" t="s">
        <v>905</v>
      </c>
      <c r="Q3467" s="15" t="s">
        <v>39</v>
      </c>
      <c r="R3467" s="4"/>
      <c r="S3467" s="4"/>
    </row>
    <row r="3468" spans="1:19" ht="21" customHeight="1" x14ac:dyDescent="0.25">
      <c r="A3468" s="14">
        <f>DATE(2012,12,31)-301</f>
        <v>40973</v>
      </c>
      <c r="B3468" s="15" t="s">
        <v>1520</v>
      </c>
      <c r="C3468" s="15" t="s">
        <v>31</v>
      </c>
      <c r="D3468" s="16">
        <v>44</v>
      </c>
      <c r="E3468" s="17">
        <v>364.4</v>
      </c>
      <c r="F3468" s="16">
        <v>0.05</v>
      </c>
      <c r="G3468" s="15" t="s">
        <v>32</v>
      </c>
      <c r="H3468" s="18">
        <v>51.08</v>
      </c>
      <c r="I3468" s="19">
        <v>8.5</v>
      </c>
      <c r="J3468" s="19">
        <v>1.99</v>
      </c>
      <c r="K3468" s="19" t="s">
        <v>44</v>
      </c>
      <c r="L3468" s="19" t="s">
        <v>89</v>
      </c>
      <c r="M3468" s="15" t="s">
        <v>1932</v>
      </c>
      <c r="N3468" s="15" t="s">
        <v>64</v>
      </c>
      <c r="O3468" s="15" t="s">
        <v>72</v>
      </c>
      <c r="P3468" s="20" t="s">
        <v>928</v>
      </c>
      <c r="Q3468" s="15" t="s">
        <v>49</v>
      </c>
      <c r="R3468" s="4"/>
      <c r="S3468" s="4"/>
    </row>
    <row r="3469" spans="1:19" ht="21" customHeight="1" x14ac:dyDescent="0.25">
      <c r="A3469" s="14">
        <f>DATE(2012,12,31)-604</f>
        <v>40670</v>
      </c>
      <c r="B3469" s="15" t="s">
        <v>1564</v>
      </c>
      <c r="C3469" s="15" t="s">
        <v>43</v>
      </c>
      <c r="D3469" s="16">
        <v>7</v>
      </c>
      <c r="E3469" s="17">
        <v>33.99</v>
      </c>
      <c r="F3469" s="16">
        <v>0.09</v>
      </c>
      <c r="G3469" s="15" t="s">
        <v>32</v>
      </c>
      <c r="H3469" s="18">
        <v>-25.86</v>
      </c>
      <c r="I3469" s="19">
        <v>4.7699999999999996</v>
      </c>
      <c r="J3469" s="19">
        <v>2.39</v>
      </c>
      <c r="K3469" s="19" t="s">
        <v>44</v>
      </c>
      <c r="L3469" s="19" t="s">
        <v>45</v>
      </c>
      <c r="M3469" s="15" t="s">
        <v>1985</v>
      </c>
      <c r="N3469" s="15" t="s">
        <v>64</v>
      </c>
      <c r="O3469" s="15" t="s">
        <v>72</v>
      </c>
      <c r="P3469" s="20" t="s">
        <v>1328</v>
      </c>
      <c r="Q3469" s="15" t="s">
        <v>49</v>
      </c>
      <c r="R3469" s="4"/>
      <c r="S3469" s="4"/>
    </row>
    <row r="3470" spans="1:19" ht="21" customHeight="1" x14ac:dyDescent="0.25">
      <c r="A3470" s="14">
        <f>DATE(2012,12,31)-473</f>
        <v>40801</v>
      </c>
      <c r="B3470" s="15" t="s">
        <v>768</v>
      </c>
      <c r="C3470" s="15" t="s">
        <v>85</v>
      </c>
      <c r="D3470" s="16">
        <v>34</v>
      </c>
      <c r="E3470" s="17">
        <v>260.51</v>
      </c>
      <c r="F3470" s="16">
        <v>0.03</v>
      </c>
      <c r="G3470" s="15" t="s">
        <v>32</v>
      </c>
      <c r="H3470" s="18">
        <v>-127.5235</v>
      </c>
      <c r="I3470" s="19">
        <v>7.3</v>
      </c>
      <c r="J3470" s="19">
        <v>7.72</v>
      </c>
      <c r="K3470" s="19" t="s">
        <v>124</v>
      </c>
      <c r="L3470" s="19" t="s">
        <v>164</v>
      </c>
      <c r="M3470" s="15" t="s">
        <v>2052</v>
      </c>
      <c r="N3470" s="15" t="s">
        <v>36</v>
      </c>
      <c r="O3470" s="15" t="s">
        <v>170</v>
      </c>
      <c r="P3470" s="20" t="s">
        <v>274</v>
      </c>
      <c r="Q3470" s="15" t="s">
        <v>83</v>
      </c>
      <c r="R3470" s="4"/>
      <c r="S3470" s="4"/>
    </row>
    <row r="3471" spans="1:19" ht="21" customHeight="1" x14ac:dyDescent="0.25">
      <c r="A3471" s="14">
        <f>DATE(2012,12,31)-473</f>
        <v>40801</v>
      </c>
      <c r="B3471" s="15" t="s">
        <v>768</v>
      </c>
      <c r="C3471" s="15" t="s">
        <v>85</v>
      </c>
      <c r="D3471" s="16">
        <v>15</v>
      </c>
      <c r="E3471" s="17">
        <v>466.28</v>
      </c>
      <c r="F3471" s="16">
        <v>0</v>
      </c>
      <c r="G3471" s="15" t="s">
        <v>32</v>
      </c>
      <c r="H3471" s="18">
        <v>92.7</v>
      </c>
      <c r="I3471" s="19">
        <v>29.89</v>
      </c>
      <c r="J3471" s="19">
        <v>1.99</v>
      </c>
      <c r="K3471" s="19" t="s">
        <v>44</v>
      </c>
      <c r="L3471" s="19" t="s">
        <v>45</v>
      </c>
      <c r="M3471" s="15" t="s">
        <v>1985</v>
      </c>
      <c r="N3471" s="15" t="s">
        <v>64</v>
      </c>
      <c r="O3471" s="15" t="s">
        <v>72</v>
      </c>
      <c r="P3471" s="20" t="s">
        <v>825</v>
      </c>
      <c r="Q3471" s="15" t="s">
        <v>49</v>
      </c>
      <c r="R3471" s="4"/>
      <c r="S3471" s="4"/>
    </row>
    <row r="3472" spans="1:19" ht="21" customHeight="1" x14ac:dyDescent="0.25">
      <c r="A3472" s="14">
        <f>DATE(2012,12,31)-296</f>
        <v>40978</v>
      </c>
      <c r="B3472" s="15" t="s">
        <v>423</v>
      </c>
      <c r="C3472" s="15" t="s">
        <v>85</v>
      </c>
      <c r="D3472" s="16">
        <v>14</v>
      </c>
      <c r="E3472" s="17">
        <v>1961.39</v>
      </c>
      <c r="F3472" s="16">
        <v>0</v>
      </c>
      <c r="G3472" s="15" t="s">
        <v>32</v>
      </c>
      <c r="H3472" s="18">
        <v>761.04</v>
      </c>
      <c r="I3472" s="19">
        <v>136.97999999999999</v>
      </c>
      <c r="J3472" s="19">
        <v>24.49</v>
      </c>
      <c r="K3472" s="19" t="s">
        <v>44</v>
      </c>
      <c r="L3472" s="19" t="s">
        <v>52</v>
      </c>
      <c r="M3472" s="15" t="s">
        <v>2042</v>
      </c>
      <c r="N3472" s="15" t="s">
        <v>54</v>
      </c>
      <c r="O3472" s="15" t="s">
        <v>55</v>
      </c>
      <c r="P3472" s="20" t="s">
        <v>560</v>
      </c>
      <c r="Q3472" s="15" t="s">
        <v>39</v>
      </c>
      <c r="R3472" s="4"/>
      <c r="S3472" s="4"/>
    </row>
    <row r="3473" spans="1:19" ht="21" customHeight="1" x14ac:dyDescent="0.25">
      <c r="A3473" s="14">
        <f>DATE(2012,12,31)-296</f>
        <v>40978</v>
      </c>
      <c r="B3473" s="15" t="s">
        <v>423</v>
      </c>
      <c r="C3473" s="15" t="s">
        <v>85</v>
      </c>
      <c r="D3473" s="16">
        <v>3</v>
      </c>
      <c r="E3473" s="17">
        <v>4.9400000000000004</v>
      </c>
      <c r="F3473" s="16">
        <v>0.1</v>
      </c>
      <c r="G3473" s="15" t="s">
        <v>32</v>
      </c>
      <c r="H3473" s="18">
        <v>-1.76</v>
      </c>
      <c r="I3473" s="19">
        <v>1.48</v>
      </c>
      <c r="J3473" s="19">
        <v>0.7</v>
      </c>
      <c r="K3473" s="19" t="s">
        <v>44</v>
      </c>
      <c r="L3473" s="19" t="s">
        <v>80</v>
      </c>
      <c r="M3473" s="15" t="s">
        <v>2012</v>
      </c>
      <c r="N3473" s="15" t="s">
        <v>36</v>
      </c>
      <c r="O3473" s="15" t="s">
        <v>105</v>
      </c>
      <c r="P3473" s="20" t="s">
        <v>1165</v>
      </c>
      <c r="Q3473" s="15" t="s">
        <v>79</v>
      </c>
      <c r="R3473" s="4"/>
      <c r="S3473" s="4"/>
    </row>
    <row r="3474" spans="1:19" ht="21" customHeight="1" x14ac:dyDescent="0.25">
      <c r="A3474" s="14">
        <f>DATE(2012,12,31)-823</f>
        <v>40451</v>
      </c>
      <c r="B3474" s="15" t="s">
        <v>1897</v>
      </c>
      <c r="C3474" s="15" t="s">
        <v>31</v>
      </c>
      <c r="D3474" s="16">
        <v>3</v>
      </c>
      <c r="E3474" s="17">
        <v>22.06</v>
      </c>
      <c r="F3474" s="16">
        <v>0.05</v>
      </c>
      <c r="G3474" s="15" t="s">
        <v>32</v>
      </c>
      <c r="H3474" s="18">
        <v>-15.6</v>
      </c>
      <c r="I3474" s="19">
        <v>4.9800000000000004</v>
      </c>
      <c r="J3474" s="19">
        <v>7.44</v>
      </c>
      <c r="K3474" s="19" t="s">
        <v>44</v>
      </c>
      <c r="L3474" s="19" t="s">
        <v>45</v>
      </c>
      <c r="M3474" s="15" t="s">
        <v>1985</v>
      </c>
      <c r="N3474" s="15" t="s">
        <v>36</v>
      </c>
      <c r="O3474" s="15" t="s">
        <v>117</v>
      </c>
      <c r="P3474" s="20" t="s">
        <v>266</v>
      </c>
      <c r="Q3474" s="15" t="s">
        <v>83</v>
      </c>
      <c r="R3474" s="4"/>
      <c r="S3474" s="4"/>
    </row>
    <row r="3475" spans="1:19" ht="21" customHeight="1" x14ac:dyDescent="0.25">
      <c r="A3475" s="14">
        <f>DATE(2012,12,31)-1121</f>
        <v>40153</v>
      </c>
      <c r="B3475" s="15" t="s">
        <v>183</v>
      </c>
      <c r="C3475" s="15" t="s">
        <v>51</v>
      </c>
      <c r="D3475" s="16">
        <v>3</v>
      </c>
      <c r="E3475" s="17">
        <v>549.91999999999996</v>
      </c>
      <c r="F3475" s="16">
        <v>0.09</v>
      </c>
      <c r="G3475" s="15" t="s">
        <v>58</v>
      </c>
      <c r="H3475" s="18">
        <v>-210.97</v>
      </c>
      <c r="I3475" s="19">
        <v>180.98</v>
      </c>
      <c r="J3475" s="19">
        <v>26.2</v>
      </c>
      <c r="K3475" s="19" t="s">
        <v>44</v>
      </c>
      <c r="L3475" s="19" t="s">
        <v>45</v>
      </c>
      <c r="M3475" s="15" t="s">
        <v>2053</v>
      </c>
      <c r="N3475" s="15" t="s">
        <v>54</v>
      </c>
      <c r="O3475" s="15" t="s">
        <v>252</v>
      </c>
      <c r="P3475" s="20" t="s">
        <v>1499</v>
      </c>
      <c r="Q3475" s="15" t="s">
        <v>181</v>
      </c>
      <c r="R3475" s="4"/>
      <c r="S3475" s="4"/>
    </row>
    <row r="3476" spans="1:19" ht="21" customHeight="1" x14ac:dyDescent="0.25">
      <c r="A3476" s="14">
        <f>DATE(2012,12,31)-1121</f>
        <v>40153</v>
      </c>
      <c r="B3476" s="15" t="s">
        <v>183</v>
      </c>
      <c r="C3476" s="15" t="s">
        <v>51</v>
      </c>
      <c r="D3476" s="16">
        <v>26</v>
      </c>
      <c r="E3476" s="17">
        <v>182.09</v>
      </c>
      <c r="F3476" s="16">
        <v>0</v>
      </c>
      <c r="G3476" s="15" t="s">
        <v>32</v>
      </c>
      <c r="H3476" s="18">
        <v>-28.15</v>
      </c>
      <c r="I3476" s="19">
        <v>6.48</v>
      </c>
      <c r="J3476" s="19">
        <v>5.19</v>
      </c>
      <c r="K3476" s="19" t="s">
        <v>33</v>
      </c>
      <c r="L3476" s="19" t="s">
        <v>93</v>
      </c>
      <c r="M3476" s="15" t="s">
        <v>94</v>
      </c>
      <c r="N3476" s="15" t="s">
        <v>36</v>
      </c>
      <c r="O3476" s="15" t="s">
        <v>117</v>
      </c>
      <c r="P3476" s="20" t="s">
        <v>2054</v>
      </c>
      <c r="Q3476" s="15" t="s">
        <v>83</v>
      </c>
      <c r="R3476" s="4"/>
      <c r="S3476" s="4"/>
    </row>
    <row r="3477" spans="1:19" ht="21" customHeight="1" x14ac:dyDescent="0.25">
      <c r="A3477" s="14">
        <f>DATE(2012,12,31)-1086</f>
        <v>40188</v>
      </c>
      <c r="B3477" s="15" t="s">
        <v>185</v>
      </c>
      <c r="C3477" s="15" t="s">
        <v>85</v>
      </c>
      <c r="D3477" s="16">
        <v>11</v>
      </c>
      <c r="E3477" s="17">
        <v>1091.47</v>
      </c>
      <c r="F3477" s="16">
        <v>0.04</v>
      </c>
      <c r="G3477" s="15" t="s">
        <v>32</v>
      </c>
      <c r="H3477" s="18">
        <v>160.47999999999999</v>
      </c>
      <c r="I3477" s="19">
        <v>92.23</v>
      </c>
      <c r="J3477" s="19">
        <v>39.61</v>
      </c>
      <c r="K3477" s="19" t="s">
        <v>97</v>
      </c>
      <c r="L3477" s="19" t="s">
        <v>195</v>
      </c>
      <c r="M3477" s="15" t="s">
        <v>2040</v>
      </c>
      <c r="N3477" s="15" t="s">
        <v>54</v>
      </c>
      <c r="O3477" s="15" t="s">
        <v>55</v>
      </c>
      <c r="P3477" s="20" t="s">
        <v>1111</v>
      </c>
      <c r="Q3477" s="15" t="s">
        <v>57</v>
      </c>
      <c r="R3477" s="4"/>
      <c r="S3477" s="4"/>
    </row>
    <row r="3478" spans="1:19" ht="21" customHeight="1" x14ac:dyDescent="0.25">
      <c r="A3478" s="14">
        <f>DATE(2012,12,31)-1086</f>
        <v>40188</v>
      </c>
      <c r="B3478" s="15" t="s">
        <v>185</v>
      </c>
      <c r="C3478" s="15" t="s">
        <v>85</v>
      </c>
      <c r="D3478" s="16">
        <v>35</v>
      </c>
      <c r="E3478" s="17">
        <v>112.59</v>
      </c>
      <c r="F3478" s="16">
        <v>0.09</v>
      </c>
      <c r="G3478" s="15" t="s">
        <v>101</v>
      </c>
      <c r="H3478" s="18">
        <v>-126.7</v>
      </c>
      <c r="I3478" s="19">
        <v>3.28</v>
      </c>
      <c r="J3478" s="19">
        <v>5</v>
      </c>
      <c r="K3478" s="19" t="s">
        <v>33</v>
      </c>
      <c r="L3478" s="19" t="s">
        <v>59</v>
      </c>
      <c r="M3478" s="15" t="s">
        <v>2033</v>
      </c>
      <c r="N3478" s="15" t="s">
        <v>36</v>
      </c>
      <c r="O3478" s="15" t="s">
        <v>77</v>
      </c>
      <c r="P3478" s="20" t="s">
        <v>863</v>
      </c>
      <c r="Q3478" s="15" t="s">
        <v>79</v>
      </c>
      <c r="R3478" s="4"/>
      <c r="S3478" s="4"/>
    </row>
    <row r="3479" spans="1:19" ht="21" customHeight="1" x14ac:dyDescent="0.25">
      <c r="A3479" s="14">
        <f>DATE(2012,12,31)-186</f>
        <v>41088</v>
      </c>
      <c r="B3479" s="15" t="s">
        <v>398</v>
      </c>
      <c r="C3479" s="15" t="s">
        <v>31</v>
      </c>
      <c r="D3479" s="16">
        <v>47</v>
      </c>
      <c r="E3479" s="17">
        <v>9633.59</v>
      </c>
      <c r="F3479" s="16">
        <v>0.06</v>
      </c>
      <c r="G3479" s="15" t="s">
        <v>58</v>
      </c>
      <c r="H3479" s="18">
        <v>176.67</v>
      </c>
      <c r="I3479" s="19">
        <v>216.6</v>
      </c>
      <c r="J3479" s="19">
        <v>64.2</v>
      </c>
      <c r="K3479" s="19" t="s">
        <v>33</v>
      </c>
      <c r="L3479" s="19" t="s">
        <v>59</v>
      </c>
      <c r="M3479" s="15" t="s">
        <v>2033</v>
      </c>
      <c r="N3479" s="15" t="s">
        <v>54</v>
      </c>
      <c r="O3479" s="15" t="s">
        <v>252</v>
      </c>
      <c r="P3479" s="20" t="s">
        <v>855</v>
      </c>
      <c r="Q3479" s="15" t="s">
        <v>181</v>
      </c>
      <c r="R3479" s="4"/>
      <c r="S3479" s="4"/>
    </row>
    <row r="3480" spans="1:19" ht="21" customHeight="1" x14ac:dyDescent="0.25">
      <c r="A3480" s="14">
        <f>DATE(2012,12,31)-186</f>
        <v>41088</v>
      </c>
      <c r="B3480" s="15" t="s">
        <v>398</v>
      </c>
      <c r="C3480" s="15" t="s">
        <v>31</v>
      </c>
      <c r="D3480" s="16">
        <v>26</v>
      </c>
      <c r="E3480" s="17">
        <v>3758.77</v>
      </c>
      <c r="F3480" s="16">
        <v>0</v>
      </c>
      <c r="G3480" s="15" t="s">
        <v>32</v>
      </c>
      <c r="H3480" s="18">
        <v>753.61</v>
      </c>
      <c r="I3480" s="19">
        <v>140.81</v>
      </c>
      <c r="J3480" s="19">
        <v>24.49</v>
      </c>
      <c r="K3480" s="19" t="s">
        <v>33</v>
      </c>
      <c r="L3480" s="19" t="s">
        <v>145</v>
      </c>
      <c r="M3480" s="15" t="s">
        <v>2006</v>
      </c>
      <c r="N3480" s="15" t="s">
        <v>54</v>
      </c>
      <c r="O3480" s="15" t="s">
        <v>252</v>
      </c>
      <c r="P3480" s="20" t="s">
        <v>1392</v>
      </c>
      <c r="Q3480" s="15" t="s">
        <v>39</v>
      </c>
      <c r="R3480" s="4"/>
      <c r="S3480" s="4"/>
    </row>
    <row r="3481" spans="1:19" ht="21" customHeight="1" x14ac:dyDescent="0.25">
      <c r="A3481" s="14">
        <f>DATE(2012,12,31)-318</f>
        <v>40956</v>
      </c>
      <c r="B3481" s="15" t="s">
        <v>1769</v>
      </c>
      <c r="C3481" s="15" t="s">
        <v>85</v>
      </c>
      <c r="D3481" s="16">
        <v>15</v>
      </c>
      <c r="E3481" s="17">
        <v>1616.66</v>
      </c>
      <c r="F3481" s="16">
        <v>0</v>
      </c>
      <c r="G3481" s="15" t="s">
        <v>58</v>
      </c>
      <c r="H3481" s="18">
        <v>112.58</v>
      </c>
      <c r="I3481" s="19">
        <v>100.98</v>
      </c>
      <c r="J3481" s="19">
        <v>56.22</v>
      </c>
      <c r="K3481" s="19" t="s">
        <v>33</v>
      </c>
      <c r="L3481" s="19" t="s">
        <v>145</v>
      </c>
      <c r="M3481" s="15" t="s">
        <v>2055</v>
      </c>
      <c r="N3481" s="15" t="s">
        <v>54</v>
      </c>
      <c r="O3481" s="15" t="s">
        <v>134</v>
      </c>
      <c r="P3481" s="20" t="s">
        <v>397</v>
      </c>
      <c r="Q3481" s="15" t="s">
        <v>63</v>
      </c>
      <c r="R3481" s="4"/>
      <c r="S3481" s="4"/>
    </row>
    <row r="3482" spans="1:19" ht="21" customHeight="1" x14ac:dyDescent="0.25">
      <c r="A3482" s="14">
        <f>DATE(2012,12,31)-318</f>
        <v>40956</v>
      </c>
      <c r="B3482" s="15" t="s">
        <v>1769</v>
      </c>
      <c r="C3482" s="15" t="s">
        <v>85</v>
      </c>
      <c r="D3482" s="16">
        <v>6</v>
      </c>
      <c r="E3482" s="17">
        <v>96.21</v>
      </c>
      <c r="F3482" s="16">
        <v>0.06</v>
      </c>
      <c r="G3482" s="15" t="s">
        <v>32</v>
      </c>
      <c r="H3482" s="18">
        <v>-19.34</v>
      </c>
      <c r="I3482" s="19">
        <v>14.58</v>
      </c>
      <c r="J3482" s="19">
        <v>57.4</v>
      </c>
      <c r="K3482" s="19" t="s">
        <v>33</v>
      </c>
      <c r="L3482" s="19" t="s">
        <v>59</v>
      </c>
      <c r="M3482" s="15" t="s">
        <v>2033</v>
      </c>
      <c r="N3482" s="15" t="s">
        <v>54</v>
      </c>
      <c r="O3482" s="15" t="s">
        <v>55</v>
      </c>
      <c r="P3482" s="20" t="s">
        <v>352</v>
      </c>
      <c r="Q3482" s="15" t="s">
        <v>83</v>
      </c>
      <c r="R3482" s="4"/>
      <c r="S3482" s="4"/>
    </row>
    <row r="3483" spans="1:19" ht="21" customHeight="1" x14ac:dyDescent="0.25">
      <c r="A3483" s="14">
        <f>DATE(2012,12,31)-46</f>
        <v>41228</v>
      </c>
      <c r="B3483" s="15" t="s">
        <v>512</v>
      </c>
      <c r="C3483" s="15" t="s">
        <v>51</v>
      </c>
      <c r="D3483" s="16">
        <v>3</v>
      </c>
      <c r="E3483" s="17">
        <v>18.91</v>
      </c>
      <c r="F3483" s="16">
        <v>0</v>
      </c>
      <c r="G3483" s="15" t="s">
        <v>32</v>
      </c>
      <c r="H3483" s="18">
        <v>-16.353000000000002</v>
      </c>
      <c r="I3483" s="19">
        <v>3.89</v>
      </c>
      <c r="J3483" s="19">
        <v>7.01</v>
      </c>
      <c r="K3483" s="19" t="s">
        <v>33</v>
      </c>
      <c r="L3483" s="19" t="s">
        <v>145</v>
      </c>
      <c r="M3483" s="15" t="s">
        <v>2055</v>
      </c>
      <c r="N3483" s="15" t="s">
        <v>36</v>
      </c>
      <c r="O3483" s="15" t="s">
        <v>170</v>
      </c>
      <c r="P3483" s="20" t="s">
        <v>711</v>
      </c>
      <c r="Q3483" s="15" t="s">
        <v>83</v>
      </c>
      <c r="R3483" s="4"/>
      <c r="S3483" s="4"/>
    </row>
    <row r="3484" spans="1:19" ht="21" customHeight="1" x14ac:dyDescent="0.25">
      <c r="A3484" s="14">
        <f>DATE(2012,12,31)-46</f>
        <v>41228</v>
      </c>
      <c r="B3484" s="15" t="s">
        <v>512</v>
      </c>
      <c r="C3484" s="15" t="s">
        <v>51</v>
      </c>
      <c r="D3484" s="16">
        <v>7</v>
      </c>
      <c r="E3484" s="17">
        <v>685.7</v>
      </c>
      <c r="F3484" s="16">
        <v>0.01</v>
      </c>
      <c r="G3484" s="15" t="s">
        <v>32</v>
      </c>
      <c r="H3484" s="18">
        <v>350.94</v>
      </c>
      <c r="I3484" s="19">
        <v>88.84</v>
      </c>
      <c r="J3484" s="19">
        <v>20.79</v>
      </c>
      <c r="K3484" s="19" t="s">
        <v>33</v>
      </c>
      <c r="L3484" s="19" t="s">
        <v>59</v>
      </c>
      <c r="M3484" s="15" t="s">
        <v>2033</v>
      </c>
      <c r="N3484" s="15" t="s">
        <v>54</v>
      </c>
      <c r="O3484" s="15" t="s">
        <v>55</v>
      </c>
      <c r="P3484" s="20" t="s">
        <v>2056</v>
      </c>
      <c r="Q3484" s="15" t="s">
        <v>39</v>
      </c>
      <c r="R3484" s="4"/>
      <c r="S3484" s="4"/>
    </row>
    <row r="3485" spans="1:19" ht="21" customHeight="1" x14ac:dyDescent="0.25">
      <c r="A3485" s="14">
        <f>DATE(2012,12,31)-46</f>
        <v>41228</v>
      </c>
      <c r="B3485" s="15" t="s">
        <v>512</v>
      </c>
      <c r="C3485" s="15" t="s">
        <v>51</v>
      </c>
      <c r="D3485" s="16">
        <v>10</v>
      </c>
      <c r="E3485" s="17">
        <v>1024.165</v>
      </c>
      <c r="F3485" s="16">
        <v>0.02</v>
      </c>
      <c r="G3485" s="15" t="s">
        <v>32</v>
      </c>
      <c r="H3485" s="18">
        <v>-105.69900000000001</v>
      </c>
      <c r="I3485" s="19">
        <v>115.99</v>
      </c>
      <c r="J3485" s="19">
        <v>5.99</v>
      </c>
      <c r="K3485" s="19" t="s">
        <v>33</v>
      </c>
      <c r="L3485" s="19" t="s">
        <v>59</v>
      </c>
      <c r="M3485" s="15" t="s">
        <v>2033</v>
      </c>
      <c r="N3485" s="15" t="s">
        <v>64</v>
      </c>
      <c r="O3485" s="15" t="s">
        <v>65</v>
      </c>
      <c r="P3485" s="20" t="s">
        <v>1032</v>
      </c>
      <c r="Q3485" s="15" t="s">
        <v>83</v>
      </c>
      <c r="R3485" s="4"/>
      <c r="S3485" s="4"/>
    </row>
    <row r="3486" spans="1:19" ht="21" customHeight="1" x14ac:dyDescent="0.25">
      <c r="A3486" s="14">
        <f>DATE(2012,12,31)-1438</f>
        <v>39836</v>
      </c>
      <c r="B3486" s="15" t="s">
        <v>2057</v>
      </c>
      <c r="C3486" s="15" t="s">
        <v>85</v>
      </c>
      <c r="D3486" s="16">
        <v>18</v>
      </c>
      <c r="E3486" s="17">
        <v>1383.2</v>
      </c>
      <c r="F3486" s="16">
        <v>0.01</v>
      </c>
      <c r="G3486" s="15" t="s">
        <v>32</v>
      </c>
      <c r="H3486" s="18">
        <v>-23.44</v>
      </c>
      <c r="I3486" s="19">
        <v>73.98</v>
      </c>
      <c r="J3486" s="19">
        <v>12.14</v>
      </c>
      <c r="K3486" s="19" t="s">
        <v>33</v>
      </c>
      <c r="L3486" s="19" t="s">
        <v>59</v>
      </c>
      <c r="M3486" s="15" t="s">
        <v>2033</v>
      </c>
      <c r="N3486" s="15" t="s">
        <v>64</v>
      </c>
      <c r="O3486" s="15" t="s">
        <v>72</v>
      </c>
      <c r="P3486" s="20" t="s">
        <v>566</v>
      </c>
      <c r="Q3486" s="15" t="s">
        <v>83</v>
      </c>
      <c r="R3486" s="4"/>
      <c r="S3486" s="4"/>
    </row>
    <row r="3487" spans="1:19" ht="21" customHeight="1" x14ac:dyDescent="0.25">
      <c r="A3487" s="14">
        <f>DATE(2012,12,31)-584</f>
        <v>40690</v>
      </c>
      <c r="B3487" s="15" t="s">
        <v>1373</v>
      </c>
      <c r="C3487" s="15" t="s">
        <v>43</v>
      </c>
      <c r="D3487" s="16">
        <v>20</v>
      </c>
      <c r="E3487" s="17">
        <v>211.42</v>
      </c>
      <c r="F3487" s="16">
        <v>0</v>
      </c>
      <c r="G3487" s="15" t="s">
        <v>32</v>
      </c>
      <c r="H3487" s="18">
        <v>-113.52</v>
      </c>
      <c r="I3487" s="19">
        <v>9.7100000000000009</v>
      </c>
      <c r="J3487" s="19">
        <v>9.4499999999999993</v>
      </c>
      <c r="K3487" s="19" t="s">
        <v>33</v>
      </c>
      <c r="L3487" s="19" t="s">
        <v>59</v>
      </c>
      <c r="M3487" s="15" t="s">
        <v>2033</v>
      </c>
      <c r="N3487" s="15" t="s">
        <v>36</v>
      </c>
      <c r="O3487" s="15" t="s">
        <v>37</v>
      </c>
      <c r="P3487" s="20" t="s">
        <v>130</v>
      </c>
      <c r="Q3487" s="15" t="s">
        <v>83</v>
      </c>
      <c r="R3487" s="4"/>
      <c r="S3487" s="4"/>
    </row>
    <row r="3488" spans="1:19" ht="21" customHeight="1" x14ac:dyDescent="0.25">
      <c r="A3488" s="14">
        <f>DATE(2012,12,31)-847</f>
        <v>40427</v>
      </c>
      <c r="B3488" s="15" t="s">
        <v>1115</v>
      </c>
      <c r="C3488" s="15" t="s">
        <v>43</v>
      </c>
      <c r="D3488" s="16">
        <v>20</v>
      </c>
      <c r="E3488" s="17">
        <v>112.03</v>
      </c>
      <c r="F3488" s="16">
        <v>0.05</v>
      </c>
      <c r="G3488" s="15" t="s">
        <v>32</v>
      </c>
      <c r="H3488" s="18">
        <v>-57.994500000000002</v>
      </c>
      <c r="I3488" s="19">
        <v>5.18</v>
      </c>
      <c r="J3488" s="19">
        <v>5.74</v>
      </c>
      <c r="K3488" s="19" t="s">
        <v>33</v>
      </c>
      <c r="L3488" s="19" t="s">
        <v>145</v>
      </c>
      <c r="M3488" s="15" t="s">
        <v>2055</v>
      </c>
      <c r="N3488" s="15" t="s">
        <v>36</v>
      </c>
      <c r="O3488" s="15" t="s">
        <v>170</v>
      </c>
      <c r="P3488" s="20" t="s">
        <v>427</v>
      </c>
      <c r="Q3488" s="15" t="s">
        <v>83</v>
      </c>
      <c r="R3488" s="4"/>
      <c r="S3488" s="4"/>
    </row>
    <row r="3489" spans="1:19" ht="21" customHeight="1" x14ac:dyDescent="0.25">
      <c r="A3489" s="14">
        <f>DATE(2012,12,31)-899</f>
        <v>40375</v>
      </c>
      <c r="B3489" s="15" t="s">
        <v>361</v>
      </c>
      <c r="C3489" s="15" t="s">
        <v>43</v>
      </c>
      <c r="D3489" s="16">
        <v>45</v>
      </c>
      <c r="E3489" s="17">
        <v>5205.83</v>
      </c>
      <c r="F3489" s="16">
        <v>0.08</v>
      </c>
      <c r="G3489" s="15" t="s">
        <v>58</v>
      </c>
      <c r="H3489" s="18">
        <v>-818.76600000000008</v>
      </c>
      <c r="I3489" s="19">
        <v>124.49</v>
      </c>
      <c r="J3489" s="19">
        <v>51.94</v>
      </c>
      <c r="K3489" s="19" t="s">
        <v>33</v>
      </c>
      <c r="L3489" s="19" t="s">
        <v>34</v>
      </c>
      <c r="M3489" s="15" t="s">
        <v>2043</v>
      </c>
      <c r="N3489" s="15" t="s">
        <v>54</v>
      </c>
      <c r="O3489" s="15" t="s">
        <v>61</v>
      </c>
      <c r="P3489" s="20" t="s">
        <v>220</v>
      </c>
      <c r="Q3489" s="15" t="s">
        <v>63</v>
      </c>
      <c r="R3489" s="4"/>
      <c r="S3489" s="4"/>
    </row>
    <row r="3490" spans="1:19" ht="21" customHeight="1" x14ac:dyDescent="0.25">
      <c r="A3490" s="14">
        <f>DATE(2012,12,31)-287</f>
        <v>40987</v>
      </c>
      <c r="B3490" s="15" t="s">
        <v>140</v>
      </c>
      <c r="C3490" s="15" t="s">
        <v>51</v>
      </c>
      <c r="D3490" s="16">
        <v>46</v>
      </c>
      <c r="E3490" s="17">
        <v>175.23</v>
      </c>
      <c r="F3490" s="16">
        <v>0.04</v>
      </c>
      <c r="G3490" s="15" t="s">
        <v>32</v>
      </c>
      <c r="H3490" s="18">
        <v>-13.35</v>
      </c>
      <c r="I3490" s="19">
        <v>3.69</v>
      </c>
      <c r="J3490" s="19">
        <v>2.5</v>
      </c>
      <c r="K3490" s="19" t="s">
        <v>33</v>
      </c>
      <c r="L3490" s="19" t="s">
        <v>34</v>
      </c>
      <c r="M3490" s="15" t="s">
        <v>2043</v>
      </c>
      <c r="N3490" s="15" t="s">
        <v>36</v>
      </c>
      <c r="O3490" s="15" t="s">
        <v>189</v>
      </c>
      <c r="P3490" s="20" t="s">
        <v>1871</v>
      </c>
      <c r="Q3490" s="15" t="s">
        <v>83</v>
      </c>
      <c r="R3490" s="4"/>
      <c r="S3490" s="4"/>
    </row>
    <row r="3491" spans="1:19" ht="21" customHeight="1" x14ac:dyDescent="0.25">
      <c r="A3491" s="14">
        <f>DATE(2012,12,31)-1300</f>
        <v>39974</v>
      </c>
      <c r="B3491" s="15" t="s">
        <v>1106</v>
      </c>
      <c r="C3491" s="15" t="s">
        <v>43</v>
      </c>
      <c r="D3491" s="16">
        <v>14</v>
      </c>
      <c r="E3491" s="17">
        <v>132.72</v>
      </c>
      <c r="F3491" s="16">
        <v>0.05</v>
      </c>
      <c r="G3491" s="15" t="s">
        <v>32</v>
      </c>
      <c r="H3491" s="18">
        <v>-9.1769999999999996</v>
      </c>
      <c r="I3491" s="19">
        <v>8.85</v>
      </c>
      <c r="J3491" s="19">
        <v>5.6</v>
      </c>
      <c r="K3491" s="19" t="s">
        <v>69</v>
      </c>
      <c r="L3491" s="19" t="s">
        <v>70</v>
      </c>
      <c r="M3491" s="15" t="s">
        <v>1895</v>
      </c>
      <c r="N3491" s="15" t="s">
        <v>36</v>
      </c>
      <c r="O3491" s="15" t="s">
        <v>170</v>
      </c>
      <c r="P3491" s="20" t="s">
        <v>1218</v>
      </c>
      <c r="Q3491" s="15" t="s">
        <v>83</v>
      </c>
      <c r="R3491" s="4"/>
      <c r="S3491" s="4"/>
    </row>
    <row r="3492" spans="1:19" ht="21" customHeight="1" x14ac:dyDescent="0.25">
      <c r="A3492" s="14">
        <f>DATE(2012,12,31)-1347</f>
        <v>39927</v>
      </c>
      <c r="B3492" s="15" t="s">
        <v>386</v>
      </c>
      <c r="C3492" s="15" t="s">
        <v>31</v>
      </c>
      <c r="D3492" s="16">
        <v>38</v>
      </c>
      <c r="E3492" s="17">
        <v>1396.58</v>
      </c>
      <c r="F3492" s="16">
        <v>0.03</v>
      </c>
      <c r="G3492" s="15" t="s">
        <v>32</v>
      </c>
      <c r="H3492" s="18">
        <v>600.72</v>
      </c>
      <c r="I3492" s="19">
        <v>35.409999999999997</v>
      </c>
      <c r="J3492" s="19">
        <v>1.99</v>
      </c>
      <c r="K3492" s="19" t="s">
        <v>69</v>
      </c>
      <c r="L3492" s="19" t="s">
        <v>75</v>
      </c>
      <c r="M3492" s="15" t="s">
        <v>1980</v>
      </c>
      <c r="N3492" s="15" t="s">
        <v>64</v>
      </c>
      <c r="O3492" s="15" t="s">
        <v>72</v>
      </c>
      <c r="P3492" s="20" t="s">
        <v>1004</v>
      </c>
      <c r="Q3492" s="15" t="s">
        <v>49</v>
      </c>
      <c r="R3492" s="4"/>
      <c r="S3492" s="4"/>
    </row>
    <row r="3493" spans="1:19" ht="21" customHeight="1" x14ac:dyDescent="0.25">
      <c r="A3493" s="14">
        <f>DATE(2012,12,31)-1347</f>
        <v>39927</v>
      </c>
      <c r="B3493" s="15" t="s">
        <v>386</v>
      </c>
      <c r="C3493" s="15" t="s">
        <v>31</v>
      </c>
      <c r="D3493" s="16">
        <v>45</v>
      </c>
      <c r="E3493" s="17">
        <v>6448.69</v>
      </c>
      <c r="F3493" s="16">
        <v>0</v>
      </c>
      <c r="G3493" s="15" t="s">
        <v>32</v>
      </c>
      <c r="H3493" s="18">
        <v>1663.35</v>
      </c>
      <c r="I3493" s="19">
        <v>142.86000000000001</v>
      </c>
      <c r="J3493" s="19">
        <v>19.989999999999998</v>
      </c>
      <c r="K3493" s="19" t="s">
        <v>69</v>
      </c>
      <c r="L3493" s="19" t="s">
        <v>70</v>
      </c>
      <c r="M3493" s="15" t="s">
        <v>1895</v>
      </c>
      <c r="N3493" s="15" t="s">
        <v>36</v>
      </c>
      <c r="O3493" s="15" t="s">
        <v>37</v>
      </c>
      <c r="P3493" s="20" t="s">
        <v>1019</v>
      </c>
      <c r="Q3493" s="15" t="s">
        <v>83</v>
      </c>
      <c r="R3493" s="4"/>
      <c r="S3493" s="4"/>
    </row>
    <row r="3494" spans="1:19" ht="21" customHeight="1" x14ac:dyDescent="0.25">
      <c r="A3494" s="14">
        <f>DATE(2012,12,31)-649</f>
        <v>40625</v>
      </c>
      <c r="B3494" s="15" t="s">
        <v>478</v>
      </c>
      <c r="C3494" s="15" t="s">
        <v>85</v>
      </c>
      <c r="D3494" s="16">
        <v>6</v>
      </c>
      <c r="E3494" s="17">
        <v>143.78</v>
      </c>
      <c r="F3494" s="16">
        <v>0.04</v>
      </c>
      <c r="G3494" s="15" t="s">
        <v>32</v>
      </c>
      <c r="H3494" s="18">
        <v>75.3</v>
      </c>
      <c r="I3494" s="19">
        <v>22.72</v>
      </c>
      <c r="J3494" s="19">
        <v>8.99</v>
      </c>
      <c r="K3494" s="19" t="s">
        <v>69</v>
      </c>
      <c r="L3494" s="19" t="s">
        <v>70</v>
      </c>
      <c r="M3494" s="15" t="s">
        <v>1895</v>
      </c>
      <c r="N3494" s="15" t="s">
        <v>54</v>
      </c>
      <c r="O3494" s="15" t="s">
        <v>55</v>
      </c>
      <c r="P3494" s="20" t="s">
        <v>927</v>
      </c>
      <c r="Q3494" s="15" t="s">
        <v>49</v>
      </c>
      <c r="R3494" s="4"/>
      <c r="S3494" s="4"/>
    </row>
    <row r="3495" spans="1:19" ht="21" customHeight="1" x14ac:dyDescent="0.25">
      <c r="A3495" s="14">
        <f>DATE(2012,12,31)-499</f>
        <v>40775</v>
      </c>
      <c r="B3495" s="15" t="s">
        <v>1484</v>
      </c>
      <c r="C3495" s="15" t="s">
        <v>43</v>
      </c>
      <c r="D3495" s="16">
        <v>37</v>
      </c>
      <c r="E3495" s="17">
        <v>252.99</v>
      </c>
      <c r="F3495" s="16">
        <v>0.08</v>
      </c>
      <c r="G3495" s="15" t="s">
        <v>32</v>
      </c>
      <c r="H3495" s="18">
        <v>28.76</v>
      </c>
      <c r="I3495" s="19">
        <v>7.08</v>
      </c>
      <c r="J3495" s="19">
        <v>2.35</v>
      </c>
      <c r="K3495" s="19" t="s">
        <v>69</v>
      </c>
      <c r="L3495" s="19" t="s">
        <v>70</v>
      </c>
      <c r="M3495" s="15" t="s">
        <v>1895</v>
      </c>
      <c r="N3495" s="15" t="s">
        <v>36</v>
      </c>
      <c r="O3495" s="15" t="s">
        <v>77</v>
      </c>
      <c r="P3495" s="20" t="s">
        <v>1833</v>
      </c>
      <c r="Q3495" s="15" t="s">
        <v>79</v>
      </c>
      <c r="R3495" s="4"/>
      <c r="S3495" s="4"/>
    </row>
    <row r="3496" spans="1:19" ht="21" customHeight="1" x14ac:dyDescent="0.25">
      <c r="A3496" s="14">
        <f>DATE(2012,12,31)-950</f>
        <v>40324</v>
      </c>
      <c r="B3496" s="15" t="s">
        <v>1609</v>
      </c>
      <c r="C3496" s="15" t="s">
        <v>51</v>
      </c>
      <c r="D3496" s="16">
        <v>43</v>
      </c>
      <c r="E3496" s="17">
        <v>224.58</v>
      </c>
      <c r="F3496" s="16">
        <v>0.03</v>
      </c>
      <c r="G3496" s="15" t="s">
        <v>32</v>
      </c>
      <c r="H3496" s="18">
        <v>46.31</v>
      </c>
      <c r="I3496" s="19">
        <v>5.18</v>
      </c>
      <c r="J3496" s="19">
        <v>2.04</v>
      </c>
      <c r="K3496" s="19" t="s">
        <v>69</v>
      </c>
      <c r="L3496" s="19" t="s">
        <v>215</v>
      </c>
      <c r="M3496" s="15" t="s">
        <v>2038</v>
      </c>
      <c r="N3496" s="15" t="s">
        <v>36</v>
      </c>
      <c r="O3496" s="15" t="s">
        <v>117</v>
      </c>
      <c r="P3496" s="20" t="s">
        <v>1443</v>
      </c>
      <c r="Q3496" s="15" t="s">
        <v>79</v>
      </c>
      <c r="R3496" s="4"/>
      <c r="S3496" s="4"/>
    </row>
    <row r="3497" spans="1:19" ht="21" customHeight="1" x14ac:dyDescent="0.25">
      <c r="A3497" s="14">
        <f>DATE(2012,12,31)-804</f>
        <v>40470</v>
      </c>
      <c r="B3497" s="15" t="s">
        <v>761</v>
      </c>
      <c r="C3497" s="15" t="s">
        <v>31</v>
      </c>
      <c r="D3497" s="16">
        <v>33</v>
      </c>
      <c r="E3497" s="17">
        <v>1646.47</v>
      </c>
      <c r="F3497" s="16">
        <v>0.05</v>
      </c>
      <c r="G3497" s="15" t="s">
        <v>32</v>
      </c>
      <c r="H3497" s="18">
        <v>743.59</v>
      </c>
      <c r="I3497" s="19">
        <v>48.91</v>
      </c>
      <c r="J3497" s="19">
        <v>5.81</v>
      </c>
      <c r="K3497" s="19" t="s">
        <v>111</v>
      </c>
      <c r="L3497" s="19" t="s">
        <v>112</v>
      </c>
      <c r="M3497" s="15" t="s">
        <v>2058</v>
      </c>
      <c r="N3497" s="15" t="s">
        <v>36</v>
      </c>
      <c r="O3497" s="15" t="s">
        <v>117</v>
      </c>
      <c r="P3497" s="20" t="s">
        <v>662</v>
      </c>
      <c r="Q3497" s="15" t="s">
        <v>83</v>
      </c>
      <c r="R3497" s="4"/>
      <c r="S3497" s="4"/>
    </row>
    <row r="3498" spans="1:19" ht="21" customHeight="1" x14ac:dyDescent="0.25">
      <c r="A3498" s="14">
        <f>DATE(2012,12,31)-420</f>
        <v>40854</v>
      </c>
      <c r="B3498" s="15" t="s">
        <v>1733</v>
      </c>
      <c r="C3498" s="15" t="s">
        <v>31</v>
      </c>
      <c r="D3498" s="16">
        <v>9</v>
      </c>
      <c r="E3498" s="17">
        <v>149.63999999999999</v>
      </c>
      <c r="F3498" s="16">
        <v>0.05</v>
      </c>
      <c r="G3498" s="15" t="s">
        <v>32</v>
      </c>
      <c r="H3498" s="18">
        <v>13.77</v>
      </c>
      <c r="I3498" s="19">
        <v>16.739999999999998</v>
      </c>
      <c r="J3498" s="19">
        <v>5.08</v>
      </c>
      <c r="K3498" s="19" t="s">
        <v>111</v>
      </c>
      <c r="L3498" s="19" t="s">
        <v>112</v>
      </c>
      <c r="M3498" s="15" t="s">
        <v>2058</v>
      </c>
      <c r="N3498" s="15" t="s">
        <v>36</v>
      </c>
      <c r="O3498" s="15" t="s">
        <v>170</v>
      </c>
      <c r="P3498" s="20" t="s">
        <v>2059</v>
      </c>
      <c r="Q3498" s="15" t="s">
        <v>83</v>
      </c>
      <c r="R3498" s="4"/>
      <c r="S3498" s="4"/>
    </row>
    <row r="3499" spans="1:19" ht="21" customHeight="1" x14ac:dyDescent="0.25">
      <c r="A3499" s="14">
        <f>DATE(2012,12,31)-1254</f>
        <v>40020</v>
      </c>
      <c r="B3499" s="15" t="s">
        <v>465</v>
      </c>
      <c r="C3499" s="15" t="s">
        <v>31</v>
      </c>
      <c r="D3499" s="16">
        <v>32</v>
      </c>
      <c r="E3499" s="17">
        <v>3416.38</v>
      </c>
      <c r="F3499" s="16">
        <v>0.01</v>
      </c>
      <c r="G3499" s="15" t="s">
        <v>58</v>
      </c>
      <c r="H3499" s="18">
        <v>-1142.2</v>
      </c>
      <c r="I3499" s="19">
        <v>100.98</v>
      </c>
      <c r="J3499" s="19">
        <v>57.38</v>
      </c>
      <c r="K3499" s="19" t="s">
        <v>111</v>
      </c>
      <c r="L3499" s="19" t="s">
        <v>442</v>
      </c>
      <c r="M3499" s="15" t="s">
        <v>2010</v>
      </c>
      <c r="N3499" s="15" t="s">
        <v>54</v>
      </c>
      <c r="O3499" s="15" t="s">
        <v>134</v>
      </c>
      <c r="P3499" s="20" t="s">
        <v>624</v>
      </c>
      <c r="Q3499" s="15" t="s">
        <v>63</v>
      </c>
      <c r="R3499" s="4"/>
      <c r="S3499" s="4"/>
    </row>
    <row r="3500" spans="1:19" ht="21" customHeight="1" x14ac:dyDescent="0.25">
      <c r="A3500" s="14">
        <f>DATE(2012,12,31)-1254</f>
        <v>40020</v>
      </c>
      <c r="B3500" s="15" t="s">
        <v>465</v>
      </c>
      <c r="C3500" s="15" t="s">
        <v>31</v>
      </c>
      <c r="D3500" s="16">
        <v>14</v>
      </c>
      <c r="E3500" s="17">
        <v>142.81</v>
      </c>
      <c r="F3500" s="16">
        <v>0.01</v>
      </c>
      <c r="G3500" s="15" t="s">
        <v>32</v>
      </c>
      <c r="H3500" s="18">
        <v>39.64</v>
      </c>
      <c r="I3500" s="19">
        <v>10.14</v>
      </c>
      <c r="J3500" s="19">
        <v>2.27</v>
      </c>
      <c r="K3500" s="19" t="s">
        <v>111</v>
      </c>
      <c r="L3500" s="19" t="s">
        <v>112</v>
      </c>
      <c r="M3500" s="15" t="s">
        <v>2058</v>
      </c>
      <c r="N3500" s="15" t="s">
        <v>36</v>
      </c>
      <c r="O3500" s="15" t="s">
        <v>117</v>
      </c>
      <c r="P3500" s="20" t="s">
        <v>1448</v>
      </c>
      <c r="Q3500" s="15" t="s">
        <v>79</v>
      </c>
      <c r="R3500" s="4"/>
      <c r="S3500" s="4"/>
    </row>
    <row r="3501" spans="1:19" ht="21" customHeight="1" x14ac:dyDescent="0.25">
      <c r="A3501" s="14">
        <f>DATE(2012,12,31)-704</f>
        <v>40570</v>
      </c>
      <c r="B3501" s="15" t="s">
        <v>1177</v>
      </c>
      <c r="C3501" s="15" t="s">
        <v>51</v>
      </c>
      <c r="D3501" s="16">
        <v>48</v>
      </c>
      <c r="E3501" s="17">
        <v>1760.35</v>
      </c>
      <c r="F3501" s="16">
        <v>0.01</v>
      </c>
      <c r="G3501" s="15" t="s">
        <v>101</v>
      </c>
      <c r="H3501" s="18">
        <v>-17.079999999999998</v>
      </c>
      <c r="I3501" s="19">
        <v>34.979999999999997</v>
      </c>
      <c r="J3501" s="19">
        <v>7.53</v>
      </c>
      <c r="K3501" s="19" t="s">
        <v>111</v>
      </c>
      <c r="L3501" s="19" t="s">
        <v>407</v>
      </c>
      <c r="M3501" s="15" t="s">
        <v>407</v>
      </c>
      <c r="N3501" s="15" t="s">
        <v>64</v>
      </c>
      <c r="O3501" s="15" t="s">
        <v>72</v>
      </c>
      <c r="P3501" s="20" t="s">
        <v>1694</v>
      </c>
      <c r="Q3501" s="15" t="s">
        <v>83</v>
      </c>
      <c r="R3501" s="4"/>
      <c r="S3501" s="4"/>
    </row>
    <row r="3502" spans="1:19" ht="21" customHeight="1" x14ac:dyDescent="0.25">
      <c r="A3502" s="14">
        <f>DATE(2012,12,31)-704</f>
        <v>40570</v>
      </c>
      <c r="B3502" s="15" t="s">
        <v>1177</v>
      </c>
      <c r="C3502" s="15" t="s">
        <v>51</v>
      </c>
      <c r="D3502" s="16">
        <v>37</v>
      </c>
      <c r="E3502" s="17">
        <v>1436.94</v>
      </c>
      <c r="F3502" s="16">
        <v>0</v>
      </c>
      <c r="G3502" s="15" t="s">
        <v>32</v>
      </c>
      <c r="H3502" s="18">
        <v>639.66</v>
      </c>
      <c r="I3502" s="19">
        <v>37.94</v>
      </c>
      <c r="J3502" s="19">
        <v>5.08</v>
      </c>
      <c r="K3502" s="19" t="s">
        <v>44</v>
      </c>
      <c r="L3502" s="19" t="s">
        <v>80</v>
      </c>
      <c r="M3502" s="15" t="s">
        <v>2012</v>
      </c>
      <c r="N3502" s="15" t="s">
        <v>36</v>
      </c>
      <c r="O3502" s="15" t="s">
        <v>117</v>
      </c>
      <c r="P3502" s="20" t="s">
        <v>902</v>
      </c>
      <c r="Q3502" s="15" t="s">
        <v>79</v>
      </c>
      <c r="R3502" s="4"/>
      <c r="S3502" s="4"/>
    </row>
    <row r="3503" spans="1:19" ht="21" customHeight="1" x14ac:dyDescent="0.25">
      <c r="A3503" s="14">
        <f>DATE(2012,12,31)-704</f>
        <v>40570</v>
      </c>
      <c r="B3503" s="15" t="s">
        <v>1177</v>
      </c>
      <c r="C3503" s="15" t="s">
        <v>51</v>
      </c>
      <c r="D3503" s="16">
        <v>18</v>
      </c>
      <c r="E3503" s="17">
        <v>125.8</v>
      </c>
      <c r="F3503" s="16">
        <v>0.03</v>
      </c>
      <c r="G3503" s="15" t="s">
        <v>32</v>
      </c>
      <c r="H3503" s="18">
        <v>-35.979999999999997</v>
      </c>
      <c r="I3503" s="19">
        <v>6.48</v>
      </c>
      <c r="J3503" s="19">
        <v>5.87</v>
      </c>
      <c r="K3503" s="19" t="s">
        <v>44</v>
      </c>
      <c r="L3503" s="19" t="s">
        <v>89</v>
      </c>
      <c r="M3503" s="15" t="s">
        <v>1932</v>
      </c>
      <c r="N3503" s="15" t="s">
        <v>36</v>
      </c>
      <c r="O3503" s="15" t="s">
        <v>117</v>
      </c>
      <c r="P3503" s="20" t="s">
        <v>2060</v>
      </c>
      <c r="Q3503" s="15" t="s">
        <v>83</v>
      </c>
      <c r="R3503" s="4"/>
      <c r="S3503" s="4"/>
    </row>
    <row r="3504" spans="1:19" ht="21" customHeight="1" x14ac:dyDescent="0.25">
      <c r="A3504" s="14">
        <f>DATE(2012,12,31)-704</f>
        <v>40570</v>
      </c>
      <c r="B3504" s="15" t="s">
        <v>1177</v>
      </c>
      <c r="C3504" s="15" t="s">
        <v>51</v>
      </c>
      <c r="D3504" s="16">
        <v>35</v>
      </c>
      <c r="E3504" s="17">
        <v>5797.68</v>
      </c>
      <c r="F3504" s="16">
        <v>0.04</v>
      </c>
      <c r="G3504" s="15" t="s">
        <v>32</v>
      </c>
      <c r="H3504" s="18">
        <v>1366.569</v>
      </c>
      <c r="I3504" s="19">
        <v>200.99</v>
      </c>
      <c r="J3504" s="19">
        <v>4.2</v>
      </c>
      <c r="K3504" s="19" t="s">
        <v>44</v>
      </c>
      <c r="L3504" s="19" t="s">
        <v>89</v>
      </c>
      <c r="M3504" s="15" t="s">
        <v>1932</v>
      </c>
      <c r="N3504" s="15" t="s">
        <v>64</v>
      </c>
      <c r="O3504" s="15" t="s">
        <v>65</v>
      </c>
      <c r="P3504" s="20" t="s">
        <v>740</v>
      </c>
      <c r="Q3504" s="15" t="s">
        <v>83</v>
      </c>
      <c r="R3504" s="4"/>
      <c r="S3504" s="4"/>
    </row>
    <row r="3505" spans="1:19" ht="21" customHeight="1" x14ac:dyDescent="0.25">
      <c r="A3505" s="14">
        <f>DATE(2012,12,31)-1070</f>
        <v>40204</v>
      </c>
      <c r="B3505" s="15" t="s">
        <v>872</v>
      </c>
      <c r="C3505" s="15" t="s">
        <v>31</v>
      </c>
      <c r="D3505" s="16">
        <v>8</v>
      </c>
      <c r="E3505" s="17">
        <v>487.59</v>
      </c>
      <c r="F3505" s="16">
        <v>0.04</v>
      </c>
      <c r="G3505" s="15" t="s">
        <v>58</v>
      </c>
      <c r="H3505" s="18">
        <v>-205.29</v>
      </c>
      <c r="I3505" s="19">
        <v>58.14</v>
      </c>
      <c r="J3505" s="19">
        <v>36.61</v>
      </c>
      <c r="K3505" s="19" t="s">
        <v>44</v>
      </c>
      <c r="L3505" s="19" t="s">
        <v>120</v>
      </c>
      <c r="M3505" s="15" t="s">
        <v>2025</v>
      </c>
      <c r="N3505" s="15" t="s">
        <v>54</v>
      </c>
      <c r="O3505" s="15" t="s">
        <v>134</v>
      </c>
      <c r="P3505" s="20" t="s">
        <v>1299</v>
      </c>
      <c r="Q3505" s="15" t="s">
        <v>63</v>
      </c>
      <c r="R3505" s="4"/>
      <c r="S3505" s="4"/>
    </row>
    <row r="3506" spans="1:19" ht="21" customHeight="1" x14ac:dyDescent="0.25">
      <c r="A3506" s="14">
        <f>DATE(2012,12,31)-643</f>
        <v>40631</v>
      </c>
      <c r="B3506" s="15" t="s">
        <v>903</v>
      </c>
      <c r="C3506" s="15" t="s">
        <v>31</v>
      </c>
      <c r="D3506" s="16">
        <v>6</v>
      </c>
      <c r="E3506" s="17">
        <v>2528.4899999999998</v>
      </c>
      <c r="F3506" s="16">
        <v>7.0000000000000007E-2</v>
      </c>
      <c r="G3506" s="15" t="s">
        <v>101</v>
      </c>
      <c r="H3506" s="18">
        <v>580.15049999999997</v>
      </c>
      <c r="I3506" s="19">
        <v>420.98</v>
      </c>
      <c r="J3506" s="19">
        <v>19.989999999999998</v>
      </c>
      <c r="K3506" s="19" t="s">
        <v>44</v>
      </c>
      <c r="L3506" s="19" t="s">
        <v>80</v>
      </c>
      <c r="M3506" s="15" t="s">
        <v>2012</v>
      </c>
      <c r="N3506" s="15" t="s">
        <v>36</v>
      </c>
      <c r="O3506" s="15" t="s">
        <v>170</v>
      </c>
      <c r="P3506" s="20" t="s">
        <v>466</v>
      </c>
      <c r="Q3506" s="15" t="s">
        <v>83</v>
      </c>
      <c r="R3506" s="4"/>
      <c r="S3506" s="4"/>
    </row>
    <row r="3507" spans="1:19" ht="21" customHeight="1" x14ac:dyDescent="0.25">
      <c r="A3507" s="14">
        <f>DATE(2012,12,31)-643</f>
        <v>40631</v>
      </c>
      <c r="B3507" s="15" t="s">
        <v>903</v>
      </c>
      <c r="C3507" s="15" t="s">
        <v>31</v>
      </c>
      <c r="D3507" s="16">
        <v>42</v>
      </c>
      <c r="E3507" s="17">
        <v>1146.1099999999999</v>
      </c>
      <c r="F3507" s="16">
        <v>0.09</v>
      </c>
      <c r="G3507" s="15" t="s">
        <v>32</v>
      </c>
      <c r="H3507" s="18">
        <v>330.63</v>
      </c>
      <c r="I3507" s="19">
        <v>29.18</v>
      </c>
      <c r="J3507" s="19">
        <v>8.5500000000000007</v>
      </c>
      <c r="K3507" s="19" t="s">
        <v>44</v>
      </c>
      <c r="L3507" s="19" t="s">
        <v>45</v>
      </c>
      <c r="M3507" s="15" t="s">
        <v>2053</v>
      </c>
      <c r="N3507" s="15" t="s">
        <v>54</v>
      </c>
      <c r="O3507" s="15" t="s">
        <v>55</v>
      </c>
      <c r="P3507" s="20" t="s">
        <v>868</v>
      </c>
      <c r="Q3507" s="15" t="s">
        <v>83</v>
      </c>
      <c r="R3507" s="4"/>
      <c r="S3507" s="4"/>
    </row>
    <row r="3508" spans="1:19" ht="21" customHeight="1" x14ac:dyDescent="0.25">
      <c r="A3508" s="14">
        <f>DATE(2012,12,31)-380</f>
        <v>40894</v>
      </c>
      <c r="B3508" s="15" t="s">
        <v>1528</v>
      </c>
      <c r="C3508" s="15" t="s">
        <v>85</v>
      </c>
      <c r="D3508" s="16">
        <v>34</v>
      </c>
      <c r="E3508" s="17">
        <v>4152.12</v>
      </c>
      <c r="F3508" s="16">
        <v>0</v>
      </c>
      <c r="G3508" s="15" t="s">
        <v>32</v>
      </c>
      <c r="H3508" s="18">
        <v>817.98</v>
      </c>
      <c r="I3508" s="19">
        <v>120.33</v>
      </c>
      <c r="J3508" s="19">
        <v>19.989999999999998</v>
      </c>
      <c r="K3508" s="19" t="s">
        <v>44</v>
      </c>
      <c r="L3508" s="19" t="s">
        <v>89</v>
      </c>
      <c r="M3508" s="15" t="s">
        <v>1932</v>
      </c>
      <c r="N3508" s="15" t="s">
        <v>36</v>
      </c>
      <c r="O3508" s="15" t="s">
        <v>37</v>
      </c>
      <c r="P3508" s="20" t="s">
        <v>626</v>
      </c>
      <c r="Q3508" s="15" t="s">
        <v>83</v>
      </c>
      <c r="R3508" s="4"/>
      <c r="S3508" s="4"/>
    </row>
    <row r="3509" spans="1:19" ht="21" customHeight="1" x14ac:dyDescent="0.25">
      <c r="A3509" s="14">
        <f>DATE(2012,12,31)-1026</f>
        <v>40248</v>
      </c>
      <c r="B3509" s="15" t="s">
        <v>1837</v>
      </c>
      <c r="C3509" s="15" t="s">
        <v>51</v>
      </c>
      <c r="D3509" s="16">
        <v>36</v>
      </c>
      <c r="E3509" s="17">
        <v>1561.2204999999999</v>
      </c>
      <c r="F3509" s="16">
        <v>0.09</v>
      </c>
      <c r="G3509" s="15" t="s">
        <v>32</v>
      </c>
      <c r="H3509" s="18">
        <v>-226.82</v>
      </c>
      <c r="I3509" s="19">
        <v>55.99</v>
      </c>
      <c r="J3509" s="19">
        <v>2.5</v>
      </c>
      <c r="K3509" s="19" t="s">
        <v>44</v>
      </c>
      <c r="L3509" s="19" t="s">
        <v>89</v>
      </c>
      <c r="M3509" s="15" t="s">
        <v>1932</v>
      </c>
      <c r="N3509" s="15" t="s">
        <v>64</v>
      </c>
      <c r="O3509" s="15" t="s">
        <v>65</v>
      </c>
      <c r="P3509" s="20" t="s">
        <v>1150</v>
      </c>
      <c r="Q3509" s="15" t="s">
        <v>49</v>
      </c>
      <c r="R3509" s="4"/>
      <c r="S3509" s="4"/>
    </row>
    <row r="3510" spans="1:19" ht="21" customHeight="1" x14ac:dyDescent="0.25">
      <c r="A3510" s="14">
        <f>DATE(2012,12,31)-463</f>
        <v>40811</v>
      </c>
      <c r="B3510" s="15" t="s">
        <v>537</v>
      </c>
      <c r="C3510" s="15" t="s">
        <v>85</v>
      </c>
      <c r="D3510" s="16">
        <v>36</v>
      </c>
      <c r="E3510" s="17">
        <v>1793.24</v>
      </c>
      <c r="F3510" s="16">
        <v>0.01</v>
      </c>
      <c r="G3510" s="15" t="s">
        <v>32</v>
      </c>
      <c r="H3510" s="18">
        <v>739.36</v>
      </c>
      <c r="I3510" s="19">
        <v>46.89</v>
      </c>
      <c r="J3510" s="19">
        <v>5.0999999999999996</v>
      </c>
      <c r="K3510" s="19" t="s">
        <v>44</v>
      </c>
      <c r="L3510" s="19" t="s">
        <v>120</v>
      </c>
      <c r="M3510" s="15" t="s">
        <v>2025</v>
      </c>
      <c r="N3510" s="15" t="s">
        <v>36</v>
      </c>
      <c r="O3510" s="15" t="s">
        <v>176</v>
      </c>
      <c r="P3510" s="20" t="s">
        <v>1451</v>
      </c>
      <c r="Q3510" s="15" t="s">
        <v>57</v>
      </c>
      <c r="R3510" s="4"/>
      <c r="S3510" s="4"/>
    </row>
    <row r="3511" spans="1:19" ht="21" customHeight="1" x14ac:dyDescent="0.25">
      <c r="A3511" s="14">
        <f>DATE(2012,12,31)-463</f>
        <v>40811</v>
      </c>
      <c r="B3511" s="15" t="s">
        <v>537</v>
      </c>
      <c r="C3511" s="15" t="s">
        <v>85</v>
      </c>
      <c r="D3511" s="16">
        <v>2</v>
      </c>
      <c r="E3511" s="17">
        <v>143.667</v>
      </c>
      <c r="F3511" s="16">
        <v>0.09</v>
      </c>
      <c r="G3511" s="15" t="s">
        <v>32</v>
      </c>
      <c r="H3511" s="18">
        <v>-363.55</v>
      </c>
      <c r="I3511" s="19">
        <v>85.99</v>
      </c>
      <c r="J3511" s="19">
        <v>1.25</v>
      </c>
      <c r="K3511" s="19" t="s">
        <v>44</v>
      </c>
      <c r="L3511" s="19" t="s">
        <v>45</v>
      </c>
      <c r="M3511" s="15" t="s">
        <v>2053</v>
      </c>
      <c r="N3511" s="15" t="s">
        <v>64</v>
      </c>
      <c r="O3511" s="15" t="s">
        <v>65</v>
      </c>
      <c r="P3511" s="20" t="s">
        <v>685</v>
      </c>
      <c r="Q3511" s="15" t="s">
        <v>49</v>
      </c>
      <c r="R3511" s="4"/>
      <c r="S3511" s="4"/>
    </row>
    <row r="3512" spans="1:19" ht="21" customHeight="1" x14ac:dyDescent="0.25">
      <c r="A3512" s="14">
        <f>DATE(2012,12,31)-1111</f>
        <v>40163</v>
      </c>
      <c r="B3512" s="15" t="s">
        <v>2061</v>
      </c>
      <c r="C3512" s="15" t="s">
        <v>85</v>
      </c>
      <c r="D3512" s="16">
        <v>25</v>
      </c>
      <c r="E3512" s="17">
        <v>3585.91</v>
      </c>
      <c r="F3512" s="16">
        <v>0.06</v>
      </c>
      <c r="G3512" s="15" t="s">
        <v>58</v>
      </c>
      <c r="H3512" s="18">
        <v>-178.54</v>
      </c>
      <c r="I3512" s="19">
        <v>146.34</v>
      </c>
      <c r="J3512" s="19">
        <v>43.75</v>
      </c>
      <c r="K3512" s="19" t="s">
        <v>44</v>
      </c>
      <c r="L3512" s="19" t="s">
        <v>89</v>
      </c>
      <c r="M3512" s="15" t="s">
        <v>1932</v>
      </c>
      <c r="N3512" s="15" t="s">
        <v>54</v>
      </c>
      <c r="O3512" s="15" t="s">
        <v>61</v>
      </c>
      <c r="P3512" s="20" t="s">
        <v>953</v>
      </c>
      <c r="Q3512" s="15" t="s">
        <v>63</v>
      </c>
      <c r="R3512" s="4"/>
      <c r="S3512" s="4"/>
    </row>
    <row r="3513" spans="1:19" ht="21" customHeight="1" x14ac:dyDescent="0.25">
      <c r="A3513" s="14">
        <f>DATE(2012,12,31)-726</f>
        <v>40548</v>
      </c>
      <c r="B3513" s="15" t="s">
        <v>2062</v>
      </c>
      <c r="C3513" s="15" t="s">
        <v>85</v>
      </c>
      <c r="D3513" s="16">
        <v>5</v>
      </c>
      <c r="E3513" s="17">
        <v>477.39</v>
      </c>
      <c r="F3513" s="16">
        <v>0.02</v>
      </c>
      <c r="G3513" s="15" t="s">
        <v>58</v>
      </c>
      <c r="H3513" s="18">
        <v>-211.36</v>
      </c>
      <c r="I3513" s="19">
        <v>81.94</v>
      </c>
      <c r="J3513" s="19">
        <v>55.81</v>
      </c>
      <c r="K3513" s="19" t="s">
        <v>44</v>
      </c>
      <c r="L3513" s="19" t="s">
        <v>89</v>
      </c>
      <c r="M3513" s="15" t="s">
        <v>1932</v>
      </c>
      <c r="N3513" s="15" t="s">
        <v>54</v>
      </c>
      <c r="O3513" s="15" t="s">
        <v>134</v>
      </c>
      <c r="P3513" s="20" t="s">
        <v>1288</v>
      </c>
      <c r="Q3513" s="15" t="s">
        <v>63</v>
      </c>
      <c r="R3513" s="4"/>
      <c r="S3513" s="4"/>
    </row>
    <row r="3514" spans="1:19" ht="21" customHeight="1" x14ac:dyDescent="0.25">
      <c r="A3514" s="14">
        <f>DATE(2012,12,31)-726</f>
        <v>40548</v>
      </c>
      <c r="B3514" s="15" t="s">
        <v>2062</v>
      </c>
      <c r="C3514" s="15" t="s">
        <v>85</v>
      </c>
      <c r="D3514" s="16">
        <v>14</v>
      </c>
      <c r="E3514" s="17">
        <v>552.08000000000004</v>
      </c>
      <c r="F3514" s="16">
        <v>0</v>
      </c>
      <c r="G3514" s="15" t="s">
        <v>101</v>
      </c>
      <c r="H3514" s="18">
        <v>203.24</v>
      </c>
      <c r="I3514" s="19">
        <v>37.94</v>
      </c>
      <c r="J3514" s="19">
        <v>5.08</v>
      </c>
      <c r="K3514" s="19" t="s">
        <v>44</v>
      </c>
      <c r="L3514" s="19" t="s">
        <v>45</v>
      </c>
      <c r="M3514" s="15" t="s">
        <v>2053</v>
      </c>
      <c r="N3514" s="15" t="s">
        <v>36</v>
      </c>
      <c r="O3514" s="15" t="s">
        <v>117</v>
      </c>
      <c r="P3514" s="20" t="s">
        <v>902</v>
      </c>
      <c r="Q3514" s="15" t="s">
        <v>79</v>
      </c>
      <c r="R3514" s="4"/>
      <c r="S3514" s="4"/>
    </row>
    <row r="3515" spans="1:19" ht="21" customHeight="1" x14ac:dyDescent="0.25">
      <c r="A3515" s="14">
        <f>DATE(2012,12,31)-1226</f>
        <v>40048</v>
      </c>
      <c r="B3515" s="15" t="s">
        <v>1458</v>
      </c>
      <c r="C3515" s="15" t="s">
        <v>51</v>
      </c>
      <c r="D3515" s="16">
        <v>24</v>
      </c>
      <c r="E3515" s="17">
        <v>4636.62</v>
      </c>
      <c r="F3515" s="16">
        <v>0.1</v>
      </c>
      <c r="G3515" s="15" t="s">
        <v>32</v>
      </c>
      <c r="H3515" s="18">
        <v>-318.45177000000007</v>
      </c>
      <c r="I3515" s="19">
        <v>209.37</v>
      </c>
      <c r="J3515" s="19">
        <v>69</v>
      </c>
      <c r="K3515" s="19" t="s">
        <v>44</v>
      </c>
      <c r="L3515" s="19" t="s">
        <v>89</v>
      </c>
      <c r="M3515" s="15" t="s">
        <v>1932</v>
      </c>
      <c r="N3515" s="15" t="s">
        <v>54</v>
      </c>
      <c r="O3515" s="15" t="s">
        <v>61</v>
      </c>
      <c r="P3515" s="20" t="s">
        <v>1131</v>
      </c>
      <c r="Q3515" s="15" t="s">
        <v>39</v>
      </c>
      <c r="R3515" s="4"/>
      <c r="S3515" s="4"/>
    </row>
    <row r="3516" spans="1:19" ht="21" customHeight="1" x14ac:dyDescent="0.25">
      <c r="A3516" s="14">
        <f>DATE(2012,12,31)-1226</f>
        <v>40048</v>
      </c>
      <c r="B3516" s="15" t="s">
        <v>1458</v>
      </c>
      <c r="C3516" s="15" t="s">
        <v>51</v>
      </c>
      <c r="D3516" s="16">
        <v>20</v>
      </c>
      <c r="E3516" s="17">
        <v>100.11</v>
      </c>
      <c r="F3516" s="16">
        <v>7.0000000000000007E-2</v>
      </c>
      <c r="G3516" s="15" t="s">
        <v>32</v>
      </c>
      <c r="H3516" s="18">
        <v>-41.7</v>
      </c>
      <c r="I3516" s="19">
        <v>4.9800000000000004</v>
      </c>
      <c r="J3516" s="19">
        <v>4.7</v>
      </c>
      <c r="K3516" s="19" t="s">
        <v>44</v>
      </c>
      <c r="L3516" s="19" t="s">
        <v>89</v>
      </c>
      <c r="M3516" s="15" t="s">
        <v>1932</v>
      </c>
      <c r="N3516" s="15" t="s">
        <v>36</v>
      </c>
      <c r="O3516" s="15" t="s">
        <v>117</v>
      </c>
      <c r="P3516" s="20" t="s">
        <v>1563</v>
      </c>
      <c r="Q3516" s="15" t="s">
        <v>83</v>
      </c>
      <c r="R3516" s="4"/>
      <c r="S3516" s="4"/>
    </row>
    <row r="3517" spans="1:19" ht="21" customHeight="1" x14ac:dyDescent="0.25">
      <c r="A3517" s="14">
        <f>DATE(2012,12,31)-832</f>
        <v>40442</v>
      </c>
      <c r="B3517" s="15" t="s">
        <v>1210</v>
      </c>
      <c r="C3517" s="15" t="s">
        <v>43</v>
      </c>
      <c r="D3517" s="16">
        <v>41</v>
      </c>
      <c r="E3517" s="17">
        <v>295.12</v>
      </c>
      <c r="F3517" s="16">
        <v>0</v>
      </c>
      <c r="G3517" s="15" t="s">
        <v>32</v>
      </c>
      <c r="H3517" s="18">
        <v>-151.93</v>
      </c>
      <c r="I3517" s="19">
        <v>6.48</v>
      </c>
      <c r="J3517" s="19">
        <v>8.19</v>
      </c>
      <c r="K3517" s="19" t="s">
        <v>44</v>
      </c>
      <c r="L3517" s="19" t="s">
        <v>45</v>
      </c>
      <c r="M3517" s="15" t="s">
        <v>2053</v>
      </c>
      <c r="N3517" s="15" t="s">
        <v>36</v>
      </c>
      <c r="O3517" s="15" t="s">
        <v>117</v>
      </c>
      <c r="P3517" s="20" t="s">
        <v>118</v>
      </c>
      <c r="Q3517" s="15" t="s">
        <v>83</v>
      </c>
      <c r="R3517" s="4"/>
      <c r="S3517" s="4"/>
    </row>
    <row r="3518" spans="1:19" ht="21" customHeight="1" x14ac:dyDescent="0.25">
      <c r="A3518" s="14">
        <f>DATE(2012,12,31)-1260</f>
        <v>40014</v>
      </c>
      <c r="B3518" s="15" t="s">
        <v>1938</v>
      </c>
      <c r="C3518" s="15" t="s">
        <v>43</v>
      </c>
      <c r="D3518" s="16">
        <v>6</v>
      </c>
      <c r="E3518" s="17">
        <v>7767.02</v>
      </c>
      <c r="F3518" s="16">
        <v>0.03</v>
      </c>
      <c r="G3518" s="15" t="s">
        <v>32</v>
      </c>
      <c r="H3518" s="18">
        <v>2070.6170000000002</v>
      </c>
      <c r="I3518" s="19">
        <v>1270.99</v>
      </c>
      <c r="J3518" s="19">
        <v>19.989999999999998</v>
      </c>
      <c r="K3518" s="19" t="s">
        <v>124</v>
      </c>
      <c r="L3518" s="19" t="s">
        <v>125</v>
      </c>
      <c r="M3518" s="15" t="s">
        <v>2048</v>
      </c>
      <c r="N3518" s="15" t="s">
        <v>36</v>
      </c>
      <c r="O3518" s="15" t="s">
        <v>170</v>
      </c>
      <c r="P3518" s="20" t="s">
        <v>885</v>
      </c>
      <c r="Q3518" s="15" t="s">
        <v>83</v>
      </c>
      <c r="R3518" s="4"/>
      <c r="S3518" s="4"/>
    </row>
    <row r="3519" spans="1:19" ht="21" customHeight="1" x14ac:dyDescent="0.25">
      <c r="A3519" s="14">
        <f>DATE(2012,12,31)-1260</f>
        <v>40014</v>
      </c>
      <c r="B3519" s="15" t="s">
        <v>1938</v>
      </c>
      <c r="C3519" s="15" t="s">
        <v>43</v>
      </c>
      <c r="D3519" s="16">
        <v>1</v>
      </c>
      <c r="E3519" s="17">
        <v>1893.93</v>
      </c>
      <c r="F3519" s="16">
        <v>7.0000000000000007E-2</v>
      </c>
      <c r="G3519" s="15" t="s">
        <v>58</v>
      </c>
      <c r="H3519" s="18">
        <v>-4654.7349000000004</v>
      </c>
      <c r="I3519" s="19">
        <v>2036.48</v>
      </c>
      <c r="J3519" s="19">
        <v>14.7</v>
      </c>
      <c r="K3519" s="19" t="s">
        <v>33</v>
      </c>
      <c r="L3519" s="19" t="s">
        <v>128</v>
      </c>
      <c r="M3519" s="15" t="s">
        <v>129</v>
      </c>
      <c r="N3519" s="15" t="s">
        <v>64</v>
      </c>
      <c r="O3519" s="15" t="s">
        <v>122</v>
      </c>
      <c r="P3519" s="20" t="s">
        <v>642</v>
      </c>
      <c r="Q3519" s="15" t="s">
        <v>181</v>
      </c>
      <c r="R3519" s="4"/>
      <c r="S3519" s="4"/>
    </row>
    <row r="3520" spans="1:19" ht="21" customHeight="1" x14ac:dyDescent="0.25">
      <c r="A3520" s="14">
        <f>DATE(2012,12,31)-379</f>
        <v>40895</v>
      </c>
      <c r="B3520" s="15" t="s">
        <v>1740</v>
      </c>
      <c r="C3520" s="15" t="s">
        <v>85</v>
      </c>
      <c r="D3520" s="16">
        <v>20</v>
      </c>
      <c r="E3520" s="17">
        <v>941.13</v>
      </c>
      <c r="F3520" s="16">
        <v>0.1</v>
      </c>
      <c r="G3520" s="15" t="s">
        <v>32</v>
      </c>
      <c r="H3520" s="18">
        <v>344.95</v>
      </c>
      <c r="I3520" s="19">
        <v>48.04</v>
      </c>
      <c r="J3520" s="19">
        <v>7.23</v>
      </c>
      <c r="K3520" s="19" t="s">
        <v>33</v>
      </c>
      <c r="L3520" s="19" t="s">
        <v>93</v>
      </c>
      <c r="M3520" s="15" t="s">
        <v>94</v>
      </c>
      <c r="N3520" s="15" t="s">
        <v>36</v>
      </c>
      <c r="O3520" s="15" t="s">
        <v>117</v>
      </c>
      <c r="P3520" s="20" t="s">
        <v>891</v>
      </c>
      <c r="Q3520" s="15" t="s">
        <v>83</v>
      </c>
      <c r="R3520" s="4"/>
      <c r="S3520" s="4"/>
    </row>
    <row r="3521" spans="1:19" ht="21" customHeight="1" x14ac:dyDescent="0.25">
      <c r="A3521" s="14">
        <f>DATE(2012,12,31)-793</f>
        <v>40481</v>
      </c>
      <c r="B3521" s="15" t="s">
        <v>637</v>
      </c>
      <c r="C3521" s="15" t="s">
        <v>85</v>
      </c>
      <c r="D3521" s="16">
        <v>5</v>
      </c>
      <c r="E3521" s="17">
        <v>78.790000000000006</v>
      </c>
      <c r="F3521" s="16">
        <v>0.03</v>
      </c>
      <c r="G3521" s="15" t="s">
        <v>32</v>
      </c>
      <c r="H3521" s="18">
        <v>-21.29</v>
      </c>
      <c r="I3521" s="19">
        <v>14.42</v>
      </c>
      <c r="J3521" s="19">
        <v>6.75</v>
      </c>
      <c r="K3521" s="19" t="s">
        <v>33</v>
      </c>
      <c r="L3521" s="19" t="s">
        <v>128</v>
      </c>
      <c r="M3521" s="15" t="s">
        <v>129</v>
      </c>
      <c r="N3521" s="15" t="s">
        <v>36</v>
      </c>
      <c r="O3521" s="15" t="s">
        <v>176</v>
      </c>
      <c r="P3521" s="20" t="s">
        <v>411</v>
      </c>
      <c r="Q3521" s="15" t="s">
        <v>57</v>
      </c>
      <c r="R3521" s="4"/>
      <c r="S3521" s="4"/>
    </row>
    <row r="3522" spans="1:19" ht="21" customHeight="1" x14ac:dyDescent="0.25">
      <c r="A3522" s="14">
        <f>DATE(2012,12,31)-793</f>
        <v>40481</v>
      </c>
      <c r="B3522" s="15" t="s">
        <v>637</v>
      </c>
      <c r="C3522" s="15" t="s">
        <v>85</v>
      </c>
      <c r="D3522" s="16">
        <v>9</v>
      </c>
      <c r="E3522" s="17">
        <v>3928.25</v>
      </c>
      <c r="F3522" s="16">
        <v>0.04</v>
      </c>
      <c r="G3522" s="15" t="s">
        <v>32</v>
      </c>
      <c r="H3522" s="18">
        <v>1343.2465</v>
      </c>
      <c r="I3522" s="19">
        <v>420.98</v>
      </c>
      <c r="J3522" s="19">
        <v>19.989999999999998</v>
      </c>
      <c r="K3522" s="19" t="s">
        <v>33</v>
      </c>
      <c r="L3522" s="19" t="s">
        <v>93</v>
      </c>
      <c r="M3522" s="15" t="s">
        <v>94</v>
      </c>
      <c r="N3522" s="15" t="s">
        <v>36</v>
      </c>
      <c r="O3522" s="15" t="s">
        <v>170</v>
      </c>
      <c r="P3522" s="20" t="s">
        <v>466</v>
      </c>
      <c r="Q3522" s="15" t="s">
        <v>83</v>
      </c>
      <c r="R3522" s="4"/>
      <c r="S3522" s="4"/>
    </row>
    <row r="3523" spans="1:19" ht="21" customHeight="1" x14ac:dyDescent="0.25">
      <c r="A3523" s="14">
        <f>DATE(2012,12,31)-1281</f>
        <v>39993</v>
      </c>
      <c r="B3523" s="15" t="s">
        <v>420</v>
      </c>
      <c r="C3523" s="15" t="s">
        <v>43</v>
      </c>
      <c r="D3523" s="16">
        <v>24</v>
      </c>
      <c r="E3523" s="17">
        <v>711.875</v>
      </c>
      <c r="F3523" s="16">
        <v>0.04</v>
      </c>
      <c r="G3523" s="15" t="s">
        <v>32</v>
      </c>
      <c r="H3523" s="18">
        <v>217.33199999999999</v>
      </c>
      <c r="I3523" s="19">
        <v>35.99</v>
      </c>
      <c r="J3523" s="19">
        <v>3.3</v>
      </c>
      <c r="K3523" s="19" t="s">
        <v>97</v>
      </c>
      <c r="L3523" s="19" t="s">
        <v>283</v>
      </c>
      <c r="M3523" s="15" t="s">
        <v>1901</v>
      </c>
      <c r="N3523" s="15" t="s">
        <v>64</v>
      </c>
      <c r="O3523" s="15" t="s">
        <v>65</v>
      </c>
      <c r="P3523" s="20" t="s">
        <v>1720</v>
      </c>
      <c r="Q3523" s="15" t="s">
        <v>49</v>
      </c>
      <c r="R3523" s="4"/>
      <c r="S3523" s="4"/>
    </row>
    <row r="3524" spans="1:19" ht="21" customHeight="1" x14ac:dyDescent="0.25">
      <c r="A3524" s="14">
        <f>DATE(2012,12,31)-1046</f>
        <v>40228</v>
      </c>
      <c r="B3524" s="15" t="s">
        <v>426</v>
      </c>
      <c r="C3524" s="15" t="s">
        <v>85</v>
      </c>
      <c r="D3524" s="16">
        <v>4</v>
      </c>
      <c r="E3524" s="17">
        <v>156.97</v>
      </c>
      <c r="F3524" s="16">
        <v>0.01</v>
      </c>
      <c r="G3524" s="15" t="s">
        <v>32</v>
      </c>
      <c r="H3524" s="18">
        <v>-25.426500000000001</v>
      </c>
      <c r="I3524" s="19">
        <v>34.54</v>
      </c>
      <c r="J3524" s="19">
        <v>14.72</v>
      </c>
      <c r="K3524" s="19" t="s">
        <v>97</v>
      </c>
      <c r="L3524" s="19" t="s">
        <v>98</v>
      </c>
      <c r="M3524" s="15" t="s">
        <v>1991</v>
      </c>
      <c r="N3524" s="15" t="s">
        <v>36</v>
      </c>
      <c r="O3524" s="15" t="s">
        <v>170</v>
      </c>
      <c r="P3524" s="20" t="s">
        <v>1306</v>
      </c>
      <c r="Q3524" s="15" t="s">
        <v>83</v>
      </c>
      <c r="R3524" s="4"/>
      <c r="S3524" s="4"/>
    </row>
    <row r="3525" spans="1:19" ht="21" customHeight="1" x14ac:dyDescent="0.25">
      <c r="A3525" s="14">
        <f>DATE(2012,12,31)-761</f>
        <v>40513</v>
      </c>
      <c r="B3525" s="15" t="s">
        <v>578</v>
      </c>
      <c r="C3525" s="15" t="s">
        <v>51</v>
      </c>
      <c r="D3525" s="16">
        <v>6</v>
      </c>
      <c r="E3525" s="17">
        <v>141.27000000000001</v>
      </c>
      <c r="F3525" s="16">
        <v>0.08</v>
      </c>
      <c r="G3525" s="15" t="s">
        <v>101</v>
      </c>
      <c r="H3525" s="18">
        <v>28.1435</v>
      </c>
      <c r="I3525" s="19">
        <v>21.38</v>
      </c>
      <c r="J3525" s="19">
        <v>2.99</v>
      </c>
      <c r="K3525" s="19" t="s">
        <v>97</v>
      </c>
      <c r="L3525" s="19" t="s">
        <v>132</v>
      </c>
      <c r="M3525" s="15" t="s">
        <v>133</v>
      </c>
      <c r="N3525" s="15" t="s">
        <v>36</v>
      </c>
      <c r="O3525" s="15" t="s">
        <v>170</v>
      </c>
      <c r="P3525" s="20" t="s">
        <v>2063</v>
      </c>
      <c r="Q3525" s="15" t="s">
        <v>83</v>
      </c>
      <c r="R3525" s="4"/>
      <c r="S3525" s="4"/>
    </row>
    <row r="3526" spans="1:19" ht="21" customHeight="1" x14ac:dyDescent="0.25">
      <c r="A3526" s="14">
        <f>DATE(2012,12,31)-761</f>
        <v>40513</v>
      </c>
      <c r="B3526" s="15" t="s">
        <v>578</v>
      </c>
      <c r="C3526" s="15" t="s">
        <v>51</v>
      </c>
      <c r="D3526" s="16">
        <v>9</v>
      </c>
      <c r="E3526" s="17">
        <v>16.02</v>
      </c>
      <c r="F3526" s="16">
        <v>0.09</v>
      </c>
      <c r="G3526" s="15" t="s">
        <v>32</v>
      </c>
      <c r="H3526" s="18">
        <v>-2.82</v>
      </c>
      <c r="I3526" s="19">
        <v>1.81</v>
      </c>
      <c r="J3526" s="19">
        <v>0.75</v>
      </c>
      <c r="K3526" s="19" t="s">
        <v>97</v>
      </c>
      <c r="L3526" s="19" t="s">
        <v>283</v>
      </c>
      <c r="M3526" s="15" t="s">
        <v>1901</v>
      </c>
      <c r="N3526" s="15" t="s">
        <v>36</v>
      </c>
      <c r="O3526" s="15" t="s">
        <v>105</v>
      </c>
      <c r="P3526" s="20" t="s">
        <v>1195</v>
      </c>
      <c r="Q3526" s="15" t="s">
        <v>79</v>
      </c>
      <c r="R3526" s="4"/>
      <c r="S3526" s="4"/>
    </row>
    <row r="3527" spans="1:19" ht="21" customHeight="1" x14ac:dyDescent="0.25">
      <c r="A3527" s="14">
        <f>DATE(2012,12,31)-761</f>
        <v>40513</v>
      </c>
      <c r="B3527" s="15" t="s">
        <v>578</v>
      </c>
      <c r="C3527" s="15" t="s">
        <v>51</v>
      </c>
      <c r="D3527" s="16">
        <v>42</v>
      </c>
      <c r="E3527" s="17">
        <v>242.8</v>
      </c>
      <c r="F3527" s="16">
        <v>7.0000000000000007E-2</v>
      </c>
      <c r="G3527" s="15" t="s">
        <v>32</v>
      </c>
      <c r="H3527" s="18">
        <v>95.91</v>
      </c>
      <c r="I3527" s="19">
        <v>5.84</v>
      </c>
      <c r="J3527" s="19">
        <v>1</v>
      </c>
      <c r="K3527" s="19" t="s">
        <v>69</v>
      </c>
      <c r="L3527" s="19" t="s">
        <v>75</v>
      </c>
      <c r="M3527" s="15" t="s">
        <v>1980</v>
      </c>
      <c r="N3527" s="15" t="s">
        <v>36</v>
      </c>
      <c r="O3527" s="15" t="s">
        <v>77</v>
      </c>
      <c r="P3527" s="20" t="s">
        <v>1148</v>
      </c>
      <c r="Q3527" s="15" t="s">
        <v>79</v>
      </c>
      <c r="R3527" s="4"/>
      <c r="S3527" s="4"/>
    </row>
    <row r="3528" spans="1:19" ht="21" customHeight="1" x14ac:dyDescent="0.25">
      <c r="A3528" s="14">
        <f>DATE(2012,12,31)-706</f>
        <v>40568</v>
      </c>
      <c r="B3528" s="15" t="s">
        <v>1480</v>
      </c>
      <c r="C3528" s="15" t="s">
        <v>31</v>
      </c>
      <c r="D3528" s="16">
        <v>18</v>
      </c>
      <c r="E3528" s="17">
        <v>693.06</v>
      </c>
      <c r="F3528" s="16">
        <v>0.06</v>
      </c>
      <c r="G3528" s="15" t="s">
        <v>32</v>
      </c>
      <c r="H3528" s="18">
        <v>148.30000000000001</v>
      </c>
      <c r="I3528" s="19">
        <v>39.979999999999997</v>
      </c>
      <c r="J3528" s="19">
        <v>9.83</v>
      </c>
      <c r="K3528" s="19" t="s">
        <v>124</v>
      </c>
      <c r="L3528" s="19" t="s">
        <v>493</v>
      </c>
      <c r="M3528" s="15" t="s">
        <v>2050</v>
      </c>
      <c r="N3528" s="15" t="s">
        <v>36</v>
      </c>
      <c r="O3528" s="15" t="s">
        <v>189</v>
      </c>
      <c r="P3528" s="20" t="s">
        <v>1614</v>
      </c>
      <c r="Q3528" s="15" t="s">
        <v>83</v>
      </c>
      <c r="R3528" s="4"/>
      <c r="S3528" s="4"/>
    </row>
    <row r="3529" spans="1:19" ht="21" customHeight="1" x14ac:dyDescent="0.25">
      <c r="A3529" s="14">
        <f>DATE(2012,12,31)-706</f>
        <v>40568</v>
      </c>
      <c r="B3529" s="15" t="s">
        <v>1480</v>
      </c>
      <c r="C3529" s="15" t="s">
        <v>31</v>
      </c>
      <c r="D3529" s="16">
        <v>41</v>
      </c>
      <c r="E3529" s="17">
        <v>4475.03</v>
      </c>
      <c r="F3529" s="16">
        <v>0.08</v>
      </c>
      <c r="G3529" s="15" t="s">
        <v>58</v>
      </c>
      <c r="H3529" s="18">
        <v>-167.83169999999998</v>
      </c>
      <c r="I3529" s="19">
        <v>115.99</v>
      </c>
      <c r="J3529" s="19">
        <v>56.14</v>
      </c>
      <c r="K3529" s="19" t="s">
        <v>124</v>
      </c>
      <c r="L3529" s="19" t="s">
        <v>160</v>
      </c>
      <c r="M3529" s="15" t="s">
        <v>1951</v>
      </c>
      <c r="N3529" s="15" t="s">
        <v>64</v>
      </c>
      <c r="O3529" s="15" t="s">
        <v>122</v>
      </c>
      <c r="P3529" s="20" t="s">
        <v>306</v>
      </c>
      <c r="Q3529" s="15" t="s">
        <v>181</v>
      </c>
      <c r="R3529" s="4"/>
      <c r="S3529" s="4"/>
    </row>
    <row r="3530" spans="1:19" ht="21" customHeight="1" x14ac:dyDescent="0.25">
      <c r="A3530" s="14">
        <f>DATE(2012,12,31)-1426</f>
        <v>39848</v>
      </c>
      <c r="B3530" s="15" t="s">
        <v>1511</v>
      </c>
      <c r="C3530" s="15" t="s">
        <v>85</v>
      </c>
      <c r="D3530" s="16">
        <v>46</v>
      </c>
      <c r="E3530" s="17">
        <v>237.15</v>
      </c>
      <c r="F3530" s="16">
        <v>0</v>
      </c>
      <c r="G3530" s="15" t="s">
        <v>32</v>
      </c>
      <c r="H3530" s="18">
        <v>123.02</v>
      </c>
      <c r="I3530" s="19">
        <v>4.91</v>
      </c>
      <c r="J3530" s="19">
        <v>0.5</v>
      </c>
      <c r="K3530" s="19" t="s">
        <v>124</v>
      </c>
      <c r="L3530" s="19" t="s">
        <v>160</v>
      </c>
      <c r="M3530" s="15" t="s">
        <v>1951</v>
      </c>
      <c r="N3530" s="15" t="s">
        <v>36</v>
      </c>
      <c r="O3530" s="15" t="s">
        <v>114</v>
      </c>
      <c r="P3530" s="20" t="s">
        <v>400</v>
      </c>
      <c r="Q3530" s="15" t="s">
        <v>83</v>
      </c>
      <c r="R3530" s="4"/>
      <c r="S3530" s="4"/>
    </row>
    <row r="3531" spans="1:19" ht="21" customHeight="1" x14ac:dyDescent="0.25">
      <c r="A3531" s="14">
        <f>DATE(2012,12,31)-1426</f>
        <v>39848</v>
      </c>
      <c r="B3531" s="15" t="s">
        <v>1511</v>
      </c>
      <c r="C3531" s="15" t="s">
        <v>85</v>
      </c>
      <c r="D3531" s="16">
        <v>22</v>
      </c>
      <c r="E3531" s="17">
        <v>179.22</v>
      </c>
      <c r="F3531" s="16">
        <v>0.01</v>
      </c>
      <c r="G3531" s="15" t="s">
        <v>32</v>
      </c>
      <c r="H3531" s="18">
        <v>-139.9</v>
      </c>
      <c r="I3531" s="19">
        <v>7.28</v>
      </c>
      <c r="J3531" s="19">
        <v>11.15</v>
      </c>
      <c r="K3531" s="19" t="s">
        <v>124</v>
      </c>
      <c r="L3531" s="19" t="s">
        <v>160</v>
      </c>
      <c r="M3531" s="15" t="s">
        <v>1951</v>
      </c>
      <c r="N3531" s="15" t="s">
        <v>36</v>
      </c>
      <c r="O3531" s="15" t="s">
        <v>117</v>
      </c>
      <c r="P3531" s="20" t="s">
        <v>1324</v>
      </c>
      <c r="Q3531" s="15" t="s">
        <v>83</v>
      </c>
      <c r="R3531" s="4"/>
      <c r="S3531" s="4"/>
    </row>
    <row r="3532" spans="1:19" ht="21" customHeight="1" x14ac:dyDescent="0.25">
      <c r="A3532" s="14">
        <f>DATE(2012,12,31)-1426</f>
        <v>39848</v>
      </c>
      <c r="B3532" s="15" t="s">
        <v>1511</v>
      </c>
      <c r="C3532" s="15" t="s">
        <v>85</v>
      </c>
      <c r="D3532" s="16">
        <v>10</v>
      </c>
      <c r="E3532" s="17">
        <v>71.86</v>
      </c>
      <c r="F3532" s="16">
        <v>0.1</v>
      </c>
      <c r="G3532" s="15" t="s">
        <v>32</v>
      </c>
      <c r="H3532" s="18">
        <v>-35.520000000000003</v>
      </c>
      <c r="I3532" s="19">
        <v>6.68</v>
      </c>
      <c r="J3532" s="19">
        <v>6.93</v>
      </c>
      <c r="K3532" s="19" t="s">
        <v>124</v>
      </c>
      <c r="L3532" s="19" t="s">
        <v>493</v>
      </c>
      <c r="M3532" s="15" t="s">
        <v>2050</v>
      </c>
      <c r="N3532" s="15" t="s">
        <v>36</v>
      </c>
      <c r="O3532" s="15" t="s">
        <v>117</v>
      </c>
      <c r="P3532" s="20" t="s">
        <v>957</v>
      </c>
      <c r="Q3532" s="15" t="s">
        <v>83</v>
      </c>
      <c r="R3532" s="4"/>
      <c r="S3532" s="4"/>
    </row>
    <row r="3533" spans="1:19" ht="21" customHeight="1" x14ac:dyDescent="0.25">
      <c r="A3533" s="14">
        <f>DATE(2012,12,31)-77</f>
        <v>41197</v>
      </c>
      <c r="B3533" s="15" t="s">
        <v>1582</v>
      </c>
      <c r="C3533" s="15" t="s">
        <v>85</v>
      </c>
      <c r="D3533" s="16">
        <v>29</v>
      </c>
      <c r="E3533" s="17">
        <v>195.21</v>
      </c>
      <c r="F3533" s="16">
        <v>7.0000000000000007E-2</v>
      </c>
      <c r="G3533" s="15" t="s">
        <v>32</v>
      </c>
      <c r="H3533" s="18">
        <v>16.399999999999999</v>
      </c>
      <c r="I3533" s="19">
        <v>7.08</v>
      </c>
      <c r="J3533" s="19">
        <v>2.35</v>
      </c>
      <c r="K3533" s="19" t="s">
        <v>124</v>
      </c>
      <c r="L3533" s="19" t="s">
        <v>160</v>
      </c>
      <c r="M3533" s="15" t="s">
        <v>1951</v>
      </c>
      <c r="N3533" s="15" t="s">
        <v>36</v>
      </c>
      <c r="O3533" s="15" t="s">
        <v>77</v>
      </c>
      <c r="P3533" s="20" t="s">
        <v>1833</v>
      </c>
      <c r="Q3533" s="15" t="s">
        <v>79</v>
      </c>
      <c r="R3533" s="4"/>
      <c r="S3533" s="4"/>
    </row>
    <row r="3534" spans="1:19" ht="21" customHeight="1" x14ac:dyDescent="0.25">
      <c r="A3534" s="14">
        <f>DATE(2012,12,31)-864</f>
        <v>40410</v>
      </c>
      <c r="B3534" s="15" t="s">
        <v>824</v>
      </c>
      <c r="C3534" s="15" t="s">
        <v>51</v>
      </c>
      <c r="D3534" s="16">
        <v>16</v>
      </c>
      <c r="E3534" s="17">
        <v>102.5</v>
      </c>
      <c r="F3534" s="16">
        <v>0.1</v>
      </c>
      <c r="G3534" s="15" t="s">
        <v>32</v>
      </c>
      <c r="H3534" s="18">
        <v>13.84</v>
      </c>
      <c r="I3534" s="19">
        <v>6.68</v>
      </c>
      <c r="J3534" s="19">
        <v>1.5</v>
      </c>
      <c r="K3534" s="19" t="s">
        <v>124</v>
      </c>
      <c r="L3534" s="19" t="s">
        <v>164</v>
      </c>
      <c r="M3534" s="15" t="s">
        <v>2052</v>
      </c>
      <c r="N3534" s="15" t="s">
        <v>36</v>
      </c>
      <c r="O3534" s="15" t="s">
        <v>77</v>
      </c>
      <c r="P3534" s="20" t="s">
        <v>857</v>
      </c>
      <c r="Q3534" s="15" t="s">
        <v>79</v>
      </c>
      <c r="R3534" s="4"/>
      <c r="S3534" s="4"/>
    </row>
    <row r="3535" spans="1:19" ht="21" customHeight="1" x14ac:dyDescent="0.25">
      <c r="A3535" s="14">
        <f>DATE(2012,12,31)-1076</f>
        <v>40198</v>
      </c>
      <c r="B3535" s="15" t="s">
        <v>665</v>
      </c>
      <c r="C3535" s="15" t="s">
        <v>31</v>
      </c>
      <c r="D3535" s="16">
        <v>48</v>
      </c>
      <c r="E3535" s="17">
        <v>1038.99</v>
      </c>
      <c r="F3535" s="16">
        <v>0</v>
      </c>
      <c r="G3535" s="15" t="s">
        <v>32</v>
      </c>
      <c r="H3535" s="18">
        <v>-180.45</v>
      </c>
      <c r="I3535" s="19">
        <v>19.940000000000001</v>
      </c>
      <c r="J3535" s="19">
        <v>14.87</v>
      </c>
      <c r="K3535" s="19" t="s">
        <v>124</v>
      </c>
      <c r="L3535" s="19" t="s">
        <v>125</v>
      </c>
      <c r="M3535" s="15" t="s">
        <v>2048</v>
      </c>
      <c r="N3535" s="15" t="s">
        <v>54</v>
      </c>
      <c r="O3535" s="15" t="s">
        <v>55</v>
      </c>
      <c r="P3535" s="20" t="s">
        <v>2064</v>
      </c>
      <c r="Q3535" s="15" t="s">
        <v>39</v>
      </c>
      <c r="R3535" s="4"/>
      <c r="S3535" s="4"/>
    </row>
    <row r="3536" spans="1:19" ht="21" customHeight="1" x14ac:dyDescent="0.25">
      <c r="A3536" s="14">
        <f>DATE(2012,12,31)-1076</f>
        <v>40198</v>
      </c>
      <c r="B3536" s="15" t="s">
        <v>665</v>
      </c>
      <c r="C3536" s="15" t="s">
        <v>31</v>
      </c>
      <c r="D3536" s="16">
        <v>17</v>
      </c>
      <c r="E3536" s="17">
        <v>114.01</v>
      </c>
      <c r="F3536" s="16">
        <v>0.08</v>
      </c>
      <c r="G3536" s="15" t="s">
        <v>32</v>
      </c>
      <c r="H3536" s="18">
        <v>6.99</v>
      </c>
      <c r="I3536" s="19">
        <v>6.69</v>
      </c>
      <c r="J3536" s="19">
        <v>3.1</v>
      </c>
      <c r="K3536" s="19" t="s">
        <v>124</v>
      </c>
      <c r="L3536" s="19" t="s">
        <v>168</v>
      </c>
      <c r="M3536" s="15" t="s">
        <v>2065</v>
      </c>
      <c r="N3536" s="15" t="s">
        <v>36</v>
      </c>
      <c r="O3536" s="15" t="s">
        <v>117</v>
      </c>
      <c r="P3536" s="20" t="s">
        <v>2026</v>
      </c>
      <c r="Q3536" s="15" t="s">
        <v>79</v>
      </c>
      <c r="R3536" s="4"/>
      <c r="S3536" s="4"/>
    </row>
    <row r="3537" spans="1:19" ht="21" customHeight="1" x14ac:dyDescent="0.25">
      <c r="A3537" s="14">
        <f>DATE(2012,12,31)-1076</f>
        <v>40198</v>
      </c>
      <c r="B3537" s="15" t="s">
        <v>665</v>
      </c>
      <c r="C3537" s="15" t="s">
        <v>31</v>
      </c>
      <c r="D3537" s="16">
        <v>3</v>
      </c>
      <c r="E3537" s="17">
        <v>30.37</v>
      </c>
      <c r="F3537" s="16">
        <v>0.01</v>
      </c>
      <c r="G3537" s="15" t="s">
        <v>101</v>
      </c>
      <c r="H3537" s="18">
        <v>-1.74</v>
      </c>
      <c r="I3537" s="19">
        <v>4.9800000000000004</v>
      </c>
      <c r="J3537" s="19">
        <v>5.49</v>
      </c>
      <c r="K3537" s="19" t="s">
        <v>124</v>
      </c>
      <c r="L3537" s="19" t="s">
        <v>125</v>
      </c>
      <c r="M3537" s="15" t="s">
        <v>2048</v>
      </c>
      <c r="N3537" s="15" t="s">
        <v>36</v>
      </c>
      <c r="O3537" s="15" t="s">
        <v>117</v>
      </c>
      <c r="P3537" s="20" t="s">
        <v>569</v>
      </c>
      <c r="Q3537" s="15" t="s">
        <v>83</v>
      </c>
      <c r="R3537" s="4"/>
      <c r="S3537" s="4"/>
    </row>
    <row r="3538" spans="1:19" ht="21" customHeight="1" x14ac:dyDescent="0.25">
      <c r="A3538" s="14">
        <f>DATE(2012,12,31)-951</f>
        <v>40323</v>
      </c>
      <c r="B3538" s="15" t="s">
        <v>1389</v>
      </c>
      <c r="C3538" s="15" t="s">
        <v>43</v>
      </c>
      <c r="D3538" s="16">
        <v>24</v>
      </c>
      <c r="E3538" s="17">
        <v>545.38</v>
      </c>
      <c r="F3538" s="16">
        <v>0.02</v>
      </c>
      <c r="G3538" s="15" t="s">
        <v>32</v>
      </c>
      <c r="H3538" s="18">
        <v>89.6</v>
      </c>
      <c r="I3538" s="19">
        <v>22.84</v>
      </c>
      <c r="J3538" s="19">
        <v>8.18</v>
      </c>
      <c r="K3538" s="19" t="s">
        <v>124</v>
      </c>
      <c r="L3538" s="19" t="s">
        <v>168</v>
      </c>
      <c r="M3538" s="15" t="s">
        <v>2065</v>
      </c>
      <c r="N3538" s="15" t="s">
        <v>36</v>
      </c>
      <c r="O3538" s="15" t="s">
        <v>117</v>
      </c>
      <c r="P3538" s="20" t="s">
        <v>1489</v>
      </c>
      <c r="Q3538" s="15" t="s">
        <v>83</v>
      </c>
      <c r="R3538" s="4"/>
      <c r="S3538" s="4"/>
    </row>
    <row r="3539" spans="1:19" ht="21" customHeight="1" x14ac:dyDescent="0.25">
      <c r="A3539" s="14">
        <f>DATE(2012,12,31)-951</f>
        <v>40323</v>
      </c>
      <c r="B3539" s="15" t="s">
        <v>1389</v>
      </c>
      <c r="C3539" s="15" t="s">
        <v>43</v>
      </c>
      <c r="D3539" s="16">
        <v>47</v>
      </c>
      <c r="E3539" s="17">
        <v>271.77999999999997</v>
      </c>
      <c r="F3539" s="16">
        <v>7.0000000000000007E-2</v>
      </c>
      <c r="G3539" s="15" t="s">
        <v>32</v>
      </c>
      <c r="H3539" s="18">
        <v>52.74</v>
      </c>
      <c r="I3539" s="19">
        <v>5.84</v>
      </c>
      <c r="J3539" s="19">
        <v>1.2</v>
      </c>
      <c r="K3539" s="19" t="s">
        <v>124</v>
      </c>
      <c r="L3539" s="19" t="s">
        <v>164</v>
      </c>
      <c r="M3539" s="15" t="s">
        <v>2052</v>
      </c>
      <c r="N3539" s="15" t="s">
        <v>36</v>
      </c>
      <c r="O3539" s="15" t="s">
        <v>77</v>
      </c>
      <c r="P3539" s="20" t="s">
        <v>1400</v>
      </c>
      <c r="Q3539" s="15" t="s">
        <v>79</v>
      </c>
      <c r="R3539" s="4"/>
      <c r="S3539" s="4"/>
    </row>
    <row r="3540" spans="1:19" ht="21" customHeight="1" x14ac:dyDescent="0.25">
      <c r="A3540" s="14">
        <f>DATE(2012,12,31)-728</f>
        <v>40546</v>
      </c>
      <c r="B3540" s="15" t="s">
        <v>512</v>
      </c>
      <c r="C3540" s="15" t="s">
        <v>85</v>
      </c>
      <c r="D3540" s="16">
        <v>20</v>
      </c>
      <c r="E3540" s="17">
        <v>1564.1614999999999</v>
      </c>
      <c r="F3540" s="16">
        <v>0</v>
      </c>
      <c r="G3540" s="15" t="s">
        <v>32</v>
      </c>
      <c r="H3540" s="18">
        <v>682.47899999999993</v>
      </c>
      <c r="I3540" s="19">
        <v>85.99</v>
      </c>
      <c r="J3540" s="19">
        <v>2.5</v>
      </c>
      <c r="K3540" s="19" t="s">
        <v>124</v>
      </c>
      <c r="L3540" s="19" t="s">
        <v>319</v>
      </c>
      <c r="M3540" s="15" t="s">
        <v>1966</v>
      </c>
      <c r="N3540" s="15" t="s">
        <v>64</v>
      </c>
      <c r="O3540" s="15" t="s">
        <v>65</v>
      </c>
      <c r="P3540" s="20" t="s">
        <v>2066</v>
      </c>
      <c r="Q3540" s="15" t="s">
        <v>83</v>
      </c>
      <c r="R3540" s="4"/>
      <c r="S3540" s="4"/>
    </row>
    <row r="3541" spans="1:19" ht="21" customHeight="1" x14ac:dyDescent="0.25">
      <c r="A3541" s="14">
        <f>DATE(2012,12,31)-642</f>
        <v>40632</v>
      </c>
      <c r="B3541" s="15" t="s">
        <v>313</v>
      </c>
      <c r="C3541" s="15" t="s">
        <v>85</v>
      </c>
      <c r="D3541" s="16">
        <v>42</v>
      </c>
      <c r="E3541" s="17">
        <v>4091.1519999999996</v>
      </c>
      <c r="F3541" s="16">
        <v>0.05</v>
      </c>
      <c r="G3541" s="15" t="s">
        <v>32</v>
      </c>
      <c r="H3541" s="18">
        <v>1303.92</v>
      </c>
      <c r="I3541" s="19">
        <v>115.99</v>
      </c>
      <c r="J3541" s="19">
        <v>2.5</v>
      </c>
      <c r="K3541" s="19" t="s">
        <v>124</v>
      </c>
      <c r="L3541" s="19" t="s">
        <v>319</v>
      </c>
      <c r="M3541" s="15" t="s">
        <v>1966</v>
      </c>
      <c r="N3541" s="15" t="s">
        <v>64</v>
      </c>
      <c r="O3541" s="15" t="s">
        <v>65</v>
      </c>
      <c r="P3541" s="20" t="s">
        <v>816</v>
      </c>
      <c r="Q3541" s="15" t="s">
        <v>83</v>
      </c>
      <c r="R3541" s="4"/>
      <c r="S3541" s="4"/>
    </row>
    <row r="3542" spans="1:19" ht="21" customHeight="1" x14ac:dyDescent="0.25">
      <c r="A3542" s="14">
        <f>DATE(2012,12,31)-396</f>
        <v>40878</v>
      </c>
      <c r="B3542" s="15" t="s">
        <v>794</v>
      </c>
      <c r="C3542" s="15" t="s">
        <v>85</v>
      </c>
      <c r="D3542" s="16">
        <v>33</v>
      </c>
      <c r="E3542" s="17">
        <v>271.14</v>
      </c>
      <c r="F3542" s="16">
        <v>0.05</v>
      </c>
      <c r="G3542" s="15" t="s">
        <v>101</v>
      </c>
      <c r="H3542" s="18">
        <v>29.21</v>
      </c>
      <c r="I3542" s="19">
        <v>8.33</v>
      </c>
      <c r="J3542" s="19">
        <v>1.99</v>
      </c>
      <c r="K3542" s="19" t="s">
        <v>44</v>
      </c>
      <c r="L3542" s="19" t="s">
        <v>52</v>
      </c>
      <c r="M3542" s="15" t="s">
        <v>2042</v>
      </c>
      <c r="N3542" s="15" t="s">
        <v>64</v>
      </c>
      <c r="O3542" s="15" t="s">
        <v>72</v>
      </c>
      <c r="P3542" s="20" t="s">
        <v>966</v>
      </c>
      <c r="Q3542" s="15" t="s">
        <v>49</v>
      </c>
      <c r="R3542" s="4"/>
      <c r="S3542" s="4"/>
    </row>
    <row r="3543" spans="1:19" ht="21" customHeight="1" x14ac:dyDescent="0.25">
      <c r="A3543" s="14">
        <f>DATE(2012,12,31)-396</f>
        <v>40878</v>
      </c>
      <c r="B3543" s="15" t="s">
        <v>794</v>
      </c>
      <c r="C3543" s="15" t="s">
        <v>85</v>
      </c>
      <c r="D3543" s="16">
        <v>26</v>
      </c>
      <c r="E3543" s="17">
        <v>1150.3</v>
      </c>
      <c r="F3543" s="16">
        <v>0.1</v>
      </c>
      <c r="G3543" s="15" t="s">
        <v>32</v>
      </c>
      <c r="H3543" s="18">
        <v>418.19</v>
      </c>
      <c r="I3543" s="19">
        <v>48.91</v>
      </c>
      <c r="J3543" s="19">
        <v>5.81</v>
      </c>
      <c r="K3543" s="19" t="s">
        <v>44</v>
      </c>
      <c r="L3543" s="19" t="s">
        <v>52</v>
      </c>
      <c r="M3543" s="15" t="s">
        <v>2042</v>
      </c>
      <c r="N3543" s="15" t="s">
        <v>36</v>
      </c>
      <c r="O3543" s="15" t="s">
        <v>117</v>
      </c>
      <c r="P3543" s="20" t="s">
        <v>662</v>
      </c>
      <c r="Q3543" s="15" t="s">
        <v>83</v>
      </c>
      <c r="R3543" s="4"/>
      <c r="S3543" s="4"/>
    </row>
    <row r="3544" spans="1:19" ht="21" customHeight="1" x14ac:dyDescent="0.25">
      <c r="A3544" s="14">
        <f>DATE(2012,12,31)-55</f>
        <v>41219</v>
      </c>
      <c r="B3544" s="15" t="s">
        <v>602</v>
      </c>
      <c r="C3544" s="15" t="s">
        <v>85</v>
      </c>
      <c r="D3544" s="16">
        <v>34</v>
      </c>
      <c r="E3544" s="17">
        <v>926.85</v>
      </c>
      <c r="F3544" s="16">
        <v>0.09</v>
      </c>
      <c r="G3544" s="15" t="s">
        <v>32</v>
      </c>
      <c r="H3544" s="18">
        <v>382.94200000000001</v>
      </c>
      <c r="I3544" s="19">
        <v>28.53</v>
      </c>
      <c r="J3544" s="19">
        <v>1.49</v>
      </c>
      <c r="K3544" s="19" t="s">
        <v>44</v>
      </c>
      <c r="L3544" s="19" t="s">
        <v>236</v>
      </c>
      <c r="M3544" s="15" t="s">
        <v>2051</v>
      </c>
      <c r="N3544" s="15" t="s">
        <v>36</v>
      </c>
      <c r="O3544" s="15" t="s">
        <v>170</v>
      </c>
      <c r="P3544" s="20" t="s">
        <v>1566</v>
      </c>
      <c r="Q3544" s="15" t="s">
        <v>83</v>
      </c>
      <c r="R3544" s="4"/>
      <c r="S3544" s="4"/>
    </row>
    <row r="3545" spans="1:19" ht="21" customHeight="1" x14ac:dyDescent="0.25">
      <c r="A3545" s="14">
        <f>DATE(2012,12,31)-836</f>
        <v>40438</v>
      </c>
      <c r="B3545" s="15" t="s">
        <v>1354</v>
      </c>
      <c r="C3545" s="15" t="s">
        <v>85</v>
      </c>
      <c r="D3545" s="16">
        <v>35</v>
      </c>
      <c r="E3545" s="17">
        <v>299.68</v>
      </c>
      <c r="F3545" s="16">
        <v>0.06</v>
      </c>
      <c r="G3545" s="15" t="s">
        <v>32</v>
      </c>
      <c r="H3545" s="18">
        <v>-29.359500000000001</v>
      </c>
      <c r="I3545" s="19">
        <v>8.85</v>
      </c>
      <c r="J3545" s="19">
        <v>5.6</v>
      </c>
      <c r="K3545" s="19" t="s">
        <v>44</v>
      </c>
      <c r="L3545" s="19" t="s">
        <v>52</v>
      </c>
      <c r="M3545" s="15" t="s">
        <v>2042</v>
      </c>
      <c r="N3545" s="15" t="s">
        <v>36</v>
      </c>
      <c r="O3545" s="15" t="s">
        <v>170</v>
      </c>
      <c r="P3545" s="20" t="s">
        <v>1218</v>
      </c>
      <c r="Q3545" s="15" t="s">
        <v>83</v>
      </c>
      <c r="R3545" s="4"/>
      <c r="S3545" s="4"/>
    </row>
    <row r="3546" spans="1:19" ht="21" customHeight="1" x14ac:dyDescent="0.25">
      <c r="A3546" s="14">
        <f>DATE(2012,12,31)-590</f>
        <v>40684</v>
      </c>
      <c r="B3546" s="15" t="s">
        <v>364</v>
      </c>
      <c r="C3546" s="15" t="s">
        <v>43</v>
      </c>
      <c r="D3546" s="16">
        <v>16</v>
      </c>
      <c r="E3546" s="17">
        <v>179.26</v>
      </c>
      <c r="F3546" s="16">
        <v>0.01</v>
      </c>
      <c r="G3546" s="15" t="s">
        <v>32</v>
      </c>
      <c r="H3546" s="18">
        <v>36.779500000000006</v>
      </c>
      <c r="I3546" s="19">
        <v>10.91</v>
      </c>
      <c r="J3546" s="19">
        <v>2.99</v>
      </c>
      <c r="K3546" s="19" t="s">
        <v>44</v>
      </c>
      <c r="L3546" s="19" t="s">
        <v>52</v>
      </c>
      <c r="M3546" s="15" t="s">
        <v>2042</v>
      </c>
      <c r="N3546" s="15" t="s">
        <v>36</v>
      </c>
      <c r="O3546" s="15" t="s">
        <v>170</v>
      </c>
      <c r="P3546" s="20" t="s">
        <v>554</v>
      </c>
      <c r="Q3546" s="15" t="s">
        <v>83</v>
      </c>
      <c r="R3546" s="4"/>
      <c r="S3546" s="4"/>
    </row>
    <row r="3547" spans="1:19" ht="21" customHeight="1" x14ac:dyDescent="0.25">
      <c r="A3547" s="14">
        <f>DATE(2012,12,31)-590</f>
        <v>40684</v>
      </c>
      <c r="B3547" s="15" t="s">
        <v>364</v>
      </c>
      <c r="C3547" s="15" t="s">
        <v>43</v>
      </c>
      <c r="D3547" s="16">
        <v>47</v>
      </c>
      <c r="E3547" s="17">
        <v>202.64</v>
      </c>
      <c r="F3547" s="16">
        <v>0.03</v>
      </c>
      <c r="G3547" s="15" t="s">
        <v>32</v>
      </c>
      <c r="H3547" s="18">
        <v>28.75</v>
      </c>
      <c r="I3547" s="19">
        <v>4.13</v>
      </c>
      <c r="J3547" s="19">
        <v>1.17</v>
      </c>
      <c r="K3547" s="19" t="s">
        <v>44</v>
      </c>
      <c r="L3547" s="19" t="s">
        <v>52</v>
      </c>
      <c r="M3547" s="15" t="s">
        <v>2042</v>
      </c>
      <c r="N3547" s="15" t="s">
        <v>36</v>
      </c>
      <c r="O3547" s="15" t="s">
        <v>77</v>
      </c>
      <c r="P3547" s="20" t="s">
        <v>1802</v>
      </c>
      <c r="Q3547" s="15" t="s">
        <v>79</v>
      </c>
      <c r="R3547" s="4"/>
      <c r="S3547" s="4"/>
    </row>
    <row r="3548" spans="1:19" ht="21" customHeight="1" x14ac:dyDescent="0.25">
      <c r="A3548" s="14">
        <f>DATE(2012,12,31)-132</f>
        <v>41142</v>
      </c>
      <c r="B3548" s="15" t="s">
        <v>406</v>
      </c>
      <c r="C3548" s="15" t="s">
        <v>85</v>
      </c>
      <c r="D3548" s="16">
        <v>19</v>
      </c>
      <c r="E3548" s="17">
        <v>418.7</v>
      </c>
      <c r="F3548" s="16">
        <v>0.05</v>
      </c>
      <c r="G3548" s="15" t="s">
        <v>32</v>
      </c>
      <c r="H3548" s="18">
        <v>22.88</v>
      </c>
      <c r="I3548" s="19">
        <v>22.01</v>
      </c>
      <c r="J3548" s="19">
        <v>5.53</v>
      </c>
      <c r="K3548" s="19" t="s">
        <v>44</v>
      </c>
      <c r="L3548" s="19" t="s">
        <v>52</v>
      </c>
      <c r="M3548" s="15" t="s">
        <v>2042</v>
      </c>
      <c r="N3548" s="15" t="s">
        <v>36</v>
      </c>
      <c r="O3548" s="15" t="s">
        <v>77</v>
      </c>
      <c r="P3548" s="20" t="s">
        <v>709</v>
      </c>
      <c r="Q3548" s="15" t="s">
        <v>49</v>
      </c>
      <c r="R3548" s="4"/>
      <c r="S3548" s="4"/>
    </row>
    <row r="3549" spans="1:19" ht="21" customHeight="1" x14ac:dyDescent="0.25">
      <c r="A3549" s="14">
        <f>DATE(2012,12,31)-311</f>
        <v>40963</v>
      </c>
      <c r="B3549" s="15" t="s">
        <v>1890</v>
      </c>
      <c r="C3549" s="15" t="s">
        <v>51</v>
      </c>
      <c r="D3549" s="16">
        <v>43</v>
      </c>
      <c r="E3549" s="17">
        <v>7679.5119999999988</v>
      </c>
      <c r="F3549" s="16">
        <v>0</v>
      </c>
      <c r="G3549" s="15" t="s">
        <v>32</v>
      </c>
      <c r="H3549" s="18">
        <v>2307.42</v>
      </c>
      <c r="I3549" s="19">
        <v>205.99</v>
      </c>
      <c r="J3549" s="19">
        <v>5</v>
      </c>
      <c r="K3549" s="19" t="s">
        <v>44</v>
      </c>
      <c r="L3549" s="19" t="s">
        <v>52</v>
      </c>
      <c r="M3549" s="15" t="s">
        <v>2042</v>
      </c>
      <c r="N3549" s="15" t="s">
        <v>64</v>
      </c>
      <c r="O3549" s="15" t="s">
        <v>65</v>
      </c>
      <c r="P3549" s="20" t="s">
        <v>1869</v>
      </c>
      <c r="Q3549" s="15" t="s">
        <v>83</v>
      </c>
      <c r="R3549" s="4"/>
      <c r="S3549" s="4"/>
    </row>
    <row r="3550" spans="1:19" ht="21" customHeight="1" x14ac:dyDescent="0.25">
      <c r="A3550" s="14">
        <f>DATE(2012,12,31)-760</f>
        <v>40514</v>
      </c>
      <c r="B3550" s="15" t="s">
        <v>1438</v>
      </c>
      <c r="C3550" s="15" t="s">
        <v>31</v>
      </c>
      <c r="D3550" s="16">
        <v>36</v>
      </c>
      <c r="E3550" s="17">
        <v>7783.36</v>
      </c>
      <c r="F3550" s="16">
        <v>7.0000000000000007E-2</v>
      </c>
      <c r="G3550" s="15" t="s">
        <v>101</v>
      </c>
      <c r="H3550" s="18">
        <v>3506.24</v>
      </c>
      <c r="I3550" s="19">
        <v>225.04</v>
      </c>
      <c r="J3550" s="19">
        <v>11.79</v>
      </c>
      <c r="K3550" s="19" t="s">
        <v>44</v>
      </c>
      <c r="L3550" s="19" t="s">
        <v>52</v>
      </c>
      <c r="M3550" s="15" t="s">
        <v>2042</v>
      </c>
      <c r="N3550" s="15" t="s">
        <v>36</v>
      </c>
      <c r="O3550" s="15" t="s">
        <v>176</v>
      </c>
      <c r="P3550" s="20" t="s">
        <v>2067</v>
      </c>
      <c r="Q3550" s="15" t="s">
        <v>57</v>
      </c>
      <c r="R3550" s="4"/>
      <c r="S3550" s="4"/>
    </row>
    <row r="3551" spans="1:19" ht="21" customHeight="1" x14ac:dyDescent="0.25">
      <c r="A3551" s="14">
        <f>DATE(2012,12,31)-760</f>
        <v>40514</v>
      </c>
      <c r="B3551" s="15" t="s">
        <v>1438</v>
      </c>
      <c r="C3551" s="15" t="s">
        <v>31</v>
      </c>
      <c r="D3551" s="16">
        <v>21</v>
      </c>
      <c r="E3551" s="17">
        <v>61.76</v>
      </c>
      <c r="F3551" s="16">
        <v>0</v>
      </c>
      <c r="G3551" s="15" t="s">
        <v>32</v>
      </c>
      <c r="H3551" s="18">
        <v>4.34</v>
      </c>
      <c r="I3551" s="19">
        <v>2.84</v>
      </c>
      <c r="J3551" s="19">
        <v>0.93</v>
      </c>
      <c r="K3551" s="19" t="s">
        <v>44</v>
      </c>
      <c r="L3551" s="19" t="s">
        <v>52</v>
      </c>
      <c r="M3551" s="15" t="s">
        <v>2042</v>
      </c>
      <c r="N3551" s="15" t="s">
        <v>36</v>
      </c>
      <c r="O3551" s="15" t="s">
        <v>77</v>
      </c>
      <c r="P3551" s="20" t="s">
        <v>510</v>
      </c>
      <c r="Q3551" s="15" t="s">
        <v>79</v>
      </c>
      <c r="R3551" s="4"/>
      <c r="S3551" s="4"/>
    </row>
    <row r="3552" spans="1:19" ht="21" customHeight="1" x14ac:dyDescent="0.25">
      <c r="A3552" s="14">
        <f>DATE(2012,12,31)-760</f>
        <v>40514</v>
      </c>
      <c r="B3552" s="15" t="s">
        <v>1438</v>
      </c>
      <c r="C3552" s="15" t="s">
        <v>31</v>
      </c>
      <c r="D3552" s="16">
        <v>36</v>
      </c>
      <c r="E3552" s="17">
        <v>1280.3399999999999</v>
      </c>
      <c r="F3552" s="16">
        <v>0</v>
      </c>
      <c r="G3552" s="15" t="s">
        <v>58</v>
      </c>
      <c r="H3552" s="18">
        <v>-1048.248</v>
      </c>
      <c r="I3552" s="19">
        <v>31.76</v>
      </c>
      <c r="J3552" s="19">
        <v>45.51</v>
      </c>
      <c r="K3552" s="19" t="s">
        <v>44</v>
      </c>
      <c r="L3552" s="19" t="s">
        <v>52</v>
      </c>
      <c r="M3552" s="15" t="s">
        <v>2042</v>
      </c>
      <c r="N3552" s="15" t="s">
        <v>54</v>
      </c>
      <c r="O3552" s="15" t="s">
        <v>61</v>
      </c>
      <c r="P3552" s="20" t="s">
        <v>542</v>
      </c>
      <c r="Q3552" s="15" t="s">
        <v>63</v>
      </c>
      <c r="R3552" s="4"/>
      <c r="S3552" s="4"/>
    </row>
    <row r="3553" spans="1:19" ht="21" customHeight="1" x14ac:dyDescent="0.25">
      <c r="A3553" s="14">
        <f>DATE(2012,12,31)-408</f>
        <v>40866</v>
      </c>
      <c r="B3553" s="15" t="s">
        <v>704</v>
      </c>
      <c r="C3553" s="15" t="s">
        <v>85</v>
      </c>
      <c r="D3553" s="16">
        <v>22</v>
      </c>
      <c r="E3553" s="17">
        <v>440.92</v>
      </c>
      <c r="F3553" s="16">
        <v>0.05</v>
      </c>
      <c r="G3553" s="15" t="s">
        <v>101</v>
      </c>
      <c r="H3553" s="18">
        <v>-65.180000000000007</v>
      </c>
      <c r="I3553" s="19">
        <v>19.98</v>
      </c>
      <c r="J3553" s="19">
        <v>10.49</v>
      </c>
      <c r="K3553" s="19" t="s">
        <v>44</v>
      </c>
      <c r="L3553" s="19" t="s">
        <v>52</v>
      </c>
      <c r="M3553" s="15" t="s">
        <v>2042</v>
      </c>
      <c r="N3553" s="15" t="s">
        <v>54</v>
      </c>
      <c r="O3553" s="15" t="s">
        <v>55</v>
      </c>
      <c r="P3553" s="20" t="s">
        <v>889</v>
      </c>
      <c r="Q3553" s="15" t="s">
        <v>83</v>
      </c>
      <c r="R3553" s="4"/>
      <c r="S3553" s="4"/>
    </row>
    <row r="3554" spans="1:19" ht="21" customHeight="1" x14ac:dyDescent="0.25">
      <c r="A3554" s="14">
        <f>DATE(2012,12,31)-408</f>
        <v>40866</v>
      </c>
      <c r="B3554" s="15" t="s">
        <v>1612</v>
      </c>
      <c r="C3554" s="15" t="s">
        <v>85</v>
      </c>
      <c r="D3554" s="16">
        <v>1</v>
      </c>
      <c r="E3554" s="17">
        <v>3.2</v>
      </c>
      <c r="F3554" s="16">
        <v>0.09</v>
      </c>
      <c r="G3554" s="15" t="s">
        <v>32</v>
      </c>
      <c r="H3554" s="18">
        <v>-3.1625000000000001</v>
      </c>
      <c r="I3554" s="19">
        <v>1.88</v>
      </c>
      <c r="J3554" s="19">
        <v>1.49</v>
      </c>
      <c r="K3554" s="19" t="s">
        <v>44</v>
      </c>
      <c r="L3554" s="19" t="s">
        <v>52</v>
      </c>
      <c r="M3554" s="15" t="s">
        <v>2068</v>
      </c>
      <c r="N3554" s="15" t="s">
        <v>36</v>
      </c>
      <c r="O3554" s="15" t="s">
        <v>170</v>
      </c>
      <c r="P3554" s="20" t="s">
        <v>1353</v>
      </c>
      <c r="Q3554" s="15" t="s">
        <v>83</v>
      </c>
      <c r="R3554" s="4"/>
      <c r="S3554" s="4"/>
    </row>
    <row r="3555" spans="1:19" ht="21" customHeight="1" x14ac:dyDescent="0.25">
      <c r="A3555" s="14">
        <f>DATE(2012,12,31)-1298</f>
        <v>39976</v>
      </c>
      <c r="B3555" s="15" t="s">
        <v>441</v>
      </c>
      <c r="C3555" s="15" t="s">
        <v>31</v>
      </c>
      <c r="D3555" s="16">
        <v>28</v>
      </c>
      <c r="E3555" s="17">
        <v>967.27</v>
      </c>
      <c r="F3555" s="16">
        <v>7.0000000000000007E-2</v>
      </c>
      <c r="G3555" s="15" t="s">
        <v>32</v>
      </c>
      <c r="H3555" s="18">
        <v>309.31</v>
      </c>
      <c r="I3555" s="19">
        <v>35.44</v>
      </c>
      <c r="J3555" s="19">
        <v>7.5</v>
      </c>
      <c r="K3555" s="19" t="s">
        <v>44</v>
      </c>
      <c r="L3555" s="19" t="s">
        <v>52</v>
      </c>
      <c r="M3555" s="15" t="s">
        <v>2068</v>
      </c>
      <c r="N3555" s="15" t="s">
        <v>36</v>
      </c>
      <c r="O3555" s="15" t="s">
        <v>117</v>
      </c>
      <c r="P3555" s="20" t="s">
        <v>1697</v>
      </c>
      <c r="Q3555" s="15" t="s">
        <v>83</v>
      </c>
      <c r="R3555" s="4"/>
      <c r="S3555" s="4"/>
    </row>
    <row r="3556" spans="1:19" ht="21" customHeight="1" x14ac:dyDescent="0.25">
      <c r="A3556" s="14">
        <f>DATE(2012,12,31)-236</f>
        <v>41038</v>
      </c>
      <c r="B3556" s="15" t="s">
        <v>956</v>
      </c>
      <c r="C3556" s="15" t="s">
        <v>85</v>
      </c>
      <c r="D3556" s="16">
        <v>6</v>
      </c>
      <c r="E3556" s="17">
        <v>343.36</v>
      </c>
      <c r="F3556" s="16">
        <v>0.08</v>
      </c>
      <c r="G3556" s="15" t="s">
        <v>32</v>
      </c>
      <c r="H3556" s="18">
        <v>-41.27</v>
      </c>
      <c r="I3556" s="19">
        <v>56.96</v>
      </c>
      <c r="J3556" s="19">
        <v>13.22</v>
      </c>
      <c r="K3556" s="19" t="s">
        <v>44</v>
      </c>
      <c r="L3556" s="19" t="s">
        <v>80</v>
      </c>
      <c r="M3556" s="15" t="s">
        <v>2012</v>
      </c>
      <c r="N3556" s="15" t="s">
        <v>36</v>
      </c>
      <c r="O3556" s="15" t="s">
        <v>176</v>
      </c>
      <c r="P3556" s="20" t="s">
        <v>904</v>
      </c>
      <c r="Q3556" s="15" t="s">
        <v>83</v>
      </c>
      <c r="R3556" s="4"/>
      <c r="S3556" s="4"/>
    </row>
    <row r="3557" spans="1:19" ht="21" customHeight="1" x14ac:dyDescent="0.25">
      <c r="A3557" s="14">
        <f>DATE(2012,12,31)-236</f>
        <v>41038</v>
      </c>
      <c r="B3557" s="15" t="s">
        <v>956</v>
      </c>
      <c r="C3557" s="15" t="s">
        <v>85</v>
      </c>
      <c r="D3557" s="16">
        <v>7</v>
      </c>
      <c r="E3557" s="17">
        <v>309.22149999999999</v>
      </c>
      <c r="F3557" s="16">
        <v>0.09</v>
      </c>
      <c r="G3557" s="15" t="s">
        <v>32</v>
      </c>
      <c r="H3557" s="18">
        <v>-68.299000000000007</v>
      </c>
      <c r="I3557" s="19">
        <v>55.99</v>
      </c>
      <c r="J3557" s="19">
        <v>1.25</v>
      </c>
      <c r="K3557" s="19" t="s">
        <v>44</v>
      </c>
      <c r="L3557" s="19" t="s">
        <v>52</v>
      </c>
      <c r="M3557" s="15" t="s">
        <v>2068</v>
      </c>
      <c r="N3557" s="15" t="s">
        <v>64</v>
      </c>
      <c r="O3557" s="15" t="s">
        <v>65</v>
      </c>
      <c r="P3557" s="20" t="s">
        <v>815</v>
      </c>
      <c r="Q3557" s="15" t="s">
        <v>49</v>
      </c>
      <c r="R3557" s="4"/>
      <c r="S3557" s="4"/>
    </row>
    <row r="3558" spans="1:19" ht="21" customHeight="1" x14ac:dyDescent="0.25">
      <c r="A3558" s="14">
        <f>DATE(2012,12,31)-759</f>
        <v>40515</v>
      </c>
      <c r="B3558" s="15" t="s">
        <v>681</v>
      </c>
      <c r="C3558" s="15" t="s">
        <v>43</v>
      </c>
      <c r="D3558" s="16">
        <v>30</v>
      </c>
      <c r="E3558" s="17">
        <v>2477.9899999999998</v>
      </c>
      <c r="F3558" s="16">
        <v>0</v>
      </c>
      <c r="G3558" s="15" t="s">
        <v>32</v>
      </c>
      <c r="H3558" s="18">
        <v>747.68</v>
      </c>
      <c r="I3558" s="19">
        <v>80.98</v>
      </c>
      <c r="J3558" s="19">
        <v>4.5</v>
      </c>
      <c r="K3558" s="19" t="s">
        <v>44</v>
      </c>
      <c r="L3558" s="19" t="s">
        <v>52</v>
      </c>
      <c r="M3558" s="15" t="s">
        <v>2068</v>
      </c>
      <c r="N3558" s="15" t="s">
        <v>36</v>
      </c>
      <c r="O3558" s="15" t="s">
        <v>176</v>
      </c>
      <c r="P3558" s="20" t="s">
        <v>301</v>
      </c>
      <c r="Q3558" s="15" t="s">
        <v>83</v>
      </c>
      <c r="R3558" s="4"/>
      <c r="S3558" s="4"/>
    </row>
    <row r="3559" spans="1:19" ht="21" customHeight="1" x14ac:dyDescent="0.25">
      <c r="A3559" s="14">
        <f>DATE(2012,12,31)-759</f>
        <v>40515</v>
      </c>
      <c r="B3559" s="15" t="s">
        <v>681</v>
      </c>
      <c r="C3559" s="15" t="s">
        <v>43</v>
      </c>
      <c r="D3559" s="16">
        <v>23</v>
      </c>
      <c r="E3559" s="17">
        <v>48.83</v>
      </c>
      <c r="F3559" s="16">
        <v>0.06</v>
      </c>
      <c r="G3559" s="15" t="s">
        <v>32</v>
      </c>
      <c r="H3559" s="18">
        <v>1</v>
      </c>
      <c r="I3559" s="19">
        <v>2.1</v>
      </c>
      <c r="J3559" s="19">
        <v>0.7</v>
      </c>
      <c r="K3559" s="19" t="s">
        <v>44</v>
      </c>
      <c r="L3559" s="19" t="s">
        <v>52</v>
      </c>
      <c r="M3559" s="15" t="s">
        <v>2068</v>
      </c>
      <c r="N3559" s="15" t="s">
        <v>36</v>
      </c>
      <c r="O3559" s="15" t="s">
        <v>77</v>
      </c>
      <c r="P3559" s="20" t="s">
        <v>1849</v>
      </c>
      <c r="Q3559" s="15" t="s">
        <v>79</v>
      </c>
      <c r="R3559" s="4"/>
      <c r="S3559" s="4"/>
    </row>
    <row r="3560" spans="1:19" ht="21" customHeight="1" x14ac:dyDescent="0.25">
      <c r="A3560" s="14">
        <f>DATE(2012,12,31)-646</f>
        <v>40628</v>
      </c>
      <c r="B3560" s="15" t="s">
        <v>1671</v>
      </c>
      <c r="C3560" s="15" t="s">
        <v>85</v>
      </c>
      <c r="D3560" s="16">
        <v>12</v>
      </c>
      <c r="E3560" s="17">
        <v>76.61</v>
      </c>
      <c r="F3560" s="16">
        <v>0.09</v>
      </c>
      <c r="G3560" s="15" t="s">
        <v>32</v>
      </c>
      <c r="H3560" s="18">
        <v>-31.83</v>
      </c>
      <c r="I3560" s="19">
        <v>6.28</v>
      </c>
      <c r="J3560" s="19">
        <v>5.29</v>
      </c>
      <c r="K3560" s="19" t="s">
        <v>44</v>
      </c>
      <c r="L3560" s="19" t="s">
        <v>52</v>
      </c>
      <c r="M3560" s="15" t="s">
        <v>2068</v>
      </c>
      <c r="N3560" s="15" t="s">
        <v>54</v>
      </c>
      <c r="O3560" s="15" t="s">
        <v>55</v>
      </c>
      <c r="P3560" s="20" t="s">
        <v>525</v>
      </c>
      <c r="Q3560" s="15" t="s">
        <v>83</v>
      </c>
      <c r="R3560" s="4"/>
      <c r="S3560" s="4"/>
    </row>
    <row r="3561" spans="1:19" ht="21" customHeight="1" x14ac:dyDescent="0.25">
      <c r="A3561" s="14">
        <f>DATE(2012,12,31)-35</f>
        <v>41239</v>
      </c>
      <c r="B3561" s="15" t="s">
        <v>1046</v>
      </c>
      <c r="C3561" s="15" t="s">
        <v>31</v>
      </c>
      <c r="D3561" s="16">
        <v>3</v>
      </c>
      <c r="E3561" s="17">
        <v>4343.51</v>
      </c>
      <c r="F3561" s="16">
        <v>0.09</v>
      </c>
      <c r="G3561" s="15" t="s">
        <v>58</v>
      </c>
      <c r="H3561" s="18">
        <v>-3755.0331000000001</v>
      </c>
      <c r="I3561" s="19">
        <v>1500.97</v>
      </c>
      <c r="J3561" s="19">
        <v>29.7</v>
      </c>
      <c r="K3561" s="19" t="s">
        <v>44</v>
      </c>
      <c r="L3561" s="19" t="s">
        <v>52</v>
      </c>
      <c r="M3561" s="15" t="s">
        <v>2068</v>
      </c>
      <c r="N3561" s="15" t="s">
        <v>64</v>
      </c>
      <c r="O3561" s="15" t="s">
        <v>122</v>
      </c>
      <c r="P3561" s="20" t="s">
        <v>1332</v>
      </c>
      <c r="Q3561" s="15" t="s">
        <v>181</v>
      </c>
      <c r="R3561" s="4"/>
      <c r="S3561" s="4"/>
    </row>
    <row r="3562" spans="1:19" ht="21" customHeight="1" x14ac:dyDescent="0.25">
      <c r="A3562" s="14">
        <f>DATE(2012,12,31)-379</f>
        <v>40895</v>
      </c>
      <c r="B3562" s="15" t="s">
        <v>1762</v>
      </c>
      <c r="C3562" s="15" t="s">
        <v>43</v>
      </c>
      <c r="D3562" s="16">
        <v>48</v>
      </c>
      <c r="E3562" s="17">
        <v>3713.0124999999998</v>
      </c>
      <c r="F3562" s="16">
        <v>0.09</v>
      </c>
      <c r="G3562" s="15" t="s">
        <v>32</v>
      </c>
      <c r="H3562" s="18">
        <v>803.601</v>
      </c>
      <c r="I3562" s="19">
        <v>95.99</v>
      </c>
      <c r="J3562" s="19">
        <v>7.69</v>
      </c>
      <c r="K3562" s="19" t="s">
        <v>44</v>
      </c>
      <c r="L3562" s="19" t="s">
        <v>120</v>
      </c>
      <c r="M3562" s="15" t="s">
        <v>2025</v>
      </c>
      <c r="N3562" s="15" t="s">
        <v>64</v>
      </c>
      <c r="O3562" s="15" t="s">
        <v>65</v>
      </c>
      <c r="P3562" s="20" t="s">
        <v>2069</v>
      </c>
      <c r="Q3562" s="15" t="s">
        <v>83</v>
      </c>
      <c r="R3562" s="4"/>
      <c r="S3562" s="4"/>
    </row>
    <row r="3563" spans="1:19" ht="21" customHeight="1" x14ac:dyDescent="0.25">
      <c r="A3563" s="14">
        <f>DATE(2012,12,31)-574</f>
        <v>40700</v>
      </c>
      <c r="B3563" s="15" t="s">
        <v>311</v>
      </c>
      <c r="C3563" s="15" t="s">
        <v>43</v>
      </c>
      <c r="D3563" s="16">
        <v>18</v>
      </c>
      <c r="E3563" s="17">
        <v>129.77000000000001</v>
      </c>
      <c r="F3563" s="16">
        <v>0.01</v>
      </c>
      <c r="G3563" s="15" t="s">
        <v>32</v>
      </c>
      <c r="H3563" s="18">
        <v>-99.42</v>
      </c>
      <c r="I3563" s="19">
        <v>6.48</v>
      </c>
      <c r="J3563" s="19">
        <v>9.68</v>
      </c>
      <c r="K3563" s="19" t="s">
        <v>33</v>
      </c>
      <c r="L3563" s="19" t="s">
        <v>128</v>
      </c>
      <c r="M3563" s="15" t="s">
        <v>129</v>
      </c>
      <c r="N3563" s="15" t="s">
        <v>36</v>
      </c>
      <c r="O3563" s="15" t="s">
        <v>117</v>
      </c>
      <c r="P3563" s="20" t="s">
        <v>1803</v>
      </c>
      <c r="Q3563" s="15" t="s">
        <v>83</v>
      </c>
      <c r="R3563" s="4"/>
      <c r="S3563" s="4"/>
    </row>
    <row r="3564" spans="1:19" ht="21" customHeight="1" x14ac:dyDescent="0.25">
      <c r="A3564" s="14">
        <f>DATE(2012,12,31)-1424</f>
        <v>39850</v>
      </c>
      <c r="B3564" s="15" t="s">
        <v>939</v>
      </c>
      <c r="C3564" s="15" t="s">
        <v>51</v>
      </c>
      <c r="D3564" s="16">
        <v>30</v>
      </c>
      <c r="E3564" s="17">
        <v>6589.3040000000001</v>
      </c>
      <c r="F3564" s="16">
        <v>0.02</v>
      </c>
      <c r="G3564" s="15" t="s">
        <v>58</v>
      </c>
      <c r="H3564" s="18">
        <v>912.48</v>
      </c>
      <c r="I3564" s="19">
        <v>259.70999999999998</v>
      </c>
      <c r="J3564" s="19">
        <v>66.67</v>
      </c>
      <c r="K3564" s="19" t="s">
        <v>69</v>
      </c>
      <c r="L3564" s="19" t="s">
        <v>215</v>
      </c>
      <c r="M3564" s="15" t="s">
        <v>2038</v>
      </c>
      <c r="N3564" s="15" t="s">
        <v>54</v>
      </c>
      <c r="O3564" s="15" t="s">
        <v>61</v>
      </c>
      <c r="P3564" s="20" t="s">
        <v>1293</v>
      </c>
      <c r="Q3564" s="15" t="s">
        <v>63</v>
      </c>
      <c r="R3564" s="4"/>
      <c r="S3564" s="4"/>
    </row>
    <row r="3565" spans="1:19" ht="21" customHeight="1" x14ac:dyDescent="0.25">
      <c r="A3565" s="14">
        <f>DATE(2012,12,31)-361</f>
        <v>40913</v>
      </c>
      <c r="B3565" s="15" t="s">
        <v>833</v>
      </c>
      <c r="C3565" s="15" t="s">
        <v>51</v>
      </c>
      <c r="D3565" s="16">
        <v>32</v>
      </c>
      <c r="E3565" s="17">
        <v>1666</v>
      </c>
      <c r="F3565" s="16">
        <v>0.08</v>
      </c>
      <c r="G3565" s="15" t="s">
        <v>32</v>
      </c>
      <c r="H3565" s="18">
        <v>742.96</v>
      </c>
      <c r="I3565" s="19">
        <v>55.48</v>
      </c>
      <c r="J3565" s="19">
        <v>4.8499999999999996</v>
      </c>
      <c r="K3565" s="19" t="s">
        <v>44</v>
      </c>
      <c r="L3565" s="19" t="s">
        <v>120</v>
      </c>
      <c r="M3565" s="15" t="s">
        <v>2025</v>
      </c>
      <c r="N3565" s="15" t="s">
        <v>36</v>
      </c>
      <c r="O3565" s="15" t="s">
        <v>117</v>
      </c>
      <c r="P3565" s="20" t="s">
        <v>2070</v>
      </c>
      <c r="Q3565" s="15" t="s">
        <v>83</v>
      </c>
      <c r="R3565" s="4"/>
      <c r="S3565" s="4"/>
    </row>
    <row r="3566" spans="1:19" ht="21" customHeight="1" x14ac:dyDescent="0.25">
      <c r="A3566" s="14">
        <f>DATE(2012,12,31)-361</f>
        <v>40913</v>
      </c>
      <c r="B3566" s="15" t="s">
        <v>833</v>
      </c>
      <c r="C3566" s="15" t="s">
        <v>51</v>
      </c>
      <c r="D3566" s="16">
        <v>40</v>
      </c>
      <c r="E3566" s="17">
        <v>453.98</v>
      </c>
      <c r="F3566" s="16">
        <v>0.02</v>
      </c>
      <c r="G3566" s="15" t="s">
        <v>32</v>
      </c>
      <c r="H3566" s="18">
        <v>67.599999999999994</v>
      </c>
      <c r="I3566" s="19">
        <v>11.34</v>
      </c>
      <c r="J3566" s="19">
        <v>5.01</v>
      </c>
      <c r="K3566" s="19" t="s">
        <v>33</v>
      </c>
      <c r="L3566" s="19" t="s">
        <v>93</v>
      </c>
      <c r="M3566" s="15" t="s">
        <v>94</v>
      </c>
      <c r="N3566" s="15" t="s">
        <v>36</v>
      </c>
      <c r="O3566" s="15" t="s">
        <v>117</v>
      </c>
      <c r="P3566" s="20" t="s">
        <v>1425</v>
      </c>
      <c r="Q3566" s="15" t="s">
        <v>83</v>
      </c>
      <c r="R3566" s="4"/>
      <c r="S3566" s="4"/>
    </row>
    <row r="3567" spans="1:19" ht="21" customHeight="1" x14ac:dyDescent="0.25">
      <c r="A3567" s="14">
        <f>DATE(2012,12,31)-100</f>
        <v>41174</v>
      </c>
      <c r="B3567" s="15" t="s">
        <v>491</v>
      </c>
      <c r="C3567" s="15" t="s">
        <v>85</v>
      </c>
      <c r="D3567" s="16">
        <v>33</v>
      </c>
      <c r="E3567" s="17">
        <v>570.24</v>
      </c>
      <c r="F3567" s="16">
        <v>0.01</v>
      </c>
      <c r="G3567" s="15" t="s">
        <v>32</v>
      </c>
      <c r="H3567" s="18">
        <v>-57.828899999999997</v>
      </c>
      <c r="I3567" s="19">
        <v>15.99</v>
      </c>
      <c r="J3567" s="19">
        <v>11.28</v>
      </c>
      <c r="K3567" s="19" t="s">
        <v>124</v>
      </c>
      <c r="L3567" s="19" t="s">
        <v>160</v>
      </c>
      <c r="M3567" s="15" t="s">
        <v>1951</v>
      </c>
      <c r="N3567" s="15" t="s">
        <v>64</v>
      </c>
      <c r="O3567" s="15" t="s">
        <v>122</v>
      </c>
      <c r="P3567" s="20" t="s">
        <v>1959</v>
      </c>
      <c r="Q3567" s="15" t="s">
        <v>57</v>
      </c>
      <c r="R3567" s="4"/>
      <c r="S3567" s="4"/>
    </row>
    <row r="3568" spans="1:19" ht="21" customHeight="1" x14ac:dyDescent="0.25">
      <c r="A3568" s="14">
        <f>DATE(2012,12,31)-1316</f>
        <v>39958</v>
      </c>
      <c r="B3568" s="15" t="s">
        <v>1414</v>
      </c>
      <c r="C3568" s="15" t="s">
        <v>31</v>
      </c>
      <c r="D3568" s="16">
        <v>48</v>
      </c>
      <c r="E3568" s="17">
        <v>1444</v>
      </c>
      <c r="F3568" s="16">
        <v>0.08</v>
      </c>
      <c r="G3568" s="15" t="s">
        <v>32</v>
      </c>
      <c r="H3568" s="18">
        <v>617.0575</v>
      </c>
      <c r="I3568" s="19">
        <v>30.56</v>
      </c>
      <c r="J3568" s="19">
        <v>2.99</v>
      </c>
      <c r="K3568" s="19" t="s">
        <v>111</v>
      </c>
      <c r="L3568" s="19" t="s">
        <v>112</v>
      </c>
      <c r="M3568" s="15" t="s">
        <v>2058</v>
      </c>
      <c r="N3568" s="15" t="s">
        <v>36</v>
      </c>
      <c r="O3568" s="15" t="s">
        <v>170</v>
      </c>
      <c r="P3568" s="20" t="s">
        <v>1381</v>
      </c>
      <c r="Q3568" s="15" t="s">
        <v>83</v>
      </c>
      <c r="R3568" s="4"/>
      <c r="S3568" s="4"/>
    </row>
    <row r="3569" spans="1:19" ht="21" customHeight="1" x14ac:dyDescent="0.25">
      <c r="A3569" s="14">
        <f>DATE(2012,12,31)-222</f>
        <v>41052</v>
      </c>
      <c r="B3569" s="15" t="s">
        <v>1066</v>
      </c>
      <c r="C3569" s="15" t="s">
        <v>43</v>
      </c>
      <c r="D3569" s="16">
        <v>25</v>
      </c>
      <c r="E3569" s="17">
        <v>536.21</v>
      </c>
      <c r="F3569" s="16">
        <v>0.09</v>
      </c>
      <c r="G3569" s="15" t="s">
        <v>32</v>
      </c>
      <c r="H3569" s="18">
        <v>106.98</v>
      </c>
      <c r="I3569" s="19">
        <v>22.72</v>
      </c>
      <c r="J3569" s="19">
        <v>8.99</v>
      </c>
      <c r="K3569" s="19" t="s">
        <v>33</v>
      </c>
      <c r="L3569" s="19" t="s">
        <v>59</v>
      </c>
      <c r="M3569" s="15" t="s">
        <v>2033</v>
      </c>
      <c r="N3569" s="15" t="s">
        <v>54</v>
      </c>
      <c r="O3569" s="15" t="s">
        <v>55</v>
      </c>
      <c r="P3569" s="20" t="s">
        <v>927</v>
      </c>
      <c r="Q3569" s="15" t="s">
        <v>49</v>
      </c>
      <c r="R3569" s="4"/>
      <c r="S3569" s="4"/>
    </row>
    <row r="3570" spans="1:19" ht="21" customHeight="1" x14ac:dyDescent="0.25">
      <c r="A3570" s="14">
        <f>DATE(2012,12,31)-222</f>
        <v>41052</v>
      </c>
      <c r="B3570" s="15" t="s">
        <v>1066</v>
      </c>
      <c r="C3570" s="15" t="s">
        <v>43</v>
      </c>
      <c r="D3570" s="16">
        <v>18</v>
      </c>
      <c r="E3570" s="17">
        <v>4428.5600000000004</v>
      </c>
      <c r="F3570" s="16">
        <v>0.03</v>
      </c>
      <c r="G3570" s="15" t="s">
        <v>58</v>
      </c>
      <c r="H3570" s="18">
        <v>213.62</v>
      </c>
      <c r="I3570" s="19">
        <v>296.18</v>
      </c>
      <c r="J3570" s="19">
        <v>54.12</v>
      </c>
      <c r="K3570" s="19" t="s">
        <v>33</v>
      </c>
      <c r="L3570" s="19" t="s">
        <v>59</v>
      </c>
      <c r="M3570" s="15" t="s">
        <v>2033</v>
      </c>
      <c r="N3570" s="15" t="s">
        <v>54</v>
      </c>
      <c r="O3570" s="15" t="s">
        <v>61</v>
      </c>
      <c r="P3570" s="20" t="s">
        <v>345</v>
      </c>
      <c r="Q3570" s="15" t="s">
        <v>63</v>
      </c>
      <c r="R3570" s="4"/>
      <c r="S3570" s="4"/>
    </row>
    <row r="3571" spans="1:19" ht="21" customHeight="1" x14ac:dyDescent="0.25">
      <c r="A3571" s="14">
        <f>DATE(2012,12,31)-1320</f>
        <v>39954</v>
      </c>
      <c r="B3571" s="15" t="s">
        <v>683</v>
      </c>
      <c r="C3571" s="15" t="s">
        <v>51</v>
      </c>
      <c r="D3571" s="16">
        <v>40</v>
      </c>
      <c r="E3571" s="17">
        <v>194.02</v>
      </c>
      <c r="F3571" s="16">
        <v>0.03</v>
      </c>
      <c r="G3571" s="15" t="s">
        <v>32</v>
      </c>
      <c r="H3571" s="18">
        <v>80.349999999999994</v>
      </c>
      <c r="I3571" s="19">
        <v>4.9800000000000004</v>
      </c>
      <c r="J3571" s="19">
        <v>0.8</v>
      </c>
      <c r="K3571" s="19" t="s">
        <v>69</v>
      </c>
      <c r="L3571" s="19" t="s">
        <v>70</v>
      </c>
      <c r="M3571" s="15" t="s">
        <v>1895</v>
      </c>
      <c r="N3571" s="15" t="s">
        <v>36</v>
      </c>
      <c r="O3571" s="15" t="s">
        <v>117</v>
      </c>
      <c r="P3571" s="20" t="s">
        <v>487</v>
      </c>
      <c r="Q3571" s="15" t="s">
        <v>79</v>
      </c>
      <c r="R3571" s="4"/>
      <c r="S3571" s="4"/>
    </row>
    <row r="3572" spans="1:19" ht="21" customHeight="1" x14ac:dyDescent="0.25">
      <c r="A3572" s="14">
        <f>DATE(2012,12,31)-78</f>
        <v>41196</v>
      </c>
      <c r="B3572" s="15" t="s">
        <v>1241</v>
      </c>
      <c r="C3572" s="15" t="s">
        <v>51</v>
      </c>
      <c r="D3572" s="16">
        <v>36</v>
      </c>
      <c r="E3572" s="17">
        <v>17304.849999999999</v>
      </c>
      <c r="F3572" s="16">
        <v>0.05</v>
      </c>
      <c r="G3572" s="15" t="s">
        <v>58</v>
      </c>
      <c r="H3572" s="18">
        <v>7434.48</v>
      </c>
      <c r="I3572" s="19">
        <v>500.98</v>
      </c>
      <c r="J3572" s="19">
        <v>28.14</v>
      </c>
      <c r="K3572" s="19" t="s">
        <v>44</v>
      </c>
      <c r="L3572" s="19" t="s">
        <v>45</v>
      </c>
      <c r="M3572" s="15" t="s">
        <v>2053</v>
      </c>
      <c r="N3572" s="15" t="s">
        <v>64</v>
      </c>
      <c r="O3572" s="15" t="s">
        <v>122</v>
      </c>
      <c r="P3572" s="20" t="s">
        <v>231</v>
      </c>
      <c r="Q3572" s="15" t="s">
        <v>181</v>
      </c>
      <c r="R3572" s="4"/>
      <c r="S3572" s="4"/>
    </row>
    <row r="3573" spans="1:19" ht="21" customHeight="1" x14ac:dyDescent="0.25">
      <c r="A3573" s="14">
        <f>DATE(2012,12,31)-78</f>
        <v>41196</v>
      </c>
      <c r="B3573" s="15" t="s">
        <v>1241</v>
      </c>
      <c r="C3573" s="15" t="s">
        <v>51</v>
      </c>
      <c r="D3573" s="16">
        <v>20</v>
      </c>
      <c r="E3573" s="17">
        <v>794.32</v>
      </c>
      <c r="F3573" s="16">
        <v>0.08</v>
      </c>
      <c r="G3573" s="15" t="s">
        <v>32</v>
      </c>
      <c r="H3573" s="18">
        <v>67.61</v>
      </c>
      <c r="I3573" s="19">
        <v>40.99</v>
      </c>
      <c r="J3573" s="19">
        <v>17.48</v>
      </c>
      <c r="K3573" s="19" t="s">
        <v>33</v>
      </c>
      <c r="L3573" s="19" t="s">
        <v>93</v>
      </c>
      <c r="M3573" s="15" t="s">
        <v>94</v>
      </c>
      <c r="N3573" s="15" t="s">
        <v>36</v>
      </c>
      <c r="O3573" s="15" t="s">
        <v>117</v>
      </c>
      <c r="P3573" s="20" t="s">
        <v>583</v>
      </c>
      <c r="Q3573" s="15" t="s">
        <v>83</v>
      </c>
      <c r="R3573" s="4"/>
      <c r="S3573" s="4"/>
    </row>
    <row r="3574" spans="1:19" ht="21" customHeight="1" x14ac:dyDescent="0.25">
      <c r="A3574" s="14">
        <f>DATE(2012,12,31)-1367</f>
        <v>39907</v>
      </c>
      <c r="B3574" s="15" t="s">
        <v>839</v>
      </c>
      <c r="C3574" s="15" t="s">
        <v>85</v>
      </c>
      <c r="D3574" s="16">
        <v>49</v>
      </c>
      <c r="E3574" s="17">
        <v>305.95999999999998</v>
      </c>
      <c r="F3574" s="16">
        <v>0.06</v>
      </c>
      <c r="G3574" s="15" t="s">
        <v>32</v>
      </c>
      <c r="H3574" s="18">
        <v>-191.49</v>
      </c>
      <c r="I3574" s="19">
        <v>6.48</v>
      </c>
      <c r="J3574" s="19">
        <v>7.49</v>
      </c>
      <c r="K3574" s="19" t="s">
        <v>97</v>
      </c>
      <c r="L3574" s="19" t="s">
        <v>283</v>
      </c>
      <c r="M3574" s="15" t="s">
        <v>1901</v>
      </c>
      <c r="N3574" s="15" t="s">
        <v>36</v>
      </c>
      <c r="O3574" s="15" t="s">
        <v>117</v>
      </c>
      <c r="P3574" s="20" t="s">
        <v>985</v>
      </c>
      <c r="Q3574" s="15" t="s">
        <v>83</v>
      </c>
      <c r="R3574" s="4"/>
      <c r="S3574" s="4"/>
    </row>
    <row r="3575" spans="1:19" ht="21" customHeight="1" x14ac:dyDescent="0.25">
      <c r="A3575" s="14">
        <f>DATE(2012,12,31)-90</f>
        <v>41184</v>
      </c>
      <c r="B3575" s="15" t="s">
        <v>1412</v>
      </c>
      <c r="C3575" s="15" t="s">
        <v>43</v>
      </c>
      <c r="D3575" s="16">
        <v>21</v>
      </c>
      <c r="E3575" s="17">
        <v>676.69</v>
      </c>
      <c r="F3575" s="16">
        <v>0.09</v>
      </c>
      <c r="G3575" s="15" t="s">
        <v>32</v>
      </c>
      <c r="H3575" s="18">
        <v>138.1</v>
      </c>
      <c r="I3575" s="19">
        <v>35.409999999999997</v>
      </c>
      <c r="J3575" s="19">
        <v>1.99</v>
      </c>
      <c r="K3575" s="19" t="s">
        <v>124</v>
      </c>
      <c r="L3575" s="19" t="s">
        <v>160</v>
      </c>
      <c r="M3575" s="15" t="s">
        <v>1951</v>
      </c>
      <c r="N3575" s="15" t="s">
        <v>64</v>
      </c>
      <c r="O3575" s="15" t="s">
        <v>72</v>
      </c>
      <c r="P3575" s="20" t="s">
        <v>1004</v>
      </c>
      <c r="Q3575" s="15" t="s">
        <v>49</v>
      </c>
      <c r="R3575" s="4"/>
      <c r="S3575" s="4"/>
    </row>
    <row r="3576" spans="1:19" ht="21" customHeight="1" x14ac:dyDescent="0.25">
      <c r="A3576" s="14">
        <f>DATE(2012,12,31)-90</f>
        <v>41184</v>
      </c>
      <c r="B3576" s="15" t="s">
        <v>1412</v>
      </c>
      <c r="C3576" s="15" t="s">
        <v>43</v>
      </c>
      <c r="D3576" s="16">
        <v>4</v>
      </c>
      <c r="E3576" s="17">
        <v>13698.96</v>
      </c>
      <c r="F3576" s="16">
        <v>0.05</v>
      </c>
      <c r="G3576" s="15" t="s">
        <v>32</v>
      </c>
      <c r="H3576" s="18">
        <v>-9078.94</v>
      </c>
      <c r="I3576" s="19">
        <v>3499.99</v>
      </c>
      <c r="J3576" s="19">
        <v>24.49</v>
      </c>
      <c r="K3576" s="19" t="s">
        <v>124</v>
      </c>
      <c r="L3576" s="19" t="s">
        <v>319</v>
      </c>
      <c r="M3576" s="15" t="s">
        <v>1966</v>
      </c>
      <c r="N3576" s="15" t="s">
        <v>64</v>
      </c>
      <c r="O3576" s="15" t="s">
        <v>460</v>
      </c>
      <c r="P3576" s="20" t="s">
        <v>1763</v>
      </c>
      <c r="Q3576" s="15" t="s">
        <v>39</v>
      </c>
      <c r="R3576" s="4"/>
      <c r="S3576" s="4"/>
    </row>
    <row r="3577" spans="1:19" ht="21" customHeight="1" x14ac:dyDescent="0.25">
      <c r="A3577" s="14">
        <f>DATE(2012,12,31)-251</f>
        <v>41023</v>
      </c>
      <c r="B3577" s="15" t="s">
        <v>359</v>
      </c>
      <c r="C3577" s="15" t="s">
        <v>85</v>
      </c>
      <c r="D3577" s="16">
        <v>47</v>
      </c>
      <c r="E3577" s="17">
        <v>4725.0905000000002</v>
      </c>
      <c r="F3577" s="16">
        <v>0.01</v>
      </c>
      <c r="G3577" s="15" t="s">
        <v>32</v>
      </c>
      <c r="H3577" s="18">
        <v>1578.6989999999998</v>
      </c>
      <c r="I3577" s="19">
        <v>115.99</v>
      </c>
      <c r="J3577" s="19">
        <v>2.5</v>
      </c>
      <c r="K3577" s="19" t="s">
        <v>33</v>
      </c>
      <c r="L3577" s="19" t="s">
        <v>59</v>
      </c>
      <c r="M3577" s="15" t="s">
        <v>2033</v>
      </c>
      <c r="N3577" s="15" t="s">
        <v>64</v>
      </c>
      <c r="O3577" s="15" t="s">
        <v>65</v>
      </c>
      <c r="P3577" s="20" t="s">
        <v>2071</v>
      </c>
      <c r="Q3577" s="15" t="s">
        <v>83</v>
      </c>
      <c r="R3577" s="4"/>
      <c r="S3577" s="4"/>
    </row>
    <row r="3578" spans="1:19" ht="21" customHeight="1" x14ac:dyDescent="0.25">
      <c r="A3578" s="14">
        <f>DATE(2012,12,31)-251</f>
        <v>41023</v>
      </c>
      <c r="B3578" s="15" t="s">
        <v>359</v>
      </c>
      <c r="C3578" s="15" t="s">
        <v>85</v>
      </c>
      <c r="D3578" s="16">
        <v>50</v>
      </c>
      <c r="E3578" s="17">
        <v>286.76</v>
      </c>
      <c r="F3578" s="16">
        <v>0.09</v>
      </c>
      <c r="G3578" s="15" t="s">
        <v>32</v>
      </c>
      <c r="H3578" s="18">
        <v>77.2</v>
      </c>
      <c r="I3578" s="19">
        <v>6.08</v>
      </c>
      <c r="J3578" s="19">
        <v>1.82</v>
      </c>
      <c r="K3578" s="19" t="s">
        <v>69</v>
      </c>
      <c r="L3578" s="19" t="s">
        <v>215</v>
      </c>
      <c r="M3578" s="15" t="s">
        <v>2038</v>
      </c>
      <c r="N3578" s="15" t="s">
        <v>36</v>
      </c>
      <c r="O3578" s="15" t="s">
        <v>105</v>
      </c>
      <c r="P3578" s="20" t="s">
        <v>244</v>
      </c>
      <c r="Q3578" s="15" t="s">
        <v>79</v>
      </c>
      <c r="R3578" s="4"/>
      <c r="S3578" s="4"/>
    </row>
    <row r="3579" spans="1:19" ht="21" customHeight="1" x14ac:dyDescent="0.25">
      <c r="A3579" s="14">
        <f>DATE(2012,12,31)-613</f>
        <v>40661</v>
      </c>
      <c r="B3579" s="15" t="s">
        <v>286</v>
      </c>
      <c r="C3579" s="15" t="s">
        <v>85</v>
      </c>
      <c r="D3579" s="16">
        <v>3</v>
      </c>
      <c r="E3579" s="17">
        <v>210.5025</v>
      </c>
      <c r="F3579" s="16">
        <v>0.04</v>
      </c>
      <c r="G3579" s="15" t="s">
        <v>32</v>
      </c>
      <c r="H3579" s="18">
        <v>-315.32600000000002</v>
      </c>
      <c r="I3579" s="19">
        <v>85.99</v>
      </c>
      <c r="J3579" s="19">
        <v>1.25</v>
      </c>
      <c r="K3579" s="19" t="s">
        <v>44</v>
      </c>
      <c r="L3579" s="19" t="s">
        <v>80</v>
      </c>
      <c r="M3579" s="15" t="s">
        <v>2012</v>
      </c>
      <c r="N3579" s="15" t="s">
        <v>64</v>
      </c>
      <c r="O3579" s="15" t="s">
        <v>65</v>
      </c>
      <c r="P3579" s="20" t="s">
        <v>685</v>
      </c>
      <c r="Q3579" s="15" t="s">
        <v>49</v>
      </c>
      <c r="R3579" s="4"/>
      <c r="S3579" s="4"/>
    </row>
    <row r="3580" spans="1:19" ht="21" customHeight="1" x14ac:dyDescent="0.25">
      <c r="A3580" s="14">
        <f>DATE(2012,12,31)-1244</f>
        <v>40030</v>
      </c>
      <c r="B3580" s="15" t="s">
        <v>394</v>
      </c>
      <c r="C3580" s="15" t="s">
        <v>43</v>
      </c>
      <c r="D3580" s="16">
        <v>8</v>
      </c>
      <c r="E3580" s="17">
        <v>555.20000000000005</v>
      </c>
      <c r="F3580" s="16">
        <v>0.06</v>
      </c>
      <c r="G3580" s="15" t="s">
        <v>32</v>
      </c>
      <c r="H3580" s="18">
        <v>-267.86</v>
      </c>
      <c r="I3580" s="19">
        <v>64.650000000000006</v>
      </c>
      <c r="J3580" s="19">
        <v>35</v>
      </c>
      <c r="K3580" s="19" t="s">
        <v>44</v>
      </c>
      <c r="L3580" s="19" t="s">
        <v>89</v>
      </c>
      <c r="M3580" s="15" t="s">
        <v>1932</v>
      </c>
      <c r="N3580" s="15" t="s">
        <v>36</v>
      </c>
      <c r="O3580" s="15" t="s">
        <v>37</v>
      </c>
      <c r="P3580" s="20" t="s">
        <v>1245</v>
      </c>
      <c r="Q3580" s="15" t="s">
        <v>39</v>
      </c>
      <c r="R3580" s="4"/>
      <c r="S3580" s="4"/>
    </row>
    <row r="3581" spans="1:19" ht="21" customHeight="1" x14ac:dyDescent="0.25">
      <c r="A3581" s="14">
        <f>DATE(2012,12,31)-1319</f>
        <v>39955</v>
      </c>
      <c r="B3581" s="15" t="s">
        <v>648</v>
      </c>
      <c r="C3581" s="15" t="s">
        <v>85</v>
      </c>
      <c r="D3581" s="16">
        <v>43</v>
      </c>
      <c r="E3581" s="17">
        <v>212.28</v>
      </c>
      <c r="F3581" s="16">
        <v>0.06</v>
      </c>
      <c r="G3581" s="15" t="s">
        <v>32</v>
      </c>
      <c r="H3581" s="18">
        <v>-103.224</v>
      </c>
      <c r="I3581" s="19">
        <v>4.9800000000000004</v>
      </c>
      <c r="J3581" s="19">
        <v>4.95</v>
      </c>
      <c r="K3581" s="19" t="s">
        <v>33</v>
      </c>
      <c r="L3581" s="19" t="s">
        <v>93</v>
      </c>
      <c r="M3581" s="15" t="s">
        <v>94</v>
      </c>
      <c r="N3581" s="15" t="s">
        <v>36</v>
      </c>
      <c r="O3581" s="15" t="s">
        <v>170</v>
      </c>
      <c r="P3581" s="20" t="s">
        <v>1570</v>
      </c>
      <c r="Q3581" s="15" t="s">
        <v>83</v>
      </c>
      <c r="R3581" s="4"/>
      <c r="S3581" s="4"/>
    </row>
    <row r="3582" spans="1:19" ht="21" customHeight="1" x14ac:dyDescent="0.25">
      <c r="A3582" s="14">
        <f>DATE(2012,12,31)-528</f>
        <v>40746</v>
      </c>
      <c r="B3582" s="15" t="s">
        <v>1926</v>
      </c>
      <c r="C3582" s="15" t="s">
        <v>31</v>
      </c>
      <c r="D3582" s="16">
        <v>19</v>
      </c>
      <c r="E3582" s="17">
        <v>193.25</v>
      </c>
      <c r="F3582" s="16">
        <v>0.03</v>
      </c>
      <c r="G3582" s="15" t="s">
        <v>32</v>
      </c>
      <c r="H3582" s="18">
        <v>71.55</v>
      </c>
      <c r="I3582" s="19">
        <v>9.93</v>
      </c>
      <c r="J3582" s="19">
        <v>1.0900000000000001</v>
      </c>
      <c r="K3582" s="19" t="s">
        <v>97</v>
      </c>
      <c r="L3582" s="19" t="s">
        <v>98</v>
      </c>
      <c r="M3582" s="15" t="s">
        <v>1991</v>
      </c>
      <c r="N3582" s="15" t="s">
        <v>36</v>
      </c>
      <c r="O3582" s="15" t="s">
        <v>77</v>
      </c>
      <c r="P3582" s="20" t="s">
        <v>366</v>
      </c>
      <c r="Q3582" s="15" t="s">
        <v>79</v>
      </c>
      <c r="R3582" s="4"/>
      <c r="S3582" s="4"/>
    </row>
    <row r="3583" spans="1:19" ht="21" customHeight="1" x14ac:dyDescent="0.25">
      <c r="A3583" s="14">
        <f>DATE(2012,12,31)-1448</f>
        <v>39826</v>
      </c>
      <c r="B3583" s="15" t="s">
        <v>1609</v>
      </c>
      <c r="C3583" s="15" t="s">
        <v>31</v>
      </c>
      <c r="D3583" s="16">
        <v>50</v>
      </c>
      <c r="E3583" s="17">
        <v>297.76</v>
      </c>
      <c r="F3583" s="16">
        <v>7.0000000000000007E-2</v>
      </c>
      <c r="G3583" s="15" t="s">
        <v>32</v>
      </c>
      <c r="H3583" s="18">
        <v>-111.34</v>
      </c>
      <c r="I3583" s="19">
        <v>5.98</v>
      </c>
      <c r="J3583" s="19">
        <v>5.79</v>
      </c>
      <c r="K3583" s="19" t="s">
        <v>44</v>
      </c>
      <c r="L3583" s="19" t="s">
        <v>52</v>
      </c>
      <c r="M3583" s="15" t="s">
        <v>2068</v>
      </c>
      <c r="N3583" s="15" t="s">
        <v>36</v>
      </c>
      <c r="O3583" s="15" t="s">
        <v>117</v>
      </c>
      <c r="P3583" s="20" t="s">
        <v>871</v>
      </c>
      <c r="Q3583" s="15" t="s">
        <v>83</v>
      </c>
      <c r="R3583" s="4"/>
      <c r="S3583" s="4"/>
    </row>
    <row r="3584" spans="1:19" ht="21" customHeight="1" x14ac:dyDescent="0.25">
      <c r="A3584" s="14">
        <f>DATE(2012,12,31)-1</f>
        <v>41273</v>
      </c>
      <c r="B3584" s="15" t="s">
        <v>1971</v>
      </c>
      <c r="C3584" s="15" t="s">
        <v>31</v>
      </c>
      <c r="D3584" s="16">
        <v>37</v>
      </c>
      <c r="E3584" s="17">
        <v>257.45999999999998</v>
      </c>
      <c r="F3584" s="16">
        <v>0.09</v>
      </c>
      <c r="G3584" s="15" t="s">
        <v>101</v>
      </c>
      <c r="H3584" s="18">
        <v>-18.66</v>
      </c>
      <c r="I3584" s="19">
        <v>7.28</v>
      </c>
      <c r="J3584" s="19">
        <v>4.2300000000000004</v>
      </c>
      <c r="K3584" s="19" t="s">
        <v>44</v>
      </c>
      <c r="L3584" s="19" t="s">
        <v>52</v>
      </c>
      <c r="M3584" s="15" t="s">
        <v>2068</v>
      </c>
      <c r="N3584" s="15" t="s">
        <v>36</v>
      </c>
      <c r="O3584" s="15" t="s">
        <v>117</v>
      </c>
      <c r="P3584" s="20" t="s">
        <v>1978</v>
      </c>
      <c r="Q3584" s="15" t="s">
        <v>79</v>
      </c>
      <c r="R3584" s="4"/>
      <c r="S3584" s="4"/>
    </row>
    <row r="3585" spans="1:19" ht="21" customHeight="1" x14ac:dyDescent="0.25">
      <c r="A3585" s="14">
        <f>DATE(2012,12,31)-175</f>
        <v>41099</v>
      </c>
      <c r="B3585" s="15" t="s">
        <v>1049</v>
      </c>
      <c r="C3585" s="15" t="s">
        <v>51</v>
      </c>
      <c r="D3585" s="16">
        <v>27</v>
      </c>
      <c r="E3585" s="17">
        <v>311.20999999999998</v>
      </c>
      <c r="F3585" s="16">
        <v>0.09</v>
      </c>
      <c r="G3585" s="15" t="s">
        <v>32</v>
      </c>
      <c r="H3585" s="18">
        <v>-14.03</v>
      </c>
      <c r="I3585" s="19">
        <v>12.28</v>
      </c>
      <c r="J3585" s="19">
        <v>6.47</v>
      </c>
      <c r="K3585" s="19" t="s">
        <v>33</v>
      </c>
      <c r="L3585" s="19" t="s">
        <v>145</v>
      </c>
      <c r="M3585" s="15" t="s">
        <v>2055</v>
      </c>
      <c r="N3585" s="15" t="s">
        <v>36</v>
      </c>
      <c r="O3585" s="15" t="s">
        <v>117</v>
      </c>
      <c r="P3585" s="20" t="s">
        <v>832</v>
      </c>
      <c r="Q3585" s="15" t="s">
        <v>83</v>
      </c>
      <c r="R3585" s="4"/>
      <c r="S3585" s="4"/>
    </row>
    <row r="3586" spans="1:19" ht="21" customHeight="1" x14ac:dyDescent="0.25">
      <c r="A3586" s="14">
        <f>DATE(2012,12,31)-135</f>
        <v>41139</v>
      </c>
      <c r="B3586" s="15" t="s">
        <v>799</v>
      </c>
      <c r="C3586" s="15" t="s">
        <v>85</v>
      </c>
      <c r="D3586" s="16">
        <v>42</v>
      </c>
      <c r="E3586" s="17">
        <v>3749</v>
      </c>
      <c r="F3586" s="16">
        <v>0.08</v>
      </c>
      <c r="G3586" s="15" t="s">
        <v>32</v>
      </c>
      <c r="H3586" s="18">
        <v>-1032.1300000000001</v>
      </c>
      <c r="I3586" s="19">
        <v>89.83</v>
      </c>
      <c r="J3586" s="19">
        <v>35</v>
      </c>
      <c r="K3586" s="19" t="s">
        <v>69</v>
      </c>
      <c r="L3586" s="19" t="s">
        <v>70</v>
      </c>
      <c r="M3586" s="15" t="s">
        <v>1895</v>
      </c>
      <c r="N3586" s="15" t="s">
        <v>36</v>
      </c>
      <c r="O3586" s="15" t="s">
        <v>37</v>
      </c>
      <c r="P3586" s="20" t="s">
        <v>1770</v>
      </c>
      <c r="Q3586" s="15" t="s">
        <v>39</v>
      </c>
      <c r="R3586" s="4"/>
      <c r="S3586" s="4"/>
    </row>
    <row r="3587" spans="1:19" ht="21" customHeight="1" x14ac:dyDescent="0.25">
      <c r="A3587" s="14">
        <f>DATE(2012,12,31)-1390</f>
        <v>39884</v>
      </c>
      <c r="B3587" s="15" t="s">
        <v>2072</v>
      </c>
      <c r="C3587" s="15" t="s">
        <v>43</v>
      </c>
      <c r="D3587" s="16">
        <v>46</v>
      </c>
      <c r="E3587" s="17">
        <v>5074.07</v>
      </c>
      <c r="F3587" s="16">
        <v>0</v>
      </c>
      <c r="G3587" s="15" t="s">
        <v>58</v>
      </c>
      <c r="H3587" s="18">
        <v>-1390.53</v>
      </c>
      <c r="I3587" s="19">
        <v>100.98</v>
      </c>
      <c r="J3587" s="19">
        <v>57.38</v>
      </c>
      <c r="K3587" s="19" t="s">
        <v>44</v>
      </c>
      <c r="L3587" s="19" t="s">
        <v>120</v>
      </c>
      <c r="M3587" s="15" t="s">
        <v>2025</v>
      </c>
      <c r="N3587" s="15" t="s">
        <v>54</v>
      </c>
      <c r="O3587" s="15" t="s">
        <v>134</v>
      </c>
      <c r="P3587" s="20" t="s">
        <v>624</v>
      </c>
      <c r="Q3587" s="15" t="s">
        <v>63</v>
      </c>
      <c r="R3587" s="4"/>
      <c r="S3587" s="4"/>
    </row>
    <row r="3588" spans="1:19" ht="21" customHeight="1" x14ac:dyDescent="0.25">
      <c r="A3588" s="14">
        <f>DATE(2012,12,31)-1390</f>
        <v>39884</v>
      </c>
      <c r="B3588" s="15" t="s">
        <v>2072</v>
      </c>
      <c r="C3588" s="15" t="s">
        <v>43</v>
      </c>
      <c r="D3588" s="16">
        <v>31</v>
      </c>
      <c r="E3588" s="17">
        <v>1526.67</v>
      </c>
      <c r="F3588" s="16">
        <v>0.01</v>
      </c>
      <c r="G3588" s="15" t="s">
        <v>101</v>
      </c>
      <c r="H3588" s="18">
        <v>118.82</v>
      </c>
      <c r="I3588" s="19">
        <v>47.98</v>
      </c>
      <c r="J3588" s="19">
        <v>3.61</v>
      </c>
      <c r="K3588" s="19" t="s">
        <v>44</v>
      </c>
      <c r="L3588" s="19" t="s">
        <v>80</v>
      </c>
      <c r="M3588" s="15" t="s">
        <v>2012</v>
      </c>
      <c r="N3588" s="15" t="s">
        <v>64</v>
      </c>
      <c r="O3588" s="15" t="s">
        <v>72</v>
      </c>
      <c r="P3588" s="20" t="s">
        <v>338</v>
      </c>
      <c r="Q3588" s="15" t="s">
        <v>49</v>
      </c>
      <c r="R3588" s="4"/>
      <c r="S3588" s="4"/>
    </row>
    <row r="3589" spans="1:19" ht="21" customHeight="1" x14ac:dyDescent="0.25">
      <c r="A3589" s="14">
        <f>DATE(2012,12,31)-1456</f>
        <v>39818</v>
      </c>
      <c r="B3589" s="15" t="s">
        <v>249</v>
      </c>
      <c r="C3589" s="15" t="s">
        <v>85</v>
      </c>
      <c r="D3589" s="16">
        <v>43</v>
      </c>
      <c r="E3589" s="17">
        <v>257.41000000000003</v>
      </c>
      <c r="F3589" s="16">
        <v>0.09</v>
      </c>
      <c r="G3589" s="15" t="s">
        <v>32</v>
      </c>
      <c r="H3589" s="18">
        <v>-131.08000000000001</v>
      </c>
      <c r="I3589" s="19">
        <v>5.98</v>
      </c>
      <c r="J3589" s="19">
        <v>4.6900000000000004</v>
      </c>
      <c r="K3589" s="19" t="s">
        <v>33</v>
      </c>
      <c r="L3589" s="19" t="s">
        <v>128</v>
      </c>
      <c r="M3589" s="15" t="s">
        <v>129</v>
      </c>
      <c r="N3589" s="15" t="s">
        <v>36</v>
      </c>
      <c r="O3589" s="15" t="s">
        <v>37</v>
      </c>
      <c r="P3589" s="20" t="s">
        <v>813</v>
      </c>
      <c r="Q3589" s="15" t="s">
        <v>83</v>
      </c>
      <c r="R3589" s="4"/>
      <c r="S3589" s="4"/>
    </row>
    <row r="3590" spans="1:19" ht="21" customHeight="1" x14ac:dyDescent="0.25">
      <c r="A3590" s="14">
        <f>DATE(2012,12,31)-667</f>
        <v>40607</v>
      </c>
      <c r="B3590" s="15" t="s">
        <v>1889</v>
      </c>
      <c r="C3590" s="15" t="s">
        <v>31</v>
      </c>
      <c r="D3590" s="16">
        <v>23</v>
      </c>
      <c r="E3590" s="17">
        <v>862.64</v>
      </c>
      <c r="F3590" s="16">
        <v>0.04</v>
      </c>
      <c r="G3590" s="15" t="s">
        <v>32</v>
      </c>
      <c r="H3590" s="18">
        <v>122.11</v>
      </c>
      <c r="I3590" s="19">
        <v>35.89</v>
      </c>
      <c r="J3590" s="19">
        <v>14.72</v>
      </c>
      <c r="K3590" s="19" t="s">
        <v>33</v>
      </c>
      <c r="L3590" s="19" t="s">
        <v>93</v>
      </c>
      <c r="M3590" s="15" t="s">
        <v>94</v>
      </c>
      <c r="N3590" s="15" t="s">
        <v>36</v>
      </c>
      <c r="O3590" s="15" t="s">
        <v>189</v>
      </c>
      <c r="P3590" s="20" t="s">
        <v>1677</v>
      </c>
      <c r="Q3590" s="15" t="s">
        <v>83</v>
      </c>
      <c r="R3590" s="4"/>
      <c r="S3590" s="4"/>
    </row>
    <row r="3591" spans="1:19" ht="21" customHeight="1" x14ac:dyDescent="0.25">
      <c r="A3591" s="14">
        <f>DATE(2012,12,31)-518</f>
        <v>40756</v>
      </c>
      <c r="B3591" s="15" t="s">
        <v>898</v>
      </c>
      <c r="C3591" s="15" t="s">
        <v>31</v>
      </c>
      <c r="D3591" s="16">
        <v>36</v>
      </c>
      <c r="E3591" s="17">
        <v>5140.08</v>
      </c>
      <c r="F3591" s="16">
        <v>0.06</v>
      </c>
      <c r="G3591" s="15" t="s">
        <v>58</v>
      </c>
      <c r="H3591" s="18">
        <v>-582.42600000000004</v>
      </c>
      <c r="I3591" s="19">
        <v>145.97999999999999</v>
      </c>
      <c r="J3591" s="19">
        <v>51.92</v>
      </c>
      <c r="K3591" s="19" t="s">
        <v>97</v>
      </c>
      <c r="L3591" s="19" t="s">
        <v>195</v>
      </c>
      <c r="M3591" s="15" t="s">
        <v>2040</v>
      </c>
      <c r="N3591" s="15" t="s">
        <v>54</v>
      </c>
      <c r="O3591" s="15" t="s">
        <v>61</v>
      </c>
      <c r="P3591" s="20" t="s">
        <v>910</v>
      </c>
      <c r="Q3591" s="15" t="s">
        <v>63</v>
      </c>
      <c r="R3591" s="4"/>
      <c r="S3591" s="4"/>
    </row>
    <row r="3592" spans="1:19" ht="21" customHeight="1" x14ac:dyDescent="0.25">
      <c r="A3592" s="14">
        <f>DATE(2012,12,31)-886</f>
        <v>40388</v>
      </c>
      <c r="B3592" s="15" t="s">
        <v>2073</v>
      </c>
      <c r="C3592" s="15" t="s">
        <v>43</v>
      </c>
      <c r="D3592" s="16">
        <v>29</v>
      </c>
      <c r="E3592" s="17">
        <v>593.32000000000005</v>
      </c>
      <c r="F3592" s="16">
        <v>0.03</v>
      </c>
      <c r="G3592" s="15" t="s">
        <v>32</v>
      </c>
      <c r="H3592" s="18">
        <v>28.99</v>
      </c>
      <c r="I3592" s="19">
        <v>20.95</v>
      </c>
      <c r="J3592" s="19">
        <v>4</v>
      </c>
      <c r="K3592" s="19" t="s">
        <v>97</v>
      </c>
      <c r="L3592" s="19" t="s">
        <v>98</v>
      </c>
      <c r="M3592" s="15" t="s">
        <v>1991</v>
      </c>
      <c r="N3592" s="15" t="s">
        <v>64</v>
      </c>
      <c r="O3592" s="15" t="s">
        <v>72</v>
      </c>
      <c r="P3592" s="20" t="s">
        <v>1259</v>
      </c>
      <c r="Q3592" s="15" t="s">
        <v>83</v>
      </c>
      <c r="R3592" s="4"/>
      <c r="S3592" s="4"/>
    </row>
    <row r="3593" spans="1:19" ht="21" customHeight="1" x14ac:dyDescent="0.25">
      <c r="A3593" s="14">
        <f>DATE(2012,12,31)-886</f>
        <v>40388</v>
      </c>
      <c r="B3593" s="15" t="s">
        <v>2073</v>
      </c>
      <c r="C3593" s="15" t="s">
        <v>43</v>
      </c>
      <c r="D3593" s="16">
        <v>26</v>
      </c>
      <c r="E3593" s="17">
        <v>626.07000000000005</v>
      </c>
      <c r="F3593" s="16">
        <v>0.03</v>
      </c>
      <c r="G3593" s="15" t="s">
        <v>101</v>
      </c>
      <c r="H3593" s="18">
        <v>185.32</v>
      </c>
      <c r="I3593" s="19">
        <v>23.99</v>
      </c>
      <c r="J3593" s="19">
        <v>6.71</v>
      </c>
      <c r="K3593" s="19" t="s">
        <v>124</v>
      </c>
      <c r="L3593" s="19" t="s">
        <v>493</v>
      </c>
      <c r="M3593" s="15" t="s">
        <v>2050</v>
      </c>
      <c r="N3593" s="15" t="s">
        <v>36</v>
      </c>
      <c r="O3593" s="15" t="s">
        <v>189</v>
      </c>
      <c r="P3593" s="20" t="s">
        <v>1556</v>
      </c>
      <c r="Q3593" s="15" t="s">
        <v>83</v>
      </c>
      <c r="R3593" s="4"/>
      <c r="S3593" s="4"/>
    </row>
    <row r="3594" spans="1:19" ht="21" customHeight="1" x14ac:dyDescent="0.25">
      <c r="A3594" s="14">
        <f>DATE(2012,12,31)-216</f>
        <v>41058</v>
      </c>
      <c r="B3594" s="15" t="s">
        <v>1458</v>
      </c>
      <c r="C3594" s="15" t="s">
        <v>85</v>
      </c>
      <c r="D3594" s="16">
        <v>14</v>
      </c>
      <c r="E3594" s="17">
        <v>633.08000000000004</v>
      </c>
      <c r="F3594" s="16">
        <v>0.04</v>
      </c>
      <c r="G3594" s="15" t="s">
        <v>101</v>
      </c>
      <c r="H3594" s="18">
        <v>145.47999999999999</v>
      </c>
      <c r="I3594" s="19">
        <v>42.98</v>
      </c>
      <c r="J3594" s="19">
        <v>4.62</v>
      </c>
      <c r="K3594" s="19" t="s">
        <v>124</v>
      </c>
      <c r="L3594" s="19" t="s">
        <v>160</v>
      </c>
      <c r="M3594" s="15" t="s">
        <v>1951</v>
      </c>
      <c r="N3594" s="15" t="s">
        <v>36</v>
      </c>
      <c r="O3594" s="15" t="s">
        <v>176</v>
      </c>
      <c r="P3594" s="20" t="s">
        <v>1670</v>
      </c>
      <c r="Q3594" s="15" t="s">
        <v>83</v>
      </c>
      <c r="R3594" s="4"/>
      <c r="S3594" s="4"/>
    </row>
    <row r="3595" spans="1:19" ht="21" customHeight="1" x14ac:dyDescent="0.25">
      <c r="A3595" s="14">
        <f>DATE(2012,12,31)-216</f>
        <v>41058</v>
      </c>
      <c r="B3595" s="15" t="s">
        <v>1458</v>
      </c>
      <c r="C3595" s="15" t="s">
        <v>85</v>
      </c>
      <c r="D3595" s="16">
        <v>22</v>
      </c>
      <c r="E3595" s="17">
        <v>110.42</v>
      </c>
      <c r="F3595" s="16">
        <v>0.09</v>
      </c>
      <c r="G3595" s="15" t="s">
        <v>32</v>
      </c>
      <c r="H3595" s="18">
        <v>-36.6</v>
      </c>
      <c r="I3595" s="19">
        <v>5.08</v>
      </c>
      <c r="J3595" s="19">
        <v>3.63</v>
      </c>
      <c r="K3595" s="19" t="s">
        <v>124</v>
      </c>
      <c r="L3595" s="19" t="s">
        <v>158</v>
      </c>
      <c r="M3595" s="15" t="s">
        <v>158</v>
      </c>
      <c r="N3595" s="15" t="s">
        <v>54</v>
      </c>
      <c r="O3595" s="15" t="s">
        <v>55</v>
      </c>
      <c r="P3595" s="20" t="s">
        <v>1325</v>
      </c>
      <c r="Q3595" s="15" t="s">
        <v>79</v>
      </c>
      <c r="R3595" s="4"/>
      <c r="S3595" s="4"/>
    </row>
    <row r="3596" spans="1:19" ht="21" customHeight="1" x14ac:dyDescent="0.25">
      <c r="A3596" s="14">
        <f>DATE(2012,12,31)-310</f>
        <v>40964</v>
      </c>
      <c r="B3596" s="15" t="s">
        <v>1824</v>
      </c>
      <c r="C3596" s="15" t="s">
        <v>43</v>
      </c>
      <c r="D3596" s="16">
        <v>12</v>
      </c>
      <c r="E3596" s="17">
        <v>2409.4240000000004</v>
      </c>
      <c r="F3596" s="16">
        <v>0.1</v>
      </c>
      <c r="G3596" s="15" t="s">
        <v>58</v>
      </c>
      <c r="H3596" s="18">
        <v>50.95</v>
      </c>
      <c r="I3596" s="19">
        <v>259.70999999999998</v>
      </c>
      <c r="J3596" s="19">
        <v>66.67</v>
      </c>
      <c r="K3596" s="19" t="s">
        <v>124</v>
      </c>
      <c r="L3596" s="19" t="s">
        <v>319</v>
      </c>
      <c r="M3596" s="15" t="s">
        <v>1966</v>
      </c>
      <c r="N3596" s="15" t="s">
        <v>54</v>
      </c>
      <c r="O3596" s="15" t="s">
        <v>61</v>
      </c>
      <c r="P3596" s="20" t="s">
        <v>1293</v>
      </c>
      <c r="Q3596" s="15" t="s">
        <v>63</v>
      </c>
      <c r="R3596" s="4"/>
      <c r="S3596" s="4"/>
    </row>
    <row r="3597" spans="1:19" ht="21" customHeight="1" x14ac:dyDescent="0.25">
      <c r="A3597" s="14">
        <f>DATE(2012,12,31)-1243</f>
        <v>40031</v>
      </c>
      <c r="B3597" s="15" t="s">
        <v>2074</v>
      </c>
      <c r="C3597" s="15" t="s">
        <v>51</v>
      </c>
      <c r="D3597" s="16">
        <v>31</v>
      </c>
      <c r="E3597" s="17">
        <v>163.89</v>
      </c>
      <c r="F3597" s="16">
        <v>0.02</v>
      </c>
      <c r="G3597" s="15" t="s">
        <v>32</v>
      </c>
      <c r="H3597" s="18">
        <v>-108.55</v>
      </c>
      <c r="I3597" s="19">
        <v>4.8899999999999997</v>
      </c>
      <c r="J3597" s="19">
        <v>4.93</v>
      </c>
      <c r="K3597" s="19" t="s">
        <v>44</v>
      </c>
      <c r="L3597" s="19" t="s">
        <v>236</v>
      </c>
      <c r="M3597" s="15" t="s">
        <v>2051</v>
      </c>
      <c r="N3597" s="15" t="s">
        <v>64</v>
      </c>
      <c r="O3597" s="15" t="s">
        <v>72</v>
      </c>
      <c r="P3597" s="20" t="s">
        <v>480</v>
      </c>
      <c r="Q3597" s="15" t="s">
        <v>49</v>
      </c>
      <c r="R3597" s="4"/>
      <c r="S3597" s="4"/>
    </row>
    <row r="3598" spans="1:19" ht="21" customHeight="1" x14ac:dyDescent="0.25">
      <c r="A3598" s="14">
        <f>DATE(2012,12,31)-1243</f>
        <v>40031</v>
      </c>
      <c r="B3598" s="15" t="s">
        <v>2074</v>
      </c>
      <c r="C3598" s="15" t="s">
        <v>51</v>
      </c>
      <c r="D3598" s="16">
        <v>12</v>
      </c>
      <c r="E3598" s="17">
        <v>115.45</v>
      </c>
      <c r="F3598" s="16">
        <v>7.0000000000000007E-2</v>
      </c>
      <c r="G3598" s="15" t="s">
        <v>32</v>
      </c>
      <c r="H3598" s="18">
        <v>23.53</v>
      </c>
      <c r="I3598" s="19">
        <v>10.06</v>
      </c>
      <c r="J3598" s="19">
        <v>2.06</v>
      </c>
      <c r="K3598" s="19" t="s">
        <v>44</v>
      </c>
      <c r="L3598" s="19" t="s">
        <v>52</v>
      </c>
      <c r="M3598" s="15" t="s">
        <v>2068</v>
      </c>
      <c r="N3598" s="15" t="s">
        <v>36</v>
      </c>
      <c r="O3598" s="15" t="s">
        <v>117</v>
      </c>
      <c r="P3598" s="20" t="s">
        <v>837</v>
      </c>
      <c r="Q3598" s="15" t="s">
        <v>79</v>
      </c>
      <c r="R3598" s="4"/>
      <c r="S3598" s="4"/>
    </row>
    <row r="3599" spans="1:19" ht="21" customHeight="1" x14ac:dyDescent="0.25">
      <c r="A3599" s="14">
        <f>DATE(2012,12,31)-120</f>
        <v>41154</v>
      </c>
      <c r="B3599" s="15" t="s">
        <v>1439</v>
      </c>
      <c r="C3599" s="15" t="s">
        <v>85</v>
      </c>
      <c r="D3599" s="16">
        <v>23</v>
      </c>
      <c r="E3599" s="17">
        <v>260.08</v>
      </c>
      <c r="F3599" s="16">
        <v>0.1</v>
      </c>
      <c r="G3599" s="15" t="s">
        <v>32</v>
      </c>
      <c r="H3599" s="18">
        <v>-37.85</v>
      </c>
      <c r="I3599" s="19">
        <v>12.21</v>
      </c>
      <c r="J3599" s="19">
        <v>4.8099999999999996</v>
      </c>
      <c r="K3599" s="19" t="s">
        <v>33</v>
      </c>
      <c r="L3599" s="19" t="s">
        <v>34</v>
      </c>
      <c r="M3599" s="15" t="s">
        <v>2043</v>
      </c>
      <c r="N3599" s="15" t="s">
        <v>36</v>
      </c>
      <c r="O3599" s="15" t="s">
        <v>37</v>
      </c>
      <c r="P3599" s="20" t="s">
        <v>1674</v>
      </c>
      <c r="Q3599" s="15" t="s">
        <v>83</v>
      </c>
      <c r="R3599" s="4"/>
      <c r="S3599" s="4"/>
    </row>
    <row r="3600" spans="1:19" ht="21" customHeight="1" x14ac:dyDescent="0.25">
      <c r="A3600" s="14">
        <f>DATE(2012,12,31)-120</f>
        <v>41154</v>
      </c>
      <c r="B3600" s="15" t="s">
        <v>1439</v>
      </c>
      <c r="C3600" s="15" t="s">
        <v>85</v>
      </c>
      <c r="D3600" s="16">
        <v>36</v>
      </c>
      <c r="E3600" s="17">
        <v>5072.34</v>
      </c>
      <c r="F3600" s="16">
        <v>0.06</v>
      </c>
      <c r="G3600" s="15" t="s">
        <v>32</v>
      </c>
      <c r="H3600" s="18">
        <v>369.46</v>
      </c>
      <c r="I3600" s="19">
        <v>140.85</v>
      </c>
      <c r="J3600" s="19">
        <v>19.989999999999998</v>
      </c>
      <c r="K3600" s="19" t="s">
        <v>111</v>
      </c>
      <c r="L3600" s="19" t="s">
        <v>258</v>
      </c>
      <c r="M3600" s="15" t="s">
        <v>259</v>
      </c>
      <c r="N3600" s="15" t="s">
        <v>36</v>
      </c>
      <c r="O3600" s="15" t="s">
        <v>37</v>
      </c>
      <c r="P3600" s="20" t="s">
        <v>634</v>
      </c>
      <c r="Q3600" s="15" t="s">
        <v>83</v>
      </c>
      <c r="R3600" s="4"/>
      <c r="S3600" s="4"/>
    </row>
    <row r="3601" spans="1:19" ht="21" customHeight="1" x14ac:dyDescent="0.25">
      <c r="A3601" s="14">
        <f>DATE(2012,12,31)-715</f>
        <v>40559</v>
      </c>
      <c r="B3601" s="15" t="s">
        <v>836</v>
      </c>
      <c r="C3601" s="15" t="s">
        <v>85</v>
      </c>
      <c r="D3601" s="16">
        <v>12</v>
      </c>
      <c r="E3601" s="17">
        <v>45.63</v>
      </c>
      <c r="F3601" s="16">
        <v>0.02</v>
      </c>
      <c r="G3601" s="15" t="s">
        <v>32</v>
      </c>
      <c r="H3601" s="18">
        <v>15.42</v>
      </c>
      <c r="I3601" s="19">
        <v>3.69</v>
      </c>
      <c r="J3601" s="19">
        <v>0.5</v>
      </c>
      <c r="K3601" s="19" t="s">
        <v>44</v>
      </c>
      <c r="L3601" s="19" t="s">
        <v>120</v>
      </c>
      <c r="M3601" s="15" t="s">
        <v>2025</v>
      </c>
      <c r="N3601" s="15" t="s">
        <v>36</v>
      </c>
      <c r="O3601" s="15" t="s">
        <v>114</v>
      </c>
      <c r="P3601" s="20" t="s">
        <v>1169</v>
      </c>
      <c r="Q3601" s="15" t="s">
        <v>83</v>
      </c>
      <c r="R3601" s="4"/>
      <c r="S3601" s="4"/>
    </row>
    <row r="3602" spans="1:19" ht="21" customHeight="1" x14ac:dyDescent="0.25">
      <c r="A3602" s="14">
        <f>DATE(2012,12,31)-615</f>
        <v>40659</v>
      </c>
      <c r="B3602" s="15" t="s">
        <v>516</v>
      </c>
      <c r="C3602" s="15" t="s">
        <v>31</v>
      </c>
      <c r="D3602" s="16">
        <v>46</v>
      </c>
      <c r="E3602" s="17">
        <v>400.25</v>
      </c>
      <c r="F3602" s="16">
        <v>0.02</v>
      </c>
      <c r="G3602" s="15" t="s">
        <v>32</v>
      </c>
      <c r="H3602" s="18">
        <v>-37.5</v>
      </c>
      <c r="I3602" s="19">
        <v>8.4600000000000009</v>
      </c>
      <c r="J3602" s="19">
        <v>3.62</v>
      </c>
      <c r="K3602" s="19" t="s">
        <v>44</v>
      </c>
      <c r="L3602" s="19" t="s">
        <v>89</v>
      </c>
      <c r="M3602" s="15" t="s">
        <v>1932</v>
      </c>
      <c r="N3602" s="15" t="s">
        <v>64</v>
      </c>
      <c r="O3602" s="15" t="s">
        <v>72</v>
      </c>
      <c r="P3602" s="20" t="s">
        <v>385</v>
      </c>
      <c r="Q3602" s="15" t="s">
        <v>49</v>
      </c>
      <c r="R3602" s="4"/>
      <c r="S3602" s="4"/>
    </row>
    <row r="3603" spans="1:19" ht="21" customHeight="1" x14ac:dyDescent="0.25">
      <c r="A3603" s="14">
        <f>DATE(2012,12,31)-233</f>
        <v>41041</v>
      </c>
      <c r="B3603" s="15" t="s">
        <v>710</v>
      </c>
      <c r="C3603" s="15" t="s">
        <v>31</v>
      </c>
      <c r="D3603" s="16">
        <v>24</v>
      </c>
      <c r="E3603" s="17">
        <v>557.23</v>
      </c>
      <c r="F3603" s="16">
        <v>0.09</v>
      </c>
      <c r="G3603" s="15" t="s">
        <v>32</v>
      </c>
      <c r="H3603" s="18">
        <v>-42.987000000000002</v>
      </c>
      <c r="I3603" s="19">
        <v>24.92</v>
      </c>
      <c r="J3603" s="19">
        <v>12.98</v>
      </c>
      <c r="K3603" s="19" t="s">
        <v>44</v>
      </c>
      <c r="L3603" s="19" t="s">
        <v>89</v>
      </c>
      <c r="M3603" s="15" t="s">
        <v>1932</v>
      </c>
      <c r="N3603" s="15" t="s">
        <v>36</v>
      </c>
      <c r="O3603" s="15" t="s">
        <v>170</v>
      </c>
      <c r="P3603" s="20" t="s">
        <v>171</v>
      </c>
      <c r="Q3603" s="15" t="s">
        <v>83</v>
      </c>
      <c r="R3603" s="4"/>
      <c r="S3603" s="4"/>
    </row>
    <row r="3604" spans="1:19" ht="21" customHeight="1" x14ac:dyDescent="0.25">
      <c r="A3604" s="14">
        <f>DATE(2012,12,31)-732</f>
        <v>40542</v>
      </c>
      <c r="B3604" s="15" t="s">
        <v>808</v>
      </c>
      <c r="C3604" s="15" t="s">
        <v>43</v>
      </c>
      <c r="D3604" s="16">
        <v>45</v>
      </c>
      <c r="E3604" s="17">
        <v>260.37</v>
      </c>
      <c r="F3604" s="16">
        <v>0.02</v>
      </c>
      <c r="G3604" s="15" t="s">
        <v>32</v>
      </c>
      <c r="H3604" s="18">
        <v>44.15</v>
      </c>
      <c r="I3604" s="19">
        <v>5.58</v>
      </c>
      <c r="J3604" s="19">
        <v>1.99</v>
      </c>
      <c r="K3604" s="19" t="s">
        <v>33</v>
      </c>
      <c r="L3604" s="19" t="s">
        <v>93</v>
      </c>
      <c r="M3604" s="15" t="s">
        <v>94</v>
      </c>
      <c r="N3604" s="15" t="s">
        <v>36</v>
      </c>
      <c r="O3604" s="15" t="s">
        <v>77</v>
      </c>
      <c r="P3604" s="20" t="s">
        <v>538</v>
      </c>
      <c r="Q3604" s="15" t="s">
        <v>79</v>
      </c>
      <c r="R3604" s="4"/>
      <c r="S3604" s="4"/>
    </row>
    <row r="3605" spans="1:19" ht="21" customHeight="1" x14ac:dyDescent="0.25">
      <c r="A3605" s="14">
        <f>DATE(2012,12,31)-303</f>
        <v>40971</v>
      </c>
      <c r="B3605" s="15" t="s">
        <v>1103</v>
      </c>
      <c r="C3605" s="15" t="s">
        <v>51</v>
      </c>
      <c r="D3605" s="16">
        <v>7</v>
      </c>
      <c r="E3605" s="17">
        <v>261.88</v>
      </c>
      <c r="F3605" s="16">
        <v>0.08</v>
      </c>
      <c r="G3605" s="15" t="s">
        <v>32</v>
      </c>
      <c r="H3605" s="18">
        <v>-59.2</v>
      </c>
      <c r="I3605" s="19">
        <v>39.479999999999997</v>
      </c>
      <c r="J3605" s="19">
        <v>1.99</v>
      </c>
      <c r="K3605" s="19" t="s">
        <v>33</v>
      </c>
      <c r="L3605" s="19" t="s">
        <v>145</v>
      </c>
      <c r="M3605" s="15" t="s">
        <v>2055</v>
      </c>
      <c r="N3605" s="15" t="s">
        <v>64</v>
      </c>
      <c r="O3605" s="15" t="s">
        <v>72</v>
      </c>
      <c r="P3605" s="20" t="s">
        <v>218</v>
      </c>
      <c r="Q3605" s="15" t="s">
        <v>49</v>
      </c>
      <c r="R3605" s="4"/>
      <c r="S3605" s="4"/>
    </row>
    <row r="3606" spans="1:19" ht="21" customHeight="1" x14ac:dyDescent="0.25">
      <c r="A3606" s="14">
        <f>DATE(2012,12,31)-303</f>
        <v>40971</v>
      </c>
      <c r="B3606" s="15" t="s">
        <v>1103</v>
      </c>
      <c r="C3606" s="15" t="s">
        <v>51</v>
      </c>
      <c r="D3606" s="16">
        <v>15</v>
      </c>
      <c r="E3606" s="17">
        <v>593.73</v>
      </c>
      <c r="F3606" s="16">
        <v>0.04</v>
      </c>
      <c r="G3606" s="15" t="s">
        <v>32</v>
      </c>
      <c r="H3606" s="18">
        <v>108.01</v>
      </c>
      <c r="I3606" s="19">
        <v>38.76</v>
      </c>
      <c r="J3606" s="19">
        <v>13.26</v>
      </c>
      <c r="K3606" s="19" t="s">
        <v>33</v>
      </c>
      <c r="L3606" s="19" t="s">
        <v>93</v>
      </c>
      <c r="M3606" s="15" t="s">
        <v>94</v>
      </c>
      <c r="N3606" s="15" t="s">
        <v>36</v>
      </c>
      <c r="O3606" s="15" t="s">
        <v>117</v>
      </c>
      <c r="P3606" s="20" t="s">
        <v>720</v>
      </c>
      <c r="Q3606" s="15" t="s">
        <v>83</v>
      </c>
      <c r="R3606" s="4"/>
      <c r="S3606" s="4"/>
    </row>
    <row r="3607" spans="1:19" ht="21" customHeight="1" x14ac:dyDescent="0.25">
      <c r="A3607" s="14">
        <f>DATE(2012,12,31)-268</f>
        <v>41006</v>
      </c>
      <c r="B3607" s="15" t="s">
        <v>572</v>
      </c>
      <c r="C3607" s="15" t="s">
        <v>31</v>
      </c>
      <c r="D3607" s="16">
        <v>27</v>
      </c>
      <c r="E3607" s="17">
        <v>3436.7710000000002</v>
      </c>
      <c r="F3607" s="16">
        <v>0.04</v>
      </c>
      <c r="G3607" s="15" t="s">
        <v>32</v>
      </c>
      <c r="H3607" s="18">
        <v>520.00199999999995</v>
      </c>
      <c r="I3607" s="19">
        <v>155.99</v>
      </c>
      <c r="J3607" s="19">
        <v>8.99</v>
      </c>
      <c r="K3607" s="19" t="s">
        <v>97</v>
      </c>
      <c r="L3607" s="19" t="s">
        <v>283</v>
      </c>
      <c r="M3607" s="15" t="s">
        <v>1901</v>
      </c>
      <c r="N3607" s="15" t="s">
        <v>64</v>
      </c>
      <c r="O3607" s="15" t="s">
        <v>65</v>
      </c>
      <c r="P3607" s="20" t="s">
        <v>438</v>
      </c>
      <c r="Q3607" s="15" t="s">
        <v>83</v>
      </c>
      <c r="R3607" s="4"/>
      <c r="S3607" s="4"/>
    </row>
    <row r="3608" spans="1:19" ht="21" customHeight="1" x14ac:dyDescent="0.25">
      <c r="A3608" s="14">
        <f>DATE(2012,12,31)-121</f>
        <v>41153</v>
      </c>
      <c r="B3608" s="15" t="s">
        <v>657</v>
      </c>
      <c r="C3608" s="15" t="s">
        <v>43</v>
      </c>
      <c r="D3608" s="16">
        <v>28</v>
      </c>
      <c r="E3608" s="17">
        <v>925.43</v>
      </c>
      <c r="F3608" s="16">
        <v>0</v>
      </c>
      <c r="G3608" s="15" t="s">
        <v>32</v>
      </c>
      <c r="H3608" s="18">
        <v>368.86</v>
      </c>
      <c r="I3608" s="19">
        <v>31.78</v>
      </c>
      <c r="J3608" s="19">
        <v>1.99</v>
      </c>
      <c r="K3608" s="19" t="s">
        <v>97</v>
      </c>
      <c r="L3608" s="19" t="s">
        <v>195</v>
      </c>
      <c r="M3608" s="15" t="s">
        <v>2040</v>
      </c>
      <c r="N3608" s="15" t="s">
        <v>64</v>
      </c>
      <c r="O3608" s="15" t="s">
        <v>72</v>
      </c>
      <c r="P3608" s="20" t="s">
        <v>421</v>
      </c>
      <c r="Q3608" s="15" t="s">
        <v>49</v>
      </c>
      <c r="R3608" s="4"/>
      <c r="S3608" s="4"/>
    </row>
    <row r="3609" spans="1:19" ht="21" customHeight="1" x14ac:dyDescent="0.25">
      <c r="A3609" s="14">
        <f>DATE(2012,12,31)-676</f>
        <v>40598</v>
      </c>
      <c r="B3609" s="15" t="s">
        <v>1532</v>
      </c>
      <c r="C3609" s="15" t="s">
        <v>31</v>
      </c>
      <c r="D3609" s="16">
        <v>38</v>
      </c>
      <c r="E3609" s="17">
        <v>136.5</v>
      </c>
      <c r="F3609" s="16">
        <v>0.05</v>
      </c>
      <c r="G3609" s="15" t="s">
        <v>32</v>
      </c>
      <c r="H3609" s="18">
        <v>-216.66</v>
      </c>
      <c r="I3609" s="19">
        <v>3.34</v>
      </c>
      <c r="J3609" s="19">
        <v>7.49</v>
      </c>
      <c r="K3609" s="19" t="s">
        <v>97</v>
      </c>
      <c r="L3609" s="19" t="s">
        <v>283</v>
      </c>
      <c r="M3609" s="15" t="s">
        <v>1901</v>
      </c>
      <c r="N3609" s="15" t="s">
        <v>36</v>
      </c>
      <c r="O3609" s="15" t="s">
        <v>77</v>
      </c>
      <c r="P3609" s="20" t="s">
        <v>1836</v>
      </c>
      <c r="Q3609" s="15" t="s">
        <v>79</v>
      </c>
      <c r="R3609" s="4"/>
      <c r="S3609" s="4"/>
    </row>
    <row r="3610" spans="1:19" ht="21" customHeight="1" x14ac:dyDescent="0.25">
      <c r="A3610" s="14">
        <f>DATE(2012,12,31)-1214</f>
        <v>40060</v>
      </c>
      <c r="B3610" s="15" t="s">
        <v>1043</v>
      </c>
      <c r="C3610" s="15" t="s">
        <v>85</v>
      </c>
      <c r="D3610" s="16">
        <v>5</v>
      </c>
      <c r="E3610" s="17">
        <v>25.27</v>
      </c>
      <c r="F3610" s="16">
        <v>0.01</v>
      </c>
      <c r="G3610" s="15" t="s">
        <v>32</v>
      </c>
      <c r="H3610" s="18">
        <v>-19.93</v>
      </c>
      <c r="I3610" s="19">
        <v>3.95</v>
      </c>
      <c r="J3610" s="19">
        <v>5.13</v>
      </c>
      <c r="K3610" s="19" t="s">
        <v>33</v>
      </c>
      <c r="L3610" s="19" t="s">
        <v>93</v>
      </c>
      <c r="M3610" s="15" t="s">
        <v>94</v>
      </c>
      <c r="N3610" s="15" t="s">
        <v>36</v>
      </c>
      <c r="O3610" s="15" t="s">
        <v>176</v>
      </c>
      <c r="P3610" s="20" t="s">
        <v>565</v>
      </c>
      <c r="Q3610" s="15" t="s">
        <v>83</v>
      </c>
      <c r="R3610" s="4"/>
      <c r="S3610" s="4"/>
    </row>
    <row r="3611" spans="1:19" ht="21" customHeight="1" x14ac:dyDescent="0.25">
      <c r="A3611" s="14">
        <f>DATE(2012,12,31)-1214</f>
        <v>40060</v>
      </c>
      <c r="B3611" s="15" t="s">
        <v>1043</v>
      </c>
      <c r="C3611" s="15" t="s">
        <v>85</v>
      </c>
      <c r="D3611" s="16">
        <v>37</v>
      </c>
      <c r="E3611" s="17">
        <v>14410.78</v>
      </c>
      <c r="F3611" s="16">
        <v>0.02</v>
      </c>
      <c r="G3611" s="15" t="s">
        <v>32</v>
      </c>
      <c r="H3611" s="18">
        <v>6365.5820000000003</v>
      </c>
      <c r="I3611" s="19">
        <v>367.99</v>
      </c>
      <c r="J3611" s="19">
        <v>19.989999999999998</v>
      </c>
      <c r="K3611" s="19" t="s">
        <v>33</v>
      </c>
      <c r="L3611" s="19" t="s">
        <v>59</v>
      </c>
      <c r="M3611" s="15" t="s">
        <v>2033</v>
      </c>
      <c r="N3611" s="15" t="s">
        <v>36</v>
      </c>
      <c r="O3611" s="15" t="s">
        <v>170</v>
      </c>
      <c r="P3611" s="20" t="s">
        <v>2030</v>
      </c>
      <c r="Q3611" s="15" t="s">
        <v>83</v>
      </c>
      <c r="R3611" s="4"/>
      <c r="S3611" s="4"/>
    </row>
    <row r="3612" spans="1:19" ht="21" customHeight="1" x14ac:dyDescent="0.25">
      <c r="A3612" s="14">
        <f>DATE(2012,12,31)-1214</f>
        <v>40060</v>
      </c>
      <c r="B3612" s="15" t="s">
        <v>1043</v>
      </c>
      <c r="C3612" s="15" t="s">
        <v>85</v>
      </c>
      <c r="D3612" s="16">
        <v>39</v>
      </c>
      <c r="E3612" s="17">
        <v>15341.46</v>
      </c>
      <c r="F3612" s="16">
        <v>0</v>
      </c>
      <c r="G3612" s="15" t="s">
        <v>58</v>
      </c>
      <c r="H3612" s="18">
        <v>394.52</v>
      </c>
      <c r="I3612" s="19">
        <v>376.13</v>
      </c>
      <c r="J3612" s="19">
        <v>85.63</v>
      </c>
      <c r="K3612" s="19" t="s">
        <v>33</v>
      </c>
      <c r="L3612" s="19" t="s">
        <v>145</v>
      </c>
      <c r="M3612" s="15" t="s">
        <v>2055</v>
      </c>
      <c r="N3612" s="15" t="s">
        <v>54</v>
      </c>
      <c r="O3612" s="15" t="s">
        <v>61</v>
      </c>
      <c r="P3612" s="20" t="s">
        <v>1159</v>
      </c>
      <c r="Q3612" s="15" t="s">
        <v>63</v>
      </c>
      <c r="R3612" s="4"/>
      <c r="S3612" s="4"/>
    </row>
    <row r="3613" spans="1:19" ht="21" customHeight="1" x14ac:dyDescent="0.25">
      <c r="A3613" s="14">
        <f>DATE(2012,12,31)-1214</f>
        <v>40060</v>
      </c>
      <c r="B3613" s="15" t="s">
        <v>1043</v>
      </c>
      <c r="C3613" s="15" t="s">
        <v>85</v>
      </c>
      <c r="D3613" s="16">
        <v>6</v>
      </c>
      <c r="E3613" s="17">
        <v>507.56049999999999</v>
      </c>
      <c r="F3613" s="16">
        <v>0.04</v>
      </c>
      <c r="G3613" s="15" t="s">
        <v>32</v>
      </c>
      <c r="H3613" s="18">
        <v>-258.22500000000002</v>
      </c>
      <c r="I3613" s="19">
        <v>95.99</v>
      </c>
      <c r="J3613" s="19">
        <v>4.9000000000000004</v>
      </c>
      <c r="K3613" s="19" t="s">
        <v>33</v>
      </c>
      <c r="L3613" s="19" t="s">
        <v>145</v>
      </c>
      <c r="M3613" s="15" t="s">
        <v>2055</v>
      </c>
      <c r="N3613" s="15" t="s">
        <v>64</v>
      </c>
      <c r="O3613" s="15" t="s">
        <v>65</v>
      </c>
      <c r="P3613" s="20" t="s">
        <v>477</v>
      </c>
      <c r="Q3613" s="15" t="s">
        <v>83</v>
      </c>
      <c r="R3613" s="4"/>
      <c r="S3613" s="4"/>
    </row>
    <row r="3614" spans="1:19" ht="21" customHeight="1" x14ac:dyDescent="0.25">
      <c r="A3614" s="14">
        <f>DATE(2012,12,31)-165</f>
        <v>41109</v>
      </c>
      <c r="B3614" s="15" t="s">
        <v>791</v>
      </c>
      <c r="C3614" s="15" t="s">
        <v>43</v>
      </c>
      <c r="D3614" s="16">
        <v>45</v>
      </c>
      <c r="E3614" s="17">
        <v>483.74</v>
      </c>
      <c r="F3614" s="16">
        <v>0.02</v>
      </c>
      <c r="G3614" s="15" t="s">
        <v>32</v>
      </c>
      <c r="H3614" s="18">
        <v>206.27</v>
      </c>
      <c r="I3614" s="19">
        <v>10.31</v>
      </c>
      <c r="J3614" s="19">
        <v>1.79</v>
      </c>
      <c r="K3614" s="19" t="s">
        <v>33</v>
      </c>
      <c r="L3614" s="19" t="s">
        <v>145</v>
      </c>
      <c r="M3614" s="15" t="s">
        <v>2055</v>
      </c>
      <c r="N3614" s="15" t="s">
        <v>36</v>
      </c>
      <c r="O3614" s="15" t="s">
        <v>117</v>
      </c>
      <c r="P3614" s="20" t="s">
        <v>1011</v>
      </c>
      <c r="Q3614" s="15" t="s">
        <v>79</v>
      </c>
      <c r="R3614" s="4"/>
      <c r="S3614" s="4"/>
    </row>
    <row r="3615" spans="1:19" ht="21" customHeight="1" x14ac:dyDescent="0.25">
      <c r="A3615" s="14">
        <f>DATE(2012,12,31)-165</f>
        <v>41109</v>
      </c>
      <c r="B3615" s="15" t="s">
        <v>791</v>
      </c>
      <c r="C3615" s="15" t="s">
        <v>43</v>
      </c>
      <c r="D3615" s="16">
        <v>27</v>
      </c>
      <c r="E3615" s="17">
        <v>159.65</v>
      </c>
      <c r="F3615" s="16">
        <v>0.06</v>
      </c>
      <c r="G3615" s="15" t="s">
        <v>32</v>
      </c>
      <c r="H3615" s="18">
        <v>-1.79</v>
      </c>
      <c r="I3615" s="19">
        <v>5.85</v>
      </c>
      <c r="J3615" s="19">
        <v>2.27</v>
      </c>
      <c r="K3615" s="19" t="s">
        <v>33</v>
      </c>
      <c r="L3615" s="19" t="s">
        <v>145</v>
      </c>
      <c r="M3615" s="15" t="s">
        <v>2055</v>
      </c>
      <c r="N3615" s="15" t="s">
        <v>36</v>
      </c>
      <c r="O3615" s="15" t="s">
        <v>77</v>
      </c>
      <c r="P3615" s="20" t="s">
        <v>793</v>
      </c>
      <c r="Q3615" s="15" t="s">
        <v>79</v>
      </c>
      <c r="R3615" s="4"/>
      <c r="S3615" s="4"/>
    </row>
    <row r="3616" spans="1:19" ht="21" customHeight="1" x14ac:dyDescent="0.25">
      <c r="A3616" s="14">
        <f>DATE(2012,12,31)-769</f>
        <v>40505</v>
      </c>
      <c r="B3616" s="15" t="s">
        <v>1680</v>
      </c>
      <c r="C3616" s="15" t="s">
        <v>43</v>
      </c>
      <c r="D3616" s="16">
        <v>35</v>
      </c>
      <c r="E3616" s="17">
        <v>241.43</v>
      </c>
      <c r="F3616" s="16">
        <v>0.01</v>
      </c>
      <c r="G3616" s="15" t="s">
        <v>32</v>
      </c>
      <c r="H3616" s="18">
        <v>-65.8</v>
      </c>
      <c r="I3616" s="19">
        <v>6.84</v>
      </c>
      <c r="J3616" s="19">
        <v>4.42</v>
      </c>
      <c r="K3616" s="19" t="s">
        <v>33</v>
      </c>
      <c r="L3616" s="19" t="s">
        <v>59</v>
      </c>
      <c r="M3616" s="15" t="s">
        <v>2033</v>
      </c>
      <c r="N3616" s="15" t="s">
        <v>36</v>
      </c>
      <c r="O3616" s="15" t="s">
        <v>47</v>
      </c>
      <c r="P3616" s="20" t="s">
        <v>2075</v>
      </c>
      <c r="Q3616" s="15" t="s">
        <v>49</v>
      </c>
      <c r="R3616" s="4"/>
      <c r="S3616" s="4"/>
    </row>
    <row r="3617" spans="1:19" ht="21" customHeight="1" x14ac:dyDescent="0.25">
      <c r="A3617" s="14">
        <f>DATE(2012,12,31)-769</f>
        <v>40505</v>
      </c>
      <c r="B3617" s="15" t="s">
        <v>1680</v>
      </c>
      <c r="C3617" s="15" t="s">
        <v>43</v>
      </c>
      <c r="D3617" s="16">
        <v>29</v>
      </c>
      <c r="E3617" s="17">
        <v>163.04</v>
      </c>
      <c r="F3617" s="16">
        <v>0.08</v>
      </c>
      <c r="G3617" s="15" t="s">
        <v>32</v>
      </c>
      <c r="H3617" s="18">
        <v>58</v>
      </c>
      <c r="I3617" s="19">
        <v>5.84</v>
      </c>
      <c r="J3617" s="19">
        <v>1</v>
      </c>
      <c r="K3617" s="19" t="s">
        <v>33</v>
      </c>
      <c r="L3617" s="19" t="s">
        <v>34</v>
      </c>
      <c r="M3617" s="15" t="s">
        <v>2043</v>
      </c>
      <c r="N3617" s="15" t="s">
        <v>36</v>
      </c>
      <c r="O3617" s="15" t="s">
        <v>77</v>
      </c>
      <c r="P3617" s="20" t="s">
        <v>1148</v>
      </c>
      <c r="Q3617" s="15" t="s">
        <v>79</v>
      </c>
      <c r="R3617" s="4"/>
      <c r="S3617" s="4"/>
    </row>
    <row r="3618" spans="1:19" ht="21" customHeight="1" x14ac:dyDescent="0.25">
      <c r="A3618" s="14">
        <f>DATE(2012,12,31)-769</f>
        <v>40505</v>
      </c>
      <c r="B3618" s="15" t="s">
        <v>1680</v>
      </c>
      <c r="C3618" s="15" t="s">
        <v>43</v>
      </c>
      <c r="D3618" s="16">
        <v>31</v>
      </c>
      <c r="E3618" s="17">
        <v>9041.26</v>
      </c>
      <c r="F3618" s="16">
        <v>0.01</v>
      </c>
      <c r="G3618" s="15" t="s">
        <v>58</v>
      </c>
      <c r="H3618" s="18">
        <v>-383.03</v>
      </c>
      <c r="I3618" s="19">
        <v>286.85000000000002</v>
      </c>
      <c r="J3618" s="19">
        <v>61.76</v>
      </c>
      <c r="K3618" s="19" t="s">
        <v>33</v>
      </c>
      <c r="L3618" s="19" t="s">
        <v>59</v>
      </c>
      <c r="M3618" s="15" t="s">
        <v>2033</v>
      </c>
      <c r="N3618" s="15" t="s">
        <v>54</v>
      </c>
      <c r="O3618" s="15" t="s">
        <v>61</v>
      </c>
      <c r="P3618" s="20" t="s">
        <v>1194</v>
      </c>
      <c r="Q3618" s="15" t="s">
        <v>63</v>
      </c>
      <c r="R3618" s="4"/>
      <c r="S3618" s="4"/>
    </row>
    <row r="3619" spans="1:19" ht="21" customHeight="1" x14ac:dyDescent="0.25">
      <c r="A3619" s="14">
        <f>DATE(2012,12,31)-970</f>
        <v>40304</v>
      </c>
      <c r="B3619" s="15" t="s">
        <v>142</v>
      </c>
      <c r="C3619" s="15" t="s">
        <v>31</v>
      </c>
      <c r="D3619" s="16">
        <v>5</v>
      </c>
      <c r="E3619" s="17">
        <v>25.34</v>
      </c>
      <c r="F3619" s="16">
        <v>0.1</v>
      </c>
      <c r="G3619" s="15" t="s">
        <v>32</v>
      </c>
      <c r="H3619" s="18">
        <v>-21.29</v>
      </c>
      <c r="I3619" s="19">
        <v>4.0599999999999996</v>
      </c>
      <c r="J3619" s="19">
        <v>6.89</v>
      </c>
      <c r="K3619" s="19" t="s">
        <v>33</v>
      </c>
      <c r="L3619" s="19" t="s">
        <v>145</v>
      </c>
      <c r="M3619" s="15" t="s">
        <v>2055</v>
      </c>
      <c r="N3619" s="15" t="s">
        <v>36</v>
      </c>
      <c r="O3619" s="15" t="s">
        <v>176</v>
      </c>
      <c r="P3619" s="20" t="s">
        <v>1222</v>
      </c>
      <c r="Q3619" s="15" t="s">
        <v>83</v>
      </c>
      <c r="R3619" s="4"/>
      <c r="S3619" s="4"/>
    </row>
    <row r="3620" spans="1:19" ht="21" customHeight="1" x14ac:dyDescent="0.25">
      <c r="A3620" s="14">
        <f>DATE(2012,12,31)-970</f>
        <v>40304</v>
      </c>
      <c r="B3620" s="15" t="s">
        <v>142</v>
      </c>
      <c r="C3620" s="15" t="s">
        <v>31</v>
      </c>
      <c r="D3620" s="16">
        <v>11</v>
      </c>
      <c r="E3620" s="17">
        <v>178.57</v>
      </c>
      <c r="F3620" s="16">
        <v>0.05</v>
      </c>
      <c r="G3620" s="15" t="s">
        <v>32</v>
      </c>
      <c r="H3620" s="18">
        <v>-37.386499999999998</v>
      </c>
      <c r="I3620" s="19">
        <v>15.28</v>
      </c>
      <c r="J3620" s="19">
        <v>10.91</v>
      </c>
      <c r="K3620" s="19" t="s">
        <v>33</v>
      </c>
      <c r="L3620" s="19" t="s">
        <v>145</v>
      </c>
      <c r="M3620" s="15" t="s">
        <v>2055</v>
      </c>
      <c r="N3620" s="15" t="s">
        <v>36</v>
      </c>
      <c r="O3620" s="15" t="s">
        <v>170</v>
      </c>
      <c r="P3620" s="20" t="s">
        <v>1540</v>
      </c>
      <c r="Q3620" s="15" t="s">
        <v>83</v>
      </c>
      <c r="R3620" s="4"/>
      <c r="S3620" s="4"/>
    </row>
    <row r="3621" spans="1:19" ht="21" customHeight="1" x14ac:dyDescent="0.25">
      <c r="A3621" s="14">
        <f>DATE(2012,12,31)-1204</f>
        <v>40070</v>
      </c>
      <c r="B3621" s="15" t="s">
        <v>1769</v>
      </c>
      <c r="C3621" s="15" t="s">
        <v>85</v>
      </c>
      <c r="D3621" s="16">
        <v>6</v>
      </c>
      <c r="E3621" s="17">
        <v>250.376</v>
      </c>
      <c r="F3621" s="16">
        <v>0.01</v>
      </c>
      <c r="G3621" s="15" t="s">
        <v>32</v>
      </c>
      <c r="H3621" s="18">
        <v>-131.846</v>
      </c>
      <c r="I3621" s="19">
        <v>45.99</v>
      </c>
      <c r="J3621" s="19">
        <v>4.99</v>
      </c>
      <c r="K3621" s="19" t="s">
        <v>69</v>
      </c>
      <c r="L3621" s="19" t="s">
        <v>75</v>
      </c>
      <c r="M3621" s="15" t="s">
        <v>1980</v>
      </c>
      <c r="N3621" s="15" t="s">
        <v>64</v>
      </c>
      <c r="O3621" s="15" t="s">
        <v>65</v>
      </c>
      <c r="P3621" s="20" t="s">
        <v>1057</v>
      </c>
      <c r="Q3621" s="15" t="s">
        <v>83</v>
      </c>
      <c r="R3621" s="4"/>
      <c r="S3621" s="4"/>
    </row>
    <row r="3622" spans="1:19" ht="21" customHeight="1" x14ac:dyDescent="0.25">
      <c r="A3622" s="14">
        <f>DATE(2012,12,31)-1094</f>
        <v>40180</v>
      </c>
      <c r="B3622" s="15" t="s">
        <v>610</v>
      </c>
      <c r="C3622" s="15" t="s">
        <v>31</v>
      </c>
      <c r="D3622" s="16">
        <v>9</v>
      </c>
      <c r="E3622" s="17">
        <v>740.2</v>
      </c>
      <c r="F3622" s="16">
        <v>0.05</v>
      </c>
      <c r="G3622" s="15" t="s">
        <v>101</v>
      </c>
      <c r="H3622" s="18">
        <v>239.94</v>
      </c>
      <c r="I3622" s="19">
        <v>83.98</v>
      </c>
      <c r="J3622" s="19">
        <v>5.01</v>
      </c>
      <c r="K3622" s="19" t="s">
        <v>69</v>
      </c>
      <c r="L3622" s="19" t="s">
        <v>70</v>
      </c>
      <c r="M3622" s="15" t="s">
        <v>1895</v>
      </c>
      <c r="N3622" s="15" t="s">
        <v>36</v>
      </c>
      <c r="O3622" s="15" t="s">
        <v>189</v>
      </c>
      <c r="P3622" s="20" t="s">
        <v>2076</v>
      </c>
      <c r="Q3622" s="15" t="s">
        <v>83</v>
      </c>
      <c r="R3622" s="4"/>
      <c r="S3622" s="4"/>
    </row>
    <row r="3623" spans="1:19" ht="21" customHeight="1" x14ac:dyDescent="0.25">
      <c r="A3623" s="14">
        <f>DATE(2012,12,31)-1094</f>
        <v>40180</v>
      </c>
      <c r="B3623" s="15" t="s">
        <v>610</v>
      </c>
      <c r="C3623" s="15" t="s">
        <v>31</v>
      </c>
      <c r="D3623" s="16">
        <v>23</v>
      </c>
      <c r="E3623" s="17">
        <v>1288.7784999999999</v>
      </c>
      <c r="F3623" s="16">
        <v>7.0000000000000007E-2</v>
      </c>
      <c r="G3623" s="15" t="s">
        <v>32</v>
      </c>
      <c r="H3623" s="18">
        <v>-185.88900000000001</v>
      </c>
      <c r="I3623" s="19">
        <v>65.989999999999995</v>
      </c>
      <c r="J3623" s="19">
        <v>19.989999999999998</v>
      </c>
      <c r="K3623" s="19" t="s">
        <v>69</v>
      </c>
      <c r="L3623" s="19" t="s">
        <v>70</v>
      </c>
      <c r="M3623" s="15" t="s">
        <v>1895</v>
      </c>
      <c r="N3623" s="15" t="s">
        <v>64</v>
      </c>
      <c r="O3623" s="15" t="s">
        <v>65</v>
      </c>
      <c r="P3623" s="20" t="s">
        <v>1626</v>
      </c>
      <c r="Q3623" s="15" t="s">
        <v>83</v>
      </c>
      <c r="R3623" s="4"/>
      <c r="S3623" s="4"/>
    </row>
    <row r="3624" spans="1:19" ht="21" customHeight="1" x14ac:dyDescent="0.25">
      <c r="A3624" s="14">
        <f>DATE(2012,12,31)-146</f>
        <v>41128</v>
      </c>
      <c r="B3624" s="15" t="s">
        <v>1193</v>
      </c>
      <c r="C3624" s="15" t="s">
        <v>51</v>
      </c>
      <c r="D3624" s="16">
        <v>44</v>
      </c>
      <c r="E3624" s="17">
        <v>23775.56</v>
      </c>
      <c r="F3624" s="16">
        <v>0.03</v>
      </c>
      <c r="G3624" s="15" t="s">
        <v>58</v>
      </c>
      <c r="H3624" s="18">
        <v>7080.99</v>
      </c>
      <c r="I3624" s="19">
        <v>535.64</v>
      </c>
      <c r="J3624" s="19">
        <v>14.7</v>
      </c>
      <c r="K3624" s="19" t="s">
        <v>69</v>
      </c>
      <c r="L3624" s="19" t="s">
        <v>70</v>
      </c>
      <c r="M3624" s="15" t="s">
        <v>1895</v>
      </c>
      <c r="N3624" s="15" t="s">
        <v>64</v>
      </c>
      <c r="O3624" s="15" t="s">
        <v>122</v>
      </c>
      <c r="P3624" s="20" t="s">
        <v>556</v>
      </c>
      <c r="Q3624" s="15" t="s">
        <v>181</v>
      </c>
      <c r="R3624" s="4"/>
      <c r="S3624" s="4"/>
    </row>
    <row r="3625" spans="1:19" ht="21" customHeight="1" x14ac:dyDescent="0.25">
      <c r="A3625" s="14">
        <f>DATE(2012,12,31)-619</f>
        <v>40655</v>
      </c>
      <c r="B3625" s="15" t="s">
        <v>2077</v>
      </c>
      <c r="C3625" s="15" t="s">
        <v>43</v>
      </c>
      <c r="D3625" s="16">
        <v>18</v>
      </c>
      <c r="E3625" s="17">
        <v>340.68849999999998</v>
      </c>
      <c r="F3625" s="16">
        <v>0</v>
      </c>
      <c r="G3625" s="15" t="s">
        <v>101</v>
      </c>
      <c r="H3625" s="18">
        <v>-10.846</v>
      </c>
      <c r="I3625" s="19">
        <v>20.99</v>
      </c>
      <c r="J3625" s="19">
        <v>4.8099999999999996</v>
      </c>
      <c r="K3625" s="19" t="s">
        <v>69</v>
      </c>
      <c r="L3625" s="19" t="s">
        <v>70</v>
      </c>
      <c r="M3625" s="15" t="s">
        <v>1895</v>
      </c>
      <c r="N3625" s="15" t="s">
        <v>64</v>
      </c>
      <c r="O3625" s="15" t="s">
        <v>65</v>
      </c>
      <c r="P3625" s="20" t="s">
        <v>654</v>
      </c>
      <c r="Q3625" s="15" t="s">
        <v>57</v>
      </c>
      <c r="R3625" s="4"/>
      <c r="S3625" s="4"/>
    </row>
    <row r="3626" spans="1:19" ht="21" customHeight="1" x14ac:dyDescent="0.25">
      <c r="A3626" s="14">
        <f>DATE(2012,12,31)-937</f>
        <v>40337</v>
      </c>
      <c r="B3626" s="15" t="s">
        <v>2078</v>
      </c>
      <c r="C3626" s="15" t="s">
        <v>31</v>
      </c>
      <c r="D3626" s="16">
        <v>23</v>
      </c>
      <c r="E3626" s="17">
        <v>321.63</v>
      </c>
      <c r="F3626" s="16">
        <v>0.04</v>
      </c>
      <c r="G3626" s="15" t="s">
        <v>32</v>
      </c>
      <c r="H3626" s="18">
        <v>73.7</v>
      </c>
      <c r="I3626" s="19">
        <v>14.34</v>
      </c>
      <c r="J3626" s="19">
        <v>5</v>
      </c>
      <c r="K3626" s="19" t="s">
        <v>69</v>
      </c>
      <c r="L3626" s="19" t="s">
        <v>70</v>
      </c>
      <c r="M3626" s="15" t="s">
        <v>1895</v>
      </c>
      <c r="N3626" s="15" t="s">
        <v>54</v>
      </c>
      <c r="O3626" s="15" t="s">
        <v>55</v>
      </c>
      <c r="P3626" s="20" t="s">
        <v>277</v>
      </c>
      <c r="Q3626" s="15" t="s">
        <v>49</v>
      </c>
      <c r="R3626" s="4"/>
      <c r="S3626" s="4"/>
    </row>
    <row r="3627" spans="1:19" ht="21" customHeight="1" x14ac:dyDescent="0.25">
      <c r="A3627" s="14">
        <f>DATE(2012,12,31)-258</f>
        <v>41016</v>
      </c>
      <c r="B3627" s="15" t="s">
        <v>239</v>
      </c>
      <c r="C3627" s="15" t="s">
        <v>85</v>
      </c>
      <c r="D3627" s="16">
        <v>37</v>
      </c>
      <c r="E3627" s="17">
        <v>709.91</v>
      </c>
      <c r="F3627" s="16">
        <v>0.09</v>
      </c>
      <c r="G3627" s="15" t="s">
        <v>32</v>
      </c>
      <c r="H3627" s="18">
        <v>-93.425999999999988</v>
      </c>
      <c r="I3627" s="19">
        <v>19.350000000000001</v>
      </c>
      <c r="J3627" s="19">
        <v>12.79</v>
      </c>
      <c r="K3627" s="19" t="s">
        <v>69</v>
      </c>
      <c r="L3627" s="19" t="s">
        <v>75</v>
      </c>
      <c r="M3627" s="15" t="s">
        <v>1980</v>
      </c>
      <c r="N3627" s="15" t="s">
        <v>36</v>
      </c>
      <c r="O3627" s="15" t="s">
        <v>170</v>
      </c>
      <c r="P3627" s="20" t="s">
        <v>1998</v>
      </c>
      <c r="Q3627" s="15" t="s">
        <v>83</v>
      </c>
      <c r="R3627" s="4"/>
      <c r="S3627" s="4"/>
    </row>
    <row r="3628" spans="1:19" ht="21" customHeight="1" x14ac:dyDescent="0.25">
      <c r="A3628" s="14">
        <f>DATE(2012,12,31)-1137</f>
        <v>40137</v>
      </c>
      <c r="B3628" s="15" t="s">
        <v>1276</v>
      </c>
      <c r="C3628" s="15" t="s">
        <v>51</v>
      </c>
      <c r="D3628" s="16">
        <v>20</v>
      </c>
      <c r="E3628" s="17">
        <v>3300.2160000000003</v>
      </c>
      <c r="F3628" s="16">
        <v>0.1</v>
      </c>
      <c r="G3628" s="15" t="s">
        <v>58</v>
      </c>
      <c r="H3628" s="18">
        <v>-855.03</v>
      </c>
      <c r="I3628" s="19">
        <v>218.75</v>
      </c>
      <c r="J3628" s="19">
        <v>69.64</v>
      </c>
      <c r="K3628" s="19" t="s">
        <v>69</v>
      </c>
      <c r="L3628" s="19" t="s">
        <v>70</v>
      </c>
      <c r="M3628" s="15" t="s">
        <v>1895</v>
      </c>
      <c r="N3628" s="15" t="s">
        <v>54</v>
      </c>
      <c r="O3628" s="15" t="s">
        <v>61</v>
      </c>
      <c r="P3628" s="20" t="s">
        <v>425</v>
      </c>
      <c r="Q3628" s="15" t="s">
        <v>63</v>
      </c>
      <c r="R3628" s="4"/>
      <c r="S3628" s="4"/>
    </row>
    <row r="3629" spans="1:19" ht="21" customHeight="1" x14ac:dyDescent="0.25">
      <c r="A3629" s="14">
        <f>DATE(2012,12,31)-1137</f>
        <v>40137</v>
      </c>
      <c r="B3629" s="15" t="s">
        <v>1276</v>
      </c>
      <c r="C3629" s="15" t="s">
        <v>51</v>
      </c>
      <c r="D3629" s="16">
        <v>23</v>
      </c>
      <c r="E3629" s="17">
        <v>331.54</v>
      </c>
      <c r="F3629" s="16">
        <v>0.05</v>
      </c>
      <c r="G3629" s="15" t="s">
        <v>32</v>
      </c>
      <c r="H3629" s="18">
        <v>9.4094999999999995</v>
      </c>
      <c r="I3629" s="19">
        <v>14.27</v>
      </c>
      <c r="J3629" s="19">
        <v>7.27</v>
      </c>
      <c r="K3629" s="19" t="s">
        <v>69</v>
      </c>
      <c r="L3629" s="19" t="s">
        <v>70</v>
      </c>
      <c r="M3629" s="15" t="s">
        <v>1895</v>
      </c>
      <c r="N3629" s="15" t="s">
        <v>36</v>
      </c>
      <c r="O3629" s="15" t="s">
        <v>170</v>
      </c>
      <c r="P3629" s="20" t="s">
        <v>1224</v>
      </c>
      <c r="Q3629" s="15" t="s">
        <v>83</v>
      </c>
      <c r="R3629" s="4"/>
      <c r="S3629" s="4"/>
    </row>
    <row r="3630" spans="1:19" ht="21" customHeight="1" x14ac:dyDescent="0.25">
      <c r="A3630" s="14">
        <f>DATE(2012,12,31)-1349</f>
        <v>39925</v>
      </c>
      <c r="B3630" s="15" t="s">
        <v>1758</v>
      </c>
      <c r="C3630" s="15" t="s">
        <v>85</v>
      </c>
      <c r="D3630" s="16">
        <v>14</v>
      </c>
      <c r="E3630" s="17">
        <v>422.83</v>
      </c>
      <c r="F3630" s="16">
        <v>0.02</v>
      </c>
      <c r="G3630" s="15" t="s">
        <v>32</v>
      </c>
      <c r="H3630" s="18">
        <v>-21.06</v>
      </c>
      <c r="I3630" s="19">
        <v>29.74</v>
      </c>
      <c r="J3630" s="19">
        <v>6.64</v>
      </c>
      <c r="K3630" s="19" t="s">
        <v>69</v>
      </c>
      <c r="L3630" s="19" t="s">
        <v>215</v>
      </c>
      <c r="M3630" s="15" t="s">
        <v>2038</v>
      </c>
      <c r="N3630" s="15" t="s">
        <v>36</v>
      </c>
      <c r="O3630" s="15" t="s">
        <v>37</v>
      </c>
      <c r="P3630" s="20" t="s">
        <v>1372</v>
      </c>
      <c r="Q3630" s="15" t="s">
        <v>83</v>
      </c>
      <c r="R3630" s="4"/>
      <c r="S3630" s="4"/>
    </row>
    <row r="3631" spans="1:19" ht="21" customHeight="1" x14ac:dyDescent="0.25">
      <c r="A3631" s="14">
        <f>DATE(2012,12,31)-1349</f>
        <v>39925</v>
      </c>
      <c r="B3631" s="15" t="s">
        <v>1758</v>
      </c>
      <c r="C3631" s="15" t="s">
        <v>85</v>
      </c>
      <c r="D3631" s="16">
        <v>43</v>
      </c>
      <c r="E3631" s="17">
        <v>945.9</v>
      </c>
      <c r="F3631" s="16">
        <v>0.08</v>
      </c>
      <c r="G3631" s="15" t="s">
        <v>32</v>
      </c>
      <c r="H3631" s="18">
        <v>105.7</v>
      </c>
      <c r="I3631" s="19">
        <v>22.01</v>
      </c>
      <c r="J3631" s="19">
        <v>5.53</v>
      </c>
      <c r="K3631" s="19" t="s">
        <v>69</v>
      </c>
      <c r="L3631" s="19" t="s">
        <v>75</v>
      </c>
      <c r="M3631" s="15" t="s">
        <v>1980</v>
      </c>
      <c r="N3631" s="15" t="s">
        <v>36</v>
      </c>
      <c r="O3631" s="15" t="s">
        <v>77</v>
      </c>
      <c r="P3631" s="20" t="s">
        <v>709</v>
      </c>
      <c r="Q3631" s="15" t="s">
        <v>49</v>
      </c>
      <c r="R3631" s="4"/>
      <c r="S3631" s="4"/>
    </row>
    <row r="3632" spans="1:19" ht="21" customHeight="1" x14ac:dyDescent="0.25">
      <c r="A3632" s="14">
        <f>DATE(2012,12,31)-849</f>
        <v>40425</v>
      </c>
      <c r="B3632" s="15" t="s">
        <v>394</v>
      </c>
      <c r="C3632" s="15" t="s">
        <v>51</v>
      </c>
      <c r="D3632" s="16">
        <v>50</v>
      </c>
      <c r="E3632" s="17">
        <v>2864.1005</v>
      </c>
      <c r="F3632" s="16">
        <v>0.03</v>
      </c>
      <c r="G3632" s="15" t="s">
        <v>32</v>
      </c>
      <c r="H3632" s="18">
        <v>697.82400000000007</v>
      </c>
      <c r="I3632" s="19">
        <v>65.989999999999995</v>
      </c>
      <c r="J3632" s="19">
        <v>8.99</v>
      </c>
      <c r="K3632" s="19" t="s">
        <v>111</v>
      </c>
      <c r="L3632" s="19" t="s">
        <v>112</v>
      </c>
      <c r="M3632" s="15" t="s">
        <v>2058</v>
      </c>
      <c r="N3632" s="15" t="s">
        <v>64</v>
      </c>
      <c r="O3632" s="15" t="s">
        <v>65</v>
      </c>
      <c r="P3632" s="20" t="s">
        <v>141</v>
      </c>
      <c r="Q3632" s="15" t="s">
        <v>83</v>
      </c>
      <c r="R3632" s="4"/>
      <c r="S3632" s="4"/>
    </row>
    <row r="3633" spans="1:19" ht="21" customHeight="1" x14ac:dyDescent="0.25">
      <c r="A3633" s="14">
        <f>DATE(2012,12,31)-1191</f>
        <v>40083</v>
      </c>
      <c r="B3633" s="15" t="s">
        <v>767</v>
      </c>
      <c r="C3633" s="15" t="s">
        <v>85</v>
      </c>
      <c r="D3633" s="16">
        <v>27</v>
      </c>
      <c r="E3633" s="17">
        <v>258.54000000000002</v>
      </c>
      <c r="F3633" s="16">
        <v>0.1</v>
      </c>
      <c r="G3633" s="15" t="s">
        <v>32</v>
      </c>
      <c r="H3633" s="18">
        <v>-16.3</v>
      </c>
      <c r="I3633" s="19">
        <v>9.85</v>
      </c>
      <c r="J3633" s="19">
        <v>4.82</v>
      </c>
      <c r="K3633" s="19" t="s">
        <v>111</v>
      </c>
      <c r="L3633" s="19" t="s">
        <v>112</v>
      </c>
      <c r="M3633" s="15" t="s">
        <v>2058</v>
      </c>
      <c r="N3633" s="15" t="s">
        <v>36</v>
      </c>
      <c r="O3633" s="15" t="s">
        <v>77</v>
      </c>
      <c r="P3633" s="20" t="s">
        <v>2079</v>
      </c>
      <c r="Q3633" s="15" t="s">
        <v>79</v>
      </c>
      <c r="R3633" s="4"/>
      <c r="S3633" s="4"/>
    </row>
    <row r="3634" spans="1:19" ht="21" customHeight="1" x14ac:dyDescent="0.25">
      <c r="A3634" s="14">
        <f>DATE(2012,12,31)-1191</f>
        <v>40083</v>
      </c>
      <c r="B3634" s="15" t="s">
        <v>767</v>
      </c>
      <c r="C3634" s="15" t="s">
        <v>85</v>
      </c>
      <c r="D3634" s="16">
        <v>19</v>
      </c>
      <c r="E3634" s="17">
        <v>1972.884</v>
      </c>
      <c r="F3634" s="16">
        <v>0.04</v>
      </c>
      <c r="G3634" s="15" t="s">
        <v>32</v>
      </c>
      <c r="H3634" s="18">
        <v>140.91299999999998</v>
      </c>
      <c r="I3634" s="19">
        <v>125.99</v>
      </c>
      <c r="J3634" s="19">
        <v>7.69</v>
      </c>
      <c r="K3634" s="19" t="s">
        <v>111</v>
      </c>
      <c r="L3634" s="19" t="s">
        <v>407</v>
      </c>
      <c r="M3634" s="15" t="s">
        <v>407</v>
      </c>
      <c r="N3634" s="15" t="s">
        <v>64</v>
      </c>
      <c r="O3634" s="15" t="s">
        <v>65</v>
      </c>
      <c r="P3634" s="20" t="s">
        <v>860</v>
      </c>
      <c r="Q3634" s="15" t="s">
        <v>83</v>
      </c>
      <c r="R3634" s="4"/>
      <c r="S3634" s="4"/>
    </row>
    <row r="3635" spans="1:19" ht="21" customHeight="1" x14ac:dyDescent="0.25">
      <c r="A3635" s="14">
        <f>DATE(2012,12,31)-607</f>
        <v>40667</v>
      </c>
      <c r="B3635" s="15" t="s">
        <v>1854</v>
      </c>
      <c r="C3635" s="15" t="s">
        <v>43</v>
      </c>
      <c r="D3635" s="16">
        <v>10</v>
      </c>
      <c r="E3635" s="17">
        <v>170.35</v>
      </c>
      <c r="F3635" s="16">
        <v>0.03</v>
      </c>
      <c r="G3635" s="15" t="s">
        <v>32</v>
      </c>
      <c r="H3635" s="18">
        <v>-39.92</v>
      </c>
      <c r="I3635" s="19">
        <v>16.059999999999999</v>
      </c>
      <c r="J3635" s="19">
        <v>8.34</v>
      </c>
      <c r="K3635" s="19" t="s">
        <v>44</v>
      </c>
      <c r="L3635" s="19" t="s">
        <v>45</v>
      </c>
      <c r="M3635" s="15" t="s">
        <v>2053</v>
      </c>
      <c r="N3635" s="15" t="s">
        <v>36</v>
      </c>
      <c r="O3635" s="15" t="s">
        <v>37</v>
      </c>
      <c r="P3635" s="20" t="s">
        <v>1676</v>
      </c>
      <c r="Q3635" s="15" t="s">
        <v>83</v>
      </c>
      <c r="R3635" s="4"/>
      <c r="S3635" s="4"/>
    </row>
    <row r="3636" spans="1:19" ht="21" customHeight="1" x14ac:dyDescent="0.25">
      <c r="A3636" s="14">
        <f>DATE(2012,12,31)-120</f>
        <v>41154</v>
      </c>
      <c r="B3636" s="15" t="s">
        <v>233</v>
      </c>
      <c r="C3636" s="15" t="s">
        <v>31</v>
      </c>
      <c r="D3636" s="16">
        <v>50</v>
      </c>
      <c r="E3636" s="17">
        <v>230.63</v>
      </c>
      <c r="F3636" s="16">
        <v>0.1</v>
      </c>
      <c r="G3636" s="15" t="s">
        <v>32</v>
      </c>
      <c r="H3636" s="18">
        <v>-39.71</v>
      </c>
      <c r="I3636" s="19">
        <v>4.91</v>
      </c>
      <c r="J3636" s="19">
        <v>3.05</v>
      </c>
      <c r="K3636" s="19" t="s">
        <v>44</v>
      </c>
      <c r="L3636" s="19" t="s">
        <v>120</v>
      </c>
      <c r="M3636" s="15" t="s">
        <v>2025</v>
      </c>
      <c r="N3636" s="15" t="s">
        <v>54</v>
      </c>
      <c r="O3636" s="15" t="s">
        <v>55</v>
      </c>
      <c r="P3636" s="20" t="s">
        <v>2080</v>
      </c>
      <c r="Q3636" s="15" t="s">
        <v>49</v>
      </c>
      <c r="R3636" s="4"/>
      <c r="S3636" s="4"/>
    </row>
    <row r="3637" spans="1:19" ht="21" customHeight="1" x14ac:dyDescent="0.25">
      <c r="A3637" s="14">
        <f>DATE(2012,12,31)-120</f>
        <v>41154</v>
      </c>
      <c r="B3637" s="15" t="s">
        <v>233</v>
      </c>
      <c r="C3637" s="15" t="s">
        <v>31</v>
      </c>
      <c r="D3637" s="16">
        <v>22</v>
      </c>
      <c r="E3637" s="17">
        <v>80.790000000000006</v>
      </c>
      <c r="F3637" s="16">
        <v>0.1</v>
      </c>
      <c r="G3637" s="15" t="s">
        <v>32</v>
      </c>
      <c r="H3637" s="18">
        <v>25.18</v>
      </c>
      <c r="I3637" s="19">
        <v>3.78</v>
      </c>
      <c r="J3637" s="19">
        <v>0.71</v>
      </c>
      <c r="K3637" s="19" t="s">
        <v>44</v>
      </c>
      <c r="L3637" s="19" t="s">
        <v>120</v>
      </c>
      <c r="M3637" s="15" t="s">
        <v>2025</v>
      </c>
      <c r="N3637" s="15" t="s">
        <v>36</v>
      </c>
      <c r="O3637" s="15" t="s">
        <v>105</v>
      </c>
      <c r="P3637" s="20" t="s">
        <v>693</v>
      </c>
      <c r="Q3637" s="15" t="s">
        <v>79</v>
      </c>
      <c r="R3637" s="4"/>
      <c r="S3637" s="4"/>
    </row>
    <row r="3638" spans="1:19" ht="21" customHeight="1" x14ac:dyDescent="0.25">
      <c r="A3638" s="14">
        <f>DATE(2012,12,31)-192</f>
        <v>41082</v>
      </c>
      <c r="B3638" s="15" t="s">
        <v>1386</v>
      </c>
      <c r="C3638" s="15" t="s">
        <v>85</v>
      </c>
      <c r="D3638" s="16">
        <v>48</v>
      </c>
      <c r="E3638" s="17">
        <v>278.07</v>
      </c>
      <c r="F3638" s="16">
        <v>0.08</v>
      </c>
      <c r="G3638" s="15" t="s">
        <v>32</v>
      </c>
      <c r="H3638" s="18">
        <v>-71.45</v>
      </c>
      <c r="I3638" s="19">
        <v>5.78</v>
      </c>
      <c r="J3638" s="19">
        <v>4.96</v>
      </c>
      <c r="K3638" s="19" t="s">
        <v>44</v>
      </c>
      <c r="L3638" s="19" t="s">
        <v>120</v>
      </c>
      <c r="M3638" s="15" t="s">
        <v>2025</v>
      </c>
      <c r="N3638" s="15" t="s">
        <v>36</v>
      </c>
      <c r="O3638" s="15" t="s">
        <v>117</v>
      </c>
      <c r="P3638" s="20" t="s">
        <v>636</v>
      </c>
      <c r="Q3638" s="15" t="s">
        <v>83</v>
      </c>
      <c r="R3638" s="4"/>
      <c r="S3638" s="4"/>
    </row>
    <row r="3639" spans="1:19" ht="21" customHeight="1" x14ac:dyDescent="0.25">
      <c r="A3639" s="14">
        <f>DATE(2012,12,31)-1181</f>
        <v>40093</v>
      </c>
      <c r="B3639" s="15" t="s">
        <v>576</v>
      </c>
      <c r="C3639" s="15" t="s">
        <v>51</v>
      </c>
      <c r="D3639" s="16">
        <v>2</v>
      </c>
      <c r="E3639" s="17">
        <v>154.94</v>
      </c>
      <c r="F3639" s="16">
        <v>0.09</v>
      </c>
      <c r="G3639" s="15" t="s">
        <v>32</v>
      </c>
      <c r="H3639" s="18">
        <v>-358.43</v>
      </c>
      <c r="I3639" s="19">
        <v>77.510000000000005</v>
      </c>
      <c r="J3639" s="19">
        <v>4</v>
      </c>
      <c r="K3639" s="19" t="s">
        <v>44</v>
      </c>
      <c r="L3639" s="19" t="s">
        <v>80</v>
      </c>
      <c r="M3639" s="15" t="s">
        <v>2081</v>
      </c>
      <c r="N3639" s="15" t="s">
        <v>64</v>
      </c>
      <c r="O3639" s="15" t="s">
        <v>72</v>
      </c>
      <c r="P3639" s="20" t="s">
        <v>2007</v>
      </c>
      <c r="Q3639" s="15" t="s">
        <v>83</v>
      </c>
      <c r="R3639" s="4"/>
      <c r="S3639" s="4"/>
    </row>
    <row r="3640" spans="1:19" ht="21" customHeight="1" x14ac:dyDescent="0.25">
      <c r="A3640" s="14">
        <f>DATE(2012,12,31)-1181</f>
        <v>40093</v>
      </c>
      <c r="B3640" s="15" t="s">
        <v>576</v>
      </c>
      <c r="C3640" s="15" t="s">
        <v>51</v>
      </c>
      <c r="D3640" s="16">
        <v>44</v>
      </c>
      <c r="E3640" s="17">
        <v>1642.6420000000001</v>
      </c>
      <c r="F3640" s="16">
        <v>0.08</v>
      </c>
      <c r="G3640" s="15" t="s">
        <v>101</v>
      </c>
      <c r="H3640" s="18">
        <v>314.83799999999997</v>
      </c>
      <c r="I3640" s="19">
        <v>45.99</v>
      </c>
      <c r="J3640" s="19">
        <v>4.99</v>
      </c>
      <c r="K3640" s="19" t="s">
        <v>44</v>
      </c>
      <c r="L3640" s="19" t="s">
        <v>120</v>
      </c>
      <c r="M3640" s="15" t="s">
        <v>2025</v>
      </c>
      <c r="N3640" s="15" t="s">
        <v>64</v>
      </c>
      <c r="O3640" s="15" t="s">
        <v>65</v>
      </c>
      <c r="P3640" s="20" t="s">
        <v>1057</v>
      </c>
      <c r="Q3640" s="15" t="s">
        <v>83</v>
      </c>
      <c r="R3640" s="4"/>
      <c r="S3640" s="4"/>
    </row>
    <row r="3641" spans="1:19" ht="21" customHeight="1" x14ac:dyDescent="0.25">
      <c r="A3641" s="14">
        <f>DATE(2012,12,31)-108</f>
        <v>41166</v>
      </c>
      <c r="B3641" s="15" t="s">
        <v>416</v>
      </c>
      <c r="C3641" s="15" t="s">
        <v>85</v>
      </c>
      <c r="D3641" s="16">
        <v>17</v>
      </c>
      <c r="E3641" s="17">
        <v>328.62700000000001</v>
      </c>
      <c r="F3641" s="16">
        <v>0</v>
      </c>
      <c r="G3641" s="15" t="s">
        <v>32</v>
      </c>
      <c r="H3641" s="18">
        <v>-7.766</v>
      </c>
      <c r="I3641" s="19">
        <v>20.99</v>
      </c>
      <c r="J3641" s="19">
        <v>4.8099999999999996</v>
      </c>
      <c r="K3641" s="19" t="s">
        <v>44</v>
      </c>
      <c r="L3641" s="19" t="s">
        <v>89</v>
      </c>
      <c r="M3641" s="15" t="s">
        <v>1932</v>
      </c>
      <c r="N3641" s="15" t="s">
        <v>64</v>
      </c>
      <c r="O3641" s="15" t="s">
        <v>65</v>
      </c>
      <c r="P3641" s="20" t="s">
        <v>654</v>
      </c>
      <c r="Q3641" s="15" t="s">
        <v>57</v>
      </c>
      <c r="R3641" s="4"/>
      <c r="S3641" s="4"/>
    </row>
    <row r="3642" spans="1:19" ht="21" customHeight="1" x14ac:dyDescent="0.25">
      <c r="A3642" s="14">
        <f>DATE(2012,12,31)-864</f>
        <v>40410</v>
      </c>
      <c r="B3642" s="15" t="s">
        <v>2082</v>
      </c>
      <c r="C3642" s="15" t="s">
        <v>51</v>
      </c>
      <c r="D3642" s="16">
        <v>49</v>
      </c>
      <c r="E3642" s="17">
        <v>120.77</v>
      </c>
      <c r="F3642" s="16">
        <v>0.03</v>
      </c>
      <c r="G3642" s="15" t="s">
        <v>32</v>
      </c>
      <c r="H3642" s="18">
        <v>19.86</v>
      </c>
      <c r="I3642" s="19">
        <v>2.4700000000000002</v>
      </c>
      <c r="J3642" s="19">
        <v>1.02</v>
      </c>
      <c r="K3642" s="19" t="s">
        <v>44</v>
      </c>
      <c r="L3642" s="19" t="s">
        <v>120</v>
      </c>
      <c r="M3642" s="15" t="s">
        <v>2025</v>
      </c>
      <c r="N3642" s="15" t="s">
        <v>36</v>
      </c>
      <c r="O3642" s="15" t="s">
        <v>105</v>
      </c>
      <c r="P3642" s="20" t="s">
        <v>2083</v>
      </c>
      <c r="Q3642" s="15" t="s">
        <v>79</v>
      </c>
      <c r="R3642" s="4"/>
      <c r="S3642" s="4"/>
    </row>
    <row r="3643" spans="1:19" ht="21" customHeight="1" x14ac:dyDescent="0.25">
      <c r="A3643" s="14">
        <f>DATE(2012,12,31)-564</f>
        <v>40710</v>
      </c>
      <c r="B3643" s="15" t="s">
        <v>342</v>
      </c>
      <c r="C3643" s="15" t="s">
        <v>51</v>
      </c>
      <c r="D3643" s="16">
        <v>44</v>
      </c>
      <c r="E3643" s="17">
        <v>365.24</v>
      </c>
      <c r="F3643" s="16">
        <v>0.09</v>
      </c>
      <c r="G3643" s="15" t="s">
        <v>32</v>
      </c>
      <c r="H3643" s="18">
        <v>-163.13</v>
      </c>
      <c r="I3643" s="19">
        <v>8.74</v>
      </c>
      <c r="J3643" s="19">
        <v>8.2899999999999991</v>
      </c>
      <c r="K3643" s="19" t="s">
        <v>44</v>
      </c>
      <c r="L3643" s="19" t="s">
        <v>45</v>
      </c>
      <c r="M3643" s="15" t="s">
        <v>2053</v>
      </c>
      <c r="N3643" s="15" t="s">
        <v>36</v>
      </c>
      <c r="O3643" s="15" t="s">
        <v>189</v>
      </c>
      <c r="P3643" s="20" t="s">
        <v>581</v>
      </c>
      <c r="Q3643" s="15" t="s">
        <v>83</v>
      </c>
      <c r="R3643" s="4"/>
      <c r="S3643" s="4"/>
    </row>
    <row r="3644" spans="1:19" ht="21" customHeight="1" x14ac:dyDescent="0.25">
      <c r="A3644" s="14">
        <f>DATE(2012,12,31)-918</f>
        <v>40356</v>
      </c>
      <c r="B3644" s="15" t="s">
        <v>509</v>
      </c>
      <c r="C3644" s="15" t="s">
        <v>43</v>
      </c>
      <c r="D3644" s="16">
        <v>22</v>
      </c>
      <c r="E3644" s="17">
        <v>795.74</v>
      </c>
      <c r="F3644" s="16">
        <v>0</v>
      </c>
      <c r="G3644" s="15" t="s">
        <v>58</v>
      </c>
      <c r="H3644" s="18">
        <v>-127.39</v>
      </c>
      <c r="I3644" s="19">
        <v>33.94</v>
      </c>
      <c r="J3644" s="19">
        <v>19.190000000000001</v>
      </c>
      <c r="K3644" s="19" t="s">
        <v>44</v>
      </c>
      <c r="L3644" s="19" t="s">
        <v>89</v>
      </c>
      <c r="M3644" s="15" t="s">
        <v>1932</v>
      </c>
      <c r="N3644" s="15" t="s">
        <v>54</v>
      </c>
      <c r="O3644" s="15" t="s">
        <v>252</v>
      </c>
      <c r="P3644" s="20" t="s">
        <v>2045</v>
      </c>
      <c r="Q3644" s="15" t="s">
        <v>181</v>
      </c>
      <c r="R3644" s="4"/>
      <c r="S3644" s="4"/>
    </row>
    <row r="3645" spans="1:19" ht="21" customHeight="1" x14ac:dyDescent="0.25">
      <c r="A3645" s="14">
        <f>DATE(2012,12,31)-918</f>
        <v>40356</v>
      </c>
      <c r="B3645" s="15" t="s">
        <v>509</v>
      </c>
      <c r="C3645" s="15" t="s">
        <v>43</v>
      </c>
      <c r="D3645" s="16">
        <v>31</v>
      </c>
      <c r="E3645" s="17">
        <v>251.75</v>
      </c>
      <c r="F3645" s="16">
        <v>7.0000000000000007E-2</v>
      </c>
      <c r="G3645" s="15" t="s">
        <v>32</v>
      </c>
      <c r="H3645" s="18">
        <v>22.46</v>
      </c>
      <c r="I3645" s="19">
        <v>8.33</v>
      </c>
      <c r="J3645" s="19">
        <v>1.99</v>
      </c>
      <c r="K3645" s="19" t="s">
        <v>44</v>
      </c>
      <c r="L3645" s="19" t="s">
        <v>45</v>
      </c>
      <c r="M3645" s="15" t="s">
        <v>2053</v>
      </c>
      <c r="N3645" s="15" t="s">
        <v>64</v>
      </c>
      <c r="O3645" s="15" t="s">
        <v>72</v>
      </c>
      <c r="P3645" s="20" t="s">
        <v>966</v>
      </c>
      <c r="Q3645" s="15" t="s">
        <v>49</v>
      </c>
      <c r="R3645" s="4"/>
      <c r="S3645" s="4"/>
    </row>
    <row r="3646" spans="1:19" ht="21" customHeight="1" x14ac:dyDescent="0.25">
      <c r="A3646" s="14">
        <f>DATE(2012,12,31)-342</f>
        <v>40932</v>
      </c>
      <c r="B3646" s="15" t="s">
        <v>1558</v>
      </c>
      <c r="C3646" s="15" t="s">
        <v>31</v>
      </c>
      <c r="D3646" s="16">
        <v>48</v>
      </c>
      <c r="E3646" s="17">
        <v>878.75</v>
      </c>
      <c r="F3646" s="16">
        <v>7.0000000000000007E-2</v>
      </c>
      <c r="G3646" s="15" t="s">
        <v>101</v>
      </c>
      <c r="H3646" s="18">
        <v>70.459999999999994</v>
      </c>
      <c r="I3646" s="19">
        <v>18.97</v>
      </c>
      <c r="J3646" s="19">
        <v>9.0299999999999994</v>
      </c>
      <c r="K3646" s="19" t="s">
        <v>124</v>
      </c>
      <c r="L3646" s="19" t="s">
        <v>125</v>
      </c>
      <c r="M3646" s="15" t="s">
        <v>2048</v>
      </c>
      <c r="N3646" s="15" t="s">
        <v>36</v>
      </c>
      <c r="O3646" s="15" t="s">
        <v>117</v>
      </c>
      <c r="P3646" s="20" t="s">
        <v>127</v>
      </c>
      <c r="Q3646" s="15" t="s">
        <v>83</v>
      </c>
      <c r="R3646" s="4"/>
      <c r="S3646" s="4"/>
    </row>
    <row r="3647" spans="1:19" ht="21" customHeight="1" x14ac:dyDescent="0.25">
      <c r="A3647" s="14">
        <f>DATE(2012,12,31)-1053</f>
        <v>40221</v>
      </c>
      <c r="B3647" s="15" t="s">
        <v>1268</v>
      </c>
      <c r="C3647" s="15" t="s">
        <v>85</v>
      </c>
      <c r="D3647" s="16">
        <v>47</v>
      </c>
      <c r="E3647" s="17">
        <v>396.78</v>
      </c>
      <c r="F3647" s="16">
        <v>0.09</v>
      </c>
      <c r="G3647" s="15" t="s">
        <v>32</v>
      </c>
      <c r="H3647" s="18">
        <v>-321.20999999999998</v>
      </c>
      <c r="I3647" s="19">
        <v>8.3699999999999992</v>
      </c>
      <c r="J3647" s="19">
        <v>10.16</v>
      </c>
      <c r="K3647" s="19" t="s">
        <v>33</v>
      </c>
      <c r="L3647" s="19" t="s">
        <v>93</v>
      </c>
      <c r="M3647" s="15" t="s">
        <v>94</v>
      </c>
      <c r="N3647" s="15" t="s">
        <v>54</v>
      </c>
      <c r="O3647" s="15" t="s">
        <v>55</v>
      </c>
      <c r="P3647" s="20" t="s">
        <v>1516</v>
      </c>
      <c r="Q3647" s="15" t="s">
        <v>39</v>
      </c>
      <c r="R3647" s="4"/>
      <c r="S3647" s="4"/>
    </row>
    <row r="3648" spans="1:19" ht="21" customHeight="1" x14ac:dyDescent="0.25">
      <c r="A3648" s="14">
        <f>DATE(2012,12,31)-36</f>
        <v>41238</v>
      </c>
      <c r="B3648" s="15" t="s">
        <v>1402</v>
      </c>
      <c r="C3648" s="15" t="s">
        <v>43</v>
      </c>
      <c r="D3648" s="16">
        <v>46</v>
      </c>
      <c r="E3648" s="17">
        <v>6733.52</v>
      </c>
      <c r="F3648" s="16">
        <v>0.04</v>
      </c>
      <c r="G3648" s="15" t="s">
        <v>32</v>
      </c>
      <c r="H3648" s="18">
        <v>246</v>
      </c>
      <c r="I3648" s="19">
        <v>152.47999999999999</v>
      </c>
      <c r="J3648" s="19">
        <v>4</v>
      </c>
      <c r="K3648" s="19" t="s">
        <v>33</v>
      </c>
      <c r="L3648" s="19" t="s">
        <v>93</v>
      </c>
      <c r="M3648" s="15" t="s">
        <v>94</v>
      </c>
      <c r="N3648" s="15" t="s">
        <v>64</v>
      </c>
      <c r="O3648" s="15" t="s">
        <v>72</v>
      </c>
      <c r="P3648" s="20" t="s">
        <v>473</v>
      </c>
      <c r="Q3648" s="15" t="s">
        <v>83</v>
      </c>
      <c r="R3648" s="4"/>
      <c r="S3648" s="4"/>
    </row>
    <row r="3649" spans="1:19" ht="21" customHeight="1" x14ac:dyDescent="0.25">
      <c r="A3649" s="14">
        <f>DATE(2012,12,31)-76</f>
        <v>41198</v>
      </c>
      <c r="B3649" s="15" t="s">
        <v>674</v>
      </c>
      <c r="C3649" s="15" t="s">
        <v>31</v>
      </c>
      <c r="D3649" s="16">
        <v>33</v>
      </c>
      <c r="E3649" s="17">
        <v>228.82</v>
      </c>
      <c r="F3649" s="16">
        <v>0.03</v>
      </c>
      <c r="G3649" s="15" t="s">
        <v>101</v>
      </c>
      <c r="H3649" s="18">
        <v>-107</v>
      </c>
      <c r="I3649" s="19">
        <v>6.68</v>
      </c>
      <c r="J3649" s="19">
        <v>7.3</v>
      </c>
      <c r="K3649" s="19" t="s">
        <v>33</v>
      </c>
      <c r="L3649" s="19" t="s">
        <v>93</v>
      </c>
      <c r="M3649" s="15" t="s">
        <v>94</v>
      </c>
      <c r="N3649" s="15" t="s">
        <v>36</v>
      </c>
      <c r="O3649" s="15" t="s">
        <v>117</v>
      </c>
      <c r="P3649" s="20" t="s">
        <v>1862</v>
      </c>
      <c r="Q3649" s="15" t="s">
        <v>83</v>
      </c>
      <c r="R3649" s="4"/>
      <c r="S3649" s="4"/>
    </row>
    <row r="3650" spans="1:19" ht="21" customHeight="1" x14ac:dyDescent="0.25">
      <c r="A3650" s="14">
        <f>DATE(2012,12,31)-63</f>
        <v>41211</v>
      </c>
      <c r="B3650" s="15" t="s">
        <v>256</v>
      </c>
      <c r="C3650" s="15" t="s">
        <v>85</v>
      </c>
      <c r="D3650" s="16">
        <v>36</v>
      </c>
      <c r="E3650" s="17">
        <v>697.41</v>
      </c>
      <c r="F3650" s="16">
        <v>0.04</v>
      </c>
      <c r="G3650" s="15" t="s">
        <v>32</v>
      </c>
      <c r="H3650" s="18">
        <v>81.709999999999994</v>
      </c>
      <c r="I3650" s="19">
        <v>18.97</v>
      </c>
      <c r="J3650" s="19">
        <v>9.0299999999999994</v>
      </c>
      <c r="K3650" s="19" t="s">
        <v>33</v>
      </c>
      <c r="L3650" s="19" t="s">
        <v>93</v>
      </c>
      <c r="M3650" s="15" t="s">
        <v>94</v>
      </c>
      <c r="N3650" s="15" t="s">
        <v>36</v>
      </c>
      <c r="O3650" s="15" t="s">
        <v>117</v>
      </c>
      <c r="P3650" s="20" t="s">
        <v>127</v>
      </c>
      <c r="Q3650" s="15" t="s">
        <v>83</v>
      </c>
      <c r="R3650" s="4"/>
      <c r="S3650" s="4"/>
    </row>
    <row r="3651" spans="1:19" ht="21" customHeight="1" x14ac:dyDescent="0.25">
      <c r="A3651" s="14">
        <f>DATE(2012,12,31)-432</f>
        <v>40842</v>
      </c>
      <c r="B3651" s="15" t="s">
        <v>1196</v>
      </c>
      <c r="C3651" s="15" t="s">
        <v>51</v>
      </c>
      <c r="D3651" s="16">
        <v>28</v>
      </c>
      <c r="E3651" s="17">
        <v>75.739999999999995</v>
      </c>
      <c r="F3651" s="16">
        <v>0.1</v>
      </c>
      <c r="G3651" s="15" t="s">
        <v>32</v>
      </c>
      <c r="H3651" s="18">
        <v>13.23</v>
      </c>
      <c r="I3651" s="19">
        <v>2.88</v>
      </c>
      <c r="J3651" s="19">
        <v>0.99</v>
      </c>
      <c r="K3651" s="19" t="s">
        <v>33</v>
      </c>
      <c r="L3651" s="19" t="s">
        <v>128</v>
      </c>
      <c r="M3651" s="15" t="s">
        <v>129</v>
      </c>
      <c r="N3651" s="15" t="s">
        <v>36</v>
      </c>
      <c r="O3651" s="15" t="s">
        <v>114</v>
      </c>
      <c r="P3651" s="20" t="s">
        <v>1153</v>
      </c>
      <c r="Q3651" s="15" t="s">
        <v>83</v>
      </c>
      <c r="R3651" s="4"/>
      <c r="S3651" s="4"/>
    </row>
    <row r="3652" spans="1:19" ht="21" customHeight="1" x14ac:dyDescent="0.25">
      <c r="A3652" s="14">
        <f>DATE(2012,12,31)-546</f>
        <v>40728</v>
      </c>
      <c r="B3652" s="15" t="s">
        <v>2077</v>
      </c>
      <c r="C3652" s="15" t="s">
        <v>31</v>
      </c>
      <c r="D3652" s="16">
        <v>18</v>
      </c>
      <c r="E3652" s="17">
        <v>99.36</v>
      </c>
      <c r="F3652" s="16">
        <v>0</v>
      </c>
      <c r="G3652" s="15" t="s">
        <v>32</v>
      </c>
      <c r="H3652" s="18">
        <v>-51.198</v>
      </c>
      <c r="I3652" s="19">
        <v>4.91</v>
      </c>
      <c r="J3652" s="19">
        <v>5.68</v>
      </c>
      <c r="K3652" s="19" t="s">
        <v>33</v>
      </c>
      <c r="L3652" s="19" t="s">
        <v>128</v>
      </c>
      <c r="M3652" s="15" t="s">
        <v>129</v>
      </c>
      <c r="N3652" s="15" t="s">
        <v>36</v>
      </c>
      <c r="O3652" s="15" t="s">
        <v>170</v>
      </c>
      <c r="P3652" s="20" t="s">
        <v>1284</v>
      </c>
      <c r="Q3652" s="15" t="s">
        <v>83</v>
      </c>
      <c r="R3652" s="4"/>
      <c r="S3652" s="4"/>
    </row>
    <row r="3653" spans="1:19" ht="21" customHeight="1" x14ac:dyDescent="0.25">
      <c r="A3653" s="14">
        <f>DATE(2012,12,31)-546</f>
        <v>40728</v>
      </c>
      <c r="B3653" s="15" t="s">
        <v>2077</v>
      </c>
      <c r="C3653" s="15" t="s">
        <v>31</v>
      </c>
      <c r="D3653" s="16">
        <v>49</v>
      </c>
      <c r="E3653" s="17">
        <v>510.15</v>
      </c>
      <c r="F3653" s="16">
        <v>0.04</v>
      </c>
      <c r="G3653" s="15" t="s">
        <v>32</v>
      </c>
      <c r="H3653" s="18">
        <v>-362.11</v>
      </c>
      <c r="I3653" s="19">
        <v>9.98</v>
      </c>
      <c r="J3653" s="19">
        <v>12.52</v>
      </c>
      <c r="K3653" s="19" t="s">
        <v>33</v>
      </c>
      <c r="L3653" s="19" t="s">
        <v>128</v>
      </c>
      <c r="M3653" s="15" t="s">
        <v>129</v>
      </c>
      <c r="N3653" s="15" t="s">
        <v>54</v>
      </c>
      <c r="O3653" s="15" t="s">
        <v>55</v>
      </c>
      <c r="P3653" s="20" t="s">
        <v>1999</v>
      </c>
      <c r="Q3653" s="15" t="s">
        <v>83</v>
      </c>
      <c r="R3653" s="4"/>
      <c r="S3653" s="4"/>
    </row>
    <row r="3654" spans="1:19" ht="21" customHeight="1" x14ac:dyDescent="0.25">
      <c r="A3654" s="14">
        <f>DATE(2012,12,31)-546</f>
        <v>40728</v>
      </c>
      <c r="B3654" s="15" t="s">
        <v>2077</v>
      </c>
      <c r="C3654" s="15" t="s">
        <v>31</v>
      </c>
      <c r="D3654" s="16">
        <v>27</v>
      </c>
      <c r="E3654" s="17">
        <v>735.09</v>
      </c>
      <c r="F3654" s="16">
        <v>0.1</v>
      </c>
      <c r="G3654" s="15" t="s">
        <v>32</v>
      </c>
      <c r="H3654" s="18">
        <v>153.5</v>
      </c>
      <c r="I3654" s="19">
        <v>29.34</v>
      </c>
      <c r="J3654" s="19">
        <v>7.87</v>
      </c>
      <c r="K3654" s="19" t="s">
        <v>33</v>
      </c>
      <c r="L3654" s="19" t="s">
        <v>93</v>
      </c>
      <c r="M3654" s="15" t="s">
        <v>94</v>
      </c>
      <c r="N3654" s="15" t="s">
        <v>54</v>
      </c>
      <c r="O3654" s="15" t="s">
        <v>55</v>
      </c>
      <c r="P3654" s="20" t="s">
        <v>1638</v>
      </c>
      <c r="Q3654" s="15" t="s">
        <v>83</v>
      </c>
      <c r="R3654" s="4"/>
      <c r="S3654" s="4"/>
    </row>
    <row r="3655" spans="1:19" ht="21" customHeight="1" x14ac:dyDescent="0.25">
      <c r="A3655" s="14">
        <f>DATE(2012,12,31)-1177</f>
        <v>40097</v>
      </c>
      <c r="B3655" s="15" t="s">
        <v>665</v>
      </c>
      <c r="C3655" s="15" t="s">
        <v>31</v>
      </c>
      <c r="D3655" s="16">
        <v>13</v>
      </c>
      <c r="E3655" s="17">
        <v>1351.76</v>
      </c>
      <c r="F3655" s="16">
        <v>0.03</v>
      </c>
      <c r="G3655" s="15" t="s">
        <v>32</v>
      </c>
      <c r="H3655" s="18">
        <v>107.31</v>
      </c>
      <c r="I3655" s="19">
        <v>104.65</v>
      </c>
      <c r="J3655" s="19">
        <v>18.93</v>
      </c>
      <c r="K3655" s="19" t="s">
        <v>33</v>
      </c>
      <c r="L3655" s="19" t="s">
        <v>93</v>
      </c>
      <c r="M3655" s="15" t="s">
        <v>94</v>
      </c>
      <c r="N3655" s="15" t="s">
        <v>36</v>
      </c>
      <c r="O3655" s="15" t="s">
        <v>176</v>
      </c>
      <c r="P3655" s="20" t="s">
        <v>2084</v>
      </c>
      <c r="Q3655" s="15" t="s">
        <v>83</v>
      </c>
      <c r="R3655" s="4"/>
      <c r="S3655" s="4"/>
    </row>
    <row r="3656" spans="1:19" ht="21" customHeight="1" x14ac:dyDescent="0.25">
      <c r="A3656" s="14">
        <f>DATE(2012,12,31)-1177</f>
        <v>40097</v>
      </c>
      <c r="B3656" s="15" t="s">
        <v>665</v>
      </c>
      <c r="C3656" s="15" t="s">
        <v>31</v>
      </c>
      <c r="D3656" s="16">
        <v>49</v>
      </c>
      <c r="E3656" s="17">
        <v>595.4</v>
      </c>
      <c r="F3656" s="16">
        <v>0.03</v>
      </c>
      <c r="G3656" s="15" t="s">
        <v>32</v>
      </c>
      <c r="H3656" s="18">
        <v>-148.85</v>
      </c>
      <c r="I3656" s="19">
        <v>11.66</v>
      </c>
      <c r="J3656" s="19">
        <v>7.95</v>
      </c>
      <c r="K3656" s="19" t="s">
        <v>33</v>
      </c>
      <c r="L3656" s="19" t="s">
        <v>93</v>
      </c>
      <c r="M3656" s="15" t="s">
        <v>94</v>
      </c>
      <c r="N3656" s="15" t="s">
        <v>36</v>
      </c>
      <c r="O3656" s="15" t="s">
        <v>77</v>
      </c>
      <c r="P3656" s="20" t="s">
        <v>1502</v>
      </c>
      <c r="Q3656" s="15" t="s">
        <v>49</v>
      </c>
      <c r="R3656" s="4"/>
      <c r="S3656" s="4"/>
    </row>
    <row r="3657" spans="1:19" ht="21" customHeight="1" x14ac:dyDescent="0.25">
      <c r="A3657" s="14">
        <f>DATE(2012,12,31)-408</f>
        <v>40866</v>
      </c>
      <c r="B3657" s="15" t="s">
        <v>810</v>
      </c>
      <c r="C3657" s="15" t="s">
        <v>51</v>
      </c>
      <c r="D3657" s="16">
        <v>14</v>
      </c>
      <c r="E3657" s="17">
        <v>94.32</v>
      </c>
      <c r="F3657" s="16">
        <v>0.06</v>
      </c>
      <c r="G3657" s="15" t="s">
        <v>32</v>
      </c>
      <c r="H3657" s="18">
        <v>-66.87</v>
      </c>
      <c r="I3657" s="19">
        <v>6.48</v>
      </c>
      <c r="J3657" s="19">
        <v>8.19</v>
      </c>
      <c r="K3657" s="19" t="s">
        <v>97</v>
      </c>
      <c r="L3657" s="19" t="s">
        <v>567</v>
      </c>
      <c r="M3657" s="15" t="s">
        <v>568</v>
      </c>
      <c r="N3657" s="15" t="s">
        <v>36</v>
      </c>
      <c r="O3657" s="15" t="s">
        <v>117</v>
      </c>
      <c r="P3657" s="20" t="s">
        <v>118</v>
      </c>
      <c r="Q3657" s="15" t="s">
        <v>83</v>
      </c>
      <c r="R3657" s="4"/>
      <c r="S3657" s="4"/>
    </row>
    <row r="3658" spans="1:19" ht="21" customHeight="1" x14ac:dyDescent="0.25">
      <c r="A3658" s="14">
        <f>DATE(2012,12,31)-408</f>
        <v>40866</v>
      </c>
      <c r="B3658" s="15" t="s">
        <v>810</v>
      </c>
      <c r="C3658" s="15" t="s">
        <v>51</v>
      </c>
      <c r="D3658" s="16">
        <v>30</v>
      </c>
      <c r="E3658" s="17">
        <v>554.42949999999996</v>
      </c>
      <c r="F3658" s="16">
        <v>0.03</v>
      </c>
      <c r="G3658" s="15" t="s">
        <v>32</v>
      </c>
      <c r="H3658" s="18">
        <v>34.010999999999996</v>
      </c>
      <c r="I3658" s="19">
        <v>20.99</v>
      </c>
      <c r="J3658" s="19">
        <v>4.8099999999999996</v>
      </c>
      <c r="K3658" s="19" t="s">
        <v>97</v>
      </c>
      <c r="L3658" s="19" t="s">
        <v>98</v>
      </c>
      <c r="M3658" s="15" t="s">
        <v>1991</v>
      </c>
      <c r="N3658" s="15" t="s">
        <v>64</v>
      </c>
      <c r="O3658" s="15" t="s">
        <v>65</v>
      </c>
      <c r="P3658" s="20" t="s">
        <v>654</v>
      </c>
      <c r="Q3658" s="15" t="s">
        <v>57</v>
      </c>
      <c r="R3658" s="4"/>
      <c r="S3658" s="4"/>
    </row>
    <row r="3659" spans="1:19" ht="21" customHeight="1" x14ac:dyDescent="0.25">
      <c r="A3659" s="14">
        <f>DATE(2012,12,31)-1080</f>
        <v>40194</v>
      </c>
      <c r="B3659" s="15" t="s">
        <v>1509</v>
      </c>
      <c r="C3659" s="15" t="s">
        <v>43</v>
      </c>
      <c r="D3659" s="16">
        <v>30</v>
      </c>
      <c r="E3659" s="17">
        <v>4684.8999999999996</v>
      </c>
      <c r="F3659" s="16">
        <v>0.01</v>
      </c>
      <c r="G3659" s="15" t="s">
        <v>58</v>
      </c>
      <c r="H3659" s="18">
        <v>-549.27</v>
      </c>
      <c r="I3659" s="19">
        <v>150.97999999999999</v>
      </c>
      <c r="J3659" s="19">
        <v>66.27</v>
      </c>
      <c r="K3659" s="19" t="s">
        <v>97</v>
      </c>
      <c r="L3659" s="19" t="s">
        <v>98</v>
      </c>
      <c r="M3659" s="15" t="s">
        <v>1991</v>
      </c>
      <c r="N3659" s="15" t="s">
        <v>54</v>
      </c>
      <c r="O3659" s="15" t="s">
        <v>134</v>
      </c>
      <c r="P3659" s="20" t="s">
        <v>1113</v>
      </c>
      <c r="Q3659" s="15" t="s">
        <v>63</v>
      </c>
      <c r="R3659" s="4"/>
      <c r="S3659" s="4"/>
    </row>
    <row r="3660" spans="1:19" ht="21" customHeight="1" x14ac:dyDescent="0.25">
      <c r="A3660" s="14">
        <f>DATE(2012,12,31)-1080</f>
        <v>40194</v>
      </c>
      <c r="B3660" s="15" t="s">
        <v>1509</v>
      </c>
      <c r="C3660" s="15" t="s">
        <v>43</v>
      </c>
      <c r="D3660" s="16">
        <v>4</v>
      </c>
      <c r="E3660" s="17">
        <v>770.76</v>
      </c>
      <c r="F3660" s="16">
        <v>0.08</v>
      </c>
      <c r="G3660" s="15" t="s">
        <v>58</v>
      </c>
      <c r="H3660" s="18">
        <v>-192.51</v>
      </c>
      <c r="I3660" s="19">
        <v>200.98</v>
      </c>
      <c r="J3660" s="19">
        <v>23.76</v>
      </c>
      <c r="K3660" s="19" t="s">
        <v>97</v>
      </c>
      <c r="L3660" s="19" t="s">
        <v>98</v>
      </c>
      <c r="M3660" s="15" t="s">
        <v>1991</v>
      </c>
      <c r="N3660" s="15" t="s">
        <v>54</v>
      </c>
      <c r="O3660" s="15" t="s">
        <v>252</v>
      </c>
      <c r="P3660" s="20" t="s">
        <v>1277</v>
      </c>
      <c r="Q3660" s="15" t="s">
        <v>181</v>
      </c>
      <c r="R3660" s="4"/>
      <c r="S3660" s="4"/>
    </row>
    <row r="3661" spans="1:19" ht="21" customHeight="1" x14ac:dyDescent="0.25">
      <c r="A3661" s="14">
        <f>DATE(2012,12,31)-407</f>
        <v>40867</v>
      </c>
      <c r="B3661" s="15" t="s">
        <v>1837</v>
      </c>
      <c r="C3661" s="15" t="s">
        <v>85</v>
      </c>
      <c r="D3661" s="16">
        <v>19</v>
      </c>
      <c r="E3661" s="17">
        <v>305.68</v>
      </c>
      <c r="F3661" s="16">
        <v>0.1</v>
      </c>
      <c r="G3661" s="15" t="s">
        <v>101</v>
      </c>
      <c r="H3661" s="18">
        <v>128.16999999999999</v>
      </c>
      <c r="I3661" s="19">
        <v>15.74</v>
      </c>
      <c r="J3661" s="19">
        <v>1.39</v>
      </c>
      <c r="K3661" s="19" t="s">
        <v>97</v>
      </c>
      <c r="L3661" s="19" t="s">
        <v>98</v>
      </c>
      <c r="M3661" s="15" t="s">
        <v>1991</v>
      </c>
      <c r="N3661" s="15" t="s">
        <v>36</v>
      </c>
      <c r="O3661" s="15" t="s">
        <v>189</v>
      </c>
      <c r="P3661" s="20" t="s">
        <v>377</v>
      </c>
      <c r="Q3661" s="15" t="s">
        <v>83</v>
      </c>
      <c r="R3661" s="4"/>
      <c r="S3661" s="4"/>
    </row>
    <row r="3662" spans="1:19" ht="21" customHeight="1" x14ac:dyDescent="0.25">
      <c r="A3662" s="14">
        <f>DATE(2012,12,31)-407</f>
        <v>40867</v>
      </c>
      <c r="B3662" s="15" t="s">
        <v>1837</v>
      </c>
      <c r="C3662" s="15" t="s">
        <v>85</v>
      </c>
      <c r="D3662" s="16">
        <v>41</v>
      </c>
      <c r="E3662" s="17">
        <v>1901.29</v>
      </c>
      <c r="F3662" s="16">
        <v>0.08</v>
      </c>
      <c r="G3662" s="15" t="s">
        <v>32</v>
      </c>
      <c r="H3662" s="18">
        <v>870.8</v>
      </c>
      <c r="I3662" s="19">
        <v>46.94</v>
      </c>
      <c r="J3662" s="19">
        <v>6.77</v>
      </c>
      <c r="K3662" s="19" t="s">
        <v>97</v>
      </c>
      <c r="L3662" s="19" t="s">
        <v>98</v>
      </c>
      <c r="M3662" s="15" t="s">
        <v>2085</v>
      </c>
      <c r="N3662" s="15" t="s">
        <v>54</v>
      </c>
      <c r="O3662" s="15" t="s">
        <v>55</v>
      </c>
      <c r="P3662" s="20" t="s">
        <v>1428</v>
      </c>
      <c r="Q3662" s="15" t="s">
        <v>83</v>
      </c>
      <c r="R3662" s="4"/>
      <c r="S3662" s="4"/>
    </row>
    <row r="3663" spans="1:19" ht="21" customHeight="1" x14ac:dyDescent="0.25">
      <c r="A3663" s="14">
        <f>DATE(2012,12,31)-1108</f>
        <v>40166</v>
      </c>
      <c r="B3663" s="15" t="s">
        <v>256</v>
      </c>
      <c r="C3663" s="15" t="s">
        <v>85</v>
      </c>
      <c r="D3663" s="16">
        <v>38</v>
      </c>
      <c r="E3663" s="17">
        <v>1483.44</v>
      </c>
      <c r="F3663" s="16">
        <v>0.04</v>
      </c>
      <c r="G3663" s="15" t="s">
        <v>32</v>
      </c>
      <c r="H3663" s="18">
        <v>439.77</v>
      </c>
      <c r="I3663" s="19">
        <v>39.479999999999997</v>
      </c>
      <c r="J3663" s="19">
        <v>1.99</v>
      </c>
      <c r="K3663" s="19" t="s">
        <v>124</v>
      </c>
      <c r="L3663" s="19" t="s">
        <v>160</v>
      </c>
      <c r="M3663" s="15" t="s">
        <v>1951</v>
      </c>
      <c r="N3663" s="15" t="s">
        <v>64</v>
      </c>
      <c r="O3663" s="15" t="s">
        <v>72</v>
      </c>
      <c r="P3663" s="20" t="s">
        <v>218</v>
      </c>
      <c r="Q3663" s="15" t="s">
        <v>49</v>
      </c>
      <c r="R3663" s="4"/>
      <c r="S3663" s="4"/>
    </row>
    <row r="3664" spans="1:19" ht="21" customHeight="1" x14ac:dyDescent="0.25">
      <c r="A3664" s="14">
        <f>DATE(2012,12,31)-1108</f>
        <v>40166</v>
      </c>
      <c r="B3664" s="15" t="s">
        <v>256</v>
      </c>
      <c r="C3664" s="15" t="s">
        <v>85</v>
      </c>
      <c r="D3664" s="16">
        <v>39</v>
      </c>
      <c r="E3664" s="17">
        <v>145.68</v>
      </c>
      <c r="F3664" s="16">
        <v>0.04</v>
      </c>
      <c r="G3664" s="15" t="s">
        <v>32</v>
      </c>
      <c r="H3664" s="18">
        <v>12</v>
      </c>
      <c r="I3664" s="19">
        <v>3.7</v>
      </c>
      <c r="J3664" s="19">
        <v>1.61</v>
      </c>
      <c r="K3664" s="19" t="s">
        <v>124</v>
      </c>
      <c r="L3664" s="19" t="s">
        <v>160</v>
      </c>
      <c r="M3664" s="15" t="s">
        <v>1951</v>
      </c>
      <c r="N3664" s="15" t="s">
        <v>54</v>
      </c>
      <c r="O3664" s="15" t="s">
        <v>55</v>
      </c>
      <c r="P3664" s="20" t="s">
        <v>1814</v>
      </c>
      <c r="Q3664" s="15" t="s">
        <v>79</v>
      </c>
      <c r="R3664" s="4"/>
      <c r="S3664" s="4"/>
    </row>
    <row r="3665" spans="1:19" ht="21" customHeight="1" x14ac:dyDescent="0.25">
      <c r="A3665" s="14">
        <f>DATE(2012,12,31)-534</f>
        <v>40740</v>
      </c>
      <c r="B3665" s="15" t="s">
        <v>2086</v>
      </c>
      <c r="C3665" s="15" t="s">
        <v>31</v>
      </c>
      <c r="D3665" s="16">
        <v>42</v>
      </c>
      <c r="E3665" s="17">
        <v>71.319999999999993</v>
      </c>
      <c r="F3665" s="16">
        <v>0.08</v>
      </c>
      <c r="G3665" s="15" t="s">
        <v>32</v>
      </c>
      <c r="H3665" s="18">
        <v>-4.9000000000000004</v>
      </c>
      <c r="I3665" s="19">
        <v>1.82</v>
      </c>
      <c r="J3665" s="19">
        <v>1</v>
      </c>
      <c r="K3665" s="19" t="s">
        <v>124</v>
      </c>
      <c r="L3665" s="19" t="s">
        <v>493</v>
      </c>
      <c r="M3665" s="15" t="s">
        <v>2050</v>
      </c>
      <c r="N3665" s="15" t="s">
        <v>36</v>
      </c>
      <c r="O3665" s="15" t="s">
        <v>77</v>
      </c>
      <c r="P3665" s="20" t="s">
        <v>756</v>
      </c>
      <c r="Q3665" s="15" t="s">
        <v>79</v>
      </c>
      <c r="R3665" s="4"/>
      <c r="S3665" s="4"/>
    </row>
    <row r="3666" spans="1:19" ht="21" customHeight="1" x14ac:dyDescent="0.25">
      <c r="A3666" s="14">
        <f>DATE(2012,12,31)-881</f>
        <v>40393</v>
      </c>
      <c r="B3666" s="15" t="s">
        <v>136</v>
      </c>
      <c r="C3666" s="15" t="s">
        <v>51</v>
      </c>
      <c r="D3666" s="16">
        <v>16</v>
      </c>
      <c r="E3666" s="17">
        <v>131.72</v>
      </c>
      <c r="F3666" s="16">
        <v>0.09</v>
      </c>
      <c r="G3666" s="15" t="s">
        <v>32</v>
      </c>
      <c r="H3666" s="18">
        <v>-42.61</v>
      </c>
      <c r="I3666" s="19">
        <v>8.4600000000000009</v>
      </c>
      <c r="J3666" s="19">
        <v>3.62</v>
      </c>
      <c r="K3666" s="19" t="s">
        <v>124</v>
      </c>
      <c r="L3666" s="19" t="s">
        <v>160</v>
      </c>
      <c r="M3666" s="15" t="s">
        <v>1951</v>
      </c>
      <c r="N3666" s="15" t="s">
        <v>64</v>
      </c>
      <c r="O3666" s="15" t="s">
        <v>72</v>
      </c>
      <c r="P3666" s="20" t="s">
        <v>385</v>
      </c>
      <c r="Q3666" s="15" t="s">
        <v>49</v>
      </c>
      <c r="R3666" s="4"/>
      <c r="S3666" s="4"/>
    </row>
    <row r="3667" spans="1:19" ht="21" customHeight="1" x14ac:dyDescent="0.25">
      <c r="A3667" s="14">
        <f>DATE(2012,12,31)-185</f>
        <v>41089</v>
      </c>
      <c r="B3667" s="15" t="s">
        <v>336</v>
      </c>
      <c r="C3667" s="15" t="s">
        <v>31</v>
      </c>
      <c r="D3667" s="16">
        <v>6</v>
      </c>
      <c r="E3667" s="17">
        <v>905.94</v>
      </c>
      <c r="F3667" s="16">
        <v>0.04</v>
      </c>
      <c r="G3667" s="15" t="s">
        <v>101</v>
      </c>
      <c r="H3667" s="18">
        <v>-4.1900000000000004</v>
      </c>
      <c r="I3667" s="19">
        <v>140.81</v>
      </c>
      <c r="J3667" s="19">
        <v>24.49</v>
      </c>
      <c r="K3667" s="19" t="s">
        <v>124</v>
      </c>
      <c r="L3667" s="19" t="s">
        <v>164</v>
      </c>
      <c r="M3667" s="15" t="s">
        <v>2052</v>
      </c>
      <c r="N3667" s="15" t="s">
        <v>54</v>
      </c>
      <c r="O3667" s="15" t="s">
        <v>252</v>
      </c>
      <c r="P3667" s="20" t="s">
        <v>1392</v>
      </c>
      <c r="Q3667" s="15" t="s">
        <v>39</v>
      </c>
      <c r="R3667" s="4"/>
      <c r="S3667" s="4"/>
    </row>
    <row r="3668" spans="1:19" ht="21" customHeight="1" x14ac:dyDescent="0.25">
      <c r="A3668" s="14">
        <f>DATE(2012,12,31)-202</f>
        <v>41072</v>
      </c>
      <c r="B3668" s="15" t="s">
        <v>737</v>
      </c>
      <c r="C3668" s="15" t="s">
        <v>43</v>
      </c>
      <c r="D3668" s="16">
        <v>41</v>
      </c>
      <c r="E3668" s="17">
        <v>377.83</v>
      </c>
      <c r="F3668" s="16">
        <v>0.06</v>
      </c>
      <c r="G3668" s="15" t="s">
        <v>32</v>
      </c>
      <c r="H3668" s="18">
        <v>122.06</v>
      </c>
      <c r="I3668" s="19">
        <v>9.11</v>
      </c>
      <c r="J3668" s="19">
        <v>2.15</v>
      </c>
      <c r="K3668" s="19" t="s">
        <v>124</v>
      </c>
      <c r="L3668" s="19" t="s">
        <v>164</v>
      </c>
      <c r="M3668" s="15" t="s">
        <v>2052</v>
      </c>
      <c r="N3668" s="15" t="s">
        <v>36</v>
      </c>
      <c r="O3668" s="15" t="s">
        <v>117</v>
      </c>
      <c r="P3668" s="20" t="s">
        <v>1374</v>
      </c>
      <c r="Q3668" s="15" t="s">
        <v>79</v>
      </c>
      <c r="R3668" s="4"/>
      <c r="S3668" s="4"/>
    </row>
    <row r="3669" spans="1:19" ht="21" customHeight="1" x14ac:dyDescent="0.25">
      <c r="A3669" s="14">
        <f>DATE(2012,12,31)-841</f>
        <v>40433</v>
      </c>
      <c r="B3669" s="15" t="s">
        <v>1854</v>
      </c>
      <c r="C3669" s="15" t="s">
        <v>31</v>
      </c>
      <c r="D3669" s="16">
        <v>19</v>
      </c>
      <c r="E3669" s="17">
        <v>20329.8</v>
      </c>
      <c r="F3669" s="16">
        <v>0</v>
      </c>
      <c r="G3669" s="15" t="s">
        <v>32</v>
      </c>
      <c r="H3669" s="18">
        <v>9224.1</v>
      </c>
      <c r="I3669" s="19">
        <v>999.99</v>
      </c>
      <c r="J3669" s="19">
        <v>13.99</v>
      </c>
      <c r="K3669" s="19" t="s">
        <v>124</v>
      </c>
      <c r="L3669" s="19" t="s">
        <v>158</v>
      </c>
      <c r="M3669" s="15" t="s">
        <v>158</v>
      </c>
      <c r="N3669" s="15" t="s">
        <v>64</v>
      </c>
      <c r="O3669" s="15" t="s">
        <v>122</v>
      </c>
      <c r="P3669" s="20" t="s">
        <v>1495</v>
      </c>
      <c r="Q3669" s="15" t="s">
        <v>57</v>
      </c>
      <c r="R3669" s="4"/>
      <c r="S3669" s="4"/>
    </row>
    <row r="3670" spans="1:19" ht="21" customHeight="1" x14ac:dyDescent="0.25">
      <c r="A3670" s="14">
        <f>DATE(2012,12,31)-841</f>
        <v>40433</v>
      </c>
      <c r="B3670" s="15" t="s">
        <v>1854</v>
      </c>
      <c r="C3670" s="15" t="s">
        <v>31</v>
      </c>
      <c r="D3670" s="16">
        <v>21</v>
      </c>
      <c r="E3670" s="17">
        <v>3685.38</v>
      </c>
      <c r="F3670" s="16">
        <v>0</v>
      </c>
      <c r="G3670" s="15" t="s">
        <v>101</v>
      </c>
      <c r="H3670" s="18">
        <v>1040.6199999999999</v>
      </c>
      <c r="I3670" s="19">
        <v>170.98</v>
      </c>
      <c r="J3670" s="19">
        <v>13.99</v>
      </c>
      <c r="K3670" s="19" t="s">
        <v>124</v>
      </c>
      <c r="L3670" s="19" t="s">
        <v>164</v>
      </c>
      <c r="M3670" s="15" t="s">
        <v>2052</v>
      </c>
      <c r="N3670" s="15" t="s">
        <v>54</v>
      </c>
      <c r="O3670" s="15" t="s">
        <v>55</v>
      </c>
      <c r="P3670" s="20" t="s">
        <v>2087</v>
      </c>
      <c r="Q3670" s="15" t="s">
        <v>57</v>
      </c>
      <c r="R3670" s="4"/>
      <c r="S3670" s="4"/>
    </row>
    <row r="3671" spans="1:19" ht="21" customHeight="1" x14ac:dyDescent="0.25">
      <c r="A3671" s="14">
        <f>DATE(2012,12,31)-553</f>
        <v>40721</v>
      </c>
      <c r="B3671" s="15" t="s">
        <v>667</v>
      </c>
      <c r="C3671" s="15" t="s">
        <v>85</v>
      </c>
      <c r="D3671" s="16">
        <v>17</v>
      </c>
      <c r="E3671" s="17">
        <v>877.81</v>
      </c>
      <c r="F3671" s="16">
        <v>0.02</v>
      </c>
      <c r="G3671" s="15" t="s">
        <v>32</v>
      </c>
      <c r="H3671" s="18">
        <v>-44.4</v>
      </c>
      <c r="I3671" s="19">
        <v>49.99</v>
      </c>
      <c r="J3671" s="19">
        <v>19.989999999999998</v>
      </c>
      <c r="K3671" s="19" t="s">
        <v>124</v>
      </c>
      <c r="L3671" s="19" t="s">
        <v>160</v>
      </c>
      <c r="M3671" s="15" t="s">
        <v>1951</v>
      </c>
      <c r="N3671" s="15" t="s">
        <v>64</v>
      </c>
      <c r="O3671" s="15" t="s">
        <v>72</v>
      </c>
      <c r="P3671" s="20" t="s">
        <v>1263</v>
      </c>
      <c r="Q3671" s="15" t="s">
        <v>83</v>
      </c>
      <c r="R3671" s="4"/>
      <c r="S3671" s="4"/>
    </row>
    <row r="3672" spans="1:19" ht="21" customHeight="1" x14ac:dyDescent="0.25">
      <c r="A3672" s="14">
        <f>DATE(2012,12,31)-1250</f>
        <v>40024</v>
      </c>
      <c r="B3672" s="15" t="s">
        <v>342</v>
      </c>
      <c r="C3672" s="15" t="s">
        <v>43</v>
      </c>
      <c r="D3672" s="16">
        <v>7</v>
      </c>
      <c r="E3672" s="17">
        <v>211.74350000000001</v>
      </c>
      <c r="F3672" s="16">
        <v>0.04</v>
      </c>
      <c r="G3672" s="15" t="s">
        <v>32</v>
      </c>
      <c r="H3672" s="18">
        <v>-33.308</v>
      </c>
      <c r="I3672" s="19">
        <v>35.99</v>
      </c>
      <c r="J3672" s="19">
        <v>1.25</v>
      </c>
      <c r="K3672" s="19" t="s">
        <v>124</v>
      </c>
      <c r="L3672" s="19" t="s">
        <v>319</v>
      </c>
      <c r="M3672" s="15" t="s">
        <v>1966</v>
      </c>
      <c r="N3672" s="15" t="s">
        <v>64</v>
      </c>
      <c r="O3672" s="15" t="s">
        <v>65</v>
      </c>
      <c r="P3672" s="20" t="s">
        <v>1725</v>
      </c>
      <c r="Q3672" s="15" t="s">
        <v>49</v>
      </c>
      <c r="R3672" s="4"/>
      <c r="S3672" s="4"/>
    </row>
    <row r="3673" spans="1:19" ht="21" customHeight="1" x14ac:dyDescent="0.25">
      <c r="A3673" s="14">
        <f>DATE(2012,12,31)-653</f>
        <v>40621</v>
      </c>
      <c r="B3673" s="15" t="s">
        <v>504</v>
      </c>
      <c r="C3673" s="15" t="s">
        <v>85</v>
      </c>
      <c r="D3673" s="16">
        <v>43</v>
      </c>
      <c r="E3673" s="17">
        <v>7452.1369999999988</v>
      </c>
      <c r="F3673" s="16">
        <v>0.02</v>
      </c>
      <c r="G3673" s="15" t="s">
        <v>32</v>
      </c>
      <c r="H3673" s="18">
        <v>2028.357</v>
      </c>
      <c r="I3673" s="19">
        <v>205.99</v>
      </c>
      <c r="J3673" s="19">
        <v>5.99</v>
      </c>
      <c r="K3673" s="19" t="s">
        <v>44</v>
      </c>
      <c r="L3673" s="19" t="s">
        <v>52</v>
      </c>
      <c r="M3673" s="15" t="s">
        <v>2068</v>
      </c>
      <c r="N3673" s="15" t="s">
        <v>64</v>
      </c>
      <c r="O3673" s="15" t="s">
        <v>65</v>
      </c>
      <c r="P3673" s="20" t="s">
        <v>107</v>
      </c>
      <c r="Q3673" s="15" t="s">
        <v>83</v>
      </c>
      <c r="R3673" s="4"/>
      <c r="S3673" s="4"/>
    </row>
    <row r="3674" spans="1:19" ht="21" customHeight="1" x14ac:dyDescent="0.25">
      <c r="A3674" s="14">
        <f>DATE(2012,12,31)-760</f>
        <v>40514</v>
      </c>
      <c r="B3674" s="15" t="s">
        <v>378</v>
      </c>
      <c r="C3674" s="15" t="s">
        <v>85</v>
      </c>
      <c r="D3674" s="16">
        <v>50</v>
      </c>
      <c r="E3674" s="17">
        <v>1118.21</v>
      </c>
      <c r="F3674" s="16">
        <v>7.0000000000000007E-2</v>
      </c>
      <c r="G3674" s="15" t="s">
        <v>32</v>
      </c>
      <c r="H3674" s="18">
        <v>-122.7855</v>
      </c>
      <c r="I3674" s="19">
        <v>22.38</v>
      </c>
      <c r="J3674" s="19">
        <v>15.1</v>
      </c>
      <c r="K3674" s="19" t="s">
        <v>44</v>
      </c>
      <c r="L3674" s="19" t="s">
        <v>52</v>
      </c>
      <c r="M3674" s="15" t="s">
        <v>2068</v>
      </c>
      <c r="N3674" s="15" t="s">
        <v>36</v>
      </c>
      <c r="O3674" s="15" t="s">
        <v>170</v>
      </c>
      <c r="P3674" s="20" t="s">
        <v>893</v>
      </c>
      <c r="Q3674" s="15" t="s">
        <v>83</v>
      </c>
      <c r="R3674" s="4"/>
      <c r="S3674" s="4"/>
    </row>
    <row r="3675" spans="1:19" ht="21" customHeight="1" x14ac:dyDescent="0.25">
      <c r="A3675" s="14">
        <f>DATE(2012,12,31)-760</f>
        <v>40514</v>
      </c>
      <c r="B3675" s="15" t="s">
        <v>378</v>
      </c>
      <c r="C3675" s="15" t="s">
        <v>85</v>
      </c>
      <c r="D3675" s="16">
        <v>13</v>
      </c>
      <c r="E3675" s="17">
        <v>3503.56</v>
      </c>
      <c r="F3675" s="16">
        <v>0.01</v>
      </c>
      <c r="G3675" s="15" t="s">
        <v>58</v>
      </c>
      <c r="H3675" s="18">
        <v>-633.44123700000023</v>
      </c>
      <c r="I3675" s="19">
        <v>262.11</v>
      </c>
      <c r="J3675" s="19">
        <v>62.74</v>
      </c>
      <c r="K3675" s="19" t="s">
        <v>44</v>
      </c>
      <c r="L3675" s="19" t="s">
        <v>52</v>
      </c>
      <c r="M3675" s="15" t="s">
        <v>2068</v>
      </c>
      <c r="N3675" s="15" t="s">
        <v>54</v>
      </c>
      <c r="O3675" s="15" t="s">
        <v>61</v>
      </c>
      <c r="P3675" s="20" t="s">
        <v>1510</v>
      </c>
      <c r="Q3675" s="15" t="s">
        <v>63</v>
      </c>
      <c r="R3675" s="4"/>
      <c r="S3675" s="4"/>
    </row>
    <row r="3676" spans="1:19" ht="21" customHeight="1" x14ac:dyDescent="0.25">
      <c r="A3676" s="14">
        <f>DATE(2012,12,31)-62</f>
        <v>41212</v>
      </c>
      <c r="B3676" s="15" t="s">
        <v>1916</v>
      </c>
      <c r="C3676" s="15" t="s">
        <v>31</v>
      </c>
      <c r="D3676" s="16">
        <v>39</v>
      </c>
      <c r="E3676" s="17">
        <v>7725.66</v>
      </c>
      <c r="F3676" s="16">
        <v>0.05</v>
      </c>
      <c r="G3676" s="15" t="s">
        <v>58</v>
      </c>
      <c r="H3676" s="18">
        <v>-737.41</v>
      </c>
      <c r="I3676" s="19">
        <v>200.98</v>
      </c>
      <c r="J3676" s="19">
        <v>55.96</v>
      </c>
      <c r="K3676" s="19" t="s">
        <v>44</v>
      </c>
      <c r="L3676" s="19" t="s">
        <v>52</v>
      </c>
      <c r="M3676" s="15" t="s">
        <v>2068</v>
      </c>
      <c r="N3676" s="15" t="s">
        <v>54</v>
      </c>
      <c r="O3676" s="15" t="s">
        <v>134</v>
      </c>
      <c r="P3676" s="20" t="s">
        <v>2044</v>
      </c>
      <c r="Q3676" s="15" t="s">
        <v>63</v>
      </c>
      <c r="R3676" s="4"/>
      <c r="S3676" s="4"/>
    </row>
    <row r="3677" spans="1:19" ht="21" customHeight="1" x14ac:dyDescent="0.25">
      <c r="A3677" s="14">
        <f>DATE(2012,12,31)-62</f>
        <v>41212</v>
      </c>
      <c r="B3677" s="15" t="s">
        <v>1916</v>
      </c>
      <c r="C3677" s="15" t="s">
        <v>31</v>
      </c>
      <c r="D3677" s="16">
        <v>15</v>
      </c>
      <c r="E3677" s="17">
        <v>2567.64</v>
      </c>
      <c r="F3677" s="16">
        <v>0</v>
      </c>
      <c r="G3677" s="15" t="s">
        <v>32</v>
      </c>
      <c r="H3677" s="18">
        <v>-505.98447900000014</v>
      </c>
      <c r="I3677" s="19">
        <v>209.37</v>
      </c>
      <c r="J3677" s="19">
        <v>69</v>
      </c>
      <c r="K3677" s="19" t="s">
        <v>44</v>
      </c>
      <c r="L3677" s="19" t="s">
        <v>52</v>
      </c>
      <c r="M3677" s="15" t="s">
        <v>2068</v>
      </c>
      <c r="N3677" s="15" t="s">
        <v>54</v>
      </c>
      <c r="O3677" s="15" t="s">
        <v>61</v>
      </c>
      <c r="P3677" s="20" t="s">
        <v>1131</v>
      </c>
      <c r="Q3677" s="15" t="s">
        <v>39</v>
      </c>
      <c r="R3677" s="4"/>
      <c r="S3677" s="4"/>
    </row>
    <row r="3678" spans="1:19" ht="21" customHeight="1" x14ac:dyDescent="0.25">
      <c r="A3678" s="14">
        <f>DATE(2012,12,31)-316</f>
        <v>40958</v>
      </c>
      <c r="B3678" s="15" t="s">
        <v>869</v>
      </c>
      <c r="C3678" s="15" t="s">
        <v>31</v>
      </c>
      <c r="D3678" s="16">
        <v>42</v>
      </c>
      <c r="E3678" s="17">
        <v>128.13</v>
      </c>
      <c r="F3678" s="16">
        <v>0.09</v>
      </c>
      <c r="G3678" s="15" t="s">
        <v>32</v>
      </c>
      <c r="H3678" s="18">
        <v>32.53</v>
      </c>
      <c r="I3678" s="19">
        <v>3.08</v>
      </c>
      <c r="J3678" s="19">
        <v>0.99</v>
      </c>
      <c r="K3678" s="19" t="s">
        <v>44</v>
      </c>
      <c r="L3678" s="19" t="s">
        <v>52</v>
      </c>
      <c r="M3678" s="15" t="s">
        <v>2068</v>
      </c>
      <c r="N3678" s="15" t="s">
        <v>36</v>
      </c>
      <c r="O3678" s="15" t="s">
        <v>114</v>
      </c>
      <c r="P3678" s="20" t="s">
        <v>262</v>
      </c>
      <c r="Q3678" s="15" t="s">
        <v>83</v>
      </c>
      <c r="R3678" s="4"/>
      <c r="S3678" s="4"/>
    </row>
    <row r="3679" spans="1:19" ht="21" customHeight="1" x14ac:dyDescent="0.25">
      <c r="A3679" s="14">
        <f>DATE(2012,12,31)-155</f>
        <v>41119</v>
      </c>
      <c r="B3679" s="15" t="s">
        <v>1002</v>
      </c>
      <c r="C3679" s="15" t="s">
        <v>43</v>
      </c>
      <c r="D3679" s="16">
        <v>5</v>
      </c>
      <c r="E3679" s="17">
        <v>77.41</v>
      </c>
      <c r="F3679" s="16">
        <v>0.05</v>
      </c>
      <c r="G3679" s="15" t="s">
        <v>32</v>
      </c>
      <c r="H3679" s="18">
        <v>9.35</v>
      </c>
      <c r="I3679" s="19">
        <v>15.67</v>
      </c>
      <c r="J3679" s="19">
        <v>1.39</v>
      </c>
      <c r="K3679" s="19" t="s">
        <v>44</v>
      </c>
      <c r="L3679" s="19" t="s">
        <v>52</v>
      </c>
      <c r="M3679" s="15" t="s">
        <v>2068</v>
      </c>
      <c r="N3679" s="15" t="s">
        <v>36</v>
      </c>
      <c r="O3679" s="15" t="s">
        <v>189</v>
      </c>
      <c r="P3679" s="20" t="s">
        <v>967</v>
      </c>
      <c r="Q3679" s="15" t="s">
        <v>83</v>
      </c>
      <c r="R3679" s="4"/>
      <c r="S3679" s="4"/>
    </row>
    <row r="3680" spans="1:19" ht="21" customHeight="1" x14ac:dyDescent="0.25">
      <c r="A3680" s="14">
        <f>DATE(2012,12,31)-155</f>
        <v>41119</v>
      </c>
      <c r="B3680" s="15" t="s">
        <v>1002</v>
      </c>
      <c r="C3680" s="15" t="s">
        <v>43</v>
      </c>
      <c r="D3680" s="16">
        <v>19</v>
      </c>
      <c r="E3680" s="17">
        <v>112.67</v>
      </c>
      <c r="F3680" s="16">
        <v>0.09</v>
      </c>
      <c r="G3680" s="15" t="s">
        <v>32</v>
      </c>
      <c r="H3680" s="18">
        <v>-37.85</v>
      </c>
      <c r="I3680" s="19">
        <v>5.98</v>
      </c>
      <c r="J3680" s="19">
        <v>5.14</v>
      </c>
      <c r="K3680" s="19" t="s">
        <v>44</v>
      </c>
      <c r="L3680" s="19" t="s">
        <v>52</v>
      </c>
      <c r="M3680" s="15" t="s">
        <v>2068</v>
      </c>
      <c r="N3680" s="15" t="s">
        <v>36</v>
      </c>
      <c r="O3680" s="15" t="s">
        <v>117</v>
      </c>
      <c r="P3680" s="20" t="s">
        <v>2088</v>
      </c>
      <c r="Q3680" s="15" t="s">
        <v>83</v>
      </c>
      <c r="R3680" s="4"/>
      <c r="S3680" s="4"/>
    </row>
    <row r="3681" spans="1:19" ht="21" customHeight="1" x14ac:dyDescent="0.25">
      <c r="A3681" s="14">
        <f>DATE(2012,12,31)-219</f>
        <v>41055</v>
      </c>
      <c r="B3681" s="15" t="s">
        <v>1321</v>
      </c>
      <c r="C3681" s="15" t="s">
        <v>51</v>
      </c>
      <c r="D3681" s="16">
        <v>39</v>
      </c>
      <c r="E3681" s="17">
        <v>1516.82</v>
      </c>
      <c r="F3681" s="16">
        <v>0.1</v>
      </c>
      <c r="G3681" s="15" t="s">
        <v>32</v>
      </c>
      <c r="H3681" s="18">
        <v>-83.28</v>
      </c>
      <c r="I3681" s="19">
        <v>40.98</v>
      </c>
      <c r="J3681" s="19">
        <v>6.5</v>
      </c>
      <c r="K3681" s="19" t="s">
        <v>44</v>
      </c>
      <c r="L3681" s="19" t="s">
        <v>52</v>
      </c>
      <c r="M3681" s="15" t="s">
        <v>2068</v>
      </c>
      <c r="N3681" s="15" t="s">
        <v>64</v>
      </c>
      <c r="O3681" s="15" t="s">
        <v>72</v>
      </c>
      <c r="P3681" s="20" t="s">
        <v>1369</v>
      </c>
      <c r="Q3681" s="15" t="s">
        <v>83</v>
      </c>
      <c r="R3681" s="4"/>
      <c r="S3681" s="4"/>
    </row>
    <row r="3682" spans="1:19" ht="21" customHeight="1" x14ac:dyDescent="0.25">
      <c r="A3682" s="14">
        <f>DATE(2012,12,31)-219</f>
        <v>41055</v>
      </c>
      <c r="B3682" s="15" t="s">
        <v>1321</v>
      </c>
      <c r="C3682" s="15" t="s">
        <v>51</v>
      </c>
      <c r="D3682" s="16">
        <v>45</v>
      </c>
      <c r="E3682" s="17">
        <v>2752.68</v>
      </c>
      <c r="F3682" s="16">
        <v>0.04</v>
      </c>
      <c r="G3682" s="15" t="s">
        <v>32</v>
      </c>
      <c r="H3682" s="18">
        <v>430.32</v>
      </c>
      <c r="I3682" s="19">
        <v>62.18</v>
      </c>
      <c r="J3682" s="19">
        <v>12.78</v>
      </c>
      <c r="K3682" s="19" t="s">
        <v>44</v>
      </c>
      <c r="L3682" s="19" t="s">
        <v>52</v>
      </c>
      <c r="M3682" s="15" t="s">
        <v>2068</v>
      </c>
      <c r="N3682" s="15" t="s">
        <v>36</v>
      </c>
      <c r="O3682" s="15" t="s">
        <v>37</v>
      </c>
      <c r="P3682" s="20" t="s">
        <v>2089</v>
      </c>
      <c r="Q3682" s="15" t="s">
        <v>83</v>
      </c>
      <c r="R3682" s="4"/>
      <c r="S3682" s="4"/>
    </row>
    <row r="3683" spans="1:19" ht="21" customHeight="1" x14ac:dyDescent="0.25">
      <c r="A3683" s="14">
        <f>DATE(2012,12,31)-1150</f>
        <v>40124</v>
      </c>
      <c r="B3683" s="15" t="s">
        <v>1147</v>
      </c>
      <c r="C3683" s="15" t="s">
        <v>85</v>
      </c>
      <c r="D3683" s="16">
        <v>45</v>
      </c>
      <c r="E3683" s="17">
        <v>153.27000000000001</v>
      </c>
      <c r="F3683" s="16">
        <v>0.08</v>
      </c>
      <c r="G3683" s="15" t="s">
        <v>32</v>
      </c>
      <c r="H3683" s="18">
        <v>60.29</v>
      </c>
      <c r="I3683" s="19">
        <v>3.69</v>
      </c>
      <c r="J3683" s="19">
        <v>0.5</v>
      </c>
      <c r="K3683" s="19" t="s">
        <v>44</v>
      </c>
      <c r="L3683" s="19" t="s">
        <v>52</v>
      </c>
      <c r="M3683" s="15" t="s">
        <v>2068</v>
      </c>
      <c r="N3683" s="15" t="s">
        <v>36</v>
      </c>
      <c r="O3683" s="15" t="s">
        <v>114</v>
      </c>
      <c r="P3683" s="20" t="s">
        <v>1169</v>
      </c>
      <c r="Q3683" s="15" t="s">
        <v>83</v>
      </c>
      <c r="R3683" s="4"/>
      <c r="S3683" s="4"/>
    </row>
    <row r="3684" spans="1:19" ht="21" customHeight="1" x14ac:dyDescent="0.25">
      <c r="A3684" s="14">
        <f>DATE(2012,12,31)-887</f>
        <v>40387</v>
      </c>
      <c r="B3684" s="15" t="s">
        <v>983</v>
      </c>
      <c r="C3684" s="15" t="s">
        <v>85</v>
      </c>
      <c r="D3684" s="16">
        <v>8</v>
      </c>
      <c r="E3684" s="17">
        <v>1095.27</v>
      </c>
      <c r="F3684" s="16">
        <v>0.03</v>
      </c>
      <c r="G3684" s="15" t="s">
        <v>58</v>
      </c>
      <c r="H3684" s="18">
        <v>-281.22380000000004</v>
      </c>
      <c r="I3684" s="19">
        <v>124.49</v>
      </c>
      <c r="J3684" s="19">
        <v>51.94</v>
      </c>
      <c r="K3684" s="19" t="s">
        <v>44</v>
      </c>
      <c r="L3684" s="19" t="s">
        <v>52</v>
      </c>
      <c r="M3684" s="15" t="s">
        <v>2068</v>
      </c>
      <c r="N3684" s="15" t="s">
        <v>54</v>
      </c>
      <c r="O3684" s="15" t="s">
        <v>61</v>
      </c>
      <c r="P3684" s="20" t="s">
        <v>220</v>
      </c>
      <c r="Q3684" s="15" t="s">
        <v>63</v>
      </c>
      <c r="R3684" s="4"/>
      <c r="S3684" s="4"/>
    </row>
    <row r="3685" spans="1:19" ht="21" customHeight="1" x14ac:dyDescent="0.25">
      <c r="A3685" s="14">
        <f>DATE(2012,12,31)-1170</f>
        <v>40104</v>
      </c>
      <c r="B3685" s="15" t="s">
        <v>1037</v>
      </c>
      <c r="C3685" s="15" t="s">
        <v>31</v>
      </c>
      <c r="D3685" s="16">
        <v>24</v>
      </c>
      <c r="E3685" s="17">
        <v>265.35000000000002</v>
      </c>
      <c r="F3685" s="16">
        <v>0.02</v>
      </c>
      <c r="G3685" s="15" t="s">
        <v>32</v>
      </c>
      <c r="H3685" s="18">
        <v>-128.69</v>
      </c>
      <c r="I3685" s="19">
        <v>9.99</v>
      </c>
      <c r="J3685" s="19">
        <v>11.59</v>
      </c>
      <c r="K3685" s="19" t="s">
        <v>44</v>
      </c>
      <c r="L3685" s="19" t="s">
        <v>52</v>
      </c>
      <c r="M3685" s="15" t="s">
        <v>2068</v>
      </c>
      <c r="N3685" s="15" t="s">
        <v>36</v>
      </c>
      <c r="O3685" s="15" t="s">
        <v>117</v>
      </c>
      <c r="P3685" s="20" t="s">
        <v>1390</v>
      </c>
      <c r="Q3685" s="15" t="s">
        <v>83</v>
      </c>
      <c r="R3685" s="4"/>
      <c r="S3685" s="4"/>
    </row>
    <row r="3686" spans="1:19" ht="21" customHeight="1" x14ac:dyDescent="0.25">
      <c r="A3686" s="14">
        <f>DATE(2012,12,31)-1170</f>
        <v>40104</v>
      </c>
      <c r="B3686" s="15" t="s">
        <v>1037</v>
      </c>
      <c r="C3686" s="15" t="s">
        <v>31</v>
      </c>
      <c r="D3686" s="16">
        <v>41</v>
      </c>
      <c r="E3686" s="17">
        <v>1993.94</v>
      </c>
      <c r="F3686" s="16">
        <v>0.02</v>
      </c>
      <c r="G3686" s="15" t="s">
        <v>32</v>
      </c>
      <c r="H3686" s="18">
        <v>931.7</v>
      </c>
      <c r="I3686" s="19">
        <v>48.04</v>
      </c>
      <c r="J3686" s="19">
        <v>5.79</v>
      </c>
      <c r="K3686" s="19" t="s">
        <v>44</v>
      </c>
      <c r="L3686" s="19" t="s">
        <v>80</v>
      </c>
      <c r="M3686" s="15" t="s">
        <v>2081</v>
      </c>
      <c r="N3686" s="15" t="s">
        <v>36</v>
      </c>
      <c r="O3686" s="15" t="s">
        <v>117</v>
      </c>
      <c r="P3686" s="20" t="s">
        <v>1984</v>
      </c>
      <c r="Q3686" s="15" t="s">
        <v>83</v>
      </c>
      <c r="R3686" s="4"/>
      <c r="S3686" s="4"/>
    </row>
    <row r="3687" spans="1:19" ht="21" customHeight="1" x14ac:dyDescent="0.25">
      <c r="A3687" s="14">
        <f>DATE(2012,12,31)-1170</f>
        <v>40104</v>
      </c>
      <c r="B3687" s="15" t="s">
        <v>1037</v>
      </c>
      <c r="C3687" s="15" t="s">
        <v>31</v>
      </c>
      <c r="D3687" s="16">
        <v>3</v>
      </c>
      <c r="E3687" s="17">
        <v>24.73</v>
      </c>
      <c r="F3687" s="16">
        <v>0.04</v>
      </c>
      <c r="G3687" s="15" t="s">
        <v>32</v>
      </c>
      <c r="H3687" s="18">
        <v>-10.77</v>
      </c>
      <c r="I3687" s="19">
        <v>6.68</v>
      </c>
      <c r="J3687" s="19">
        <v>4.91</v>
      </c>
      <c r="K3687" s="19" t="s">
        <v>44</v>
      </c>
      <c r="L3687" s="19" t="s">
        <v>52</v>
      </c>
      <c r="M3687" s="15" t="s">
        <v>2068</v>
      </c>
      <c r="N3687" s="15" t="s">
        <v>36</v>
      </c>
      <c r="O3687" s="15" t="s">
        <v>117</v>
      </c>
      <c r="P3687" s="20" t="s">
        <v>2090</v>
      </c>
      <c r="Q3687" s="15" t="s">
        <v>83</v>
      </c>
      <c r="R3687" s="4"/>
      <c r="S3687" s="4"/>
    </row>
    <row r="3688" spans="1:19" ht="21" customHeight="1" x14ac:dyDescent="0.25">
      <c r="A3688" s="14">
        <f>DATE(2012,12,31)-900</f>
        <v>40374</v>
      </c>
      <c r="B3688" s="15" t="s">
        <v>465</v>
      </c>
      <c r="C3688" s="15" t="s">
        <v>85</v>
      </c>
      <c r="D3688" s="16">
        <v>25</v>
      </c>
      <c r="E3688" s="17">
        <v>1809.0125</v>
      </c>
      <c r="F3688" s="16">
        <v>0.01</v>
      </c>
      <c r="G3688" s="15" t="s">
        <v>32</v>
      </c>
      <c r="H3688" s="18">
        <v>795.05099999999993</v>
      </c>
      <c r="I3688" s="19">
        <v>85.99</v>
      </c>
      <c r="J3688" s="19">
        <v>2.5</v>
      </c>
      <c r="K3688" s="19" t="s">
        <v>44</v>
      </c>
      <c r="L3688" s="19" t="s">
        <v>80</v>
      </c>
      <c r="M3688" s="15" t="s">
        <v>2081</v>
      </c>
      <c r="N3688" s="15" t="s">
        <v>64</v>
      </c>
      <c r="O3688" s="15" t="s">
        <v>65</v>
      </c>
      <c r="P3688" s="20" t="s">
        <v>2066</v>
      </c>
      <c r="Q3688" s="15" t="s">
        <v>83</v>
      </c>
      <c r="R3688" s="4"/>
      <c r="S3688" s="4"/>
    </row>
    <row r="3689" spans="1:19" ht="21" customHeight="1" x14ac:dyDescent="0.25">
      <c r="A3689" s="14">
        <f>DATE(2012,12,31)-511</f>
        <v>40763</v>
      </c>
      <c r="B3689" s="15" t="s">
        <v>1994</v>
      </c>
      <c r="C3689" s="15" t="s">
        <v>43</v>
      </c>
      <c r="D3689" s="16">
        <v>12</v>
      </c>
      <c r="E3689" s="17">
        <v>270.23</v>
      </c>
      <c r="F3689" s="16">
        <v>0.08</v>
      </c>
      <c r="G3689" s="15" t="s">
        <v>32</v>
      </c>
      <c r="H3689" s="18">
        <v>52.02</v>
      </c>
      <c r="I3689" s="19">
        <v>22.84</v>
      </c>
      <c r="J3689" s="19">
        <v>5.47</v>
      </c>
      <c r="K3689" s="19" t="s">
        <v>44</v>
      </c>
      <c r="L3689" s="19" t="s">
        <v>52</v>
      </c>
      <c r="M3689" s="15" t="s">
        <v>2068</v>
      </c>
      <c r="N3689" s="15" t="s">
        <v>36</v>
      </c>
      <c r="O3689" s="15" t="s">
        <v>117</v>
      </c>
      <c r="P3689" s="20" t="s">
        <v>644</v>
      </c>
      <c r="Q3689" s="15" t="s">
        <v>83</v>
      </c>
      <c r="R3689" s="4"/>
      <c r="S3689" s="4"/>
    </row>
    <row r="3690" spans="1:19" ht="21" customHeight="1" x14ac:dyDescent="0.25">
      <c r="A3690" s="14">
        <f>DATE(2012,12,31)-511</f>
        <v>40763</v>
      </c>
      <c r="B3690" s="15" t="s">
        <v>1994</v>
      </c>
      <c r="C3690" s="15" t="s">
        <v>43</v>
      </c>
      <c r="D3690" s="16">
        <v>20</v>
      </c>
      <c r="E3690" s="17">
        <v>660.27</v>
      </c>
      <c r="F3690" s="16">
        <v>0.09</v>
      </c>
      <c r="G3690" s="15" t="s">
        <v>101</v>
      </c>
      <c r="H3690" s="18">
        <v>63.83</v>
      </c>
      <c r="I3690" s="19">
        <v>34.76</v>
      </c>
      <c r="J3690" s="19">
        <v>5.49</v>
      </c>
      <c r="K3690" s="19" t="s">
        <v>44</v>
      </c>
      <c r="L3690" s="19" t="s">
        <v>52</v>
      </c>
      <c r="M3690" s="15" t="s">
        <v>2068</v>
      </c>
      <c r="N3690" s="15" t="s">
        <v>36</v>
      </c>
      <c r="O3690" s="15" t="s">
        <v>37</v>
      </c>
      <c r="P3690" s="20" t="s">
        <v>906</v>
      </c>
      <c r="Q3690" s="15" t="s">
        <v>83</v>
      </c>
      <c r="R3690" s="4"/>
      <c r="S3690" s="4"/>
    </row>
    <row r="3691" spans="1:19" ht="21" customHeight="1" x14ac:dyDescent="0.25">
      <c r="A3691" s="14">
        <f>DATE(2012,12,31)-1268</f>
        <v>40006</v>
      </c>
      <c r="B3691" s="15" t="s">
        <v>1000</v>
      </c>
      <c r="C3691" s="15" t="s">
        <v>31</v>
      </c>
      <c r="D3691" s="16">
        <v>1</v>
      </c>
      <c r="E3691" s="17">
        <v>31.96</v>
      </c>
      <c r="F3691" s="16">
        <v>0.01</v>
      </c>
      <c r="G3691" s="15" t="s">
        <v>32</v>
      </c>
      <c r="H3691" s="18">
        <v>-74.64</v>
      </c>
      <c r="I3691" s="19">
        <v>29.89</v>
      </c>
      <c r="J3691" s="19">
        <v>1.99</v>
      </c>
      <c r="K3691" s="19" t="s">
        <v>44</v>
      </c>
      <c r="L3691" s="19" t="s">
        <v>80</v>
      </c>
      <c r="M3691" s="15" t="s">
        <v>2081</v>
      </c>
      <c r="N3691" s="15" t="s">
        <v>64</v>
      </c>
      <c r="O3691" s="15" t="s">
        <v>72</v>
      </c>
      <c r="P3691" s="20" t="s">
        <v>825</v>
      </c>
      <c r="Q3691" s="15" t="s">
        <v>49</v>
      </c>
      <c r="R3691" s="4"/>
      <c r="S3691" s="4"/>
    </row>
    <row r="3692" spans="1:19" ht="21" customHeight="1" x14ac:dyDescent="0.25">
      <c r="A3692" s="14">
        <f>DATE(2012,12,31)-893</f>
        <v>40381</v>
      </c>
      <c r="B3692" s="15" t="s">
        <v>1055</v>
      </c>
      <c r="C3692" s="15" t="s">
        <v>85</v>
      </c>
      <c r="D3692" s="16">
        <v>7</v>
      </c>
      <c r="E3692" s="17">
        <v>285.08</v>
      </c>
      <c r="F3692" s="16">
        <v>0.08</v>
      </c>
      <c r="G3692" s="15" t="s">
        <v>32</v>
      </c>
      <c r="H3692" s="18">
        <v>2.3000000000000114</v>
      </c>
      <c r="I3692" s="19">
        <v>40.98</v>
      </c>
      <c r="J3692" s="19">
        <v>5.33</v>
      </c>
      <c r="K3692" s="19" t="s">
        <v>33</v>
      </c>
      <c r="L3692" s="19" t="s">
        <v>59</v>
      </c>
      <c r="M3692" s="15" t="s">
        <v>2033</v>
      </c>
      <c r="N3692" s="15" t="s">
        <v>36</v>
      </c>
      <c r="O3692" s="15" t="s">
        <v>176</v>
      </c>
      <c r="P3692" s="20" t="s">
        <v>588</v>
      </c>
      <c r="Q3692" s="15" t="s">
        <v>83</v>
      </c>
      <c r="R3692" s="4"/>
      <c r="S3692" s="4"/>
    </row>
    <row r="3693" spans="1:19" ht="21" customHeight="1" x14ac:dyDescent="0.25">
      <c r="A3693" s="14">
        <f>DATE(2012,12,31)-1152</f>
        <v>40122</v>
      </c>
      <c r="B3693" s="15" t="s">
        <v>667</v>
      </c>
      <c r="C3693" s="15" t="s">
        <v>43</v>
      </c>
      <c r="D3693" s="16">
        <v>5</v>
      </c>
      <c r="E3693" s="17">
        <v>90.941499999999991</v>
      </c>
      <c r="F3693" s="16">
        <v>0.05</v>
      </c>
      <c r="G3693" s="15" t="s">
        <v>32</v>
      </c>
      <c r="H3693" s="18">
        <v>-109.417</v>
      </c>
      <c r="I3693" s="19">
        <v>20.99</v>
      </c>
      <c r="J3693" s="19">
        <v>3.3</v>
      </c>
      <c r="K3693" s="19" t="s">
        <v>33</v>
      </c>
      <c r="L3693" s="19" t="s">
        <v>59</v>
      </c>
      <c r="M3693" s="15" t="s">
        <v>2033</v>
      </c>
      <c r="N3693" s="15" t="s">
        <v>64</v>
      </c>
      <c r="O3693" s="15" t="s">
        <v>65</v>
      </c>
      <c r="P3693" s="20" t="s">
        <v>769</v>
      </c>
      <c r="Q3693" s="15" t="s">
        <v>49</v>
      </c>
      <c r="R3693" s="4"/>
      <c r="S3693" s="4"/>
    </row>
    <row r="3694" spans="1:19" ht="21" customHeight="1" x14ac:dyDescent="0.25">
      <c r="A3694" s="14">
        <f>DATE(2012,12,31)-810</f>
        <v>40464</v>
      </c>
      <c r="B3694" s="15" t="s">
        <v>340</v>
      </c>
      <c r="C3694" s="15" t="s">
        <v>85</v>
      </c>
      <c r="D3694" s="16">
        <v>1</v>
      </c>
      <c r="E3694" s="17">
        <v>415</v>
      </c>
      <c r="F3694" s="16">
        <v>7.0000000000000007E-2</v>
      </c>
      <c r="G3694" s="15" t="s">
        <v>32</v>
      </c>
      <c r="H3694" s="18">
        <v>-199.3065</v>
      </c>
      <c r="I3694" s="19">
        <v>420.98</v>
      </c>
      <c r="J3694" s="19">
        <v>19.989999999999998</v>
      </c>
      <c r="K3694" s="19" t="s">
        <v>44</v>
      </c>
      <c r="L3694" s="19" t="s">
        <v>120</v>
      </c>
      <c r="M3694" s="15" t="s">
        <v>2025</v>
      </c>
      <c r="N3694" s="15" t="s">
        <v>36</v>
      </c>
      <c r="O3694" s="15" t="s">
        <v>170</v>
      </c>
      <c r="P3694" s="20" t="s">
        <v>466</v>
      </c>
      <c r="Q3694" s="15" t="s">
        <v>83</v>
      </c>
      <c r="R3694" s="4"/>
      <c r="S3694" s="4"/>
    </row>
    <row r="3695" spans="1:19" ht="21" customHeight="1" x14ac:dyDescent="0.25">
      <c r="A3695" s="14">
        <f>DATE(2012,12,31)-629</f>
        <v>40645</v>
      </c>
      <c r="B3695" s="15" t="s">
        <v>779</v>
      </c>
      <c r="C3695" s="15" t="s">
        <v>43</v>
      </c>
      <c r="D3695" s="16">
        <v>40</v>
      </c>
      <c r="E3695" s="17">
        <v>167.46</v>
      </c>
      <c r="F3695" s="16">
        <v>0.09</v>
      </c>
      <c r="G3695" s="15" t="s">
        <v>32</v>
      </c>
      <c r="H3695" s="18">
        <v>-134.297</v>
      </c>
      <c r="I3695" s="19">
        <v>4.24</v>
      </c>
      <c r="J3695" s="19">
        <v>5.41</v>
      </c>
      <c r="K3695" s="19" t="s">
        <v>44</v>
      </c>
      <c r="L3695" s="19" t="s">
        <v>89</v>
      </c>
      <c r="M3695" s="15" t="s">
        <v>1932</v>
      </c>
      <c r="N3695" s="15" t="s">
        <v>36</v>
      </c>
      <c r="O3695" s="15" t="s">
        <v>170</v>
      </c>
      <c r="P3695" s="20" t="s">
        <v>415</v>
      </c>
      <c r="Q3695" s="15" t="s">
        <v>83</v>
      </c>
      <c r="R3695" s="4"/>
      <c r="S3695" s="4"/>
    </row>
    <row r="3696" spans="1:19" ht="21" customHeight="1" x14ac:dyDescent="0.25">
      <c r="A3696" s="14">
        <f>DATE(2012,12,31)-195</f>
        <v>41079</v>
      </c>
      <c r="B3696" s="15" t="s">
        <v>157</v>
      </c>
      <c r="C3696" s="15" t="s">
        <v>85</v>
      </c>
      <c r="D3696" s="16">
        <v>34</v>
      </c>
      <c r="E3696" s="17">
        <v>9522.1200000000008</v>
      </c>
      <c r="F3696" s="16">
        <v>0.04</v>
      </c>
      <c r="G3696" s="15" t="s">
        <v>32</v>
      </c>
      <c r="H3696" s="18">
        <v>171.3</v>
      </c>
      <c r="I3696" s="19">
        <v>279.48</v>
      </c>
      <c r="J3696" s="19">
        <v>35</v>
      </c>
      <c r="K3696" s="19" t="s">
        <v>33</v>
      </c>
      <c r="L3696" s="19" t="s">
        <v>59</v>
      </c>
      <c r="M3696" s="15" t="s">
        <v>2033</v>
      </c>
      <c r="N3696" s="15" t="s">
        <v>36</v>
      </c>
      <c r="O3696" s="15" t="s">
        <v>37</v>
      </c>
      <c r="P3696" s="20" t="s">
        <v>905</v>
      </c>
      <c r="Q3696" s="15" t="s">
        <v>39</v>
      </c>
      <c r="R3696" s="4"/>
      <c r="S3696" s="4"/>
    </row>
    <row r="3697" spans="1:19" ht="21" customHeight="1" x14ac:dyDescent="0.25">
      <c r="A3697" s="14">
        <f>DATE(2012,12,31)-195</f>
        <v>41079</v>
      </c>
      <c r="B3697" s="15" t="s">
        <v>157</v>
      </c>
      <c r="C3697" s="15" t="s">
        <v>85</v>
      </c>
      <c r="D3697" s="16">
        <v>16</v>
      </c>
      <c r="E3697" s="17">
        <v>1985.6935000000001</v>
      </c>
      <c r="F3697" s="16">
        <v>0.1</v>
      </c>
      <c r="G3697" s="15" t="s">
        <v>32</v>
      </c>
      <c r="H3697" s="18">
        <v>35.649000000000001</v>
      </c>
      <c r="I3697" s="19">
        <v>155.99</v>
      </c>
      <c r="J3697" s="19">
        <v>8.99</v>
      </c>
      <c r="K3697" s="19" t="s">
        <v>33</v>
      </c>
      <c r="L3697" s="19" t="s">
        <v>59</v>
      </c>
      <c r="M3697" s="15" t="s">
        <v>2091</v>
      </c>
      <c r="N3697" s="15" t="s">
        <v>64</v>
      </c>
      <c r="O3697" s="15" t="s">
        <v>65</v>
      </c>
      <c r="P3697" s="20" t="s">
        <v>2092</v>
      </c>
      <c r="Q3697" s="15" t="s">
        <v>83</v>
      </c>
      <c r="R3697" s="4"/>
      <c r="S3697" s="4"/>
    </row>
    <row r="3698" spans="1:19" ht="21" customHeight="1" x14ac:dyDescent="0.25">
      <c r="A3698" s="14">
        <f>DATE(2012,12,31)-1097</f>
        <v>40177</v>
      </c>
      <c r="B3698" s="15" t="s">
        <v>185</v>
      </c>
      <c r="C3698" s="15" t="s">
        <v>31</v>
      </c>
      <c r="D3698" s="16">
        <v>37</v>
      </c>
      <c r="E3698" s="17">
        <v>1420.89</v>
      </c>
      <c r="F3698" s="16">
        <v>0.06</v>
      </c>
      <c r="G3698" s="15" t="s">
        <v>32</v>
      </c>
      <c r="H3698" s="18">
        <v>389.67</v>
      </c>
      <c r="I3698" s="19">
        <v>38.06</v>
      </c>
      <c r="J3698" s="19">
        <v>4.5</v>
      </c>
      <c r="K3698" s="19" t="s">
        <v>33</v>
      </c>
      <c r="L3698" s="19" t="s">
        <v>145</v>
      </c>
      <c r="M3698" s="15" t="s">
        <v>2055</v>
      </c>
      <c r="N3698" s="15" t="s">
        <v>36</v>
      </c>
      <c r="O3698" s="15" t="s">
        <v>176</v>
      </c>
      <c r="P3698" s="20" t="s">
        <v>2093</v>
      </c>
      <c r="Q3698" s="15" t="s">
        <v>83</v>
      </c>
      <c r="R3698" s="4"/>
      <c r="S3698" s="4"/>
    </row>
    <row r="3699" spans="1:19" ht="21" customHeight="1" x14ac:dyDescent="0.25">
      <c r="A3699" s="14">
        <f>DATE(2012,12,31)-1097</f>
        <v>40177</v>
      </c>
      <c r="B3699" s="15" t="s">
        <v>185</v>
      </c>
      <c r="C3699" s="15" t="s">
        <v>31</v>
      </c>
      <c r="D3699" s="16">
        <v>48</v>
      </c>
      <c r="E3699" s="17">
        <v>27820.34</v>
      </c>
      <c r="F3699" s="16">
        <v>0.08</v>
      </c>
      <c r="G3699" s="15" t="s">
        <v>32</v>
      </c>
      <c r="H3699" s="18">
        <v>11630.146000000001</v>
      </c>
      <c r="I3699" s="19">
        <v>599.99</v>
      </c>
      <c r="J3699" s="19">
        <v>24.49</v>
      </c>
      <c r="K3699" s="19" t="s">
        <v>69</v>
      </c>
      <c r="L3699" s="19" t="s">
        <v>75</v>
      </c>
      <c r="M3699" s="15" t="s">
        <v>1980</v>
      </c>
      <c r="N3699" s="15" t="s">
        <v>64</v>
      </c>
      <c r="O3699" s="15" t="s">
        <v>460</v>
      </c>
      <c r="P3699" s="20" t="s">
        <v>597</v>
      </c>
      <c r="Q3699" s="15" t="s">
        <v>39</v>
      </c>
      <c r="R3699" s="4"/>
      <c r="S3699" s="4"/>
    </row>
    <row r="3700" spans="1:19" ht="21" customHeight="1" x14ac:dyDescent="0.25">
      <c r="A3700" s="14">
        <f>DATE(2012,12,31)-1097</f>
        <v>40177</v>
      </c>
      <c r="B3700" s="15" t="s">
        <v>185</v>
      </c>
      <c r="C3700" s="15" t="s">
        <v>31</v>
      </c>
      <c r="D3700" s="16">
        <v>11</v>
      </c>
      <c r="E3700" s="17">
        <v>45.18</v>
      </c>
      <c r="F3700" s="16">
        <v>0.1</v>
      </c>
      <c r="G3700" s="15" t="s">
        <v>101</v>
      </c>
      <c r="H3700" s="18">
        <v>-10.77</v>
      </c>
      <c r="I3700" s="19">
        <v>3.98</v>
      </c>
      <c r="J3700" s="19">
        <v>2.97</v>
      </c>
      <c r="K3700" s="19" t="s">
        <v>69</v>
      </c>
      <c r="L3700" s="19" t="s">
        <v>75</v>
      </c>
      <c r="M3700" s="15" t="s">
        <v>1980</v>
      </c>
      <c r="N3700" s="15" t="s">
        <v>36</v>
      </c>
      <c r="O3700" s="15" t="s">
        <v>117</v>
      </c>
      <c r="P3700" s="20" t="s">
        <v>1047</v>
      </c>
      <c r="Q3700" s="15" t="s">
        <v>79</v>
      </c>
      <c r="R3700" s="4"/>
      <c r="S3700" s="4"/>
    </row>
    <row r="3701" spans="1:19" ht="21" customHeight="1" x14ac:dyDescent="0.25">
      <c r="A3701" s="14">
        <f>DATE(2012,12,31)-399</f>
        <v>40875</v>
      </c>
      <c r="B3701" s="15" t="s">
        <v>635</v>
      </c>
      <c r="C3701" s="15" t="s">
        <v>85</v>
      </c>
      <c r="D3701" s="16">
        <v>4</v>
      </c>
      <c r="E3701" s="17">
        <v>52.43</v>
      </c>
      <c r="F3701" s="16">
        <v>0.03</v>
      </c>
      <c r="G3701" s="15" t="s">
        <v>101</v>
      </c>
      <c r="H3701" s="18">
        <v>-12.98</v>
      </c>
      <c r="I3701" s="19">
        <v>9.65</v>
      </c>
      <c r="J3701" s="19">
        <v>6.22</v>
      </c>
      <c r="K3701" s="19" t="s">
        <v>111</v>
      </c>
      <c r="L3701" s="19" t="s">
        <v>407</v>
      </c>
      <c r="M3701" s="15" t="s">
        <v>407</v>
      </c>
      <c r="N3701" s="15" t="s">
        <v>54</v>
      </c>
      <c r="O3701" s="15" t="s">
        <v>55</v>
      </c>
      <c r="P3701" s="20" t="s">
        <v>490</v>
      </c>
      <c r="Q3701" s="15" t="s">
        <v>83</v>
      </c>
      <c r="R3701" s="4"/>
      <c r="S3701" s="4"/>
    </row>
    <row r="3702" spans="1:19" ht="21" customHeight="1" x14ac:dyDescent="0.25">
      <c r="A3702" s="14">
        <f>DATE(2012,12,31)-399</f>
        <v>40875</v>
      </c>
      <c r="B3702" s="15" t="s">
        <v>635</v>
      </c>
      <c r="C3702" s="15" t="s">
        <v>85</v>
      </c>
      <c r="D3702" s="16">
        <v>48</v>
      </c>
      <c r="E3702" s="17">
        <v>254.51</v>
      </c>
      <c r="F3702" s="16">
        <v>0.08</v>
      </c>
      <c r="G3702" s="15" t="s">
        <v>32</v>
      </c>
      <c r="H3702" s="18">
        <v>49.05</v>
      </c>
      <c r="I3702" s="19">
        <v>5.58</v>
      </c>
      <c r="J3702" s="19">
        <v>0.7</v>
      </c>
      <c r="K3702" s="19" t="s">
        <v>111</v>
      </c>
      <c r="L3702" s="19" t="s">
        <v>112</v>
      </c>
      <c r="M3702" s="15" t="s">
        <v>2058</v>
      </c>
      <c r="N3702" s="15" t="s">
        <v>36</v>
      </c>
      <c r="O3702" s="15" t="s">
        <v>77</v>
      </c>
      <c r="P3702" s="20" t="s">
        <v>159</v>
      </c>
      <c r="Q3702" s="15" t="s">
        <v>79</v>
      </c>
      <c r="R3702" s="4"/>
      <c r="S3702" s="4"/>
    </row>
    <row r="3703" spans="1:19" ht="21" customHeight="1" x14ac:dyDescent="0.25">
      <c r="A3703" s="14">
        <f>DATE(2012,12,31)-473</f>
        <v>40801</v>
      </c>
      <c r="B3703" s="15" t="s">
        <v>2094</v>
      </c>
      <c r="C3703" s="15" t="s">
        <v>85</v>
      </c>
      <c r="D3703" s="16">
        <v>38</v>
      </c>
      <c r="E3703" s="17">
        <v>1230.83</v>
      </c>
      <c r="F3703" s="16">
        <v>0</v>
      </c>
      <c r="G3703" s="15" t="s">
        <v>32</v>
      </c>
      <c r="H3703" s="18">
        <v>75.5</v>
      </c>
      <c r="I3703" s="19">
        <v>30.98</v>
      </c>
      <c r="J3703" s="19">
        <v>6.5</v>
      </c>
      <c r="K3703" s="19" t="s">
        <v>44</v>
      </c>
      <c r="L3703" s="19" t="s">
        <v>120</v>
      </c>
      <c r="M3703" s="15" t="s">
        <v>2025</v>
      </c>
      <c r="N3703" s="15" t="s">
        <v>64</v>
      </c>
      <c r="O3703" s="15" t="s">
        <v>72</v>
      </c>
      <c r="P3703" s="20" t="s">
        <v>706</v>
      </c>
      <c r="Q3703" s="15" t="s">
        <v>83</v>
      </c>
      <c r="R3703" s="4"/>
      <c r="S3703" s="4"/>
    </row>
    <row r="3704" spans="1:19" ht="21" customHeight="1" x14ac:dyDescent="0.25">
      <c r="A3704" s="14">
        <f>DATE(2012,12,31)-473</f>
        <v>40801</v>
      </c>
      <c r="B3704" s="15" t="s">
        <v>2094</v>
      </c>
      <c r="C3704" s="15" t="s">
        <v>85</v>
      </c>
      <c r="D3704" s="16">
        <v>37</v>
      </c>
      <c r="E3704" s="17">
        <v>169.93</v>
      </c>
      <c r="F3704" s="16">
        <v>0.04</v>
      </c>
      <c r="G3704" s="15" t="s">
        <v>32</v>
      </c>
      <c r="H3704" s="18">
        <v>-114.35</v>
      </c>
      <c r="I3704" s="19">
        <v>4.28</v>
      </c>
      <c r="J3704" s="19">
        <v>5.74</v>
      </c>
      <c r="K3704" s="19" t="s">
        <v>44</v>
      </c>
      <c r="L3704" s="19" t="s">
        <v>120</v>
      </c>
      <c r="M3704" s="15" t="s">
        <v>2025</v>
      </c>
      <c r="N3704" s="15" t="s">
        <v>36</v>
      </c>
      <c r="O3704" s="15" t="s">
        <v>117</v>
      </c>
      <c r="P3704" s="20" t="s">
        <v>1747</v>
      </c>
      <c r="Q3704" s="15" t="s">
        <v>83</v>
      </c>
      <c r="R3704" s="4"/>
      <c r="S3704" s="4"/>
    </row>
    <row r="3705" spans="1:19" ht="21" customHeight="1" x14ac:dyDescent="0.25">
      <c r="A3705" s="14">
        <f>DATE(2012,12,31)-473</f>
        <v>40801</v>
      </c>
      <c r="B3705" s="15" t="s">
        <v>2094</v>
      </c>
      <c r="C3705" s="15" t="s">
        <v>85</v>
      </c>
      <c r="D3705" s="16">
        <v>23</v>
      </c>
      <c r="E3705" s="17">
        <v>1176.944</v>
      </c>
      <c r="F3705" s="16">
        <v>0.1</v>
      </c>
      <c r="G3705" s="15" t="s">
        <v>32</v>
      </c>
      <c r="H3705" s="18">
        <v>53.649000000000001</v>
      </c>
      <c r="I3705" s="19">
        <v>65.989999999999995</v>
      </c>
      <c r="J3705" s="19">
        <v>4.99</v>
      </c>
      <c r="K3705" s="19" t="s">
        <v>44</v>
      </c>
      <c r="L3705" s="19" t="s">
        <v>120</v>
      </c>
      <c r="M3705" s="15" t="s">
        <v>2025</v>
      </c>
      <c r="N3705" s="15" t="s">
        <v>64</v>
      </c>
      <c r="O3705" s="15" t="s">
        <v>65</v>
      </c>
      <c r="P3705" s="20" t="s">
        <v>2095</v>
      </c>
      <c r="Q3705" s="15" t="s">
        <v>83</v>
      </c>
      <c r="R3705" s="4"/>
      <c r="S3705" s="4"/>
    </row>
    <row r="3706" spans="1:19" ht="21" customHeight="1" x14ac:dyDescent="0.25">
      <c r="A3706" s="14">
        <f>DATE(2012,12,31)-386</f>
        <v>40888</v>
      </c>
      <c r="B3706" s="15" t="s">
        <v>931</v>
      </c>
      <c r="C3706" s="15" t="s">
        <v>51</v>
      </c>
      <c r="D3706" s="16">
        <v>25</v>
      </c>
      <c r="E3706" s="17">
        <v>268.58</v>
      </c>
      <c r="F3706" s="16">
        <v>0.03</v>
      </c>
      <c r="G3706" s="15" t="s">
        <v>32</v>
      </c>
      <c r="H3706" s="18">
        <v>-26.33</v>
      </c>
      <c r="I3706" s="19">
        <v>10.89</v>
      </c>
      <c r="J3706" s="19">
        <v>4.5</v>
      </c>
      <c r="K3706" s="19" t="s">
        <v>44</v>
      </c>
      <c r="L3706" s="19" t="s">
        <v>89</v>
      </c>
      <c r="M3706" s="15" t="s">
        <v>1932</v>
      </c>
      <c r="N3706" s="15" t="s">
        <v>36</v>
      </c>
      <c r="O3706" s="15" t="s">
        <v>176</v>
      </c>
      <c r="P3706" s="20" t="s">
        <v>250</v>
      </c>
      <c r="Q3706" s="15" t="s">
        <v>83</v>
      </c>
      <c r="R3706" s="4"/>
      <c r="S3706" s="4"/>
    </row>
    <row r="3707" spans="1:19" ht="21" customHeight="1" x14ac:dyDescent="0.25">
      <c r="A3707" s="14">
        <f>DATE(2012,12,31)-386</f>
        <v>40888</v>
      </c>
      <c r="B3707" s="15" t="s">
        <v>931</v>
      </c>
      <c r="C3707" s="15" t="s">
        <v>51</v>
      </c>
      <c r="D3707" s="16">
        <v>26</v>
      </c>
      <c r="E3707" s="17">
        <v>1280.6500000000001</v>
      </c>
      <c r="F3707" s="16">
        <v>0.06</v>
      </c>
      <c r="G3707" s="15" t="s">
        <v>32</v>
      </c>
      <c r="H3707" s="18">
        <v>75.36</v>
      </c>
      <c r="I3707" s="19">
        <v>50.98</v>
      </c>
      <c r="J3707" s="19">
        <v>22.24</v>
      </c>
      <c r="K3707" s="19" t="s">
        <v>44</v>
      </c>
      <c r="L3707" s="19" t="s">
        <v>89</v>
      </c>
      <c r="M3707" s="15" t="s">
        <v>1932</v>
      </c>
      <c r="N3707" s="15" t="s">
        <v>54</v>
      </c>
      <c r="O3707" s="15" t="s">
        <v>55</v>
      </c>
      <c r="P3707" s="20" t="s">
        <v>1546</v>
      </c>
      <c r="Q3707" s="15" t="s">
        <v>39</v>
      </c>
      <c r="R3707" s="4"/>
      <c r="S3707" s="4"/>
    </row>
    <row r="3708" spans="1:19" ht="21" customHeight="1" x14ac:dyDescent="0.25">
      <c r="A3708" s="14">
        <f>DATE(2012,12,31)-1299</f>
        <v>39975</v>
      </c>
      <c r="B3708" s="15" t="s">
        <v>491</v>
      </c>
      <c r="C3708" s="15" t="s">
        <v>85</v>
      </c>
      <c r="D3708" s="16">
        <v>29</v>
      </c>
      <c r="E3708" s="17">
        <v>909.721</v>
      </c>
      <c r="F3708" s="16">
        <v>0.01</v>
      </c>
      <c r="G3708" s="15" t="s">
        <v>32</v>
      </c>
      <c r="H3708" s="18">
        <v>287.99099999999999</v>
      </c>
      <c r="I3708" s="19">
        <v>35.99</v>
      </c>
      <c r="J3708" s="19">
        <v>5.99</v>
      </c>
      <c r="K3708" s="19" t="s">
        <v>44</v>
      </c>
      <c r="L3708" s="19" t="s">
        <v>120</v>
      </c>
      <c r="M3708" s="15" t="s">
        <v>2025</v>
      </c>
      <c r="N3708" s="15" t="s">
        <v>64</v>
      </c>
      <c r="O3708" s="15" t="s">
        <v>65</v>
      </c>
      <c r="P3708" s="20" t="s">
        <v>1577</v>
      </c>
      <c r="Q3708" s="15" t="s">
        <v>79</v>
      </c>
      <c r="R3708" s="4"/>
      <c r="S3708" s="4"/>
    </row>
    <row r="3709" spans="1:19" ht="21" customHeight="1" x14ac:dyDescent="0.25">
      <c r="A3709" s="14">
        <f>DATE(2012,12,31)-154</f>
        <v>41120</v>
      </c>
      <c r="B3709" s="15" t="s">
        <v>254</v>
      </c>
      <c r="C3709" s="15" t="s">
        <v>85</v>
      </c>
      <c r="D3709" s="16">
        <v>4</v>
      </c>
      <c r="E3709" s="17">
        <v>7406.49</v>
      </c>
      <c r="F3709" s="16">
        <v>0.03</v>
      </c>
      <c r="G3709" s="15" t="s">
        <v>32</v>
      </c>
      <c r="H3709" s="18">
        <v>701.21600000000001</v>
      </c>
      <c r="I3709" s="19">
        <v>1889.99</v>
      </c>
      <c r="J3709" s="19">
        <v>19.989999999999998</v>
      </c>
      <c r="K3709" s="19" t="s">
        <v>124</v>
      </c>
      <c r="L3709" s="19" t="s">
        <v>125</v>
      </c>
      <c r="M3709" s="15" t="s">
        <v>2048</v>
      </c>
      <c r="N3709" s="15" t="s">
        <v>36</v>
      </c>
      <c r="O3709" s="15" t="s">
        <v>170</v>
      </c>
      <c r="P3709" s="20" t="s">
        <v>2096</v>
      </c>
      <c r="Q3709" s="15" t="s">
        <v>83</v>
      </c>
      <c r="R3709" s="4"/>
      <c r="S3709" s="4"/>
    </row>
    <row r="3710" spans="1:19" ht="21" customHeight="1" x14ac:dyDescent="0.25">
      <c r="A3710" s="14">
        <f>DATE(2012,12,31)-154</f>
        <v>41120</v>
      </c>
      <c r="B3710" s="15" t="s">
        <v>254</v>
      </c>
      <c r="C3710" s="15" t="s">
        <v>85</v>
      </c>
      <c r="D3710" s="16">
        <v>50</v>
      </c>
      <c r="E3710" s="17">
        <v>350.01</v>
      </c>
      <c r="F3710" s="16">
        <v>0.04</v>
      </c>
      <c r="G3710" s="15" t="s">
        <v>32</v>
      </c>
      <c r="H3710" s="18">
        <v>-133.43</v>
      </c>
      <c r="I3710" s="19">
        <v>6.68</v>
      </c>
      <c r="J3710" s="19">
        <v>6.93</v>
      </c>
      <c r="K3710" s="19" t="s">
        <v>33</v>
      </c>
      <c r="L3710" s="19" t="s">
        <v>93</v>
      </c>
      <c r="M3710" s="15" t="s">
        <v>94</v>
      </c>
      <c r="N3710" s="15" t="s">
        <v>36</v>
      </c>
      <c r="O3710" s="15" t="s">
        <v>117</v>
      </c>
      <c r="P3710" s="20" t="s">
        <v>957</v>
      </c>
      <c r="Q3710" s="15" t="s">
        <v>83</v>
      </c>
      <c r="R3710" s="4"/>
      <c r="S3710" s="4"/>
    </row>
    <row r="3711" spans="1:19" ht="21" customHeight="1" x14ac:dyDescent="0.25">
      <c r="A3711" s="14">
        <f>DATE(2012,12,31)-1381</f>
        <v>39893</v>
      </c>
      <c r="B3711" s="15" t="s">
        <v>472</v>
      </c>
      <c r="C3711" s="15" t="s">
        <v>51</v>
      </c>
      <c r="D3711" s="16">
        <v>41</v>
      </c>
      <c r="E3711" s="17">
        <v>18081.759999999998</v>
      </c>
      <c r="F3711" s="16">
        <v>0.03</v>
      </c>
      <c r="G3711" s="15" t="s">
        <v>32</v>
      </c>
      <c r="H3711" s="18">
        <v>8822.2775000000001</v>
      </c>
      <c r="I3711" s="19">
        <v>420.98</v>
      </c>
      <c r="J3711" s="19">
        <v>19.989999999999998</v>
      </c>
      <c r="K3711" s="19" t="s">
        <v>33</v>
      </c>
      <c r="L3711" s="19" t="s">
        <v>93</v>
      </c>
      <c r="M3711" s="15" t="s">
        <v>94</v>
      </c>
      <c r="N3711" s="15" t="s">
        <v>36</v>
      </c>
      <c r="O3711" s="15" t="s">
        <v>170</v>
      </c>
      <c r="P3711" s="20" t="s">
        <v>466</v>
      </c>
      <c r="Q3711" s="15" t="s">
        <v>83</v>
      </c>
      <c r="R3711" s="4"/>
      <c r="S3711" s="4"/>
    </row>
    <row r="3712" spans="1:19" ht="21" customHeight="1" x14ac:dyDescent="0.25">
      <c r="A3712" s="14">
        <f>DATE(2012,12,31)-1044</f>
        <v>40230</v>
      </c>
      <c r="B3712" s="15" t="s">
        <v>398</v>
      </c>
      <c r="C3712" s="15" t="s">
        <v>85</v>
      </c>
      <c r="D3712" s="16">
        <v>11</v>
      </c>
      <c r="E3712" s="17">
        <v>32.4</v>
      </c>
      <c r="F3712" s="16">
        <v>0.05</v>
      </c>
      <c r="G3712" s="15" t="s">
        <v>32</v>
      </c>
      <c r="H3712" s="18">
        <v>8.7799999999999994</v>
      </c>
      <c r="I3712" s="19">
        <v>2.88</v>
      </c>
      <c r="J3712" s="19">
        <v>0.5</v>
      </c>
      <c r="K3712" s="19" t="s">
        <v>97</v>
      </c>
      <c r="L3712" s="19" t="s">
        <v>98</v>
      </c>
      <c r="M3712" s="15" t="s">
        <v>2085</v>
      </c>
      <c r="N3712" s="15" t="s">
        <v>36</v>
      </c>
      <c r="O3712" s="15" t="s">
        <v>114</v>
      </c>
      <c r="P3712" s="20" t="s">
        <v>2097</v>
      </c>
      <c r="Q3712" s="15" t="s">
        <v>83</v>
      </c>
      <c r="R3712" s="4"/>
      <c r="S3712" s="4"/>
    </row>
    <row r="3713" spans="1:19" ht="21" customHeight="1" x14ac:dyDescent="0.25">
      <c r="A3713" s="14">
        <f>DATE(2012,12,31)-620</f>
        <v>40654</v>
      </c>
      <c r="B3713" s="15" t="s">
        <v>318</v>
      </c>
      <c r="C3713" s="15" t="s">
        <v>85</v>
      </c>
      <c r="D3713" s="16">
        <v>47</v>
      </c>
      <c r="E3713" s="17">
        <v>671.78</v>
      </c>
      <c r="F3713" s="16">
        <v>0.1</v>
      </c>
      <c r="G3713" s="15" t="s">
        <v>32</v>
      </c>
      <c r="H3713" s="18">
        <v>297.23</v>
      </c>
      <c r="I3713" s="19">
        <v>15.57</v>
      </c>
      <c r="J3713" s="19">
        <v>1.39</v>
      </c>
      <c r="K3713" s="19" t="s">
        <v>97</v>
      </c>
      <c r="L3713" s="19" t="s">
        <v>98</v>
      </c>
      <c r="M3713" s="15" t="s">
        <v>2085</v>
      </c>
      <c r="N3713" s="15" t="s">
        <v>36</v>
      </c>
      <c r="O3713" s="15" t="s">
        <v>189</v>
      </c>
      <c r="P3713" s="20" t="s">
        <v>802</v>
      </c>
      <c r="Q3713" s="15" t="s">
        <v>83</v>
      </c>
      <c r="R3713" s="4"/>
      <c r="S3713" s="4"/>
    </row>
    <row r="3714" spans="1:19" ht="21" customHeight="1" x14ac:dyDescent="0.25">
      <c r="A3714" s="14">
        <f>DATE(2012,12,31)-620</f>
        <v>40654</v>
      </c>
      <c r="B3714" s="15" t="s">
        <v>318</v>
      </c>
      <c r="C3714" s="15" t="s">
        <v>85</v>
      </c>
      <c r="D3714" s="16">
        <v>12</v>
      </c>
      <c r="E3714" s="17">
        <v>262.08999999999997</v>
      </c>
      <c r="F3714" s="16">
        <v>0.01</v>
      </c>
      <c r="G3714" s="15" t="s">
        <v>32</v>
      </c>
      <c r="H3714" s="18">
        <v>58.69</v>
      </c>
      <c r="I3714" s="19">
        <v>19.98</v>
      </c>
      <c r="J3714" s="19">
        <v>10.49</v>
      </c>
      <c r="K3714" s="19" t="s">
        <v>124</v>
      </c>
      <c r="L3714" s="19" t="s">
        <v>160</v>
      </c>
      <c r="M3714" s="15" t="s">
        <v>1951</v>
      </c>
      <c r="N3714" s="15" t="s">
        <v>54</v>
      </c>
      <c r="O3714" s="15" t="s">
        <v>55</v>
      </c>
      <c r="P3714" s="20" t="s">
        <v>889</v>
      </c>
      <c r="Q3714" s="15" t="s">
        <v>83</v>
      </c>
      <c r="R3714" s="4"/>
      <c r="S3714" s="4"/>
    </row>
    <row r="3715" spans="1:19" ht="21" customHeight="1" x14ac:dyDescent="0.25">
      <c r="A3715" s="14">
        <f>DATE(2012,12,31)-703</f>
        <v>40571</v>
      </c>
      <c r="B3715" s="15" t="s">
        <v>1866</v>
      </c>
      <c r="C3715" s="15" t="s">
        <v>31</v>
      </c>
      <c r="D3715" s="16">
        <v>17</v>
      </c>
      <c r="E3715" s="17">
        <v>201.72</v>
      </c>
      <c r="F3715" s="16">
        <v>0.05</v>
      </c>
      <c r="G3715" s="15" t="s">
        <v>32</v>
      </c>
      <c r="H3715" s="18">
        <v>-81.61</v>
      </c>
      <c r="I3715" s="19">
        <v>11.34</v>
      </c>
      <c r="J3715" s="19">
        <v>11.25</v>
      </c>
      <c r="K3715" s="19" t="s">
        <v>124</v>
      </c>
      <c r="L3715" s="19" t="s">
        <v>160</v>
      </c>
      <c r="M3715" s="15" t="s">
        <v>1951</v>
      </c>
      <c r="N3715" s="15" t="s">
        <v>36</v>
      </c>
      <c r="O3715" s="15" t="s">
        <v>117</v>
      </c>
      <c r="P3715" s="20" t="s">
        <v>661</v>
      </c>
      <c r="Q3715" s="15" t="s">
        <v>83</v>
      </c>
      <c r="R3715" s="4"/>
      <c r="S3715" s="4"/>
    </row>
    <row r="3716" spans="1:19" ht="21" customHeight="1" x14ac:dyDescent="0.25">
      <c r="A3716" s="14">
        <f>DATE(2012,12,31)-703</f>
        <v>40571</v>
      </c>
      <c r="B3716" s="15" t="s">
        <v>1866</v>
      </c>
      <c r="C3716" s="15" t="s">
        <v>31</v>
      </c>
      <c r="D3716" s="16">
        <v>41</v>
      </c>
      <c r="E3716" s="17">
        <v>12125.14</v>
      </c>
      <c r="F3716" s="16">
        <v>0.08</v>
      </c>
      <c r="G3716" s="15" t="s">
        <v>58</v>
      </c>
      <c r="H3716" s="18">
        <v>3376.03</v>
      </c>
      <c r="I3716" s="19">
        <v>297.64</v>
      </c>
      <c r="J3716" s="19">
        <v>14.7</v>
      </c>
      <c r="K3716" s="19" t="s">
        <v>124</v>
      </c>
      <c r="L3716" s="19" t="s">
        <v>158</v>
      </c>
      <c r="M3716" s="15" t="s">
        <v>158</v>
      </c>
      <c r="N3716" s="15" t="s">
        <v>64</v>
      </c>
      <c r="O3716" s="15" t="s">
        <v>122</v>
      </c>
      <c r="P3716" s="20" t="s">
        <v>1942</v>
      </c>
      <c r="Q3716" s="15" t="s">
        <v>181</v>
      </c>
      <c r="R3716" s="4"/>
      <c r="S3716" s="4"/>
    </row>
    <row r="3717" spans="1:19" ht="21" customHeight="1" x14ac:dyDescent="0.25">
      <c r="A3717" s="14">
        <f>DATE(2012,12,31)-560</f>
        <v>40714</v>
      </c>
      <c r="B3717" s="15" t="s">
        <v>1074</v>
      </c>
      <c r="C3717" s="15" t="s">
        <v>85</v>
      </c>
      <c r="D3717" s="16">
        <v>26</v>
      </c>
      <c r="E3717" s="17">
        <v>4688.9484999999995</v>
      </c>
      <c r="F3717" s="16">
        <v>0</v>
      </c>
      <c r="G3717" s="15" t="s">
        <v>32</v>
      </c>
      <c r="H3717" s="18">
        <v>1215.441</v>
      </c>
      <c r="I3717" s="19">
        <v>205.99</v>
      </c>
      <c r="J3717" s="19">
        <v>5.26</v>
      </c>
      <c r="K3717" s="19" t="s">
        <v>44</v>
      </c>
      <c r="L3717" s="19" t="s">
        <v>52</v>
      </c>
      <c r="M3717" s="15" t="s">
        <v>2068</v>
      </c>
      <c r="N3717" s="15" t="s">
        <v>64</v>
      </c>
      <c r="O3717" s="15" t="s">
        <v>65</v>
      </c>
      <c r="P3717" s="20" t="s">
        <v>650</v>
      </c>
      <c r="Q3717" s="15" t="s">
        <v>83</v>
      </c>
      <c r="R3717" s="4"/>
      <c r="S3717" s="4"/>
    </row>
    <row r="3718" spans="1:19" ht="21" customHeight="1" x14ac:dyDescent="0.25">
      <c r="A3718" s="14">
        <f>DATE(2012,12,31)-286</f>
        <v>40988</v>
      </c>
      <c r="B3718" s="15" t="s">
        <v>239</v>
      </c>
      <c r="C3718" s="15" t="s">
        <v>43</v>
      </c>
      <c r="D3718" s="16">
        <v>33</v>
      </c>
      <c r="E3718" s="17">
        <v>141.69999999999999</v>
      </c>
      <c r="F3718" s="16">
        <v>0.02</v>
      </c>
      <c r="G3718" s="15" t="s">
        <v>32</v>
      </c>
      <c r="H3718" s="18">
        <v>-103.21250000000001</v>
      </c>
      <c r="I3718" s="19">
        <v>3.98</v>
      </c>
      <c r="J3718" s="19">
        <v>5.26</v>
      </c>
      <c r="K3718" s="19" t="s">
        <v>33</v>
      </c>
      <c r="L3718" s="19" t="s">
        <v>93</v>
      </c>
      <c r="M3718" s="15" t="s">
        <v>94</v>
      </c>
      <c r="N3718" s="15" t="s">
        <v>36</v>
      </c>
      <c r="O3718" s="15" t="s">
        <v>170</v>
      </c>
      <c r="P3718" s="20" t="s">
        <v>446</v>
      </c>
      <c r="Q3718" s="15" t="s">
        <v>83</v>
      </c>
      <c r="R3718" s="4"/>
      <c r="S3718" s="4"/>
    </row>
    <row r="3719" spans="1:19" ht="21" customHeight="1" x14ac:dyDescent="0.25">
      <c r="A3719" s="14">
        <f>DATE(2012,12,31)-1167</f>
        <v>40107</v>
      </c>
      <c r="B3719" s="15" t="s">
        <v>1643</v>
      </c>
      <c r="C3719" s="15" t="s">
        <v>85</v>
      </c>
      <c r="D3719" s="16">
        <v>49</v>
      </c>
      <c r="E3719" s="17">
        <v>21337.27</v>
      </c>
      <c r="F3719" s="16">
        <v>0.02</v>
      </c>
      <c r="G3719" s="15" t="s">
        <v>32</v>
      </c>
      <c r="H3719" s="18">
        <v>7606</v>
      </c>
      <c r="I3719" s="19">
        <v>419.19</v>
      </c>
      <c r="J3719" s="19">
        <v>19.989999999999998</v>
      </c>
      <c r="K3719" s="19" t="s">
        <v>44</v>
      </c>
      <c r="L3719" s="19" t="s">
        <v>89</v>
      </c>
      <c r="M3719" s="15" t="s">
        <v>1932</v>
      </c>
      <c r="N3719" s="15" t="s">
        <v>36</v>
      </c>
      <c r="O3719" s="15" t="s">
        <v>37</v>
      </c>
      <c r="P3719" s="20" t="s">
        <v>1168</v>
      </c>
      <c r="Q3719" s="15" t="s">
        <v>83</v>
      </c>
      <c r="R3719" s="4"/>
      <c r="S3719" s="4"/>
    </row>
    <row r="3720" spans="1:19" ht="21" customHeight="1" x14ac:dyDescent="0.25">
      <c r="A3720" s="14">
        <f>DATE(2012,12,31)-1214</f>
        <v>40060</v>
      </c>
      <c r="B3720" s="15" t="s">
        <v>398</v>
      </c>
      <c r="C3720" s="15" t="s">
        <v>85</v>
      </c>
      <c r="D3720" s="16">
        <v>8</v>
      </c>
      <c r="E3720" s="17">
        <v>50.7</v>
      </c>
      <c r="F3720" s="16">
        <v>0.08</v>
      </c>
      <c r="G3720" s="15" t="s">
        <v>32</v>
      </c>
      <c r="H3720" s="18">
        <v>-44.067999999999998</v>
      </c>
      <c r="I3720" s="19">
        <v>5.4</v>
      </c>
      <c r="J3720" s="19">
        <v>7.78</v>
      </c>
      <c r="K3720" s="19" t="s">
        <v>124</v>
      </c>
      <c r="L3720" s="19" t="s">
        <v>158</v>
      </c>
      <c r="M3720" s="15" t="s">
        <v>158</v>
      </c>
      <c r="N3720" s="15" t="s">
        <v>36</v>
      </c>
      <c r="O3720" s="15" t="s">
        <v>170</v>
      </c>
      <c r="P3720" s="20" t="s">
        <v>186</v>
      </c>
      <c r="Q3720" s="15" t="s">
        <v>83</v>
      </c>
      <c r="R3720" s="4"/>
      <c r="S3720" s="4"/>
    </row>
    <row r="3721" spans="1:19" ht="21" customHeight="1" x14ac:dyDescent="0.25">
      <c r="A3721" s="14">
        <f>DATE(2012,12,31)-1214</f>
        <v>40060</v>
      </c>
      <c r="B3721" s="15" t="s">
        <v>398</v>
      </c>
      <c r="C3721" s="15" t="s">
        <v>85</v>
      </c>
      <c r="D3721" s="16">
        <v>10</v>
      </c>
      <c r="E3721" s="17">
        <v>90.06</v>
      </c>
      <c r="F3721" s="16">
        <v>0.09</v>
      </c>
      <c r="G3721" s="15" t="s">
        <v>101</v>
      </c>
      <c r="H3721" s="18">
        <v>-100.51</v>
      </c>
      <c r="I3721" s="19">
        <v>8.4600000000000009</v>
      </c>
      <c r="J3721" s="19">
        <v>8.99</v>
      </c>
      <c r="K3721" s="19" t="s">
        <v>124</v>
      </c>
      <c r="L3721" s="19" t="s">
        <v>319</v>
      </c>
      <c r="M3721" s="15" t="s">
        <v>2098</v>
      </c>
      <c r="N3721" s="15" t="s">
        <v>64</v>
      </c>
      <c r="O3721" s="15" t="s">
        <v>72</v>
      </c>
      <c r="P3721" s="20" t="s">
        <v>73</v>
      </c>
      <c r="Q3721" s="15" t="s">
        <v>49</v>
      </c>
      <c r="R3721" s="4"/>
      <c r="S3721" s="4"/>
    </row>
    <row r="3722" spans="1:19" ht="21" customHeight="1" x14ac:dyDescent="0.25">
      <c r="A3722" s="14">
        <f>DATE(2012,12,31)-1214</f>
        <v>40060</v>
      </c>
      <c r="B3722" s="15" t="s">
        <v>398</v>
      </c>
      <c r="C3722" s="15" t="s">
        <v>85</v>
      </c>
      <c r="D3722" s="16">
        <v>22</v>
      </c>
      <c r="E3722" s="17">
        <v>338.52</v>
      </c>
      <c r="F3722" s="16">
        <v>0.21</v>
      </c>
      <c r="G3722" s="15" t="s">
        <v>32</v>
      </c>
      <c r="H3722" s="18">
        <v>-17.75</v>
      </c>
      <c r="I3722" s="19">
        <v>14.98</v>
      </c>
      <c r="J3722" s="19">
        <v>8.99</v>
      </c>
      <c r="K3722" s="19" t="s">
        <v>33</v>
      </c>
      <c r="L3722" s="19" t="s">
        <v>59</v>
      </c>
      <c r="M3722" s="15" t="s">
        <v>2091</v>
      </c>
      <c r="N3722" s="15" t="s">
        <v>54</v>
      </c>
      <c r="O3722" s="15" t="s">
        <v>55</v>
      </c>
      <c r="P3722" s="20" t="s">
        <v>719</v>
      </c>
      <c r="Q3722" s="15" t="s">
        <v>49</v>
      </c>
      <c r="R3722" s="4"/>
      <c r="S3722" s="4"/>
    </row>
    <row r="3723" spans="1:19" ht="21" customHeight="1" x14ac:dyDescent="0.25">
      <c r="A3723" s="14">
        <f>DATE(2012,12,31)-1214</f>
        <v>40060</v>
      </c>
      <c r="B3723" s="15" t="s">
        <v>398</v>
      </c>
      <c r="C3723" s="15" t="s">
        <v>85</v>
      </c>
      <c r="D3723" s="16">
        <v>48</v>
      </c>
      <c r="E3723" s="17">
        <v>6109.817</v>
      </c>
      <c r="F3723" s="16">
        <v>0.04</v>
      </c>
      <c r="G3723" s="15" t="s">
        <v>32</v>
      </c>
      <c r="H3723" s="18">
        <v>1374.9480000000001</v>
      </c>
      <c r="I3723" s="19">
        <v>155.99</v>
      </c>
      <c r="J3723" s="19">
        <v>8.08</v>
      </c>
      <c r="K3723" s="19" t="s">
        <v>33</v>
      </c>
      <c r="L3723" s="19" t="s">
        <v>59</v>
      </c>
      <c r="M3723" s="15" t="s">
        <v>2091</v>
      </c>
      <c r="N3723" s="15" t="s">
        <v>64</v>
      </c>
      <c r="O3723" s="15" t="s">
        <v>65</v>
      </c>
      <c r="P3723" s="20" t="s">
        <v>1934</v>
      </c>
      <c r="Q3723" s="15" t="s">
        <v>83</v>
      </c>
      <c r="R3723" s="4"/>
      <c r="S3723" s="4"/>
    </row>
    <row r="3724" spans="1:19" ht="21" customHeight="1" x14ac:dyDescent="0.25">
      <c r="A3724" s="14">
        <f>DATE(2012,12,31)-1158</f>
        <v>40116</v>
      </c>
      <c r="B3724" s="15" t="s">
        <v>1456</v>
      </c>
      <c r="C3724" s="15" t="s">
        <v>85</v>
      </c>
      <c r="D3724" s="16">
        <v>25</v>
      </c>
      <c r="E3724" s="17">
        <v>38.369999999999997</v>
      </c>
      <c r="F3724" s="16">
        <v>0.1</v>
      </c>
      <c r="G3724" s="15" t="s">
        <v>32</v>
      </c>
      <c r="H3724" s="18">
        <v>-13.88</v>
      </c>
      <c r="I3724" s="19">
        <v>1.6</v>
      </c>
      <c r="J3724" s="19">
        <v>1.29</v>
      </c>
      <c r="K3724" s="19" t="s">
        <v>33</v>
      </c>
      <c r="L3724" s="19" t="s">
        <v>145</v>
      </c>
      <c r="M3724" s="15" t="s">
        <v>2055</v>
      </c>
      <c r="N3724" s="15" t="s">
        <v>36</v>
      </c>
      <c r="O3724" s="15" t="s">
        <v>77</v>
      </c>
      <c r="P3724" s="20" t="s">
        <v>2099</v>
      </c>
      <c r="Q3724" s="15" t="s">
        <v>79</v>
      </c>
      <c r="R3724" s="4"/>
      <c r="S3724" s="4"/>
    </row>
    <row r="3725" spans="1:19" ht="21" customHeight="1" x14ac:dyDescent="0.25">
      <c r="A3725" s="14">
        <f>DATE(2012,12,31)-1270</f>
        <v>40004</v>
      </c>
      <c r="B3725" s="15" t="s">
        <v>392</v>
      </c>
      <c r="C3725" s="15" t="s">
        <v>51</v>
      </c>
      <c r="D3725" s="16">
        <v>38</v>
      </c>
      <c r="E3725" s="17">
        <v>21956.03</v>
      </c>
      <c r="F3725" s="16">
        <v>0.1</v>
      </c>
      <c r="G3725" s="15" t="s">
        <v>32</v>
      </c>
      <c r="H3725" s="18">
        <v>5903.0860000000002</v>
      </c>
      <c r="I3725" s="19">
        <v>599.99</v>
      </c>
      <c r="J3725" s="19">
        <v>24.49</v>
      </c>
      <c r="K3725" s="19" t="s">
        <v>33</v>
      </c>
      <c r="L3725" s="19" t="s">
        <v>145</v>
      </c>
      <c r="M3725" s="15" t="s">
        <v>2055</v>
      </c>
      <c r="N3725" s="15" t="s">
        <v>64</v>
      </c>
      <c r="O3725" s="15" t="s">
        <v>460</v>
      </c>
      <c r="P3725" s="20" t="s">
        <v>1691</v>
      </c>
      <c r="Q3725" s="15" t="s">
        <v>39</v>
      </c>
      <c r="R3725" s="4"/>
      <c r="S3725" s="4"/>
    </row>
    <row r="3726" spans="1:19" ht="21" customHeight="1" x14ac:dyDescent="0.25">
      <c r="A3726" s="14">
        <f>DATE(2012,12,31)-1270</f>
        <v>40004</v>
      </c>
      <c r="B3726" s="15" t="s">
        <v>392</v>
      </c>
      <c r="C3726" s="15" t="s">
        <v>51</v>
      </c>
      <c r="D3726" s="16">
        <v>32</v>
      </c>
      <c r="E3726" s="17">
        <v>89.89</v>
      </c>
      <c r="F3726" s="16">
        <v>0.06</v>
      </c>
      <c r="G3726" s="15" t="s">
        <v>32</v>
      </c>
      <c r="H3726" s="18">
        <v>-8.16</v>
      </c>
      <c r="I3726" s="19">
        <v>2.78</v>
      </c>
      <c r="J3726" s="19">
        <v>1.25</v>
      </c>
      <c r="K3726" s="19" t="s">
        <v>33</v>
      </c>
      <c r="L3726" s="19" t="s">
        <v>145</v>
      </c>
      <c r="M3726" s="15" t="s">
        <v>2055</v>
      </c>
      <c r="N3726" s="15" t="s">
        <v>36</v>
      </c>
      <c r="O3726" s="15" t="s">
        <v>77</v>
      </c>
      <c r="P3726" s="20" t="s">
        <v>822</v>
      </c>
      <c r="Q3726" s="15" t="s">
        <v>79</v>
      </c>
      <c r="R3726" s="4"/>
      <c r="S3726" s="4"/>
    </row>
    <row r="3727" spans="1:19" ht="21" customHeight="1" x14ac:dyDescent="0.25">
      <c r="A3727" s="14">
        <f>DATE(2012,12,31)-765</f>
        <v>40509</v>
      </c>
      <c r="B3727" s="15" t="s">
        <v>185</v>
      </c>
      <c r="C3727" s="15" t="s">
        <v>51</v>
      </c>
      <c r="D3727" s="16">
        <v>9</v>
      </c>
      <c r="E3727" s="17">
        <v>65.67</v>
      </c>
      <c r="F3727" s="16">
        <v>0.02</v>
      </c>
      <c r="G3727" s="15" t="s">
        <v>32</v>
      </c>
      <c r="H3727" s="18">
        <v>-35.200000000000003</v>
      </c>
      <c r="I3727" s="19">
        <v>6.48</v>
      </c>
      <c r="J3727" s="19">
        <v>7.37</v>
      </c>
      <c r="K3727" s="19" t="s">
        <v>33</v>
      </c>
      <c r="L3727" s="19" t="s">
        <v>59</v>
      </c>
      <c r="M3727" s="15" t="s">
        <v>2091</v>
      </c>
      <c r="N3727" s="15" t="s">
        <v>36</v>
      </c>
      <c r="O3727" s="15" t="s">
        <v>117</v>
      </c>
      <c r="P3727" s="20" t="s">
        <v>998</v>
      </c>
      <c r="Q3727" s="15" t="s">
        <v>83</v>
      </c>
      <c r="R3727" s="4"/>
      <c r="S3727" s="4"/>
    </row>
    <row r="3728" spans="1:19" ht="21" customHeight="1" x14ac:dyDescent="0.25">
      <c r="A3728" s="14">
        <f>DATE(2012,12,31)-791</f>
        <v>40483</v>
      </c>
      <c r="B3728" s="15" t="s">
        <v>1410</v>
      </c>
      <c r="C3728" s="15" t="s">
        <v>85</v>
      </c>
      <c r="D3728" s="16">
        <v>37</v>
      </c>
      <c r="E3728" s="17">
        <v>231.65</v>
      </c>
      <c r="F3728" s="16">
        <v>0</v>
      </c>
      <c r="G3728" s="15" t="s">
        <v>32</v>
      </c>
      <c r="H3728" s="18">
        <v>-241.28</v>
      </c>
      <c r="I3728" s="19">
        <v>5.98</v>
      </c>
      <c r="J3728" s="19">
        <v>10.39</v>
      </c>
      <c r="K3728" s="19" t="s">
        <v>69</v>
      </c>
      <c r="L3728" s="19" t="s">
        <v>75</v>
      </c>
      <c r="M3728" s="15" t="s">
        <v>1980</v>
      </c>
      <c r="N3728" s="15" t="s">
        <v>36</v>
      </c>
      <c r="O3728" s="15" t="s">
        <v>117</v>
      </c>
      <c r="P3728" s="20" t="s">
        <v>1071</v>
      </c>
      <c r="Q3728" s="15" t="s">
        <v>83</v>
      </c>
      <c r="R3728" s="4"/>
      <c r="S3728" s="4"/>
    </row>
    <row r="3729" spans="1:19" ht="21" customHeight="1" x14ac:dyDescent="0.25">
      <c r="A3729" s="14">
        <f>DATE(2012,12,31)-93</f>
        <v>41181</v>
      </c>
      <c r="B3729" s="15" t="s">
        <v>681</v>
      </c>
      <c r="C3729" s="15" t="s">
        <v>85</v>
      </c>
      <c r="D3729" s="16">
        <v>28</v>
      </c>
      <c r="E3729" s="17">
        <v>1107.6400000000001</v>
      </c>
      <c r="F3729" s="16">
        <v>0.06</v>
      </c>
      <c r="G3729" s="15" t="s">
        <v>32</v>
      </c>
      <c r="H3729" s="18">
        <v>333.17450000000002</v>
      </c>
      <c r="I3729" s="19">
        <v>40.98</v>
      </c>
      <c r="J3729" s="19">
        <v>7.47</v>
      </c>
      <c r="K3729" s="19" t="s">
        <v>69</v>
      </c>
      <c r="L3729" s="19" t="s">
        <v>70</v>
      </c>
      <c r="M3729" s="15" t="s">
        <v>1895</v>
      </c>
      <c r="N3729" s="15" t="s">
        <v>36</v>
      </c>
      <c r="O3729" s="15" t="s">
        <v>170</v>
      </c>
      <c r="P3729" s="20" t="s">
        <v>389</v>
      </c>
      <c r="Q3729" s="15" t="s">
        <v>83</v>
      </c>
      <c r="R3729" s="4"/>
      <c r="S3729" s="4"/>
    </row>
    <row r="3730" spans="1:19" ht="21" customHeight="1" x14ac:dyDescent="0.25">
      <c r="A3730" s="14">
        <f>DATE(2012,12,31)-375</f>
        <v>40899</v>
      </c>
      <c r="B3730" s="15" t="s">
        <v>827</v>
      </c>
      <c r="C3730" s="15" t="s">
        <v>51</v>
      </c>
      <c r="D3730" s="16">
        <v>17</v>
      </c>
      <c r="E3730" s="17">
        <v>72.75</v>
      </c>
      <c r="F3730" s="16">
        <v>0.05</v>
      </c>
      <c r="G3730" s="15" t="s">
        <v>32</v>
      </c>
      <c r="H3730" s="18">
        <v>-57.891000000000005</v>
      </c>
      <c r="I3730" s="19">
        <v>3.98</v>
      </c>
      <c r="J3730" s="19">
        <v>5.26</v>
      </c>
      <c r="K3730" s="19" t="s">
        <v>69</v>
      </c>
      <c r="L3730" s="19" t="s">
        <v>70</v>
      </c>
      <c r="M3730" s="15" t="s">
        <v>1895</v>
      </c>
      <c r="N3730" s="15" t="s">
        <v>36</v>
      </c>
      <c r="O3730" s="15" t="s">
        <v>170</v>
      </c>
      <c r="P3730" s="20" t="s">
        <v>446</v>
      </c>
      <c r="Q3730" s="15" t="s">
        <v>83</v>
      </c>
      <c r="R3730" s="4"/>
      <c r="S3730" s="4"/>
    </row>
    <row r="3731" spans="1:19" ht="21" customHeight="1" x14ac:dyDescent="0.25">
      <c r="A3731" s="14">
        <f>DATE(2012,12,31)-288</f>
        <v>40986</v>
      </c>
      <c r="B3731" s="15" t="s">
        <v>1944</v>
      </c>
      <c r="C3731" s="15" t="s">
        <v>85</v>
      </c>
      <c r="D3731" s="16">
        <v>1</v>
      </c>
      <c r="E3731" s="17">
        <v>10.23</v>
      </c>
      <c r="F3731" s="16">
        <v>0.1</v>
      </c>
      <c r="G3731" s="15" t="s">
        <v>32</v>
      </c>
      <c r="H3731" s="18">
        <v>-4.22</v>
      </c>
      <c r="I3731" s="19">
        <v>8.9499999999999993</v>
      </c>
      <c r="J3731" s="19">
        <v>2.0099999999999998</v>
      </c>
      <c r="K3731" s="19" t="s">
        <v>69</v>
      </c>
      <c r="L3731" s="19" t="s">
        <v>70</v>
      </c>
      <c r="M3731" s="15" t="s">
        <v>1895</v>
      </c>
      <c r="N3731" s="15" t="s">
        <v>36</v>
      </c>
      <c r="O3731" s="15" t="s">
        <v>117</v>
      </c>
      <c r="P3731" s="20" t="s">
        <v>1955</v>
      </c>
      <c r="Q3731" s="15" t="s">
        <v>79</v>
      </c>
      <c r="R3731" s="4"/>
      <c r="S3731" s="4"/>
    </row>
    <row r="3732" spans="1:19" ht="21" customHeight="1" x14ac:dyDescent="0.25">
      <c r="A3732" s="14">
        <f>DATE(2012,12,31)-12</f>
        <v>41262</v>
      </c>
      <c r="B3732" s="15" t="s">
        <v>1820</v>
      </c>
      <c r="C3732" s="15" t="s">
        <v>85</v>
      </c>
      <c r="D3732" s="16">
        <v>31</v>
      </c>
      <c r="E3732" s="17">
        <v>1772.2244999999998</v>
      </c>
      <c r="F3732" s="16">
        <v>0.02</v>
      </c>
      <c r="G3732" s="15" t="s">
        <v>32</v>
      </c>
      <c r="H3732" s="18">
        <v>390.86099999999999</v>
      </c>
      <c r="I3732" s="19">
        <v>65.989999999999995</v>
      </c>
      <c r="J3732" s="19">
        <v>4.99</v>
      </c>
      <c r="K3732" s="19" t="s">
        <v>69</v>
      </c>
      <c r="L3732" s="19" t="s">
        <v>75</v>
      </c>
      <c r="M3732" s="15" t="s">
        <v>1980</v>
      </c>
      <c r="N3732" s="15" t="s">
        <v>64</v>
      </c>
      <c r="O3732" s="15" t="s">
        <v>65</v>
      </c>
      <c r="P3732" s="20" t="s">
        <v>1705</v>
      </c>
      <c r="Q3732" s="15" t="s">
        <v>83</v>
      </c>
      <c r="R3732" s="4"/>
      <c r="S3732" s="4"/>
    </row>
    <row r="3733" spans="1:19" ht="21" customHeight="1" x14ac:dyDescent="0.25">
      <c r="A3733" s="14">
        <f>DATE(2012,12,31)-866</f>
        <v>40408</v>
      </c>
      <c r="B3733" s="15" t="s">
        <v>2019</v>
      </c>
      <c r="C3733" s="15" t="s">
        <v>85</v>
      </c>
      <c r="D3733" s="16">
        <v>21</v>
      </c>
      <c r="E3733" s="17">
        <v>424.13</v>
      </c>
      <c r="F3733" s="16">
        <v>0.06</v>
      </c>
      <c r="G3733" s="15" t="s">
        <v>32</v>
      </c>
      <c r="H3733" s="18">
        <v>57.17</v>
      </c>
      <c r="I3733" s="19">
        <v>20.27</v>
      </c>
      <c r="J3733" s="19">
        <v>3.99</v>
      </c>
      <c r="K3733" s="19" t="s">
        <v>69</v>
      </c>
      <c r="L3733" s="19" t="s">
        <v>75</v>
      </c>
      <c r="M3733" s="15" t="s">
        <v>1980</v>
      </c>
      <c r="N3733" s="15" t="s">
        <v>36</v>
      </c>
      <c r="O3733" s="15" t="s">
        <v>176</v>
      </c>
      <c r="P3733" s="20" t="s">
        <v>2100</v>
      </c>
      <c r="Q3733" s="15" t="s">
        <v>83</v>
      </c>
      <c r="R3733" s="4"/>
      <c r="S3733" s="4"/>
    </row>
    <row r="3734" spans="1:19" ht="21" customHeight="1" x14ac:dyDescent="0.25">
      <c r="A3734" s="14">
        <f>DATE(2012,12,31)-866</f>
        <v>40408</v>
      </c>
      <c r="B3734" s="15" t="s">
        <v>2019</v>
      </c>
      <c r="C3734" s="15" t="s">
        <v>85</v>
      </c>
      <c r="D3734" s="16">
        <v>7</v>
      </c>
      <c r="E3734" s="17">
        <v>69.400000000000006</v>
      </c>
      <c r="F3734" s="16">
        <v>0.09</v>
      </c>
      <c r="G3734" s="15" t="s">
        <v>32</v>
      </c>
      <c r="H3734" s="18">
        <v>12.02</v>
      </c>
      <c r="I3734" s="19">
        <v>9.93</v>
      </c>
      <c r="J3734" s="19">
        <v>1.0900000000000001</v>
      </c>
      <c r="K3734" s="19" t="s">
        <v>69</v>
      </c>
      <c r="L3734" s="19" t="s">
        <v>215</v>
      </c>
      <c r="M3734" s="15" t="s">
        <v>2038</v>
      </c>
      <c r="N3734" s="15" t="s">
        <v>36</v>
      </c>
      <c r="O3734" s="15" t="s">
        <v>77</v>
      </c>
      <c r="P3734" s="20" t="s">
        <v>366</v>
      </c>
      <c r="Q3734" s="15" t="s">
        <v>79</v>
      </c>
      <c r="R3734" s="4"/>
      <c r="S3734" s="4"/>
    </row>
    <row r="3735" spans="1:19" ht="21" customHeight="1" x14ac:dyDescent="0.25">
      <c r="A3735" s="14">
        <f>DATE(2012,12,31)-1189</f>
        <v>40085</v>
      </c>
      <c r="B3735" s="15" t="s">
        <v>931</v>
      </c>
      <c r="C3735" s="15" t="s">
        <v>51</v>
      </c>
      <c r="D3735" s="16">
        <v>2</v>
      </c>
      <c r="E3735" s="17">
        <v>198.44</v>
      </c>
      <c r="F3735" s="16">
        <v>0.01</v>
      </c>
      <c r="G3735" s="15" t="s">
        <v>32</v>
      </c>
      <c r="H3735" s="18">
        <v>-87.46</v>
      </c>
      <c r="I3735" s="19">
        <v>99.23</v>
      </c>
      <c r="J3735" s="19">
        <v>8.99</v>
      </c>
      <c r="K3735" s="19" t="s">
        <v>69</v>
      </c>
      <c r="L3735" s="19" t="s">
        <v>215</v>
      </c>
      <c r="M3735" s="15" t="s">
        <v>2038</v>
      </c>
      <c r="N3735" s="15" t="s">
        <v>54</v>
      </c>
      <c r="O3735" s="15" t="s">
        <v>55</v>
      </c>
      <c r="P3735" s="20" t="s">
        <v>1406</v>
      </c>
      <c r="Q3735" s="15" t="s">
        <v>49</v>
      </c>
      <c r="R3735" s="4"/>
      <c r="S3735" s="4"/>
    </row>
    <row r="3736" spans="1:19" ht="21" customHeight="1" x14ac:dyDescent="0.25">
      <c r="A3736" s="14">
        <f>DATE(2012,12,31)-150</f>
        <v>41124</v>
      </c>
      <c r="B3736" s="15" t="s">
        <v>627</v>
      </c>
      <c r="C3736" s="15" t="s">
        <v>43</v>
      </c>
      <c r="D3736" s="16">
        <v>37</v>
      </c>
      <c r="E3736" s="17">
        <v>270.43</v>
      </c>
      <c r="F3736" s="16">
        <v>7.0000000000000007E-2</v>
      </c>
      <c r="G3736" s="15" t="s">
        <v>32</v>
      </c>
      <c r="H3736" s="18">
        <v>-83.156500000000008</v>
      </c>
      <c r="I3736" s="19">
        <v>7.68</v>
      </c>
      <c r="J3736" s="19">
        <v>6.16</v>
      </c>
      <c r="K3736" s="19" t="s">
        <v>69</v>
      </c>
      <c r="L3736" s="19" t="s">
        <v>215</v>
      </c>
      <c r="M3736" s="15" t="s">
        <v>2038</v>
      </c>
      <c r="N3736" s="15" t="s">
        <v>36</v>
      </c>
      <c r="O3736" s="15" t="s">
        <v>170</v>
      </c>
      <c r="P3736" s="20" t="s">
        <v>1201</v>
      </c>
      <c r="Q3736" s="15" t="s">
        <v>83</v>
      </c>
      <c r="R3736" s="4"/>
      <c r="S3736" s="4"/>
    </row>
    <row r="3737" spans="1:19" ht="21" customHeight="1" x14ac:dyDescent="0.25">
      <c r="A3737" s="14">
        <f>DATE(2012,12,31)-863</f>
        <v>40411</v>
      </c>
      <c r="B3737" s="15" t="s">
        <v>282</v>
      </c>
      <c r="C3737" s="15" t="s">
        <v>85</v>
      </c>
      <c r="D3737" s="16">
        <v>44</v>
      </c>
      <c r="E3737" s="17">
        <v>2094.9779999999996</v>
      </c>
      <c r="F3737" s="16">
        <v>0.06</v>
      </c>
      <c r="G3737" s="15" t="s">
        <v>101</v>
      </c>
      <c r="H3737" s="18">
        <v>697.29300000000001</v>
      </c>
      <c r="I3737" s="19">
        <v>55.99</v>
      </c>
      <c r="J3737" s="19">
        <v>1.25</v>
      </c>
      <c r="K3737" s="19" t="s">
        <v>69</v>
      </c>
      <c r="L3737" s="19" t="s">
        <v>215</v>
      </c>
      <c r="M3737" s="15" t="s">
        <v>2038</v>
      </c>
      <c r="N3737" s="15" t="s">
        <v>64</v>
      </c>
      <c r="O3737" s="15" t="s">
        <v>65</v>
      </c>
      <c r="P3737" s="20" t="s">
        <v>1027</v>
      </c>
      <c r="Q3737" s="15" t="s">
        <v>49</v>
      </c>
      <c r="R3737" s="4"/>
      <c r="S3737" s="4"/>
    </row>
    <row r="3738" spans="1:19" ht="21" customHeight="1" x14ac:dyDescent="0.25">
      <c r="A3738" s="14">
        <f>DATE(2012,12,31)-939</f>
        <v>40335</v>
      </c>
      <c r="B3738" s="15" t="s">
        <v>2094</v>
      </c>
      <c r="C3738" s="15" t="s">
        <v>43</v>
      </c>
      <c r="D3738" s="16">
        <v>43</v>
      </c>
      <c r="E3738" s="17">
        <v>367.11</v>
      </c>
      <c r="F3738" s="16">
        <v>0.01</v>
      </c>
      <c r="G3738" s="15" t="s">
        <v>32</v>
      </c>
      <c r="H3738" s="18">
        <v>163.41999999999999</v>
      </c>
      <c r="I3738" s="19">
        <v>8.34</v>
      </c>
      <c r="J3738" s="19">
        <v>1.43</v>
      </c>
      <c r="K3738" s="19" t="s">
        <v>69</v>
      </c>
      <c r="L3738" s="19" t="s">
        <v>215</v>
      </c>
      <c r="M3738" s="15" t="s">
        <v>2038</v>
      </c>
      <c r="N3738" s="15" t="s">
        <v>36</v>
      </c>
      <c r="O3738" s="15" t="s">
        <v>117</v>
      </c>
      <c r="P3738" s="20" t="s">
        <v>781</v>
      </c>
      <c r="Q3738" s="15" t="s">
        <v>79</v>
      </c>
      <c r="R3738" s="4"/>
      <c r="S3738" s="4"/>
    </row>
    <row r="3739" spans="1:19" ht="21" customHeight="1" x14ac:dyDescent="0.25">
      <c r="A3739" s="14">
        <f>DATE(2012,12,31)-669</f>
        <v>40605</v>
      </c>
      <c r="B3739" s="15" t="s">
        <v>537</v>
      </c>
      <c r="C3739" s="15" t="s">
        <v>31</v>
      </c>
      <c r="D3739" s="16">
        <v>8</v>
      </c>
      <c r="E3739" s="17">
        <v>441.80449999999996</v>
      </c>
      <c r="F3739" s="16">
        <v>0.03</v>
      </c>
      <c r="G3739" s="15" t="s">
        <v>32</v>
      </c>
      <c r="H3739" s="18">
        <v>-201.48699999999999</v>
      </c>
      <c r="I3739" s="19">
        <v>65.989999999999995</v>
      </c>
      <c r="J3739" s="19">
        <v>7.69</v>
      </c>
      <c r="K3739" s="19" t="s">
        <v>44</v>
      </c>
      <c r="L3739" s="19" t="s">
        <v>89</v>
      </c>
      <c r="M3739" s="15" t="s">
        <v>1932</v>
      </c>
      <c r="N3739" s="15" t="s">
        <v>64</v>
      </c>
      <c r="O3739" s="15" t="s">
        <v>65</v>
      </c>
      <c r="P3739" s="20" t="s">
        <v>229</v>
      </c>
      <c r="Q3739" s="15" t="s">
        <v>83</v>
      </c>
      <c r="R3739" s="4"/>
      <c r="S3739" s="4"/>
    </row>
    <row r="3740" spans="1:19" ht="21" customHeight="1" x14ac:dyDescent="0.25">
      <c r="A3740" s="14">
        <f>DATE(2012,12,31)-1424</f>
        <v>39850</v>
      </c>
      <c r="B3740" s="15" t="s">
        <v>651</v>
      </c>
      <c r="C3740" s="15" t="s">
        <v>85</v>
      </c>
      <c r="D3740" s="16">
        <v>2</v>
      </c>
      <c r="E3740" s="17">
        <v>1838.18</v>
      </c>
      <c r="F3740" s="16">
        <v>0.09</v>
      </c>
      <c r="G3740" s="15" t="s">
        <v>32</v>
      </c>
      <c r="H3740" s="18">
        <v>-2531.4825000000001</v>
      </c>
      <c r="I3740" s="19">
        <v>999.99</v>
      </c>
      <c r="J3740" s="19">
        <v>13.99</v>
      </c>
      <c r="K3740" s="19" t="s">
        <v>44</v>
      </c>
      <c r="L3740" s="19" t="s">
        <v>236</v>
      </c>
      <c r="M3740" s="15" t="s">
        <v>2051</v>
      </c>
      <c r="N3740" s="15" t="s">
        <v>64</v>
      </c>
      <c r="O3740" s="15" t="s">
        <v>122</v>
      </c>
      <c r="P3740" s="20" t="s">
        <v>1495</v>
      </c>
      <c r="Q3740" s="15" t="s">
        <v>57</v>
      </c>
      <c r="R3740" s="4"/>
      <c r="S3740" s="4"/>
    </row>
    <row r="3741" spans="1:19" ht="21" customHeight="1" x14ac:dyDescent="0.25">
      <c r="A3741" s="14">
        <f>DATE(2012,12,31)-4</f>
        <v>41270</v>
      </c>
      <c r="B3741" s="15" t="s">
        <v>1898</v>
      </c>
      <c r="C3741" s="15" t="s">
        <v>51</v>
      </c>
      <c r="D3741" s="16">
        <v>37</v>
      </c>
      <c r="E3741" s="17">
        <v>173.11</v>
      </c>
      <c r="F3741" s="16">
        <v>0.02</v>
      </c>
      <c r="G3741" s="15" t="s">
        <v>32</v>
      </c>
      <c r="H3741" s="18">
        <v>-121.58</v>
      </c>
      <c r="I3741" s="19">
        <v>4.37</v>
      </c>
      <c r="J3741" s="19">
        <v>5.15</v>
      </c>
      <c r="K3741" s="19" t="s">
        <v>44</v>
      </c>
      <c r="L3741" s="19" t="s">
        <v>80</v>
      </c>
      <c r="M3741" s="15" t="s">
        <v>2081</v>
      </c>
      <c r="N3741" s="15" t="s">
        <v>36</v>
      </c>
      <c r="O3741" s="15" t="s">
        <v>176</v>
      </c>
      <c r="P3741" s="20" t="s">
        <v>1179</v>
      </c>
      <c r="Q3741" s="15" t="s">
        <v>83</v>
      </c>
      <c r="R3741" s="4"/>
      <c r="S3741" s="4"/>
    </row>
    <row r="3742" spans="1:19" ht="21" customHeight="1" x14ac:dyDescent="0.25">
      <c r="A3742" s="14">
        <f>DATE(2012,12,31)-4</f>
        <v>41270</v>
      </c>
      <c r="B3742" s="15" t="s">
        <v>1898</v>
      </c>
      <c r="C3742" s="15" t="s">
        <v>51</v>
      </c>
      <c r="D3742" s="16">
        <v>11</v>
      </c>
      <c r="E3742" s="17">
        <v>86.68</v>
      </c>
      <c r="F3742" s="16">
        <v>0.08</v>
      </c>
      <c r="G3742" s="15" t="s">
        <v>32</v>
      </c>
      <c r="H3742" s="18">
        <v>-474.91</v>
      </c>
      <c r="I3742" s="19">
        <v>3.48</v>
      </c>
      <c r="J3742" s="19">
        <v>49</v>
      </c>
      <c r="K3742" s="19" t="s">
        <v>44</v>
      </c>
      <c r="L3742" s="19" t="s">
        <v>89</v>
      </c>
      <c r="M3742" s="15" t="s">
        <v>1932</v>
      </c>
      <c r="N3742" s="15" t="s">
        <v>36</v>
      </c>
      <c r="O3742" s="15" t="s">
        <v>176</v>
      </c>
      <c r="P3742" s="20" t="s">
        <v>2101</v>
      </c>
      <c r="Q3742" s="15" t="s">
        <v>39</v>
      </c>
      <c r="R3742" s="4"/>
      <c r="S3742" s="4"/>
    </row>
    <row r="3743" spans="1:19" ht="21" customHeight="1" x14ac:dyDescent="0.25">
      <c r="A3743" s="14">
        <f>DATE(2012,12,31)-4</f>
        <v>41270</v>
      </c>
      <c r="B3743" s="15" t="s">
        <v>1898</v>
      </c>
      <c r="C3743" s="15" t="s">
        <v>51</v>
      </c>
      <c r="D3743" s="16">
        <v>41</v>
      </c>
      <c r="E3743" s="17">
        <v>833.51</v>
      </c>
      <c r="F3743" s="16">
        <v>0.05</v>
      </c>
      <c r="G3743" s="15" t="s">
        <v>32</v>
      </c>
      <c r="H3743" s="18">
        <v>364.99</v>
      </c>
      <c r="I3743" s="19">
        <v>20.98</v>
      </c>
      <c r="J3743" s="19">
        <v>1.49</v>
      </c>
      <c r="K3743" s="19" t="s">
        <v>44</v>
      </c>
      <c r="L3743" s="19" t="s">
        <v>120</v>
      </c>
      <c r="M3743" s="15" t="s">
        <v>2025</v>
      </c>
      <c r="N3743" s="15" t="s">
        <v>36</v>
      </c>
      <c r="O3743" s="15" t="s">
        <v>170</v>
      </c>
      <c r="P3743" s="20" t="s">
        <v>1102</v>
      </c>
      <c r="Q3743" s="15" t="s">
        <v>83</v>
      </c>
      <c r="R3743" s="4"/>
      <c r="S3743" s="4"/>
    </row>
    <row r="3744" spans="1:19" ht="21" customHeight="1" x14ac:dyDescent="0.25">
      <c r="A3744" s="14">
        <f>DATE(2012,12,31)-235</f>
        <v>41039</v>
      </c>
      <c r="B3744" s="15" t="s">
        <v>198</v>
      </c>
      <c r="C3744" s="15" t="s">
        <v>85</v>
      </c>
      <c r="D3744" s="16">
        <v>25</v>
      </c>
      <c r="E3744" s="17">
        <v>767.26</v>
      </c>
      <c r="F3744" s="16">
        <v>7.0000000000000007E-2</v>
      </c>
      <c r="G3744" s="15" t="s">
        <v>32</v>
      </c>
      <c r="H3744" s="18">
        <v>-29.56</v>
      </c>
      <c r="I3744" s="19">
        <v>30.97</v>
      </c>
      <c r="J3744" s="19">
        <v>4</v>
      </c>
      <c r="K3744" s="19" t="s">
        <v>44</v>
      </c>
      <c r="L3744" s="19" t="s">
        <v>45</v>
      </c>
      <c r="M3744" s="15" t="s">
        <v>2053</v>
      </c>
      <c r="N3744" s="15" t="s">
        <v>64</v>
      </c>
      <c r="O3744" s="15" t="s">
        <v>72</v>
      </c>
      <c r="P3744" s="20" t="s">
        <v>924</v>
      </c>
      <c r="Q3744" s="15" t="s">
        <v>83</v>
      </c>
      <c r="R3744" s="4"/>
      <c r="S3744" s="4"/>
    </row>
    <row r="3745" spans="1:19" ht="21" customHeight="1" x14ac:dyDescent="0.25">
      <c r="A3745" s="14">
        <f>DATE(2012,12,31)-235</f>
        <v>41039</v>
      </c>
      <c r="B3745" s="15" t="s">
        <v>198</v>
      </c>
      <c r="C3745" s="15" t="s">
        <v>85</v>
      </c>
      <c r="D3745" s="16">
        <v>40</v>
      </c>
      <c r="E3745" s="17">
        <v>253.89</v>
      </c>
      <c r="F3745" s="16">
        <v>0.09</v>
      </c>
      <c r="G3745" s="15" t="s">
        <v>32</v>
      </c>
      <c r="H3745" s="18">
        <v>-103.77</v>
      </c>
      <c r="I3745" s="19">
        <v>6.48</v>
      </c>
      <c r="J3745" s="19">
        <v>6.22</v>
      </c>
      <c r="K3745" s="19" t="s">
        <v>44</v>
      </c>
      <c r="L3745" s="19" t="s">
        <v>120</v>
      </c>
      <c r="M3745" s="15" t="s">
        <v>2025</v>
      </c>
      <c r="N3745" s="15" t="s">
        <v>36</v>
      </c>
      <c r="O3745" s="15" t="s">
        <v>117</v>
      </c>
      <c r="P3745" s="20" t="s">
        <v>1323</v>
      </c>
      <c r="Q3745" s="15" t="s">
        <v>83</v>
      </c>
      <c r="R3745" s="4"/>
      <c r="S3745" s="4"/>
    </row>
    <row r="3746" spans="1:19" ht="21" customHeight="1" x14ac:dyDescent="0.25">
      <c r="A3746" s="14">
        <f>DATE(2012,12,31)-235</f>
        <v>41039</v>
      </c>
      <c r="B3746" s="15" t="s">
        <v>198</v>
      </c>
      <c r="C3746" s="15" t="s">
        <v>85</v>
      </c>
      <c r="D3746" s="16">
        <v>20</v>
      </c>
      <c r="E3746" s="17">
        <v>127.9</v>
      </c>
      <c r="F3746" s="16">
        <v>7.0000000000000007E-2</v>
      </c>
      <c r="G3746" s="15" t="s">
        <v>32</v>
      </c>
      <c r="H3746" s="18">
        <v>-80.41</v>
      </c>
      <c r="I3746" s="19">
        <v>6.48</v>
      </c>
      <c r="J3746" s="19">
        <v>7.37</v>
      </c>
      <c r="K3746" s="19" t="s">
        <v>44</v>
      </c>
      <c r="L3746" s="19" t="s">
        <v>45</v>
      </c>
      <c r="M3746" s="15" t="s">
        <v>2053</v>
      </c>
      <c r="N3746" s="15" t="s">
        <v>36</v>
      </c>
      <c r="O3746" s="15" t="s">
        <v>117</v>
      </c>
      <c r="P3746" s="20" t="s">
        <v>998</v>
      </c>
      <c r="Q3746" s="15" t="s">
        <v>83</v>
      </c>
      <c r="R3746" s="4"/>
      <c r="S3746" s="4"/>
    </row>
    <row r="3747" spans="1:19" ht="21" customHeight="1" x14ac:dyDescent="0.25">
      <c r="A3747" s="14">
        <f>DATE(2012,12,31)-1318</f>
        <v>39956</v>
      </c>
      <c r="B3747" s="15" t="s">
        <v>1664</v>
      </c>
      <c r="C3747" s="15" t="s">
        <v>43</v>
      </c>
      <c r="D3747" s="16">
        <v>46</v>
      </c>
      <c r="E3747" s="17">
        <v>3519.12</v>
      </c>
      <c r="F3747" s="16">
        <v>0.09</v>
      </c>
      <c r="G3747" s="15" t="s">
        <v>101</v>
      </c>
      <c r="H3747" s="18">
        <v>315.33</v>
      </c>
      <c r="I3747" s="19">
        <v>77.510000000000005</v>
      </c>
      <c r="J3747" s="19">
        <v>4</v>
      </c>
      <c r="K3747" s="19" t="s">
        <v>44</v>
      </c>
      <c r="L3747" s="19" t="s">
        <v>120</v>
      </c>
      <c r="M3747" s="15" t="s">
        <v>2025</v>
      </c>
      <c r="N3747" s="15" t="s">
        <v>64</v>
      </c>
      <c r="O3747" s="15" t="s">
        <v>72</v>
      </c>
      <c r="P3747" s="20" t="s">
        <v>2007</v>
      </c>
      <c r="Q3747" s="15" t="s">
        <v>83</v>
      </c>
      <c r="R3747" s="4"/>
      <c r="S3747" s="4"/>
    </row>
    <row r="3748" spans="1:19" ht="21" customHeight="1" x14ac:dyDescent="0.25">
      <c r="A3748" s="14">
        <f>DATE(2012,12,31)-1318</f>
        <v>39956</v>
      </c>
      <c r="B3748" s="15" t="s">
        <v>1664</v>
      </c>
      <c r="C3748" s="15" t="s">
        <v>43</v>
      </c>
      <c r="D3748" s="16">
        <v>37</v>
      </c>
      <c r="E3748" s="17">
        <v>108.33</v>
      </c>
      <c r="F3748" s="16">
        <v>0</v>
      </c>
      <c r="G3748" s="15" t="s">
        <v>32</v>
      </c>
      <c r="H3748" s="18">
        <v>17</v>
      </c>
      <c r="I3748" s="19">
        <v>2.88</v>
      </c>
      <c r="J3748" s="19">
        <v>0.7</v>
      </c>
      <c r="K3748" s="19" t="s">
        <v>44</v>
      </c>
      <c r="L3748" s="19" t="s">
        <v>45</v>
      </c>
      <c r="M3748" s="15" t="s">
        <v>2053</v>
      </c>
      <c r="N3748" s="15" t="s">
        <v>36</v>
      </c>
      <c r="O3748" s="15" t="s">
        <v>77</v>
      </c>
      <c r="P3748" s="20" t="s">
        <v>95</v>
      </c>
      <c r="Q3748" s="15" t="s">
        <v>79</v>
      </c>
      <c r="R3748" s="4"/>
      <c r="S3748" s="4"/>
    </row>
    <row r="3749" spans="1:19" ht="21" customHeight="1" x14ac:dyDescent="0.25">
      <c r="A3749" s="14">
        <f>DATE(2012,12,31)-341</f>
        <v>40933</v>
      </c>
      <c r="B3749" s="15" t="s">
        <v>900</v>
      </c>
      <c r="C3749" s="15" t="s">
        <v>43</v>
      </c>
      <c r="D3749" s="16">
        <v>30</v>
      </c>
      <c r="E3749" s="17">
        <v>251.11</v>
      </c>
      <c r="F3749" s="16">
        <v>0.03</v>
      </c>
      <c r="G3749" s="15" t="s">
        <v>32</v>
      </c>
      <c r="H3749" s="18">
        <v>10.038500000000001</v>
      </c>
      <c r="I3749" s="19">
        <v>7.84</v>
      </c>
      <c r="J3749" s="19">
        <v>4.71</v>
      </c>
      <c r="K3749" s="19" t="s">
        <v>44</v>
      </c>
      <c r="L3749" s="19" t="s">
        <v>89</v>
      </c>
      <c r="M3749" s="15" t="s">
        <v>1932</v>
      </c>
      <c r="N3749" s="15" t="s">
        <v>36</v>
      </c>
      <c r="O3749" s="15" t="s">
        <v>170</v>
      </c>
      <c r="P3749" s="20" t="s">
        <v>776</v>
      </c>
      <c r="Q3749" s="15" t="s">
        <v>83</v>
      </c>
      <c r="R3749" s="4"/>
      <c r="S3749" s="4"/>
    </row>
    <row r="3750" spans="1:19" ht="21" customHeight="1" x14ac:dyDescent="0.25">
      <c r="A3750" s="14">
        <f>DATE(2012,12,31)-892</f>
        <v>40382</v>
      </c>
      <c r="B3750" s="15" t="s">
        <v>746</v>
      </c>
      <c r="C3750" s="15" t="s">
        <v>85</v>
      </c>
      <c r="D3750" s="16">
        <v>12</v>
      </c>
      <c r="E3750" s="17">
        <v>1466.95</v>
      </c>
      <c r="F3750" s="16">
        <v>0.02</v>
      </c>
      <c r="G3750" s="15" t="s">
        <v>58</v>
      </c>
      <c r="H3750" s="18">
        <v>-64.14</v>
      </c>
      <c r="I3750" s="19">
        <v>120.98</v>
      </c>
      <c r="J3750" s="19">
        <v>30</v>
      </c>
      <c r="K3750" s="19" t="s">
        <v>44</v>
      </c>
      <c r="L3750" s="19" t="s">
        <v>89</v>
      </c>
      <c r="M3750" s="15" t="s">
        <v>1932</v>
      </c>
      <c r="N3750" s="15" t="s">
        <v>54</v>
      </c>
      <c r="O3750" s="15" t="s">
        <v>252</v>
      </c>
      <c r="P3750" s="20" t="s">
        <v>712</v>
      </c>
      <c r="Q3750" s="15" t="s">
        <v>181</v>
      </c>
      <c r="R3750" s="4"/>
      <c r="S3750" s="4"/>
    </row>
    <row r="3751" spans="1:19" ht="21" customHeight="1" x14ac:dyDescent="0.25">
      <c r="A3751" s="14">
        <f>DATE(2012,12,31)-892</f>
        <v>40382</v>
      </c>
      <c r="B3751" s="15" t="s">
        <v>746</v>
      </c>
      <c r="C3751" s="15" t="s">
        <v>85</v>
      </c>
      <c r="D3751" s="16">
        <v>33</v>
      </c>
      <c r="E3751" s="17">
        <v>440.23</v>
      </c>
      <c r="F3751" s="16">
        <v>0.09</v>
      </c>
      <c r="G3751" s="15" t="s">
        <v>32</v>
      </c>
      <c r="H3751" s="18">
        <v>-37.9407</v>
      </c>
      <c r="I3751" s="19">
        <v>13.99</v>
      </c>
      <c r="J3751" s="19">
        <v>7.51</v>
      </c>
      <c r="K3751" s="19" t="s">
        <v>44</v>
      </c>
      <c r="L3751" s="19" t="s">
        <v>89</v>
      </c>
      <c r="M3751" s="15" t="s">
        <v>1932</v>
      </c>
      <c r="N3751" s="15" t="s">
        <v>64</v>
      </c>
      <c r="O3751" s="15" t="s">
        <v>122</v>
      </c>
      <c r="P3751" s="20" t="s">
        <v>370</v>
      </c>
      <c r="Q3751" s="15" t="s">
        <v>57</v>
      </c>
      <c r="R3751" s="4"/>
      <c r="S3751" s="4"/>
    </row>
    <row r="3752" spans="1:19" ht="21" customHeight="1" x14ac:dyDescent="0.25">
      <c r="A3752" s="14">
        <f>DATE(2012,12,31)-999</f>
        <v>40275</v>
      </c>
      <c r="B3752" s="15" t="s">
        <v>861</v>
      </c>
      <c r="C3752" s="15" t="s">
        <v>85</v>
      </c>
      <c r="D3752" s="16">
        <v>29</v>
      </c>
      <c r="E3752" s="17">
        <v>296.94</v>
      </c>
      <c r="F3752" s="16">
        <v>0.08</v>
      </c>
      <c r="G3752" s="15" t="s">
        <v>32</v>
      </c>
      <c r="H3752" s="18">
        <v>-25.41</v>
      </c>
      <c r="I3752" s="19">
        <v>10.98</v>
      </c>
      <c r="J3752" s="19">
        <v>3.99</v>
      </c>
      <c r="K3752" s="19" t="s">
        <v>44</v>
      </c>
      <c r="L3752" s="19" t="s">
        <v>89</v>
      </c>
      <c r="M3752" s="15" t="s">
        <v>1932</v>
      </c>
      <c r="N3752" s="15" t="s">
        <v>36</v>
      </c>
      <c r="O3752" s="15" t="s">
        <v>176</v>
      </c>
      <c r="P3752" s="20" t="s">
        <v>1312</v>
      </c>
      <c r="Q3752" s="15" t="s">
        <v>83</v>
      </c>
      <c r="R3752" s="4"/>
      <c r="S3752" s="4"/>
    </row>
    <row r="3753" spans="1:19" ht="21" customHeight="1" x14ac:dyDescent="0.25">
      <c r="A3753" s="14">
        <f>DATE(2012,12,31)-469</f>
        <v>40805</v>
      </c>
      <c r="B3753" s="15" t="s">
        <v>2013</v>
      </c>
      <c r="C3753" s="15" t="s">
        <v>51</v>
      </c>
      <c r="D3753" s="16">
        <v>25</v>
      </c>
      <c r="E3753" s="17">
        <v>1119.9100000000001</v>
      </c>
      <c r="F3753" s="16">
        <v>0.08</v>
      </c>
      <c r="G3753" s="15" t="s">
        <v>101</v>
      </c>
      <c r="H3753" s="18">
        <v>434.71</v>
      </c>
      <c r="I3753" s="19">
        <v>48.04</v>
      </c>
      <c r="J3753" s="19">
        <v>5.79</v>
      </c>
      <c r="K3753" s="19" t="s">
        <v>44</v>
      </c>
      <c r="L3753" s="19" t="s">
        <v>89</v>
      </c>
      <c r="M3753" s="15" t="s">
        <v>1932</v>
      </c>
      <c r="N3753" s="15" t="s">
        <v>36</v>
      </c>
      <c r="O3753" s="15" t="s">
        <v>117</v>
      </c>
      <c r="P3753" s="20" t="s">
        <v>1984</v>
      </c>
      <c r="Q3753" s="15" t="s">
        <v>83</v>
      </c>
      <c r="R3753" s="4"/>
      <c r="S3753" s="4"/>
    </row>
    <row r="3754" spans="1:19" ht="21" customHeight="1" x14ac:dyDescent="0.25">
      <c r="A3754" s="14">
        <f>DATE(2012,12,31)-612</f>
        <v>40662</v>
      </c>
      <c r="B3754" s="15" t="s">
        <v>288</v>
      </c>
      <c r="C3754" s="15" t="s">
        <v>31</v>
      </c>
      <c r="D3754" s="16">
        <v>45</v>
      </c>
      <c r="E3754" s="17">
        <v>500.48</v>
      </c>
      <c r="F3754" s="16">
        <v>0.08</v>
      </c>
      <c r="G3754" s="15" t="s">
        <v>32</v>
      </c>
      <c r="H3754" s="18">
        <v>-48.2</v>
      </c>
      <c r="I3754" s="19">
        <v>11.29</v>
      </c>
      <c r="J3754" s="19">
        <v>5.03</v>
      </c>
      <c r="K3754" s="19" t="s">
        <v>44</v>
      </c>
      <c r="L3754" s="19" t="s">
        <v>89</v>
      </c>
      <c r="M3754" s="15" t="s">
        <v>1932</v>
      </c>
      <c r="N3754" s="15" t="s">
        <v>36</v>
      </c>
      <c r="O3754" s="15" t="s">
        <v>37</v>
      </c>
      <c r="P3754" s="20" t="s">
        <v>1085</v>
      </c>
      <c r="Q3754" s="15" t="s">
        <v>83</v>
      </c>
      <c r="R3754" s="4"/>
      <c r="S3754" s="4"/>
    </row>
    <row r="3755" spans="1:19" ht="21" customHeight="1" x14ac:dyDescent="0.25">
      <c r="A3755" s="14">
        <f>DATE(2012,12,31)-358</f>
        <v>40916</v>
      </c>
      <c r="B3755" s="15" t="s">
        <v>2102</v>
      </c>
      <c r="C3755" s="15" t="s">
        <v>43</v>
      </c>
      <c r="D3755" s="16">
        <v>23</v>
      </c>
      <c r="E3755" s="17">
        <v>202.84</v>
      </c>
      <c r="F3755" s="16">
        <v>0.05</v>
      </c>
      <c r="G3755" s="15" t="s">
        <v>32</v>
      </c>
      <c r="H3755" s="18">
        <v>-19.481000000000002</v>
      </c>
      <c r="I3755" s="19">
        <v>8.85</v>
      </c>
      <c r="J3755" s="19">
        <v>5.6</v>
      </c>
      <c r="K3755" s="19" t="s">
        <v>44</v>
      </c>
      <c r="L3755" s="19" t="s">
        <v>89</v>
      </c>
      <c r="M3755" s="15" t="s">
        <v>1932</v>
      </c>
      <c r="N3755" s="15" t="s">
        <v>36</v>
      </c>
      <c r="O3755" s="15" t="s">
        <v>170</v>
      </c>
      <c r="P3755" s="20" t="s">
        <v>1218</v>
      </c>
      <c r="Q3755" s="15" t="s">
        <v>83</v>
      </c>
      <c r="R3755" s="4"/>
      <c r="S3755" s="4"/>
    </row>
    <row r="3756" spans="1:19" ht="21" customHeight="1" x14ac:dyDescent="0.25">
      <c r="A3756" s="14">
        <f>DATE(2012,12,31)-358</f>
        <v>40916</v>
      </c>
      <c r="B3756" s="15" t="s">
        <v>2102</v>
      </c>
      <c r="C3756" s="15" t="s">
        <v>43</v>
      </c>
      <c r="D3756" s="16">
        <v>5</v>
      </c>
      <c r="E3756" s="17">
        <v>78.39</v>
      </c>
      <c r="F3756" s="16">
        <v>0.01</v>
      </c>
      <c r="G3756" s="15" t="s">
        <v>101</v>
      </c>
      <c r="H3756" s="18">
        <v>-5.16</v>
      </c>
      <c r="I3756" s="19">
        <v>11.97</v>
      </c>
      <c r="J3756" s="19">
        <v>4.9800000000000004</v>
      </c>
      <c r="K3756" s="19" t="s">
        <v>44</v>
      </c>
      <c r="L3756" s="19" t="s">
        <v>89</v>
      </c>
      <c r="M3756" s="15" t="s">
        <v>1932</v>
      </c>
      <c r="N3756" s="15" t="s">
        <v>36</v>
      </c>
      <c r="O3756" s="15" t="s">
        <v>176</v>
      </c>
      <c r="P3756" s="20" t="s">
        <v>1735</v>
      </c>
      <c r="Q3756" s="15" t="s">
        <v>83</v>
      </c>
      <c r="R3756" s="4"/>
      <c r="S3756" s="4"/>
    </row>
    <row r="3757" spans="1:19" ht="21" customHeight="1" x14ac:dyDescent="0.25">
      <c r="A3757" s="14">
        <f>DATE(2012,12,31)-358</f>
        <v>40916</v>
      </c>
      <c r="B3757" s="15" t="s">
        <v>2102</v>
      </c>
      <c r="C3757" s="15" t="s">
        <v>43</v>
      </c>
      <c r="D3757" s="16">
        <v>36</v>
      </c>
      <c r="E3757" s="17">
        <v>251.34</v>
      </c>
      <c r="F3757" s="16">
        <v>0.1</v>
      </c>
      <c r="G3757" s="15" t="s">
        <v>32</v>
      </c>
      <c r="H3757" s="18">
        <v>-162.196</v>
      </c>
      <c r="I3757" s="19">
        <v>7.3</v>
      </c>
      <c r="J3757" s="19">
        <v>7.72</v>
      </c>
      <c r="K3757" s="19" t="s">
        <v>33</v>
      </c>
      <c r="L3757" s="19" t="s">
        <v>34</v>
      </c>
      <c r="M3757" s="15" t="s">
        <v>2043</v>
      </c>
      <c r="N3757" s="15" t="s">
        <v>36</v>
      </c>
      <c r="O3757" s="15" t="s">
        <v>170</v>
      </c>
      <c r="P3757" s="20" t="s">
        <v>274</v>
      </c>
      <c r="Q3757" s="15" t="s">
        <v>83</v>
      </c>
      <c r="R3757" s="4"/>
      <c r="S3757" s="4"/>
    </row>
    <row r="3758" spans="1:19" ht="21" customHeight="1" x14ac:dyDescent="0.25">
      <c r="A3758" s="14">
        <f>DATE(2012,12,31)-526</f>
        <v>40748</v>
      </c>
      <c r="B3758" s="15" t="s">
        <v>2103</v>
      </c>
      <c r="C3758" s="15" t="s">
        <v>51</v>
      </c>
      <c r="D3758" s="16">
        <v>44</v>
      </c>
      <c r="E3758" s="17">
        <v>73.64</v>
      </c>
      <c r="F3758" s="16">
        <v>7.0000000000000007E-2</v>
      </c>
      <c r="G3758" s="15" t="s">
        <v>32</v>
      </c>
      <c r="H3758" s="18">
        <v>-58.87</v>
      </c>
      <c r="I3758" s="19">
        <v>1.7</v>
      </c>
      <c r="J3758" s="19">
        <v>1.99</v>
      </c>
      <c r="K3758" s="19" t="s">
        <v>33</v>
      </c>
      <c r="L3758" s="19" t="s">
        <v>128</v>
      </c>
      <c r="M3758" s="15" t="s">
        <v>129</v>
      </c>
      <c r="N3758" s="15" t="s">
        <v>64</v>
      </c>
      <c r="O3758" s="15" t="s">
        <v>72</v>
      </c>
      <c r="P3758" s="20" t="s">
        <v>1852</v>
      </c>
      <c r="Q3758" s="15" t="s">
        <v>49</v>
      </c>
      <c r="R3758" s="4"/>
      <c r="S3758" s="4"/>
    </row>
    <row r="3759" spans="1:19" ht="21" customHeight="1" x14ac:dyDescent="0.25">
      <c r="A3759" s="14">
        <f>DATE(2012,12,31)-1031</f>
        <v>40243</v>
      </c>
      <c r="B3759" s="15" t="s">
        <v>359</v>
      </c>
      <c r="C3759" s="15" t="s">
        <v>85</v>
      </c>
      <c r="D3759" s="16">
        <v>2</v>
      </c>
      <c r="E3759" s="17">
        <v>15.81</v>
      </c>
      <c r="F3759" s="16">
        <v>0.06</v>
      </c>
      <c r="G3759" s="15" t="s">
        <v>32</v>
      </c>
      <c r="H3759" s="18">
        <v>-9.8800000000000008</v>
      </c>
      <c r="I3759" s="19">
        <v>4.9800000000000004</v>
      </c>
      <c r="J3759" s="19">
        <v>6.07</v>
      </c>
      <c r="K3759" s="19" t="s">
        <v>97</v>
      </c>
      <c r="L3759" s="19" t="s">
        <v>98</v>
      </c>
      <c r="M3759" s="15" t="s">
        <v>2085</v>
      </c>
      <c r="N3759" s="15" t="s">
        <v>36</v>
      </c>
      <c r="O3759" s="15" t="s">
        <v>117</v>
      </c>
      <c r="P3759" s="20" t="s">
        <v>1506</v>
      </c>
      <c r="Q3759" s="15" t="s">
        <v>83</v>
      </c>
      <c r="R3759" s="4"/>
      <c r="S3759" s="4"/>
    </row>
    <row r="3760" spans="1:19" ht="21" customHeight="1" x14ac:dyDescent="0.25">
      <c r="A3760" s="14">
        <f>DATE(2012,12,31)-202</f>
        <v>41072</v>
      </c>
      <c r="B3760" s="15" t="s">
        <v>1407</v>
      </c>
      <c r="C3760" s="15" t="s">
        <v>31</v>
      </c>
      <c r="D3760" s="16">
        <v>21</v>
      </c>
      <c r="E3760" s="17">
        <v>64.44</v>
      </c>
      <c r="F3760" s="16">
        <v>0</v>
      </c>
      <c r="G3760" s="15" t="s">
        <v>32</v>
      </c>
      <c r="H3760" s="18">
        <v>-89.02</v>
      </c>
      <c r="I3760" s="19">
        <v>2.66</v>
      </c>
      <c r="J3760" s="19">
        <v>6.35</v>
      </c>
      <c r="K3760" s="19" t="s">
        <v>97</v>
      </c>
      <c r="L3760" s="19" t="s">
        <v>132</v>
      </c>
      <c r="M3760" s="15" t="s">
        <v>133</v>
      </c>
      <c r="N3760" s="15" t="s">
        <v>36</v>
      </c>
      <c r="O3760" s="15" t="s">
        <v>189</v>
      </c>
      <c r="P3760" s="20" t="s">
        <v>2104</v>
      </c>
      <c r="Q3760" s="15" t="s">
        <v>83</v>
      </c>
      <c r="R3760" s="4"/>
      <c r="S3760" s="4"/>
    </row>
    <row r="3761" spans="1:19" ht="21" customHeight="1" x14ac:dyDescent="0.25">
      <c r="A3761" s="14">
        <f>DATE(2012,12,31)-1289</f>
        <v>39985</v>
      </c>
      <c r="B3761" s="15" t="s">
        <v>2105</v>
      </c>
      <c r="C3761" s="15" t="s">
        <v>43</v>
      </c>
      <c r="D3761" s="16">
        <v>1</v>
      </c>
      <c r="E3761" s="17">
        <v>34.11</v>
      </c>
      <c r="F3761" s="16">
        <v>0.02</v>
      </c>
      <c r="G3761" s="15" t="s">
        <v>32</v>
      </c>
      <c r="H3761" s="18">
        <v>-12.95</v>
      </c>
      <c r="I3761" s="19">
        <v>25.38</v>
      </c>
      <c r="J3761" s="19">
        <v>8.99</v>
      </c>
      <c r="K3761" s="19" t="s">
        <v>97</v>
      </c>
      <c r="L3761" s="19" t="s">
        <v>98</v>
      </c>
      <c r="M3761" s="15" t="s">
        <v>2085</v>
      </c>
      <c r="N3761" s="15" t="s">
        <v>54</v>
      </c>
      <c r="O3761" s="15" t="s">
        <v>55</v>
      </c>
      <c r="P3761" s="20" t="s">
        <v>947</v>
      </c>
      <c r="Q3761" s="15" t="s">
        <v>49</v>
      </c>
      <c r="R3761" s="4"/>
      <c r="S3761" s="4"/>
    </row>
    <row r="3762" spans="1:19" ht="21" customHeight="1" x14ac:dyDescent="0.25">
      <c r="A3762" s="14">
        <f>DATE(2012,12,31)-1387</f>
        <v>39887</v>
      </c>
      <c r="B3762" s="15" t="s">
        <v>1817</v>
      </c>
      <c r="C3762" s="15" t="s">
        <v>51</v>
      </c>
      <c r="D3762" s="16">
        <v>13</v>
      </c>
      <c r="E3762" s="17">
        <v>396.04</v>
      </c>
      <c r="F3762" s="16">
        <v>0.08</v>
      </c>
      <c r="G3762" s="15" t="s">
        <v>32</v>
      </c>
      <c r="H3762" s="18">
        <v>230.02</v>
      </c>
      <c r="I3762" s="19">
        <v>30.93</v>
      </c>
      <c r="J3762" s="19">
        <v>3.92</v>
      </c>
      <c r="K3762" s="19" t="s">
        <v>44</v>
      </c>
      <c r="L3762" s="19" t="s">
        <v>120</v>
      </c>
      <c r="M3762" s="15" t="s">
        <v>2025</v>
      </c>
      <c r="N3762" s="15" t="s">
        <v>54</v>
      </c>
      <c r="O3762" s="15" t="s">
        <v>55</v>
      </c>
      <c r="P3762" s="20" t="s">
        <v>100</v>
      </c>
      <c r="Q3762" s="15" t="s">
        <v>49</v>
      </c>
      <c r="R3762" s="4"/>
      <c r="S3762" s="4"/>
    </row>
    <row r="3763" spans="1:19" ht="21" customHeight="1" x14ac:dyDescent="0.25">
      <c r="A3763" s="14">
        <f>DATE(2012,12,31)-1248</f>
        <v>40026</v>
      </c>
      <c r="B3763" s="15" t="s">
        <v>1612</v>
      </c>
      <c r="C3763" s="15" t="s">
        <v>31</v>
      </c>
      <c r="D3763" s="16">
        <v>26</v>
      </c>
      <c r="E3763" s="17">
        <v>10692.97</v>
      </c>
      <c r="F3763" s="16">
        <v>0.05</v>
      </c>
      <c r="G3763" s="15" t="s">
        <v>58</v>
      </c>
      <c r="H3763" s="18">
        <v>-410.39</v>
      </c>
      <c r="I3763" s="19">
        <v>424.21</v>
      </c>
      <c r="J3763" s="19">
        <v>110.2</v>
      </c>
      <c r="K3763" s="19" t="s">
        <v>124</v>
      </c>
      <c r="L3763" s="19" t="s">
        <v>160</v>
      </c>
      <c r="M3763" s="15" t="s">
        <v>1951</v>
      </c>
      <c r="N3763" s="15" t="s">
        <v>54</v>
      </c>
      <c r="O3763" s="15" t="s">
        <v>61</v>
      </c>
      <c r="P3763" s="20" t="s">
        <v>2106</v>
      </c>
      <c r="Q3763" s="15" t="s">
        <v>63</v>
      </c>
      <c r="R3763" s="4"/>
      <c r="S3763" s="4"/>
    </row>
    <row r="3764" spans="1:19" ht="21" customHeight="1" x14ac:dyDescent="0.25">
      <c r="A3764" s="14">
        <f>DATE(2012,12,31)-596</f>
        <v>40678</v>
      </c>
      <c r="B3764" s="15" t="s">
        <v>1467</v>
      </c>
      <c r="C3764" s="15" t="s">
        <v>85</v>
      </c>
      <c r="D3764" s="16">
        <v>38</v>
      </c>
      <c r="E3764" s="17">
        <v>1637.78</v>
      </c>
      <c r="F3764" s="16">
        <v>0.08</v>
      </c>
      <c r="G3764" s="15" t="s">
        <v>101</v>
      </c>
      <c r="H3764" s="18">
        <v>461.65</v>
      </c>
      <c r="I3764" s="19">
        <v>42.98</v>
      </c>
      <c r="J3764" s="19">
        <v>4.62</v>
      </c>
      <c r="K3764" s="19" t="s">
        <v>124</v>
      </c>
      <c r="L3764" s="19" t="s">
        <v>160</v>
      </c>
      <c r="M3764" s="15" t="s">
        <v>1951</v>
      </c>
      <c r="N3764" s="15" t="s">
        <v>36</v>
      </c>
      <c r="O3764" s="15" t="s">
        <v>176</v>
      </c>
      <c r="P3764" s="20" t="s">
        <v>1670</v>
      </c>
      <c r="Q3764" s="15" t="s">
        <v>83</v>
      </c>
      <c r="R3764" s="4"/>
      <c r="S3764" s="4"/>
    </row>
    <row r="3765" spans="1:19" ht="21" customHeight="1" x14ac:dyDescent="0.25">
      <c r="A3765" s="14">
        <f>DATE(2012,12,31)-596</f>
        <v>40678</v>
      </c>
      <c r="B3765" s="15" t="s">
        <v>1467</v>
      </c>
      <c r="C3765" s="15" t="s">
        <v>85</v>
      </c>
      <c r="D3765" s="16">
        <v>23</v>
      </c>
      <c r="E3765" s="17">
        <v>193.84</v>
      </c>
      <c r="F3765" s="16">
        <v>7.0000000000000007E-2</v>
      </c>
      <c r="G3765" s="15" t="s">
        <v>101</v>
      </c>
      <c r="H3765" s="18">
        <v>-117.1045</v>
      </c>
      <c r="I3765" s="19">
        <v>8.0399999999999991</v>
      </c>
      <c r="J3765" s="19">
        <v>8.94</v>
      </c>
      <c r="K3765" s="19" t="s">
        <v>124</v>
      </c>
      <c r="L3765" s="19" t="s">
        <v>160</v>
      </c>
      <c r="M3765" s="15" t="s">
        <v>1951</v>
      </c>
      <c r="N3765" s="15" t="s">
        <v>36</v>
      </c>
      <c r="O3765" s="15" t="s">
        <v>170</v>
      </c>
      <c r="P3765" s="20" t="s">
        <v>995</v>
      </c>
      <c r="Q3765" s="15" t="s">
        <v>83</v>
      </c>
      <c r="R3765" s="4"/>
      <c r="S3765" s="4"/>
    </row>
    <row r="3766" spans="1:19" ht="21" customHeight="1" x14ac:dyDescent="0.25">
      <c r="A3766" s="14">
        <f>DATE(2012,12,31)-248</f>
        <v>41026</v>
      </c>
      <c r="B3766" s="15" t="s">
        <v>459</v>
      </c>
      <c r="C3766" s="15" t="s">
        <v>31</v>
      </c>
      <c r="D3766" s="16">
        <v>18</v>
      </c>
      <c r="E3766" s="17">
        <v>3136.2024999999999</v>
      </c>
      <c r="F3766" s="16">
        <v>7.0000000000000007E-2</v>
      </c>
      <c r="G3766" s="15" t="s">
        <v>32</v>
      </c>
      <c r="H3766" s="18">
        <v>439.77599999999995</v>
      </c>
      <c r="I3766" s="19">
        <v>205.99</v>
      </c>
      <c r="J3766" s="19">
        <v>5.26</v>
      </c>
      <c r="K3766" s="19" t="s">
        <v>124</v>
      </c>
      <c r="L3766" s="19" t="s">
        <v>493</v>
      </c>
      <c r="M3766" s="15" t="s">
        <v>2050</v>
      </c>
      <c r="N3766" s="15" t="s">
        <v>64</v>
      </c>
      <c r="O3766" s="15" t="s">
        <v>65</v>
      </c>
      <c r="P3766" s="20" t="s">
        <v>650</v>
      </c>
      <c r="Q3766" s="15" t="s">
        <v>83</v>
      </c>
      <c r="R3766" s="4"/>
      <c r="S3766" s="4"/>
    </row>
    <row r="3767" spans="1:19" ht="21" customHeight="1" x14ac:dyDescent="0.25">
      <c r="A3767" s="14">
        <f>DATE(2012,12,31)-248</f>
        <v>41026</v>
      </c>
      <c r="B3767" s="15" t="s">
        <v>459</v>
      </c>
      <c r="C3767" s="15" t="s">
        <v>31</v>
      </c>
      <c r="D3767" s="16">
        <v>21</v>
      </c>
      <c r="E3767" s="17">
        <v>1090.1099999999999</v>
      </c>
      <c r="F3767" s="16">
        <v>0.08</v>
      </c>
      <c r="G3767" s="15" t="s">
        <v>32</v>
      </c>
      <c r="H3767" s="18">
        <v>55.870000000000054</v>
      </c>
      <c r="I3767" s="19">
        <v>53.98</v>
      </c>
      <c r="J3767" s="19">
        <v>5.5</v>
      </c>
      <c r="K3767" s="19" t="s">
        <v>124</v>
      </c>
      <c r="L3767" s="19" t="s">
        <v>160</v>
      </c>
      <c r="M3767" s="15" t="s">
        <v>1951</v>
      </c>
      <c r="N3767" s="15" t="s">
        <v>64</v>
      </c>
      <c r="O3767" s="15" t="s">
        <v>72</v>
      </c>
      <c r="P3767" s="20" t="s">
        <v>773</v>
      </c>
      <c r="Q3767" s="15" t="s">
        <v>83</v>
      </c>
      <c r="R3767" s="4"/>
      <c r="S3767" s="4"/>
    </row>
    <row r="3768" spans="1:19" ht="21" customHeight="1" x14ac:dyDescent="0.25">
      <c r="A3768" s="14">
        <f>DATE(2012,12,31)-1189</f>
        <v>40085</v>
      </c>
      <c r="B3768" s="15" t="s">
        <v>1281</v>
      </c>
      <c r="C3768" s="15" t="s">
        <v>51</v>
      </c>
      <c r="D3768" s="16">
        <v>11</v>
      </c>
      <c r="E3768" s="17">
        <v>642.91449999999998</v>
      </c>
      <c r="F3768" s="16">
        <v>0.01</v>
      </c>
      <c r="G3768" s="15" t="s">
        <v>32</v>
      </c>
      <c r="H3768" s="18">
        <v>-118.8</v>
      </c>
      <c r="I3768" s="19">
        <v>65.989999999999995</v>
      </c>
      <c r="J3768" s="19">
        <v>8.99</v>
      </c>
      <c r="K3768" s="19" t="s">
        <v>124</v>
      </c>
      <c r="L3768" s="19" t="s">
        <v>493</v>
      </c>
      <c r="M3768" s="15" t="s">
        <v>2050</v>
      </c>
      <c r="N3768" s="15" t="s">
        <v>64</v>
      </c>
      <c r="O3768" s="15" t="s">
        <v>65</v>
      </c>
      <c r="P3768" s="20" t="s">
        <v>2029</v>
      </c>
      <c r="Q3768" s="15" t="s">
        <v>83</v>
      </c>
      <c r="R3768" s="4"/>
      <c r="S3768" s="4"/>
    </row>
    <row r="3769" spans="1:19" ht="21" customHeight="1" x14ac:dyDescent="0.25">
      <c r="A3769" s="14">
        <f>DATE(2012,12,31)-1365</f>
        <v>39909</v>
      </c>
      <c r="B3769" s="15" t="s">
        <v>1407</v>
      </c>
      <c r="C3769" s="15" t="s">
        <v>31</v>
      </c>
      <c r="D3769" s="16">
        <v>16</v>
      </c>
      <c r="E3769" s="17">
        <v>77.959999999999994</v>
      </c>
      <c r="F3769" s="16">
        <v>0.05</v>
      </c>
      <c r="G3769" s="15" t="s">
        <v>32</v>
      </c>
      <c r="H3769" s="18">
        <v>16.649999999999999</v>
      </c>
      <c r="I3769" s="19">
        <v>4.84</v>
      </c>
      <c r="J3769" s="19">
        <v>0.71</v>
      </c>
      <c r="K3769" s="19" t="s">
        <v>124</v>
      </c>
      <c r="L3769" s="19" t="s">
        <v>160</v>
      </c>
      <c r="M3769" s="15" t="s">
        <v>1951</v>
      </c>
      <c r="N3769" s="15" t="s">
        <v>36</v>
      </c>
      <c r="O3769" s="15" t="s">
        <v>77</v>
      </c>
      <c r="P3769" s="20" t="s">
        <v>901</v>
      </c>
      <c r="Q3769" s="15" t="s">
        <v>79</v>
      </c>
      <c r="R3769" s="4"/>
      <c r="S3769" s="4"/>
    </row>
    <row r="3770" spans="1:19" ht="21" customHeight="1" x14ac:dyDescent="0.25">
      <c r="A3770" s="14">
        <f>DATE(2012,12,31)-21</f>
        <v>41253</v>
      </c>
      <c r="B3770" s="15" t="s">
        <v>818</v>
      </c>
      <c r="C3770" s="15" t="s">
        <v>31</v>
      </c>
      <c r="D3770" s="16">
        <v>12</v>
      </c>
      <c r="E3770" s="17">
        <v>3534.56</v>
      </c>
      <c r="F3770" s="16">
        <v>0.03</v>
      </c>
      <c r="G3770" s="15" t="s">
        <v>32</v>
      </c>
      <c r="H3770" s="18">
        <v>763.32</v>
      </c>
      <c r="I3770" s="19">
        <v>300.64999999999998</v>
      </c>
      <c r="J3770" s="19">
        <v>24.49</v>
      </c>
      <c r="K3770" s="19" t="s">
        <v>124</v>
      </c>
      <c r="L3770" s="19" t="s">
        <v>160</v>
      </c>
      <c r="M3770" s="15" t="s">
        <v>1951</v>
      </c>
      <c r="N3770" s="15" t="s">
        <v>36</v>
      </c>
      <c r="O3770" s="15" t="s">
        <v>176</v>
      </c>
      <c r="P3770" s="20" t="s">
        <v>934</v>
      </c>
      <c r="Q3770" s="15" t="s">
        <v>39</v>
      </c>
      <c r="R3770" s="4"/>
      <c r="S3770" s="4"/>
    </row>
    <row r="3771" spans="1:19" ht="21" customHeight="1" x14ac:dyDescent="0.25">
      <c r="A3771" s="14">
        <f>DATE(2012,12,31)-21</f>
        <v>41253</v>
      </c>
      <c r="B3771" s="15" t="s">
        <v>818</v>
      </c>
      <c r="C3771" s="15" t="s">
        <v>31</v>
      </c>
      <c r="D3771" s="16">
        <v>32</v>
      </c>
      <c r="E3771" s="17">
        <v>155.27000000000001</v>
      </c>
      <c r="F3771" s="16">
        <v>0.1</v>
      </c>
      <c r="G3771" s="15" t="s">
        <v>32</v>
      </c>
      <c r="H3771" s="18">
        <v>-151.55000000000001</v>
      </c>
      <c r="I3771" s="19">
        <v>4.9800000000000004</v>
      </c>
      <c r="J3771" s="19">
        <v>7.54</v>
      </c>
      <c r="K3771" s="19" t="s">
        <v>124</v>
      </c>
      <c r="L3771" s="19" t="s">
        <v>158</v>
      </c>
      <c r="M3771" s="15" t="s">
        <v>158</v>
      </c>
      <c r="N3771" s="15" t="s">
        <v>36</v>
      </c>
      <c r="O3771" s="15" t="s">
        <v>117</v>
      </c>
      <c r="P3771" s="20" t="s">
        <v>2107</v>
      </c>
      <c r="Q3771" s="15" t="s">
        <v>83</v>
      </c>
      <c r="R3771" s="4"/>
      <c r="S3771" s="4"/>
    </row>
    <row r="3772" spans="1:19" ht="21" customHeight="1" x14ac:dyDescent="0.25">
      <c r="A3772" s="14">
        <f>DATE(2012,12,31)-1150</f>
        <v>40124</v>
      </c>
      <c r="B3772" s="15" t="s">
        <v>1351</v>
      </c>
      <c r="C3772" s="15" t="s">
        <v>85</v>
      </c>
      <c r="D3772" s="16">
        <v>6</v>
      </c>
      <c r="E3772" s="17">
        <v>453.87</v>
      </c>
      <c r="F3772" s="16">
        <v>0.02</v>
      </c>
      <c r="G3772" s="15" t="s">
        <v>32</v>
      </c>
      <c r="H3772" s="18">
        <v>-217.69</v>
      </c>
      <c r="I3772" s="19">
        <v>73.98</v>
      </c>
      <c r="J3772" s="19">
        <v>14.52</v>
      </c>
      <c r="K3772" s="19" t="s">
        <v>124</v>
      </c>
      <c r="L3772" s="19" t="s">
        <v>168</v>
      </c>
      <c r="M3772" s="15" t="s">
        <v>2065</v>
      </c>
      <c r="N3772" s="15" t="s">
        <v>64</v>
      </c>
      <c r="O3772" s="15" t="s">
        <v>72</v>
      </c>
      <c r="P3772" s="20" t="s">
        <v>842</v>
      </c>
      <c r="Q3772" s="15" t="s">
        <v>83</v>
      </c>
      <c r="R3772" s="4"/>
      <c r="S3772" s="4"/>
    </row>
    <row r="3773" spans="1:19" ht="21" customHeight="1" x14ac:dyDescent="0.25">
      <c r="A3773" s="14">
        <f>DATE(2012,12,31)-1425</f>
        <v>39849</v>
      </c>
      <c r="B3773" s="15" t="s">
        <v>818</v>
      </c>
      <c r="C3773" s="15" t="s">
        <v>85</v>
      </c>
      <c r="D3773" s="16">
        <v>29</v>
      </c>
      <c r="E3773" s="17">
        <v>221.33</v>
      </c>
      <c r="F3773" s="16">
        <v>0</v>
      </c>
      <c r="G3773" s="15" t="s">
        <v>32</v>
      </c>
      <c r="H3773" s="18">
        <v>77.33</v>
      </c>
      <c r="I3773" s="19">
        <v>7.28</v>
      </c>
      <c r="J3773" s="19">
        <v>1.77</v>
      </c>
      <c r="K3773" s="19" t="s">
        <v>124</v>
      </c>
      <c r="L3773" s="19" t="s">
        <v>319</v>
      </c>
      <c r="M3773" s="15" t="s">
        <v>2098</v>
      </c>
      <c r="N3773" s="15" t="s">
        <v>36</v>
      </c>
      <c r="O3773" s="15" t="s">
        <v>117</v>
      </c>
      <c r="P3773" s="20" t="s">
        <v>1602</v>
      </c>
      <c r="Q3773" s="15" t="s">
        <v>79</v>
      </c>
      <c r="R3773" s="4"/>
      <c r="S3773" s="4"/>
    </row>
    <row r="3774" spans="1:19" ht="21" customHeight="1" x14ac:dyDescent="0.25">
      <c r="A3774" s="14">
        <f>DATE(2012,12,31)-941</f>
        <v>40333</v>
      </c>
      <c r="B3774" s="15" t="s">
        <v>929</v>
      </c>
      <c r="C3774" s="15" t="s">
        <v>51</v>
      </c>
      <c r="D3774" s="16">
        <v>4</v>
      </c>
      <c r="E3774" s="17">
        <v>467.15</v>
      </c>
      <c r="F3774" s="16">
        <v>0.01</v>
      </c>
      <c r="G3774" s="15" t="s">
        <v>58</v>
      </c>
      <c r="H3774" s="18">
        <v>-212.34</v>
      </c>
      <c r="I3774" s="19">
        <v>100.8</v>
      </c>
      <c r="J3774" s="19">
        <v>60</v>
      </c>
      <c r="K3774" s="19" t="s">
        <v>124</v>
      </c>
      <c r="L3774" s="19" t="s">
        <v>158</v>
      </c>
      <c r="M3774" s="15" t="s">
        <v>158</v>
      </c>
      <c r="N3774" s="15" t="s">
        <v>54</v>
      </c>
      <c r="O3774" s="15" t="s">
        <v>61</v>
      </c>
      <c r="P3774" s="20" t="s">
        <v>408</v>
      </c>
      <c r="Q3774" s="15" t="s">
        <v>181</v>
      </c>
      <c r="R3774" s="4"/>
      <c r="S3774" s="4"/>
    </row>
    <row r="3775" spans="1:19" ht="21" customHeight="1" x14ac:dyDescent="0.25">
      <c r="A3775" s="14">
        <f>DATE(2012,12,31)-405</f>
        <v>40869</v>
      </c>
      <c r="B3775" s="15" t="s">
        <v>764</v>
      </c>
      <c r="C3775" s="15" t="s">
        <v>51</v>
      </c>
      <c r="D3775" s="16">
        <v>21</v>
      </c>
      <c r="E3775" s="17">
        <v>203.55</v>
      </c>
      <c r="F3775" s="16">
        <v>0.03</v>
      </c>
      <c r="G3775" s="15" t="s">
        <v>101</v>
      </c>
      <c r="H3775" s="18">
        <v>38.6</v>
      </c>
      <c r="I3775" s="19">
        <v>9.11</v>
      </c>
      <c r="J3775" s="19">
        <v>2.25</v>
      </c>
      <c r="K3775" s="19" t="s">
        <v>44</v>
      </c>
      <c r="L3775" s="19" t="s">
        <v>52</v>
      </c>
      <c r="M3775" s="15" t="s">
        <v>2068</v>
      </c>
      <c r="N3775" s="15" t="s">
        <v>36</v>
      </c>
      <c r="O3775" s="15" t="s">
        <v>77</v>
      </c>
      <c r="P3775" s="20" t="s">
        <v>78</v>
      </c>
      <c r="Q3775" s="15" t="s">
        <v>79</v>
      </c>
      <c r="R3775" s="4"/>
      <c r="S3775" s="4"/>
    </row>
    <row r="3776" spans="1:19" ht="21" customHeight="1" x14ac:dyDescent="0.25">
      <c r="A3776" s="14">
        <f>DATE(2012,12,31)-405</f>
        <v>40869</v>
      </c>
      <c r="B3776" s="15" t="s">
        <v>764</v>
      </c>
      <c r="C3776" s="15" t="s">
        <v>51</v>
      </c>
      <c r="D3776" s="16">
        <v>38</v>
      </c>
      <c r="E3776" s="17">
        <v>273.89</v>
      </c>
      <c r="F3776" s="16">
        <v>0.05</v>
      </c>
      <c r="G3776" s="15" t="s">
        <v>32</v>
      </c>
      <c r="H3776" s="18">
        <v>-160.40199999999999</v>
      </c>
      <c r="I3776" s="19">
        <v>7.3</v>
      </c>
      <c r="J3776" s="19">
        <v>7.72</v>
      </c>
      <c r="K3776" s="19" t="s">
        <v>44</v>
      </c>
      <c r="L3776" s="19" t="s">
        <v>236</v>
      </c>
      <c r="M3776" s="15" t="s">
        <v>2051</v>
      </c>
      <c r="N3776" s="15" t="s">
        <v>36</v>
      </c>
      <c r="O3776" s="15" t="s">
        <v>170</v>
      </c>
      <c r="P3776" s="20" t="s">
        <v>274</v>
      </c>
      <c r="Q3776" s="15" t="s">
        <v>83</v>
      </c>
      <c r="R3776" s="4"/>
      <c r="S3776" s="4"/>
    </row>
    <row r="3777" spans="1:19" ht="21" customHeight="1" x14ac:dyDescent="0.25">
      <c r="A3777" s="14">
        <f>DATE(2012,12,31)-1234</f>
        <v>40040</v>
      </c>
      <c r="B3777" s="15" t="s">
        <v>1525</v>
      </c>
      <c r="C3777" s="15" t="s">
        <v>85</v>
      </c>
      <c r="D3777" s="16">
        <v>48</v>
      </c>
      <c r="E3777" s="17">
        <v>460.69</v>
      </c>
      <c r="F3777" s="16">
        <v>0.06</v>
      </c>
      <c r="G3777" s="15" t="s">
        <v>32</v>
      </c>
      <c r="H3777" s="18">
        <v>-103.48</v>
      </c>
      <c r="I3777" s="19">
        <v>9.48</v>
      </c>
      <c r="J3777" s="19">
        <v>7.29</v>
      </c>
      <c r="K3777" s="19" t="s">
        <v>44</v>
      </c>
      <c r="L3777" s="19" t="s">
        <v>52</v>
      </c>
      <c r="M3777" s="15" t="s">
        <v>2068</v>
      </c>
      <c r="N3777" s="15" t="s">
        <v>54</v>
      </c>
      <c r="O3777" s="15" t="s">
        <v>55</v>
      </c>
      <c r="P3777" s="20" t="s">
        <v>798</v>
      </c>
      <c r="Q3777" s="15" t="s">
        <v>49</v>
      </c>
      <c r="R3777" s="4"/>
      <c r="S3777" s="4"/>
    </row>
    <row r="3778" spans="1:19" ht="21" customHeight="1" x14ac:dyDescent="0.25">
      <c r="A3778" s="14">
        <f>DATE(2012,12,31)-998</f>
        <v>40276</v>
      </c>
      <c r="B3778" s="15" t="s">
        <v>2108</v>
      </c>
      <c r="C3778" s="15" t="s">
        <v>43</v>
      </c>
      <c r="D3778" s="16">
        <v>3</v>
      </c>
      <c r="E3778" s="17">
        <v>451.81</v>
      </c>
      <c r="F3778" s="16">
        <v>0.05</v>
      </c>
      <c r="G3778" s="15" t="s">
        <v>32</v>
      </c>
      <c r="H3778" s="18">
        <v>-318.59399999999999</v>
      </c>
      <c r="I3778" s="19">
        <v>150.97999999999999</v>
      </c>
      <c r="J3778" s="19">
        <v>13.99</v>
      </c>
      <c r="K3778" s="19" t="s">
        <v>44</v>
      </c>
      <c r="L3778" s="19" t="s">
        <v>52</v>
      </c>
      <c r="M3778" s="15" t="s">
        <v>2068</v>
      </c>
      <c r="N3778" s="15" t="s">
        <v>64</v>
      </c>
      <c r="O3778" s="15" t="s">
        <v>122</v>
      </c>
      <c r="P3778" s="20" t="s">
        <v>123</v>
      </c>
      <c r="Q3778" s="15" t="s">
        <v>57</v>
      </c>
      <c r="R3778" s="4"/>
      <c r="S3778" s="4"/>
    </row>
    <row r="3779" spans="1:19" ht="21" customHeight="1" x14ac:dyDescent="0.25">
      <c r="A3779" s="14">
        <f>DATE(2012,12,31)-591</f>
        <v>40683</v>
      </c>
      <c r="B3779" s="15" t="s">
        <v>396</v>
      </c>
      <c r="C3779" s="15" t="s">
        <v>43</v>
      </c>
      <c r="D3779" s="16">
        <v>44</v>
      </c>
      <c r="E3779" s="17">
        <v>729.75</v>
      </c>
      <c r="F3779" s="16">
        <v>0.02</v>
      </c>
      <c r="G3779" s="15" t="s">
        <v>32</v>
      </c>
      <c r="H3779" s="18">
        <v>375.25</v>
      </c>
      <c r="I3779" s="19">
        <v>15.67</v>
      </c>
      <c r="J3779" s="19">
        <v>1.39</v>
      </c>
      <c r="K3779" s="19" t="s">
        <v>44</v>
      </c>
      <c r="L3779" s="19" t="s">
        <v>236</v>
      </c>
      <c r="M3779" s="15" t="s">
        <v>2051</v>
      </c>
      <c r="N3779" s="15" t="s">
        <v>36</v>
      </c>
      <c r="O3779" s="15" t="s">
        <v>189</v>
      </c>
      <c r="P3779" s="20" t="s">
        <v>967</v>
      </c>
      <c r="Q3779" s="15" t="s">
        <v>83</v>
      </c>
      <c r="R3779" s="4"/>
      <c r="S3779" s="4"/>
    </row>
    <row r="3780" spans="1:19" ht="21" customHeight="1" x14ac:dyDescent="0.25">
      <c r="A3780" s="14">
        <f>DATE(2012,12,31)-591</f>
        <v>40683</v>
      </c>
      <c r="B3780" s="15" t="s">
        <v>396</v>
      </c>
      <c r="C3780" s="15" t="s">
        <v>43</v>
      </c>
      <c r="D3780" s="16">
        <v>28</v>
      </c>
      <c r="E3780" s="17">
        <v>1417.21</v>
      </c>
      <c r="F3780" s="16">
        <v>7.0000000000000007E-2</v>
      </c>
      <c r="G3780" s="15" t="s">
        <v>32</v>
      </c>
      <c r="H3780" s="18">
        <v>63.88</v>
      </c>
      <c r="I3780" s="19">
        <v>51.65</v>
      </c>
      <c r="J3780" s="19">
        <v>18.45</v>
      </c>
      <c r="K3780" s="19" t="s">
        <v>44</v>
      </c>
      <c r="L3780" s="19" t="s">
        <v>236</v>
      </c>
      <c r="M3780" s="15" t="s">
        <v>2051</v>
      </c>
      <c r="N3780" s="15" t="s">
        <v>54</v>
      </c>
      <c r="O3780" s="15" t="s">
        <v>55</v>
      </c>
      <c r="P3780" s="20" t="s">
        <v>1209</v>
      </c>
      <c r="Q3780" s="15" t="s">
        <v>57</v>
      </c>
      <c r="R3780" s="4"/>
      <c r="S3780" s="4"/>
    </row>
    <row r="3781" spans="1:19" ht="21" customHeight="1" x14ac:dyDescent="0.25">
      <c r="A3781" s="14">
        <f>DATE(2012,12,31)-591</f>
        <v>40683</v>
      </c>
      <c r="B3781" s="15" t="s">
        <v>396</v>
      </c>
      <c r="C3781" s="15" t="s">
        <v>43</v>
      </c>
      <c r="D3781" s="16">
        <v>11</v>
      </c>
      <c r="E3781" s="17">
        <v>1154.9375</v>
      </c>
      <c r="F3781" s="16">
        <v>0.04</v>
      </c>
      <c r="G3781" s="15" t="s">
        <v>101</v>
      </c>
      <c r="H3781" s="18">
        <v>-176.05500000000001</v>
      </c>
      <c r="I3781" s="19">
        <v>125.99</v>
      </c>
      <c r="J3781" s="19">
        <v>8.99</v>
      </c>
      <c r="K3781" s="19" t="s">
        <v>44</v>
      </c>
      <c r="L3781" s="19" t="s">
        <v>52</v>
      </c>
      <c r="M3781" s="15" t="s">
        <v>2068</v>
      </c>
      <c r="N3781" s="15" t="s">
        <v>64</v>
      </c>
      <c r="O3781" s="15" t="s">
        <v>65</v>
      </c>
      <c r="P3781" s="20" t="s">
        <v>1679</v>
      </c>
      <c r="Q3781" s="15" t="s">
        <v>83</v>
      </c>
      <c r="R3781" s="4"/>
      <c r="S3781" s="4"/>
    </row>
    <row r="3782" spans="1:19" ht="21" customHeight="1" x14ac:dyDescent="0.25">
      <c r="A3782" s="14">
        <f>DATE(2012,12,31)-920</f>
        <v>40354</v>
      </c>
      <c r="B3782" s="15" t="s">
        <v>1952</v>
      </c>
      <c r="C3782" s="15" t="s">
        <v>85</v>
      </c>
      <c r="D3782" s="16">
        <v>46</v>
      </c>
      <c r="E3782" s="17">
        <v>27875.54</v>
      </c>
      <c r="F3782" s="16">
        <v>0</v>
      </c>
      <c r="G3782" s="15" t="s">
        <v>32</v>
      </c>
      <c r="H3782" s="18">
        <v>-635.69000000000005</v>
      </c>
      <c r="I3782" s="19">
        <v>599.99</v>
      </c>
      <c r="J3782" s="19">
        <v>24.49</v>
      </c>
      <c r="K3782" s="19" t="s">
        <v>44</v>
      </c>
      <c r="L3782" s="19" t="s">
        <v>52</v>
      </c>
      <c r="M3782" s="15" t="s">
        <v>2068</v>
      </c>
      <c r="N3782" s="15" t="s">
        <v>64</v>
      </c>
      <c r="O3782" s="15" t="s">
        <v>460</v>
      </c>
      <c r="P3782" s="20" t="s">
        <v>1779</v>
      </c>
      <c r="Q3782" s="15" t="s">
        <v>39</v>
      </c>
      <c r="R3782" s="4"/>
      <c r="S3782" s="4"/>
    </row>
    <row r="3783" spans="1:19" ht="21" customHeight="1" x14ac:dyDescent="0.25">
      <c r="A3783" s="14">
        <f>DATE(2012,12,31)-920</f>
        <v>40354</v>
      </c>
      <c r="B3783" s="15" t="s">
        <v>1952</v>
      </c>
      <c r="C3783" s="15" t="s">
        <v>85</v>
      </c>
      <c r="D3783" s="16">
        <v>49</v>
      </c>
      <c r="E3783" s="17">
        <v>2030.44</v>
      </c>
      <c r="F3783" s="16">
        <v>0.04</v>
      </c>
      <c r="G3783" s="15" t="s">
        <v>32</v>
      </c>
      <c r="H3783" s="18">
        <v>938.26</v>
      </c>
      <c r="I3783" s="19">
        <v>40.99</v>
      </c>
      <c r="J3783" s="19">
        <v>5.86</v>
      </c>
      <c r="K3783" s="19" t="s">
        <v>44</v>
      </c>
      <c r="L3783" s="19" t="s">
        <v>52</v>
      </c>
      <c r="M3783" s="15" t="s">
        <v>2068</v>
      </c>
      <c r="N3783" s="15" t="s">
        <v>36</v>
      </c>
      <c r="O3783" s="15" t="s">
        <v>117</v>
      </c>
      <c r="P3783" s="20" t="s">
        <v>1960</v>
      </c>
      <c r="Q3783" s="15" t="s">
        <v>83</v>
      </c>
      <c r="R3783" s="4"/>
      <c r="S3783" s="4"/>
    </row>
    <row r="3784" spans="1:19" ht="21" customHeight="1" x14ac:dyDescent="0.25">
      <c r="A3784" s="14">
        <f>DATE(2012,12,31)-920</f>
        <v>40354</v>
      </c>
      <c r="B3784" s="15" t="s">
        <v>1952</v>
      </c>
      <c r="C3784" s="15" t="s">
        <v>85</v>
      </c>
      <c r="D3784" s="16">
        <v>47</v>
      </c>
      <c r="E3784" s="17">
        <v>695.99</v>
      </c>
      <c r="F3784" s="16">
        <v>0.09</v>
      </c>
      <c r="G3784" s="15" t="s">
        <v>101</v>
      </c>
      <c r="H3784" s="18">
        <v>-157.44</v>
      </c>
      <c r="I3784" s="19">
        <v>15.31</v>
      </c>
      <c r="J3784" s="19">
        <v>8.7799999999999994</v>
      </c>
      <c r="K3784" s="19" t="s">
        <v>44</v>
      </c>
      <c r="L3784" s="19" t="s">
        <v>52</v>
      </c>
      <c r="M3784" s="15" t="s">
        <v>2068</v>
      </c>
      <c r="N3784" s="15" t="s">
        <v>36</v>
      </c>
      <c r="O3784" s="15" t="s">
        <v>37</v>
      </c>
      <c r="P3784" s="20" t="s">
        <v>1079</v>
      </c>
      <c r="Q3784" s="15" t="s">
        <v>83</v>
      </c>
      <c r="R3784" s="4"/>
      <c r="S3784" s="4"/>
    </row>
    <row r="3785" spans="1:19" ht="21" customHeight="1" x14ac:dyDescent="0.25">
      <c r="A3785" s="14">
        <f>DATE(2012,12,31)-920</f>
        <v>40354</v>
      </c>
      <c r="B3785" s="15" t="s">
        <v>1952</v>
      </c>
      <c r="C3785" s="15" t="s">
        <v>85</v>
      </c>
      <c r="D3785" s="16">
        <v>2</v>
      </c>
      <c r="E3785" s="17">
        <v>48.84</v>
      </c>
      <c r="F3785" s="16">
        <v>0.01</v>
      </c>
      <c r="G3785" s="15" t="s">
        <v>32</v>
      </c>
      <c r="H3785" s="18">
        <v>-21.2</v>
      </c>
      <c r="I3785" s="19">
        <v>18.97</v>
      </c>
      <c r="J3785" s="19">
        <v>9.0299999999999994</v>
      </c>
      <c r="K3785" s="19" t="s">
        <v>44</v>
      </c>
      <c r="L3785" s="19" t="s">
        <v>52</v>
      </c>
      <c r="M3785" s="15" t="s">
        <v>2068</v>
      </c>
      <c r="N3785" s="15" t="s">
        <v>36</v>
      </c>
      <c r="O3785" s="15" t="s">
        <v>117</v>
      </c>
      <c r="P3785" s="20" t="s">
        <v>127</v>
      </c>
      <c r="Q3785" s="15" t="s">
        <v>83</v>
      </c>
      <c r="R3785" s="4"/>
      <c r="S3785" s="4"/>
    </row>
    <row r="3786" spans="1:19" ht="21" customHeight="1" x14ac:dyDescent="0.25">
      <c r="A3786" s="14">
        <f>DATE(2012,12,31)-278</f>
        <v>40996</v>
      </c>
      <c r="B3786" s="15" t="s">
        <v>1291</v>
      </c>
      <c r="C3786" s="15" t="s">
        <v>85</v>
      </c>
      <c r="D3786" s="16">
        <v>43</v>
      </c>
      <c r="E3786" s="17">
        <v>337.01</v>
      </c>
      <c r="F3786" s="16">
        <v>0.05</v>
      </c>
      <c r="G3786" s="15" t="s">
        <v>32</v>
      </c>
      <c r="H3786" s="18">
        <v>147.19999999999999</v>
      </c>
      <c r="I3786" s="19">
        <v>7.98</v>
      </c>
      <c r="J3786" s="19">
        <v>1.25</v>
      </c>
      <c r="K3786" s="19" t="s">
        <v>44</v>
      </c>
      <c r="L3786" s="19" t="s">
        <v>52</v>
      </c>
      <c r="M3786" s="15" t="s">
        <v>2068</v>
      </c>
      <c r="N3786" s="15" t="s">
        <v>36</v>
      </c>
      <c r="O3786" s="15" t="s">
        <v>117</v>
      </c>
      <c r="P3786" s="20" t="s">
        <v>2109</v>
      </c>
      <c r="Q3786" s="15" t="s">
        <v>79</v>
      </c>
      <c r="R3786" s="4"/>
      <c r="S3786" s="4"/>
    </row>
    <row r="3787" spans="1:19" ht="21" customHeight="1" x14ac:dyDescent="0.25">
      <c r="A3787" s="14">
        <f>DATE(2012,12,31)-278</f>
        <v>40996</v>
      </c>
      <c r="B3787" s="15" t="s">
        <v>1291</v>
      </c>
      <c r="C3787" s="15" t="s">
        <v>85</v>
      </c>
      <c r="D3787" s="16">
        <v>50</v>
      </c>
      <c r="E3787" s="17">
        <v>6093.2420000000002</v>
      </c>
      <c r="F3787" s="16">
        <v>0.09</v>
      </c>
      <c r="G3787" s="15" t="s">
        <v>32</v>
      </c>
      <c r="H3787" s="18">
        <v>1174.3829999999998</v>
      </c>
      <c r="I3787" s="19">
        <v>155.99</v>
      </c>
      <c r="J3787" s="19">
        <v>8.08</v>
      </c>
      <c r="K3787" s="19" t="s">
        <v>44</v>
      </c>
      <c r="L3787" s="19" t="s">
        <v>52</v>
      </c>
      <c r="M3787" s="15" t="s">
        <v>2068</v>
      </c>
      <c r="N3787" s="15" t="s">
        <v>64</v>
      </c>
      <c r="O3787" s="15" t="s">
        <v>65</v>
      </c>
      <c r="P3787" s="20" t="s">
        <v>199</v>
      </c>
      <c r="Q3787" s="15" t="s">
        <v>83</v>
      </c>
      <c r="R3787" s="4"/>
      <c r="S3787" s="4"/>
    </row>
    <row r="3788" spans="1:19" ht="21" customHeight="1" x14ac:dyDescent="0.25">
      <c r="A3788" s="14">
        <f>DATE(2012,12,31)-123</f>
        <v>41151</v>
      </c>
      <c r="B3788" s="15" t="s">
        <v>1432</v>
      </c>
      <c r="C3788" s="15" t="s">
        <v>85</v>
      </c>
      <c r="D3788" s="16">
        <v>13</v>
      </c>
      <c r="E3788" s="17">
        <v>603.34699999999998</v>
      </c>
      <c r="F3788" s="16">
        <v>0.08</v>
      </c>
      <c r="G3788" s="15" t="s">
        <v>32</v>
      </c>
      <c r="H3788" s="18">
        <v>142.983</v>
      </c>
      <c r="I3788" s="19">
        <v>55.99</v>
      </c>
      <c r="J3788" s="19">
        <v>1.25</v>
      </c>
      <c r="K3788" s="19" t="s">
        <v>44</v>
      </c>
      <c r="L3788" s="19" t="s">
        <v>52</v>
      </c>
      <c r="M3788" s="15" t="s">
        <v>2068</v>
      </c>
      <c r="N3788" s="15" t="s">
        <v>64</v>
      </c>
      <c r="O3788" s="15" t="s">
        <v>65</v>
      </c>
      <c r="P3788" s="20" t="s">
        <v>815</v>
      </c>
      <c r="Q3788" s="15" t="s">
        <v>49</v>
      </c>
      <c r="R3788" s="4"/>
      <c r="S3788" s="4"/>
    </row>
    <row r="3789" spans="1:19" ht="21" customHeight="1" x14ac:dyDescent="0.25">
      <c r="A3789" s="14">
        <f>DATE(2012,12,31)-123</f>
        <v>41151</v>
      </c>
      <c r="B3789" s="15" t="s">
        <v>1432</v>
      </c>
      <c r="C3789" s="15" t="s">
        <v>85</v>
      </c>
      <c r="D3789" s="16">
        <v>44</v>
      </c>
      <c r="E3789" s="17">
        <v>770.53</v>
      </c>
      <c r="F3789" s="16">
        <v>0.04</v>
      </c>
      <c r="G3789" s="15" t="s">
        <v>32</v>
      </c>
      <c r="H3789" s="18">
        <v>30.17</v>
      </c>
      <c r="I3789" s="19">
        <v>16.91</v>
      </c>
      <c r="J3789" s="19">
        <v>6.25</v>
      </c>
      <c r="K3789" s="19" t="s">
        <v>44</v>
      </c>
      <c r="L3789" s="19" t="s">
        <v>52</v>
      </c>
      <c r="M3789" s="15" t="s">
        <v>2068</v>
      </c>
      <c r="N3789" s="15" t="s">
        <v>36</v>
      </c>
      <c r="O3789" s="15" t="s">
        <v>37</v>
      </c>
      <c r="P3789" s="20" t="s">
        <v>1586</v>
      </c>
      <c r="Q3789" s="15" t="s">
        <v>83</v>
      </c>
      <c r="R3789" s="4"/>
      <c r="S3789" s="4"/>
    </row>
    <row r="3790" spans="1:19" ht="21" customHeight="1" x14ac:dyDescent="0.25">
      <c r="A3790" s="14">
        <f>DATE(2012,12,31)-247</f>
        <v>41027</v>
      </c>
      <c r="B3790" s="15" t="s">
        <v>970</v>
      </c>
      <c r="C3790" s="15" t="s">
        <v>43</v>
      </c>
      <c r="D3790" s="16">
        <v>37</v>
      </c>
      <c r="E3790" s="17">
        <v>1984.61</v>
      </c>
      <c r="F3790" s="16">
        <v>0.05</v>
      </c>
      <c r="G3790" s="15" t="s">
        <v>101</v>
      </c>
      <c r="H3790" s="18">
        <v>585.03</v>
      </c>
      <c r="I3790" s="19">
        <v>55.48</v>
      </c>
      <c r="J3790" s="19">
        <v>14.3</v>
      </c>
      <c r="K3790" s="19" t="s">
        <v>44</v>
      </c>
      <c r="L3790" s="19" t="s">
        <v>80</v>
      </c>
      <c r="M3790" s="15" t="s">
        <v>2081</v>
      </c>
      <c r="N3790" s="15" t="s">
        <v>36</v>
      </c>
      <c r="O3790" s="15" t="s">
        <v>117</v>
      </c>
      <c r="P3790" s="20" t="s">
        <v>402</v>
      </c>
      <c r="Q3790" s="15" t="s">
        <v>83</v>
      </c>
      <c r="R3790" s="4"/>
      <c r="S3790" s="4"/>
    </row>
    <row r="3791" spans="1:19" ht="21" customHeight="1" x14ac:dyDescent="0.25">
      <c r="A3791" s="14">
        <f>DATE(2012,12,31)-732</f>
        <v>40542</v>
      </c>
      <c r="B3791" s="15" t="s">
        <v>138</v>
      </c>
      <c r="C3791" s="15" t="s">
        <v>85</v>
      </c>
      <c r="D3791" s="16">
        <v>5</v>
      </c>
      <c r="E3791" s="17">
        <v>53.66</v>
      </c>
      <c r="F3791" s="16">
        <v>0.09</v>
      </c>
      <c r="G3791" s="15" t="s">
        <v>32</v>
      </c>
      <c r="H3791" s="18">
        <v>5.69</v>
      </c>
      <c r="I3791" s="19">
        <v>10.94</v>
      </c>
      <c r="J3791" s="19">
        <v>1.39</v>
      </c>
      <c r="K3791" s="19" t="s">
        <v>44</v>
      </c>
      <c r="L3791" s="19" t="s">
        <v>52</v>
      </c>
      <c r="M3791" s="15" t="s">
        <v>2068</v>
      </c>
      <c r="N3791" s="15" t="s">
        <v>36</v>
      </c>
      <c r="O3791" s="15" t="s">
        <v>189</v>
      </c>
      <c r="P3791" s="20" t="s">
        <v>2110</v>
      </c>
      <c r="Q3791" s="15" t="s">
        <v>83</v>
      </c>
      <c r="R3791" s="4"/>
      <c r="S3791" s="4"/>
    </row>
    <row r="3792" spans="1:19" ht="21" customHeight="1" x14ac:dyDescent="0.25">
      <c r="A3792" s="14">
        <f>DATE(2012,12,31)-1275</f>
        <v>39999</v>
      </c>
      <c r="B3792" s="15" t="s">
        <v>631</v>
      </c>
      <c r="C3792" s="15" t="s">
        <v>31</v>
      </c>
      <c r="D3792" s="16">
        <v>28</v>
      </c>
      <c r="E3792" s="17">
        <v>2232.15</v>
      </c>
      <c r="F3792" s="16">
        <v>0.05</v>
      </c>
      <c r="G3792" s="15" t="s">
        <v>32</v>
      </c>
      <c r="H3792" s="18">
        <v>-746.44</v>
      </c>
      <c r="I3792" s="19">
        <v>80.98</v>
      </c>
      <c r="J3792" s="19">
        <v>35</v>
      </c>
      <c r="K3792" s="19" t="s">
        <v>44</v>
      </c>
      <c r="L3792" s="19" t="s">
        <v>52</v>
      </c>
      <c r="M3792" s="15" t="s">
        <v>2068</v>
      </c>
      <c r="N3792" s="15" t="s">
        <v>36</v>
      </c>
      <c r="O3792" s="15" t="s">
        <v>37</v>
      </c>
      <c r="P3792" s="20" t="s">
        <v>1383</v>
      </c>
      <c r="Q3792" s="15" t="s">
        <v>39</v>
      </c>
      <c r="R3792" s="4"/>
      <c r="S3792" s="4"/>
    </row>
    <row r="3793" spans="1:19" ht="21" customHeight="1" x14ac:dyDescent="0.25">
      <c r="A3793" s="14">
        <f>DATE(2012,12,31)-1275</f>
        <v>39999</v>
      </c>
      <c r="B3793" s="15" t="s">
        <v>631</v>
      </c>
      <c r="C3793" s="15" t="s">
        <v>31</v>
      </c>
      <c r="D3793" s="16">
        <v>26</v>
      </c>
      <c r="E3793" s="17">
        <v>7007.19</v>
      </c>
      <c r="F3793" s="16">
        <v>0.05</v>
      </c>
      <c r="G3793" s="15" t="s">
        <v>32</v>
      </c>
      <c r="H3793" s="18">
        <v>-274.95</v>
      </c>
      <c r="I3793" s="19">
        <v>279.48</v>
      </c>
      <c r="J3793" s="19">
        <v>35</v>
      </c>
      <c r="K3793" s="19" t="s">
        <v>44</v>
      </c>
      <c r="L3793" s="19" t="s">
        <v>52</v>
      </c>
      <c r="M3793" s="15" t="s">
        <v>2068</v>
      </c>
      <c r="N3793" s="15" t="s">
        <v>36</v>
      </c>
      <c r="O3793" s="15" t="s">
        <v>37</v>
      </c>
      <c r="P3793" s="20" t="s">
        <v>905</v>
      </c>
      <c r="Q3793" s="15" t="s">
        <v>39</v>
      </c>
      <c r="R3793" s="4"/>
      <c r="S3793" s="4"/>
    </row>
    <row r="3794" spans="1:19" ht="21" customHeight="1" x14ac:dyDescent="0.25">
      <c r="A3794" s="14">
        <f>DATE(2012,12,31)-366</f>
        <v>40908</v>
      </c>
      <c r="B3794" s="15" t="s">
        <v>1484</v>
      </c>
      <c r="C3794" s="15" t="s">
        <v>31</v>
      </c>
      <c r="D3794" s="16">
        <v>24</v>
      </c>
      <c r="E3794" s="17">
        <v>1339.25</v>
      </c>
      <c r="F3794" s="16">
        <v>0.03</v>
      </c>
      <c r="G3794" s="15" t="s">
        <v>32</v>
      </c>
      <c r="H3794" s="18">
        <v>142.51</v>
      </c>
      <c r="I3794" s="19">
        <v>56.96</v>
      </c>
      <c r="J3794" s="19">
        <v>13.22</v>
      </c>
      <c r="K3794" s="19" t="s">
        <v>44</v>
      </c>
      <c r="L3794" s="19" t="s">
        <v>52</v>
      </c>
      <c r="M3794" s="15" t="s">
        <v>2068</v>
      </c>
      <c r="N3794" s="15" t="s">
        <v>36</v>
      </c>
      <c r="O3794" s="15" t="s">
        <v>176</v>
      </c>
      <c r="P3794" s="20" t="s">
        <v>904</v>
      </c>
      <c r="Q3794" s="15" t="s">
        <v>83</v>
      </c>
      <c r="R3794" s="4"/>
      <c r="S3794" s="4"/>
    </row>
    <row r="3795" spans="1:19" ht="21" customHeight="1" x14ac:dyDescent="0.25">
      <c r="A3795" s="14">
        <f>DATE(2012,12,31)-770</f>
        <v>40504</v>
      </c>
      <c r="B3795" s="15" t="s">
        <v>1585</v>
      </c>
      <c r="C3795" s="15" t="s">
        <v>51</v>
      </c>
      <c r="D3795" s="16">
        <v>25</v>
      </c>
      <c r="E3795" s="17">
        <v>14240.76</v>
      </c>
      <c r="F3795" s="16">
        <v>0.06</v>
      </c>
      <c r="G3795" s="15" t="s">
        <v>32</v>
      </c>
      <c r="H3795" s="18">
        <v>3128.69</v>
      </c>
      <c r="I3795" s="19">
        <v>599.99</v>
      </c>
      <c r="J3795" s="19">
        <v>24.49</v>
      </c>
      <c r="K3795" s="19" t="s">
        <v>44</v>
      </c>
      <c r="L3795" s="19" t="s">
        <v>52</v>
      </c>
      <c r="M3795" s="15" t="s">
        <v>2068</v>
      </c>
      <c r="N3795" s="15" t="s">
        <v>64</v>
      </c>
      <c r="O3795" s="15" t="s">
        <v>460</v>
      </c>
      <c r="P3795" s="20" t="s">
        <v>1691</v>
      </c>
      <c r="Q3795" s="15" t="s">
        <v>39</v>
      </c>
      <c r="R3795" s="4"/>
      <c r="S3795" s="4"/>
    </row>
    <row r="3796" spans="1:19" ht="21" customHeight="1" x14ac:dyDescent="0.25">
      <c r="A3796" s="14">
        <f>DATE(2012,12,31)-770</f>
        <v>40504</v>
      </c>
      <c r="B3796" s="15" t="s">
        <v>1585</v>
      </c>
      <c r="C3796" s="15" t="s">
        <v>51</v>
      </c>
      <c r="D3796" s="16">
        <v>38</v>
      </c>
      <c r="E3796" s="17">
        <v>167.41</v>
      </c>
      <c r="F3796" s="16">
        <v>0.05</v>
      </c>
      <c r="G3796" s="15" t="s">
        <v>32</v>
      </c>
      <c r="H3796" s="18">
        <v>-161.57</v>
      </c>
      <c r="I3796" s="19">
        <v>4.28</v>
      </c>
      <c r="J3796" s="19">
        <v>6.72</v>
      </c>
      <c r="K3796" s="19" t="s">
        <v>44</v>
      </c>
      <c r="L3796" s="19" t="s">
        <v>52</v>
      </c>
      <c r="M3796" s="15" t="s">
        <v>2068</v>
      </c>
      <c r="N3796" s="15" t="s">
        <v>36</v>
      </c>
      <c r="O3796" s="15" t="s">
        <v>117</v>
      </c>
      <c r="P3796" s="20" t="s">
        <v>792</v>
      </c>
      <c r="Q3796" s="15" t="s">
        <v>83</v>
      </c>
      <c r="R3796" s="4"/>
      <c r="S3796" s="4"/>
    </row>
    <row r="3797" spans="1:19" ht="21" customHeight="1" x14ac:dyDescent="0.25">
      <c r="A3797" s="14">
        <f>DATE(2012,12,31)-1022</f>
        <v>40252</v>
      </c>
      <c r="B3797" s="15" t="s">
        <v>1049</v>
      </c>
      <c r="C3797" s="15" t="s">
        <v>85</v>
      </c>
      <c r="D3797" s="16">
        <v>11</v>
      </c>
      <c r="E3797" s="17">
        <v>1612.93</v>
      </c>
      <c r="F3797" s="16">
        <v>0</v>
      </c>
      <c r="G3797" s="15" t="s">
        <v>32</v>
      </c>
      <c r="H3797" s="18">
        <v>321.25</v>
      </c>
      <c r="I3797" s="19">
        <v>140.99</v>
      </c>
      <c r="J3797" s="19">
        <v>13.99</v>
      </c>
      <c r="K3797" s="19" t="s">
        <v>44</v>
      </c>
      <c r="L3797" s="19" t="s">
        <v>52</v>
      </c>
      <c r="M3797" s="15" t="s">
        <v>2068</v>
      </c>
      <c r="N3797" s="15" t="s">
        <v>64</v>
      </c>
      <c r="O3797" s="15" t="s">
        <v>122</v>
      </c>
      <c r="P3797" s="20" t="s">
        <v>1974</v>
      </c>
      <c r="Q3797" s="15" t="s">
        <v>57</v>
      </c>
      <c r="R3797" s="4"/>
      <c r="S3797" s="4"/>
    </row>
    <row r="3798" spans="1:19" ht="21" customHeight="1" x14ac:dyDescent="0.25">
      <c r="A3798" s="14">
        <f>DATE(2012,12,31)-141</f>
        <v>41133</v>
      </c>
      <c r="B3798" s="15" t="s">
        <v>1166</v>
      </c>
      <c r="C3798" s="15" t="s">
        <v>43</v>
      </c>
      <c r="D3798" s="16">
        <v>22</v>
      </c>
      <c r="E3798" s="17">
        <v>152.44</v>
      </c>
      <c r="F3798" s="16">
        <v>0.03</v>
      </c>
      <c r="G3798" s="15" t="s">
        <v>32</v>
      </c>
      <c r="H3798" s="18">
        <v>-40.76</v>
      </c>
      <c r="I3798" s="19">
        <v>6.48</v>
      </c>
      <c r="J3798" s="19">
        <v>5.86</v>
      </c>
      <c r="K3798" s="19" t="s">
        <v>44</v>
      </c>
      <c r="L3798" s="19" t="s">
        <v>52</v>
      </c>
      <c r="M3798" s="15" t="s">
        <v>2068</v>
      </c>
      <c r="N3798" s="15" t="s">
        <v>36</v>
      </c>
      <c r="O3798" s="15" t="s">
        <v>117</v>
      </c>
      <c r="P3798" s="20" t="s">
        <v>700</v>
      </c>
      <c r="Q3798" s="15" t="s">
        <v>83</v>
      </c>
      <c r="R3798" s="4"/>
      <c r="S3798" s="4"/>
    </row>
    <row r="3799" spans="1:19" ht="21" customHeight="1" x14ac:dyDescent="0.25">
      <c r="A3799" s="14">
        <f>DATE(2012,12,31)-684</f>
        <v>40590</v>
      </c>
      <c r="B3799" s="15" t="s">
        <v>194</v>
      </c>
      <c r="C3799" s="15" t="s">
        <v>43</v>
      </c>
      <c r="D3799" s="16">
        <v>37</v>
      </c>
      <c r="E3799" s="17">
        <v>223.74</v>
      </c>
      <c r="F3799" s="16">
        <v>0.01</v>
      </c>
      <c r="G3799" s="15" t="s">
        <v>32</v>
      </c>
      <c r="H3799" s="18">
        <v>39.630000000000003</v>
      </c>
      <c r="I3799" s="19">
        <v>5.98</v>
      </c>
      <c r="J3799" s="19">
        <v>2.5</v>
      </c>
      <c r="K3799" s="19" t="s">
        <v>44</v>
      </c>
      <c r="L3799" s="19" t="s">
        <v>52</v>
      </c>
      <c r="M3799" s="15" t="s">
        <v>2068</v>
      </c>
      <c r="N3799" s="15" t="s">
        <v>36</v>
      </c>
      <c r="O3799" s="15" t="s">
        <v>189</v>
      </c>
      <c r="P3799" s="20" t="s">
        <v>513</v>
      </c>
      <c r="Q3799" s="15" t="s">
        <v>83</v>
      </c>
      <c r="R3799" s="4"/>
      <c r="S3799" s="4"/>
    </row>
    <row r="3800" spans="1:19" ht="21" customHeight="1" x14ac:dyDescent="0.25">
      <c r="A3800" s="14">
        <f>DATE(2012,12,31)-684</f>
        <v>40590</v>
      </c>
      <c r="B3800" s="15" t="s">
        <v>194</v>
      </c>
      <c r="C3800" s="15" t="s">
        <v>43</v>
      </c>
      <c r="D3800" s="16">
        <v>2</v>
      </c>
      <c r="E3800" s="17">
        <v>26.82</v>
      </c>
      <c r="F3800" s="16">
        <v>0</v>
      </c>
      <c r="G3800" s="15" t="s">
        <v>32</v>
      </c>
      <c r="H3800" s="18">
        <v>26.21</v>
      </c>
      <c r="I3800" s="19">
        <v>10.4</v>
      </c>
      <c r="J3800" s="19">
        <v>5.4</v>
      </c>
      <c r="K3800" s="19" t="s">
        <v>44</v>
      </c>
      <c r="L3800" s="19" t="s">
        <v>52</v>
      </c>
      <c r="M3800" s="15" t="s">
        <v>2068</v>
      </c>
      <c r="N3800" s="15" t="s">
        <v>54</v>
      </c>
      <c r="O3800" s="15" t="s">
        <v>55</v>
      </c>
      <c r="P3800" s="20" t="s">
        <v>1435</v>
      </c>
      <c r="Q3800" s="15" t="s">
        <v>49</v>
      </c>
      <c r="R3800" s="4"/>
      <c r="S3800" s="4"/>
    </row>
    <row r="3801" spans="1:19" ht="21" customHeight="1" x14ac:dyDescent="0.25">
      <c r="A3801" s="14">
        <f>DATE(2012,12,31)-396</f>
        <v>40878</v>
      </c>
      <c r="B3801" s="15" t="s">
        <v>426</v>
      </c>
      <c r="C3801" s="15" t="s">
        <v>51</v>
      </c>
      <c r="D3801" s="16">
        <v>1</v>
      </c>
      <c r="E3801" s="17">
        <v>13.96</v>
      </c>
      <c r="F3801" s="16">
        <v>0.06</v>
      </c>
      <c r="G3801" s="15" t="s">
        <v>32</v>
      </c>
      <c r="H3801" s="18">
        <v>-4.7035</v>
      </c>
      <c r="I3801" s="19">
        <v>10.91</v>
      </c>
      <c r="J3801" s="19">
        <v>2.99</v>
      </c>
      <c r="K3801" s="19" t="s">
        <v>44</v>
      </c>
      <c r="L3801" s="19" t="s">
        <v>52</v>
      </c>
      <c r="M3801" s="15" t="s">
        <v>2068</v>
      </c>
      <c r="N3801" s="15" t="s">
        <v>36</v>
      </c>
      <c r="O3801" s="15" t="s">
        <v>170</v>
      </c>
      <c r="P3801" s="20" t="s">
        <v>554</v>
      </c>
      <c r="Q3801" s="15" t="s">
        <v>83</v>
      </c>
      <c r="R3801" s="4"/>
      <c r="S3801" s="4"/>
    </row>
    <row r="3802" spans="1:19" ht="21" customHeight="1" x14ac:dyDescent="0.25">
      <c r="A3802" s="14">
        <f>DATE(2012,12,31)-396</f>
        <v>40878</v>
      </c>
      <c r="B3802" s="15" t="s">
        <v>426</v>
      </c>
      <c r="C3802" s="15" t="s">
        <v>51</v>
      </c>
      <c r="D3802" s="16">
        <v>50</v>
      </c>
      <c r="E3802" s="17">
        <v>531.48</v>
      </c>
      <c r="F3802" s="16">
        <v>0.08</v>
      </c>
      <c r="G3802" s="15" t="s">
        <v>32</v>
      </c>
      <c r="H3802" s="18">
        <v>232.58</v>
      </c>
      <c r="I3802" s="19">
        <v>10.67</v>
      </c>
      <c r="J3802" s="19">
        <v>1.39</v>
      </c>
      <c r="K3802" s="19" t="s">
        <v>69</v>
      </c>
      <c r="L3802" s="19" t="s">
        <v>70</v>
      </c>
      <c r="M3802" s="15" t="s">
        <v>1895</v>
      </c>
      <c r="N3802" s="15" t="s">
        <v>36</v>
      </c>
      <c r="O3802" s="15" t="s">
        <v>189</v>
      </c>
      <c r="P3802" s="20" t="s">
        <v>2111</v>
      </c>
      <c r="Q3802" s="15" t="s">
        <v>83</v>
      </c>
      <c r="R3802" s="4"/>
      <c r="S3802" s="4"/>
    </row>
    <row r="3803" spans="1:19" ht="21" customHeight="1" x14ac:dyDescent="0.25">
      <c r="A3803" s="14">
        <f>DATE(2012,12,31)-396</f>
        <v>40878</v>
      </c>
      <c r="B3803" s="15" t="s">
        <v>426</v>
      </c>
      <c r="C3803" s="15" t="s">
        <v>51</v>
      </c>
      <c r="D3803" s="16">
        <v>29</v>
      </c>
      <c r="E3803" s="17">
        <v>3524.55</v>
      </c>
      <c r="F3803" s="16">
        <v>0.08</v>
      </c>
      <c r="G3803" s="15" t="s">
        <v>58</v>
      </c>
      <c r="H3803" s="18">
        <v>-570.17999999999995</v>
      </c>
      <c r="I3803" s="19">
        <v>130.97999999999999</v>
      </c>
      <c r="J3803" s="19">
        <v>30</v>
      </c>
      <c r="K3803" s="19" t="s">
        <v>44</v>
      </c>
      <c r="L3803" s="19" t="s">
        <v>120</v>
      </c>
      <c r="M3803" s="15" t="s">
        <v>2025</v>
      </c>
      <c r="N3803" s="15" t="s">
        <v>54</v>
      </c>
      <c r="O3803" s="15" t="s">
        <v>252</v>
      </c>
      <c r="P3803" s="20" t="s">
        <v>980</v>
      </c>
      <c r="Q3803" s="15" t="s">
        <v>181</v>
      </c>
      <c r="R3803" s="4"/>
      <c r="S3803" s="4"/>
    </row>
    <row r="3804" spans="1:19" ht="21" customHeight="1" x14ac:dyDescent="0.25">
      <c r="A3804" s="14">
        <f>DATE(2012,12,31)-396</f>
        <v>40878</v>
      </c>
      <c r="B3804" s="15" t="s">
        <v>426</v>
      </c>
      <c r="C3804" s="15" t="s">
        <v>51</v>
      </c>
      <c r="D3804" s="16">
        <v>42</v>
      </c>
      <c r="E3804" s="17">
        <v>890.61</v>
      </c>
      <c r="F3804" s="16">
        <v>0.05</v>
      </c>
      <c r="G3804" s="15" t="s">
        <v>32</v>
      </c>
      <c r="H3804" s="18">
        <v>297.11</v>
      </c>
      <c r="I3804" s="19">
        <v>22.23</v>
      </c>
      <c r="J3804" s="19">
        <v>3.63</v>
      </c>
      <c r="K3804" s="19" t="s">
        <v>124</v>
      </c>
      <c r="L3804" s="19" t="s">
        <v>125</v>
      </c>
      <c r="M3804" s="15" t="s">
        <v>2048</v>
      </c>
      <c r="N3804" s="15" t="s">
        <v>54</v>
      </c>
      <c r="O3804" s="15" t="s">
        <v>55</v>
      </c>
      <c r="P3804" s="20" t="s">
        <v>1739</v>
      </c>
      <c r="Q3804" s="15" t="s">
        <v>49</v>
      </c>
      <c r="R3804" s="4"/>
      <c r="S3804" s="4"/>
    </row>
    <row r="3805" spans="1:19" ht="21" customHeight="1" x14ac:dyDescent="0.25">
      <c r="A3805" s="14">
        <f>DATE(2012,12,31)-396</f>
        <v>40878</v>
      </c>
      <c r="B3805" s="15" t="s">
        <v>426</v>
      </c>
      <c r="C3805" s="15" t="s">
        <v>51</v>
      </c>
      <c r="D3805" s="16">
        <v>10</v>
      </c>
      <c r="E3805" s="17">
        <v>64.19</v>
      </c>
      <c r="F3805" s="16">
        <v>0.08</v>
      </c>
      <c r="G3805" s="15" t="s">
        <v>32</v>
      </c>
      <c r="H3805" s="18">
        <v>3.77</v>
      </c>
      <c r="I3805" s="19">
        <v>6.68</v>
      </c>
      <c r="J3805" s="19">
        <v>1.5</v>
      </c>
      <c r="K3805" s="19" t="s">
        <v>33</v>
      </c>
      <c r="L3805" s="19" t="s">
        <v>128</v>
      </c>
      <c r="M3805" s="15" t="s">
        <v>129</v>
      </c>
      <c r="N3805" s="15" t="s">
        <v>36</v>
      </c>
      <c r="O3805" s="15" t="s">
        <v>77</v>
      </c>
      <c r="P3805" s="20" t="s">
        <v>857</v>
      </c>
      <c r="Q3805" s="15" t="s">
        <v>79</v>
      </c>
      <c r="R3805" s="4"/>
      <c r="S3805" s="4"/>
    </row>
    <row r="3806" spans="1:19" ht="21" customHeight="1" x14ac:dyDescent="0.25">
      <c r="A3806" s="14">
        <f>DATE(2012,12,31)-327</f>
        <v>40947</v>
      </c>
      <c r="B3806" s="15" t="s">
        <v>191</v>
      </c>
      <c r="C3806" s="15" t="s">
        <v>85</v>
      </c>
      <c r="D3806" s="16">
        <v>48</v>
      </c>
      <c r="E3806" s="17">
        <v>538.22</v>
      </c>
      <c r="F3806" s="16">
        <v>0.01</v>
      </c>
      <c r="G3806" s="15" t="s">
        <v>32</v>
      </c>
      <c r="H3806" s="18">
        <v>-154.66</v>
      </c>
      <c r="I3806" s="19">
        <v>10.97</v>
      </c>
      <c r="J3806" s="19">
        <v>6.5</v>
      </c>
      <c r="K3806" s="19" t="s">
        <v>97</v>
      </c>
      <c r="L3806" s="19" t="s">
        <v>98</v>
      </c>
      <c r="M3806" s="15" t="s">
        <v>2085</v>
      </c>
      <c r="N3806" s="15" t="s">
        <v>64</v>
      </c>
      <c r="O3806" s="15" t="s">
        <v>72</v>
      </c>
      <c r="P3806" s="20" t="s">
        <v>354</v>
      </c>
      <c r="Q3806" s="15" t="s">
        <v>83</v>
      </c>
      <c r="R3806" s="4"/>
      <c r="S3806" s="4"/>
    </row>
    <row r="3807" spans="1:19" ht="21" customHeight="1" x14ac:dyDescent="0.25">
      <c r="A3807" s="14">
        <f>DATE(2012,12,31)-1391</f>
        <v>39883</v>
      </c>
      <c r="B3807" s="15" t="s">
        <v>1990</v>
      </c>
      <c r="C3807" s="15" t="s">
        <v>51</v>
      </c>
      <c r="D3807" s="16">
        <v>11</v>
      </c>
      <c r="E3807" s="17">
        <v>1064.23</v>
      </c>
      <c r="F3807" s="16">
        <v>0.06</v>
      </c>
      <c r="G3807" s="15" t="s">
        <v>32</v>
      </c>
      <c r="H3807" s="18">
        <v>-127.56</v>
      </c>
      <c r="I3807" s="19">
        <v>99.99</v>
      </c>
      <c r="J3807" s="19">
        <v>19.989999999999998</v>
      </c>
      <c r="K3807" s="19" t="s">
        <v>44</v>
      </c>
      <c r="L3807" s="19" t="s">
        <v>52</v>
      </c>
      <c r="M3807" s="15" t="s">
        <v>2068</v>
      </c>
      <c r="N3807" s="15" t="s">
        <v>64</v>
      </c>
      <c r="O3807" s="15" t="s">
        <v>72</v>
      </c>
      <c r="P3807" s="20" t="s">
        <v>496</v>
      </c>
      <c r="Q3807" s="15" t="s">
        <v>83</v>
      </c>
      <c r="R3807" s="4"/>
      <c r="S3807" s="4"/>
    </row>
    <row r="3808" spans="1:19" ht="21" customHeight="1" x14ac:dyDescent="0.25">
      <c r="A3808" s="14">
        <f>DATE(2012,12,31)-1391</f>
        <v>39883</v>
      </c>
      <c r="B3808" s="15" t="s">
        <v>1990</v>
      </c>
      <c r="C3808" s="15" t="s">
        <v>51</v>
      </c>
      <c r="D3808" s="16">
        <v>18</v>
      </c>
      <c r="E3808" s="17">
        <v>3497.05</v>
      </c>
      <c r="F3808" s="16">
        <v>0</v>
      </c>
      <c r="G3808" s="15" t="s">
        <v>32</v>
      </c>
      <c r="H3808" s="18">
        <v>282.18</v>
      </c>
      <c r="I3808" s="19">
        <v>193.17</v>
      </c>
      <c r="J3808" s="19">
        <v>19.989999999999998</v>
      </c>
      <c r="K3808" s="19" t="s">
        <v>44</v>
      </c>
      <c r="L3808" s="19" t="s">
        <v>236</v>
      </c>
      <c r="M3808" s="15" t="s">
        <v>2051</v>
      </c>
      <c r="N3808" s="15" t="s">
        <v>36</v>
      </c>
      <c r="O3808" s="15" t="s">
        <v>37</v>
      </c>
      <c r="P3808" s="20" t="s">
        <v>197</v>
      </c>
      <c r="Q3808" s="15" t="s">
        <v>83</v>
      </c>
      <c r="R3808" s="4"/>
      <c r="S3808" s="4"/>
    </row>
    <row r="3809" spans="1:19" ht="21" customHeight="1" x14ac:dyDescent="0.25">
      <c r="A3809" s="14">
        <f>DATE(2012,12,31)-1391</f>
        <v>39883</v>
      </c>
      <c r="B3809" s="15" t="s">
        <v>1990</v>
      </c>
      <c r="C3809" s="15" t="s">
        <v>51</v>
      </c>
      <c r="D3809" s="16">
        <v>44</v>
      </c>
      <c r="E3809" s="17">
        <v>774.05250000000001</v>
      </c>
      <c r="F3809" s="16">
        <v>0.08</v>
      </c>
      <c r="G3809" s="15" t="s">
        <v>101</v>
      </c>
      <c r="H3809" s="18">
        <v>-96.337999999999994</v>
      </c>
      <c r="I3809" s="19">
        <v>20.99</v>
      </c>
      <c r="J3809" s="19">
        <v>3.3</v>
      </c>
      <c r="K3809" s="19" t="s">
        <v>44</v>
      </c>
      <c r="L3809" s="19" t="s">
        <v>52</v>
      </c>
      <c r="M3809" s="15" t="s">
        <v>2068</v>
      </c>
      <c r="N3809" s="15" t="s">
        <v>64</v>
      </c>
      <c r="O3809" s="15" t="s">
        <v>65</v>
      </c>
      <c r="P3809" s="20" t="s">
        <v>769</v>
      </c>
      <c r="Q3809" s="15" t="s">
        <v>49</v>
      </c>
      <c r="R3809" s="4"/>
      <c r="S3809" s="4"/>
    </row>
    <row r="3810" spans="1:19" ht="21" customHeight="1" x14ac:dyDescent="0.25">
      <c r="A3810" s="14">
        <f>DATE(2012,12,31)-366</f>
        <v>40908</v>
      </c>
      <c r="B3810" s="15" t="s">
        <v>925</v>
      </c>
      <c r="C3810" s="15" t="s">
        <v>51</v>
      </c>
      <c r="D3810" s="16">
        <v>2</v>
      </c>
      <c r="E3810" s="17">
        <v>60.5625</v>
      </c>
      <c r="F3810" s="16">
        <v>0.02</v>
      </c>
      <c r="G3810" s="15" t="s">
        <v>32</v>
      </c>
      <c r="H3810" s="18">
        <v>-165.53900000000002</v>
      </c>
      <c r="I3810" s="19">
        <v>35.99</v>
      </c>
      <c r="J3810" s="19">
        <v>1.1000000000000001</v>
      </c>
      <c r="K3810" s="19" t="s">
        <v>44</v>
      </c>
      <c r="L3810" s="19" t="s">
        <v>52</v>
      </c>
      <c r="M3810" s="15" t="s">
        <v>2068</v>
      </c>
      <c r="N3810" s="15" t="s">
        <v>64</v>
      </c>
      <c r="O3810" s="15" t="s">
        <v>65</v>
      </c>
      <c r="P3810" s="20" t="s">
        <v>501</v>
      </c>
      <c r="Q3810" s="15" t="s">
        <v>83</v>
      </c>
      <c r="R3810" s="4"/>
      <c r="S3810" s="4"/>
    </row>
    <row r="3811" spans="1:19" ht="21" customHeight="1" x14ac:dyDescent="0.25">
      <c r="A3811" s="14">
        <f>DATE(2012,12,31)-215</f>
        <v>41059</v>
      </c>
      <c r="B3811" s="15" t="s">
        <v>219</v>
      </c>
      <c r="C3811" s="15" t="s">
        <v>51</v>
      </c>
      <c r="D3811" s="16">
        <v>31</v>
      </c>
      <c r="E3811" s="17">
        <v>2976.21</v>
      </c>
      <c r="F3811" s="16">
        <v>7.0000000000000007E-2</v>
      </c>
      <c r="G3811" s="15" t="s">
        <v>58</v>
      </c>
      <c r="H3811" s="18">
        <v>-277.63</v>
      </c>
      <c r="I3811" s="19">
        <v>100.98</v>
      </c>
      <c r="J3811" s="19">
        <v>35.840000000000003</v>
      </c>
      <c r="K3811" s="19" t="s">
        <v>44</v>
      </c>
      <c r="L3811" s="19" t="s">
        <v>52</v>
      </c>
      <c r="M3811" s="15" t="s">
        <v>2068</v>
      </c>
      <c r="N3811" s="15" t="s">
        <v>54</v>
      </c>
      <c r="O3811" s="15" t="s">
        <v>134</v>
      </c>
      <c r="P3811" s="20" t="s">
        <v>440</v>
      </c>
      <c r="Q3811" s="15" t="s">
        <v>63</v>
      </c>
      <c r="R3811" s="4"/>
      <c r="S3811" s="4"/>
    </row>
    <row r="3812" spans="1:19" ht="21" customHeight="1" x14ac:dyDescent="0.25">
      <c r="A3812" s="14">
        <f>DATE(2012,12,31)-215</f>
        <v>41059</v>
      </c>
      <c r="B3812" s="15" t="s">
        <v>219</v>
      </c>
      <c r="C3812" s="15" t="s">
        <v>51</v>
      </c>
      <c r="D3812" s="16">
        <v>37</v>
      </c>
      <c r="E3812" s="17">
        <v>1894.1654999999998</v>
      </c>
      <c r="F3812" s="16">
        <v>0.1</v>
      </c>
      <c r="G3812" s="15" t="s">
        <v>32</v>
      </c>
      <c r="H3812" s="18">
        <v>134.72999999999999</v>
      </c>
      <c r="I3812" s="19">
        <v>65.989999999999995</v>
      </c>
      <c r="J3812" s="19">
        <v>8.99</v>
      </c>
      <c r="K3812" s="19" t="s">
        <v>69</v>
      </c>
      <c r="L3812" s="19" t="s">
        <v>70</v>
      </c>
      <c r="M3812" s="15" t="s">
        <v>1895</v>
      </c>
      <c r="N3812" s="15" t="s">
        <v>64</v>
      </c>
      <c r="O3812" s="15" t="s">
        <v>65</v>
      </c>
      <c r="P3812" s="20" t="s">
        <v>1408</v>
      </c>
      <c r="Q3812" s="15" t="s">
        <v>83</v>
      </c>
      <c r="R3812" s="4"/>
      <c r="S3812" s="4"/>
    </row>
    <row r="3813" spans="1:19" ht="21" customHeight="1" x14ac:dyDescent="0.25">
      <c r="A3813" s="14">
        <f>DATE(2012,12,31)-1061</f>
        <v>40213</v>
      </c>
      <c r="B3813" s="15" t="s">
        <v>674</v>
      </c>
      <c r="C3813" s="15" t="s">
        <v>43</v>
      </c>
      <c r="D3813" s="16">
        <v>25</v>
      </c>
      <c r="E3813" s="17">
        <v>495.8</v>
      </c>
      <c r="F3813" s="16">
        <v>0.03</v>
      </c>
      <c r="G3813" s="15" t="s">
        <v>32</v>
      </c>
      <c r="H3813" s="18">
        <v>107.82</v>
      </c>
      <c r="I3813" s="19">
        <v>19.04</v>
      </c>
      <c r="J3813" s="19">
        <v>6.38</v>
      </c>
      <c r="K3813" s="19" t="s">
        <v>69</v>
      </c>
      <c r="L3813" s="19" t="s">
        <v>215</v>
      </c>
      <c r="M3813" s="15" t="s">
        <v>2038</v>
      </c>
      <c r="N3813" s="15" t="s">
        <v>54</v>
      </c>
      <c r="O3813" s="15" t="s">
        <v>55</v>
      </c>
      <c r="P3813" s="20" t="s">
        <v>2112</v>
      </c>
      <c r="Q3813" s="15" t="s">
        <v>83</v>
      </c>
      <c r="R3813" s="4"/>
      <c r="S3813" s="4"/>
    </row>
    <row r="3814" spans="1:19" ht="21" customHeight="1" x14ac:dyDescent="0.25">
      <c r="A3814" s="14">
        <f>DATE(2012,12,31)-1061</f>
        <v>40213</v>
      </c>
      <c r="B3814" s="15" t="s">
        <v>674</v>
      </c>
      <c r="C3814" s="15" t="s">
        <v>43</v>
      </c>
      <c r="D3814" s="16">
        <v>28</v>
      </c>
      <c r="E3814" s="17">
        <v>1645.51</v>
      </c>
      <c r="F3814" s="16">
        <v>0.06</v>
      </c>
      <c r="G3814" s="15" t="s">
        <v>32</v>
      </c>
      <c r="H3814" s="18">
        <v>300.33999999999997</v>
      </c>
      <c r="I3814" s="19">
        <v>59.76</v>
      </c>
      <c r="J3814" s="19">
        <v>9.7100000000000009</v>
      </c>
      <c r="K3814" s="19" t="s">
        <v>44</v>
      </c>
      <c r="L3814" s="19" t="s">
        <v>80</v>
      </c>
      <c r="M3814" s="15" t="s">
        <v>2081</v>
      </c>
      <c r="N3814" s="15" t="s">
        <v>36</v>
      </c>
      <c r="O3814" s="15" t="s">
        <v>37</v>
      </c>
      <c r="P3814" s="20" t="s">
        <v>1654</v>
      </c>
      <c r="Q3814" s="15" t="s">
        <v>83</v>
      </c>
      <c r="R3814" s="4"/>
      <c r="S3814" s="4"/>
    </row>
    <row r="3815" spans="1:19" ht="21" customHeight="1" x14ac:dyDescent="0.25">
      <c r="A3815" s="14">
        <f>DATE(2012,12,31)-477</f>
        <v>40797</v>
      </c>
      <c r="B3815" s="15" t="s">
        <v>759</v>
      </c>
      <c r="C3815" s="15" t="s">
        <v>43</v>
      </c>
      <c r="D3815" s="16">
        <v>16</v>
      </c>
      <c r="E3815" s="17">
        <v>109.9</v>
      </c>
      <c r="F3815" s="16">
        <v>0.01</v>
      </c>
      <c r="G3815" s="15" t="s">
        <v>32</v>
      </c>
      <c r="H3815" s="18">
        <v>-28.945500000000003</v>
      </c>
      <c r="I3815" s="19">
        <v>6.54</v>
      </c>
      <c r="J3815" s="19">
        <v>5.27</v>
      </c>
      <c r="K3815" s="19" t="s">
        <v>44</v>
      </c>
      <c r="L3815" s="19" t="s">
        <v>120</v>
      </c>
      <c r="M3815" s="15" t="s">
        <v>2025</v>
      </c>
      <c r="N3815" s="15" t="s">
        <v>36</v>
      </c>
      <c r="O3815" s="15" t="s">
        <v>170</v>
      </c>
      <c r="P3815" s="20" t="s">
        <v>182</v>
      </c>
      <c r="Q3815" s="15" t="s">
        <v>83</v>
      </c>
      <c r="R3815" s="4"/>
      <c r="S3815" s="4"/>
    </row>
    <row r="3816" spans="1:19" ht="21" customHeight="1" x14ac:dyDescent="0.25">
      <c r="A3816" s="14">
        <f>DATE(2012,12,31)-450</f>
        <v>40824</v>
      </c>
      <c r="B3816" s="15" t="s">
        <v>533</v>
      </c>
      <c r="C3816" s="15" t="s">
        <v>85</v>
      </c>
      <c r="D3816" s="16">
        <v>17</v>
      </c>
      <c r="E3816" s="17">
        <v>477.50449999999995</v>
      </c>
      <c r="F3816" s="16">
        <v>0.09</v>
      </c>
      <c r="G3816" s="15" t="s">
        <v>32</v>
      </c>
      <c r="H3816" s="18">
        <v>-245.56400000000002</v>
      </c>
      <c r="I3816" s="19">
        <v>35.99</v>
      </c>
      <c r="J3816" s="19">
        <v>5</v>
      </c>
      <c r="K3816" s="19" t="s">
        <v>44</v>
      </c>
      <c r="L3816" s="19" t="s">
        <v>45</v>
      </c>
      <c r="M3816" s="15" t="s">
        <v>2053</v>
      </c>
      <c r="N3816" s="15" t="s">
        <v>64</v>
      </c>
      <c r="O3816" s="15" t="s">
        <v>65</v>
      </c>
      <c r="P3816" s="20" t="s">
        <v>1745</v>
      </c>
      <c r="Q3816" s="15" t="s">
        <v>83</v>
      </c>
      <c r="R3816" s="4"/>
      <c r="S3816" s="4"/>
    </row>
    <row r="3817" spans="1:19" ht="21" customHeight="1" x14ac:dyDescent="0.25">
      <c r="A3817" s="14">
        <f>DATE(2012,12,31)-159</f>
        <v>41115</v>
      </c>
      <c r="B3817" s="15" t="s">
        <v>1554</v>
      </c>
      <c r="C3817" s="15" t="s">
        <v>51</v>
      </c>
      <c r="D3817" s="16">
        <v>10</v>
      </c>
      <c r="E3817" s="17">
        <v>5056.8900000000003</v>
      </c>
      <c r="F3817" s="16">
        <v>0.02</v>
      </c>
      <c r="G3817" s="15" t="s">
        <v>58</v>
      </c>
      <c r="H3817" s="18">
        <v>789.05</v>
      </c>
      <c r="I3817" s="19">
        <v>500.98</v>
      </c>
      <c r="J3817" s="19">
        <v>26</v>
      </c>
      <c r="K3817" s="19" t="s">
        <v>44</v>
      </c>
      <c r="L3817" s="19" t="s">
        <v>120</v>
      </c>
      <c r="M3817" s="15" t="s">
        <v>2025</v>
      </c>
      <c r="N3817" s="15" t="s">
        <v>54</v>
      </c>
      <c r="O3817" s="15" t="s">
        <v>252</v>
      </c>
      <c r="P3817" s="20" t="s">
        <v>577</v>
      </c>
      <c r="Q3817" s="15" t="s">
        <v>181</v>
      </c>
      <c r="R3817" s="4"/>
      <c r="S3817" s="4"/>
    </row>
    <row r="3818" spans="1:19" ht="21" customHeight="1" x14ac:dyDescent="0.25">
      <c r="A3818" s="14">
        <f>DATE(2012,12,31)-159</f>
        <v>41115</v>
      </c>
      <c r="B3818" s="15" t="s">
        <v>1554</v>
      </c>
      <c r="C3818" s="15" t="s">
        <v>51</v>
      </c>
      <c r="D3818" s="16">
        <v>45</v>
      </c>
      <c r="E3818" s="17">
        <v>3500.1</v>
      </c>
      <c r="F3818" s="16">
        <v>0.01</v>
      </c>
      <c r="G3818" s="15" t="s">
        <v>58</v>
      </c>
      <c r="H3818" s="18">
        <v>-2661.3180000000002</v>
      </c>
      <c r="I3818" s="19">
        <v>70.89</v>
      </c>
      <c r="J3818" s="19">
        <v>89.3</v>
      </c>
      <c r="K3818" s="19" t="s">
        <v>44</v>
      </c>
      <c r="L3818" s="19" t="s">
        <v>45</v>
      </c>
      <c r="M3818" s="15" t="s">
        <v>2053</v>
      </c>
      <c r="N3818" s="15" t="s">
        <v>54</v>
      </c>
      <c r="O3818" s="15" t="s">
        <v>61</v>
      </c>
      <c r="P3818" s="20" t="s">
        <v>62</v>
      </c>
      <c r="Q3818" s="15" t="s">
        <v>63</v>
      </c>
      <c r="R3818" s="4"/>
      <c r="S3818" s="4"/>
    </row>
    <row r="3819" spans="1:19" ht="21" customHeight="1" x14ac:dyDescent="0.25">
      <c r="A3819" s="14">
        <f>DATE(2012,12,31)-955</f>
        <v>40319</v>
      </c>
      <c r="B3819" s="15" t="s">
        <v>1782</v>
      </c>
      <c r="C3819" s="15" t="s">
        <v>43</v>
      </c>
      <c r="D3819" s="16">
        <v>12</v>
      </c>
      <c r="E3819" s="17">
        <v>87.11</v>
      </c>
      <c r="F3819" s="16">
        <v>0.08</v>
      </c>
      <c r="G3819" s="15" t="s">
        <v>32</v>
      </c>
      <c r="H3819" s="18">
        <v>-43.65</v>
      </c>
      <c r="I3819" s="19">
        <v>7.28</v>
      </c>
      <c r="J3819" s="19">
        <v>3.52</v>
      </c>
      <c r="K3819" s="19" t="s">
        <v>44</v>
      </c>
      <c r="L3819" s="19" t="s">
        <v>89</v>
      </c>
      <c r="M3819" s="15" t="s">
        <v>1932</v>
      </c>
      <c r="N3819" s="15" t="s">
        <v>64</v>
      </c>
      <c r="O3819" s="15" t="s">
        <v>72</v>
      </c>
      <c r="P3819" s="20" t="s">
        <v>968</v>
      </c>
      <c r="Q3819" s="15" t="s">
        <v>49</v>
      </c>
      <c r="R3819" s="4"/>
      <c r="S3819" s="4"/>
    </row>
    <row r="3820" spans="1:19" ht="21" customHeight="1" x14ac:dyDescent="0.25">
      <c r="A3820" s="14">
        <f>DATE(2012,12,31)-866</f>
        <v>40408</v>
      </c>
      <c r="B3820" s="15" t="s">
        <v>1172</v>
      </c>
      <c r="C3820" s="15" t="s">
        <v>43</v>
      </c>
      <c r="D3820" s="16">
        <v>19</v>
      </c>
      <c r="E3820" s="17">
        <v>639.29999999999995</v>
      </c>
      <c r="F3820" s="16">
        <v>0.05</v>
      </c>
      <c r="G3820" s="15" t="s">
        <v>32</v>
      </c>
      <c r="H3820" s="18">
        <v>30.21</v>
      </c>
      <c r="I3820" s="19">
        <v>34.99</v>
      </c>
      <c r="J3820" s="19">
        <v>7.73</v>
      </c>
      <c r="K3820" s="19" t="s">
        <v>97</v>
      </c>
      <c r="L3820" s="19" t="s">
        <v>195</v>
      </c>
      <c r="M3820" s="15" t="s">
        <v>2040</v>
      </c>
      <c r="N3820" s="15" t="s">
        <v>36</v>
      </c>
      <c r="O3820" s="15" t="s">
        <v>77</v>
      </c>
      <c r="P3820" s="20" t="s">
        <v>2113</v>
      </c>
      <c r="Q3820" s="15" t="s">
        <v>83</v>
      </c>
      <c r="R3820" s="4"/>
      <c r="S3820" s="4"/>
    </row>
    <row r="3821" spans="1:19" ht="21" customHeight="1" x14ac:dyDescent="0.25">
      <c r="A3821" s="14">
        <f>DATE(2012,12,31)-1035</f>
        <v>40239</v>
      </c>
      <c r="B3821" s="15" t="s">
        <v>564</v>
      </c>
      <c r="C3821" s="15" t="s">
        <v>51</v>
      </c>
      <c r="D3821" s="16">
        <v>20</v>
      </c>
      <c r="E3821" s="17">
        <v>393.31</v>
      </c>
      <c r="F3821" s="16">
        <v>0.04</v>
      </c>
      <c r="G3821" s="15" t="s">
        <v>32</v>
      </c>
      <c r="H3821" s="18">
        <v>84.3</v>
      </c>
      <c r="I3821" s="19">
        <v>19.98</v>
      </c>
      <c r="J3821" s="19">
        <v>5.86</v>
      </c>
      <c r="K3821" s="19" t="s">
        <v>124</v>
      </c>
      <c r="L3821" s="19" t="s">
        <v>158</v>
      </c>
      <c r="M3821" s="15" t="s">
        <v>158</v>
      </c>
      <c r="N3821" s="15" t="s">
        <v>36</v>
      </c>
      <c r="O3821" s="15" t="s">
        <v>117</v>
      </c>
      <c r="P3821" s="20" t="s">
        <v>1548</v>
      </c>
      <c r="Q3821" s="15" t="s">
        <v>83</v>
      </c>
      <c r="R3821" s="4"/>
      <c r="S3821" s="4"/>
    </row>
    <row r="3822" spans="1:19" ht="21" customHeight="1" x14ac:dyDescent="0.25">
      <c r="A3822" s="14">
        <f>DATE(2012,12,31)-576</f>
        <v>40698</v>
      </c>
      <c r="B3822" s="15" t="s">
        <v>1147</v>
      </c>
      <c r="C3822" s="15" t="s">
        <v>31</v>
      </c>
      <c r="D3822" s="16">
        <v>3</v>
      </c>
      <c r="E3822" s="17">
        <v>74.05</v>
      </c>
      <c r="F3822" s="16">
        <v>0.02</v>
      </c>
      <c r="G3822" s="15" t="s">
        <v>32</v>
      </c>
      <c r="H3822" s="18">
        <v>44.54</v>
      </c>
      <c r="I3822" s="19">
        <v>19.989999999999998</v>
      </c>
      <c r="J3822" s="19">
        <v>11.17</v>
      </c>
      <c r="K3822" s="19" t="s">
        <v>69</v>
      </c>
      <c r="L3822" s="19" t="s">
        <v>70</v>
      </c>
      <c r="M3822" s="15" t="s">
        <v>1895</v>
      </c>
      <c r="N3822" s="15" t="s">
        <v>54</v>
      </c>
      <c r="O3822" s="15" t="s">
        <v>55</v>
      </c>
      <c r="P3822" s="20" t="s">
        <v>1902</v>
      </c>
      <c r="Q3822" s="15" t="s">
        <v>39</v>
      </c>
      <c r="R3822" s="4"/>
      <c r="S3822" s="4"/>
    </row>
    <row r="3823" spans="1:19" ht="21" customHeight="1" x14ac:dyDescent="0.25">
      <c r="A3823" s="14">
        <f>DATE(2012,12,31)-239</f>
        <v>41035</v>
      </c>
      <c r="B3823" s="15" t="s">
        <v>979</v>
      </c>
      <c r="C3823" s="15" t="s">
        <v>85</v>
      </c>
      <c r="D3823" s="16">
        <v>49</v>
      </c>
      <c r="E3823" s="17">
        <v>14981.74</v>
      </c>
      <c r="F3823" s="16">
        <v>0.02</v>
      </c>
      <c r="G3823" s="15" t="s">
        <v>32</v>
      </c>
      <c r="H3823" s="18">
        <v>-1791.5</v>
      </c>
      <c r="I3823" s="19">
        <v>299.99</v>
      </c>
      <c r="J3823" s="19">
        <v>11.64</v>
      </c>
      <c r="K3823" s="19" t="s">
        <v>69</v>
      </c>
      <c r="L3823" s="19" t="s">
        <v>70</v>
      </c>
      <c r="M3823" s="15" t="s">
        <v>1895</v>
      </c>
      <c r="N3823" s="15" t="s">
        <v>64</v>
      </c>
      <c r="O3823" s="15" t="s">
        <v>460</v>
      </c>
      <c r="P3823" s="20" t="s">
        <v>973</v>
      </c>
      <c r="Q3823" s="15" t="s">
        <v>39</v>
      </c>
      <c r="R3823" s="4"/>
      <c r="S3823" s="4"/>
    </row>
    <row r="3824" spans="1:19" ht="21" customHeight="1" x14ac:dyDescent="0.25">
      <c r="A3824" s="14">
        <f>DATE(2012,12,31)-239</f>
        <v>41035</v>
      </c>
      <c r="B3824" s="15" t="s">
        <v>979</v>
      </c>
      <c r="C3824" s="15" t="s">
        <v>85</v>
      </c>
      <c r="D3824" s="16">
        <v>36</v>
      </c>
      <c r="E3824" s="17">
        <v>5587.2</v>
      </c>
      <c r="F3824" s="16">
        <v>0.05</v>
      </c>
      <c r="G3824" s="15" t="s">
        <v>101</v>
      </c>
      <c r="H3824" s="18">
        <v>2254.16</v>
      </c>
      <c r="I3824" s="19">
        <v>162.93</v>
      </c>
      <c r="J3824" s="19">
        <v>19.989999999999998</v>
      </c>
      <c r="K3824" s="19" t="s">
        <v>69</v>
      </c>
      <c r="L3824" s="19" t="s">
        <v>70</v>
      </c>
      <c r="M3824" s="15" t="s">
        <v>1895</v>
      </c>
      <c r="N3824" s="15" t="s">
        <v>36</v>
      </c>
      <c r="O3824" s="15" t="s">
        <v>189</v>
      </c>
      <c r="P3824" s="20" t="s">
        <v>739</v>
      </c>
      <c r="Q3824" s="15" t="s">
        <v>83</v>
      </c>
      <c r="R3824" s="4"/>
      <c r="S3824" s="4"/>
    </row>
    <row r="3825" spans="1:19" ht="21" customHeight="1" x14ac:dyDescent="0.25">
      <c r="A3825" s="14">
        <f>DATE(2012,12,31)-239</f>
        <v>41035</v>
      </c>
      <c r="B3825" s="15" t="s">
        <v>979</v>
      </c>
      <c r="C3825" s="15" t="s">
        <v>85</v>
      </c>
      <c r="D3825" s="16">
        <v>49</v>
      </c>
      <c r="E3825" s="17">
        <v>401.39</v>
      </c>
      <c r="F3825" s="16">
        <v>0.03</v>
      </c>
      <c r="G3825" s="15" t="s">
        <v>101</v>
      </c>
      <c r="H3825" s="18">
        <v>161.94999999999999</v>
      </c>
      <c r="I3825" s="19">
        <v>8.34</v>
      </c>
      <c r="J3825" s="19">
        <v>0.96</v>
      </c>
      <c r="K3825" s="19" t="s">
        <v>124</v>
      </c>
      <c r="L3825" s="19" t="s">
        <v>493</v>
      </c>
      <c r="M3825" s="15" t="s">
        <v>2050</v>
      </c>
      <c r="N3825" s="15" t="s">
        <v>54</v>
      </c>
      <c r="O3825" s="15" t="s">
        <v>55</v>
      </c>
      <c r="P3825" s="20" t="s">
        <v>890</v>
      </c>
      <c r="Q3825" s="15" t="s">
        <v>79</v>
      </c>
      <c r="R3825" s="4"/>
      <c r="S3825" s="4"/>
    </row>
    <row r="3826" spans="1:19" ht="21" customHeight="1" x14ac:dyDescent="0.25">
      <c r="A3826" s="14">
        <f>DATE(2012,12,31)-480</f>
        <v>40794</v>
      </c>
      <c r="B3826" s="15" t="s">
        <v>504</v>
      </c>
      <c r="C3826" s="15" t="s">
        <v>85</v>
      </c>
      <c r="D3826" s="16">
        <v>9</v>
      </c>
      <c r="E3826" s="17">
        <v>1031.06</v>
      </c>
      <c r="F3826" s="16">
        <v>0.03</v>
      </c>
      <c r="G3826" s="15" t="s">
        <v>32</v>
      </c>
      <c r="H3826" s="18">
        <v>39.359999999999914</v>
      </c>
      <c r="I3826" s="19">
        <v>115.79</v>
      </c>
      <c r="J3826" s="19">
        <v>1.99</v>
      </c>
      <c r="K3826" s="19" t="s">
        <v>69</v>
      </c>
      <c r="L3826" s="19" t="s">
        <v>70</v>
      </c>
      <c r="M3826" s="15" t="s">
        <v>1895</v>
      </c>
      <c r="N3826" s="15" t="s">
        <v>64</v>
      </c>
      <c r="O3826" s="15" t="s">
        <v>72</v>
      </c>
      <c r="P3826" s="20" t="s">
        <v>91</v>
      </c>
      <c r="Q3826" s="15" t="s">
        <v>49</v>
      </c>
      <c r="R3826" s="4"/>
      <c r="S3826" s="4"/>
    </row>
    <row r="3827" spans="1:19" ht="21" customHeight="1" x14ac:dyDescent="0.25">
      <c r="A3827" s="14">
        <f>DATE(2012,12,31)-474</f>
        <v>40800</v>
      </c>
      <c r="B3827" s="15" t="s">
        <v>1370</v>
      </c>
      <c r="C3827" s="15" t="s">
        <v>43</v>
      </c>
      <c r="D3827" s="16">
        <v>8</v>
      </c>
      <c r="E3827" s="17">
        <v>301.57</v>
      </c>
      <c r="F3827" s="16">
        <v>0</v>
      </c>
      <c r="G3827" s="15" t="s">
        <v>58</v>
      </c>
      <c r="H3827" s="18">
        <v>-77.31</v>
      </c>
      <c r="I3827" s="19">
        <v>33.94</v>
      </c>
      <c r="J3827" s="19">
        <v>19.190000000000001</v>
      </c>
      <c r="K3827" s="19" t="s">
        <v>69</v>
      </c>
      <c r="L3827" s="19" t="s">
        <v>70</v>
      </c>
      <c r="M3827" s="15" t="s">
        <v>1895</v>
      </c>
      <c r="N3827" s="15" t="s">
        <v>54</v>
      </c>
      <c r="O3827" s="15" t="s">
        <v>252</v>
      </c>
      <c r="P3827" s="20" t="s">
        <v>2045</v>
      </c>
      <c r="Q3827" s="15" t="s">
        <v>181</v>
      </c>
      <c r="R3827" s="4"/>
      <c r="S3827" s="4"/>
    </row>
    <row r="3828" spans="1:19" ht="21" customHeight="1" x14ac:dyDescent="0.25">
      <c r="A3828" s="14">
        <f>DATE(2012,12,31)-408</f>
        <v>40866</v>
      </c>
      <c r="B3828" s="15" t="s">
        <v>2114</v>
      </c>
      <c r="C3828" s="15" t="s">
        <v>31</v>
      </c>
      <c r="D3828" s="16">
        <v>40</v>
      </c>
      <c r="E3828" s="17">
        <v>7813.7</v>
      </c>
      <c r="F3828" s="16">
        <v>0.09</v>
      </c>
      <c r="G3828" s="15" t="s">
        <v>32</v>
      </c>
      <c r="H3828" s="18">
        <v>2154.33</v>
      </c>
      <c r="I3828" s="19">
        <v>199.99</v>
      </c>
      <c r="J3828" s="19">
        <v>24.49</v>
      </c>
      <c r="K3828" s="19" t="s">
        <v>69</v>
      </c>
      <c r="L3828" s="19" t="s">
        <v>215</v>
      </c>
      <c r="M3828" s="15" t="s">
        <v>2038</v>
      </c>
      <c r="N3828" s="15" t="s">
        <v>64</v>
      </c>
      <c r="O3828" s="15" t="s">
        <v>460</v>
      </c>
      <c r="P3828" s="20" t="s">
        <v>1967</v>
      </c>
      <c r="Q3828" s="15" t="s">
        <v>39</v>
      </c>
      <c r="R3828" s="4"/>
      <c r="S3828" s="4"/>
    </row>
    <row r="3829" spans="1:19" ht="21" customHeight="1" x14ac:dyDescent="0.25">
      <c r="A3829" s="14">
        <f>DATE(2012,12,31)-408</f>
        <v>40866</v>
      </c>
      <c r="B3829" s="15" t="s">
        <v>2114</v>
      </c>
      <c r="C3829" s="15" t="s">
        <v>31</v>
      </c>
      <c r="D3829" s="16">
        <v>31</v>
      </c>
      <c r="E3829" s="17">
        <v>164.92</v>
      </c>
      <c r="F3829" s="16">
        <v>0.04</v>
      </c>
      <c r="G3829" s="15" t="s">
        <v>32</v>
      </c>
      <c r="H3829" s="18">
        <v>-54.36</v>
      </c>
      <c r="I3829" s="19">
        <v>4.9800000000000004</v>
      </c>
      <c r="J3829" s="19">
        <v>4.8600000000000003</v>
      </c>
      <c r="K3829" s="19" t="s">
        <v>111</v>
      </c>
      <c r="L3829" s="19" t="s">
        <v>112</v>
      </c>
      <c r="M3829" s="15" t="s">
        <v>2115</v>
      </c>
      <c r="N3829" s="15" t="s">
        <v>36</v>
      </c>
      <c r="O3829" s="15" t="s">
        <v>117</v>
      </c>
      <c r="P3829" s="20" t="s">
        <v>234</v>
      </c>
      <c r="Q3829" s="15" t="s">
        <v>83</v>
      </c>
      <c r="R3829" s="4"/>
      <c r="S3829" s="4"/>
    </row>
    <row r="3830" spans="1:19" ht="21" customHeight="1" x14ac:dyDescent="0.25">
      <c r="A3830" s="14">
        <f>DATE(2012,12,31)-148</f>
        <v>41126</v>
      </c>
      <c r="B3830" s="15" t="s">
        <v>178</v>
      </c>
      <c r="C3830" s="15" t="s">
        <v>85</v>
      </c>
      <c r="D3830" s="16">
        <v>41</v>
      </c>
      <c r="E3830" s="17">
        <v>802.16</v>
      </c>
      <c r="F3830" s="16">
        <v>0.1</v>
      </c>
      <c r="G3830" s="15" t="s">
        <v>32</v>
      </c>
      <c r="H3830" s="18">
        <v>-293.45</v>
      </c>
      <c r="I3830" s="19">
        <v>19.940000000000001</v>
      </c>
      <c r="J3830" s="19">
        <v>14.87</v>
      </c>
      <c r="K3830" s="19" t="s">
        <v>44</v>
      </c>
      <c r="L3830" s="19" t="s">
        <v>89</v>
      </c>
      <c r="M3830" s="15" t="s">
        <v>1932</v>
      </c>
      <c r="N3830" s="15" t="s">
        <v>54</v>
      </c>
      <c r="O3830" s="15" t="s">
        <v>55</v>
      </c>
      <c r="P3830" s="20" t="s">
        <v>2064</v>
      </c>
      <c r="Q3830" s="15" t="s">
        <v>39</v>
      </c>
      <c r="R3830" s="4"/>
      <c r="S3830" s="4"/>
    </row>
    <row r="3831" spans="1:19" ht="21" customHeight="1" x14ac:dyDescent="0.25">
      <c r="A3831" s="14">
        <f>DATE(2012,12,31)-92</f>
        <v>41182</v>
      </c>
      <c r="B3831" s="15" t="s">
        <v>2116</v>
      </c>
      <c r="C3831" s="15" t="s">
        <v>43</v>
      </c>
      <c r="D3831" s="16">
        <v>50</v>
      </c>
      <c r="E3831" s="17">
        <v>3333.1</v>
      </c>
      <c r="F3831" s="16">
        <v>0.1</v>
      </c>
      <c r="G3831" s="15" t="s">
        <v>32</v>
      </c>
      <c r="H3831" s="18">
        <v>-85.03</v>
      </c>
      <c r="I3831" s="19">
        <v>73.98</v>
      </c>
      <c r="J3831" s="19">
        <v>4</v>
      </c>
      <c r="K3831" s="19" t="s">
        <v>44</v>
      </c>
      <c r="L3831" s="19" t="s">
        <v>89</v>
      </c>
      <c r="M3831" s="15" t="s">
        <v>1932</v>
      </c>
      <c r="N3831" s="15" t="s">
        <v>64</v>
      </c>
      <c r="O3831" s="15" t="s">
        <v>72</v>
      </c>
      <c r="P3831" s="20" t="s">
        <v>842</v>
      </c>
      <c r="Q3831" s="15" t="s">
        <v>83</v>
      </c>
      <c r="R3831" s="4"/>
      <c r="S3831" s="4"/>
    </row>
    <row r="3832" spans="1:19" ht="21" customHeight="1" x14ac:dyDescent="0.25">
      <c r="A3832" s="14">
        <f>DATE(2012,12,31)-92</f>
        <v>41182</v>
      </c>
      <c r="B3832" s="15" t="s">
        <v>2116</v>
      </c>
      <c r="C3832" s="15" t="s">
        <v>43</v>
      </c>
      <c r="D3832" s="16">
        <v>27</v>
      </c>
      <c r="E3832" s="17">
        <v>55.68</v>
      </c>
      <c r="F3832" s="16">
        <v>0.04</v>
      </c>
      <c r="G3832" s="15" t="s">
        <v>32</v>
      </c>
      <c r="H3832" s="18">
        <v>0.26</v>
      </c>
      <c r="I3832" s="19">
        <v>2.1</v>
      </c>
      <c r="J3832" s="19">
        <v>0.7</v>
      </c>
      <c r="K3832" s="19" t="s">
        <v>33</v>
      </c>
      <c r="L3832" s="19" t="s">
        <v>128</v>
      </c>
      <c r="M3832" s="15" t="s">
        <v>129</v>
      </c>
      <c r="N3832" s="15" t="s">
        <v>36</v>
      </c>
      <c r="O3832" s="15" t="s">
        <v>77</v>
      </c>
      <c r="P3832" s="20" t="s">
        <v>1849</v>
      </c>
      <c r="Q3832" s="15" t="s">
        <v>79</v>
      </c>
      <c r="R3832" s="4"/>
      <c r="S3832" s="4"/>
    </row>
    <row r="3833" spans="1:19" ht="21" customHeight="1" x14ac:dyDescent="0.25">
      <c r="A3833" s="14">
        <f>DATE(2012,12,31)-110</f>
        <v>41164</v>
      </c>
      <c r="B3833" s="15" t="s">
        <v>1308</v>
      </c>
      <c r="C3833" s="15" t="s">
        <v>31</v>
      </c>
      <c r="D3833" s="16">
        <v>16</v>
      </c>
      <c r="E3833" s="17">
        <v>237.54</v>
      </c>
      <c r="F3833" s="16">
        <v>0.04</v>
      </c>
      <c r="G3833" s="15" t="s">
        <v>32</v>
      </c>
      <c r="H3833" s="18">
        <v>29.76</v>
      </c>
      <c r="I3833" s="19">
        <v>13.79</v>
      </c>
      <c r="J3833" s="19">
        <v>8.7799999999999994</v>
      </c>
      <c r="K3833" s="19" t="s">
        <v>33</v>
      </c>
      <c r="L3833" s="19" t="s">
        <v>93</v>
      </c>
      <c r="M3833" s="15" t="s">
        <v>94</v>
      </c>
      <c r="N3833" s="15" t="s">
        <v>54</v>
      </c>
      <c r="O3833" s="15" t="s">
        <v>55</v>
      </c>
      <c r="P3833" s="20" t="s">
        <v>1463</v>
      </c>
      <c r="Q3833" s="15" t="s">
        <v>83</v>
      </c>
      <c r="R3833" s="4"/>
      <c r="S3833" s="4"/>
    </row>
    <row r="3834" spans="1:19" ht="21" customHeight="1" x14ac:dyDescent="0.25">
      <c r="A3834" s="14">
        <f>DATE(2012,12,31)-110</f>
        <v>41164</v>
      </c>
      <c r="B3834" s="15" t="s">
        <v>1308</v>
      </c>
      <c r="C3834" s="15" t="s">
        <v>31</v>
      </c>
      <c r="D3834" s="16">
        <v>3</v>
      </c>
      <c r="E3834" s="17">
        <v>143.5</v>
      </c>
      <c r="F3834" s="16">
        <v>0.08</v>
      </c>
      <c r="G3834" s="15" t="s">
        <v>32</v>
      </c>
      <c r="H3834" s="18">
        <v>-27.51</v>
      </c>
      <c r="I3834" s="19">
        <v>48.91</v>
      </c>
      <c r="J3834" s="19">
        <v>5.81</v>
      </c>
      <c r="K3834" s="19" t="s">
        <v>97</v>
      </c>
      <c r="L3834" s="19" t="s">
        <v>98</v>
      </c>
      <c r="M3834" s="15" t="s">
        <v>2085</v>
      </c>
      <c r="N3834" s="15" t="s">
        <v>36</v>
      </c>
      <c r="O3834" s="15" t="s">
        <v>117</v>
      </c>
      <c r="P3834" s="20" t="s">
        <v>662</v>
      </c>
      <c r="Q3834" s="15" t="s">
        <v>83</v>
      </c>
      <c r="R3834" s="4"/>
      <c r="S3834" s="4"/>
    </row>
    <row r="3835" spans="1:19" ht="21" customHeight="1" x14ac:dyDescent="0.25">
      <c r="A3835" s="14">
        <f>DATE(2012,12,31)-1202</f>
        <v>40072</v>
      </c>
      <c r="B3835" s="15" t="s">
        <v>1605</v>
      </c>
      <c r="C3835" s="15" t="s">
        <v>31</v>
      </c>
      <c r="D3835" s="16">
        <v>8</v>
      </c>
      <c r="E3835" s="17">
        <v>507.74</v>
      </c>
      <c r="F3835" s="16">
        <v>0.05</v>
      </c>
      <c r="G3835" s="15" t="s">
        <v>32</v>
      </c>
      <c r="H3835" s="18">
        <v>-118.54</v>
      </c>
      <c r="I3835" s="19">
        <v>55.5</v>
      </c>
      <c r="J3835" s="19">
        <v>52.2</v>
      </c>
      <c r="K3835" s="19" t="s">
        <v>124</v>
      </c>
      <c r="L3835" s="19" t="s">
        <v>164</v>
      </c>
      <c r="M3835" s="15" t="s">
        <v>2052</v>
      </c>
      <c r="N3835" s="15" t="s">
        <v>54</v>
      </c>
      <c r="O3835" s="15" t="s">
        <v>55</v>
      </c>
      <c r="P3835" s="20" t="s">
        <v>1884</v>
      </c>
      <c r="Q3835" s="15" t="s">
        <v>57</v>
      </c>
      <c r="R3835" s="4"/>
      <c r="S3835" s="4"/>
    </row>
    <row r="3836" spans="1:19" ht="21" customHeight="1" x14ac:dyDescent="0.25">
      <c r="A3836" s="14">
        <f>DATE(2012,12,31)-1202</f>
        <v>40072</v>
      </c>
      <c r="B3836" s="15" t="s">
        <v>1605</v>
      </c>
      <c r="C3836" s="15" t="s">
        <v>31</v>
      </c>
      <c r="D3836" s="16">
        <v>30</v>
      </c>
      <c r="E3836" s="17">
        <v>12600.99</v>
      </c>
      <c r="F3836" s="16">
        <v>0.05</v>
      </c>
      <c r="G3836" s="15" t="s">
        <v>58</v>
      </c>
      <c r="H3836" s="18">
        <v>2963.48</v>
      </c>
      <c r="I3836" s="19">
        <v>442.14</v>
      </c>
      <c r="J3836" s="19">
        <v>14.7</v>
      </c>
      <c r="K3836" s="19" t="s">
        <v>44</v>
      </c>
      <c r="L3836" s="19" t="s">
        <v>52</v>
      </c>
      <c r="M3836" s="15" t="s">
        <v>2068</v>
      </c>
      <c r="N3836" s="15" t="s">
        <v>64</v>
      </c>
      <c r="O3836" s="15" t="s">
        <v>122</v>
      </c>
      <c r="P3836" s="20" t="s">
        <v>1160</v>
      </c>
      <c r="Q3836" s="15" t="s">
        <v>181</v>
      </c>
      <c r="R3836" s="4"/>
      <c r="S3836" s="4"/>
    </row>
    <row r="3837" spans="1:19" ht="21" customHeight="1" x14ac:dyDescent="0.25">
      <c r="A3837" s="14">
        <f>DATE(2012,12,31)-786</f>
        <v>40488</v>
      </c>
      <c r="B3837" s="15" t="s">
        <v>406</v>
      </c>
      <c r="C3837" s="15" t="s">
        <v>31</v>
      </c>
      <c r="D3837" s="16">
        <v>23</v>
      </c>
      <c r="E3837" s="17">
        <v>67.47</v>
      </c>
      <c r="F3837" s="16">
        <v>0.03</v>
      </c>
      <c r="G3837" s="15" t="s">
        <v>32</v>
      </c>
      <c r="H3837" s="18">
        <v>-100.6</v>
      </c>
      <c r="I3837" s="19">
        <v>2.66</v>
      </c>
      <c r="J3837" s="19">
        <v>6.35</v>
      </c>
      <c r="K3837" s="19" t="s">
        <v>44</v>
      </c>
      <c r="L3837" s="19" t="s">
        <v>89</v>
      </c>
      <c r="M3837" s="15" t="s">
        <v>1932</v>
      </c>
      <c r="N3837" s="15" t="s">
        <v>36</v>
      </c>
      <c r="O3837" s="15" t="s">
        <v>189</v>
      </c>
      <c r="P3837" s="20" t="s">
        <v>2104</v>
      </c>
      <c r="Q3837" s="15" t="s">
        <v>83</v>
      </c>
      <c r="R3837" s="4"/>
      <c r="S3837" s="4"/>
    </row>
    <row r="3838" spans="1:19" ht="21" customHeight="1" x14ac:dyDescent="0.25">
      <c r="A3838" s="14">
        <f>DATE(2012,12,31)-440</f>
        <v>40834</v>
      </c>
      <c r="B3838" s="15" t="s">
        <v>1528</v>
      </c>
      <c r="C3838" s="15" t="s">
        <v>85</v>
      </c>
      <c r="D3838" s="16">
        <v>6</v>
      </c>
      <c r="E3838" s="17">
        <v>646.14</v>
      </c>
      <c r="F3838" s="16">
        <v>7.0000000000000007E-2</v>
      </c>
      <c r="G3838" s="15" t="s">
        <v>32</v>
      </c>
      <c r="H3838" s="18">
        <v>-265.62</v>
      </c>
      <c r="I3838" s="19">
        <v>101.41</v>
      </c>
      <c r="J3838" s="19">
        <v>35</v>
      </c>
      <c r="K3838" s="19" t="s">
        <v>97</v>
      </c>
      <c r="L3838" s="19" t="s">
        <v>195</v>
      </c>
      <c r="M3838" s="15" t="s">
        <v>2040</v>
      </c>
      <c r="N3838" s="15" t="s">
        <v>36</v>
      </c>
      <c r="O3838" s="15" t="s">
        <v>37</v>
      </c>
      <c r="P3838" s="20" t="s">
        <v>1411</v>
      </c>
      <c r="Q3838" s="15" t="s">
        <v>39</v>
      </c>
      <c r="R3838" s="4"/>
      <c r="S3838" s="4"/>
    </row>
    <row r="3839" spans="1:19" ht="21" customHeight="1" x14ac:dyDescent="0.25">
      <c r="A3839" s="14">
        <f>DATE(2012,12,31)-440</f>
        <v>40834</v>
      </c>
      <c r="B3839" s="15" t="s">
        <v>1528</v>
      </c>
      <c r="C3839" s="15" t="s">
        <v>85</v>
      </c>
      <c r="D3839" s="16">
        <v>16</v>
      </c>
      <c r="E3839" s="17">
        <v>323.26</v>
      </c>
      <c r="F3839" s="16">
        <v>0.06</v>
      </c>
      <c r="G3839" s="15" t="s">
        <v>32</v>
      </c>
      <c r="H3839" s="18">
        <v>98.34</v>
      </c>
      <c r="I3839" s="19">
        <v>20.239999999999998</v>
      </c>
      <c r="J3839" s="19">
        <v>6.67</v>
      </c>
      <c r="K3839" s="19" t="s">
        <v>124</v>
      </c>
      <c r="L3839" s="19" t="s">
        <v>493</v>
      </c>
      <c r="M3839" s="15" t="s">
        <v>2117</v>
      </c>
      <c r="N3839" s="15" t="s">
        <v>54</v>
      </c>
      <c r="O3839" s="15" t="s">
        <v>55</v>
      </c>
      <c r="P3839" s="20" t="s">
        <v>960</v>
      </c>
      <c r="Q3839" s="15" t="s">
        <v>49</v>
      </c>
      <c r="R3839" s="4"/>
      <c r="S3839" s="4"/>
    </row>
    <row r="3840" spans="1:19" ht="21" customHeight="1" x14ac:dyDescent="0.25">
      <c r="A3840" s="14">
        <f>DATE(2012,12,31)-591</f>
        <v>40683</v>
      </c>
      <c r="B3840" s="15" t="s">
        <v>1364</v>
      </c>
      <c r="C3840" s="15" t="s">
        <v>85</v>
      </c>
      <c r="D3840" s="16">
        <v>25</v>
      </c>
      <c r="E3840" s="17">
        <v>74.069999999999993</v>
      </c>
      <c r="F3840" s="16">
        <v>0.04</v>
      </c>
      <c r="G3840" s="15" t="s">
        <v>32</v>
      </c>
      <c r="H3840" s="18">
        <v>4.3689999999999998</v>
      </c>
      <c r="I3840" s="19">
        <v>2.88</v>
      </c>
      <c r="J3840" s="19">
        <v>1.49</v>
      </c>
      <c r="K3840" s="19" t="s">
        <v>124</v>
      </c>
      <c r="L3840" s="19" t="s">
        <v>493</v>
      </c>
      <c r="M3840" s="15" t="s">
        <v>2117</v>
      </c>
      <c r="N3840" s="15" t="s">
        <v>36</v>
      </c>
      <c r="O3840" s="15" t="s">
        <v>170</v>
      </c>
      <c r="P3840" s="20" t="s">
        <v>806</v>
      </c>
      <c r="Q3840" s="15" t="s">
        <v>83</v>
      </c>
      <c r="R3840" s="4"/>
      <c r="S3840" s="4"/>
    </row>
    <row r="3841" spans="1:19" ht="21" customHeight="1" x14ac:dyDescent="0.25">
      <c r="A3841" s="14">
        <f>DATE(2012,12,31)-591</f>
        <v>40683</v>
      </c>
      <c r="B3841" s="15" t="s">
        <v>1364</v>
      </c>
      <c r="C3841" s="15" t="s">
        <v>85</v>
      </c>
      <c r="D3841" s="16">
        <v>29</v>
      </c>
      <c r="E3841" s="17">
        <v>1529.0565000000001</v>
      </c>
      <c r="F3841" s="16">
        <v>0.06</v>
      </c>
      <c r="G3841" s="15" t="s">
        <v>32</v>
      </c>
      <c r="H3841" s="18">
        <v>201.726</v>
      </c>
      <c r="I3841" s="19">
        <v>65.989999999999995</v>
      </c>
      <c r="J3841" s="19">
        <v>3.99</v>
      </c>
      <c r="K3841" s="19" t="s">
        <v>124</v>
      </c>
      <c r="L3841" s="19" t="s">
        <v>164</v>
      </c>
      <c r="M3841" s="15" t="s">
        <v>2052</v>
      </c>
      <c r="N3841" s="15" t="s">
        <v>64</v>
      </c>
      <c r="O3841" s="15" t="s">
        <v>65</v>
      </c>
      <c r="P3841" s="20" t="s">
        <v>689</v>
      </c>
      <c r="Q3841" s="15" t="s">
        <v>83</v>
      </c>
      <c r="R3841" s="4"/>
      <c r="S3841" s="4"/>
    </row>
    <row r="3842" spans="1:19" ht="21" customHeight="1" x14ac:dyDescent="0.25">
      <c r="A3842" s="14">
        <f>DATE(2012,12,31)-304</f>
        <v>40970</v>
      </c>
      <c r="B3842" s="15" t="s">
        <v>1067</v>
      </c>
      <c r="C3842" s="15" t="s">
        <v>31</v>
      </c>
      <c r="D3842" s="16">
        <v>37</v>
      </c>
      <c r="E3842" s="17">
        <v>5753.85</v>
      </c>
      <c r="F3842" s="16">
        <v>0</v>
      </c>
      <c r="G3842" s="15" t="s">
        <v>32</v>
      </c>
      <c r="H3842" s="18">
        <v>2509.52</v>
      </c>
      <c r="I3842" s="19">
        <v>150.97999999999999</v>
      </c>
      <c r="J3842" s="19">
        <v>13.99</v>
      </c>
      <c r="K3842" s="19" t="s">
        <v>33</v>
      </c>
      <c r="L3842" s="19" t="s">
        <v>59</v>
      </c>
      <c r="M3842" s="15" t="s">
        <v>2091</v>
      </c>
      <c r="N3842" s="15" t="s">
        <v>64</v>
      </c>
      <c r="O3842" s="15" t="s">
        <v>122</v>
      </c>
      <c r="P3842" s="20" t="s">
        <v>123</v>
      </c>
      <c r="Q3842" s="15" t="s">
        <v>57</v>
      </c>
      <c r="R3842" s="4"/>
      <c r="S3842" s="4"/>
    </row>
    <row r="3843" spans="1:19" ht="21" customHeight="1" x14ac:dyDescent="0.25">
      <c r="A3843" s="14">
        <f>DATE(2012,12,31)-754</f>
        <v>40520</v>
      </c>
      <c r="B3843" s="15" t="s">
        <v>1021</v>
      </c>
      <c r="C3843" s="15" t="s">
        <v>85</v>
      </c>
      <c r="D3843" s="16">
        <v>14</v>
      </c>
      <c r="E3843" s="17">
        <v>138.31</v>
      </c>
      <c r="F3843" s="16">
        <v>7.0000000000000007E-2</v>
      </c>
      <c r="G3843" s="15" t="s">
        <v>32</v>
      </c>
      <c r="H3843" s="18">
        <v>-31.16</v>
      </c>
      <c r="I3843" s="19">
        <v>9.77</v>
      </c>
      <c r="J3843" s="19">
        <v>6.02</v>
      </c>
      <c r="K3843" s="19" t="s">
        <v>33</v>
      </c>
      <c r="L3843" s="19" t="s">
        <v>145</v>
      </c>
      <c r="M3843" s="15" t="s">
        <v>2055</v>
      </c>
      <c r="N3843" s="15" t="s">
        <v>54</v>
      </c>
      <c r="O3843" s="15" t="s">
        <v>55</v>
      </c>
      <c r="P3843" s="20" t="s">
        <v>1171</v>
      </c>
      <c r="Q3843" s="15" t="s">
        <v>57</v>
      </c>
      <c r="R3843" s="4"/>
      <c r="S3843" s="4"/>
    </row>
    <row r="3844" spans="1:19" ht="21" customHeight="1" x14ac:dyDescent="0.25">
      <c r="A3844" s="14">
        <f>DATE(2012,12,31)-1042</f>
        <v>40232</v>
      </c>
      <c r="B3844" s="15" t="s">
        <v>282</v>
      </c>
      <c r="C3844" s="15" t="s">
        <v>31</v>
      </c>
      <c r="D3844" s="16">
        <v>41</v>
      </c>
      <c r="E3844" s="17">
        <v>438.66</v>
      </c>
      <c r="F3844" s="16">
        <v>0.01</v>
      </c>
      <c r="G3844" s="15" t="s">
        <v>32</v>
      </c>
      <c r="H3844" s="18">
        <v>58.86</v>
      </c>
      <c r="I3844" s="19">
        <v>9.99</v>
      </c>
      <c r="J3844" s="19">
        <v>4.78</v>
      </c>
      <c r="K3844" s="19" t="s">
        <v>33</v>
      </c>
      <c r="L3844" s="19" t="s">
        <v>145</v>
      </c>
      <c r="M3844" s="15" t="s">
        <v>2055</v>
      </c>
      <c r="N3844" s="15" t="s">
        <v>36</v>
      </c>
      <c r="O3844" s="15" t="s">
        <v>117</v>
      </c>
      <c r="P3844" s="20" t="s">
        <v>2118</v>
      </c>
      <c r="Q3844" s="15" t="s">
        <v>83</v>
      </c>
      <c r="R3844" s="4"/>
      <c r="S3844" s="4"/>
    </row>
    <row r="3845" spans="1:19" ht="21" customHeight="1" x14ac:dyDescent="0.25">
      <c r="A3845" s="14">
        <f>DATE(2012,12,31)-1042</f>
        <v>40232</v>
      </c>
      <c r="B3845" s="15" t="s">
        <v>282</v>
      </c>
      <c r="C3845" s="15" t="s">
        <v>31</v>
      </c>
      <c r="D3845" s="16">
        <v>32</v>
      </c>
      <c r="E3845" s="17">
        <v>416.99</v>
      </c>
      <c r="F3845" s="16">
        <v>0.02</v>
      </c>
      <c r="G3845" s="15" t="s">
        <v>101</v>
      </c>
      <c r="H3845" s="18">
        <v>-93.62</v>
      </c>
      <c r="I3845" s="19">
        <v>12.88</v>
      </c>
      <c r="J3845" s="19">
        <v>4.59</v>
      </c>
      <c r="K3845" s="19" t="s">
        <v>33</v>
      </c>
      <c r="L3845" s="19" t="s">
        <v>145</v>
      </c>
      <c r="M3845" s="15" t="s">
        <v>2055</v>
      </c>
      <c r="N3845" s="15" t="s">
        <v>36</v>
      </c>
      <c r="O3845" s="15" t="s">
        <v>47</v>
      </c>
      <c r="P3845" s="20" t="s">
        <v>1538</v>
      </c>
      <c r="Q3845" s="15" t="s">
        <v>79</v>
      </c>
      <c r="R3845" s="4"/>
      <c r="S3845" s="4"/>
    </row>
    <row r="3846" spans="1:19" ht="21" customHeight="1" x14ac:dyDescent="0.25">
      <c r="A3846" s="14">
        <f>DATE(2012,12,31)-700</f>
        <v>40574</v>
      </c>
      <c r="B3846" s="15" t="s">
        <v>923</v>
      </c>
      <c r="C3846" s="15" t="s">
        <v>51</v>
      </c>
      <c r="D3846" s="16">
        <v>12</v>
      </c>
      <c r="E3846" s="17">
        <v>82.64</v>
      </c>
      <c r="F3846" s="16">
        <v>0.1</v>
      </c>
      <c r="G3846" s="15" t="s">
        <v>32</v>
      </c>
      <c r="H3846" s="18">
        <v>0.35</v>
      </c>
      <c r="I3846" s="19">
        <v>7.08</v>
      </c>
      <c r="J3846" s="19">
        <v>2.35</v>
      </c>
      <c r="K3846" s="19" t="s">
        <v>33</v>
      </c>
      <c r="L3846" s="19" t="s">
        <v>59</v>
      </c>
      <c r="M3846" s="15" t="s">
        <v>2091</v>
      </c>
      <c r="N3846" s="15" t="s">
        <v>36</v>
      </c>
      <c r="O3846" s="15" t="s">
        <v>77</v>
      </c>
      <c r="P3846" s="20" t="s">
        <v>1833</v>
      </c>
      <c r="Q3846" s="15" t="s">
        <v>79</v>
      </c>
      <c r="R3846" s="4"/>
      <c r="S3846" s="4"/>
    </row>
    <row r="3847" spans="1:19" ht="21" customHeight="1" x14ac:dyDescent="0.25">
      <c r="A3847" s="14">
        <f>DATE(2012,12,31)-700</f>
        <v>40574</v>
      </c>
      <c r="B3847" s="15" t="s">
        <v>923</v>
      </c>
      <c r="C3847" s="15" t="s">
        <v>51</v>
      </c>
      <c r="D3847" s="16">
        <v>3</v>
      </c>
      <c r="E3847" s="17">
        <v>315.27</v>
      </c>
      <c r="F3847" s="16">
        <v>0.08</v>
      </c>
      <c r="G3847" s="15" t="s">
        <v>32</v>
      </c>
      <c r="H3847" s="18">
        <v>278.60000000000002</v>
      </c>
      <c r="I3847" s="19">
        <v>105.98</v>
      </c>
      <c r="J3847" s="19">
        <v>13.99</v>
      </c>
      <c r="K3847" s="19" t="s">
        <v>33</v>
      </c>
      <c r="L3847" s="19" t="s">
        <v>34</v>
      </c>
      <c r="M3847" s="15" t="s">
        <v>2043</v>
      </c>
      <c r="N3847" s="15" t="s">
        <v>54</v>
      </c>
      <c r="O3847" s="15" t="s">
        <v>55</v>
      </c>
      <c r="P3847" s="20" t="s">
        <v>1151</v>
      </c>
      <c r="Q3847" s="15" t="s">
        <v>57</v>
      </c>
      <c r="R3847" s="4"/>
      <c r="S3847" s="4"/>
    </row>
    <row r="3848" spans="1:19" ht="21" customHeight="1" x14ac:dyDescent="0.25">
      <c r="A3848" s="14">
        <f>DATE(2012,12,31)-1361</f>
        <v>39913</v>
      </c>
      <c r="B3848" s="15" t="s">
        <v>1876</v>
      </c>
      <c r="C3848" s="15" t="s">
        <v>43</v>
      </c>
      <c r="D3848" s="16">
        <v>29</v>
      </c>
      <c r="E3848" s="17">
        <v>9492.92</v>
      </c>
      <c r="F3848" s="16">
        <v>0.05</v>
      </c>
      <c r="G3848" s="15" t="s">
        <v>58</v>
      </c>
      <c r="H3848" s="18">
        <v>772.04</v>
      </c>
      <c r="I3848" s="19">
        <v>328.14</v>
      </c>
      <c r="J3848" s="19">
        <v>91.05</v>
      </c>
      <c r="K3848" s="19" t="s">
        <v>33</v>
      </c>
      <c r="L3848" s="19" t="s">
        <v>59</v>
      </c>
      <c r="M3848" s="15" t="s">
        <v>2091</v>
      </c>
      <c r="N3848" s="15" t="s">
        <v>36</v>
      </c>
      <c r="O3848" s="15" t="s">
        <v>176</v>
      </c>
      <c r="P3848" s="20" t="s">
        <v>549</v>
      </c>
      <c r="Q3848" s="15" t="s">
        <v>181</v>
      </c>
      <c r="R3848" s="4"/>
      <c r="S3848" s="4"/>
    </row>
    <row r="3849" spans="1:19" ht="21" customHeight="1" x14ac:dyDescent="0.25">
      <c r="A3849" s="14">
        <f>DATE(2012,12,31)-1329</f>
        <v>39945</v>
      </c>
      <c r="B3849" s="15" t="s">
        <v>1278</v>
      </c>
      <c r="C3849" s="15" t="s">
        <v>43</v>
      </c>
      <c r="D3849" s="16">
        <v>7</v>
      </c>
      <c r="E3849" s="17">
        <v>855.03</v>
      </c>
      <c r="F3849" s="16">
        <v>0.08</v>
      </c>
      <c r="G3849" s="15" t="s">
        <v>32</v>
      </c>
      <c r="H3849" s="18">
        <v>-1.6800000000000068</v>
      </c>
      <c r="I3849" s="19">
        <v>128.24</v>
      </c>
      <c r="J3849" s="19">
        <v>12.65</v>
      </c>
      <c r="K3849" s="19" t="s">
        <v>33</v>
      </c>
      <c r="L3849" s="19" t="s">
        <v>145</v>
      </c>
      <c r="M3849" s="15" t="s">
        <v>2055</v>
      </c>
      <c r="N3849" s="15" t="s">
        <v>54</v>
      </c>
      <c r="O3849" s="15" t="s">
        <v>252</v>
      </c>
      <c r="P3849" s="20" t="s">
        <v>585</v>
      </c>
      <c r="Q3849" s="15" t="s">
        <v>57</v>
      </c>
      <c r="R3849" s="4"/>
      <c r="S3849" s="4"/>
    </row>
    <row r="3850" spans="1:19" ht="21" customHeight="1" x14ac:dyDescent="0.25">
      <c r="A3850" s="14">
        <f>DATE(2012,12,31)-1329</f>
        <v>39945</v>
      </c>
      <c r="B3850" s="15" t="s">
        <v>1278</v>
      </c>
      <c r="C3850" s="15" t="s">
        <v>43</v>
      </c>
      <c r="D3850" s="16">
        <v>31</v>
      </c>
      <c r="E3850" s="17">
        <v>196.58</v>
      </c>
      <c r="F3850" s="16">
        <v>0.04</v>
      </c>
      <c r="G3850" s="15" t="s">
        <v>32</v>
      </c>
      <c r="H3850" s="18">
        <v>-102.16</v>
      </c>
      <c r="I3850" s="19">
        <v>5.98</v>
      </c>
      <c r="J3850" s="19">
        <v>4.38</v>
      </c>
      <c r="K3850" s="19" t="s">
        <v>33</v>
      </c>
      <c r="L3850" s="19" t="s">
        <v>59</v>
      </c>
      <c r="M3850" s="15" t="s">
        <v>2091</v>
      </c>
      <c r="N3850" s="15" t="s">
        <v>64</v>
      </c>
      <c r="O3850" s="15" t="s">
        <v>72</v>
      </c>
      <c r="P3850" s="20" t="s">
        <v>618</v>
      </c>
      <c r="Q3850" s="15" t="s">
        <v>49</v>
      </c>
      <c r="R3850" s="4"/>
      <c r="S3850" s="4"/>
    </row>
    <row r="3851" spans="1:19" ht="21" customHeight="1" x14ac:dyDescent="0.25">
      <c r="A3851" s="14">
        <f>DATE(2012,12,31)-1039</f>
        <v>40235</v>
      </c>
      <c r="B3851" s="15" t="s">
        <v>239</v>
      </c>
      <c r="C3851" s="15" t="s">
        <v>85</v>
      </c>
      <c r="D3851" s="16">
        <v>40</v>
      </c>
      <c r="E3851" s="17">
        <v>121.92</v>
      </c>
      <c r="F3851" s="16">
        <v>0.09</v>
      </c>
      <c r="G3851" s="15" t="s">
        <v>101</v>
      </c>
      <c r="H3851" s="18">
        <v>51.23</v>
      </c>
      <c r="I3851" s="19">
        <v>2.88</v>
      </c>
      <c r="J3851" s="19">
        <v>0.5</v>
      </c>
      <c r="K3851" s="19" t="s">
        <v>33</v>
      </c>
      <c r="L3851" s="19" t="s">
        <v>145</v>
      </c>
      <c r="M3851" s="15" t="s">
        <v>2055</v>
      </c>
      <c r="N3851" s="15" t="s">
        <v>36</v>
      </c>
      <c r="O3851" s="15" t="s">
        <v>114</v>
      </c>
      <c r="P3851" s="20" t="s">
        <v>2097</v>
      </c>
      <c r="Q3851" s="15" t="s">
        <v>83</v>
      </c>
      <c r="R3851" s="4"/>
      <c r="S3851" s="4"/>
    </row>
    <row r="3852" spans="1:19" ht="21" customHeight="1" x14ac:dyDescent="0.25">
      <c r="A3852" s="14">
        <f>DATE(2012,12,31)-1039</f>
        <v>40235</v>
      </c>
      <c r="B3852" s="15" t="s">
        <v>239</v>
      </c>
      <c r="C3852" s="15" t="s">
        <v>85</v>
      </c>
      <c r="D3852" s="16">
        <v>26</v>
      </c>
      <c r="E3852" s="17">
        <v>1096.17</v>
      </c>
      <c r="F3852" s="16">
        <v>0.01</v>
      </c>
      <c r="G3852" s="15" t="s">
        <v>32</v>
      </c>
      <c r="H3852" s="18">
        <v>110.78</v>
      </c>
      <c r="I3852" s="19">
        <v>40.99</v>
      </c>
      <c r="J3852" s="19">
        <v>19.989999999999998</v>
      </c>
      <c r="K3852" s="19" t="s">
        <v>33</v>
      </c>
      <c r="L3852" s="19" t="s">
        <v>34</v>
      </c>
      <c r="M3852" s="15" t="s">
        <v>2043</v>
      </c>
      <c r="N3852" s="15" t="s">
        <v>36</v>
      </c>
      <c r="O3852" s="15" t="s">
        <v>117</v>
      </c>
      <c r="P3852" s="20" t="s">
        <v>619</v>
      </c>
      <c r="Q3852" s="15" t="s">
        <v>83</v>
      </c>
      <c r="R3852" s="4"/>
      <c r="S3852" s="4"/>
    </row>
    <row r="3853" spans="1:19" ht="21" customHeight="1" x14ac:dyDescent="0.25">
      <c r="A3853" s="14">
        <f>DATE(2012,12,31)-1144</f>
        <v>40130</v>
      </c>
      <c r="B3853" s="15" t="s">
        <v>932</v>
      </c>
      <c r="C3853" s="15" t="s">
        <v>85</v>
      </c>
      <c r="D3853" s="16">
        <v>31</v>
      </c>
      <c r="E3853" s="17">
        <v>835.11</v>
      </c>
      <c r="F3853" s="16">
        <v>0</v>
      </c>
      <c r="G3853" s="15" t="s">
        <v>32</v>
      </c>
      <c r="H3853" s="18">
        <v>213.79</v>
      </c>
      <c r="I3853" s="19">
        <v>25.38</v>
      </c>
      <c r="J3853" s="19">
        <v>8.99</v>
      </c>
      <c r="K3853" s="19" t="s">
        <v>69</v>
      </c>
      <c r="L3853" s="19" t="s">
        <v>75</v>
      </c>
      <c r="M3853" s="15" t="s">
        <v>1980</v>
      </c>
      <c r="N3853" s="15" t="s">
        <v>54</v>
      </c>
      <c r="O3853" s="15" t="s">
        <v>55</v>
      </c>
      <c r="P3853" s="20" t="s">
        <v>947</v>
      </c>
      <c r="Q3853" s="15" t="s">
        <v>49</v>
      </c>
      <c r="R3853" s="4"/>
      <c r="S3853" s="4"/>
    </row>
    <row r="3854" spans="1:19" ht="21" customHeight="1" x14ac:dyDescent="0.25">
      <c r="A3854" s="14">
        <f>DATE(2012,12,31)-1144</f>
        <v>40130</v>
      </c>
      <c r="B3854" s="15" t="s">
        <v>932</v>
      </c>
      <c r="C3854" s="15" t="s">
        <v>85</v>
      </c>
      <c r="D3854" s="16">
        <v>10</v>
      </c>
      <c r="E3854" s="17">
        <v>54.52</v>
      </c>
      <c r="F3854" s="16">
        <v>0.01</v>
      </c>
      <c r="G3854" s="15" t="s">
        <v>32</v>
      </c>
      <c r="H3854" s="18">
        <v>-20.57</v>
      </c>
      <c r="I3854" s="19">
        <v>4.9800000000000004</v>
      </c>
      <c r="J3854" s="19">
        <v>4.72</v>
      </c>
      <c r="K3854" s="19" t="s">
        <v>69</v>
      </c>
      <c r="L3854" s="19" t="s">
        <v>70</v>
      </c>
      <c r="M3854" s="15" t="s">
        <v>1895</v>
      </c>
      <c r="N3854" s="15" t="s">
        <v>36</v>
      </c>
      <c r="O3854" s="15" t="s">
        <v>117</v>
      </c>
      <c r="P3854" s="20" t="s">
        <v>308</v>
      </c>
      <c r="Q3854" s="15" t="s">
        <v>83</v>
      </c>
      <c r="R3854" s="4"/>
      <c r="S3854" s="4"/>
    </row>
    <row r="3855" spans="1:19" ht="21" customHeight="1" x14ac:dyDescent="0.25">
      <c r="A3855" s="14">
        <f>DATE(2012,12,31)-292</f>
        <v>40982</v>
      </c>
      <c r="B3855" s="15" t="s">
        <v>2119</v>
      </c>
      <c r="C3855" s="15" t="s">
        <v>43</v>
      </c>
      <c r="D3855" s="16">
        <v>18</v>
      </c>
      <c r="E3855" s="17">
        <v>611.71</v>
      </c>
      <c r="F3855" s="16">
        <v>0.02</v>
      </c>
      <c r="G3855" s="15" t="s">
        <v>32</v>
      </c>
      <c r="H3855" s="18">
        <v>93.228000000000009</v>
      </c>
      <c r="I3855" s="19">
        <v>31.74</v>
      </c>
      <c r="J3855" s="19">
        <v>12.62</v>
      </c>
      <c r="K3855" s="19" t="s">
        <v>69</v>
      </c>
      <c r="L3855" s="19" t="s">
        <v>70</v>
      </c>
      <c r="M3855" s="15" t="s">
        <v>1895</v>
      </c>
      <c r="N3855" s="15" t="s">
        <v>36</v>
      </c>
      <c r="O3855" s="15" t="s">
        <v>170</v>
      </c>
      <c r="P3855" s="20" t="s">
        <v>1344</v>
      </c>
      <c r="Q3855" s="15" t="s">
        <v>83</v>
      </c>
      <c r="R3855" s="4"/>
      <c r="S3855" s="4"/>
    </row>
    <row r="3856" spans="1:19" ht="21" customHeight="1" x14ac:dyDescent="0.25">
      <c r="A3856" s="14">
        <f>DATE(2012,12,31)-1362</f>
        <v>39912</v>
      </c>
      <c r="B3856" s="15" t="s">
        <v>119</v>
      </c>
      <c r="C3856" s="15" t="s">
        <v>43</v>
      </c>
      <c r="D3856" s="16">
        <v>11</v>
      </c>
      <c r="E3856" s="17">
        <v>985.01</v>
      </c>
      <c r="F3856" s="16">
        <v>0.04</v>
      </c>
      <c r="G3856" s="15" t="s">
        <v>32</v>
      </c>
      <c r="H3856" s="18">
        <v>186.05</v>
      </c>
      <c r="I3856" s="19">
        <v>90.48</v>
      </c>
      <c r="J3856" s="19">
        <v>19.989999999999998</v>
      </c>
      <c r="K3856" s="19" t="s">
        <v>69</v>
      </c>
      <c r="L3856" s="19" t="s">
        <v>75</v>
      </c>
      <c r="M3856" s="15" t="s">
        <v>1980</v>
      </c>
      <c r="N3856" s="15" t="s">
        <v>36</v>
      </c>
      <c r="O3856" s="15" t="s">
        <v>189</v>
      </c>
      <c r="P3856" s="20" t="s">
        <v>963</v>
      </c>
      <c r="Q3856" s="15" t="s">
        <v>83</v>
      </c>
      <c r="R3856" s="4"/>
      <c r="S3856" s="4"/>
    </row>
    <row r="3857" spans="1:19" ht="21" customHeight="1" x14ac:dyDescent="0.25">
      <c r="A3857" s="14">
        <f>DATE(2012,12,31)-1362</f>
        <v>39912</v>
      </c>
      <c r="B3857" s="15" t="s">
        <v>119</v>
      </c>
      <c r="C3857" s="15" t="s">
        <v>43</v>
      </c>
      <c r="D3857" s="16">
        <v>36</v>
      </c>
      <c r="E3857" s="17">
        <v>350.71</v>
      </c>
      <c r="F3857" s="16">
        <v>0.02</v>
      </c>
      <c r="G3857" s="15" t="s">
        <v>32</v>
      </c>
      <c r="H3857" s="18">
        <v>-15.3</v>
      </c>
      <c r="I3857" s="19">
        <v>9.77</v>
      </c>
      <c r="J3857" s="19">
        <v>6.02</v>
      </c>
      <c r="K3857" s="19" t="s">
        <v>69</v>
      </c>
      <c r="L3857" s="19" t="s">
        <v>75</v>
      </c>
      <c r="M3857" s="15" t="s">
        <v>1980</v>
      </c>
      <c r="N3857" s="15" t="s">
        <v>54</v>
      </c>
      <c r="O3857" s="15" t="s">
        <v>55</v>
      </c>
      <c r="P3857" s="20" t="s">
        <v>1171</v>
      </c>
      <c r="Q3857" s="15" t="s">
        <v>57</v>
      </c>
      <c r="R3857" s="4"/>
      <c r="S3857" s="4"/>
    </row>
    <row r="3858" spans="1:19" ht="21" customHeight="1" x14ac:dyDescent="0.25">
      <c r="A3858" s="14">
        <f>DATE(2012,12,31)-1362</f>
        <v>39912</v>
      </c>
      <c r="B3858" s="15" t="s">
        <v>119</v>
      </c>
      <c r="C3858" s="15" t="s">
        <v>43</v>
      </c>
      <c r="D3858" s="16">
        <v>2</v>
      </c>
      <c r="E3858" s="17">
        <v>75.23</v>
      </c>
      <c r="F3858" s="16">
        <v>0.09</v>
      </c>
      <c r="G3858" s="15" t="s">
        <v>32</v>
      </c>
      <c r="H3858" s="18">
        <v>-51.5</v>
      </c>
      <c r="I3858" s="19">
        <v>34.99</v>
      </c>
      <c r="J3858" s="19">
        <v>7.73</v>
      </c>
      <c r="K3858" s="19" t="s">
        <v>69</v>
      </c>
      <c r="L3858" s="19" t="s">
        <v>70</v>
      </c>
      <c r="M3858" s="15" t="s">
        <v>1895</v>
      </c>
      <c r="N3858" s="15" t="s">
        <v>36</v>
      </c>
      <c r="O3858" s="15" t="s">
        <v>77</v>
      </c>
      <c r="P3858" s="20" t="s">
        <v>2113</v>
      </c>
      <c r="Q3858" s="15" t="s">
        <v>83</v>
      </c>
      <c r="R3858" s="4"/>
      <c r="S3858" s="4"/>
    </row>
    <row r="3859" spans="1:19" ht="21" customHeight="1" x14ac:dyDescent="0.25">
      <c r="A3859" s="14">
        <f>DATE(2012,12,31)-1064</f>
        <v>40210</v>
      </c>
      <c r="B3859" s="15" t="s">
        <v>690</v>
      </c>
      <c r="C3859" s="15" t="s">
        <v>43</v>
      </c>
      <c r="D3859" s="16">
        <v>50</v>
      </c>
      <c r="E3859" s="17">
        <v>343.94</v>
      </c>
      <c r="F3859" s="16">
        <v>0.02</v>
      </c>
      <c r="G3859" s="15" t="s">
        <v>32</v>
      </c>
      <c r="H3859" s="18">
        <v>-157.4</v>
      </c>
      <c r="I3859" s="19">
        <v>6.48</v>
      </c>
      <c r="J3859" s="19">
        <v>7.37</v>
      </c>
      <c r="K3859" s="19" t="s">
        <v>69</v>
      </c>
      <c r="L3859" s="19" t="s">
        <v>75</v>
      </c>
      <c r="M3859" s="15" t="s">
        <v>1980</v>
      </c>
      <c r="N3859" s="15" t="s">
        <v>36</v>
      </c>
      <c r="O3859" s="15" t="s">
        <v>117</v>
      </c>
      <c r="P3859" s="20" t="s">
        <v>998</v>
      </c>
      <c r="Q3859" s="15" t="s">
        <v>83</v>
      </c>
      <c r="R3859" s="4"/>
      <c r="S3859" s="4"/>
    </row>
    <row r="3860" spans="1:19" ht="21" customHeight="1" x14ac:dyDescent="0.25">
      <c r="A3860" s="14">
        <f>DATE(2012,12,31)-762</f>
        <v>40512</v>
      </c>
      <c r="B3860" s="15" t="s">
        <v>620</v>
      </c>
      <c r="C3860" s="15" t="s">
        <v>85</v>
      </c>
      <c r="D3860" s="16">
        <v>37</v>
      </c>
      <c r="E3860" s="17">
        <v>376.58</v>
      </c>
      <c r="F3860" s="16">
        <v>0.09</v>
      </c>
      <c r="G3860" s="15" t="s">
        <v>32</v>
      </c>
      <c r="H3860" s="18">
        <v>1.33</v>
      </c>
      <c r="I3860" s="19">
        <v>10.4</v>
      </c>
      <c r="J3860" s="19">
        <v>5.4</v>
      </c>
      <c r="K3860" s="19" t="s">
        <v>69</v>
      </c>
      <c r="L3860" s="19" t="s">
        <v>70</v>
      </c>
      <c r="M3860" s="15" t="s">
        <v>1895</v>
      </c>
      <c r="N3860" s="15" t="s">
        <v>54</v>
      </c>
      <c r="O3860" s="15" t="s">
        <v>55</v>
      </c>
      <c r="P3860" s="20" t="s">
        <v>1435</v>
      </c>
      <c r="Q3860" s="15" t="s">
        <v>49</v>
      </c>
      <c r="R3860" s="4"/>
      <c r="S3860" s="4"/>
    </row>
    <row r="3861" spans="1:19" ht="21" customHeight="1" x14ac:dyDescent="0.25">
      <c r="A3861" s="14">
        <f>DATE(2012,12,31)-507</f>
        <v>40767</v>
      </c>
      <c r="B3861" s="15" t="s">
        <v>436</v>
      </c>
      <c r="C3861" s="15" t="s">
        <v>85</v>
      </c>
      <c r="D3861" s="16">
        <v>48</v>
      </c>
      <c r="E3861" s="17">
        <v>18235.47</v>
      </c>
      <c r="F3861" s="16">
        <v>0.03</v>
      </c>
      <c r="G3861" s="15" t="s">
        <v>58</v>
      </c>
      <c r="H3861" s="18">
        <v>1166.93</v>
      </c>
      <c r="I3861" s="19">
        <v>370.98</v>
      </c>
      <c r="J3861" s="19">
        <v>99</v>
      </c>
      <c r="K3861" s="19" t="s">
        <v>69</v>
      </c>
      <c r="L3861" s="19" t="s">
        <v>215</v>
      </c>
      <c r="M3861" s="15" t="s">
        <v>2120</v>
      </c>
      <c r="N3861" s="15" t="s">
        <v>36</v>
      </c>
      <c r="O3861" s="15" t="s">
        <v>37</v>
      </c>
      <c r="P3861" s="20" t="s">
        <v>532</v>
      </c>
      <c r="Q3861" s="15" t="s">
        <v>181</v>
      </c>
      <c r="R3861" s="4"/>
      <c r="S3861" s="4"/>
    </row>
    <row r="3862" spans="1:19" ht="21" customHeight="1" x14ac:dyDescent="0.25">
      <c r="A3862" s="14">
        <f>DATE(2012,12,31)-507</f>
        <v>40767</v>
      </c>
      <c r="B3862" s="15" t="s">
        <v>436</v>
      </c>
      <c r="C3862" s="15" t="s">
        <v>85</v>
      </c>
      <c r="D3862" s="16">
        <v>16</v>
      </c>
      <c r="E3862" s="17">
        <v>2631.107</v>
      </c>
      <c r="F3862" s="16">
        <v>0</v>
      </c>
      <c r="G3862" s="15" t="s">
        <v>32</v>
      </c>
      <c r="H3862" s="18">
        <v>297.108</v>
      </c>
      <c r="I3862" s="19">
        <v>179.99</v>
      </c>
      <c r="J3862" s="19">
        <v>13.99</v>
      </c>
      <c r="K3862" s="19" t="s">
        <v>69</v>
      </c>
      <c r="L3862" s="19" t="s">
        <v>215</v>
      </c>
      <c r="M3862" s="15" t="s">
        <v>2120</v>
      </c>
      <c r="N3862" s="15" t="s">
        <v>64</v>
      </c>
      <c r="O3862" s="15" t="s">
        <v>65</v>
      </c>
      <c r="P3862" s="20" t="s">
        <v>205</v>
      </c>
      <c r="Q3862" s="15" t="s">
        <v>57</v>
      </c>
      <c r="R3862" s="4"/>
      <c r="S3862" s="4"/>
    </row>
    <row r="3863" spans="1:19" ht="21" customHeight="1" x14ac:dyDescent="0.25">
      <c r="A3863" s="14">
        <f>DATE(2012,12,31)-662</f>
        <v>40612</v>
      </c>
      <c r="B3863" s="15" t="s">
        <v>548</v>
      </c>
      <c r="C3863" s="15" t="s">
        <v>85</v>
      </c>
      <c r="D3863" s="16">
        <v>45</v>
      </c>
      <c r="E3863" s="17">
        <v>12685.544000000002</v>
      </c>
      <c r="F3863" s="16">
        <v>0.02</v>
      </c>
      <c r="G3863" s="15" t="s">
        <v>58</v>
      </c>
      <c r="H3863" s="18">
        <v>3985.11</v>
      </c>
      <c r="I3863" s="19">
        <v>348.21</v>
      </c>
      <c r="J3863" s="19">
        <v>40.19</v>
      </c>
      <c r="K3863" s="19" t="s">
        <v>69</v>
      </c>
      <c r="L3863" s="19" t="s">
        <v>215</v>
      </c>
      <c r="M3863" s="15" t="s">
        <v>2120</v>
      </c>
      <c r="N3863" s="15" t="s">
        <v>54</v>
      </c>
      <c r="O3863" s="15" t="s">
        <v>61</v>
      </c>
      <c r="P3863" s="20" t="s">
        <v>1141</v>
      </c>
      <c r="Q3863" s="15" t="s">
        <v>63</v>
      </c>
      <c r="R3863" s="4"/>
      <c r="S3863" s="4"/>
    </row>
    <row r="3864" spans="1:19" ht="21" customHeight="1" x14ac:dyDescent="0.25">
      <c r="A3864" s="14">
        <f>DATE(2012,12,31)-1217</f>
        <v>40057</v>
      </c>
      <c r="B3864" s="15" t="s">
        <v>1214</v>
      </c>
      <c r="C3864" s="15" t="s">
        <v>85</v>
      </c>
      <c r="D3864" s="16">
        <v>32</v>
      </c>
      <c r="E3864" s="17">
        <v>209.42</v>
      </c>
      <c r="F3864" s="16">
        <v>0.1</v>
      </c>
      <c r="G3864" s="15" t="s">
        <v>32</v>
      </c>
      <c r="H3864" s="18">
        <v>65.41</v>
      </c>
      <c r="I3864" s="19">
        <v>6.74</v>
      </c>
      <c r="J3864" s="19">
        <v>1.72</v>
      </c>
      <c r="K3864" s="19" t="s">
        <v>69</v>
      </c>
      <c r="L3864" s="19" t="s">
        <v>215</v>
      </c>
      <c r="M3864" s="15" t="s">
        <v>2120</v>
      </c>
      <c r="N3864" s="15" t="s">
        <v>36</v>
      </c>
      <c r="O3864" s="15" t="s">
        <v>117</v>
      </c>
      <c r="P3864" s="20" t="s">
        <v>2121</v>
      </c>
      <c r="Q3864" s="15" t="s">
        <v>79</v>
      </c>
      <c r="R3864" s="4"/>
      <c r="S3864" s="4"/>
    </row>
    <row r="3865" spans="1:19" ht="21" customHeight="1" x14ac:dyDescent="0.25">
      <c r="A3865" s="14">
        <f>DATE(2012,12,31)-327</f>
        <v>40947</v>
      </c>
      <c r="B3865" s="15" t="s">
        <v>1355</v>
      </c>
      <c r="C3865" s="15" t="s">
        <v>31</v>
      </c>
      <c r="D3865" s="16">
        <v>18</v>
      </c>
      <c r="E3865" s="17">
        <v>56.13</v>
      </c>
      <c r="F3865" s="16">
        <v>0.02</v>
      </c>
      <c r="G3865" s="15" t="s">
        <v>32</v>
      </c>
      <c r="H3865" s="18">
        <v>-58.47</v>
      </c>
      <c r="I3865" s="19">
        <v>2.88</v>
      </c>
      <c r="J3865" s="19">
        <v>5.33</v>
      </c>
      <c r="K3865" s="19" t="s">
        <v>111</v>
      </c>
      <c r="L3865" s="19" t="s">
        <v>258</v>
      </c>
      <c r="M3865" s="15" t="s">
        <v>259</v>
      </c>
      <c r="N3865" s="15" t="s">
        <v>36</v>
      </c>
      <c r="O3865" s="15" t="s">
        <v>114</v>
      </c>
      <c r="P3865" s="20" t="s">
        <v>2122</v>
      </c>
      <c r="Q3865" s="15" t="s">
        <v>83</v>
      </c>
      <c r="R3865" s="4"/>
      <c r="S3865" s="4"/>
    </row>
    <row r="3866" spans="1:19" ht="21" customHeight="1" x14ac:dyDescent="0.25">
      <c r="A3866" s="14">
        <f>DATE(2012,12,31)-543</f>
        <v>40731</v>
      </c>
      <c r="B3866" s="15" t="s">
        <v>659</v>
      </c>
      <c r="C3866" s="15" t="s">
        <v>43</v>
      </c>
      <c r="D3866" s="16">
        <v>21</v>
      </c>
      <c r="E3866" s="17">
        <v>423.24</v>
      </c>
      <c r="F3866" s="16">
        <v>0.1</v>
      </c>
      <c r="G3866" s="15" t="s">
        <v>32</v>
      </c>
      <c r="H3866" s="18">
        <v>128.83449999999999</v>
      </c>
      <c r="I3866" s="19">
        <v>21.38</v>
      </c>
      <c r="J3866" s="19">
        <v>2.99</v>
      </c>
      <c r="K3866" s="19" t="s">
        <v>111</v>
      </c>
      <c r="L3866" s="19" t="s">
        <v>258</v>
      </c>
      <c r="M3866" s="15" t="s">
        <v>259</v>
      </c>
      <c r="N3866" s="15" t="s">
        <v>36</v>
      </c>
      <c r="O3866" s="15" t="s">
        <v>170</v>
      </c>
      <c r="P3866" s="20" t="s">
        <v>2063</v>
      </c>
      <c r="Q3866" s="15" t="s">
        <v>83</v>
      </c>
      <c r="R3866" s="4"/>
      <c r="S3866" s="4"/>
    </row>
    <row r="3867" spans="1:19" ht="21" customHeight="1" x14ac:dyDescent="0.25">
      <c r="A3867" s="14">
        <f>DATE(2012,12,31)-428</f>
        <v>40846</v>
      </c>
      <c r="B3867" s="15" t="s">
        <v>1525</v>
      </c>
      <c r="C3867" s="15" t="s">
        <v>51</v>
      </c>
      <c r="D3867" s="16">
        <v>38</v>
      </c>
      <c r="E3867" s="17">
        <v>465.9</v>
      </c>
      <c r="F3867" s="16">
        <v>0.05</v>
      </c>
      <c r="G3867" s="15" t="s">
        <v>32</v>
      </c>
      <c r="H3867" s="18">
        <v>79.34</v>
      </c>
      <c r="I3867" s="19">
        <v>12.28</v>
      </c>
      <c r="J3867" s="19">
        <v>4.8600000000000003</v>
      </c>
      <c r="K3867" s="19" t="s">
        <v>111</v>
      </c>
      <c r="L3867" s="19" t="s">
        <v>407</v>
      </c>
      <c r="M3867" s="15" t="s">
        <v>407</v>
      </c>
      <c r="N3867" s="15" t="s">
        <v>36</v>
      </c>
      <c r="O3867" s="15" t="s">
        <v>117</v>
      </c>
      <c r="P3867" s="20" t="s">
        <v>2123</v>
      </c>
      <c r="Q3867" s="15" t="s">
        <v>83</v>
      </c>
      <c r="R3867" s="4"/>
      <c r="S3867" s="4"/>
    </row>
    <row r="3868" spans="1:19" ht="21" customHeight="1" x14ac:dyDescent="0.25">
      <c r="A3868" s="14">
        <f>DATE(2012,12,31)-473</f>
        <v>40801</v>
      </c>
      <c r="B3868" s="15" t="s">
        <v>1282</v>
      </c>
      <c r="C3868" s="15" t="s">
        <v>85</v>
      </c>
      <c r="D3868" s="16">
        <v>20</v>
      </c>
      <c r="E3868" s="17">
        <v>845.7</v>
      </c>
      <c r="F3868" s="16">
        <v>0.02</v>
      </c>
      <c r="G3868" s="15" t="s">
        <v>101</v>
      </c>
      <c r="H3868" s="18">
        <v>221.6</v>
      </c>
      <c r="I3868" s="19">
        <v>39.479999999999997</v>
      </c>
      <c r="J3868" s="19">
        <v>1.99</v>
      </c>
      <c r="K3868" s="19" t="s">
        <v>111</v>
      </c>
      <c r="L3868" s="19" t="s">
        <v>112</v>
      </c>
      <c r="M3868" s="15" t="s">
        <v>2115</v>
      </c>
      <c r="N3868" s="15" t="s">
        <v>64</v>
      </c>
      <c r="O3868" s="15" t="s">
        <v>72</v>
      </c>
      <c r="P3868" s="20" t="s">
        <v>218</v>
      </c>
      <c r="Q3868" s="15" t="s">
        <v>49</v>
      </c>
      <c r="R3868" s="4"/>
      <c r="S3868" s="4"/>
    </row>
    <row r="3869" spans="1:19" ht="21" customHeight="1" x14ac:dyDescent="0.25">
      <c r="A3869" s="14">
        <f>DATE(2012,12,31)-473</f>
        <v>40801</v>
      </c>
      <c r="B3869" s="15" t="s">
        <v>1282</v>
      </c>
      <c r="C3869" s="15" t="s">
        <v>85</v>
      </c>
      <c r="D3869" s="16">
        <v>25</v>
      </c>
      <c r="E3869" s="17">
        <v>467</v>
      </c>
      <c r="F3869" s="16">
        <v>0.04</v>
      </c>
      <c r="G3869" s="15" t="s">
        <v>32</v>
      </c>
      <c r="H3869" s="18">
        <v>69.97</v>
      </c>
      <c r="I3869" s="19">
        <v>17.670000000000002</v>
      </c>
      <c r="J3869" s="19">
        <v>8.99</v>
      </c>
      <c r="K3869" s="19" t="s">
        <v>111</v>
      </c>
      <c r="L3869" s="19" t="s">
        <v>112</v>
      </c>
      <c r="M3869" s="15" t="s">
        <v>2115</v>
      </c>
      <c r="N3869" s="15" t="s">
        <v>54</v>
      </c>
      <c r="O3869" s="15" t="s">
        <v>55</v>
      </c>
      <c r="P3869" s="20" t="s">
        <v>458</v>
      </c>
      <c r="Q3869" s="15" t="s">
        <v>49</v>
      </c>
      <c r="R3869" s="4"/>
      <c r="S3869" s="4"/>
    </row>
    <row r="3870" spans="1:19" ht="21" customHeight="1" x14ac:dyDescent="0.25">
      <c r="A3870" s="14">
        <f>DATE(2012,12,31)-473</f>
        <v>40801</v>
      </c>
      <c r="B3870" s="15" t="s">
        <v>1282</v>
      </c>
      <c r="C3870" s="15" t="s">
        <v>85</v>
      </c>
      <c r="D3870" s="16">
        <v>36</v>
      </c>
      <c r="E3870" s="17">
        <v>64.430000000000007</v>
      </c>
      <c r="F3870" s="16">
        <v>7.0000000000000007E-2</v>
      </c>
      <c r="G3870" s="15" t="s">
        <v>32</v>
      </c>
      <c r="H3870" s="18">
        <v>-18.640350000000002</v>
      </c>
      <c r="I3870" s="19">
        <v>1.88</v>
      </c>
      <c r="J3870" s="19">
        <v>1.49</v>
      </c>
      <c r="K3870" s="19" t="s">
        <v>44</v>
      </c>
      <c r="L3870" s="19" t="s">
        <v>45</v>
      </c>
      <c r="M3870" s="15" t="s">
        <v>2053</v>
      </c>
      <c r="N3870" s="15" t="s">
        <v>54</v>
      </c>
      <c r="O3870" s="15" t="s">
        <v>61</v>
      </c>
      <c r="P3870" s="20" t="s">
        <v>368</v>
      </c>
      <c r="Q3870" s="15" t="s">
        <v>63</v>
      </c>
      <c r="R3870" s="4"/>
      <c r="S3870" s="4"/>
    </row>
    <row r="3871" spans="1:19" ht="21" customHeight="1" x14ac:dyDescent="0.25">
      <c r="A3871" s="14">
        <f>DATE(2012,12,31)-154</f>
        <v>41120</v>
      </c>
      <c r="B3871" s="15" t="s">
        <v>1514</v>
      </c>
      <c r="C3871" s="15" t="s">
        <v>31</v>
      </c>
      <c r="D3871" s="16">
        <v>3</v>
      </c>
      <c r="E3871" s="17">
        <v>614.14</v>
      </c>
      <c r="F3871" s="16">
        <v>0.09</v>
      </c>
      <c r="G3871" s="15" t="s">
        <v>32</v>
      </c>
      <c r="H3871" s="18">
        <v>-735.27</v>
      </c>
      <c r="I3871" s="19">
        <v>199.99</v>
      </c>
      <c r="J3871" s="19">
        <v>24.49</v>
      </c>
      <c r="K3871" s="19" t="s">
        <v>44</v>
      </c>
      <c r="L3871" s="19" t="s">
        <v>120</v>
      </c>
      <c r="M3871" s="15" t="s">
        <v>2025</v>
      </c>
      <c r="N3871" s="15" t="s">
        <v>64</v>
      </c>
      <c r="O3871" s="15" t="s">
        <v>460</v>
      </c>
      <c r="P3871" s="20" t="s">
        <v>1967</v>
      </c>
      <c r="Q3871" s="15" t="s">
        <v>39</v>
      </c>
      <c r="R3871" s="4"/>
      <c r="S3871" s="4"/>
    </row>
    <row r="3872" spans="1:19" ht="21" customHeight="1" x14ac:dyDescent="0.25">
      <c r="A3872" s="14">
        <f>DATE(2012,12,31)-694</f>
        <v>40580</v>
      </c>
      <c r="B3872" s="15" t="s">
        <v>207</v>
      </c>
      <c r="C3872" s="15" t="s">
        <v>85</v>
      </c>
      <c r="D3872" s="16">
        <v>4</v>
      </c>
      <c r="E3872" s="17">
        <v>1280.73</v>
      </c>
      <c r="F3872" s="16">
        <v>0.09</v>
      </c>
      <c r="G3872" s="15" t="s">
        <v>58</v>
      </c>
      <c r="H3872" s="18">
        <v>-774.89068800000007</v>
      </c>
      <c r="I3872" s="19">
        <v>320.64</v>
      </c>
      <c r="J3872" s="19">
        <v>43.57</v>
      </c>
      <c r="K3872" s="19" t="s">
        <v>44</v>
      </c>
      <c r="L3872" s="19" t="s">
        <v>89</v>
      </c>
      <c r="M3872" s="15" t="s">
        <v>1932</v>
      </c>
      <c r="N3872" s="15" t="s">
        <v>54</v>
      </c>
      <c r="O3872" s="15" t="s">
        <v>61</v>
      </c>
      <c r="P3872" s="20" t="s">
        <v>1280</v>
      </c>
      <c r="Q3872" s="15" t="s">
        <v>63</v>
      </c>
      <c r="R3872" s="4"/>
      <c r="S3872" s="4"/>
    </row>
    <row r="3873" spans="1:19" ht="21" customHeight="1" x14ac:dyDescent="0.25">
      <c r="A3873" s="14">
        <f>DATE(2012,12,31)-829</f>
        <v>40445</v>
      </c>
      <c r="B3873" s="15" t="s">
        <v>1993</v>
      </c>
      <c r="C3873" s="15" t="s">
        <v>51</v>
      </c>
      <c r="D3873" s="16">
        <v>12</v>
      </c>
      <c r="E3873" s="17">
        <v>94.83</v>
      </c>
      <c r="F3873" s="16">
        <v>0.02</v>
      </c>
      <c r="G3873" s="15" t="s">
        <v>32</v>
      </c>
      <c r="H3873" s="18">
        <v>29.87</v>
      </c>
      <c r="I3873" s="19">
        <v>7.64</v>
      </c>
      <c r="J3873" s="19">
        <v>1.39</v>
      </c>
      <c r="K3873" s="19" t="s">
        <v>44</v>
      </c>
      <c r="L3873" s="19" t="s">
        <v>89</v>
      </c>
      <c r="M3873" s="15" t="s">
        <v>1932</v>
      </c>
      <c r="N3873" s="15" t="s">
        <v>36</v>
      </c>
      <c r="O3873" s="15" t="s">
        <v>189</v>
      </c>
      <c r="P3873" s="20" t="s">
        <v>1717</v>
      </c>
      <c r="Q3873" s="15" t="s">
        <v>83</v>
      </c>
      <c r="R3873" s="4"/>
      <c r="S3873" s="4"/>
    </row>
    <row r="3874" spans="1:19" ht="21" customHeight="1" x14ac:dyDescent="0.25">
      <c r="A3874" s="14">
        <f>DATE(2012,12,31)-1070</f>
        <v>40204</v>
      </c>
      <c r="B3874" s="15" t="s">
        <v>1475</v>
      </c>
      <c r="C3874" s="15" t="s">
        <v>85</v>
      </c>
      <c r="D3874" s="16">
        <v>32</v>
      </c>
      <c r="E3874" s="17">
        <v>324.39999999999998</v>
      </c>
      <c r="F3874" s="16">
        <v>0.1</v>
      </c>
      <c r="G3874" s="15" t="s">
        <v>32</v>
      </c>
      <c r="H3874" s="18">
        <v>-46.98</v>
      </c>
      <c r="I3874" s="19">
        <v>10.89</v>
      </c>
      <c r="J3874" s="19">
        <v>4.5</v>
      </c>
      <c r="K3874" s="19" t="s">
        <v>44</v>
      </c>
      <c r="L3874" s="19" t="s">
        <v>89</v>
      </c>
      <c r="M3874" s="15" t="s">
        <v>1932</v>
      </c>
      <c r="N3874" s="15" t="s">
        <v>36</v>
      </c>
      <c r="O3874" s="15" t="s">
        <v>176</v>
      </c>
      <c r="P3874" s="20" t="s">
        <v>250</v>
      </c>
      <c r="Q3874" s="15" t="s">
        <v>83</v>
      </c>
      <c r="R3874" s="4"/>
      <c r="S3874" s="4"/>
    </row>
    <row r="3875" spans="1:19" ht="21" customHeight="1" x14ac:dyDescent="0.25">
      <c r="A3875" s="14">
        <f>DATE(2012,12,31)-1070</f>
        <v>40204</v>
      </c>
      <c r="B3875" s="15" t="s">
        <v>1475</v>
      </c>
      <c r="C3875" s="15" t="s">
        <v>85</v>
      </c>
      <c r="D3875" s="16">
        <v>19</v>
      </c>
      <c r="E3875" s="17">
        <v>137.02000000000001</v>
      </c>
      <c r="F3875" s="16">
        <v>0.01</v>
      </c>
      <c r="G3875" s="15" t="s">
        <v>32</v>
      </c>
      <c r="H3875" s="18">
        <v>-46.89</v>
      </c>
      <c r="I3875" s="19">
        <v>6.48</v>
      </c>
      <c r="J3875" s="19">
        <v>6.6</v>
      </c>
      <c r="K3875" s="19" t="s">
        <v>44</v>
      </c>
      <c r="L3875" s="19" t="s">
        <v>45</v>
      </c>
      <c r="M3875" s="15" t="s">
        <v>2053</v>
      </c>
      <c r="N3875" s="15" t="s">
        <v>36</v>
      </c>
      <c r="O3875" s="15" t="s">
        <v>117</v>
      </c>
      <c r="P3875" s="20" t="s">
        <v>745</v>
      </c>
      <c r="Q3875" s="15" t="s">
        <v>83</v>
      </c>
      <c r="R3875" s="4"/>
      <c r="S3875" s="4"/>
    </row>
    <row r="3876" spans="1:19" ht="21" customHeight="1" x14ac:dyDescent="0.25">
      <c r="A3876" s="14">
        <f>DATE(2012,12,31)-768</f>
        <v>40506</v>
      </c>
      <c r="B3876" s="15" t="s">
        <v>276</v>
      </c>
      <c r="C3876" s="15" t="s">
        <v>85</v>
      </c>
      <c r="D3876" s="16">
        <v>7</v>
      </c>
      <c r="E3876" s="17">
        <v>37.799999999999997</v>
      </c>
      <c r="F3876" s="16">
        <v>0.06</v>
      </c>
      <c r="G3876" s="15" t="s">
        <v>32</v>
      </c>
      <c r="H3876" s="18">
        <v>-18.309999999999999</v>
      </c>
      <c r="I3876" s="19">
        <v>4.9800000000000004</v>
      </c>
      <c r="J3876" s="19">
        <v>4.7</v>
      </c>
      <c r="K3876" s="19" t="s">
        <v>44</v>
      </c>
      <c r="L3876" s="19" t="s">
        <v>45</v>
      </c>
      <c r="M3876" s="15" t="s">
        <v>2053</v>
      </c>
      <c r="N3876" s="15" t="s">
        <v>36</v>
      </c>
      <c r="O3876" s="15" t="s">
        <v>117</v>
      </c>
      <c r="P3876" s="20" t="s">
        <v>1563</v>
      </c>
      <c r="Q3876" s="15" t="s">
        <v>83</v>
      </c>
      <c r="R3876" s="4"/>
      <c r="S3876" s="4"/>
    </row>
    <row r="3877" spans="1:19" ht="21" customHeight="1" x14ac:dyDescent="0.25">
      <c r="A3877" s="14">
        <f>DATE(2012,12,31)-768</f>
        <v>40506</v>
      </c>
      <c r="B3877" s="15" t="s">
        <v>276</v>
      </c>
      <c r="C3877" s="15" t="s">
        <v>85</v>
      </c>
      <c r="D3877" s="16">
        <v>30</v>
      </c>
      <c r="E3877" s="17">
        <v>183.28</v>
      </c>
      <c r="F3877" s="16">
        <v>0.04</v>
      </c>
      <c r="G3877" s="15" t="s">
        <v>32</v>
      </c>
      <c r="H3877" s="18">
        <v>33.880000000000003</v>
      </c>
      <c r="I3877" s="19">
        <v>6.08</v>
      </c>
      <c r="J3877" s="19">
        <v>1.17</v>
      </c>
      <c r="K3877" s="19" t="s">
        <v>44</v>
      </c>
      <c r="L3877" s="19" t="s">
        <v>89</v>
      </c>
      <c r="M3877" s="15" t="s">
        <v>1932</v>
      </c>
      <c r="N3877" s="15" t="s">
        <v>36</v>
      </c>
      <c r="O3877" s="15" t="s">
        <v>77</v>
      </c>
      <c r="P3877" s="20" t="s">
        <v>617</v>
      </c>
      <c r="Q3877" s="15" t="s">
        <v>79</v>
      </c>
      <c r="R3877" s="4"/>
      <c r="S3877" s="4"/>
    </row>
    <row r="3878" spans="1:19" ht="21" customHeight="1" x14ac:dyDescent="0.25">
      <c r="A3878" s="14">
        <f>DATE(2012,12,31)-483</f>
        <v>40791</v>
      </c>
      <c r="B3878" s="15" t="s">
        <v>500</v>
      </c>
      <c r="C3878" s="15" t="s">
        <v>31</v>
      </c>
      <c r="D3878" s="16">
        <v>1</v>
      </c>
      <c r="E3878" s="17">
        <v>13.04</v>
      </c>
      <c r="F3878" s="16">
        <v>0.06</v>
      </c>
      <c r="G3878" s="15" t="s">
        <v>32</v>
      </c>
      <c r="H3878" s="18">
        <v>-6.62</v>
      </c>
      <c r="I3878" s="19">
        <v>10.48</v>
      </c>
      <c r="J3878" s="19">
        <v>2.89</v>
      </c>
      <c r="K3878" s="19" t="s">
        <v>44</v>
      </c>
      <c r="L3878" s="19" t="s">
        <v>80</v>
      </c>
      <c r="M3878" s="15" t="s">
        <v>2081</v>
      </c>
      <c r="N3878" s="15" t="s">
        <v>36</v>
      </c>
      <c r="O3878" s="15" t="s">
        <v>77</v>
      </c>
      <c r="P3878" s="20" t="s">
        <v>1753</v>
      </c>
      <c r="Q3878" s="15" t="s">
        <v>49</v>
      </c>
      <c r="R3878" s="4"/>
      <c r="S3878" s="4"/>
    </row>
    <row r="3879" spans="1:19" ht="21" customHeight="1" x14ac:dyDescent="0.25">
      <c r="A3879" s="14">
        <f>DATE(2012,12,31)-984</f>
        <v>40290</v>
      </c>
      <c r="B3879" s="15" t="s">
        <v>1929</v>
      </c>
      <c r="C3879" s="15" t="s">
        <v>85</v>
      </c>
      <c r="D3879" s="16">
        <v>38</v>
      </c>
      <c r="E3879" s="17">
        <v>251.3</v>
      </c>
      <c r="F3879" s="16">
        <v>0.1</v>
      </c>
      <c r="G3879" s="15" t="s">
        <v>32</v>
      </c>
      <c r="H3879" s="18">
        <v>-112.723</v>
      </c>
      <c r="I3879" s="19">
        <v>7.1</v>
      </c>
      <c r="J3879" s="19">
        <v>6.05</v>
      </c>
      <c r="K3879" s="19" t="s">
        <v>44</v>
      </c>
      <c r="L3879" s="19" t="s">
        <v>45</v>
      </c>
      <c r="M3879" s="15" t="s">
        <v>2053</v>
      </c>
      <c r="N3879" s="15" t="s">
        <v>36</v>
      </c>
      <c r="O3879" s="15" t="s">
        <v>170</v>
      </c>
      <c r="P3879" s="20" t="s">
        <v>913</v>
      </c>
      <c r="Q3879" s="15" t="s">
        <v>83</v>
      </c>
      <c r="R3879" s="4"/>
      <c r="S3879" s="4"/>
    </row>
    <row r="3880" spans="1:19" ht="21" customHeight="1" x14ac:dyDescent="0.25">
      <c r="A3880" s="14">
        <f>DATE(2012,12,31)-1033</f>
        <v>40241</v>
      </c>
      <c r="B3880" s="15" t="s">
        <v>1370</v>
      </c>
      <c r="C3880" s="15" t="s">
        <v>31</v>
      </c>
      <c r="D3880" s="16">
        <v>20</v>
      </c>
      <c r="E3880" s="17">
        <v>246.63</v>
      </c>
      <c r="F3880" s="16">
        <v>0.08</v>
      </c>
      <c r="G3880" s="15" t="s">
        <v>32</v>
      </c>
      <c r="H3880" s="18">
        <v>31.54</v>
      </c>
      <c r="I3880" s="19">
        <v>12.28</v>
      </c>
      <c r="J3880" s="19">
        <v>4.8600000000000003</v>
      </c>
      <c r="K3880" s="19" t="s">
        <v>44</v>
      </c>
      <c r="L3880" s="19" t="s">
        <v>45</v>
      </c>
      <c r="M3880" s="15" t="s">
        <v>2053</v>
      </c>
      <c r="N3880" s="15" t="s">
        <v>36</v>
      </c>
      <c r="O3880" s="15" t="s">
        <v>117</v>
      </c>
      <c r="P3880" s="20" t="s">
        <v>2123</v>
      </c>
      <c r="Q3880" s="15" t="s">
        <v>83</v>
      </c>
      <c r="R3880" s="4"/>
      <c r="S3880" s="4"/>
    </row>
    <row r="3881" spans="1:19" ht="21" customHeight="1" x14ac:dyDescent="0.25">
      <c r="A3881" s="14">
        <f>DATE(2012,12,31)-469</f>
        <v>40805</v>
      </c>
      <c r="B3881" s="15" t="s">
        <v>1792</v>
      </c>
      <c r="C3881" s="15" t="s">
        <v>51</v>
      </c>
      <c r="D3881" s="16">
        <v>12</v>
      </c>
      <c r="E3881" s="17">
        <v>94.52</v>
      </c>
      <c r="F3881" s="16">
        <v>0.06</v>
      </c>
      <c r="G3881" s="15" t="s">
        <v>32</v>
      </c>
      <c r="H3881" s="18">
        <v>-36.225000000000001</v>
      </c>
      <c r="I3881" s="19">
        <v>7.45</v>
      </c>
      <c r="J3881" s="19">
        <v>6.28</v>
      </c>
      <c r="K3881" s="19" t="s">
        <v>44</v>
      </c>
      <c r="L3881" s="19" t="s">
        <v>89</v>
      </c>
      <c r="M3881" s="15" t="s">
        <v>1932</v>
      </c>
      <c r="N3881" s="15" t="s">
        <v>36</v>
      </c>
      <c r="O3881" s="15" t="s">
        <v>170</v>
      </c>
      <c r="P3881" s="20" t="s">
        <v>628</v>
      </c>
      <c r="Q3881" s="15" t="s">
        <v>83</v>
      </c>
      <c r="R3881" s="4"/>
      <c r="S3881" s="4"/>
    </row>
    <row r="3882" spans="1:19" ht="21" customHeight="1" x14ac:dyDescent="0.25">
      <c r="A3882" s="14">
        <f>DATE(2012,12,31)-432</f>
        <v>40842</v>
      </c>
      <c r="B3882" s="15" t="s">
        <v>1766</v>
      </c>
      <c r="C3882" s="15" t="s">
        <v>85</v>
      </c>
      <c r="D3882" s="16">
        <v>19</v>
      </c>
      <c r="E3882" s="17">
        <v>75.19</v>
      </c>
      <c r="F3882" s="16">
        <v>0.05</v>
      </c>
      <c r="G3882" s="15" t="s">
        <v>32</v>
      </c>
      <c r="H3882" s="18">
        <v>-93.67</v>
      </c>
      <c r="I3882" s="19">
        <v>3.75</v>
      </c>
      <c r="J3882" s="19">
        <v>7.5</v>
      </c>
      <c r="K3882" s="19" t="s">
        <v>44</v>
      </c>
      <c r="L3882" s="19" t="s">
        <v>120</v>
      </c>
      <c r="M3882" s="15" t="s">
        <v>2025</v>
      </c>
      <c r="N3882" s="15" t="s">
        <v>36</v>
      </c>
      <c r="O3882" s="15" t="s">
        <v>114</v>
      </c>
      <c r="P3882" s="20" t="s">
        <v>783</v>
      </c>
      <c r="Q3882" s="15" t="s">
        <v>83</v>
      </c>
      <c r="R3882" s="4"/>
      <c r="S3882" s="4"/>
    </row>
    <row r="3883" spans="1:19" ht="21" customHeight="1" x14ac:dyDescent="0.25">
      <c r="A3883" s="14">
        <f>DATE(2012,12,31)-881</f>
        <v>40393</v>
      </c>
      <c r="B3883" s="15" t="s">
        <v>2124</v>
      </c>
      <c r="C3883" s="15" t="s">
        <v>85</v>
      </c>
      <c r="D3883" s="16">
        <v>22</v>
      </c>
      <c r="E3883" s="17">
        <v>106.69</v>
      </c>
      <c r="F3883" s="16">
        <v>0.01</v>
      </c>
      <c r="G3883" s="15" t="s">
        <v>32</v>
      </c>
      <c r="H3883" s="18">
        <v>-76.601500000000001</v>
      </c>
      <c r="I3883" s="19">
        <v>4.54</v>
      </c>
      <c r="J3883" s="19">
        <v>5.83</v>
      </c>
      <c r="K3883" s="19" t="s">
        <v>44</v>
      </c>
      <c r="L3883" s="19" t="s">
        <v>89</v>
      </c>
      <c r="M3883" s="15" t="s">
        <v>1932</v>
      </c>
      <c r="N3883" s="15" t="s">
        <v>36</v>
      </c>
      <c r="O3883" s="15" t="s">
        <v>170</v>
      </c>
      <c r="P3883" s="20" t="s">
        <v>1796</v>
      </c>
      <c r="Q3883" s="15" t="s">
        <v>83</v>
      </c>
      <c r="R3883" s="4"/>
      <c r="S3883" s="4"/>
    </row>
    <row r="3884" spans="1:19" ht="21" customHeight="1" x14ac:dyDescent="0.25">
      <c r="A3884" s="14">
        <f>DATE(2012,12,31)-833</f>
        <v>40441</v>
      </c>
      <c r="B3884" s="15" t="s">
        <v>149</v>
      </c>
      <c r="C3884" s="15" t="s">
        <v>31</v>
      </c>
      <c r="D3884" s="16">
        <v>41</v>
      </c>
      <c r="E3884" s="17">
        <v>6126.93</v>
      </c>
      <c r="F3884" s="16">
        <v>0.01</v>
      </c>
      <c r="G3884" s="15" t="s">
        <v>58</v>
      </c>
      <c r="H3884" s="18">
        <v>-1704.89</v>
      </c>
      <c r="I3884" s="19">
        <v>146.05000000000001</v>
      </c>
      <c r="J3884" s="19">
        <v>80.2</v>
      </c>
      <c r="K3884" s="19" t="s">
        <v>44</v>
      </c>
      <c r="L3884" s="19" t="s">
        <v>80</v>
      </c>
      <c r="M3884" s="15" t="s">
        <v>2081</v>
      </c>
      <c r="N3884" s="15" t="s">
        <v>54</v>
      </c>
      <c r="O3884" s="15" t="s">
        <v>61</v>
      </c>
      <c r="P3884" s="20" t="s">
        <v>222</v>
      </c>
      <c r="Q3884" s="15" t="s">
        <v>63</v>
      </c>
      <c r="R3884" s="4"/>
      <c r="S3884" s="4"/>
    </row>
    <row r="3885" spans="1:19" ht="21" customHeight="1" x14ac:dyDescent="0.25">
      <c r="A3885" s="14">
        <f>DATE(2012,12,31)-758</f>
        <v>40516</v>
      </c>
      <c r="B3885" s="15" t="s">
        <v>1537</v>
      </c>
      <c r="C3885" s="15" t="s">
        <v>85</v>
      </c>
      <c r="D3885" s="16">
        <v>3</v>
      </c>
      <c r="E3885" s="17">
        <v>87.09</v>
      </c>
      <c r="F3885" s="16">
        <v>0.1</v>
      </c>
      <c r="G3885" s="15" t="s">
        <v>32</v>
      </c>
      <c r="H3885" s="18">
        <v>-42.73</v>
      </c>
      <c r="I3885" s="19">
        <v>29.34</v>
      </c>
      <c r="J3885" s="19">
        <v>7.87</v>
      </c>
      <c r="K3885" s="19" t="s">
        <v>44</v>
      </c>
      <c r="L3885" s="19" t="s">
        <v>120</v>
      </c>
      <c r="M3885" s="15" t="s">
        <v>2025</v>
      </c>
      <c r="N3885" s="15" t="s">
        <v>54</v>
      </c>
      <c r="O3885" s="15" t="s">
        <v>55</v>
      </c>
      <c r="P3885" s="20" t="s">
        <v>1638</v>
      </c>
      <c r="Q3885" s="15" t="s">
        <v>83</v>
      </c>
      <c r="R3885" s="4"/>
      <c r="S3885" s="4"/>
    </row>
    <row r="3886" spans="1:19" ht="21" customHeight="1" x14ac:dyDescent="0.25">
      <c r="A3886" s="14">
        <f>DATE(2012,12,31)-758</f>
        <v>40516</v>
      </c>
      <c r="B3886" s="15" t="s">
        <v>1537</v>
      </c>
      <c r="C3886" s="15" t="s">
        <v>85</v>
      </c>
      <c r="D3886" s="16">
        <v>42</v>
      </c>
      <c r="E3886" s="17">
        <v>196.1</v>
      </c>
      <c r="F3886" s="16">
        <v>7.0000000000000007E-2</v>
      </c>
      <c r="G3886" s="15" t="s">
        <v>32</v>
      </c>
      <c r="H3886" s="18">
        <v>71.650000000000006</v>
      </c>
      <c r="I3886" s="19">
        <v>4.76</v>
      </c>
      <c r="J3886" s="19">
        <v>0.88</v>
      </c>
      <c r="K3886" s="19" t="s">
        <v>97</v>
      </c>
      <c r="L3886" s="19" t="s">
        <v>195</v>
      </c>
      <c r="M3886" s="15" t="s">
        <v>2040</v>
      </c>
      <c r="N3886" s="15" t="s">
        <v>36</v>
      </c>
      <c r="O3886" s="15" t="s">
        <v>117</v>
      </c>
      <c r="P3886" s="20" t="s">
        <v>599</v>
      </c>
      <c r="Q3886" s="15" t="s">
        <v>79</v>
      </c>
      <c r="R3886" s="4"/>
      <c r="S3886" s="4"/>
    </row>
    <row r="3887" spans="1:19" ht="21" customHeight="1" x14ac:dyDescent="0.25">
      <c r="A3887" s="14">
        <f>DATE(2012,12,31)-758</f>
        <v>40516</v>
      </c>
      <c r="B3887" s="15" t="s">
        <v>1537</v>
      </c>
      <c r="C3887" s="15" t="s">
        <v>85</v>
      </c>
      <c r="D3887" s="16">
        <v>3</v>
      </c>
      <c r="E3887" s="17">
        <v>1540.77</v>
      </c>
      <c r="F3887" s="16">
        <v>0.04</v>
      </c>
      <c r="G3887" s="15" t="s">
        <v>32</v>
      </c>
      <c r="H3887" s="18">
        <v>-1572.64</v>
      </c>
      <c r="I3887" s="19">
        <v>499.99</v>
      </c>
      <c r="J3887" s="19">
        <v>24.49</v>
      </c>
      <c r="K3887" s="19" t="s">
        <v>97</v>
      </c>
      <c r="L3887" s="19" t="s">
        <v>98</v>
      </c>
      <c r="M3887" s="15" t="s">
        <v>2085</v>
      </c>
      <c r="N3887" s="15" t="s">
        <v>64</v>
      </c>
      <c r="O3887" s="15" t="s">
        <v>460</v>
      </c>
      <c r="P3887" s="20" t="s">
        <v>1118</v>
      </c>
      <c r="Q3887" s="15" t="s">
        <v>39</v>
      </c>
      <c r="R3887" s="4"/>
      <c r="S3887" s="4"/>
    </row>
    <row r="3888" spans="1:19" ht="21" customHeight="1" x14ac:dyDescent="0.25">
      <c r="A3888" s="14">
        <f>DATE(2012,12,31)-73</f>
        <v>41201</v>
      </c>
      <c r="B3888" s="15" t="s">
        <v>1722</v>
      </c>
      <c r="C3888" s="15" t="s">
        <v>31</v>
      </c>
      <c r="D3888" s="16">
        <v>12</v>
      </c>
      <c r="E3888" s="17">
        <v>769.17</v>
      </c>
      <c r="F3888" s="16">
        <v>0</v>
      </c>
      <c r="G3888" s="15" t="s">
        <v>58</v>
      </c>
      <c r="H3888" s="18">
        <v>-212.01</v>
      </c>
      <c r="I3888" s="19">
        <v>58.14</v>
      </c>
      <c r="J3888" s="19">
        <v>36.61</v>
      </c>
      <c r="K3888" s="19" t="s">
        <v>97</v>
      </c>
      <c r="L3888" s="19" t="s">
        <v>98</v>
      </c>
      <c r="M3888" s="15" t="s">
        <v>2085</v>
      </c>
      <c r="N3888" s="15" t="s">
        <v>54</v>
      </c>
      <c r="O3888" s="15" t="s">
        <v>134</v>
      </c>
      <c r="P3888" s="20" t="s">
        <v>1299</v>
      </c>
      <c r="Q3888" s="15" t="s">
        <v>63</v>
      </c>
      <c r="R3888" s="4"/>
      <c r="S3888" s="4"/>
    </row>
    <row r="3889" spans="1:19" ht="21" customHeight="1" x14ac:dyDescent="0.25">
      <c r="A3889" s="14">
        <f>DATE(2012,12,31)-73</f>
        <v>41201</v>
      </c>
      <c r="B3889" s="15" t="s">
        <v>1722</v>
      </c>
      <c r="C3889" s="15" t="s">
        <v>31</v>
      </c>
      <c r="D3889" s="16">
        <v>18</v>
      </c>
      <c r="E3889" s="17">
        <v>7370.84</v>
      </c>
      <c r="F3889" s="16">
        <v>0.09</v>
      </c>
      <c r="G3889" s="15" t="s">
        <v>58</v>
      </c>
      <c r="H3889" s="18">
        <v>999.86500000000001</v>
      </c>
      <c r="I3889" s="19">
        <v>449.99</v>
      </c>
      <c r="J3889" s="19">
        <v>49</v>
      </c>
      <c r="K3889" s="19" t="s">
        <v>97</v>
      </c>
      <c r="L3889" s="19" t="s">
        <v>195</v>
      </c>
      <c r="M3889" s="15" t="s">
        <v>2040</v>
      </c>
      <c r="N3889" s="15" t="s">
        <v>64</v>
      </c>
      <c r="O3889" s="15" t="s">
        <v>460</v>
      </c>
      <c r="P3889" s="20" t="s">
        <v>511</v>
      </c>
      <c r="Q3889" s="15" t="s">
        <v>181</v>
      </c>
      <c r="R3889" s="4"/>
      <c r="S3889" s="4"/>
    </row>
    <row r="3890" spans="1:19" ht="21" customHeight="1" x14ac:dyDescent="0.25">
      <c r="A3890" s="14">
        <f>DATE(2012,12,31)-972</f>
        <v>40302</v>
      </c>
      <c r="B3890" s="15" t="s">
        <v>932</v>
      </c>
      <c r="C3890" s="15" t="s">
        <v>31</v>
      </c>
      <c r="D3890" s="16">
        <v>41</v>
      </c>
      <c r="E3890" s="17">
        <v>226.68</v>
      </c>
      <c r="F3890" s="16">
        <v>0.04</v>
      </c>
      <c r="G3890" s="15" t="s">
        <v>101</v>
      </c>
      <c r="H3890" s="18">
        <v>-159.35</v>
      </c>
      <c r="I3890" s="19">
        <v>4.9800000000000004</v>
      </c>
      <c r="J3890" s="19">
        <v>7.28</v>
      </c>
      <c r="K3890" s="19" t="s">
        <v>97</v>
      </c>
      <c r="L3890" s="19" t="s">
        <v>98</v>
      </c>
      <c r="M3890" s="15" t="s">
        <v>2085</v>
      </c>
      <c r="N3890" s="15" t="s">
        <v>36</v>
      </c>
      <c r="O3890" s="15" t="s">
        <v>117</v>
      </c>
      <c r="P3890" s="20" t="s">
        <v>1415</v>
      </c>
      <c r="Q3890" s="15" t="s">
        <v>83</v>
      </c>
      <c r="R3890" s="4"/>
      <c r="S3890" s="4"/>
    </row>
    <row r="3891" spans="1:19" ht="21" customHeight="1" x14ac:dyDescent="0.25">
      <c r="A3891" s="14">
        <f>DATE(2012,12,31)-486</f>
        <v>40788</v>
      </c>
      <c r="B3891" s="15" t="s">
        <v>820</v>
      </c>
      <c r="C3891" s="15" t="s">
        <v>85</v>
      </c>
      <c r="D3891" s="16">
        <v>10</v>
      </c>
      <c r="E3891" s="17">
        <v>6350.29</v>
      </c>
      <c r="F3891" s="16">
        <v>0.02</v>
      </c>
      <c r="G3891" s="15" t="s">
        <v>32</v>
      </c>
      <c r="H3891" s="18">
        <v>-735.97</v>
      </c>
      <c r="I3891" s="19">
        <v>599.99</v>
      </c>
      <c r="J3891" s="19">
        <v>24.49</v>
      </c>
      <c r="K3891" s="19" t="s">
        <v>97</v>
      </c>
      <c r="L3891" s="19" t="s">
        <v>98</v>
      </c>
      <c r="M3891" s="15" t="s">
        <v>2085</v>
      </c>
      <c r="N3891" s="15" t="s">
        <v>64</v>
      </c>
      <c r="O3891" s="15" t="s">
        <v>460</v>
      </c>
      <c r="P3891" s="20" t="s">
        <v>1691</v>
      </c>
      <c r="Q3891" s="15" t="s">
        <v>39</v>
      </c>
      <c r="R3891" s="4"/>
      <c r="S3891" s="4"/>
    </row>
    <row r="3892" spans="1:19" ht="21" customHeight="1" x14ac:dyDescent="0.25">
      <c r="A3892" s="14">
        <f>DATE(2012,12,31)-486</f>
        <v>40788</v>
      </c>
      <c r="B3892" s="15" t="s">
        <v>820</v>
      </c>
      <c r="C3892" s="15" t="s">
        <v>85</v>
      </c>
      <c r="D3892" s="16">
        <v>1</v>
      </c>
      <c r="E3892" s="17">
        <v>232.67</v>
      </c>
      <c r="F3892" s="16">
        <v>0.02</v>
      </c>
      <c r="G3892" s="15" t="s">
        <v>32</v>
      </c>
      <c r="H3892" s="18">
        <v>-105.14450000000001</v>
      </c>
      <c r="I3892" s="19">
        <v>223.98</v>
      </c>
      <c r="J3892" s="19">
        <v>15.01</v>
      </c>
      <c r="K3892" s="19" t="s">
        <v>124</v>
      </c>
      <c r="L3892" s="19" t="s">
        <v>160</v>
      </c>
      <c r="M3892" s="15" t="s">
        <v>1951</v>
      </c>
      <c r="N3892" s="15" t="s">
        <v>36</v>
      </c>
      <c r="O3892" s="15" t="s">
        <v>170</v>
      </c>
      <c r="P3892" s="20" t="s">
        <v>2125</v>
      </c>
      <c r="Q3892" s="15" t="s">
        <v>83</v>
      </c>
      <c r="R3892" s="4"/>
      <c r="S3892" s="4"/>
    </row>
    <row r="3893" spans="1:19" ht="21" customHeight="1" x14ac:dyDescent="0.25">
      <c r="A3893" s="14">
        <f>DATE(2012,12,31)-486</f>
        <v>40788</v>
      </c>
      <c r="B3893" s="15" t="s">
        <v>820</v>
      </c>
      <c r="C3893" s="15" t="s">
        <v>85</v>
      </c>
      <c r="D3893" s="16">
        <v>34</v>
      </c>
      <c r="E3893" s="17">
        <v>4805.92</v>
      </c>
      <c r="F3893" s="16">
        <v>7.0000000000000007E-2</v>
      </c>
      <c r="G3893" s="15" t="s">
        <v>58</v>
      </c>
      <c r="H3893" s="18">
        <v>-393.96</v>
      </c>
      <c r="I3893" s="19">
        <v>140.97999999999999</v>
      </c>
      <c r="J3893" s="19">
        <v>36.090000000000003</v>
      </c>
      <c r="K3893" s="19" t="s">
        <v>124</v>
      </c>
      <c r="L3893" s="19" t="s">
        <v>160</v>
      </c>
      <c r="M3893" s="15" t="s">
        <v>1951</v>
      </c>
      <c r="N3893" s="15" t="s">
        <v>54</v>
      </c>
      <c r="O3893" s="15" t="s">
        <v>134</v>
      </c>
      <c r="P3893" s="20" t="s">
        <v>1039</v>
      </c>
      <c r="Q3893" s="15" t="s">
        <v>63</v>
      </c>
      <c r="R3893" s="4"/>
      <c r="S3893" s="4"/>
    </row>
    <row r="3894" spans="1:19" ht="21" customHeight="1" x14ac:dyDescent="0.25">
      <c r="A3894" s="14">
        <f>DATE(2012,12,31)-72</f>
        <v>41202</v>
      </c>
      <c r="B3894" s="15" t="s">
        <v>1449</v>
      </c>
      <c r="C3894" s="15" t="s">
        <v>85</v>
      </c>
      <c r="D3894" s="16">
        <v>18</v>
      </c>
      <c r="E3894" s="17">
        <v>56.41</v>
      </c>
      <c r="F3894" s="16">
        <v>0.02</v>
      </c>
      <c r="G3894" s="15" t="s">
        <v>32</v>
      </c>
      <c r="H3894" s="18">
        <v>11.92</v>
      </c>
      <c r="I3894" s="19">
        <v>3.08</v>
      </c>
      <c r="J3894" s="19">
        <v>0.99</v>
      </c>
      <c r="K3894" s="19" t="s">
        <v>124</v>
      </c>
      <c r="L3894" s="19" t="s">
        <v>160</v>
      </c>
      <c r="M3894" s="15" t="s">
        <v>1951</v>
      </c>
      <c r="N3894" s="15" t="s">
        <v>36</v>
      </c>
      <c r="O3894" s="15" t="s">
        <v>114</v>
      </c>
      <c r="P3894" s="20" t="s">
        <v>262</v>
      </c>
      <c r="Q3894" s="15" t="s">
        <v>83</v>
      </c>
      <c r="R3894" s="4"/>
      <c r="S3894" s="4"/>
    </row>
    <row r="3895" spans="1:19" ht="21" customHeight="1" x14ac:dyDescent="0.25">
      <c r="A3895" s="14">
        <f>DATE(2012,12,31)-72</f>
        <v>41202</v>
      </c>
      <c r="B3895" s="15" t="s">
        <v>1449</v>
      </c>
      <c r="C3895" s="15" t="s">
        <v>85</v>
      </c>
      <c r="D3895" s="16">
        <v>39</v>
      </c>
      <c r="E3895" s="17">
        <v>147.71</v>
      </c>
      <c r="F3895" s="16">
        <v>0</v>
      </c>
      <c r="G3895" s="15" t="s">
        <v>32</v>
      </c>
      <c r="H3895" s="18">
        <v>-30.25</v>
      </c>
      <c r="I3895" s="19">
        <v>3.68</v>
      </c>
      <c r="J3895" s="19">
        <v>1.32</v>
      </c>
      <c r="K3895" s="19" t="s">
        <v>124</v>
      </c>
      <c r="L3895" s="19" t="s">
        <v>160</v>
      </c>
      <c r="M3895" s="15" t="s">
        <v>1951</v>
      </c>
      <c r="N3895" s="15" t="s">
        <v>36</v>
      </c>
      <c r="O3895" s="15" t="s">
        <v>47</v>
      </c>
      <c r="P3895" s="20" t="s">
        <v>1013</v>
      </c>
      <c r="Q3895" s="15" t="s">
        <v>79</v>
      </c>
      <c r="R3895" s="4"/>
      <c r="S3895" s="4"/>
    </row>
    <row r="3896" spans="1:19" ht="21" customHeight="1" x14ac:dyDescent="0.25">
      <c r="A3896" s="14">
        <f>DATE(2012,12,31)-72</f>
        <v>41202</v>
      </c>
      <c r="B3896" s="15" t="s">
        <v>1449</v>
      </c>
      <c r="C3896" s="15" t="s">
        <v>85</v>
      </c>
      <c r="D3896" s="16">
        <v>39</v>
      </c>
      <c r="E3896" s="17">
        <v>1678.34</v>
      </c>
      <c r="F3896" s="16">
        <v>0.05</v>
      </c>
      <c r="G3896" s="15" t="s">
        <v>32</v>
      </c>
      <c r="H3896" s="18">
        <v>670.11</v>
      </c>
      <c r="I3896" s="19">
        <v>43.98</v>
      </c>
      <c r="J3896" s="19">
        <v>1.99</v>
      </c>
      <c r="K3896" s="19" t="s">
        <v>124</v>
      </c>
      <c r="L3896" s="19" t="s">
        <v>160</v>
      </c>
      <c r="M3896" s="15" t="s">
        <v>1951</v>
      </c>
      <c r="N3896" s="15" t="s">
        <v>64</v>
      </c>
      <c r="O3896" s="15" t="s">
        <v>72</v>
      </c>
      <c r="P3896" s="20" t="s">
        <v>1702</v>
      </c>
      <c r="Q3896" s="15" t="s">
        <v>49</v>
      </c>
      <c r="R3896" s="4"/>
      <c r="S3896" s="4"/>
    </row>
    <row r="3897" spans="1:19" ht="21" customHeight="1" x14ac:dyDescent="0.25">
      <c r="A3897" s="14">
        <f>DATE(2012,12,31)-473</f>
        <v>40801</v>
      </c>
      <c r="B3897" s="15" t="s">
        <v>1054</v>
      </c>
      <c r="C3897" s="15" t="s">
        <v>51</v>
      </c>
      <c r="D3897" s="16">
        <v>47</v>
      </c>
      <c r="E3897" s="17">
        <v>181.13</v>
      </c>
      <c r="F3897" s="16">
        <v>0</v>
      </c>
      <c r="G3897" s="15" t="s">
        <v>32</v>
      </c>
      <c r="H3897" s="18">
        <v>-11.39</v>
      </c>
      <c r="I3897" s="19">
        <v>3.69</v>
      </c>
      <c r="J3897" s="19">
        <v>2.5</v>
      </c>
      <c r="K3897" s="19" t="s">
        <v>124</v>
      </c>
      <c r="L3897" s="19" t="s">
        <v>160</v>
      </c>
      <c r="M3897" s="15" t="s">
        <v>1951</v>
      </c>
      <c r="N3897" s="15" t="s">
        <v>36</v>
      </c>
      <c r="O3897" s="15" t="s">
        <v>189</v>
      </c>
      <c r="P3897" s="20" t="s">
        <v>1871</v>
      </c>
      <c r="Q3897" s="15" t="s">
        <v>83</v>
      </c>
      <c r="R3897" s="4"/>
      <c r="S3897" s="4"/>
    </row>
    <row r="3898" spans="1:19" ht="21" customHeight="1" x14ac:dyDescent="0.25">
      <c r="A3898" s="14">
        <f>DATE(2012,12,31)-1070</f>
        <v>40204</v>
      </c>
      <c r="B3898" s="15" t="s">
        <v>1310</v>
      </c>
      <c r="C3898" s="15" t="s">
        <v>31</v>
      </c>
      <c r="D3898" s="16">
        <v>9</v>
      </c>
      <c r="E3898" s="17">
        <v>196.12</v>
      </c>
      <c r="F3898" s="16">
        <v>0.01</v>
      </c>
      <c r="G3898" s="15" t="s">
        <v>101</v>
      </c>
      <c r="H3898" s="18">
        <v>4.41</v>
      </c>
      <c r="I3898" s="19">
        <v>20.89</v>
      </c>
      <c r="J3898" s="19">
        <v>1.99</v>
      </c>
      <c r="K3898" s="19" t="s">
        <v>124</v>
      </c>
      <c r="L3898" s="19" t="s">
        <v>160</v>
      </c>
      <c r="M3898" s="15" t="s">
        <v>1951</v>
      </c>
      <c r="N3898" s="15" t="s">
        <v>64</v>
      </c>
      <c r="O3898" s="15" t="s">
        <v>72</v>
      </c>
      <c r="P3898" s="20" t="s">
        <v>1652</v>
      </c>
      <c r="Q3898" s="15" t="s">
        <v>49</v>
      </c>
      <c r="R3898" s="4"/>
      <c r="S3898" s="4"/>
    </row>
    <row r="3899" spans="1:19" ht="21" customHeight="1" x14ac:dyDescent="0.25">
      <c r="A3899" s="14">
        <f>DATE(2012,12,31)-1068</f>
        <v>40206</v>
      </c>
      <c r="B3899" s="15" t="s">
        <v>817</v>
      </c>
      <c r="C3899" s="15" t="s">
        <v>51</v>
      </c>
      <c r="D3899" s="16">
        <v>32</v>
      </c>
      <c r="E3899" s="17">
        <v>216.51</v>
      </c>
      <c r="F3899" s="16">
        <v>0.02</v>
      </c>
      <c r="G3899" s="15" t="s">
        <v>101</v>
      </c>
      <c r="H3899" s="18">
        <v>109.29</v>
      </c>
      <c r="I3899" s="19">
        <v>6.3</v>
      </c>
      <c r="J3899" s="19">
        <v>0.5</v>
      </c>
      <c r="K3899" s="19" t="s">
        <v>124</v>
      </c>
      <c r="L3899" s="19" t="s">
        <v>168</v>
      </c>
      <c r="M3899" s="15" t="s">
        <v>2065</v>
      </c>
      <c r="N3899" s="15" t="s">
        <v>36</v>
      </c>
      <c r="O3899" s="15" t="s">
        <v>114</v>
      </c>
      <c r="P3899" s="20" t="s">
        <v>916</v>
      </c>
      <c r="Q3899" s="15" t="s">
        <v>83</v>
      </c>
      <c r="R3899" s="4"/>
      <c r="S3899" s="4"/>
    </row>
    <row r="3900" spans="1:19" ht="21" customHeight="1" x14ac:dyDescent="0.25">
      <c r="A3900" s="14">
        <f>DATE(2012,12,31)-668</f>
        <v>40606</v>
      </c>
      <c r="B3900" s="15" t="s">
        <v>965</v>
      </c>
      <c r="C3900" s="15" t="s">
        <v>43</v>
      </c>
      <c r="D3900" s="16">
        <v>31</v>
      </c>
      <c r="E3900" s="17">
        <v>197.59</v>
      </c>
      <c r="F3900" s="16">
        <v>0.09</v>
      </c>
      <c r="G3900" s="15" t="s">
        <v>32</v>
      </c>
      <c r="H3900" s="18">
        <v>-73.62299999999999</v>
      </c>
      <c r="I3900" s="19">
        <v>6.81</v>
      </c>
      <c r="J3900" s="19">
        <v>5.48</v>
      </c>
      <c r="K3900" s="19" t="s">
        <v>124</v>
      </c>
      <c r="L3900" s="19" t="s">
        <v>164</v>
      </c>
      <c r="M3900" s="15" t="s">
        <v>2052</v>
      </c>
      <c r="N3900" s="15" t="s">
        <v>36</v>
      </c>
      <c r="O3900" s="15" t="s">
        <v>170</v>
      </c>
      <c r="P3900" s="20" t="s">
        <v>1533</v>
      </c>
      <c r="Q3900" s="15" t="s">
        <v>83</v>
      </c>
      <c r="R3900" s="4"/>
      <c r="S3900" s="4"/>
    </row>
    <row r="3901" spans="1:19" ht="21" customHeight="1" x14ac:dyDescent="0.25">
      <c r="A3901" s="14">
        <f>DATE(2012,12,31)-668</f>
        <v>40606</v>
      </c>
      <c r="B3901" s="15" t="s">
        <v>965</v>
      </c>
      <c r="C3901" s="15" t="s">
        <v>43</v>
      </c>
      <c r="D3901" s="16">
        <v>4</v>
      </c>
      <c r="E3901" s="17">
        <v>73.900000000000006</v>
      </c>
      <c r="F3901" s="16">
        <v>0.06</v>
      </c>
      <c r="G3901" s="15" t="s">
        <v>32</v>
      </c>
      <c r="H3901" s="18">
        <v>-39.640499999999996</v>
      </c>
      <c r="I3901" s="19">
        <v>15.99</v>
      </c>
      <c r="J3901" s="19">
        <v>13.18</v>
      </c>
      <c r="K3901" s="19" t="s">
        <v>124</v>
      </c>
      <c r="L3901" s="19" t="s">
        <v>164</v>
      </c>
      <c r="M3901" s="15" t="s">
        <v>2052</v>
      </c>
      <c r="N3901" s="15" t="s">
        <v>36</v>
      </c>
      <c r="O3901" s="15" t="s">
        <v>170</v>
      </c>
      <c r="P3901" s="20" t="s">
        <v>479</v>
      </c>
      <c r="Q3901" s="15" t="s">
        <v>83</v>
      </c>
      <c r="R3901" s="4"/>
      <c r="S3901" s="4"/>
    </row>
    <row r="3902" spans="1:19" ht="21" customHeight="1" x14ac:dyDescent="0.25">
      <c r="A3902" s="14">
        <f>DATE(2012,12,31)-1449</f>
        <v>39825</v>
      </c>
      <c r="B3902" s="15" t="s">
        <v>932</v>
      </c>
      <c r="C3902" s="15" t="s">
        <v>85</v>
      </c>
      <c r="D3902" s="16">
        <v>10</v>
      </c>
      <c r="E3902" s="17">
        <v>401.14</v>
      </c>
      <c r="F3902" s="16">
        <v>0.1</v>
      </c>
      <c r="G3902" s="15" t="s">
        <v>32</v>
      </c>
      <c r="H3902" s="18">
        <v>-131.03</v>
      </c>
      <c r="I3902" s="19">
        <v>40.98</v>
      </c>
      <c r="J3902" s="19">
        <v>6.5</v>
      </c>
      <c r="K3902" s="19" t="s">
        <v>124</v>
      </c>
      <c r="L3902" s="19" t="s">
        <v>164</v>
      </c>
      <c r="M3902" s="15" t="s">
        <v>2126</v>
      </c>
      <c r="N3902" s="15" t="s">
        <v>64</v>
      </c>
      <c r="O3902" s="15" t="s">
        <v>72</v>
      </c>
      <c r="P3902" s="20" t="s">
        <v>1369</v>
      </c>
      <c r="Q3902" s="15" t="s">
        <v>83</v>
      </c>
      <c r="R3902" s="4"/>
      <c r="S3902" s="4"/>
    </row>
    <row r="3903" spans="1:19" ht="21" customHeight="1" x14ac:dyDescent="0.25">
      <c r="A3903" s="14">
        <f>DATE(2012,12,31)-1277</f>
        <v>39997</v>
      </c>
      <c r="B3903" s="15" t="s">
        <v>1484</v>
      </c>
      <c r="C3903" s="15" t="s">
        <v>51</v>
      </c>
      <c r="D3903" s="16">
        <v>8</v>
      </c>
      <c r="E3903" s="17">
        <v>1209.3699999999999</v>
      </c>
      <c r="F3903" s="16">
        <v>0.09</v>
      </c>
      <c r="G3903" s="15" t="s">
        <v>58</v>
      </c>
      <c r="H3903" s="18">
        <v>-407.85</v>
      </c>
      <c r="I3903" s="19">
        <v>150.97999999999999</v>
      </c>
      <c r="J3903" s="19">
        <v>66.27</v>
      </c>
      <c r="K3903" s="19" t="s">
        <v>124</v>
      </c>
      <c r="L3903" s="19" t="s">
        <v>168</v>
      </c>
      <c r="M3903" s="15" t="s">
        <v>2065</v>
      </c>
      <c r="N3903" s="15" t="s">
        <v>54</v>
      </c>
      <c r="O3903" s="15" t="s">
        <v>134</v>
      </c>
      <c r="P3903" s="20" t="s">
        <v>1113</v>
      </c>
      <c r="Q3903" s="15" t="s">
        <v>63</v>
      </c>
      <c r="R3903" s="4"/>
      <c r="S3903" s="4"/>
    </row>
    <row r="3904" spans="1:19" ht="21" customHeight="1" x14ac:dyDescent="0.25">
      <c r="A3904" s="14">
        <f>DATE(2012,12,31)-106</f>
        <v>41168</v>
      </c>
      <c r="B3904" s="15" t="s">
        <v>300</v>
      </c>
      <c r="C3904" s="15" t="s">
        <v>51</v>
      </c>
      <c r="D3904" s="16">
        <v>33</v>
      </c>
      <c r="E3904" s="17">
        <v>67.849999999999994</v>
      </c>
      <c r="F3904" s="16">
        <v>0.05</v>
      </c>
      <c r="G3904" s="15" t="s">
        <v>32</v>
      </c>
      <c r="H3904" s="18">
        <v>1.05</v>
      </c>
      <c r="I3904" s="19">
        <v>2.1</v>
      </c>
      <c r="J3904" s="19">
        <v>0.7</v>
      </c>
      <c r="K3904" s="19" t="s">
        <v>44</v>
      </c>
      <c r="L3904" s="19" t="s">
        <v>52</v>
      </c>
      <c r="M3904" s="15" t="s">
        <v>2068</v>
      </c>
      <c r="N3904" s="15" t="s">
        <v>36</v>
      </c>
      <c r="O3904" s="15" t="s">
        <v>77</v>
      </c>
      <c r="P3904" s="20" t="s">
        <v>1849</v>
      </c>
      <c r="Q3904" s="15" t="s">
        <v>79</v>
      </c>
      <c r="R3904" s="4"/>
      <c r="S3904" s="4"/>
    </row>
    <row r="3905" spans="1:19" ht="21" customHeight="1" x14ac:dyDescent="0.25">
      <c r="A3905" s="14">
        <f>DATE(2012,12,31)-848</f>
        <v>40426</v>
      </c>
      <c r="B3905" s="15" t="s">
        <v>512</v>
      </c>
      <c r="C3905" s="15" t="s">
        <v>85</v>
      </c>
      <c r="D3905" s="16">
        <v>26</v>
      </c>
      <c r="E3905" s="17">
        <v>139.61000000000001</v>
      </c>
      <c r="F3905" s="16">
        <v>0.01</v>
      </c>
      <c r="G3905" s="15" t="s">
        <v>32</v>
      </c>
      <c r="H3905" s="18">
        <v>-92.04</v>
      </c>
      <c r="I3905" s="19">
        <v>4.8899999999999997</v>
      </c>
      <c r="J3905" s="19">
        <v>4.93</v>
      </c>
      <c r="K3905" s="19" t="s">
        <v>44</v>
      </c>
      <c r="L3905" s="19" t="s">
        <v>52</v>
      </c>
      <c r="M3905" s="15" t="s">
        <v>2068</v>
      </c>
      <c r="N3905" s="15" t="s">
        <v>64</v>
      </c>
      <c r="O3905" s="15" t="s">
        <v>72</v>
      </c>
      <c r="P3905" s="20" t="s">
        <v>480</v>
      </c>
      <c r="Q3905" s="15" t="s">
        <v>49</v>
      </c>
      <c r="R3905" s="4"/>
      <c r="S3905" s="4"/>
    </row>
    <row r="3906" spans="1:19" ht="21" customHeight="1" x14ac:dyDescent="0.25">
      <c r="A3906" s="14">
        <f>DATE(2012,12,31)-551</f>
        <v>40723</v>
      </c>
      <c r="B3906" s="15" t="s">
        <v>961</v>
      </c>
      <c r="C3906" s="15" t="s">
        <v>31</v>
      </c>
      <c r="D3906" s="16">
        <v>1</v>
      </c>
      <c r="E3906" s="17">
        <v>11.08</v>
      </c>
      <c r="F3906" s="16">
        <v>0.09</v>
      </c>
      <c r="G3906" s="15" t="s">
        <v>32</v>
      </c>
      <c r="H3906" s="18">
        <v>-9.6944999999999997</v>
      </c>
      <c r="I3906" s="19">
        <v>5.8</v>
      </c>
      <c r="J3906" s="19">
        <v>5.59</v>
      </c>
      <c r="K3906" s="19" t="s">
        <v>44</v>
      </c>
      <c r="L3906" s="19" t="s">
        <v>236</v>
      </c>
      <c r="M3906" s="15" t="s">
        <v>2051</v>
      </c>
      <c r="N3906" s="15" t="s">
        <v>36</v>
      </c>
      <c r="O3906" s="15" t="s">
        <v>170</v>
      </c>
      <c r="P3906" s="20" t="s">
        <v>1006</v>
      </c>
      <c r="Q3906" s="15" t="s">
        <v>83</v>
      </c>
      <c r="R3906" s="4"/>
      <c r="S3906" s="4"/>
    </row>
    <row r="3907" spans="1:19" ht="21" customHeight="1" x14ac:dyDescent="0.25">
      <c r="A3907" s="14">
        <f>DATE(2012,12,31)-551</f>
        <v>40723</v>
      </c>
      <c r="B3907" s="15" t="s">
        <v>961</v>
      </c>
      <c r="C3907" s="15" t="s">
        <v>31</v>
      </c>
      <c r="D3907" s="16">
        <v>27</v>
      </c>
      <c r="E3907" s="17">
        <v>135.86000000000001</v>
      </c>
      <c r="F3907" s="16">
        <v>0.04</v>
      </c>
      <c r="G3907" s="15" t="s">
        <v>32</v>
      </c>
      <c r="H3907" s="18">
        <v>-73.42</v>
      </c>
      <c r="I3907" s="19">
        <v>4.9800000000000004</v>
      </c>
      <c r="J3907" s="19">
        <v>5.49</v>
      </c>
      <c r="K3907" s="19" t="s">
        <v>44</v>
      </c>
      <c r="L3907" s="19" t="s">
        <v>52</v>
      </c>
      <c r="M3907" s="15" t="s">
        <v>2068</v>
      </c>
      <c r="N3907" s="15" t="s">
        <v>36</v>
      </c>
      <c r="O3907" s="15" t="s">
        <v>117</v>
      </c>
      <c r="P3907" s="20" t="s">
        <v>569</v>
      </c>
      <c r="Q3907" s="15" t="s">
        <v>83</v>
      </c>
      <c r="R3907" s="4"/>
      <c r="S3907" s="4"/>
    </row>
    <row r="3908" spans="1:19" ht="21" customHeight="1" x14ac:dyDescent="0.25">
      <c r="A3908" s="14">
        <f>DATE(2012,12,31)-537</f>
        <v>40737</v>
      </c>
      <c r="B3908" s="15" t="s">
        <v>1478</v>
      </c>
      <c r="C3908" s="15" t="s">
        <v>43</v>
      </c>
      <c r="D3908" s="16">
        <v>36</v>
      </c>
      <c r="E3908" s="17">
        <v>220.45</v>
      </c>
      <c r="F3908" s="16">
        <v>0.1</v>
      </c>
      <c r="G3908" s="15" t="s">
        <v>32</v>
      </c>
      <c r="H3908" s="18">
        <v>101.4</v>
      </c>
      <c r="I3908" s="19">
        <v>6.3</v>
      </c>
      <c r="J3908" s="19">
        <v>0.5</v>
      </c>
      <c r="K3908" s="19" t="s">
        <v>44</v>
      </c>
      <c r="L3908" s="19" t="s">
        <v>52</v>
      </c>
      <c r="M3908" s="15" t="s">
        <v>2068</v>
      </c>
      <c r="N3908" s="15" t="s">
        <v>36</v>
      </c>
      <c r="O3908" s="15" t="s">
        <v>114</v>
      </c>
      <c r="P3908" s="20" t="s">
        <v>916</v>
      </c>
      <c r="Q3908" s="15" t="s">
        <v>83</v>
      </c>
      <c r="R3908" s="4"/>
      <c r="S3908" s="4"/>
    </row>
    <row r="3909" spans="1:19" ht="21" customHeight="1" x14ac:dyDescent="0.25">
      <c r="A3909" s="14">
        <f>DATE(2012,12,31)-445</f>
        <v>40829</v>
      </c>
      <c r="B3909" s="15" t="s">
        <v>2127</v>
      </c>
      <c r="C3909" s="15" t="s">
        <v>43</v>
      </c>
      <c r="D3909" s="16">
        <v>25</v>
      </c>
      <c r="E3909" s="17">
        <v>388.71</v>
      </c>
      <c r="F3909" s="16">
        <v>0.01</v>
      </c>
      <c r="G3909" s="15" t="s">
        <v>32</v>
      </c>
      <c r="H3909" s="18">
        <v>36.430999999999997</v>
      </c>
      <c r="I3909" s="19">
        <v>14.27</v>
      </c>
      <c r="J3909" s="19">
        <v>7.27</v>
      </c>
      <c r="K3909" s="19" t="s">
        <v>44</v>
      </c>
      <c r="L3909" s="19" t="s">
        <v>52</v>
      </c>
      <c r="M3909" s="15" t="s">
        <v>2068</v>
      </c>
      <c r="N3909" s="15" t="s">
        <v>36</v>
      </c>
      <c r="O3909" s="15" t="s">
        <v>170</v>
      </c>
      <c r="P3909" s="20" t="s">
        <v>1224</v>
      </c>
      <c r="Q3909" s="15" t="s">
        <v>83</v>
      </c>
      <c r="R3909" s="4"/>
      <c r="S3909" s="4"/>
    </row>
    <row r="3910" spans="1:19" ht="21" customHeight="1" x14ac:dyDescent="0.25">
      <c r="A3910" s="14">
        <f>DATE(2012,12,31)-1011</f>
        <v>40263</v>
      </c>
      <c r="B3910" s="15" t="s">
        <v>392</v>
      </c>
      <c r="C3910" s="15" t="s">
        <v>31</v>
      </c>
      <c r="D3910" s="16">
        <v>5</v>
      </c>
      <c r="E3910" s="17">
        <v>64.97</v>
      </c>
      <c r="F3910" s="16">
        <v>0.1</v>
      </c>
      <c r="G3910" s="15" t="s">
        <v>32</v>
      </c>
      <c r="H3910" s="18">
        <v>-190.3</v>
      </c>
      <c r="I3910" s="19">
        <v>3.48</v>
      </c>
      <c r="J3910" s="19">
        <v>49</v>
      </c>
      <c r="K3910" s="19" t="s">
        <v>44</v>
      </c>
      <c r="L3910" s="19" t="s">
        <v>52</v>
      </c>
      <c r="M3910" s="15" t="s">
        <v>2068</v>
      </c>
      <c r="N3910" s="15" t="s">
        <v>36</v>
      </c>
      <c r="O3910" s="15" t="s">
        <v>176</v>
      </c>
      <c r="P3910" s="20" t="s">
        <v>2101</v>
      </c>
      <c r="Q3910" s="15" t="s">
        <v>39</v>
      </c>
      <c r="R3910" s="4"/>
      <c r="S3910" s="4"/>
    </row>
    <row r="3911" spans="1:19" ht="21" customHeight="1" x14ac:dyDescent="0.25">
      <c r="A3911" s="14">
        <f>DATE(2012,12,31)-846</f>
        <v>40428</v>
      </c>
      <c r="B3911" s="15" t="s">
        <v>2128</v>
      </c>
      <c r="C3911" s="15" t="s">
        <v>31</v>
      </c>
      <c r="D3911" s="16">
        <v>44</v>
      </c>
      <c r="E3911" s="17">
        <v>777.63</v>
      </c>
      <c r="F3911" s="16">
        <v>0.03</v>
      </c>
      <c r="G3911" s="15" t="s">
        <v>32</v>
      </c>
      <c r="H3911" s="18">
        <v>-70.540000000000006</v>
      </c>
      <c r="I3911" s="19">
        <v>16.989999999999998</v>
      </c>
      <c r="J3911" s="19">
        <v>8.99</v>
      </c>
      <c r="K3911" s="19" t="s">
        <v>44</v>
      </c>
      <c r="L3911" s="19" t="s">
        <v>52</v>
      </c>
      <c r="M3911" s="15" t="s">
        <v>2068</v>
      </c>
      <c r="N3911" s="15" t="s">
        <v>36</v>
      </c>
      <c r="O3911" s="15" t="s">
        <v>77</v>
      </c>
      <c r="P3911" s="20" t="s">
        <v>1313</v>
      </c>
      <c r="Q3911" s="15" t="s">
        <v>49</v>
      </c>
      <c r="R3911" s="4"/>
      <c r="S3911" s="4"/>
    </row>
    <row r="3912" spans="1:19" ht="21" customHeight="1" x14ac:dyDescent="0.25">
      <c r="A3912" s="14">
        <f>DATE(2012,12,31)-1039</f>
        <v>40235</v>
      </c>
      <c r="B3912" s="15" t="s">
        <v>1804</v>
      </c>
      <c r="C3912" s="15" t="s">
        <v>85</v>
      </c>
      <c r="D3912" s="16">
        <v>44</v>
      </c>
      <c r="E3912" s="17">
        <v>669.01</v>
      </c>
      <c r="F3912" s="16">
        <v>0.08</v>
      </c>
      <c r="G3912" s="15" t="s">
        <v>32</v>
      </c>
      <c r="H3912" s="18">
        <v>299.35000000000002</v>
      </c>
      <c r="I3912" s="19">
        <v>15.74</v>
      </c>
      <c r="J3912" s="19">
        <v>1.39</v>
      </c>
      <c r="K3912" s="19" t="s">
        <v>44</v>
      </c>
      <c r="L3912" s="19" t="s">
        <v>52</v>
      </c>
      <c r="M3912" s="15" t="s">
        <v>2068</v>
      </c>
      <c r="N3912" s="15" t="s">
        <v>36</v>
      </c>
      <c r="O3912" s="15" t="s">
        <v>189</v>
      </c>
      <c r="P3912" s="20" t="s">
        <v>377</v>
      </c>
      <c r="Q3912" s="15" t="s">
        <v>83</v>
      </c>
      <c r="R3912" s="4"/>
      <c r="S3912" s="4"/>
    </row>
    <row r="3913" spans="1:19" ht="21" customHeight="1" x14ac:dyDescent="0.25">
      <c r="A3913" s="14">
        <f>DATE(2012,12,31)-1039</f>
        <v>40235</v>
      </c>
      <c r="B3913" s="15" t="s">
        <v>1804</v>
      </c>
      <c r="C3913" s="15" t="s">
        <v>85</v>
      </c>
      <c r="D3913" s="16">
        <v>30</v>
      </c>
      <c r="E3913" s="17">
        <v>301.60000000000002</v>
      </c>
      <c r="F3913" s="16">
        <v>0.01</v>
      </c>
      <c r="G3913" s="15" t="s">
        <v>101</v>
      </c>
      <c r="H3913" s="18">
        <v>-24.93</v>
      </c>
      <c r="I3913" s="19">
        <v>9.65</v>
      </c>
      <c r="J3913" s="19">
        <v>6.22</v>
      </c>
      <c r="K3913" s="19" t="s">
        <v>44</v>
      </c>
      <c r="L3913" s="19" t="s">
        <v>52</v>
      </c>
      <c r="M3913" s="15" t="s">
        <v>2068</v>
      </c>
      <c r="N3913" s="15" t="s">
        <v>54</v>
      </c>
      <c r="O3913" s="15" t="s">
        <v>55</v>
      </c>
      <c r="P3913" s="20" t="s">
        <v>490</v>
      </c>
      <c r="Q3913" s="15" t="s">
        <v>83</v>
      </c>
      <c r="R3913" s="4"/>
      <c r="S3913" s="4"/>
    </row>
    <row r="3914" spans="1:19" ht="21" customHeight="1" x14ac:dyDescent="0.25">
      <c r="A3914" s="14">
        <f>DATE(2012,12,31)-485</f>
        <v>40789</v>
      </c>
      <c r="B3914" s="15" t="s">
        <v>350</v>
      </c>
      <c r="C3914" s="15" t="s">
        <v>51</v>
      </c>
      <c r="D3914" s="16">
        <v>8</v>
      </c>
      <c r="E3914" s="17">
        <v>460.58949999999999</v>
      </c>
      <c r="F3914" s="16">
        <v>0.02</v>
      </c>
      <c r="G3914" s="15" t="s">
        <v>32</v>
      </c>
      <c r="H3914" s="18">
        <v>-171.20399999999998</v>
      </c>
      <c r="I3914" s="19">
        <v>65.989999999999995</v>
      </c>
      <c r="J3914" s="19">
        <v>8.99</v>
      </c>
      <c r="K3914" s="19" t="s">
        <v>44</v>
      </c>
      <c r="L3914" s="19" t="s">
        <v>52</v>
      </c>
      <c r="M3914" s="15" t="s">
        <v>2068</v>
      </c>
      <c r="N3914" s="15" t="s">
        <v>64</v>
      </c>
      <c r="O3914" s="15" t="s">
        <v>65</v>
      </c>
      <c r="P3914" s="20" t="s">
        <v>312</v>
      </c>
      <c r="Q3914" s="15" t="s">
        <v>83</v>
      </c>
      <c r="R3914" s="4"/>
      <c r="S3914" s="4"/>
    </row>
    <row r="3915" spans="1:19" ht="21" customHeight="1" x14ac:dyDescent="0.25">
      <c r="A3915" s="14">
        <f>DATE(2012,12,31)-328</f>
        <v>40946</v>
      </c>
      <c r="B3915" s="15" t="s">
        <v>282</v>
      </c>
      <c r="C3915" s="15" t="s">
        <v>85</v>
      </c>
      <c r="D3915" s="16">
        <v>1</v>
      </c>
      <c r="E3915" s="17">
        <v>62.26</v>
      </c>
      <c r="F3915" s="16">
        <v>0.09</v>
      </c>
      <c r="G3915" s="15" t="s">
        <v>32</v>
      </c>
      <c r="H3915" s="18">
        <v>-23.24</v>
      </c>
      <c r="I3915" s="19">
        <v>54.96</v>
      </c>
      <c r="J3915" s="19">
        <v>10.75</v>
      </c>
      <c r="K3915" s="19" t="s">
        <v>44</v>
      </c>
      <c r="L3915" s="19" t="s">
        <v>52</v>
      </c>
      <c r="M3915" s="15" t="s">
        <v>2068</v>
      </c>
      <c r="N3915" s="15" t="s">
        <v>36</v>
      </c>
      <c r="O3915" s="15" t="s">
        <v>117</v>
      </c>
      <c r="P3915" s="20" t="s">
        <v>1611</v>
      </c>
      <c r="Q3915" s="15" t="s">
        <v>83</v>
      </c>
      <c r="R3915" s="4"/>
      <c r="S3915" s="4"/>
    </row>
    <row r="3916" spans="1:19" ht="21" customHeight="1" x14ac:dyDescent="0.25">
      <c r="A3916" s="14">
        <f>DATE(2012,12,31)-328</f>
        <v>40946</v>
      </c>
      <c r="B3916" s="15" t="s">
        <v>282</v>
      </c>
      <c r="C3916" s="15" t="s">
        <v>85</v>
      </c>
      <c r="D3916" s="16">
        <v>47</v>
      </c>
      <c r="E3916" s="17">
        <v>58.53</v>
      </c>
      <c r="F3916" s="16">
        <v>7.0000000000000007E-2</v>
      </c>
      <c r="G3916" s="15" t="s">
        <v>32</v>
      </c>
      <c r="H3916" s="18">
        <v>-24.86</v>
      </c>
      <c r="I3916" s="19">
        <v>1.26</v>
      </c>
      <c r="J3916" s="19">
        <v>0.7</v>
      </c>
      <c r="K3916" s="19" t="s">
        <v>44</v>
      </c>
      <c r="L3916" s="19" t="s">
        <v>52</v>
      </c>
      <c r="M3916" s="15" t="s">
        <v>2068</v>
      </c>
      <c r="N3916" s="15" t="s">
        <v>36</v>
      </c>
      <c r="O3916" s="15" t="s">
        <v>105</v>
      </c>
      <c r="P3916" s="20" t="s">
        <v>316</v>
      </c>
      <c r="Q3916" s="15" t="s">
        <v>79</v>
      </c>
      <c r="R3916" s="4"/>
      <c r="S3916" s="4"/>
    </row>
    <row r="3917" spans="1:19" ht="21" customHeight="1" x14ac:dyDescent="0.25">
      <c r="A3917" s="14">
        <f>DATE(2012,12,31)-543</f>
        <v>40731</v>
      </c>
      <c r="B3917" s="15" t="s">
        <v>1033</v>
      </c>
      <c r="C3917" s="15" t="s">
        <v>51</v>
      </c>
      <c r="D3917" s="16">
        <v>23</v>
      </c>
      <c r="E3917" s="17">
        <v>1028.1600000000001</v>
      </c>
      <c r="F3917" s="16">
        <v>7.0000000000000007E-2</v>
      </c>
      <c r="G3917" s="15" t="s">
        <v>32</v>
      </c>
      <c r="H3917" s="18">
        <v>405.16200000000003</v>
      </c>
      <c r="I3917" s="19">
        <v>55.99</v>
      </c>
      <c r="J3917" s="19">
        <v>1.25</v>
      </c>
      <c r="K3917" s="19" t="s">
        <v>44</v>
      </c>
      <c r="L3917" s="19" t="s">
        <v>52</v>
      </c>
      <c r="M3917" s="15" t="s">
        <v>2068</v>
      </c>
      <c r="N3917" s="15" t="s">
        <v>64</v>
      </c>
      <c r="O3917" s="15" t="s">
        <v>65</v>
      </c>
      <c r="P3917" s="20" t="s">
        <v>815</v>
      </c>
      <c r="Q3917" s="15" t="s">
        <v>49</v>
      </c>
      <c r="R3917" s="4"/>
      <c r="S3917" s="4"/>
    </row>
    <row r="3918" spans="1:19" ht="21" customHeight="1" x14ac:dyDescent="0.25">
      <c r="A3918" s="14">
        <f>DATE(2012,12,31)-543</f>
        <v>40731</v>
      </c>
      <c r="B3918" s="15" t="s">
        <v>1033</v>
      </c>
      <c r="C3918" s="15" t="s">
        <v>51</v>
      </c>
      <c r="D3918" s="16">
        <v>3</v>
      </c>
      <c r="E3918" s="17">
        <v>9172.32</v>
      </c>
      <c r="F3918" s="16">
        <v>0.06</v>
      </c>
      <c r="G3918" s="15" t="s">
        <v>58</v>
      </c>
      <c r="H3918" s="18">
        <v>-8570.4483</v>
      </c>
      <c r="I3918" s="19">
        <v>3502.14</v>
      </c>
      <c r="J3918" s="19">
        <v>8.73</v>
      </c>
      <c r="K3918" s="19" t="s">
        <v>44</v>
      </c>
      <c r="L3918" s="19" t="s">
        <v>52</v>
      </c>
      <c r="M3918" s="15" t="s">
        <v>2068</v>
      </c>
      <c r="N3918" s="15" t="s">
        <v>64</v>
      </c>
      <c r="O3918" s="15" t="s">
        <v>122</v>
      </c>
      <c r="P3918" s="20" t="s">
        <v>613</v>
      </c>
      <c r="Q3918" s="15" t="s">
        <v>63</v>
      </c>
      <c r="R3918" s="4"/>
      <c r="S3918" s="4"/>
    </row>
    <row r="3919" spans="1:19" ht="21" customHeight="1" x14ac:dyDescent="0.25">
      <c r="A3919" s="14">
        <f>DATE(2012,12,31)-1336</f>
        <v>39938</v>
      </c>
      <c r="B3919" s="15" t="s">
        <v>459</v>
      </c>
      <c r="C3919" s="15" t="s">
        <v>85</v>
      </c>
      <c r="D3919" s="16">
        <v>40</v>
      </c>
      <c r="E3919" s="17">
        <v>1233.51</v>
      </c>
      <c r="F3919" s="16">
        <v>0.05</v>
      </c>
      <c r="G3919" s="15" t="s">
        <v>32</v>
      </c>
      <c r="H3919" s="18">
        <v>308.67</v>
      </c>
      <c r="I3919" s="19">
        <v>30.98</v>
      </c>
      <c r="J3919" s="19">
        <v>9.18</v>
      </c>
      <c r="K3919" s="19" t="s">
        <v>44</v>
      </c>
      <c r="L3919" s="19" t="s">
        <v>52</v>
      </c>
      <c r="M3919" s="15" t="s">
        <v>2068</v>
      </c>
      <c r="N3919" s="15" t="s">
        <v>36</v>
      </c>
      <c r="O3919" s="15" t="s">
        <v>117</v>
      </c>
      <c r="P3919" s="20" t="s">
        <v>1904</v>
      </c>
      <c r="Q3919" s="15" t="s">
        <v>83</v>
      </c>
      <c r="R3919" s="4"/>
      <c r="S3919" s="4"/>
    </row>
    <row r="3920" spans="1:19" ht="21" customHeight="1" x14ac:dyDescent="0.25">
      <c r="A3920" s="14">
        <f>DATE(2012,12,31)-265</f>
        <v>41009</v>
      </c>
      <c r="B3920" s="15" t="s">
        <v>929</v>
      </c>
      <c r="C3920" s="15" t="s">
        <v>85</v>
      </c>
      <c r="D3920" s="16">
        <v>8</v>
      </c>
      <c r="E3920" s="17">
        <v>60.17</v>
      </c>
      <c r="F3920" s="16">
        <v>0</v>
      </c>
      <c r="G3920" s="15" t="s">
        <v>32</v>
      </c>
      <c r="H3920" s="18">
        <v>-18.239999999999998</v>
      </c>
      <c r="I3920" s="19">
        <v>6.68</v>
      </c>
      <c r="J3920" s="19">
        <v>5.66</v>
      </c>
      <c r="K3920" s="19" t="s">
        <v>44</v>
      </c>
      <c r="L3920" s="19" t="s">
        <v>52</v>
      </c>
      <c r="M3920" s="15" t="s">
        <v>2068</v>
      </c>
      <c r="N3920" s="15" t="s">
        <v>36</v>
      </c>
      <c r="O3920" s="15" t="s">
        <v>117</v>
      </c>
      <c r="P3920" s="20" t="s">
        <v>625</v>
      </c>
      <c r="Q3920" s="15" t="s">
        <v>83</v>
      </c>
      <c r="R3920" s="4"/>
      <c r="S3920" s="4"/>
    </row>
    <row r="3921" spans="1:19" ht="21" customHeight="1" x14ac:dyDescent="0.25">
      <c r="A3921" s="14">
        <f>DATE(2012,12,31)-937</f>
        <v>40337</v>
      </c>
      <c r="B3921" s="15" t="s">
        <v>394</v>
      </c>
      <c r="C3921" s="15" t="s">
        <v>31</v>
      </c>
      <c r="D3921" s="16">
        <v>43</v>
      </c>
      <c r="E3921" s="17">
        <v>5677.87</v>
      </c>
      <c r="F3921" s="16">
        <v>0.04</v>
      </c>
      <c r="G3921" s="15" t="s">
        <v>58</v>
      </c>
      <c r="H3921" s="18">
        <v>-824.09</v>
      </c>
      <c r="I3921" s="19">
        <v>130.97999999999999</v>
      </c>
      <c r="J3921" s="19">
        <v>54.74</v>
      </c>
      <c r="K3921" s="19" t="s">
        <v>44</v>
      </c>
      <c r="L3921" s="19" t="s">
        <v>236</v>
      </c>
      <c r="M3921" s="15" t="s">
        <v>2129</v>
      </c>
      <c r="N3921" s="15" t="s">
        <v>54</v>
      </c>
      <c r="O3921" s="15" t="s">
        <v>134</v>
      </c>
      <c r="P3921" s="20" t="s">
        <v>135</v>
      </c>
      <c r="Q3921" s="15" t="s">
        <v>63</v>
      </c>
      <c r="R3921" s="4"/>
      <c r="S3921" s="4"/>
    </row>
    <row r="3922" spans="1:19" ht="21" customHeight="1" x14ac:dyDescent="0.25">
      <c r="A3922" s="14">
        <f>DATE(2012,12,31)-937</f>
        <v>40337</v>
      </c>
      <c r="B3922" s="15" t="s">
        <v>394</v>
      </c>
      <c r="C3922" s="15" t="s">
        <v>31</v>
      </c>
      <c r="D3922" s="16">
        <v>9</v>
      </c>
      <c r="E3922" s="17">
        <v>732.72</v>
      </c>
      <c r="F3922" s="16">
        <v>0.03</v>
      </c>
      <c r="G3922" s="15" t="s">
        <v>32</v>
      </c>
      <c r="H3922" s="18">
        <v>8.5999999999999943</v>
      </c>
      <c r="I3922" s="19">
        <v>83.1</v>
      </c>
      <c r="J3922" s="19">
        <v>6.13</v>
      </c>
      <c r="K3922" s="19" t="s">
        <v>44</v>
      </c>
      <c r="L3922" s="19" t="s">
        <v>52</v>
      </c>
      <c r="M3922" s="15" t="s">
        <v>2068</v>
      </c>
      <c r="N3922" s="15" t="s">
        <v>64</v>
      </c>
      <c r="O3922" s="15" t="s">
        <v>72</v>
      </c>
      <c r="P3922" s="20" t="s">
        <v>1095</v>
      </c>
      <c r="Q3922" s="15" t="s">
        <v>83</v>
      </c>
      <c r="R3922" s="4"/>
      <c r="S3922" s="4"/>
    </row>
    <row r="3923" spans="1:19" ht="21" customHeight="1" x14ac:dyDescent="0.25">
      <c r="A3923" s="14">
        <f>DATE(2012,12,31)-937</f>
        <v>40337</v>
      </c>
      <c r="B3923" s="15" t="s">
        <v>394</v>
      </c>
      <c r="C3923" s="15" t="s">
        <v>31</v>
      </c>
      <c r="D3923" s="16">
        <v>32</v>
      </c>
      <c r="E3923" s="17">
        <v>687.47</v>
      </c>
      <c r="F3923" s="16">
        <v>0.1</v>
      </c>
      <c r="G3923" s="15" t="s">
        <v>58</v>
      </c>
      <c r="H3923" s="18">
        <v>-1533.15</v>
      </c>
      <c r="I3923" s="19">
        <v>20.98</v>
      </c>
      <c r="J3923" s="19">
        <v>53.03</v>
      </c>
      <c r="K3923" s="19" t="s">
        <v>44</v>
      </c>
      <c r="L3923" s="19" t="s">
        <v>52</v>
      </c>
      <c r="M3923" s="15" t="s">
        <v>2068</v>
      </c>
      <c r="N3923" s="15" t="s">
        <v>36</v>
      </c>
      <c r="O3923" s="15" t="s">
        <v>37</v>
      </c>
      <c r="P3923" s="20" t="s">
        <v>180</v>
      </c>
      <c r="Q3923" s="15" t="s">
        <v>181</v>
      </c>
      <c r="R3923" s="4"/>
      <c r="S3923" s="4"/>
    </row>
    <row r="3924" spans="1:19" ht="21" customHeight="1" x14ac:dyDescent="0.25">
      <c r="A3924" s="14">
        <f>DATE(2012,12,31)-816</f>
        <v>40458</v>
      </c>
      <c r="B3924" s="15" t="s">
        <v>245</v>
      </c>
      <c r="C3924" s="15" t="s">
        <v>51</v>
      </c>
      <c r="D3924" s="16">
        <v>35</v>
      </c>
      <c r="E3924" s="17">
        <v>897.42</v>
      </c>
      <c r="F3924" s="16">
        <v>0.08</v>
      </c>
      <c r="G3924" s="15" t="s">
        <v>32</v>
      </c>
      <c r="H3924" s="18">
        <v>127.17</v>
      </c>
      <c r="I3924" s="19">
        <v>26.64</v>
      </c>
      <c r="J3924" s="19">
        <v>5.3</v>
      </c>
      <c r="K3924" s="19" t="s">
        <v>44</v>
      </c>
      <c r="L3924" s="19" t="s">
        <v>236</v>
      </c>
      <c r="M3924" s="15" t="s">
        <v>2129</v>
      </c>
      <c r="N3924" s="15" t="s">
        <v>54</v>
      </c>
      <c r="O3924" s="15" t="s">
        <v>252</v>
      </c>
      <c r="P3924" s="20" t="s">
        <v>2130</v>
      </c>
      <c r="Q3924" s="15" t="s">
        <v>57</v>
      </c>
      <c r="R3924" s="4"/>
      <c r="S3924" s="4"/>
    </row>
    <row r="3925" spans="1:19" ht="21" customHeight="1" x14ac:dyDescent="0.25">
      <c r="A3925" s="14">
        <f>DATE(2012,12,31)-816</f>
        <v>40458</v>
      </c>
      <c r="B3925" s="15" t="s">
        <v>245</v>
      </c>
      <c r="C3925" s="15" t="s">
        <v>51</v>
      </c>
      <c r="D3925" s="16">
        <v>27</v>
      </c>
      <c r="E3925" s="17">
        <v>306.02</v>
      </c>
      <c r="F3925" s="16">
        <v>0.08</v>
      </c>
      <c r="G3925" s="15" t="s">
        <v>32</v>
      </c>
      <c r="H3925" s="18">
        <v>-6.7</v>
      </c>
      <c r="I3925" s="19">
        <v>12.07</v>
      </c>
      <c r="J3925" s="19">
        <v>6.2</v>
      </c>
      <c r="K3925" s="19" t="s">
        <v>44</v>
      </c>
      <c r="L3925" s="19" t="s">
        <v>89</v>
      </c>
      <c r="M3925" s="15" t="s">
        <v>1932</v>
      </c>
      <c r="N3925" s="15" t="s">
        <v>54</v>
      </c>
      <c r="O3925" s="15" t="s">
        <v>55</v>
      </c>
      <c r="P3925" s="20" t="s">
        <v>829</v>
      </c>
      <c r="Q3925" s="15" t="s">
        <v>79</v>
      </c>
      <c r="R3925" s="4"/>
      <c r="S3925" s="4"/>
    </row>
    <row r="3926" spans="1:19" ht="21" customHeight="1" x14ac:dyDescent="0.25">
      <c r="A3926" s="14">
        <f>DATE(2012,12,31)-816</f>
        <v>40458</v>
      </c>
      <c r="B3926" s="15" t="s">
        <v>245</v>
      </c>
      <c r="C3926" s="15" t="s">
        <v>51</v>
      </c>
      <c r="D3926" s="16">
        <v>31</v>
      </c>
      <c r="E3926" s="17">
        <v>813.41</v>
      </c>
      <c r="F3926" s="16">
        <v>0.09</v>
      </c>
      <c r="G3926" s="15" t="s">
        <v>101</v>
      </c>
      <c r="H3926" s="18">
        <v>284.64999999999998</v>
      </c>
      <c r="I3926" s="19">
        <v>28.48</v>
      </c>
      <c r="J3926" s="19">
        <v>1.99</v>
      </c>
      <c r="K3926" s="19" t="s">
        <v>69</v>
      </c>
      <c r="L3926" s="19" t="s">
        <v>215</v>
      </c>
      <c r="M3926" s="15" t="s">
        <v>2120</v>
      </c>
      <c r="N3926" s="15" t="s">
        <v>64</v>
      </c>
      <c r="O3926" s="15" t="s">
        <v>72</v>
      </c>
      <c r="P3926" s="20" t="s">
        <v>382</v>
      </c>
      <c r="Q3926" s="15" t="s">
        <v>49</v>
      </c>
      <c r="R3926" s="4"/>
      <c r="S3926" s="4"/>
    </row>
    <row r="3927" spans="1:19" ht="21" customHeight="1" x14ac:dyDescent="0.25">
      <c r="A3927" s="14">
        <f>DATE(2012,12,31)-1296</f>
        <v>39978</v>
      </c>
      <c r="B3927" s="15" t="s">
        <v>1211</v>
      </c>
      <c r="C3927" s="15" t="s">
        <v>85</v>
      </c>
      <c r="D3927" s="16">
        <v>41</v>
      </c>
      <c r="E3927" s="17">
        <v>8958.4599999999991</v>
      </c>
      <c r="F3927" s="16">
        <v>0.02</v>
      </c>
      <c r="G3927" s="15" t="s">
        <v>32</v>
      </c>
      <c r="H3927" s="18">
        <v>2593.14</v>
      </c>
      <c r="I3927" s="19">
        <v>209.84</v>
      </c>
      <c r="J3927" s="19">
        <v>21.21</v>
      </c>
      <c r="K3927" s="19" t="s">
        <v>111</v>
      </c>
      <c r="L3927" s="19" t="s">
        <v>407</v>
      </c>
      <c r="M3927" s="15" t="s">
        <v>407</v>
      </c>
      <c r="N3927" s="15" t="s">
        <v>54</v>
      </c>
      <c r="O3927" s="15" t="s">
        <v>55</v>
      </c>
      <c r="P3927" s="20" t="s">
        <v>1034</v>
      </c>
      <c r="Q3927" s="15" t="s">
        <v>39</v>
      </c>
      <c r="R3927" s="4"/>
      <c r="S3927" s="4"/>
    </row>
    <row r="3928" spans="1:19" ht="21" customHeight="1" x14ac:dyDescent="0.25">
      <c r="A3928" s="14">
        <f>DATE(2012,12,31)-1296</f>
        <v>39978</v>
      </c>
      <c r="B3928" s="15" t="s">
        <v>1211</v>
      </c>
      <c r="C3928" s="15" t="s">
        <v>85</v>
      </c>
      <c r="D3928" s="16">
        <v>21</v>
      </c>
      <c r="E3928" s="17">
        <v>4201.08</v>
      </c>
      <c r="F3928" s="16">
        <v>0.01</v>
      </c>
      <c r="G3928" s="15" t="s">
        <v>32</v>
      </c>
      <c r="H3928" s="18">
        <v>1162.76</v>
      </c>
      <c r="I3928" s="19">
        <v>194.3</v>
      </c>
      <c r="J3928" s="19">
        <v>11.54</v>
      </c>
      <c r="K3928" s="19" t="s">
        <v>44</v>
      </c>
      <c r="L3928" s="19" t="s">
        <v>80</v>
      </c>
      <c r="M3928" s="15" t="s">
        <v>2081</v>
      </c>
      <c r="N3928" s="15" t="s">
        <v>54</v>
      </c>
      <c r="O3928" s="15" t="s">
        <v>55</v>
      </c>
      <c r="P3928" s="20" t="s">
        <v>1627</v>
      </c>
      <c r="Q3928" s="15" t="s">
        <v>39</v>
      </c>
      <c r="R3928" s="4"/>
      <c r="S3928" s="4"/>
    </row>
    <row r="3929" spans="1:19" ht="21" customHeight="1" x14ac:dyDescent="0.25">
      <c r="A3929" s="14">
        <f>DATE(2012,12,31)-1178</f>
        <v>40096</v>
      </c>
      <c r="B3929" s="15" t="s">
        <v>1336</v>
      </c>
      <c r="C3929" s="15" t="s">
        <v>85</v>
      </c>
      <c r="D3929" s="16">
        <v>5</v>
      </c>
      <c r="E3929" s="17">
        <v>43.55</v>
      </c>
      <c r="F3929" s="16">
        <v>0.1</v>
      </c>
      <c r="G3929" s="15" t="s">
        <v>32</v>
      </c>
      <c r="H3929" s="18">
        <v>-3.64</v>
      </c>
      <c r="I3929" s="19">
        <v>9.11</v>
      </c>
      <c r="J3929" s="19">
        <v>2.15</v>
      </c>
      <c r="K3929" s="19" t="s">
        <v>44</v>
      </c>
      <c r="L3929" s="19" t="s">
        <v>89</v>
      </c>
      <c r="M3929" s="15" t="s">
        <v>1932</v>
      </c>
      <c r="N3929" s="15" t="s">
        <v>36</v>
      </c>
      <c r="O3929" s="15" t="s">
        <v>117</v>
      </c>
      <c r="P3929" s="20" t="s">
        <v>1374</v>
      </c>
      <c r="Q3929" s="15" t="s">
        <v>79</v>
      </c>
      <c r="R3929" s="4"/>
      <c r="S3929" s="4"/>
    </row>
    <row r="3930" spans="1:19" ht="21" customHeight="1" x14ac:dyDescent="0.25">
      <c r="A3930" s="14">
        <f>DATE(2012,12,31)-653</f>
        <v>40621</v>
      </c>
      <c r="B3930" s="15" t="s">
        <v>2082</v>
      </c>
      <c r="C3930" s="15" t="s">
        <v>85</v>
      </c>
      <c r="D3930" s="16">
        <v>31</v>
      </c>
      <c r="E3930" s="17">
        <v>157.79</v>
      </c>
      <c r="F3930" s="16">
        <v>0.09</v>
      </c>
      <c r="G3930" s="15" t="s">
        <v>32</v>
      </c>
      <c r="H3930" s="18">
        <v>-95.92</v>
      </c>
      <c r="I3930" s="19">
        <v>4.9800000000000004</v>
      </c>
      <c r="J3930" s="19">
        <v>6.07</v>
      </c>
      <c r="K3930" s="19" t="s">
        <v>44</v>
      </c>
      <c r="L3930" s="19" t="s">
        <v>89</v>
      </c>
      <c r="M3930" s="15" t="s">
        <v>1932</v>
      </c>
      <c r="N3930" s="15" t="s">
        <v>36</v>
      </c>
      <c r="O3930" s="15" t="s">
        <v>117</v>
      </c>
      <c r="P3930" s="20" t="s">
        <v>1506</v>
      </c>
      <c r="Q3930" s="15" t="s">
        <v>83</v>
      </c>
      <c r="R3930" s="4"/>
      <c r="S3930" s="4"/>
    </row>
    <row r="3931" spans="1:19" ht="21" customHeight="1" x14ac:dyDescent="0.25">
      <c r="A3931" s="14">
        <f>DATE(2012,12,31)-998</f>
        <v>40276</v>
      </c>
      <c r="B3931" s="15" t="s">
        <v>1528</v>
      </c>
      <c r="C3931" s="15" t="s">
        <v>43</v>
      </c>
      <c r="D3931" s="16">
        <v>23</v>
      </c>
      <c r="E3931" s="17">
        <v>128.97</v>
      </c>
      <c r="F3931" s="16">
        <v>0.03</v>
      </c>
      <c r="G3931" s="15" t="s">
        <v>32</v>
      </c>
      <c r="H3931" s="18">
        <v>-1045.25</v>
      </c>
      <c r="I3931" s="19">
        <v>3.48</v>
      </c>
      <c r="J3931" s="19">
        <v>49</v>
      </c>
      <c r="K3931" s="19" t="s">
        <v>124</v>
      </c>
      <c r="L3931" s="19" t="s">
        <v>319</v>
      </c>
      <c r="M3931" s="15" t="s">
        <v>2098</v>
      </c>
      <c r="N3931" s="15" t="s">
        <v>36</v>
      </c>
      <c r="O3931" s="15" t="s">
        <v>176</v>
      </c>
      <c r="P3931" s="20" t="s">
        <v>2101</v>
      </c>
      <c r="Q3931" s="15" t="s">
        <v>39</v>
      </c>
      <c r="R3931" s="4"/>
      <c r="S3931" s="4"/>
    </row>
    <row r="3932" spans="1:19" ht="21" customHeight="1" x14ac:dyDescent="0.25">
      <c r="A3932" s="14">
        <f>DATE(2012,12,31)-998</f>
        <v>40276</v>
      </c>
      <c r="B3932" s="15" t="s">
        <v>1528</v>
      </c>
      <c r="C3932" s="15" t="s">
        <v>43</v>
      </c>
      <c r="D3932" s="16">
        <v>20</v>
      </c>
      <c r="E3932" s="17">
        <v>238.77</v>
      </c>
      <c r="F3932" s="16">
        <v>0.02</v>
      </c>
      <c r="G3932" s="15" t="s">
        <v>32</v>
      </c>
      <c r="H3932" s="18">
        <v>-78.81</v>
      </c>
      <c r="I3932" s="19">
        <v>11.66</v>
      </c>
      <c r="J3932" s="19">
        <v>7.95</v>
      </c>
      <c r="K3932" s="19" t="s">
        <v>44</v>
      </c>
      <c r="L3932" s="19" t="s">
        <v>120</v>
      </c>
      <c r="M3932" s="15" t="s">
        <v>2025</v>
      </c>
      <c r="N3932" s="15" t="s">
        <v>36</v>
      </c>
      <c r="O3932" s="15" t="s">
        <v>77</v>
      </c>
      <c r="P3932" s="20" t="s">
        <v>1502</v>
      </c>
      <c r="Q3932" s="15" t="s">
        <v>49</v>
      </c>
      <c r="R3932" s="4"/>
      <c r="S3932" s="4"/>
    </row>
    <row r="3933" spans="1:19" ht="21" customHeight="1" x14ac:dyDescent="0.25">
      <c r="A3933" s="14">
        <f>DATE(2012,12,31)-998</f>
        <v>40276</v>
      </c>
      <c r="B3933" s="15" t="s">
        <v>1528</v>
      </c>
      <c r="C3933" s="15" t="s">
        <v>43</v>
      </c>
      <c r="D3933" s="16">
        <v>20</v>
      </c>
      <c r="E3933" s="17">
        <v>257.33999999999997</v>
      </c>
      <c r="F3933" s="16">
        <v>0.04</v>
      </c>
      <c r="G3933" s="15" t="s">
        <v>32</v>
      </c>
      <c r="H3933" s="18">
        <v>12.82</v>
      </c>
      <c r="I3933" s="19">
        <v>12.98</v>
      </c>
      <c r="J3933" s="19">
        <v>3.14</v>
      </c>
      <c r="K3933" s="19" t="s">
        <v>44</v>
      </c>
      <c r="L3933" s="19" t="s">
        <v>236</v>
      </c>
      <c r="M3933" s="15" t="s">
        <v>2129</v>
      </c>
      <c r="N3933" s="15" t="s">
        <v>36</v>
      </c>
      <c r="O3933" s="15" t="s">
        <v>47</v>
      </c>
      <c r="P3933" s="20" t="s">
        <v>152</v>
      </c>
      <c r="Q3933" s="15" t="s">
        <v>49</v>
      </c>
      <c r="R3933" s="4"/>
      <c r="S3933" s="4"/>
    </row>
    <row r="3934" spans="1:19" ht="21" customHeight="1" x14ac:dyDescent="0.25">
      <c r="A3934" s="14">
        <f>DATE(2012,12,31)-839</f>
        <v>40435</v>
      </c>
      <c r="B3934" s="15" t="s">
        <v>1633</v>
      </c>
      <c r="C3934" s="15" t="s">
        <v>51</v>
      </c>
      <c r="D3934" s="16">
        <v>16</v>
      </c>
      <c r="E3934" s="17">
        <v>2826.9</v>
      </c>
      <c r="F3934" s="16">
        <v>7.0000000000000007E-2</v>
      </c>
      <c r="G3934" s="15" t="s">
        <v>58</v>
      </c>
      <c r="H3934" s="18">
        <v>337.29</v>
      </c>
      <c r="I3934" s="19">
        <v>180.98</v>
      </c>
      <c r="J3934" s="19">
        <v>26.2</v>
      </c>
      <c r="K3934" s="19" t="s">
        <v>124</v>
      </c>
      <c r="L3934" s="19" t="s">
        <v>160</v>
      </c>
      <c r="M3934" s="15" t="s">
        <v>1951</v>
      </c>
      <c r="N3934" s="15" t="s">
        <v>54</v>
      </c>
      <c r="O3934" s="15" t="s">
        <v>252</v>
      </c>
      <c r="P3934" s="20" t="s">
        <v>1499</v>
      </c>
      <c r="Q3934" s="15" t="s">
        <v>181</v>
      </c>
      <c r="R3934" s="4"/>
      <c r="S3934" s="4"/>
    </row>
    <row r="3935" spans="1:19" ht="21" customHeight="1" x14ac:dyDescent="0.25">
      <c r="A3935" s="14">
        <f>DATE(2012,12,31)-839</f>
        <v>40435</v>
      </c>
      <c r="B3935" s="15" t="s">
        <v>1633</v>
      </c>
      <c r="C3935" s="15" t="s">
        <v>51</v>
      </c>
      <c r="D3935" s="16">
        <v>37</v>
      </c>
      <c r="E3935" s="17">
        <v>7834.77</v>
      </c>
      <c r="F3935" s="16">
        <v>0.04</v>
      </c>
      <c r="G3935" s="15" t="s">
        <v>58</v>
      </c>
      <c r="H3935" s="18">
        <v>297.79000000000002</v>
      </c>
      <c r="I3935" s="19">
        <v>216.6</v>
      </c>
      <c r="J3935" s="19">
        <v>64.2</v>
      </c>
      <c r="K3935" s="19" t="s">
        <v>124</v>
      </c>
      <c r="L3935" s="19" t="s">
        <v>493</v>
      </c>
      <c r="M3935" s="15" t="s">
        <v>2117</v>
      </c>
      <c r="N3935" s="15" t="s">
        <v>54</v>
      </c>
      <c r="O3935" s="15" t="s">
        <v>252</v>
      </c>
      <c r="P3935" s="20" t="s">
        <v>855</v>
      </c>
      <c r="Q3935" s="15" t="s">
        <v>181</v>
      </c>
      <c r="R3935" s="4"/>
      <c r="S3935" s="4"/>
    </row>
    <row r="3936" spans="1:19" ht="21" customHeight="1" x14ac:dyDescent="0.25">
      <c r="A3936" s="14">
        <f>DATE(2012,12,31)-839</f>
        <v>40435</v>
      </c>
      <c r="B3936" s="15" t="s">
        <v>1633</v>
      </c>
      <c r="C3936" s="15" t="s">
        <v>51</v>
      </c>
      <c r="D3936" s="16">
        <v>18</v>
      </c>
      <c r="E3936" s="17">
        <v>127.56</v>
      </c>
      <c r="F3936" s="16">
        <v>0.01</v>
      </c>
      <c r="G3936" s="15" t="s">
        <v>32</v>
      </c>
      <c r="H3936" s="18">
        <v>-57.11</v>
      </c>
      <c r="I3936" s="19">
        <v>6.6</v>
      </c>
      <c r="J3936" s="19">
        <v>4.07</v>
      </c>
      <c r="K3936" s="19" t="s">
        <v>124</v>
      </c>
      <c r="L3936" s="19" t="s">
        <v>158</v>
      </c>
      <c r="M3936" s="15" t="s">
        <v>158</v>
      </c>
      <c r="N3936" s="15" t="s">
        <v>64</v>
      </c>
      <c r="O3936" s="15" t="s">
        <v>72</v>
      </c>
      <c r="P3936" s="20" t="s">
        <v>1591</v>
      </c>
      <c r="Q3936" s="15" t="s">
        <v>49</v>
      </c>
      <c r="R3936" s="4"/>
      <c r="S3936" s="4"/>
    </row>
    <row r="3937" spans="1:19" ht="21" customHeight="1" x14ac:dyDescent="0.25">
      <c r="A3937" s="14">
        <f>DATE(2012,12,31)-603</f>
        <v>40671</v>
      </c>
      <c r="B3937" s="15" t="s">
        <v>481</v>
      </c>
      <c r="C3937" s="15" t="s">
        <v>43</v>
      </c>
      <c r="D3937" s="16">
        <v>19</v>
      </c>
      <c r="E3937" s="17">
        <v>376.21</v>
      </c>
      <c r="F3937" s="16">
        <v>0.03</v>
      </c>
      <c r="G3937" s="15" t="s">
        <v>32</v>
      </c>
      <c r="H3937" s="18">
        <v>89.555999999999997</v>
      </c>
      <c r="I3937" s="19">
        <v>18.989999999999998</v>
      </c>
      <c r="J3937" s="19">
        <v>5.23</v>
      </c>
      <c r="K3937" s="19" t="s">
        <v>44</v>
      </c>
      <c r="L3937" s="19" t="s">
        <v>52</v>
      </c>
      <c r="M3937" s="15" t="s">
        <v>2068</v>
      </c>
      <c r="N3937" s="15" t="s">
        <v>36</v>
      </c>
      <c r="O3937" s="15" t="s">
        <v>170</v>
      </c>
      <c r="P3937" s="20" t="s">
        <v>2009</v>
      </c>
      <c r="Q3937" s="15" t="s">
        <v>83</v>
      </c>
      <c r="R3937" s="4"/>
      <c r="S3937" s="4"/>
    </row>
    <row r="3938" spans="1:19" ht="21" customHeight="1" x14ac:dyDescent="0.25">
      <c r="A3938" s="14">
        <f>DATE(2012,12,31)-1115</f>
        <v>40159</v>
      </c>
      <c r="B3938" s="15" t="s">
        <v>742</v>
      </c>
      <c r="C3938" s="15" t="s">
        <v>51</v>
      </c>
      <c r="D3938" s="16">
        <v>31</v>
      </c>
      <c r="E3938" s="17">
        <v>203.53</v>
      </c>
      <c r="F3938" s="16">
        <v>0.06</v>
      </c>
      <c r="G3938" s="15" t="s">
        <v>32</v>
      </c>
      <c r="H3938" s="18">
        <v>-101.28</v>
      </c>
      <c r="I3938" s="19">
        <v>6.68</v>
      </c>
      <c r="J3938" s="19">
        <v>6.93</v>
      </c>
      <c r="K3938" s="19" t="s">
        <v>44</v>
      </c>
      <c r="L3938" s="19" t="s">
        <v>52</v>
      </c>
      <c r="M3938" s="15" t="s">
        <v>2068</v>
      </c>
      <c r="N3938" s="15" t="s">
        <v>36</v>
      </c>
      <c r="O3938" s="15" t="s">
        <v>117</v>
      </c>
      <c r="P3938" s="20" t="s">
        <v>957</v>
      </c>
      <c r="Q3938" s="15" t="s">
        <v>83</v>
      </c>
      <c r="R3938" s="4"/>
      <c r="S3938" s="4"/>
    </row>
    <row r="3939" spans="1:19" ht="21" customHeight="1" x14ac:dyDescent="0.25">
      <c r="A3939" s="14">
        <f>DATE(2012,12,31)-851</f>
        <v>40423</v>
      </c>
      <c r="B3939" s="15" t="s">
        <v>254</v>
      </c>
      <c r="C3939" s="15" t="s">
        <v>85</v>
      </c>
      <c r="D3939" s="16">
        <v>43</v>
      </c>
      <c r="E3939" s="17">
        <v>856.45</v>
      </c>
      <c r="F3939" s="16">
        <v>0.03</v>
      </c>
      <c r="G3939" s="15" t="s">
        <v>32</v>
      </c>
      <c r="H3939" s="18">
        <v>265.10000000000002</v>
      </c>
      <c r="I3939" s="19">
        <v>19.84</v>
      </c>
      <c r="J3939" s="19">
        <v>4.0999999999999996</v>
      </c>
      <c r="K3939" s="19" t="s">
        <v>44</v>
      </c>
      <c r="L3939" s="19" t="s">
        <v>52</v>
      </c>
      <c r="M3939" s="15" t="s">
        <v>2068</v>
      </c>
      <c r="N3939" s="15" t="s">
        <v>36</v>
      </c>
      <c r="O3939" s="15" t="s">
        <v>77</v>
      </c>
      <c r="P3939" s="20" t="s">
        <v>162</v>
      </c>
      <c r="Q3939" s="15" t="s">
        <v>79</v>
      </c>
      <c r="R3939" s="4"/>
      <c r="S3939" s="4"/>
    </row>
    <row r="3940" spans="1:19" ht="21" customHeight="1" x14ac:dyDescent="0.25">
      <c r="A3940" s="14">
        <f>DATE(2012,12,31)-851</f>
        <v>40423</v>
      </c>
      <c r="B3940" s="15" t="s">
        <v>254</v>
      </c>
      <c r="C3940" s="15" t="s">
        <v>85</v>
      </c>
      <c r="D3940" s="16">
        <v>1</v>
      </c>
      <c r="E3940" s="17">
        <v>6.75</v>
      </c>
      <c r="F3940" s="16">
        <v>0.08</v>
      </c>
      <c r="G3940" s="15" t="s">
        <v>32</v>
      </c>
      <c r="H3940" s="18">
        <v>-2.31</v>
      </c>
      <c r="I3940" s="19">
        <v>5.84</v>
      </c>
      <c r="J3940" s="19">
        <v>1</v>
      </c>
      <c r="K3940" s="19" t="s">
        <v>44</v>
      </c>
      <c r="L3940" s="19" t="s">
        <v>89</v>
      </c>
      <c r="M3940" s="15" t="s">
        <v>1932</v>
      </c>
      <c r="N3940" s="15" t="s">
        <v>36</v>
      </c>
      <c r="O3940" s="15" t="s">
        <v>77</v>
      </c>
      <c r="P3940" s="20" t="s">
        <v>1148</v>
      </c>
      <c r="Q3940" s="15" t="s">
        <v>79</v>
      </c>
      <c r="R3940" s="4"/>
      <c r="S3940" s="4"/>
    </row>
    <row r="3941" spans="1:19" ht="21" customHeight="1" x14ac:dyDescent="0.25">
      <c r="A3941" s="14">
        <f>DATE(2012,12,31)-858</f>
        <v>40416</v>
      </c>
      <c r="B3941" s="15" t="s">
        <v>74</v>
      </c>
      <c r="C3941" s="15" t="s">
        <v>31</v>
      </c>
      <c r="D3941" s="16">
        <v>23</v>
      </c>
      <c r="E3941" s="17">
        <v>631.99</v>
      </c>
      <c r="F3941" s="16">
        <v>0.08</v>
      </c>
      <c r="G3941" s="15" t="s">
        <v>32</v>
      </c>
      <c r="H3941" s="18">
        <v>-43.96</v>
      </c>
      <c r="I3941" s="19">
        <v>27.48</v>
      </c>
      <c r="J3941" s="19">
        <v>4</v>
      </c>
      <c r="K3941" s="19" t="s">
        <v>44</v>
      </c>
      <c r="L3941" s="19" t="s">
        <v>89</v>
      </c>
      <c r="M3941" s="15" t="s">
        <v>1932</v>
      </c>
      <c r="N3941" s="15" t="s">
        <v>64</v>
      </c>
      <c r="O3941" s="15" t="s">
        <v>72</v>
      </c>
      <c r="P3941" s="20" t="s">
        <v>1322</v>
      </c>
      <c r="Q3941" s="15" t="s">
        <v>83</v>
      </c>
      <c r="R3941" s="4"/>
      <c r="S3941" s="4"/>
    </row>
    <row r="3942" spans="1:19" ht="21" customHeight="1" x14ac:dyDescent="0.25">
      <c r="A3942" s="14">
        <f>DATE(2012,12,31)-1320</f>
        <v>39954</v>
      </c>
      <c r="B3942" s="15" t="s">
        <v>1536</v>
      </c>
      <c r="C3942" s="15" t="s">
        <v>31</v>
      </c>
      <c r="D3942" s="16">
        <v>1</v>
      </c>
      <c r="E3942" s="17">
        <v>10.17</v>
      </c>
      <c r="F3942" s="16">
        <v>0.02</v>
      </c>
      <c r="G3942" s="15" t="s">
        <v>101</v>
      </c>
      <c r="H3942" s="18">
        <v>-4.09</v>
      </c>
      <c r="I3942" s="19">
        <v>5.18</v>
      </c>
      <c r="J3942" s="19">
        <v>2.04</v>
      </c>
      <c r="K3942" s="19" t="s">
        <v>44</v>
      </c>
      <c r="L3942" s="19" t="s">
        <v>52</v>
      </c>
      <c r="M3942" s="15" t="s">
        <v>2068</v>
      </c>
      <c r="N3942" s="15" t="s">
        <v>36</v>
      </c>
      <c r="O3942" s="15" t="s">
        <v>117</v>
      </c>
      <c r="P3942" s="20" t="s">
        <v>1443</v>
      </c>
      <c r="Q3942" s="15" t="s">
        <v>79</v>
      </c>
      <c r="R3942" s="4"/>
      <c r="S3942" s="4"/>
    </row>
    <row r="3943" spans="1:19" ht="21" customHeight="1" x14ac:dyDescent="0.25">
      <c r="A3943" s="14">
        <f>DATE(2012,12,31)-1320</f>
        <v>39954</v>
      </c>
      <c r="B3943" s="15" t="s">
        <v>1536</v>
      </c>
      <c r="C3943" s="15" t="s">
        <v>31</v>
      </c>
      <c r="D3943" s="16">
        <v>4</v>
      </c>
      <c r="E3943" s="17">
        <v>23.58</v>
      </c>
      <c r="F3943" s="16">
        <v>0.09</v>
      </c>
      <c r="G3943" s="15" t="s">
        <v>32</v>
      </c>
      <c r="H3943" s="18">
        <v>-2.87</v>
      </c>
      <c r="I3943" s="19">
        <v>5.84</v>
      </c>
      <c r="J3943" s="19">
        <v>0.83</v>
      </c>
      <c r="K3943" s="19" t="s">
        <v>124</v>
      </c>
      <c r="L3943" s="19" t="s">
        <v>158</v>
      </c>
      <c r="M3943" s="15" t="s">
        <v>158</v>
      </c>
      <c r="N3943" s="15" t="s">
        <v>36</v>
      </c>
      <c r="O3943" s="15" t="s">
        <v>77</v>
      </c>
      <c r="P3943" s="20" t="s">
        <v>335</v>
      </c>
      <c r="Q3943" s="15" t="s">
        <v>79</v>
      </c>
      <c r="R3943" s="4"/>
      <c r="S3943" s="4"/>
    </row>
    <row r="3944" spans="1:19" ht="21" customHeight="1" x14ac:dyDescent="0.25">
      <c r="A3944" s="14">
        <f>DATE(2012,12,31)-1328</f>
        <v>39946</v>
      </c>
      <c r="B3944" s="15" t="s">
        <v>1549</v>
      </c>
      <c r="C3944" s="15" t="s">
        <v>85</v>
      </c>
      <c r="D3944" s="16">
        <v>43</v>
      </c>
      <c r="E3944" s="17">
        <v>2438.6999999999998</v>
      </c>
      <c r="F3944" s="16">
        <v>0</v>
      </c>
      <c r="G3944" s="15" t="s">
        <v>32</v>
      </c>
      <c r="H3944" s="18">
        <v>-1413.18</v>
      </c>
      <c r="I3944" s="19">
        <v>55.5</v>
      </c>
      <c r="J3944" s="19">
        <v>52.2</v>
      </c>
      <c r="K3944" s="19" t="s">
        <v>44</v>
      </c>
      <c r="L3944" s="19" t="s">
        <v>52</v>
      </c>
      <c r="M3944" s="15" t="s">
        <v>2068</v>
      </c>
      <c r="N3944" s="15" t="s">
        <v>54</v>
      </c>
      <c r="O3944" s="15" t="s">
        <v>55</v>
      </c>
      <c r="P3944" s="20" t="s">
        <v>1884</v>
      </c>
      <c r="Q3944" s="15" t="s">
        <v>57</v>
      </c>
      <c r="R3944" s="4"/>
      <c r="S3944" s="4"/>
    </row>
    <row r="3945" spans="1:19" ht="21" customHeight="1" x14ac:dyDescent="0.25">
      <c r="A3945" s="14">
        <f>DATE(2012,12,31)-340</f>
        <v>40934</v>
      </c>
      <c r="B3945" s="15" t="s">
        <v>580</v>
      </c>
      <c r="C3945" s="15" t="s">
        <v>85</v>
      </c>
      <c r="D3945" s="16">
        <v>5</v>
      </c>
      <c r="E3945" s="17">
        <v>107.41</v>
      </c>
      <c r="F3945" s="16">
        <v>0.05</v>
      </c>
      <c r="G3945" s="15" t="s">
        <v>32</v>
      </c>
      <c r="H3945" s="18">
        <v>0.18999999999999773</v>
      </c>
      <c r="I3945" s="19">
        <v>19.98</v>
      </c>
      <c r="J3945" s="19">
        <v>5.86</v>
      </c>
      <c r="K3945" s="19" t="s">
        <v>33</v>
      </c>
      <c r="L3945" s="19" t="s">
        <v>59</v>
      </c>
      <c r="M3945" s="15" t="s">
        <v>2091</v>
      </c>
      <c r="N3945" s="15" t="s">
        <v>36</v>
      </c>
      <c r="O3945" s="15" t="s">
        <v>117</v>
      </c>
      <c r="P3945" s="20" t="s">
        <v>1548</v>
      </c>
      <c r="Q3945" s="15" t="s">
        <v>83</v>
      </c>
      <c r="R3945" s="4"/>
      <c r="S3945" s="4"/>
    </row>
    <row r="3946" spans="1:19" ht="21" customHeight="1" x14ac:dyDescent="0.25">
      <c r="A3946" s="14">
        <f>DATE(2012,12,31)-1250</f>
        <v>40024</v>
      </c>
      <c r="B3946" s="15" t="s">
        <v>1099</v>
      </c>
      <c r="C3946" s="15" t="s">
        <v>31</v>
      </c>
      <c r="D3946" s="16">
        <v>23</v>
      </c>
      <c r="E3946" s="17">
        <v>404.24</v>
      </c>
      <c r="F3946" s="16">
        <v>0.02</v>
      </c>
      <c r="G3946" s="15" t="s">
        <v>101</v>
      </c>
      <c r="H3946" s="18">
        <v>-76.992500000000007</v>
      </c>
      <c r="I3946" s="19">
        <v>15.99</v>
      </c>
      <c r="J3946" s="19">
        <v>13.18</v>
      </c>
      <c r="K3946" s="19" t="s">
        <v>33</v>
      </c>
      <c r="L3946" s="19" t="s">
        <v>59</v>
      </c>
      <c r="M3946" s="15" t="s">
        <v>2091</v>
      </c>
      <c r="N3946" s="15" t="s">
        <v>36</v>
      </c>
      <c r="O3946" s="15" t="s">
        <v>170</v>
      </c>
      <c r="P3946" s="20" t="s">
        <v>479</v>
      </c>
      <c r="Q3946" s="15" t="s">
        <v>83</v>
      </c>
      <c r="R3946" s="4"/>
      <c r="S3946" s="4"/>
    </row>
    <row r="3947" spans="1:19" ht="21" customHeight="1" x14ac:dyDescent="0.25">
      <c r="A3947" s="14">
        <f>DATE(2012,12,31)-1250</f>
        <v>40024</v>
      </c>
      <c r="B3947" s="15" t="s">
        <v>1099</v>
      </c>
      <c r="C3947" s="15" t="s">
        <v>31</v>
      </c>
      <c r="D3947" s="16">
        <v>32</v>
      </c>
      <c r="E3947" s="17">
        <v>1381.88</v>
      </c>
      <c r="F3947" s="16">
        <v>0.09</v>
      </c>
      <c r="G3947" s="15" t="s">
        <v>101</v>
      </c>
      <c r="H3947" s="18">
        <v>598.20000000000005</v>
      </c>
      <c r="I3947" s="19">
        <v>46.94</v>
      </c>
      <c r="J3947" s="19">
        <v>6.77</v>
      </c>
      <c r="K3947" s="19" t="s">
        <v>33</v>
      </c>
      <c r="L3947" s="19" t="s">
        <v>34</v>
      </c>
      <c r="M3947" s="15" t="s">
        <v>2043</v>
      </c>
      <c r="N3947" s="15" t="s">
        <v>54</v>
      </c>
      <c r="O3947" s="15" t="s">
        <v>55</v>
      </c>
      <c r="P3947" s="20" t="s">
        <v>1428</v>
      </c>
      <c r="Q3947" s="15" t="s">
        <v>83</v>
      </c>
      <c r="R3947" s="4"/>
      <c r="S3947" s="4"/>
    </row>
    <row r="3948" spans="1:19" ht="21" customHeight="1" x14ac:dyDescent="0.25">
      <c r="A3948" s="14">
        <f>DATE(2012,12,31)-1193</f>
        <v>40081</v>
      </c>
      <c r="B3948" s="15" t="s">
        <v>1905</v>
      </c>
      <c r="C3948" s="15" t="s">
        <v>85</v>
      </c>
      <c r="D3948" s="16">
        <v>37</v>
      </c>
      <c r="E3948" s="17">
        <v>1601.24</v>
      </c>
      <c r="F3948" s="16">
        <v>0.08</v>
      </c>
      <c r="G3948" s="15" t="s">
        <v>32</v>
      </c>
      <c r="H3948" s="18">
        <v>520.69000000000005</v>
      </c>
      <c r="I3948" s="19">
        <v>46.89</v>
      </c>
      <c r="J3948" s="19">
        <v>5.0999999999999996</v>
      </c>
      <c r="K3948" s="19" t="s">
        <v>33</v>
      </c>
      <c r="L3948" s="19" t="s">
        <v>59</v>
      </c>
      <c r="M3948" s="15" t="s">
        <v>2091</v>
      </c>
      <c r="N3948" s="15" t="s">
        <v>36</v>
      </c>
      <c r="O3948" s="15" t="s">
        <v>176</v>
      </c>
      <c r="P3948" s="20" t="s">
        <v>1451</v>
      </c>
      <c r="Q3948" s="15" t="s">
        <v>57</v>
      </c>
      <c r="R3948" s="4"/>
      <c r="S3948" s="4"/>
    </row>
    <row r="3949" spans="1:19" ht="21" customHeight="1" x14ac:dyDescent="0.25">
      <c r="A3949" s="14">
        <f>DATE(2012,12,31)-1193</f>
        <v>40081</v>
      </c>
      <c r="B3949" s="15" t="s">
        <v>1905</v>
      </c>
      <c r="C3949" s="15" t="s">
        <v>85</v>
      </c>
      <c r="D3949" s="16">
        <v>40</v>
      </c>
      <c r="E3949" s="17">
        <v>501.31</v>
      </c>
      <c r="F3949" s="16">
        <v>0.05</v>
      </c>
      <c r="G3949" s="15" t="s">
        <v>32</v>
      </c>
      <c r="H3949" s="18">
        <v>38.229999999999997</v>
      </c>
      <c r="I3949" s="19">
        <v>12.98</v>
      </c>
      <c r="J3949" s="19">
        <v>3.14</v>
      </c>
      <c r="K3949" s="19" t="s">
        <v>33</v>
      </c>
      <c r="L3949" s="19" t="s">
        <v>34</v>
      </c>
      <c r="M3949" s="15" t="s">
        <v>2043</v>
      </c>
      <c r="N3949" s="15" t="s">
        <v>36</v>
      </c>
      <c r="O3949" s="15" t="s">
        <v>47</v>
      </c>
      <c r="P3949" s="20" t="s">
        <v>152</v>
      </c>
      <c r="Q3949" s="15" t="s">
        <v>49</v>
      </c>
      <c r="R3949" s="4"/>
      <c r="S3949" s="4"/>
    </row>
    <row r="3950" spans="1:19" ht="21" customHeight="1" x14ac:dyDescent="0.25">
      <c r="A3950" s="14">
        <f>DATE(2012,12,31)-1295</f>
        <v>39979</v>
      </c>
      <c r="B3950" s="15" t="s">
        <v>1596</v>
      </c>
      <c r="C3950" s="15" t="s">
        <v>43</v>
      </c>
      <c r="D3950" s="16">
        <v>10</v>
      </c>
      <c r="E3950" s="17">
        <v>784.08</v>
      </c>
      <c r="F3950" s="16">
        <v>0.02</v>
      </c>
      <c r="G3950" s="15" t="s">
        <v>58</v>
      </c>
      <c r="H3950" s="18">
        <v>-222.77</v>
      </c>
      <c r="I3950" s="19">
        <v>70.98</v>
      </c>
      <c r="J3950" s="19">
        <v>46.74</v>
      </c>
      <c r="K3950" s="19" t="s">
        <v>69</v>
      </c>
      <c r="L3950" s="19" t="s">
        <v>70</v>
      </c>
      <c r="M3950" s="15" t="s">
        <v>1895</v>
      </c>
      <c r="N3950" s="15" t="s">
        <v>54</v>
      </c>
      <c r="O3950" s="15" t="s">
        <v>134</v>
      </c>
      <c r="P3950" s="20" t="s">
        <v>381</v>
      </c>
      <c r="Q3950" s="15" t="s">
        <v>63</v>
      </c>
      <c r="R3950" s="4"/>
      <c r="S3950" s="4"/>
    </row>
    <row r="3951" spans="1:19" ht="21" customHeight="1" x14ac:dyDescent="0.25">
      <c r="A3951" s="14">
        <f>DATE(2012,12,31)-1295</f>
        <v>39979</v>
      </c>
      <c r="B3951" s="15" t="s">
        <v>1596</v>
      </c>
      <c r="C3951" s="15" t="s">
        <v>43</v>
      </c>
      <c r="D3951" s="16">
        <v>15</v>
      </c>
      <c r="E3951" s="17">
        <v>5028.3100000000004</v>
      </c>
      <c r="F3951" s="16">
        <v>0.06</v>
      </c>
      <c r="G3951" s="15" t="s">
        <v>58</v>
      </c>
      <c r="H3951" s="18">
        <v>664.88</v>
      </c>
      <c r="I3951" s="19">
        <v>350.98</v>
      </c>
      <c r="J3951" s="19">
        <v>30</v>
      </c>
      <c r="K3951" s="19" t="s">
        <v>69</v>
      </c>
      <c r="L3951" s="19" t="s">
        <v>75</v>
      </c>
      <c r="M3951" s="15" t="s">
        <v>1980</v>
      </c>
      <c r="N3951" s="15" t="s">
        <v>54</v>
      </c>
      <c r="O3951" s="15" t="s">
        <v>252</v>
      </c>
      <c r="P3951" s="20" t="s">
        <v>2008</v>
      </c>
      <c r="Q3951" s="15" t="s">
        <v>181</v>
      </c>
      <c r="R3951" s="4"/>
      <c r="S3951" s="4"/>
    </row>
    <row r="3952" spans="1:19" ht="21" customHeight="1" x14ac:dyDescent="0.25">
      <c r="A3952" s="14">
        <f>DATE(2012,12,31)-1295</f>
        <v>39979</v>
      </c>
      <c r="B3952" s="15" t="s">
        <v>1596</v>
      </c>
      <c r="C3952" s="15" t="s">
        <v>43</v>
      </c>
      <c r="D3952" s="16">
        <v>41</v>
      </c>
      <c r="E3952" s="17">
        <v>1085.6099999999999</v>
      </c>
      <c r="F3952" s="16">
        <v>0.04</v>
      </c>
      <c r="G3952" s="15" t="s">
        <v>32</v>
      </c>
      <c r="H3952" s="18">
        <v>-33.32</v>
      </c>
      <c r="I3952" s="19">
        <v>27.48</v>
      </c>
      <c r="J3952" s="19">
        <v>4</v>
      </c>
      <c r="K3952" s="19" t="s">
        <v>69</v>
      </c>
      <c r="L3952" s="19" t="s">
        <v>70</v>
      </c>
      <c r="M3952" s="15" t="s">
        <v>1895</v>
      </c>
      <c r="N3952" s="15" t="s">
        <v>64</v>
      </c>
      <c r="O3952" s="15" t="s">
        <v>72</v>
      </c>
      <c r="P3952" s="20" t="s">
        <v>1322</v>
      </c>
      <c r="Q3952" s="15" t="s">
        <v>83</v>
      </c>
      <c r="R3952" s="4"/>
      <c r="S3952" s="4"/>
    </row>
    <row r="3953" spans="1:19" ht="21" customHeight="1" x14ac:dyDescent="0.25">
      <c r="A3953" s="14">
        <f>DATE(2012,12,31)-175</f>
        <v>41099</v>
      </c>
      <c r="B3953" s="15" t="s">
        <v>616</v>
      </c>
      <c r="C3953" s="15" t="s">
        <v>43</v>
      </c>
      <c r="D3953" s="16">
        <v>2</v>
      </c>
      <c r="E3953" s="17">
        <v>24.96</v>
      </c>
      <c r="F3953" s="16">
        <v>0.05</v>
      </c>
      <c r="G3953" s="15" t="s">
        <v>32</v>
      </c>
      <c r="H3953" s="18">
        <v>-12.7995</v>
      </c>
      <c r="I3953" s="19">
        <v>10.91</v>
      </c>
      <c r="J3953" s="19">
        <v>2.99</v>
      </c>
      <c r="K3953" s="19" t="s">
        <v>69</v>
      </c>
      <c r="L3953" s="19" t="s">
        <v>75</v>
      </c>
      <c r="M3953" s="15" t="s">
        <v>1980</v>
      </c>
      <c r="N3953" s="15" t="s">
        <v>36</v>
      </c>
      <c r="O3953" s="15" t="s">
        <v>170</v>
      </c>
      <c r="P3953" s="20" t="s">
        <v>554</v>
      </c>
      <c r="Q3953" s="15" t="s">
        <v>83</v>
      </c>
      <c r="R3953" s="4"/>
      <c r="S3953" s="4"/>
    </row>
    <row r="3954" spans="1:19" ht="21" customHeight="1" x14ac:dyDescent="0.25">
      <c r="A3954" s="14">
        <f>DATE(2012,12,31)-327</f>
        <v>40947</v>
      </c>
      <c r="B3954" s="15" t="s">
        <v>1219</v>
      </c>
      <c r="C3954" s="15" t="s">
        <v>85</v>
      </c>
      <c r="D3954" s="16">
        <v>50</v>
      </c>
      <c r="E3954" s="17">
        <v>7703.9664999999995</v>
      </c>
      <c r="F3954" s="16">
        <v>0</v>
      </c>
      <c r="G3954" s="15" t="s">
        <v>32</v>
      </c>
      <c r="H3954" s="18">
        <v>2446.4969999999998</v>
      </c>
      <c r="I3954" s="19">
        <v>175.99</v>
      </c>
      <c r="J3954" s="19">
        <v>8.99</v>
      </c>
      <c r="K3954" s="19" t="s">
        <v>69</v>
      </c>
      <c r="L3954" s="19" t="s">
        <v>70</v>
      </c>
      <c r="M3954" s="15" t="s">
        <v>1895</v>
      </c>
      <c r="N3954" s="15" t="s">
        <v>64</v>
      </c>
      <c r="O3954" s="15" t="s">
        <v>65</v>
      </c>
      <c r="P3954" s="20" t="s">
        <v>1490</v>
      </c>
      <c r="Q3954" s="15" t="s">
        <v>83</v>
      </c>
      <c r="R3954" s="4"/>
      <c r="S3954" s="4"/>
    </row>
    <row r="3955" spans="1:19" ht="21" customHeight="1" x14ac:dyDescent="0.25">
      <c r="A3955" s="14">
        <f>DATE(2012,12,31)-12</f>
        <v>41262</v>
      </c>
      <c r="B3955" s="15" t="s">
        <v>541</v>
      </c>
      <c r="C3955" s="15" t="s">
        <v>85</v>
      </c>
      <c r="D3955" s="16">
        <v>25</v>
      </c>
      <c r="E3955" s="17">
        <v>163.41</v>
      </c>
      <c r="F3955" s="16">
        <v>7.0000000000000007E-2</v>
      </c>
      <c r="G3955" s="15" t="s">
        <v>32</v>
      </c>
      <c r="H3955" s="18">
        <v>-91.275500000000008</v>
      </c>
      <c r="I3955" s="19">
        <v>6.23</v>
      </c>
      <c r="J3955" s="19">
        <v>6.97</v>
      </c>
      <c r="K3955" s="19" t="s">
        <v>69</v>
      </c>
      <c r="L3955" s="19" t="s">
        <v>70</v>
      </c>
      <c r="M3955" s="15" t="s">
        <v>1895</v>
      </c>
      <c r="N3955" s="15" t="s">
        <v>36</v>
      </c>
      <c r="O3955" s="15" t="s">
        <v>170</v>
      </c>
      <c r="P3955" s="20" t="s">
        <v>2131</v>
      </c>
      <c r="Q3955" s="15" t="s">
        <v>83</v>
      </c>
      <c r="R3955" s="4"/>
      <c r="S3955" s="4"/>
    </row>
    <row r="3956" spans="1:19" ht="21" customHeight="1" x14ac:dyDescent="0.25">
      <c r="A3956" s="14">
        <f>DATE(2012,12,31)-1439</f>
        <v>39835</v>
      </c>
      <c r="B3956" s="15" t="s">
        <v>1037</v>
      </c>
      <c r="C3956" s="15" t="s">
        <v>85</v>
      </c>
      <c r="D3956" s="16">
        <v>13</v>
      </c>
      <c r="E3956" s="17">
        <v>1160.5899999999999</v>
      </c>
      <c r="F3956" s="16">
        <v>0.01</v>
      </c>
      <c r="G3956" s="15" t="s">
        <v>32</v>
      </c>
      <c r="H3956" s="18">
        <v>-330.14</v>
      </c>
      <c r="I3956" s="19">
        <v>80.98</v>
      </c>
      <c r="J3956" s="19">
        <v>35</v>
      </c>
      <c r="K3956" s="19" t="s">
        <v>69</v>
      </c>
      <c r="L3956" s="19" t="s">
        <v>70</v>
      </c>
      <c r="M3956" s="15" t="s">
        <v>1895</v>
      </c>
      <c r="N3956" s="15" t="s">
        <v>36</v>
      </c>
      <c r="O3956" s="15" t="s">
        <v>37</v>
      </c>
      <c r="P3956" s="20" t="s">
        <v>1806</v>
      </c>
      <c r="Q3956" s="15" t="s">
        <v>39</v>
      </c>
      <c r="R3956" s="4"/>
      <c r="S3956" s="4"/>
    </row>
    <row r="3957" spans="1:19" ht="21" customHeight="1" x14ac:dyDescent="0.25">
      <c r="A3957" s="14">
        <f>DATE(2012,12,31)-1439</f>
        <v>39835</v>
      </c>
      <c r="B3957" s="15" t="s">
        <v>311</v>
      </c>
      <c r="C3957" s="15" t="s">
        <v>85</v>
      </c>
      <c r="D3957" s="16">
        <v>9</v>
      </c>
      <c r="E3957" s="17">
        <v>206.04</v>
      </c>
      <c r="F3957" s="16">
        <v>0</v>
      </c>
      <c r="G3957" s="15" t="s">
        <v>32</v>
      </c>
      <c r="H3957" s="18">
        <v>-49.81</v>
      </c>
      <c r="I3957" s="19">
        <v>20.28</v>
      </c>
      <c r="J3957" s="19">
        <v>14.39</v>
      </c>
      <c r="K3957" s="19" t="s">
        <v>69</v>
      </c>
      <c r="L3957" s="19" t="s">
        <v>70</v>
      </c>
      <c r="M3957" s="15" t="s">
        <v>1895</v>
      </c>
      <c r="N3957" s="15" t="s">
        <v>54</v>
      </c>
      <c r="O3957" s="15" t="s">
        <v>55</v>
      </c>
      <c r="P3957" s="20" t="s">
        <v>1231</v>
      </c>
      <c r="Q3957" s="15" t="s">
        <v>83</v>
      </c>
      <c r="R3957" s="4"/>
      <c r="S3957" s="4"/>
    </row>
    <row r="3958" spans="1:19" ht="21" customHeight="1" x14ac:dyDescent="0.25">
      <c r="A3958" s="14">
        <f>DATE(2012,12,31)-173</f>
        <v>41101</v>
      </c>
      <c r="B3958" s="15" t="s">
        <v>1292</v>
      </c>
      <c r="C3958" s="15" t="s">
        <v>43</v>
      </c>
      <c r="D3958" s="16">
        <v>5</v>
      </c>
      <c r="E3958" s="17">
        <v>346.23</v>
      </c>
      <c r="F3958" s="16">
        <v>0</v>
      </c>
      <c r="G3958" s="15" t="s">
        <v>32</v>
      </c>
      <c r="H3958" s="18">
        <v>8.4600000000000009</v>
      </c>
      <c r="I3958" s="19">
        <v>60.98</v>
      </c>
      <c r="J3958" s="19">
        <v>19.989999999999998</v>
      </c>
      <c r="K3958" s="19" t="s">
        <v>69</v>
      </c>
      <c r="L3958" s="19" t="s">
        <v>75</v>
      </c>
      <c r="M3958" s="15" t="s">
        <v>1980</v>
      </c>
      <c r="N3958" s="15" t="s">
        <v>36</v>
      </c>
      <c r="O3958" s="15" t="s">
        <v>189</v>
      </c>
      <c r="P3958" s="20" t="s">
        <v>1251</v>
      </c>
      <c r="Q3958" s="15" t="s">
        <v>83</v>
      </c>
      <c r="R3958" s="4"/>
      <c r="S3958" s="4"/>
    </row>
    <row r="3959" spans="1:19" ht="21" customHeight="1" x14ac:dyDescent="0.25">
      <c r="A3959" s="14">
        <f>DATE(2012,12,31)-1407</f>
        <v>39867</v>
      </c>
      <c r="B3959" s="15" t="s">
        <v>550</v>
      </c>
      <c r="C3959" s="15" t="s">
        <v>51</v>
      </c>
      <c r="D3959" s="16">
        <v>19</v>
      </c>
      <c r="E3959" s="17">
        <v>467.4</v>
      </c>
      <c r="F3959" s="16">
        <v>0.01</v>
      </c>
      <c r="G3959" s="15" t="s">
        <v>58</v>
      </c>
      <c r="H3959" s="18">
        <v>-851.09</v>
      </c>
      <c r="I3959" s="19">
        <v>20.98</v>
      </c>
      <c r="J3959" s="19">
        <v>53.03</v>
      </c>
      <c r="K3959" s="19" t="s">
        <v>69</v>
      </c>
      <c r="L3959" s="19" t="s">
        <v>70</v>
      </c>
      <c r="M3959" s="15" t="s">
        <v>1895</v>
      </c>
      <c r="N3959" s="15" t="s">
        <v>36</v>
      </c>
      <c r="O3959" s="15" t="s">
        <v>37</v>
      </c>
      <c r="P3959" s="20" t="s">
        <v>180</v>
      </c>
      <c r="Q3959" s="15" t="s">
        <v>181</v>
      </c>
      <c r="R3959" s="4"/>
      <c r="S3959" s="4"/>
    </row>
    <row r="3960" spans="1:19" ht="21" customHeight="1" x14ac:dyDescent="0.25">
      <c r="A3960" s="14">
        <f>DATE(2012,12,31)-1389</f>
        <v>39885</v>
      </c>
      <c r="B3960" s="15" t="s">
        <v>1752</v>
      </c>
      <c r="C3960" s="15" t="s">
        <v>85</v>
      </c>
      <c r="D3960" s="16">
        <v>2</v>
      </c>
      <c r="E3960" s="17">
        <v>201.178</v>
      </c>
      <c r="F3960" s="16">
        <v>7.0000000000000007E-2</v>
      </c>
      <c r="G3960" s="15" t="s">
        <v>32</v>
      </c>
      <c r="H3960" s="18">
        <v>-604.40600000000006</v>
      </c>
      <c r="I3960" s="19">
        <v>125.99</v>
      </c>
      <c r="J3960" s="19">
        <v>2.5</v>
      </c>
      <c r="K3960" s="19" t="s">
        <v>69</v>
      </c>
      <c r="L3960" s="19" t="s">
        <v>70</v>
      </c>
      <c r="M3960" s="15" t="s">
        <v>1895</v>
      </c>
      <c r="N3960" s="15" t="s">
        <v>64</v>
      </c>
      <c r="O3960" s="15" t="s">
        <v>65</v>
      </c>
      <c r="P3960" s="20" t="s">
        <v>1340</v>
      </c>
      <c r="Q3960" s="15" t="s">
        <v>83</v>
      </c>
      <c r="R3960" s="4"/>
      <c r="S3960" s="4"/>
    </row>
    <row r="3961" spans="1:19" ht="21" customHeight="1" x14ac:dyDescent="0.25">
      <c r="A3961" s="14">
        <f>DATE(2012,12,31)-1389</f>
        <v>39885</v>
      </c>
      <c r="B3961" s="15" t="s">
        <v>1752</v>
      </c>
      <c r="C3961" s="15" t="s">
        <v>85</v>
      </c>
      <c r="D3961" s="16">
        <v>25</v>
      </c>
      <c r="E3961" s="17">
        <v>2493.2399999999998</v>
      </c>
      <c r="F3961" s="16">
        <v>0.03</v>
      </c>
      <c r="G3961" s="15" t="s">
        <v>32</v>
      </c>
      <c r="H3961" s="18">
        <v>293.66000000000003</v>
      </c>
      <c r="I3961" s="19">
        <v>99.99</v>
      </c>
      <c r="J3961" s="19">
        <v>19.989999999999998</v>
      </c>
      <c r="K3961" s="19" t="s">
        <v>69</v>
      </c>
      <c r="L3961" s="19" t="s">
        <v>70</v>
      </c>
      <c r="M3961" s="15" t="s">
        <v>1895</v>
      </c>
      <c r="N3961" s="15" t="s">
        <v>64</v>
      </c>
      <c r="O3961" s="15" t="s">
        <v>72</v>
      </c>
      <c r="P3961" s="20" t="s">
        <v>496</v>
      </c>
      <c r="Q3961" s="15" t="s">
        <v>83</v>
      </c>
      <c r="R3961" s="4"/>
      <c r="S3961" s="4"/>
    </row>
    <row r="3962" spans="1:19" ht="21" customHeight="1" x14ac:dyDescent="0.25">
      <c r="A3962" s="14">
        <f>DATE(2012,12,31)-1153</f>
        <v>40121</v>
      </c>
      <c r="B3962" s="15" t="s">
        <v>1798</v>
      </c>
      <c r="C3962" s="15" t="s">
        <v>51</v>
      </c>
      <c r="D3962" s="16">
        <v>22</v>
      </c>
      <c r="E3962" s="17">
        <v>249.24</v>
      </c>
      <c r="F3962" s="16">
        <v>0.06</v>
      </c>
      <c r="G3962" s="15" t="s">
        <v>32</v>
      </c>
      <c r="H3962" s="18">
        <v>-92.1</v>
      </c>
      <c r="I3962" s="19">
        <v>10.97</v>
      </c>
      <c r="J3962" s="19">
        <v>6.5</v>
      </c>
      <c r="K3962" s="19" t="s">
        <v>69</v>
      </c>
      <c r="L3962" s="19" t="s">
        <v>70</v>
      </c>
      <c r="M3962" s="15" t="s">
        <v>1895</v>
      </c>
      <c r="N3962" s="15" t="s">
        <v>64</v>
      </c>
      <c r="O3962" s="15" t="s">
        <v>72</v>
      </c>
      <c r="P3962" s="20" t="s">
        <v>354</v>
      </c>
      <c r="Q3962" s="15" t="s">
        <v>83</v>
      </c>
      <c r="R3962" s="4"/>
      <c r="S3962" s="4"/>
    </row>
    <row r="3963" spans="1:19" ht="21" customHeight="1" x14ac:dyDescent="0.25">
      <c r="A3963" s="14">
        <f>DATE(2012,12,31)-731</f>
        <v>40543</v>
      </c>
      <c r="B3963" s="15" t="s">
        <v>1193</v>
      </c>
      <c r="C3963" s="15" t="s">
        <v>85</v>
      </c>
      <c r="D3963" s="16">
        <v>26</v>
      </c>
      <c r="E3963" s="17">
        <v>299.11</v>
      </c>
      <c r="F3963" s="16">
        <v>0.05</v>
      </c>
      <c r="G3963" s="15" t="s">
        <v>32</v>
      </c>
      <c r="H3963" s="18">
        <v>40.03</v>
      </c>
      <c r="I3963" s="19">
        <v>11.34</v>
      </c>
      <c r="J3963" s="19">
        <v>5.01</v>
      </c>
      <c r="K3963" s="19" t="s">
        <v>69</v>
      </c>
      <c r="L3963" s="19" t="s">
        <v>215</v>
      </c>
      <c r="M3963" s="15" t="s">
        <v>2120</v>
      </c>
      <c r="N3963" s="15" t="s">
        <v>36</v>
      </c>
      <c r="O3963" s="15" t="s">
        <v>117</v>
      </c>
      <c r="P3963" s="20" t="s">
        <v>1425</v>
      </c>
      <c r="Q3963" s="15" t="s">
        <v>83</v>
      </c>
      <c r="R3963" s="4"/>
      <c r="S3963" s="4"/>
    </row>
    <row r="3964" spans="1:19" ht="21" customHeight="1" x14ac:dyDescent="0.25">
      <c r="A3964" s="14">
        <f>DATE(2012,12,31)-1082</f>
        <v>40192</v>
      </c>
      <c r="B3964" s="15" t="s">
        <v>478</v>
      </c>
      <c r="C3964" s="15" t="s">
        <v>51</v>
      </c>
      <c r="D3964" s="16">
        <v>31</v>
      </c>
      <c r="E3964" s="17">
        <v>166.76</v>
      </c>
      <c r="F3964" s="16">
        <v>0.01</v>
      </c>
      <c r="G3964" s="15" t="s">
        <v>32</v>
      </c>
      <c r="H3964" s="18">
        <v>-46.03</v>
      </c>
      <c r="I3964" s="19">
        <v>4.9800000000000004</v>
      </c>
      <c r="J3964" s="19">
        <v>4.75</v>
      </c>
      <c r="K3964" s="19" t="s">
        <v>69</v>
      </c>
      <c r="L3964" s="19" t="s">
        <v>215</v>
      </c>
      <c r="M3964" s="15" t="s">
        <v>2120</v>
      </c>
      <c r="N3964" s="15" t="s">
        <v>36</v>
      </c>
      <c r="O3964" s="15" t="s">
        <v>117</v>
      </c>
      <c r="P3964" s="20" t="s">
        <v>528</v>
      </c>
      <c r="Q3964" s="15" t="s">
        <v>83</v>
      </c>
      <c r="R3964" s="4"/>
      <c r="S3964" s="4"/>
    </row>
    <row r="3965" spans="1:19" ht="21" customHeight="1" x14ac:dyDescent="0.25">
      <c r="A3965" s="14">
        <f>DATE(2012,12,31)-1451</f>
        <v>39823</v>
      </c>
      <c r="B3965" s="15" t="s">
        <v>1484</v>
      </c>
      <c r="C3965" s="15" t="s">
        <v>31</v>
      </c>
      <c r="D3965" s="16">
        <v>43</v>
      </c>
      <c r="E3965" s="17">
        <v>1307.3499999999999</v>
      </c>
      <c r="F3965" s="16">
        <v>0.05</v>
      </c>
      <c r="G3965" s="15" t="s">
        <v>101</v>
      </c>
      <c r="H3965" s="18">
        <v>-154.24</v>
      </c>
      <c r="I3965" s="19">
        <v>30.42</v>
      </c>
      <c r="J3965" s="19">
        <v>8.65</v>
      </c>
      <c r="K3965" s="19" t="s">
        <v>69</v>
      </c>
      <c r="L3965" s="19" t="s">
        <v>215</v>
      </c>
      <c r="M3965" s="15" t="s">
        <v>2120</v>
      </c>
      <c r="N3965" s="15" t="s">
        <v>64</v>
      </c>
      <c r="O3965" s="15" t="s">
        <v>72</v>
      </c>
      <c r="P3965" s="20" t="s">
        <v>1175</v>
      </c>
      <c r="Q3965" s="15" t="s">
        <v>83</v>
      </c>
      <c r="R3965" s="4"/>
      <c r="S3965" s="4"/>
    </row>
    <row r="3966" spans="1:19" ht="21" customHeight="1" x14ac:dyDescent="0.25">
      <c r="A3966" s="14">
        <f>DATE(2012,12,31)-1451</f>
        <v>39823</v>
      </c>
      <c r="B3966" s="15" t="s">
        <v>1484</v>
      </c>
      <c r="C3966" s="15" t="s">
        <v>31</v>
      </c>
      <c r="D3966" s="16">
        <v>3</v>
      </c>
      <c r="E3966" s="17">
        <v>523.58000000000004</v>
      </c>
      <c r="F3966" s="16">
        <v>0.01</v>
      </c>
      <c r="G3966" s="15" t="s">
        <v>101</v>
      </c>
      <c r="H3966" s="18">
        <v>-179.36</v>
      </c>
      <c r="I3966" s="19">
        <v>161.55000000000001</v>
      </c>
      <c r="J3966" s="19">
        <v>19.989999999999998</v>
      </c>
      <c r="K3966" s="19" t="s">
        <v>111</v>
      </c>
      <c r="L3966" s="19" t="s">
        <v>112</v>
      </c>
      <c r="M3966" s="15" t="s">
        <v>2115</v>
      </c>
      <c r="N3966" s="15" t="s">
        <v>36</v>
      </c>
      <c r="O3966" s="15" t="s">
        <v>37</v>
      </c>
      <c r="P3966" s="20" t="s">
        <v>1794</v>
      </c>
      <c r="Q3966" s="15" t="s">
        <v>83</v>
      </c>
      <c r="R3966" s="4"/>
      <c r="S3966" s="4"/>
    </row>
    <row r="3967" spans="1:19" ht="21" customHeight="1" x14ac:dyDescent="0.25">
      <c r="A3967" s="14">
        <f>DATE(2012,12,31)-1398</f>
        <v>39876</v>
      </c>
      <c r="B3967" s="15" t="s">
        <v>1041</v>
      </c>
      <c r="C3967" s="15" t="s">
        <v>85</v>
      </c>
      <c r="D3967" s="16">
        <v>14</v>
      </c>
      <c r="E3967" s="17">
        <v>3950.6</v>
      </c>
      <c r="F3967" s="16">
        <v>0.02</v>
      </c>
      <c r="G3967" s="15" t="s">
        <v>58</v>
      </c>
      <c r="H3967" s="18">
        <v>-477.66</v>
      </c>
      <c r="I3967" s="19">
        <v>280.98</v>
      </c>
      <c r="J3967" s="19">
        <v>57</v>
      </c>
      <c r="K3967" s="19" t="s">
        <v>111</v>
      </c>
      <c r="L3967" s="19" t="s">
        <v>112</v>
      </c>
      <c r="M3967" s="15" t="s">
        <v>2115</v>
      </c>
      <c r="N3967" s="15" t="s">
        <v>54</v>
      </c>
      <c r="O3967" s="15" t="s">
        <v>252</v>
      </c>
      <c r="P3967" s="20" t="s">
        <v>1220</v>
      </c>
      <c r="Q3967" s="15" t="s">
        <v>181</v>
      </c>
      <c r="R3967" s="4"/>
      <c r="S3967" s="4"/>
    </row>
    <row r="3968" spans="1:19" ht="21" customHeight="1" x14ac:dyDescent="0.25">
      <c r="A3968" s="14">
        <f>DATE(2012,12,31)-223</f>
        <v>41051</v>
      </c>
      <c r="B3968" s="15" t="s">
        <v>1196</v>
      </c>
      <c r="C3968" s="15" t="s">
        <v>51</v>
      </c>
      <c r="D3968" s="16">
        <v>47</v>
      </c>
      <c r="E3968" s="17">
        <v>63.47</v>
      </c>
      <c r="F3968" s="16">
        <v>0</v>
      </c>
      <c r="G3968" s="15" t="s">
        <v>32</v>
      </c>
      <c r="H3968" s="18">
        <v>-19.920000000000002</v>
      </c>
      <c r="I3968" s="19">
        <v>1.26</v>
      </c>
      <c r="J3968" s="19">
        <v>0.7</v>
      </c>
      <c r="K3968" s="19" t="s">
        <v>44</v>
      </c>
      <c r="L3968" s="19" t="s">
        <v>80</v>
      </c>
      <c r="M3968" s="15" t="s">
        <v>2081</v>
      </c>
      <c r="N3968" s="15" t="s">
        <v>36</v>
      </c>
      <c r="O3968" s="15" t="s">
        <v>105</v>
      </c>
      <c r="P3968" s="20" t="s">
        <v>316</v>
      </c>
      <c r="Q3968" s="15" t="s">
        <v>79</v>
      </c>
      <c r="R3968" s="4"/>
      <c r="S3968" s="4"/>
    </row>
    <row r="3969" spans="1:19" ht="21" customHeight="1" x14ac:dyDescent="0.25">
      <c r="A3969" s="14">
        <f>DATE(2012,12,31)-883</f>
        <v>40391</v>
      </c>
      <c r="B3969" s="15" t="s">
        <v>812</v>
      </c>
      <c r="C3969" s="15" t="s">
        <v>85</v>
      </c>
      <c r="D3969" s="16">
        <v>28</v>
      </c>
      <c r="E3969" s="17">
        <v>90.5</v>
      </c>
      <c r="F3969" s="16">
        <v>0.03</v>
      </c>
      <c r="G3969" s="15" t="s">
        <v>32</v>
      </c>
      <c r="H3969" s="18">
        <v>24.71</v>
      </c>
      <c r="I3969" s="19">
        <v>3.08</v>
      </c>
      <c r="J3969" s="19">
        <v>0.99</v>
      </c>
      <c r="K3969" s="19" t="s">
        <v>44</v>
      </c>
      <c r="L3969" s="19" t="s">
        <v>45</v>
      </c>
      <c r="M3969" s="15" t="s">
        <v>2053</v>
      </c>
      <c r="N3969" s="15" t="s">
        <v>36</v>
      </c>
      <c r="O3969" s="15" t="s">
        <v>114</v>
      </c>
      <c r="P3969" s="20" t="s">
        <v>1914</v>
      </c>
      <c r="Q3969" s="15" t="s">
        <v>83</v>
      </c>
      <c r="R3969" s="4"/>
      <c r="S3969" s="4"/>
    </row>
    <row r="3970" spans="1:19" ht="21" customHeight="1" x14ac:dyDescent="0.25">
      <c r="A3970" s="14">
        <f>DATE(2012,12,31)-512</f>
        <v>40762</v>
      </c>
      <c r="B3970" s="15" t="s">
        <v>342</v>
      </c>
      <c r="C3970" s="15" t="s">
        <v>51</v>
      </c>
      <c r="D3970" s="16">
        <v>48</v>
      </c>
      <c r="E3970" s="17">
        <v>385.99</v>
      </c>
      <c r="F3970" s="16">
        <v>0.09</v>
      </c>
      <c r="G3970" s="15" t="s">
        <v>32</v>
      </c>
      <c r="H3970" s="18">
        <v>-40.72</v>
      </c>
      <c r="I3970" s="19">
        <v>8.67</v>
      </c>
      <c r="J3970" s="19">
        <v>3.5</v>
      </c>
      <c r="K3970" s="19" t="s">
        <v>44</v>
      </c>
      <c r="L3970" s="19" t="s">
        <v>89</v>
      </c>
      <c r="M3970" s="15" t="s">
        <v>1932</v>
      </c>
      <c r="N3970" s="15" t="s">
        <v>36</v>
      </c>
      <c r="O3970" s="15" t="s">
        <v>176</v>
      </c>
      <c r="P3970" s="20" t="s">
        <v>841</v>
      </c>
      <c r="Q3970" s="15" t="s">
        <v>83</v>
      </c>
      <c r="R3970" s="4"/>
      <c r="S3970" s="4"/>
    </row>
    <row r="3971" spans="1:19" ht="21" customHeight="1" x14ac:dyDescent="0.25">
      <c r="A3971" s="14">
        <f>DATE(2012,12,31)-1375</f>
        <v>39899</v>
      </c>
      <c r="B3971" s="15" t="s">
        <v>1656</v>
      </c>
      <c r="C3971" s="15" t="s">
        <v>31</v>
      </c>
      <c r="D3971" s="16">
        <v>34</v>
      </c>
      <c r="E3971" s="17">
        <v>507.66</v>
      </c>
      <c r="F3971" s="16">
        <v>0.1</v>
      </c>
      <c r="G3971" s="15" t="s">
        <v>32</v>
      </c>
      <c r="H3971" s="18">
        <v>106.71</v>
      </c>
      <c r="I3971" s="19">
        <v>15.98</v>
      </c>
      <c r="J3971" s="19">
        <v>4</v>
      </c>
      <c r="K3971" s="19" t="s">
        <v>44</v>
      </c>
      <c r="L3971" s="19" t="s">
        <v>120</v>
      </c>
      <c r="M3971" s="15" t="s">
        <v>2025</v>
      </c>
      <c r="N3971" s="15" t="s">
        <v>64</v>
      </c>
      <c r="O3971" s="15" t="s">
        <v>72</v>
      </c>
      <c r="P3971" s="20" t="s">
        <v>344</v>
      </c>
      <c r="Q3971" s="15" t="s">
        <v>83</v>
      </c>
      <c r="R3971" s="4"/>
      <c r="S3971" s="4"/>
    </row>
    <row r="3972" spans="1:19" ht="21" customHeight="1" x14ac:dyDescent="0.25">
      <c r="A3972" s="14">
        <f>DATE(2012,12,31)-955</f>
        <v>40319</v>
      </c>
      <c r="B3972" s="15" t="s">
        <v>1682</v>
      </c>
      <c r="C3972" s="15" t="s">
        <v>43</v>
      </c>
      <c r="D3972" s="16">
        <v>50</v>
      </c>
      <c r="E3972" s="17">
        <v>390.46</v>
      </c>
      <c r="F3972" s="16">
        <v>0.02</v>
      </c>
      <c r="G3972" s="15" t="s">
        <v>32</v>
      </c>
      <c r="H3972" s="18">
        <v>-171.166</v>
      </c>
      <c r="I3972" s="19">
        <v>7.3</v>
      </c>
      <c r="J3972" s="19">
        <v>7.72</v>
      </c>
      <c r="K3972" s="19" t="s">
        <v>44</v>
      </c>
      <c r="L3972" s="19" t="s">
        <v>89</v>
      </c>
      <c r="M3972" s="15" t="s">
        <v>1932</v>
      </c>
      <c r="N3972" s="15" t="s">
        <v>36</v>
      </c>
      <c r="O3972" s="15" t="s">
        <v>170</v>
      </c>
      <c r="P3972" s="20" t="s">
        <v>274</v>
      </c>
      <c r="Q3972" s="15" t="s">
        <v>83</v>
      </c>
      <c r="R3972" s="4"/>
      <c r="S3972" s="4"/>
    </row>
    <row r="3973" spans="1:19" ht="21" customHeight="1" x14ac:dyDescent="0.25">
      <c r="A3973" s="14">
        <f>DATE(2012,12,31)-955</f>
        <v>40319</v>
      </c>
      <c r="B3973" s="15" t="s">
        <v>1682</v>
      </c>
      <c r="C3973" s="15" t="s">
        <v>43</v>
      </c>
      <c r="D3973" s="16">
        <v>43</v>
      </c>
      <c r="E3973" s="17">
        <v>113.43</v>
      </c>
      <c r="F3973" s="16">
        <v>0.02</v>
      </c>
      <c r="G3973" s="15" t="s">
        <v>32</v>
      </c>
      <c r="H3973" s="18">
        <v>24.27</v>
      </c>
      <c r="I3973" s="19">
        <v>2.4700000000000002</v>
      </c>
      <c r="J3973" s="19">
        <v>1.02</v>
      </c>
      <c r="K3973" s="19" t="s">
        <v>44</v>
      </c>
      <c r="L3973" s="19" t="s">
        <v>120</v>
      </c>
      <c r="M3973" s="15" t="s">
        <v>2025</v>
      </c>
      <c r="N3973" s="15" t="s">
        <v>36</v>
      </c>
      <c r="O3973" s="15" t="s">
        <v>105</v>
      </c>
      <c r="P3973" s="20" t="s">
        <v>2083</v>
      </c>
      <c r="Q3973" s="15" t="s">
        <v>79</v>
      </c>
      <c r="R3973" s="4"/>
      <c r="S3973" s="4"/>
    </row>
    <row r="3974" spans="1:19" ht="21" customHeight="1" x14ac:dyDescent="0.25">
      <c r="A3974" s="14">
        <f>DATE(2012,12,31)-185</f>
        <v>41089</v>
      </c>
      <c r="B3974" s="15" t="s">
        <v>369</v>
      </c>
      <c r="C3974" s="15" t="s">
        <v>43</v>
      </c>
      <c r="D3974" s="16">
        <v>37</v>
      </c>
      <c r="E3974" s="17">
        <v>3212.97</v>
      </c>
      <c r="F3974" s="16">
        <v>0.03</v>
      </c>
      <c r="G3974" s="15" t="s">
        <v>32</v>
      </c>
      <c r="H3974" s="18">
        <v>1125.42</v>
      </c>
      <c r="I3974" s="19">
        <v>83.93</v>
      </c>
      <c r="J3974" s="19">
        <v>19.989999999999998</v>
      </c>
      <c r="K3974" s="19" t="s">
        <v>44</v>
      </c>
      <c r="L3974" s="19" t="s">
        <v>89</v>
      </c>
      <c r="M3974" s="15" t="s">
        <v>1932</v>
      </c>
      <c r="N3974" s="15" t="s">
        <v>36</v>
      </c>
      <c r="O3974" s="15" t="s">
        <v>189</v>
      </c>
      <c r="P3974" s="20" t="s">
        <v>1759</v>
      </c>
      <c r="Q3974" s="15" t="s">
        <v>83</v>
      </c>
      <c r="R3974" s="4"/>
      <c r="S3974" s="4"/>
    </row>
    <row r="3975" spans="1:19" ht="21" customHeight="1" x14ac:dyDescent="0.25">
      <c r="A3975" s="14">
        <f>DATE(2012,12,31)-185</f>
        <v>41089</v>
      </c>
      <c r="B3975" s="15" t="s">
        <v>369</v>
      </c>
      <c r="C3975" s="15" t="s">
        <v>43</v>
      </c>
      <c r="D3975" s="16">
        <v>13</v>
      </c>
      <c r="E3975" s="17">
        <v>292.95</v>
      </c>
      <c r="F3975" s="16">
        <v>0.06</v>
      </c>
      <c r="G3975" s="15" t="s">
        <v>32</v>
      </c>
      <c r="H3975" s="18">
        <v>60.36</v>
      </c>
      <c r="I3975" s="19">
        <v>22.84</v>
      </c>
      <c r="J3975" s="19">
        <v>5.47</v>
      </c>
      <c r="K3975" s="19" t="s">
        <v>44</v>
      </c>
      <c r="L3975" s="19" t="s">
        <v>120</v>
      </c>
      <c r="M3975" s="15" t="s">
        <v>2025</v>
      </c>
      <c r="N3975" s="15" t="s">
        <v>36</v>
      </c>
      <c r="O3975" s="15" t="s">
        <v>117</v>
      </c>
      <c r="P3975" s="20" t="s">
        <v>644</v>
      </c>
      <c r="Q3975" s="15" t="s">
        <v>83</v>
      </c>
      <c r="R3975" s="4"/>
      <c r="S3975" s="4"/>
    </row>
    <row r="3976" spans="1:19" ht="21" customHeight="1" x14ac:dyDescent="0.25">
      <c r="A3976" s="14">
        <f>DATE(2012,12,31)-1154</f>
        <v>40120</v>
      </c>
      <c r="B3976" s="15" t="s">
        <v>1605</v>
      </c>
      <c r="C3976" s="15" t="s">
        <v>51</v>
      </c>
      <c r="D3976" s="16">
        <v>22</v>
      </c>
      <c r="E3976" s="17">
        <v>668.39</v>
      </c>
      <c r="F3976" s="16">
        <v>7.0000000000000007E-2</v>
      </c>
      <c r="G3976" s="15" t="s">
        <v>32</v>
      </c>
      <c r="H3976" s="18">
        <v>344.61</v>
      </c>
      <c r="I3976" s="19">
        <v>30.93</v>
      </c>
      <c r="J3976" s="19">
        <v>3.92</v>
      </c>
      <c r="K3976" s="19" t="s">
        <v>44</v>
      </c>
      <c r="L3976" s="19" t="s">
        <v>89</v>
      </c>
      <c r="M3976" s="15" t="s">
        <v>1932</v>
      </c>
      <c r="N3976" s="15" t="s">
        <v>54</v>
      </c>
      <c r="O3976" s="15" t="s">
        <v>55</v>
      </c>
      <c r="P3976" s="20" t="s">
        <v>100</v>
      </c>
      <c r="Q3976" s="15" t="s">
        <v>49</v>
      </c>
      <c r="R3976" s="4"/>
      <c r="S3976" s="4"/>
    </row>
    <row r="3977" spans="1:19" ht="21" customHeight="1" x14ac:dyDescent="0.25">
      <c r="A3977" s="14">
        <f>DATE(2012,12,31)-1154</f>
        <v>40120</v>
      </c>
      <c r="B3977" s="15" t="s">
        <v>1605</v>
      </c>
      <c r="C3977" s="15" t="s">
        <v>51</v>
      </c>
      <c r="D3977" s="16">
        <v>16</v>
      </c>
      <c r="E3977" s="17">
        <v>4657.3500000000004</v>
      </c>
      <c r="F3977" s="16">
        <v>0.05</v>
      </c>
      <c r="G3977" s="15" t="s">
        <v>58</v>
      </c>
      <c r="H3977" s="18">
        <v>322.66000000000003</v>
      </c>
      <c r="I3977" s="19">
        <v>297.48</v>
      </c>
      <c r="J3977" s="19">
        <v>18.059999999999999</v>
      </c>
      <c r="K3977" s="19" t="s">
        <v>44</v>
      </c>
      <c r="L3977" s="19" t="s">
        <v>89</v>
      </c>
      <c r="M3977" s="15" t="s">
        <v>1932</v>
      </c>
      <c r="N3977" s="15" t="s">
        <v>64</v>
      </c>
      <c r="O3977" s="15" t="s">
        <v>122</v>
      </c>
      <c r="P3977" s="20" t="s">
        <v>1942</v>
      </c>
      <c r="Q3977" s="15" t="s">
        <v>181</v>
      </c>
      <c r="R3977" s="4"/>
      <c r="S3977" s="4"/>
    </row>
    <row r="3978" spans="1:19" ht="21" customHeight="1" x14ac:dyDescent="0.25">
      <c r="A3978" s="14">
        <f>DATE(2012,12,31)-1154</f>
        <v>40120</v>
      </c>
      <c r="B3978" s="15" t="s">
        <v>1605</v>
      </c>
      <c r="C3978" s="15" t="s">
        <v>51</v>
      </c>
      <c r="D3978" s="16">
        <v>7</v>
      </c>
      <c r="E3978" s="17">
        <v>2097.94</v>
      </c>
      <c r="F3978" s="16">
        <v>7.0000000000000007E-2</v>
      </c>
      <c r="G3978" s="15" t="s">
        <v>58</v>
      </c>
      <c r="H3978" s="18">
        <v>-404.04599999999999</v>
      </c>
      <c r="I3978" s="19">
        <v>296.18</v>
      </c>
      <c r="J3978" s="19">
        <v>54.12</v>
      </c>
      <c r="K3978" s="19" t="s">
        <v>33</v>
      </c>
      <c r="L3978" s="19" t="s">
        <v>128</v>
      </c>
      <c r="M3978" s="15" t="s">
        <v>129</v>
      </c>
      <c r="N3978" s="15" t="s">
        <v>54</v>
      </c>
      <c r="O3978" s="15" t="s">
        <v>61</v>
      </c>
      <c r="P3978" s="20" t="s">
        <v>345</v>
      </c>
      <c r="Q3978" s="15" t="s">
        <v>63</v>
      </c>
      <c r="R3978" s="4"/>
      <c r="S3978" s="4"/>
    </row>
    <row r="3979" spans="1:19" ht="21" customHeight="1" x14ac:dyDescent="0.25">
      <c r="A3979" s="14">
        <f>DATE(2012,12,31)-328</f>
        <v>40946</v>
      </c>
      <c r="B3979" s="15" t="s">
        <v>2132</v>
      </c>
      <c r="C3979" s="15" t="s">
        <v>51</v>
      </c>
      <c r="D3979" s="16">
        <v>44</v>
      </c>
      <c r="E3979" s="17">
        <v>809.77</v>
      </c>
      <c r="F3979" s="16">
        <v>0.1</v>
      </c>
      <c r="G3979" s="15" t="s">
        <v>32</v>
      </c>
      <c r="H3979" s="18">
        <v>83.48</v>
      </c>
      <c r="I3979" s="19">
        <v>20.28</v>
      </c>
      <c r="J3979" s="19">
        <v>6.68</v>
      </c>
      <c r="K3979" s="19" t="s">
        <v>33</v>
      </c>
      <c r="L3979" s="19" t="s">
        <v>128</v>
      </c>
      <c r="M3979" s="15" t="s">
        <v>129</v>
      </c>
      <c r="N3979" s="15" t="s">
        <v>54</v>
      </c>
      <c r="O3979" s="15" t="s">
        <v>55</v>
      </c>
      <c r="P3979" s="20" t="s">
        <v>1143</v>
      </c>
      <c r="Q3979" s="15" t="s">
        <v>83</v>
      </c>
      <c r="R3979" s="4"/>
      <c r="S3979" s="4"/>
    </row>
    <row r="3980" spans="1:19" ht="21" customHeight="1" x14ac:dyDescent="0.25">
      <c r="A3980" s="14">
        <f>DATE(2012,12,31)-1157</f>
        <v>40117</v>
      </c>
      <c r="B3980" s="15" t="s">
        <v>2133</v>
      </c>
      <c r="C3980" s="15" t="s">
        <v>31</v>
      </c>
      <c r="D3980" s="16">
        <v>9</v>
      </c>
      <c r="E3980" s="17">
        <v>133.85</v>
      </c>
      <c r="F3980" s="16">
        <v>0.03</v>
      </c>
      <c r="G3980" s="15" t="s">
        <v>101</v>
      </c>
      <c r="H3980" s="18">
        <v>-5.28</v>
      </c>
      <c r="I3980" s="19">
        <v>13.48</v>
      </c>
      <c r="J3980" s="19">
        <v>4.51</v>
      </c>
      <c r="K3980" s="19" t="s">
        <v>33</v>
      </c>
      <c r="L3980" s="19" t="s">
        <v>93</v>
      </c>
      <c r="M3980" s="15" t="s">
        <v>94</v>
      </c>
      <c r="N3980" s="15" t="s">
        <v>36</v>
      </c>
      <c r="O3980" s="15" t="s">
        <v>37</v>
      </c>
      <c r="P3980" s="20" t="s">
        <v>515</v>
      </c>
      <c r="Q3980" s="15" t="s">
        <v>83</v>
      </c>
      <c r="R3980" s="4"/>
      <c r="S3980" s="4"/>
    </row>
    <row r="3981" spans="1:19" ht="21" customHeight="1" x14ac:dyDescent="0.25">
      <c r="A3981" s="14">
        <f>DATE(2012,12,31)-1194</f>
        <v>40080</v>
      </c>
      <c r="B3981" s="15" t="s">
        <v>1589</v>
      </c>
      <c r="C3981" s="15" t="s">
        <v>31</v>
      </c>
      <c r="D3981" s="16">
        <v>2</v>
      </c>
      <c r="E3981" s="17">
        <v>45.64</v>
      </c>
      <c r="F3981" s="16">
        <v>0.08</v>
      </c>
      <c r="G3981" s="15" t="s">
        <v>101</v>
      </c>
      <c r="H3981" s="18">
        <v>-0.10999999999999943</v>
      </c>
      <c r="I3981" s="19">
        <v>15.57</v>
      </c>
      <c r="J3981" s="19">
        <v>1.39</v>
      </c>
      <c r="K3981" s="19" t="s">
        <v>97</v>
      </c>
      <c r="L3981" s="19" t="s">
        <v>98</v>
      </c>
      <c r="M3981" s="15" t="s">
        <v>2085</v>
      </c>
      <c r="N3981" s="15" t="s">
        <v>36</v>
      </c>
      <c r="O3981" s="15" t="s">
        <v>189</v>
      </c>
      <c r="P3981" s="20" t="s">
        <v>802</v>
      </c>
      <c r="Q3981" s="15" t="s">
        <v>83</v>
      </c>
      <c r="R3981" s="4"/>
      <c r="S3981" s="4"/>
    </row>
    <row r="3982" spans="1:19" ht="21" customHeight="1" x14ac:dyDescent="0.25">
      <c r="A3982" s="14">
        <f>DATE(2012,12,31)-1456</f>
        <v>39818</v>
      </c>
      <c r="B3982" s="15" t="s">
        <v>1478</v>
      </c>
      <c r="C3982" s="15" t="s">
        <v>85</v>
      </c>
      <c r="D3982" s="16">
        <v>21</v>
      </c>
      <c r="E3982" s="17">
        <v>4201.08</v>
      </c>
      <c r="F3982" s="16">
        <v>0.01</v>
      </c>
      <c r="G3982" s="15" t="s">
        <v>32</v>
      </c>
      <c r="H3982" s="18">
        <v>1162.76</v>
      </c>
      <c r="I3982" s="19">
        <v>194.3</v>
      </c>
      <c r="J3982" s="19">
        <v>11.54</v>
      </c>
      <c r="K3982" s="19" t="s">
        <v>97</v>
      </c>
      <c r="L3982" s="19" t="s">
        <v>283</v>
      </c>
      <c r="M3982" s="15" t="s">
        <v>1901</v>
      </c>
      <c r="N3982" s="15" t="s">
        <v>54</v>
      </c>
      <c r="O3982" s="15" t="s">
        <v>55</v>
      </c>
      <c r="P3982" s="20" t="s">
        <v>1627</v>
      </c>
      <c r="Q3982" s="15" t="s">
        <v>39</v>
      </c>
      <c r="R3982" s="4"/>
      <c r="S3982" s="4"/>
    </row>
    <row r="3983" spans="1:19" ht="21" customHeight="1" x14ac:dyDescent="0.25">
      <c r="A3983" s="14">
        <f>DATE(2012,12,31)-1456</f>
        <v>39818</v>
      </c>
      <c r="B3983" s="15" t="s">
        <v>1478</v>
      </c>
      <c r="C3983" s="15" t="s">
        <v>85</v>
      </c>
      <c r="D3983" s="16">
        <v>41</v>
      </c>
      <c r="E3983" s="17">
        <v>8958.4599999999991</v>
      </c>
      <c r="F3983" s="16">
        <v>0.02</v>
      </c>
      <c r="G3983" s="15" t="s">
        <v>32</v>
      </c>
      <c r="H3983" s="18">
        <v>2593.14</v>
      </c>
      <c r="I3983" s="19">
        <v>209.84</v>
      </c>
      <c r="J3983" s="19">
        <v>21.21</v>
      </c>
      <c r="K3983" s="19" t="s">
        <v>97</v>
      </c>
      <c r="L3983" s="19" t="s">
        <v>283</v>
      </c>
      <c r="M3983" s="15" t="s">
        <v>1901</v>
      </c>
      <c r="N3983" s="15" t="s">
        <v>54</v>
      </c>
      <c r="O3983" s="15" t="s">
        <v>55</v>
      </c>
      <c r="P3983" s="20" t="s">
        <v>1034</v>
      </c>
      <c r="Q3983" s="15" t="s">
        <v>39</v>
      </c>
      <c r="R3983" s="4"/>
      <c r="S3983" s="4"/>
    </row>
    <row r="3984" spans="1:19" ht="21" customHeight="1" x14ac:dyDescent="0.25">
      <c r="A3984" s="14">
        <f>DATE(2012,12,31)-1456</f>
        <v>39818</v>
      </c>
      <c r="B3984" s="15" t="s">
        <v>1478</v>
      </c>
      <c r="C3984" s="15" t="s">
        <v>85</v>
      </c>
      <c r="D3984" s="16">
        <v>33</v>
      </c>
      <c r="E3984" s="17">
        <v>4913.7</v>
      </c>
      <c r="F3984" s="16">
        <v>0</v>
      </c>
      <c r="G3984" s="15" t="s">
        <v>58</v>
      </c>
      <c r="H3984" s="18">
        <v>1054.93</v>
      </c>
      <c r="I3984" s="19">
        <v>145.44999999999999</v>
      </c>
      <c r="J3984" s="19">
        <v>17.850000000000001</v>
      </c>
      <c r="K3984" s="19" t="s">
        <v>97</v>
      </c>
      <c r="L3984" s="19" t="s">
        <v>283</v>
      </c>
      <c r="M3984" s="15" t="s">
        <v>1901</v>
      </c>
      <c r="N3984" s="15" t="s">
        <v>64</v>
      </c>
      <c r="O3984" s="15" t="s">
        <v>122</v>
      </c>
      <c r="P3984" s="20" t="s">
        <v>299</v>
      </c>
      <c r="Q3984" s="15" t="s">
        <v>181</v>
      </c>
      <c r="R3984" s="4"/>
      <c r="S3984" s="4"/>
    </row>
    <row r="3985" spans="1:19" ht="21" customHeight="1" x14ac:dyDescent="0.25">
      <c r="A3985" s="14">
        <f>DATE(2012,12,31)-3</f>
        <v>41271</v>
      </c>
      <c r="B3985" s="15" t="s">
        <v>705</v>
      </c>
      <c r="C3985" s="15" t="s">
        <v>85</v>
      </c>
      <c r="D3985" s="16">
        <v>26</v>
      </c>
      <c r="E3985" s="17">
        <v>560.03</v>
      </c>
      <c r="F3985" s="16">
        <v>0.04</v>
      </c>
      <c r="G3985" s="15" t="s">
        <v>32</v>
      </c>
      <c r="H3985" s="18">
        <v>-139.87</v>
      </c>
      <c r="I3985" s="19">
        <v>21.66</v>
      </c>
      <c r="J3985" s="19">
        <v>13.99</v>
      </c>
      <c r="K3985" s="19" t="s">
        <v>97</v>
      </c>
      <c r="L3985" s="19" t="s">
        <v>195</v>
      </c>
      <c r="M3985" s="15" t="s">
        <v>2040</v>
      </c>
      <c r="N3985" s="15" t="s">
        <v>36</v>
      </c>
      <c r="O3985" s="15" t="s">
        <v>176</v>
      </c>
      <c r="P3985" s="20" t="s">
        <v>1695</v>
      </c>
      <c r="Q3985" s="15" t="s">
        <v>57</v>
      </c>
      <c r="R3985" s="4"/>
      <c r="S3985" s="4"/>
    </row>
    <row r="3986" spans="1:19" ht="21" customHeight="1" x14ac:dyDescent="0.25">
      <c r="A3986" s="14">
        <f>DATE(2012,12,31)-147</f>
        <v>41127</v>
      </c>
      <c r="B3986" s="15" t="s">
        <v>334</v>
      </c>
      <c r="C3986" s="15" t="s">
        <v>85</v>
      </c>
      <c r="D3986" s="16">
        <v>25</v>
      </c>
      <c r="E3986" s="17">
        <v>157.4</v>
      </c>
      <c r="F3986" s="16">
        <v>7.0000000000000007E-2</v>
      </c>
      <c r="G3986" s="15" t="s">
        <v>32</v>
      </c>
      <c r="H3986" s="18">
        <v>-84</v>
      </c>
      <c r="I3986" s="19">
        <v>6.48</v>
      </c>
      <c r="J3986" s="19">
        <v>6.74</v>
      </c>
      <c r="K3986" s="19" t="s">
        <v>97</v>
      </c>
      <c r="L3986" s="19" t="s">
        <v>132</v>
      </c>
      <c r="M3986" s="15" t="s">
        <v>133</v>
      </c>
      <c r="N3986" s="15" t="s">
        <v>36</v>
      </c>
      <c r="O3986" s="15" t="s">
        <v>117</v>
      </c>
      <c r="P3986" s="20" t="s">
        <v>914</v>
      </c>
      <c r="Q3986" s="15" t="s">
        <v>83</v>
      </c>
      <c r="R3986" s="4"/>
      <c r="S3986" s="4"/>
    </row>
    <row r="3987" spans="1:19" ht="21" customHeight="1" x14ac:dyDescent="0.25">
      <c r="A3987" s="14">
        <f>DATE(2012,12,31)-946</f>
        <v>40328</v>
      </c>
      <c r="B3987" s="15" t="s">
        <v>595</v>
      </c>
      <c r="C3987" s="15" t="s">
        <v>85</v>
      </c>
      <c r="D3987" s="16">
        <v>12</v>
      </c>
      <c r="E3987" s="17">
        <v>254.12</v>
      </c>
      <c r="F3987" s="16">
        <v>0.06</v>
      </c>
      <c r="G3987" s="15" t="s">
        <v>32</v>
      </c>
      <c r="H3987" s="18">
        <v>-64.97</v>
      </c>
      <c r="I3987" s="19">
        <v>20.95</v>
      </c>
      <c r="J3987" s="19">
        <v>5.99</v>
      </c>
      <c r="K3987" s="19" t="s">
        <v>97</v>
      </c>
      <c r="L3987" s="19" t="s">
        <v>132</v>
      </c>
      <c r="M3987" s="15" t="s">
        <v>133</v>
      </c>
      <c r="N3987" s="15" t="s">
        <v>64</v>
      </c>
      <c r="O3987" s="15" t="s">
        <v>72</v>
      </c>
      <c r="P3987" s="20" t="s">
        <v>1259</v>
      </c>
      <c r="Q3987" s="15" t="s">
        <v>83</v>
      </c>
      <c r="R3987" s="4"/>
      <c r="S3987" s="4"/>
    </row>
    <row r="3988" spans="1:19" ht="21" customHeight="1" x14ac:dyDescent="0.25">
      <c r="A3988" s="14">
        <f>DATE(2012,12,31)-946</f>
        <v>40328</v>
      </c>
      <c r="B3988" s="15" t="s">
        <v>595</v>
      </c>
      <c r="C3988" s="15" t="s">
        <v>85</v>
      </c>
      <c r="D3988" s="16">
        <v>37</v>
      </c>
      <c r="E3988" s="17">
        <v>767.04</v>
      </c>
      <c r="F3988" s="16">
        <v>0.02</v>
      </c>
      <c r="G3988" s="15" t="s">
        <v>32</v>
      </c>
      <c r="H3988" s="18">
        <v>238.84</v>
      </c>
      <c r="I3988" s="19">
        <v>20.89</v>
      </c>
      <c r="J3988" s="19">
        <v>1.99</v>
      </c>
      <c r="K3988" s="19" t="s">
        <v>97</v>
      </c>
      <c r="L3988" s="19" t="s">
        <v>98</v>
      </c>
      <c r="M3988" s="15" t="s">
        <v>2085</v>
      </c>
      <c r="N3988" s="15" t="s">
        <v>64</v>
      </c>
      <c r="O3988" s="15" t="s">
        <v>72</v>
      </c>
      <c r="P3988" s="20" t="s">
        <v>1652</v>
      </c>
      <c r="Q3988" s="15" t="s">
        <v>49</v>
      </c>
      <c r="R3988" s="4"/>
      <c r="S3988" s="4"/>
    </row>
    <row r="3989" spans="1:19" ht="21" customHeight="1" x14ac:dyDescent="0.25">
      <c r="A3989" s="14">
        <f>DATE(2012,12,31)-1387</f>
        <v>39887</v>
      </c>
      <c r="B3989" s="15" t="s">
        <v>1755</v>
      </c>
      <c r="C3989" s="15" t="s">
        <v>85</v>
      </c>
      <c r="D3989" s="16">
        <v>17</v>
      </c>
      <c r="E3989" s="17">
        <v>30.62</v>
      </c>
      <c r="F3989" s="16">
        <v>0.01</v>
      </c>
      <c r="G3989" s="15" t="s">
        <v>32</v>
      </c>
      <c r="H3989" s="18">
        <v>-1.56</v>
      </c>
      <c r="I3989" s="19">
        <v>1.76</v>
      </c>
      <c r="J3989" s="19">
        <v>0.7</v>
      </c>
      <c r="K3989" s="19" t="s">
        <v>97</v>
      </c>
      <c r="L3989" s="19" t="s">
        <v>195</v>
      </c>
      <c r="M3989" s="15" t="s">
        <v>2040</v>
      </c>
      <c r="N3989" s="15" t="s">
        <v>36</v>
      </c>
      <c r="O3989" s="15" t="s">
        <v>77</v>
      </c>
      <c r="P3989" s="20" t="s">
        <v>526</v>
      </c>
      <c r="Q3989" s="15" t="s">
        <v>79</v>
      </c>
      <c r="R3989" s="4"/>
      <c r="S3989" s="4"/>
    </row>
    <row r="3990" spans="1:19" ht="21" customHeight="1" x14ac:dyDescent="0.25">
      <c r="A3990" s="14">
        <f>DATE(2012,12,31)-1029</f>
        <v>40245</v>
      </c>
      <c r="B3990" s="15" t="s">
        <v>226</v>
      </c>
      <c r="C3990" s="15" t="s">
        <v>85</v>
      </c>
      <c r="D3990" s="16">
        <v>22</v>
      </c>
      <c r="E3990" s="17">
        <v>119.63</v>
      </c>
      <c r="F3990" s="16">
        <v>0.03</v>
      </c>
      <c r="G3990" s="15" t="s">
        <v>32</v>
      </c>
      <c r="H3990" s="18">
        <v>-27.39</v>
      </c>
      <c r="I3990" s="19">
        <v>5.08</v>
      </c>
      <c r="J3990" s="19">
        <v>3.63</v>
      </c>
      <c r="K3990" s="19" t="s">
        <v>124</v>
      </c>
      <c r="L3990" s="19" t="s">
        <v>493</v>
      </c>
      <c r="M3990" s="15" t="s">
        <v>2117</v>
      </c>
      <c r="N3990" s="15" t="s">
        <v>54</v>
      </c>
      <c r="O3990" s="15" t="s">
        <v>55</v>
      </c>
      <c r="P3990" s="20" t="s">
        <v>1325</v>
      </c>
      <c r="Q3990" s="15" t="s">
        <v>79</v>
      </c>
      <c r="R3990" s="4"/>
      <c r="S3990" s="4"/>
    </row>
    <row r="3991" spans="1:19" ht="21" customHeight="1" x14ac:dyDescent="0.25">
      <c r="A3991" s="14">
        <f>DATE(2012,12,31)-1029</f>
        <v>40245</v>
      </c>
      <c r="B3991" s="15" t="s">
        <v>226</v>
      </c>
      <c r="C3991" s="15" t="s">
        <v>85</v>
      </c>
      <c r="D3991" s="16">
        <v>40</v>
      </c>
      <c r="E3991" s="17">
        <v>177.92</v>
      </c>
      <c r="F3991" s="16">
        <v>0</v>
      </c>
      <c r="G3991" s="15" t="s">
        <v>32</v>
      </c>
      <c r="H3991" s="18">
        <v>-167.92</v>
      </c>
      <c r="I3991" s="19">
        <v>4.28</v>
      </c>
      <c r="J3991" s="19">
        <v>6.72</v>
      </c>
      <c r="K3991" s="19" t="s">
        <v>124</v>
      </c>
      <c r="L3991" s="19" t="s">
        <v>160</v>
      </c>
      <c r="M3991" s="15" t="s">
        <v>1951</v>
      </c>
      <c r="N3991" s="15" t="s">
        <v>36</v>
      </c>
      <c r="O3991" s="15" t="s">
        <v>117</v>
      </c>
      <c r="P3991" s="20" t="s">
        <v>792</v>
      </c>
      <c r="Q3991" s="15" t="s">
        <v>83</v>
      </c>
      <c r="R3991" s="4"/>
      <c r="S3991" s="4"/>
    </row>
    <row r="3992" spans="1:19" ht="21" customHeight="1" x14ac:dyDescent="0.25">
      <c r="A3992" s="14">
        <f>DATE(2012,12,31)-354</f>
        <v>40920</v>
      </c>
      <c r="B3992" s="15" t="s">
        <v>1007</v>
      </c>
      <c r="C3992" s="15" t="s">
        <v>51</v>
      </c>
      <c r="D3992" s="16">
        <v>12</v>
      </c>
      <c r="E3992" s="17">
        <v>49.18</v>
      </c>
      <c r="F3992" s="16">
        <v>7.0000000000000007E-2</v>
      </c>
      <c r="G3992" s="15" t="s">
        <v>32</v>
      </c>
      <c r="H3992" s="18">
        <v>0.57999999999999996</v>
      </c>
      <c r="I3992" s="19">
        <v>4.28</v>
      </c>
      <c r="J3992" s="19">
        <v>0.94</v>
      </c>
      <c r="K3992" s="19" t="s">
        <v>124</v>
      </c>
      <c r="L3992" s="19" t="s">
        <v>160</v>
      </c>
      <c r="M3992" s="15" t="s">
        <v>1951</v>
      </c>
      <c r="N3992" s="15" t="s">
        <v>36</v>
      </c>
      <c r="O3992" s="15" t="s">
        <v>77</v>
      </c>
      <c r="P3992" s="20" t="s">
        <v>600</v>
      </c>
      <c r="Q3992" s="15" t="s">
        <v>79</v>
      </c>
      <c r="R3992" s="4"/>
      <c r="S3992" s="4"/>
    </row>
    <row r="3993" spans="1:19" ht="21" customHeight="1" x14ac:dyDescent="0.25">
      <c r="A3993" s="14">
        <f>DATE(2012,12,31)-1223</f>
        <v>40051</v>
      </c>
      <c r="B3993" s="15" t="s">
        <v>336</v>
      </c>
      <c r="C3993" s="15" t="s">
        <v>51</v>
      </c>
      <c r="D3993" s="16">
        <v>2</v>
      </c>
      <c r="E3993" s="17">
        <v>811.13</v>
      </c>
      <c r="F3993" s="16">
        <v>0.08</v>
      </c>
      <c r="G3993" s="15" t="s">
        <v>32</v>
      </c>
      <c r="H3993" s="18">
        <v>-517.47</v>
      </c>
      <c r="I3993" s="19">
        <v>415.88</v>
      </c>
      <c r="J3993" s="19">
        <v>11.37</v>
      </c>
      <c r="K3993" s="19" t="s">
        <v>124</v>
      </c>
      <c r="L3993" s="19" t="s">
        <v>164</v>
      </c>
      <c r="M3993" s="15" t="s">
        <v>2126</v>
      </c>
      <c r="N3993" s="15" t="s">
        <v>36</v>
      </c>
      <c r="O3993" s="15" t="s">
        <v>37</v>
      </c>
      <c r="P3993" s="20" t="s">
        <v>449</v>
      </c>
      <c r="Q3993" s="15" t="s">
        <v>83</v>
      </c>
      <c r="R3993" s="4"/>
      <c r="S3993" s="4"/>
    </row>
    <row r="3994" spans="1:19" ht="21" customHeight="1" x14ac:dyDescent="0.25">
      <c r="A3994" s="14">
        <f>DATE(2012,12,31)-979</f>
        <v>40295</v>
      </c>
      <c r="B3994" s="15" t="s">
        <v>1196</v>
      </c>
      <c r="C3994" s="15" t="s">
        <v>85</v>
      </c>
      <c r="D3994" s="16">
        <v>11</v>
      </c>
      <c r="E3994" s="17">
        <v>323.91000000000003</v>
      </c>
      <c r="F3994" s="16">
        <v>0.09</v>
      </c>
      <c r="G3994" s="15" t="s">
        <v>32</v>
      </c>
      <c r="H3994" s="18">
        <v>-96.53</v>
      </c>
      <c r="I3994" s="19">
        <v>30.73</v>
      </c>
      <c r="J3994" s="19">
        <v>4</v>
      </c>
      <c r="K3994" s="19" t="s">
        <v>124</v>
      </c>
      <c r="L3994" s="19" t="s">
        <v>493</v>
      </c>
      <c r="M3994" s="15" t="s">
        <v>2134</v>
      </c>
      <c r="N3994" s="15" t="s">
        <v>64</v>
      </c>
      <c r="O3994" s="15" t="s">
        <v>72</v>
      </c>
      <c r="P3994" s="20" t="s">
        <v>971</v>
      </c>
      <c r="Q3994" s="15" t="s">
        <v>83</v>
      </c>
      <c r="R3994" s="4"/>
      <c r="S3994" s="4"/>
    </row>
    <row r="3995" spans="1:19" ht="21" customHeight="1" x14ac:dyDescent="0.25">
      <c r="A3995" s="14">
        <f>DATE(2012,12,31)-979</f>
        <v>40295</v>
      </c>
      <c r="B3995" s="15" t="s">
        <v>1196</v>
      </c>
      <c r="C3995" s="15" t="s">
        <v>85</v>
      </c>
      <c r="D3995" s="16">
        <v>10</v>
      </c>
      <c r="E3995" s="17">
        <v>185.59</v>
      </c>
      <c r="F3995" s="16">
        <v>0.1</v>
      </c>
      <c r="G3995" s="15" t="s">
        <v>32</v>
      </c>
      <c r="H3995" s="18">
        <v>12.01</v>
      </c>
      <c r="I3995" s="19">
        <v>19.98</v>
      </c>
      <c r="J3995" s="19">
        <v>5.77</v>
      </c>
      <c r="K3995" s="19" t="s">
        <v>124</v>
      </c>
      <c r="L3995" s="19" t="s">
        <v>493</v>
      </c>
      <c r="M3995" s="15" t="s">
        <v>2134</v>
      </c>
      <c r="N3995" s="15" t="s">
        <v>36</v>
      </c>
      <c r="O3995" s="15" t="s">
        <v>117</v>
      </c>
      <c r="P3995" s="20" t="s">
        <v>1535</v>
      </c>
      <c r="Q3995" s="15" t="s">
        <v>83</v>
      </c>
      <c r="R3995" s="4"/>
      <c r="S3995" s="4"/>
    </row>
    <row r="3996" spans="1:19" ht="21" customHeight="1" x14ac:dyDescent="0.25">
      <c r="A3996" s="14">
        <f>DATE(2012,12,31)-979</f>
        <v>40295</v>
      </c>
      <c r="B3996" s="15" t="s">
        <v>1196</v>
      </c>
      <c r="C3996" s="15" t="s">
        <v>85</v>
      </c>
      <c r="D3996" s="16">
        <v>18</v>
      </c>
      <c r="E3996" s="17">
        <v>7168.15</v>
      </c>
      <c r="F3996" s="16">
        <v>0.05</v>
      </c>
      <c r="G3996" s="15" t="s">
        <v>32</v>
      </c>
      <c r="H3996" s="18">
        <v>1593.61</v>
      </c>
      <c r="I3996" s="19">
        <v>419.19</v>
      </c>
      <c r="J3996" s="19">
        <v>19.989999999999998</v>
      </c>
      <c r="K3996" s="19" t="s">
        <v>124</v>
      </c>
      <c r="L3996" s="19" t="s">
        <v>125</v>
      </c>
      <c r="M3996" s="15" t="s">
        <v>2048</v>
      </c>
      <c r="N3996" s="15" t="s">
        <v>36</v>
      </c>
      <c r="O3996" s="15" t="s">
        <v>37</v>
      </c>
      <c r="P3996" s="20" t="s">
        <v>1168</v>
      </c>
      <c r="Q3996" s="15" t="s">
        <v>83</v>
      </c>
      <c r="R3996" s="4"/>
      <c r="S3996" s="4"/>
    </row>
    <row r="3997" spans="1:19" ht="21" customHeight="1" x14ac:dyDescent="0.25">
      <c r="A3997" s="14">
        <f>DATE(2012,12,31)-915</f>
        <v>40359</v>
      </c>
      <c r="B3997" s="15" t="s">
        <v>1987</v>
      </c>
      <c r="C3997" s="15" t="s">
        <v>51</v>
      </c>
      <c r="D3997" s="16">
        <v>48</v>
      </c>
      <c r="E3997" s="17">
        <v>379.78</v>
      </c>
      <c r="F3997" s="16">
        <v>0.1</v>
      </c>
      <c r="G3997" s="15" t="s">
        <v>32</v>
      </c>
      <c r="H3997" s="18">
        <v>-71.59</v>
      </c>
      <c r="I3997" s="19">
        <v>8.32</v>
      </c>
      <c r="J3997" s="19">
        <v>2.38</v>
      </c>
      <c r="K3997" s="19" t="s">
        <v>124</v>
      </c>
      <c r="L3997" s="19" t="s">
        <v>164</v>
      </c>
      <c r="M3997" s="15" t="s">
        <v>2126</v>
      </c>
      <c r="N3997" s="15" t="s">
        <v>64</v>
      </c>
      <c r="O3997" s="15" t="s">
        <v>72</v>
      </c>
      <c r="P3997" s="20" t="s">
        <v>876</v>
      </c>
      <c r="Q3997" s="15" t="s">
        <v>49</v>
      </c>
      <c r="R3997" s="4"/>
      <c r="S3997" s="4"/>
    </row>
    <row r="3998" spans="1:19" ht="21" customHeight="1" x14ac:dyDescent="0.25">
      <c r="A3998" s="14">
        <f>DATE(2012,12,31)-915</f>
        <v>40359</v>
      </c>
      <c r="B3998" s="15" t="s">
        <v>1987</v>
      </c>
      <c r="C3998" s="15" t="s">
        <v>51</v>
      </c>
      <c r="D3998" s="16">
        <v>33</v>
      </c>
      <c r="E3998" s="17">
        <v>750.86</v>
      </c>
      <c r="F3998" s="16">
        <v>0</v>
      </c>
      <c r="G3998" s="15" t="s">
        <v>32</v>
      </c>
      <c r="H3998" s="18">
        <v>302.12400000000002</v>
      </c>
      <c r="I3998" s="19">
        <v>21.38</v>
      </c>
      <c r="J3998" s="19">
        <v>2.99</v>
      </c>
      <c r="K3998" s="19" t="s">
        <v>124</v>
      </c>
      <c r="L3998" s="19" t="s">
        <v>158</v>
      </c>
      <c r="M3998" s="15" t="s">
        <v>158</v>
      </c>
      <c r="N3998" s="15" t="s">
        <v>36</v>
      </c>
      <c r="O3998" s="15" t="s">
        <v>170</v>
      </c>
      <c r="P3998" s="20" t="s">
        <v>1738</v>
      </c>
      <c r="Q3998" s="15" t="s">
        <v>83</v>
      </c>
      <c r="R3998" s="4"/>
      <c r="S3998" s="4"/>
    </row>
    <row r="3999" spans="1:19" ht="21" customHeight="1" x14ac:dyDescent="0.25">
      <c r="A3999" s="14">
        <f>DATE(2012,12,31)-923</f>
        <v>40351</v>
      </c>
      <c r="B3999" s="15" t="s">
        <v>1881</v>
      </c>
      <c r="C3999" s="15" t="s">
        <v>51</v>
      </c>
      <c r="D3999" s="16">
        <v>4</v>
      </c>
      <c r="E3999" s="17">
        <v>268.71049999999997</v>
      </c>
      <c r="F3999" s="16">
        <v>0.09</v>
      </c>
      <c r="G3999" s="15" t="s">
        <v>32</v>
      </c>
      <c r="H3999" s="18">
        <v>-337.65599999999995</v>
      </c>
      <c r="I3999" s="19">
        <v>85.99</v>
      </c>
      <c r="J3999" s="19">
        <v>0.99</v>
      </c>
      <c r="K3999" s="19" t="s">
        <v>44</v>
      </c>
      <c r="L3999" s="19" t="s">
        <v>52</v>
      </c>
      <c r="M3999" s="15" t="s">
        <v>2068</v>
      </c>
      <c r="N3999" s="15" t="s">
        <v>64</v>
      </c>
      <c r="O3999" s="15" t="s">
        <v>65</v>
      </c>
      <c r="P3999" s="20" t="s">
        <v>1595</v>
      </c>
      <c r="Q3999" s="15" t="s">
        <v>79</v>
      </c>
      <c r="R3999" s="4"/>
      <c r="S3999" s="4"/>
    </row>
    <row r="4000" spans="1:19" ht="21" customHeight="1" x14ac:dyDescent="0.25">
      <c r="A4000" s="14">
        <f>DATE(2012,12,31)-125</f>
        <v>41149</v>
      </c>
      <c r="B4000" s="15" t="s">
        <v>768</v>
      </c>
      <c r="C4000" s="15" t="s">
        <v>85</v>
      </c>
      <c r="D4000" s="16">
        <v>24</v>
      </c>
      <c r="E4000" s="17">
        <v>68.5</v>
      </c>
      <c r="F4000" s="16">
        <v>7.0000000000000007E-2</v>
      </c>
      <c r="G4000" s="15" t="s">
        <v>32</v>
      </c>
      <c r="H4000" s="18">
        <v>2.6859999999999999</v>
      </c>
      <c r="I4000" s="19">
        <v>2.78</v>
      </c>
      <c r="J4000" s="19">
        <v>1.49</v>
      </c>
      <c r="K4000" s="19" t="s">
        <v>44</v>
      </c>
      <c r="L4000" s="19" t="s">
        <v>236</v>
      </c>
      <c r="M4000" s="15" t="s">
        <v>2129</v>
      </c>
      <c r="N4000" s="15" t="s">
        <v>36</v>
      </c>
      <c r="O4000" s="15" t="s">
        <v>170</v>
      </c>
      <c r="P4000" s="20" t="s">
        <v>530</v>
      </c>
      <c r="Q4000" s="15" t="s">
        <v>83</v>
      </c>
      <c r="R4000" s="4"/>
      <c r="S4000" s="4"/>
    </row>
    <row r="4001" spans="1:19" ht="21" customHeight="1" x14ac:dyDescent="0.25">
      <c r="A4001" s="14">
        <f>DATE(2012,12,31)-496</f>
        <v>40778</v>
      </c>
      <c r="B4001" s="15" t="s">
        <v>939</v>
      </c>
      <c r="C4001" s="15" t="s">
        <v>51</v>
      </c>
      <c r="D4001" s="16">
        <v>15</v>
      </c>
      <c r="E4001" s="17">
        <v>5296.19</v>
      </c>
      <c r="F4001" s="16">
        <v>0.1</v>
      </c>
      <c r="G4001" s="15" t="s">
        <v>32</v>
      </c>
      <c r="H4001" s="18">
        <v>1164.05</v>
      </c>
      <c r="I4001" s="19">
        <v>363.25</v>
      </c>
      <c r="J4001" s="19">
        <v>19.989999999999998</v>
      </c>
      <c r="K4001" s="19" t="s">
        <v>44</v>
      </c>
      <c r="L4001" s="19" t="s">
        <v>52</v>
      </c>
      <c r="M4001" s="15" t="s">
        <v>2068</v>
      </c>
      <c r="N4001" s="15" t="s">
        <v>36</v>
      </c>
      <c r="O4001" s="15" t="s">
        <v>176</v>
      </c>
      <c r="P4001" s="20" t="s">
        <v>177</v>
      </c>
      <c r="Q4001" s="15" t="s">
        <v>83</v>
      </c>
      <c r="R4001" s="4"/>
      <c r="S4001" s="4"/>
    </row>
    <row r="4002" spans="1:19" ht="21" customHeight="1" x14ac:dyDescent="0.25">
      <c r="A4002" s="14">
        <f>DATE(2012,12,31)-652</f>
        <v>40622</v>
      </c>
      <c r="B4002" s="15" t="s">
        <v>1961</v>
      </c>
      <c r="C4002" s="15" t="s">
        <v>43</v>
      </c>
      <c r="D4002" s="16">
        <v>44</v>
      </c>
      <c r="E4002" s="17">
        <v>21532.26</v>
      </c>
      <c r="F4002" s="16">
        <v>0.09</v>
      </c>
      <c r="G4002" s="15" t="s">
        <v>58</v>
      </c>
      <c r="H4002" s="18">
        <v>8323.39</v>
      </c>
      <c r="I4002" s="19">
        <v>500.97</v>
      </c>
      <c r="J4002" s="19">
        <v>69.3</v>
      </c>
      <c r="K4002" s="19" t="s">
        <v>44</v>
      </c>
      <c r="L4002" s="19" t="s">
        <v>52</v>
      </c>
      <c r="M4002" s="15" t="s">
        <v>2068</v>
      </c>
      <c r="N4002" s="15" t="s">
        <v>64</v>
      </c>
      <c r="O4002" s="15" t="s">
        <v>122</v>
      </c>
      <c r="P4002" s="20" t="s">
        <v>1603</v>
      </c>
      <c r="Q4002" s="15" t="s">
        <v>181</v>
      </c>
      <c r="R4002" s="4"/>
      <c r="S4002" s="4"/>
    </row>
    <row r="4003" spans="1:19" ht="21" customHeight="1" x14ac:dyDescent="0.25">
      <c r="A4003" s="14">
        <f>DATE(2012,12,31)-652</f>
        <v>40622</v>
      </c>
      <c r="B4003" s="15" t="s">
        <v>1961</v>
      </c>
      <c r="C4003" s="15" t="s">
        <v>43</v>
      </c>
      <c r="D4003" s="16">
        <v>1</v>
      </c>
      <c r="E4003" s="17">
        <v>7.64</v>
      </c>
      <c r="F4003" s="16">
        <v>0.1</v>
      </c>
      <c r="G4003" s="15" t="s">
        <v>32</v>
      </c>
      <c r="H4003" s="18">
        <v>-6.6</v>
      </c>
      <c r="I4003" s="19">
        <v>4.76</v>
      </c>
      <c r="J4003" s="19">
        <v>3.01</v>
      </c>
      <c r="K4003" s="19" t="s">
        <v>44</v>
      </c>
      <c r="L4003" s="19" t="s">
        <v>52</v>
      </c>
      <c r="M4003" s="15" t="s">
        <v>2068</v>
      </c>
      <c r="N4003" s="15" t="s">
        <v>36</v>
      </c>
      <c r="O4003" s="15" t="s">
        <v>117</v>
      </c>
      <c r="P4003" s="20" t="s">
        <v>1331</v>
      </c>
      <c r="Q4003" s="15" t="s">
        <v>79</v>
      </c>
      <c r="R4003" s="4"/>
      <c r="S4003" s="4"/>
    </row>
    <row r="4004" spans="1:19" ht="21" customHeight="1" x14ac:dyDescent="0.25">
      <c r="A4004" s="14">
        <f>DATE(2012,12,31)-390</f>
        <v>40884</v>
      </c>
      <c r="B4004" s="15" t="s">
        <v>1944</v>
      </c>
      <c r="C4004" s="15" t="s">
        <v>85</v>
      </c>
      <c r="D4004" s="16">
        <v>1</v>
      </c>
      <c r="E4004" s="17">
        <v>36.4</v>
      </c>
      <c r="F4004" s="16">
        <v>0.06</v>
      </c>
      <c r="G4004" s="15" t="s">
        <v>32</v>
      </c>
      <c r="H4004" s="18">
        <v>-41.561</v>
      </c>
      <c r="I4004" s="19">
        <v>24.92</v>
      </c>
      <c r="J4004" s="19">
        <v>12.98</v>
      </c>
      <c r="K4004" s="19" t="s">
        <v>44</v>
      </c>
      <c r="L4004" s="19" t="s">
        <v>52</v>
      </c>
      <c r="M4004" s="15" t="s">
        <v>2068</v>
      </c>
      <c r="N4004" s="15" t="s">
        <v>36</v>
      </c>
      <c r="O4004" s="15" t="s">
        <v>170</v>
      </c>
      <c r="P4004" s="20" t="s">
        <v>171</v>
      </c>
      <c r="Q4004" s="15" t="s">
        <v>83</v>
      </c>
      <c r="R4004" s="4"/>
      <c r="S4004" s="4"/>
    </row>
    <row r="4005" spans="1:19" ht="21" customHeight="1" x14ac:dyDescent="0.25">
      <c r="A4005" s="14">
        <f>DATE(2012,12,31)-390</f>
        <v>40884</v>
      </c>
      <c r="B4005" s="15" t="s">
        <v>1944</v>
      </c>
      <c r="C4005" s="15" t="s">
        <v>85</v>
      </c>
      <c r="D4005" s="16">
        <v>36</v>
      </c>
      <c r="E4005" s="17">
        <v>176.35</v>
      </c>
      <c r="F4005" s="16">
        <v>0.04</v>
      </c>
      <c r="G4005" s="15" t="s">
        <v>32</v>
      </c>
      <c r="H4005" s="18">
        <v>73.05</v>
      </c>
      <c r="I4005" s="19">
        <v>4.9800000000000004</v>
      </c>
      <c r="J4005" s="19">
        <v>0.8</v>
      </c>
      <c r="K4005" s="19" t="s">
        <v>44</v>
      </c>
      <c r="L4005" s="19" t="s">
        <v>236</v>
      </c>
      <c r="M4005" s="15" t="s">
        <v>2129</v>
      </c>
      <c r="N4005" s="15" t="s">
        <v>36</v>
      </c>
      <c r="O4005" s="15" t="s">
        <v>117</v>
      </c>
      <c r="P4005" s="20" t="s">
        <v>487</v>
      </c>
      <c r="Q4005" s="15" t="s">
        <v>79</v>
      </c>
      <c r="R4005" s="4"/>
      <c r="S4005" s="4"/>
    </row>
    <row r="4006" spans="1:19" ht="21" customHeight="1" x14ac:dyDescent="0.25">
      <c r="A4006" s="14">
        <f>DATE(2012,12,31)-344</f>
        <v>40930</v>
      </c>
      <c r="B4006" s="15" t="s">
        <v>533</v>
      </c>
      <c r="C4006" s="15" t="s">
        <v>43</v>
      </c>
      <c r="D4006" s="16">
        <v>40</v>
      </c>
      <c r="E4006" s="17">
        <v>1500.17</v>
      </c>
      <c r="F4006" s="16">
        <v>0.06</v>
      </c>
      <c r="G4006" s="15" t="s">
        <v>101</v>
      </c>
      <c r="H4006" s="18">
        <v>423.87</v>
      </c>
      <c r="I4006" s="19">
        <v>39.24</v>
      </c>
      <c r="J4006" s="19">
        <v>1.99</v>
      </c>
      <c r="K4006" s="19" t="s">
        <v>44</v>
      </c>
      <c r="L4006" s="19" t="s">
        <v>236</v>
      </c>
      <c r="M4006" s="15" t="s">
        <v>2129</v>
      </c>
      <c r="N4006" s="15" t="s">
        <v>64</v>
      </c>
      <c r="O4006" s="15" t="s">
        <v>72</v>
      </c>
      <c r="P4006" s="20" t="s">
        <v>1930</v>
      </c>
      <c r="Q4006" s="15" t="s">
        <v>49</v>
      </c>
      <c r="R4006" s="4"/>
      <c r="S4006" s="4"/>
    </row>
    <row r="4007" spans="1:19" ht="21" customHeight="1" x14ac:dyDescent="0.25">
      <c r="A4007" s="14">
        <f>DATE(2012,12,31)-344</f>
        <v>40930</v>
      </c>
      <c r="B4007" s="15" t="s">
        <v>533</v>
      </c>
      <c r="C4007" s="15" t="s">
        <v>43</v>
      </c>
      <c r="D4007" s="16">
        <v>45</v>
      </c>
      <c r="E4007" s="17">
        <v>377.31</v>
      </c>
      <c r="F4007" s="16">
        <v>0.02</v>
      </c>
      <c r="G4007" s="15" t="s">
        <v>32</v>
      </c>
      <c r="H4007" s="18">
        <v>87.96</v>
      </c>
      <c r="I4007" s="19">
        <v>8.01</v>
      </c>
      <c r="J4007" s="19">
        <v>2.87</v>
      </c>
      <c r="K4007" s="19" t="s">
        <v>44</v>
      </c>
      <c r="L4007" s="19" t="s">
        <v>52</v>
      </c>
      <c r="M4007" s="15" t="s">
        <v>2068</v>
      </c>
      <c r="N4007" s="15" t="s">
        <v>36</v>
      </c>
      <c r="O4007" s="15" t="s">
        <v>117</v>
      </c>
      <c r="P4007" s="20" t="s">
        <v>639</v>
      </c>
      <c r="Q4007" s="15" t="s">
        <v>79</v>
      </c>
      <c r="R4007" s="4"/>
      <c r="S4007" s="4"/>
    </row>
    <row r="4008" spans="1:19" ht="21" customHeight="1" x14ac:dyDescent="0.25">
      <c r="A4008" s="14">
        <f>DATE(2012,12,31)-1145</f>
        <v>40129</v>
      </c>
      <c r="B4008" s="15" t="s">
        <v>386</v>
      </c>
      <c r="C4008" s="15" t="s">
        <v>85</v>
      </c>
      <c r="D4008" s="16">
        <v>25</v>
      </c>
      <c r="E4008" s="17">
        <v>5811.72</v>
      </c>
      <c r="F4008" s="16">
        <v>0.03</v>
      </c>
      <c r="G4008" s="15" t="s">
        <v>32</v>
      </c>
      <c r="H4008" s="18">
        <v>2431.5949999999998</v>
      </c>
      <c r="I4008" s="19">
        <v>223.98</v>
      </c>
      <c r="J4008" s="19">
        <v>15.01</v>
      </c>
      <c r="K4008" s="19" t="s">
        <v>44</v>
      </c>
      <c r="L4008" s="19" t="s">
        <v>52</v>
      </c>
      <c r="M4008" s="15" t="s">
        <v>2068</v>
      </c>
      <c r="N4008" s="15" t="s">
        <v>36</v>
      </c>
      <c r="O4008" s="15" t="s">
        <v>170</v>
      </c>
      <c r="P4008" s="20" t="s">
        <v>2125</v>
      </c>
      <c r="Q4008" s="15" t="s">
        <v>83</v>
      </c>
      <c r="R4008" s="4"/>
      <c r="S4008" s="4"/>
    </row>
    <row r="4009" spans="1:19" ht="21" customHeight="1" x14ac:dyDescent="0.25">
      <c r="A4009" s="14">
        <f>DATE(2012,12,31)-4</f>
        <v>41270</v>
      </c>
      <c r="B4009" s="15" t="s">
        <v>774</v>
      </c>
      <c r="C4009" s="15" t="s">
        <v>31</v>
      </c>
      <c r="D4009" s="16">
        <v>30</v>
      </c>
      <c r="E4009" s="17">
        <v>15337.58</v>
      </c>
      <c r="F4009" s="16">
        <v>0.1</v>
      </c>
      <c r="G4009" s="15" t="s">
        <v>32</v>
      </c>
      <c r="H4009" s="18">
        <v>6670.4089999999997</v>
      </c>
      <c r="I4009" s="19">
        <v>525.98</v>
      </c>
      <c r="J4009" s="19">
        <v>19.989999999999998</v>
      </c>
      <c r="K4009" s="19" t="s">
        <v>44</v>
      </c>
      <c r="L4009" s="19" t="s">
        <v>52</v>
      </c>
      <c r="M4009" s="15" t="s">
        <v>2068</v>
      </c>
      <c r="N4009" s="15" t="s">
        <v>36</v>
      </c>
      <c r="O4009" s="15" t="s">
        <v>170</v>
      </c>
      <c r="P4009" s="20" t="s">
        <v>1081</v>
      </c>
      <c r="Q4009" s="15" t="s">
        <v>83</v>
      </c>
      <c r="R4009" s="4"/>
      <c r="S4009" s="4"/>
    </row>
    <row r="4010" spans="1:19" ht="21" customHeight="1" x14ac:dyDescent="0.25">
      <c r="A4010" s="14">
        <f>DATE(2012,12,31)-4</f>
        <v>41270</v>
      </c>
      <c r="B4010" s="15" t="s">
        <v>774</v>
      </c>
      <c r="C4010" s="15" t="s">
        <v>31</v>
      </c>
      <c r="D4010" s="16">
        <v>42</v>
      </c>
      <c r="E4010" s="17">
        <v>3883.4714999999997</v>
      </c>
      <c r="F4010" s="16">
        <v>0.1</v>
      </c>
      <c r="G4010" s="15" t="s">
        <v>32</v>
      </c>
      <c r="H4010" s="18">
        <v>707.16599999999994</v>
      </c>
      <c r="I4010" s="19">
        <v>115.99</v>
      </c>
      <c r="J4010" s="19">
        <v>8.99</v>
      </c>
      <c r="K4010" s="19" t="s">
        <v>44</v>
      </c>
      <c r="L4010" s="19" t="s">
        <v>52</v>
      </c>
      <c r="M4010" s="15" t="s">
        <v>2068</v>
      </c>
      <c r="N4010" s="15" t="s">
        <v>64</v>
      </c>
      <c r="O4010" s="15" t="s">
        <v>65</v>
      </c>
      <c r="P4010" s="20" t="s">
        <v>2135</v>
      </c>
      <c r="Q4010" s="15" t="s">
        <v>83</v>
      </c>
      <c r="R4010" s="4"/>
      <c r="S4010" s="4"/>
    </row>
    <row r="4011" spans="1:19" ht="21" customHeight="1" x14ac:dyDescent="0.25">
      <c r="A4011" s="14">
        <f>DATE(2012,12,31)-1169</f>
        <v>40105</v>
      </c>
      <c r="B4011" s="15" t="s">
        <v>418</v>
      </c>
      <c r="C4011" s="15" t="s">
        <v>85</v>
      </c>
      <c r="D4011" s="16">
        <v>50</v>
      </c>
      <c r="E4011" s="17">
        <v>7827.51</v>
      </c>
      <c r="F4011" s="16">
        <v>0.05</v>
      </c>
      <c r="G4011" s="15" t="s">
        <v>32</v>
      </c>
      <c r="H4011" s="18">
        <v>2992.8</v>
      </c>
      <c r="I4011" s="19">
        <v>159.99</v>
      </c>
      <c r="J4011" s="19">
        <v>5.5</v>
      </c>
      <c r="K4011" s="19" t="s">
        <v>33</v>
      </c>
      <c r="L4011" s="19" t="s">
        <v>93</v>
      </c>
      <c r="M4011" s="15" t="s">
        <v>94</v>
      </c>
      <c r="N4011" s="15" t="s">
        <v>64</v>
      </c>
      <c r="O4011" s="15" t="s">
        <v>72</v>
      </c>
      <c r="P4011" s="20" t="s">
        <v>1225</v>
      </c>
      <c r="Q4011" s="15" t="s">
        <v>83</v>
      </c>
      <c r="R4011" s="4"/>
      <c r="S4011" s="4"/>
    </row>
    <row r="4012" spans="1:19" ht="21" customHeight="1" x14ac:dyDescent="0.25">
      <c r="A4012" s="14">
        <f>DATE(2012,12,31)-446</f>
        <v>40828</v>
      </c>
      <c r="B4012" s="15" t="s">
        <v>50</v>
      </c>
      <c r="C4012" s="15" t="s">
        <v>43</v>
      </c>
      <c r="D4012" s="16">
        <v>33</v>
      </c>
      <c r="E4012" s="17">
        <v>278.64999999999998</v>
      </c>
      <c r="F4012" s="16">
        <v>0.05</v>
      </c>
      <c r="G4012" s="15" t="s">
        <v>101</v>
      </c>
      <c r="H4012" s="18">
        <v>-36.340000000000003</v>
      </c>
      <c r="I4012" s="19">
        <v>8.32</v>
      </c>
      <c r="J4012" s="19">
        <v>2.38</v>
      </c>
      <c r="K4012" s="19" t="s">
        <v>124</v>
      </c>
      <c r="L4012" s="19" t="s">
        <v>164</v>
      </c>
      <c r="M4012" s="15" t="s">
        <v>2126</v>
      </c>
      <c r="N4012" s="15" t="s">
        <v>64</v>
      </c>
      <c r="O4012" s="15" t="s">
        <v>72</v>
      </c>
      <c r="P4012" s="20" t="s">
        <v>876</v>
      </c>
      <c r="Q4012" s="15" t="s">
        <v>49</v>
      </c>
      <c r="R4012" s="4"/>
      <c r="S4012" s="4"/>
    </row>
    <row r="4013" spans="1:19" ht="21" customHeight="1" x14ac:dyDescent="0.25">
      <c r="A4013" s="14">
        <f>DATE(2012,12,31)-713</f>
        <v>40561</v>
      </c>
      <c r="B4013" s="15" t="s">
        <v>116</v>
      </c>
      <c r="C4013" s="15" t="s">
        <v>51</v>
      </c>
      <c r="D4013" s="16">
        <v>41</v>
      </c>
      <c r="E4013" s="17">
        <v>230.29</v>
      </c>
      <c r="F4013" s="16">
        <v>0</v>
      </c>
      <c r="G4013" s="15" t="s">
        <v>32</v>
      </c>
      <c r="H4013" s="18">
        <v>14.484</v>
      </c>
      <c r="I4013" s="19">
        <v>5.28</v>
      </c>
      <c r="J4013" s="19">
        <v>2.99</v>
      </c>
      <c r="K4013" s="19" t="s">
        <v>44</v>
      </c>
      <c r="L4013" s="19" t="s">
        <v>52</v>
      </c>
      <c r="M4013" s="15" t="s">
        <v>2068</v>
      </c>
      <c r="N4013" s="15" t="s">
        <v>36</v>
      </c>
      <c r="O4013" s="15" t="s">
        <v>170</v>
      </c>
      <c r="P4013" s="20" t="s">
        <v>358</v>
      </c>
      <c r="Q4013" s="15" t="s">
        <v>83</v>
      </c>
      <c r="R4013" s="4"/>
      <c r="S4013" s="4"/>
    </row>
    <row r="4014" spans="1:19" ht="21" customHeight="1" x14ac:dyDescent="0.25">
      <c r="A4014" s="14">
        <f>DATE(2012,12,31)-713</f>
        <v>40561</v>
      </c>
      <c r="B4014" s="15" t="s">
        <v>116</v>
      </c>
      <c r="C4014" s="15" t="s">
        <v>51</v>
      </c>
      <c r="D4014" s="16">
        <v>27</v>
      </c>
      <c r="E4014" s="17">
        <v>1592.0415</v>
      </c>
      <c r="F4014" s="16">
        <v>0</v>
      </c>
      <c r="G4014" s="15" t="s">
        <v>32</v>
      </c>
      <c r="H4014" s="18">
        <v>-52.700999999999993</v>
      </c>
      <c r="I4014" s="19">
        <v>65.989999999999995</v>
      </c>
      <c r="J4014" s="19">
        <v>19.989999999999998</v>
      </c>
      <c r="K4014" s="19" t="s">
        <v>44</v>
      </c>
      <c r="L4014" s="19" t="s">
        <v>89</v>
      </c>
      <c r="M4014" s="15" t="s">
        <v>1932</v>
      </c>
      <c r="N4014" s="15" t="s">
        <v>64</v>
      </c>
      <c r="O4014" s="15" t="s">
        <v>65</v>
      </c>
      <c r="P4014" s="20" t="s">
        <v>238</v>
      </c>
      <c r="Q4014" s="15" t="s">
        <v>83</v>
      </c>
      <c r="R4014" s="4"/>
      <c r="S4014" s="4"/>
    </row>
    <row r="4015" spans="1:19" ht="21" customHeight="1" x14ac:dyDescent="0.25">
      <c r="A4015" s="14">
        <f>DATE(2012,12,31)-979</f>
        <v>40295</v>
      </c>
      <c r="B4015" s="15" t="s">
        <v>882</v>
      </c>
      <c r="C4015" s="15" t="s">
        <v>43</v>
      </c>
      <c r="D4015" s="16">
        <v>16</v>
      </c>
      <c r="E4015" s="17">
        <v>659.5</v>
      </c>
      <c r="F4015" s="16">
        <v>0.09</v>
      </c>
      <c r="G4015" s="15" t="s">
        <v>32</v>
      </c>
      <c r="H4015" s="18">
        <v>248.98200000000003</v>
      </c>
      <c r="I4015" s="19">
        <v>41.94</v>
      </c>
      <c r="J4015" s="19">
        <v>2.99</v>
      </c>
      <c r="K4015" s="19" t="s">
        <v>33</v>
      </c>
      <c r="L4015" s="19" t="s">
        <v>93</v>
      </c>
      <c r="M4015" s="15" t="s">
        <v>94</v>
      </c>
      <c r="N4015" s="15" t="s">
        <v>36</v>
      </c>
      <c r="O4015" s="15" t="s">
        <v>170</v>
      </c>
      <c r="P4015" s="20" t="s">
        <v>1469</v>
      </c>
      <c r="Q4015" s="15" t="s">
        <v>83</v>
      </c>
      <c r="R4015" s="4"/>
      <c r="S4015" s="4"/>
    </row>
    <row r="4016" spans="1:19" ht="21" customHeight="1" x14ac:dyDescent="0.25">
      <c r="A4016" s="14">
        <f>DATE(2012,12,31)-1388</f>
        <v>39886</v>
      </c>
      <c r="B4016" s="15" t="s">
        <v>791</v>
      </c>
      <c r="C4016" s="15" t="s">
        <v>85</v>
      </c>
      <c r="D4016" s="16">
        <v>38</v>
      </c>
      <c r="E4016" s="17">
        <v>5679.59</v>
      </c>
      <c r="F4016" s="16">
        <v>0.09</v>
      </c>
      <c r="G4016" s="15" t="s">
        <v>101</v>
      </c>
      <c r="H4016" s="18">
        <v>-1763.7477000000003</v>
      </c>
      <c r="I4016" s="19">
        <v>154.13</v>
      </c>
      <c r="J4016" s="19">
        <v>69</v>
      </c>
      <c r="K4016" s="19" t="s">
        <v>44</v>
      </c>
      <c r="L4016" s="19" t="s">
        <v>120</v>
      </c>
      <c r="M4016" s="15" t="s">
        <v>2025</v>
      </c>
      <c r="N4016" s="15" t="s">
        <v>54</v>
      </c>
      <c r="O4016" s="15" t="s">
        <v>61</v>
      </c>
      <c r="P4016" s="20" t="s">
        <v>1923</v>
      </c>
      <c r="Q4016" s="15" t="s">
        <v>39</v>
      </c>
      <c r="R4016" s="4"/>
      <c r="S4016" s="4"/>
    </row>
    <row r="4017" spans="1:19" ht="21" customHeight="1" x14ac:dyDescent="0.25">
      <c r="A4017" s="14">
        <f>DATE(2012,12,31)-504</f>
        <v>40770</v>
      </c>
      <c r="B4017" s="15" t="s">
        <v>814</v>
      </c>
      <c r="C4017" s="15" t="s">
        <v>51</v>
      </c>
      <c r="D4017" s="16">
        <v>26</v>
      </c>
      <c r="E4017" s="17">
        <v>161.96</v>
      </c>
      <c r="F4017" s="16">
        <v>0</v>
      </c>
      <c r="G4017" s="15" t="s">
        <v>32</v>
      </c>
      <c r="H4017" s="18">
        <v>-51.12</v>
      </c>
      <c r="I4017" s="19">
        <v>5.78</v>
      </c>
      <c r="J4017" s="19">
        <v>5.67</v>
      </c>
      <c r="K4017" s="19" t="s">
        <v>44</v>
      </c>
      <c r="L4017" s="19" t="s">
        <v>236</v>
      </c>
      <c r="M4017" s="15" t="s">
        <v>2129</v>
      </c>
      <c r="N4017" s="15" t="s">
        <v>36</v>
      </c>
      <c r="O4017" s="15" t="s">
        <v>117</v>
      </c>
      <c r="P4017" s="20" t="s">
        <v>557</v>
      </c>
      <c r="Q4017" s="15" t="s">
        <v>83</v>
      </c>
      <c r="R4017" s="4"/>
      <c r="S4017" s="4"/>
    </row>
    <row r="4018" spans="1:19" ht="21" customHeight="1" x14ac:dyDescent="0.25">
      <c r="A4018" s="14">
        <f>DATE(2012,12,31)-1180</f>
        <v>40094</v>
      </c>
      <c r="B4018" s="15" t="s">
        <v>1214</v>
      </c>
      <c r="C4018" s="15" t="s">
        <v>85</v>
      </c>
      <c r="D4018" s="16">
        <v>15</v>
      </c>
      <c r="E4018" s="17">
        <v>822.84249999999997</v>
      </c>
      <c r="F4018" s="16">
        <v>0.1</v>
      </c>
      <c r="G4018" s="15" t="s">
        <v>32</v>
      </c>
      <c r="H4018" s="18">
        <v>4.3920000000000083</v>
      </c>
      <c r="I4018" s="19">
        <v>65.989999999999995</v>
      </c>
      <c r="J4018" s="19">
        <v>5.92</v>
      </c>
      <c r="K4018" s="19" t="s">
        <v>33</v>
      </c>
      <c r="L4018" s="19" t="s">
        <v>59</v>
      </c>
      <c r="M4018" s="15" t="s">
        <v>2091</v>
      </c>
      <c r="N4018" s="15" t="s">
        <v>64</v>
      </c>
      <c r="O4018" s="15" t="s">
        <v>65</v>
      </c>
      <c r="P4018" s="20" t="s">
        <v>1135</v>
      </c>
      <c r="Q4018" s="15" t="s">
        <v>83</v>
      </c>
      <c r="R4018" s="4"/>
      <c r="S4018" s="4"/>
    </row>
    <row r="4019" spans="1:19" ht="21" customHeight="1" x14ac:dyDescent="0.25">
      <c r="A4019" s="14">
        <f>DATE(2012,12,31)-1350</f>
        <v>39924</v>
      </c>
      <c r="B4019" s="15" t="s">
        <v>1196</v>
      </c>
      <c r="C4019" s="15" t="s">
        <v>51</v>
      </c>
      <c r="D4019" s="16">
        <v>26</v>
      </c>
      <c r="E4019" s="17">
        <v>1029.29</v>
      </c>
      <c r="F4019" s="16">
        <v>0.06</v>
      </c>
      <c r="G4019" s="15" t="s">
        <v>32</v>
      </c>
      <c r="H4019" s="18">
        <v>109.16</v>
      </c>
      <c r="I4019" s="19">
        <v>40.99</v>
      </c>
      <c r="J4019" s="19">
        <v>17.48</v>
      </c>
      <c r="K4019" s="19" t="s">
        <v>69</v>
      </c>
      <c r="L4019" s="19" t="s">
        <v>70</v>
      </c>
      <c r="M4019" s="15" t="s">
        <v>1895</v>
      </c>
      <c r="N4019" s="15" t="s">
        <v>36</v>
      </c>
      <c r="O4019" s="15" t="s">
        <v>117</v>
      </c>
      <c r="P4019" s="20" t="s">
        <v>583</v>
      </c>
      <c r="Q4019" s="15" t="s">
        <v>83</v>
      </c>
      <c r="R4019" s="4"/>
      <c r="S4019" s="4"/>
    </row>
    <row r="4020" spans="1:19" ht="21" customHeight="1" x14ac:dyDescent="0.25">
      <c r="A4020" s="14">
        <f>DATE(2012,12,31)-455</f>
        <v>40819</v>
      </c>
      <c r="B4020" s="15" t="s">
        <v>149</v>
      </c>
      <c r="C4020" s="15" t="s">
        <v>85</v>
      </c>
      <c r="D4020" s="16">
        <v>50</v>
      </c>
      <c r="E4020" s="17">
        <v>413.37</v>
      </c>
      <c r="F4020" s="16">
        <v>0.04</v>
      </c>
      <c r="G4020" s="15" t="s">
        <v>32</v>
      </c>
      <c r="H4020" s="18">
        <v>-224.41</v>
      </c>
      <c r="I4020" s="19">
        <v>8.4499999999999993</v>
      </c>
      <c r="J4020" s="19">
        <v>7.77</v>
      </c>
      <c r="K4020" s="19" t="s">
        <v>44</v>
      </c>
      <c r="L4020" s="19" t="s">
        <v>89</v>
      </c>
      <c r="M4020" s="15" t="s">
        <v>1932</v>
      </c>
      <c r="N4020" s="15" t="s">
        <v>36</v>
      </c>
      <c r="O4020" s="15" t="s">
        <v>47</v>
      </c>
      <c r="P4020" s="20" t="s">
        <v>1863</v>
      </c>
      <c r="Q4020" s="15" t="s">
        <v>49</v>
      </c>
      <c r="R4020" s="4"/>
      <c r="S4020" s="4"/>
    </row>
    <row r="4021" spans="1:19" ht="21" customHeight="1" x14ac:dyDescent="0.25">
      <c r="A4021" s="14">
        <f>DATE(2012,12,31)-455</f>
        <v>40819</v>
      </c>
      <c r="B4021" s="15" t="s">
        <v>149</v>
      </c>
      <c r="C4021" s="15" t="s">
        <v>85</v>
      </c>
      <c r="D4021" s="16">
        <v>17</v>
      </c>
      <c r="E4021" s="17">
        <v>1721.6410000000001</v>
      </c>
      <c r="F4021" s="16">
        <v>0.04</v>
      </c>
      <c r="G4021" s="15" t="s">
        <v>32</v>
      </c>
      <c r="H4021" s="18">
        <v>242.44200000000001</v>
      </c>
      <c r="I4021" s="19">
        <v>115.99</v>
      </c>
      <c r="J4021" s="19">
        <v>4.2300000000000004</v>
      </c>
      <c r="K4021" s="19" t="s">
        <v>44</v>
      </c>
      <c r="L4021" s="19" t="s">
        <v>89</v>
      </c>
      <c r="M4021" s="15" t="s">
        <v>1932</v>
      </c>
      <c r="N4021" s="15" t="s">
        <v>64</v>
      </c>
      <c r="O4021" s="15" t="s">
        <v>65</v>
      </c>
      <c r="P4021" s="20" t="s">
        <v>206</v>
      </c>
      <c r="Q4021" s="15" t="s">
        <v>83</v>
      </c>
      <c r="R4021" s="4"/>
      <c r="S4021" s="4"/>
    </row>
    <row r="4022" spans="1:19" ht="21" customHeight="1" x14ac:dyDescent="0.25">
      <c r="A4022" s="14">
        <f>DATE(2012,12,31)-143</f>
        <v>41131</v>
      </c>
      <c r="B4022" s="15" t="s">
        <v>728</v>
      </c>
      <c r="C4022" s="15" t="s">
        <v>85</v>
      </c>
      <c r="D4022" s="16">
        <v>2</v>
      </c>
      <c r="E4022" s="17">
        <v>23.54</v>
      </c>
      <c r="F4022" s="16">
        <v>0.03</v>
      </c>
      <c r="G4022" s="15" t="s">
        <v>32</v>
      </c>
      <c r="H4022" s="18">
        <v>-14.467000000000001</v>
      </c>
      <c r="I4022" s="19">
        <v>8.6</v>
      </c>
      <c r="J4022" s="19">
        <v>6.19</v>
      </c>
      <c r="K4022" s="19" t="s">
        <v>33</v>
      </c>
      <c r="L4022" s="19" t="s">
        <v>128</v>
      </c>
      <c r="M4022" s="15" t="s">
        <v>129</v>
      </c>
      <c r="N4022" s="15" t="s">
        <v>36</v>
      </c>
      <c r="O4022" s="15" t="s">
        <v>170</v>
      </c>
      <c r="P4022" s="20" t="s">
        <v>413</v>
      </c>
      <c r="Q4022" s="15" t="s">
        <v>83</v>
      </c>
      <c r="R4022" s="4"/>
      <c r="S4022" s="4"/>
    </row>
    <row r="4023" spans="1:19" ht="21" customHeight="1" x14ac:dyDescent="0.25">
      <c r="A4023" s="14">
        <f>DATE(2012,12,31)-143</f>
        <v>41131</v>
      </c>
      <c r="B4023" s="15" t="s">
        <v>728</v>
      </c>
      <c r="C4023" s="15" t="s">
        <v>85</v>
      </c>
      <c r="D4023" s="16">
        <v>10</v>
      </c>
      <c r="E4023" s="17">
        <v>1539.83</v>
      </c>
      <c r="F4023" s="16">
        <v>0.08</v>
      </c>
      <c r="G4023" s="15" t="s">
        <v>32</v>
      </c>
      <c r="H4023" s="18">
        <v>34.85</v>
      </c>
      <c r="I4023" s="19">
        <v>165.2</v>
      </c>
      <c r="J4023" s="19">
        <v>19.989999999999998</v>
      </c>
      <c r="K4023" s="19" t="s">
        <v>124</v>
      </c>
      <c r="L4023" s="19" t="s">
        <v>164</v>
      </c>
      <c r="M4023" s="15" t="s">
        <v>2126</v>
      </c>
      <c r="N4023" s="15" t="s">
        <v>36</v>
      </c>
      <c r="O4023" s="15" t="s">
        <v>37</v>
      </c>
      <c r="P4023" s="20" t="s">
        <v>771</v>
      </c>
      <c r="Q4023" s="15" t="s">
        <v>83</v>
      </c>
      <c r="R4023" s="4"/>
      <c r="S4023" s="4"/>
    </row>
    <row r="4024" spans="1:19" ht="21" customHeight="1" x14ac:dyDescent="0.25">
      <c r="A4024" s="14">
        <f>DATE(2012,12,31)-672</f>
        <v>40602</v>
      </c>
      <c r="B4024" s="15" t="s">
        <v>1478</v>
      </c>
      <c r="C4024" s="15" t="s">
        <v>43</v>
      </c>
      <c r="D4024" s="16">
        <v>13</v>
      </c>
      <c r="E4024" s="17">
        <v>70.13</v>
      </c>
      <c r="F4024" s="16">
        <v>0.02</v>
      </c>
      <c r="G4024" s="15" t="s">
        <v>32</v>
      </c>
      <c r="H4024" s="18">
        <v>21.51</v>
      </c>
      <c r="I4024" s="19">
        <v>5.43</v>
      </c>
      <c r="J4024" s="19">
        <v>0.95</v>
      </c>
      <c r="K4024" s="19" t="s">
        <v>124</v>
      </c>
      <c r="L4024" s="19" t="s">
        <v>160</v>
      </c>
      <c r="M4024" s="15" t="s">
        <v>1951</v>
      </c>
      <c r="N4024" s="15" t="s">
        <v>36</v>
      </c>
      <c r="O4024" s="15" t="s">
        <v>117</v>
      </c>
      <c r="P4024" s="20" t="s">
        <v>1243</v>
      </c>
      <c r="Q4024" s="15" t="s">
        <v>79</v>
      </c>
      <c r="R4024" s="4"/>
      <c r="S4024" s="4"/>
    </row>
    <row r="4025" spans="1:19" ht="21" customHeight="1" x14ac:dyDescent="0.25">
      <c r="A4025" s="14">
        <f>DATE(2012,12,31)-672</f>
        <v>40602</v>
      </c>
      <c r="B4025" s="15" t="s">
        <v>1478</v>
      </c>
      <c r="C4025" s="15" t="s">
        <v>43</v>
      </c>
      <c r="D4025" s="16">
        <v>5</v>
      </c>
      <c r="E4025" s="17">
        <v>59.76</v>
      </c>
      <c r="F4025" s="16">
        <v>0.04</v>
      </c>
      <c r="G4025" s="15" t="s">
        <v>32</v>
      </c>
      <c r="H4025" s="18">
        <v>-10.34</v>
      </c>
      <c r="I4025" s="19">
        <v>10.98</v>
      </c>
      <c r="J4025" s="19">
        <v>3.37</v>
      </c>
      <c r="K4025" s="19" t="s">
        <v>124</v>
      </c>
      <c r="L4025" s="19" t="s">
        <v>160</v>
      </c>
      <c r="M4025" s="15" t="s">
        <v>1951</v>
      </c>
      <c r="N4025" s="15" t="s">
        <v>36</v>
      </c>
      <c r="O4025" s="15" t="s">
        <v>47</v>
      </c>
      <c r="P4025" s="20" t="s">
        <v>1698</v>
      </c>
      <c r="Q4025" s="15" t="s">
        <v>49</v>
      </c>
      <c r="R4025" s="4"/>
      <c r="S4025" s="4"/>
    </row>
    <row r="4026" spans="1:19" ht="21" customHeight="1" x14ac:dyDescent="0.25">
      <c r="A4026" s="14">
        <f>DATE(2012,12,31)-246</f>
        <v>41028</v>
      </c>
      <c r="B4026" s="15" t="s">
        <v>1070</v>
      </c>
      <c r="C4026" s="15" t="s">
        <v>31</v>
      </c>
      <c r="D4026" s="16">
        <v>35</v>
      </c>
      <c r="E4026" s="17">
        <v>587.91999999999996</v>
      </c>
      <c r="F4026" s="16">
        <v>0.09</v>
      </c>
      <c r="G4026" s="15" t="s">
        <v>32</v>
      </c>
      <c r="H4026" s="18">
        <v>-7.92</v>
      </c>
      <c r="I4026" s="19">
        <v>16.91</v>
      </c>
      <c r="J4026" s="19">
        <v>6.25</v>
      </c>
      <c r="K4026" s="19" t="s">
        <v>44</v>
      </c>
      <c r="L4026" s="19" t="s">
        <v>89</v>
      </c>
      <c r="M4026" s="15" t="s">
        <v>1932</v>
      </c>
      <c r="N4026" s="15" t="s">
        <v>36</v>
      </c>
      <c r="O4026" s="15" t="s">
        <v>37</v>
      </c>
      <c r="P4026" s="20" t="s">
        <v>1586</v>
      </c>
      <c r="Q4026" s="15" t="s">
        <v>83</v>
      </c>
      <c r="R4026" s="4"/>
      <c r="S4026" s="4"/>
    </row>
    <row r="4027" spans="1:19" ht="21" customHeight="1" x14ac:dyDescent="0.25">
      <c r="A4027" s="14">
        <f>DATE(2012,12,31)-246</f>
        <v>41028</v>
      </c>
      <c r="B4027" s="15" t="s">
        <v>1070</v>
      </c>
      <c r="C4027" s="15" t="s">
        <v>31</v>
      </c>
      <c r="D4027" s="16">
        <v>7</v>
      </c>
      <c r="E4027" s="17">
        <v>2171.4639999999999</v>
      </c>
      <c r="F4027" s="16">
        <v>0.04</v>
      </c>
      <c r="G4027" s="15" t="s">
        <v>58</v>
      </c>
      <c r="H4027" s="18">
        <v>-209.56</v>
      </c>
      <c r="I4027" s="19">
        <v>376.13</v>
      </c>
      <c r="J4027" s="19">
        <v>85.63</v>
      </c>
      <c r="K4027" s="19" t="s">
        <v>69</v>
      </c>
      <c r="L4027" s="19" t="s">
        <v>70</v>
      </c>
      <c r="M4027" s="15" t="s">
        <v>1895</v>
      </c>
      <c r="N4027" s="15" t="s">
        <v>54</v>
      </c>
      <c r="O4027" s="15" t="s">
        <v>61</v>
      </c>
      <c r="P4027" s="20" t="s">
        <v>1159</v>
      </c>
      <c r="Q4027" s="15" t="s">
        <v>63</v>
      </c>
      <c r="R4027" s="4"/>
      <c r="S4027" s="4"/>
    </row>
    <row r="4028" spans="1:19" ht="21" customHeight="1" x14ac:dyDescent="0.25">
      <c r="A4028" s="14">
        <f>DATE(2012,12,31)-856</f>
        <v>40418</v>
      </c>
      <c r="B4028" s="15" t="s">
        <v>1609</v>
      </c>
      <c r="C4028" s="15" t="s">
        <v>31</v>
      </c>
      <c r="D4028" s="16">
        <v>6</v>
      </c>
      <c r="E4028" s="17">
        <v>195.75</v>
      </c>
      <c r="F4028" s="16">
        <v>0.02</v>
      </c>
      <c r="G4028" s="15" t="s">
        <v>32</v>
      </c>
      <c r="H4028" s="18">
        <v>-31.24</v>
      </c>
      <c r="I4028" s="19">
        <v>33.29</v>
      </c>
      <c r="J4028" s="19">
        <v>1.99</v>
      </c>
      <c r="K4028" s="19" t="s">
        <v>33</v>
      </c>
      <c r="L4028" s="19" t="s">
        <v>145</v>
      </c>
      <c r="M4028" s="15" t="s">
        <v>2055</v>
      </c>
      <c r="N4028" s="15" t="s">
        <v>64</v>
      </c>
      <c r="O4028" s="15" t="s">
        <v>72</v>
      </c>
      <c r="P4028" s="20" t="s">
        <v>1749</v>
      </c>
      <c r="Q4028" s="15" t="s">
        <v>49</v>
      </c>
      <c r="R4028" s="4"/>
      <c r="S4028" s="4"/>
    </row>
    <row r="4029" spans="1:19" ht="21" customHeight="1" x14ac:dyDescent="0.25">
      <c r="A4029" s="14">
        <f>DATE(2012,12,31)-1424</f>
        <v>39850</v>
      </c>
      <c r="B4029" s="15" t="s">
        <v>2136</v>
      </c>
      <c r="C4029" s="15" t="s">
        <v>51</v>
      </c>
      <c r="D4029" s="16">
        <v>16</v>
      </c>
      <c r="E4029" s="17">
        <v>950.46399999999994</v>
      </c>
      <c r="F4029" s="16">
        <v>0.02</v>
      </c>
      <c r="G4029" s="15" t="s">
        <v>32</v>
      </c>
      <c r="H4029" s="18">
        <v>-763.8</v>
      </c>
      <c r="I4029" s="19">
        <v>71.37</v>
      </c>
      <c r="J4029" s="19">
        <v>69</v>
      </c>
      <c r="K4029" s="19" t="s">
        <v>33</v>
      </c>
      <c r="L4029" s="19" t="s">
        <v>145</v>
      </c>
      <c r="M4029" s="15" t="s">
        <v>2055</v>
      </c>
      <c r="N4029" s="15" t="s">
        <v>54</v>
      </c>
      <c r="O4029" s="15" t="s">
        <v>61</v>
      </c>
      <c r="P4029" s="20" t="s">
        <v>399</v>
      </c>
      <c r="Q4029" s="15" t="s">
        <v>39</v>
      </c>
      <c r="R4029" s="4"/>
      <c r="S4029" s="4"/>
    </row>
    <row r="4030" spans="1:19" ht="21" customHeight="1" x14ac:dyDescent="0.25">
      <c r="A4030" s="14">
        <f>DATE(2012,12,31)-1424</f>
        <v>39850</v>
      </c>
      <c r="B4030" s="15" t="s">
        <v>2136</v>
      </c>
      <c r="C4030" s="15" t="s">
        <v>51</v>
      </c>
      <c r="D4030" s="16">
        <v>4</v>
      </c>
      <c r="E4030" s="17">
        <v>705.68700000000001</v>
      </c>
      <c r="F4030" s="16">
        <v>0.03</v>
      </c>
      <c r="G4030" s="15" t="s">
        <v>101</v>
      </c>
      <c r="H4030" s="18">
        <v>-803.077</v>
      </c>
      <c r="I4030" s="19">
        <v>205.99</v>
      </c>
      <c r="J4030" s="19">
        <v>8.99</v>
      </c>
      <c r="K4030" s="19" t="s">
        <v>69</v>
      </c>
      <c r="L4030" s="19" t="s">
        <v>70</v>
      </c>
      <c r="M4030" s="15" t="s">
        <v>1895</v>
      </c>
      <c r="N4030" s="15" t="s">
        <v>64</v>
      </c>
      <c r="O4030" s="15" t="s">
        <v>65</v>
      </c>
      <c r="P4030" s="20" t="s">
        <v>886</v>
      </c>
      <c r="Q4030" s="15" t="s">
        <v>83</v>
      </c>
      <c r="R4030" s="4"/>
      <c r="S4030" s="4"/>
    </row>
    <row r="4031" spans="1:19" ht="21" customHeight="1" x14ac:dyDescent="0.25">
      <c r="A4031" s="14">
        <f>DATE(2012,12,31)-690</f>
        <v>40584</v>
      </c>
      <c r="B4031" s="15" t="s">
        <v>1144</v>
      </c>
      <c r="C4031" s="15" t="s">
        <v>31</v>
      </c>
      <c r="D4031" s="16">
        <v>48</v>
      </c>
      <c r="E4031" s="17">
        <v>2174.4189999999999</v>
      </c>
      <c r="F4031" s="16">
        <v>0.05</v>
      </c>
      <c r="G4031" s="15" t="s">
        <v>32</v>
      </c>
      <c r="H4031" s="18">
        <v>-211.69499999999999</v>
      </c>
      <c r="I4031" s="19">
        <v>55.99</v>
      </c>
      <c r="J4031" s="19">
        <v>5</v>
      </c>
      <c r="K4031" s="19" t="s">
        <v>44</v>
      </c>
      <c r="L4031" s="19" t="s">
        <v>45</v>
      </c>
      <c r="M4031" s="15" t="s">
        <v>2053</v>
      </c>
      <c r="N4031" s="15" t="s">
        <v>64</v>
      </c>
      <c r="O4031" s="15" t="s">
        <v>65</v>
      </c>
      <c r="P4031" s="20" t="s">
        <v>1377</v>
      </c>
      <c r="Q4031" s="15" t="s">
        <v>49</v>
      </c>
      <c r="R4031" s="4"/>
      <c r="S4031" s="4"/>
    </row>
    <row r="4032" spans="1:19" ht="21" customHeight="1" x14ac:dyDescent="0.25">
      <c r="A4032" s="14">
        <f>DATE(2012,12,31)-1460</f>
        <v>39814</v>
      </c>
      <c r="B4032" s="15" t="s">
        <v>1094</v>
      </c>
      <c r="C4032" s="15" t="s">
        <v>51</v>
      </c>
      <c r="D4032" s="16">
        <v>32</v>
      </c>
      <c r="E4032" s="17">
        <v>180.36</v>
      </c>
      <c r="F4032" s="16">
        <v>0.1</v>
      </c>
      <c r="G4032" s="15" t="s">
        <v>32</v>
      </c>
      <c r="H4032" s="18">
        <v>-111.8</v>
      </c>
      <c r="I4032" s="19">
        <v>5.98</v>
      </c>
      <c r="J4032" s="19">
        <v>4.6900000000000004</v>
      </c>
      <c r="K4032" s="19" t="s">
        <v>124</v>
      </c>
      <c r="L4032" s="19" t="s">
        <v>164</v>
      </c>
      <c r="M4032" s="15" t="s">
        <v>2126</v>
      </c>
      <c r="N4032" s="15" t="s">
        <v>36</v>
      </c>
      <c r="O4032" s="15" t="s">
        <v>37</v>
      </c>
      <c r="P4032" s="20" t="s">
        <v>813</v>
      </c>
      <c r="Q4032" s="15" t="s">
        <v>83</v>
      </c>
      <c r="R4032" s="4"/>
      <c r="S4032" s="4"/>
    </row>
    <row r="4033" spans="1:19" ht="21" customHeight="1" x14ac:dyDescent="0.25">
      <c r="A4033" s="14">
        <f>DATE(2012,12,31)-788</f>
        <v>40486</v>
      </c>
      <c r="B4033" s="15" t="s">
        <v>194</v>
      </c>
      <c r="C4033" s="15" t="s">
        <v>51</v>
      </c>
      <c r="D4033" s="16">
        <v>23</v>
      </c>
      <c r="E4033" s="17">
        <v>413.8</v>
      </c>
      <c r="F4033" s="16">
        <v>0.08</v>
      </c>
      <c r="G4033" s="15" t="s">
        <v>101</v>
      </c>
      <c r="H4033" s="18">
        <v>51.36</v>
      </c>
      <c r="I4033" s="19">
        <v>17.670000000000002</v>
      </c>
      <c r="J4033" s="19">
        <v>8.99</v>
      </c>
      <c r="K4033" s="19" t="s">
        <v>44</v>
      </c>
      <c r="L4033" s="19" t="s">
        <v>52</v>
      </c>
      <c r="M4033" s="15" t="s">
        <v>2068</v>
      </c>
      <c r="N4033" s="15" t="s">
        <v>54</v>
      </c>
      <c r="O4033" s="15" t="s">
        <v>55</v>
      </c>
      <c r="P4033" s="20" t="s">
        <v>458</v>
      </c>
      <c r="Q4033" s="15" t="s">
        <v>49</v>
      </c>
      <c r="R4033" s="4"/>
      <c r="S4033" s="4"/>
    </row>
    <row r="4034" spans="1:19" ht="21" customHeight="1" x14ac:dyDescent="0.25">
      <c r="A4034" s="14">
        <f>DATE(2012,12,31)-788</f>
        <v>40486</v>
      </c>
      <c r="B4034" s="15" t="s">
        <v>194</v>
      </c>
      <c r="C4034" s="15" t="s">
        <v>51</v>
      </c>
      <c r="D4034" s="16">
        <v>36</v>
      </c>
      <c r="E4034" s="17">
        <v>336.25</v>
      </c>
      <c r="F4034" s="16">
        <v>0</v>
      </c>
      <c r="G4034" s="15" t="s">
        <v>101</v>
      </c>
      <c r="H4034" s="18">
        <v>25.95</v>
      </c>
      <c r="I4034" s="19">
        <v>8.34</v>
      </c>
      <c r="J4034" s="19">
        <v>4.82</v>
      </c>
      <c r="K4034" s="19" t="s">
        <v>33</v>
      </c>
      <c r="L4034" s="19" t="s">
        <v>145</v>
      </c>
      <c r="M4034" s="15" t="s">
        <v>2055</v>
      </c>
      <c r="N4034" s="15" t="s">
        <v>36</v>
      </c>
      <c r="O4034" s="15" t="s">
        <v>117</v>
      </c>
      <c r="P4034" s="20" t="s">
        <v>514</v>
      </c>
      <c r="Q4034" s="15" t="s">
        <v>83</v>
      </c>
      <c r="R4034" s="4"/>
      <c r="S4034" s="4"/>
    </row>
    <row r="4035" spans="1:19" ht="21" customHeight="1" x14ac:dyDescent="0.25">
      <c r="A4035" s="14">
        <f>DATE(2012,12,31)-788</f>
        <v>40486</v>
      </c>
      <c r="B4035" s="15" t="s">
        <v>194</v>
      </c>
      <c r="C4035" s="15" t="s">
        <v>51</v>
      </c>
      <c r="D4035" s="16">
        <v>22</v>
      </c>
      <c r="E4035" s="17">
        <v>4001.4684999999995</v>
      </c>
      <c r="F4035" s="16">
        <v>0.02</v>
      </c>
      <c r="G4035" s="15" t="s">
        <v>32</v>
      </c>
      <c r="H4035" s="18">
        <v>884.90700000000004</v>
      </c>
      <c r="I4035" s="19">
        <v>205.99</v>
      </c>
      <c r="J4035" s="19">
        <v>3</v>
      </c>
      <c r="K4035" s="19" t="s">
        <v>33</v>
      </c>
      <c r="L4035" s="19" t="s">
        <v>145</v>
      </c>
      <c r="M4035" s="15" t="s">
        <v>2055</v>
      </c>
      <c r="N4035" s="15" t="s">
        <v>64</v>
      </c>
      <c r="O4035" s="15" t="s">
        <v>65</v>
      </c>
      <c r="P4035" s="20" t="s">
        <v>1920</v>
      </c>
      <c r="Q4035" s="15" t="s">
        <v>83</v>
      </c>
      <c r="R4035" s="4"/>
      <c r="S4035" s="4"/>
    </row>
    <row r="4036" spans="1:19" ht="21" customHeight="1" x14ac:dyDescent="0.25">
      <c r="A4036" s="14">
        <f>DATE(2012,12,31)-639</f>
        <v>40635</v>
      </c>
      <c r="B4036" s="15" t="s">
        <v>1319</v>
      </c>
      <c r="C4036" s="15" t="s">
        <v>85</v>
      </c>
      <c r="D4036" s="16">
        <v>14</v>
      </c>
      <c r="E4036" s="17">
        <v>97.93</v>
      </c>
      <c r="F4036" s="16">
        <v>7.0000000000000007E-2</v>
      </c>
      <c r="G4036" s="15" t="s">
        <v>32</v>
      </c>
      <c r="H4036" s="18">
        <v>-616.80999999999995</v>
      </c>
      <c r="I4036" s="19">
        <v>3.48</v>
      </c>
      <c r="J4036" s="19">
        <v>49</v>
      </c>
      <c r="K4036" s="19" t="s">
        <v>69</v>
      </c>
      <c r="L4036" s="19" t="s">
        <v>70</v>
      </c>
      <c r="M4036" s="15" t="s">
        <v>1895</v>
      </c>
      <c r="N4036" s="15" t="s">
        <v>36</v>
      </c>
      <c r="O4036" s="15" t="s">
        <v>176</v>
      </c>
      <c r="P4036" s="20" t="s">
        <v>2101</v>
      </c>
      <c r="Q4036" s="15" t="s">
        <v>39</v>
      </c>
      <c r="R4036" s="4"/>
      <c r="S4036" s="4"/>
    </row>
    <row r="4037" spans="1:19" ht="21" customHeight="1" x14ac:dyDescent="0.25">
      <c r="A4037" s="14">
        <f>DATE(2012,12,31)-639</f>
        <v>40635</v>
      </c>
      <c r="B4037" s="15" t="s">
        <v>1319</v>
      </c>
      <c r="C4037" s="15" t="s">
        <v>85</v>
      </c>
      <c r="D4037" s="16">
        <v>4</v>
      </c>
      <c r="E4037" s="17">
        <v>25.52</v>
      </c>
      <c r="F4037" s="16">
        <v>7.0000000000000007E-2</v>
      </c>
      <c r="G4037" s="15" t="s">
        <v>32</v>
      </c>
      <c r="H4037" s="18">
        <v>-1.9895</v>
      </c>
      <c r="I4037" s="19">
        <v>5.98</v>
      </c>
      <c r="J4037" s="19">
        <v>1.49</v>
      </c>
      <c r="K4037" s="19" t="s">
        <v>69</v>
      </c>
      <c r="L4037" s="19" t="s">
        <v>75</v>
      </c>
      <c r="M4037" s="15" t="s">
        <v>1980</v>
      </c>
      <c r="N4037" s="15" t="s">
        <v>36</v>
      </c>
      <c r="O4037" s="15" t="s">
        <v>170</v>
      </c>
      <c r="P4037" s="20" t="s">
        <v>365</v>
      </c>
      <c r="Q4037" s="15" t="s">
        <v>83</v>
      </c>
      <c r="R4037" s="4"/>
      <c r="S4037" s="4"/>
    </row>
    <row r="4038" spans="1:19" ht="21" customHeight="1" x14ac:dyDescent="0.25">
      <c r="A4038" s="14">
        <f>DATE(2012,12,31)-639</f>
        <v>40635</v>
      </c>
      <c r="B4038" s="15" t="s">
        <v>1319</v>
      </c>
      <c r="C4038" s="15" t="s">
        <v>85</v>
      </c>
      <c r="D4038" s="16">
        <v>46</v>
      </c>
      <c r="E4038" s="17">
        <v>487.5</v>
      </c>
      <c r="F4038" s="16">
        <v>0.05</v>
      </c>
      <c r="G4038" s="15" t="s">
        <v>32</v>
      </c>
      <c r="H4038" s="18">
        <v>-25.88</v>
      </c>
      <c r="I4038" s="19">
        <v>10.23</v>
      </c>
      <c r="J4038" s="19">
        <v>4.68</v>
      </c>
      <c r="K4038" s="19" t="s">
        <v>69</v>
      </c>
      <c r="L4038" s="19" t="s">
        <v>70</v>
      </c>
      <c r="M4038" s="15" t="s">
        <v>1895</v>
      </c>
      <c r="N4038" s="15" t="s">
        <v>36</v>
      </c>
      <c r="O4038" s="15" t="s">
        <v>47</v>
      </c>
      <c r="P4038" s="20" t="s">
        <v>1167</v>
      </c>
      <c r="Q4038" s="15" t="s">
        <v>49</v>
      </c>
      <c r="R4038" s="4"/>
      <c r="S4038" s="4"/>
    </row>
    <row r="4039" spans="1:19" ht="21" customHeight="1" x14ac:dyDescent="0.25">
      <c r="A4039" s="14">
        <f>DATE(2012,12,31)-641</f>
        <v>40633</v>
      </c>
      <c r="B4039" s="15" t="s">
        <v>1585</v>
      </c>
      <c r="C4039" s="15" t="s">
        <v>51</v>
      </c>
      <c r="D4039" s="16">
        <v>9</v>
      </c>
      <c r="E4039" s="17">
        <v>59.35</v>
      </c>
      <c r="F4039" s="16">
        <v>0.02</v>
      </c>
      <c r="G4039" s="15" t="s">
        <v>101</v>
      </c>
      <c r="H4039" s="18">
        <v>-42.61</v>
      </c>
      <c r="I4039" s="19">
        <v>4.9800000000000004</v>
      </c>
      <c r="J4039" s="19">
        <v>8.33</v>
      </c>
      <c r="K4039" s="19" t="s">
        <v>111</v>
      </c>
      <c r="L4039" s="19" t="s">
        <v>112</v>
      </c>
      <c r="M4039" s="15" t="s">
        <v>2137</v>
      </c>
      <c r="N4039" s="15" t="s">
        <v>36</v>
      </c>
      <c r="O4039" s="15" t="s">
        <v>117</v>
      </c>
      <c r="P4039" s="20" t="s">
        <v>293</v>
      </c>
      <c r="Q4039" s="15" t="s">
        <v>83</v>
      </c>
      <c r="R4039" s="4"/>
      <c r="S4039" s="4"/>
    </row>
    <row r="4040" spans="1:19" ht="21" customHeight="1" x14ac:dyDescent="0.25">
      <c r="A4040" s="14">
        <f>DATE(2012,12,31)-829</f>
        <v>40445</v>
      </c>
      <c r="B4040" s="15" t="s">
        <v>1656</v>
      </c>
      <c r="C4040" s="15" t="s">
        <v>85</v>
      </c>
      <c r="D4040" s="16">
        <v>46</v>
      </c>
      <c r="E4040" s="17">
        <v>1500.84</v>
      </c>
      <c r="F4040" s="16">
        <v>0.1</v>
      </c>
      <c r="G4040" s="15" t="s">
        <v>101</v>
      </c>
      <c r="H4040" s="18">
        <v>91.56</v>
      </c>
      <c r="I4040" s="19">
        <v>35.89</v>
      </c>
      <c r="J4040" s="19">
        <v>14.72</v>
      </c>
      <c r="K4040" s="19" t="s">
        <v>44</v>
      </c>
      <c r="L4040" s="19" t="s">
        <v>120</v>
      </c>
      <c r="M4040" s="15" t="s">
        <v>2025</v>
      </c>
      <c r="N4040" s="15" t="s">
        <v>36</v>
      </c>
      <c r="O4040" s="15" t="s">
        <v>189</v>
      </c>
      <c r="P4040" s="20" t="s">
        <v>1677</v>
      </c>
      <c r="Q4040" s="15" t="s">
        <v>83</v>
      </c>
      <c r="R4040" s="4"/>
      <c r="S4040" s="4"/>
    </row>
    <row r="4041" spans="1:19" ht="21" customHeight="1" x14ac:dyDescent="0.25">
      <c r="A4041" s="14">
        <f>DATE(2012,12,31)-829</f>
        <v>40445</v>
      </c>
      <c r="B4041" s="15" t="s">
        <v>1656</v>
      </c>
      <c r="C4041" s="15" t="s">
        <v>85</v>
      </c>
      <c r="D4041" s="16">
        <v>45</v>
      </c>
      <c r="E4041" s="17">
        <v>98.64</v>
      </c>
      <c r="F4041" s="16">
        <v>0.03</v>
      </c>
      <c r="G4041" s="15" t="s">
        <v>32</v>
      </c>
      <c r="H4041" s="18">
        <v>-9.3610000000000007</v>
      </c>
      <c r="I4041" s="19">
        <v>2.08</v>
      </c>
      <c r="J4041" s="19">
        <v>1.49</v>
      </c>
      <c r="K4041" s="19" t="s">
        <v>44</v>
      </c>
      <c r="L4041" s="19" t="s">
        <v>89</v>
      </c>
      <c r="M4041" s="15" t="s">
        <v>1932</v>
      </c>
      <c r="N4041" s="15" t="s">
        <v>36</v>
      </c>
      <c r="O4041" s="15" t="s">
        <v>170</v>
      </c>
      <c r="P4041" s="20" t="s">
        <v>1907</v>
      </c>
      <c r="Q4041" s="15" t="s">
        <v>83</v>
      </c>
      <c r="R4041" s="4"/>
      <c r="S4041" s="4"/>
    </row>
    <row r="4042" spans="1:19" ht="21" customHeight="1" x14ac:dyDescent="0.25">
      <c r="A4042" s="14">
        <f>DATE(2012,12,31)-275</f>
        <v>40999</v>
      </c>
      <c r="B4042" s="15" t="s">
        <v>1129</v>
      </c>
      <c r="C4042" s="15" t="s">
        <v>43</v>
      </c>
      <c r="D4042" s="16">
        <v>1</v>
      </c>
      <c r="E4042" s="17">
        <v>184.18</v>
      </c>
      <c r="F4042" s="16">
        <v>0.08</v>
      </c>
      <c r="G4042" s="15" t="s">
        <v>32</v>
      </c>
      <c r="H4042" s="18">
        <v>-112.44</v>
      </c>
      <c r="I4042" s="19">
        <v>178.47</v>
      </c>
      <c r="J4042" s="19">
        <v>19.989999999999998</v>
      </c>
      <c r="K4042" s="19" t="s">
        <v>44</v>
      </c>
      <c r="L4042" s="19" t="s">
        <v>89</v>
      </c>
      <c r="M4042" s="15" t="s">
        <v>1932</v>
      </c>
      <c r="N4042" s="15" t="s">
        <v>36</v>
      </c>
      <c r="O4042" s="15" t="s">
        <v>37</v>
      </c>
      <c r="P4042" s="20" t="s">
        <v>232</v>
      </c>
      <c r="Q4042" s="15" t="s">
        <v>83</v>
      </c>
      <c r="R4042" s="4"/>
      <c r="S4042" s="4"/>
    </row>
    <row r="4043" spans="1:19" ht="21" customHeight="1" x14ac:dyDescent="0.25">
      <c r="A4043" s="14">
        <f>DATE(2012,12,31)-799</f>
        <v>40475</v>
      </c>
      <c r="B4043" s="15" t="s">
        <v>944</v>
      </c>
      <c r="C4043" s="15" t="s">
        <v>51</v>
      </c>
      <c r="D4043" s="16">
        <v>50</v>
      </c>
      <c r="E4043" s="17">
        <v>8221.2934999999998</v>
      </c>
      <c r="F4043" s="16">
        <v>0.06</v>
      </c>
      <c r="G4043" s="15" t="s">
        <v>32</v>
      </c>
      <c r="H4043" s="18">
        <v>2342.2139999999999</v>
      </c>
      <c r="I4043" s="19">
        <v>195.99</v>
      </c>
      <c r="J4043" s="19">
        <v>4.2</v>
      </c>
      <c r="K4043" s="19" t="s">
        <v>124</v>
      </c>
      <c r="L4043" s="19" t="s">
        <v>125</v>
      </c>
      <c r="M4043" s="15" t="s">
        <v>2048</v>
      </c>
      <c r="N4043" s="15" t="s">
        <v>64</v>
      </c>
      <c r="O4043" s="15" t="s">
        <v>65</v>
      </c>
      <c r="P4043" s="20" t="s">
        <v>1393</v>
      </c>
      <c r="Q4043" s="15" t="s">
        <v>83</v>
      </c>
      <c r="R4043" s="4"/>
      <c r="S4043" s="4"/>
    </row>
    <row r="4044" spans="1:19" ht="21" customHeight="1" x14ac:dyDescent="0.25">
      <c r="A4044" s="14">
        <f>DATE(2012,12,31)-799</f>
        <v>40475</v>
      </c>
      <c r="B4044" s="15" t="s">
        <v>944</v>
      </c>
      <c r="C4044" s="15" t="s">
        <v>51</v>
      </c>
      <c r="D4044" s="16">
        <v>7</v>
      </c>
      <c r="E4044" s="17">
        <v>1158.26</v>
      </c>
      <c r="F4044" s="16">
        <v>0.06</v>
      </c>
      <c r="G4044" s="15" t="s">
        <v>32</v>
      </c>
      <c r="H4044" s="18">
        <v>170.07650000000001</v>
      </c>
      <c r="I4044" s="19">
        <v>172.99</v>
      </c>
      <c r="J4044" s="19">
        <v>19.989999999999998</v>
      </c>
      <c r="K4044" s="19" t="s">
        <v>33</v>
      </c>
      <c r="L4044" s="19" t="s">
        <v>93</v>
      </c>
      <c r="M4044" s="15" t="s">
        <v>94</v>
      </c>
      <c r="N4044" s="15" t="s">
        <v>36</v>
      </c>
      <c r="O4044" s="15" t="s">
        <v>170</v>
      </c>
      <c r="P4044" s="20" t="s">
        <v>1271</v>
      </c>
      <c r="Q4044" s="15" t="s">
        <v>83</v>
      </c>
      <c r="R4044" s="4"/>
      <c r="S4044" s="4"/>
    </row>
    <row r="4045" spans="1:19" ht="21" customHeight="1" x14ac:dyDescent="0.25">
      <c r="A4045" s="14">
        <f>DATE(2012,12,31)-1343</f>
        <v>39931</v>
      </c>
      <c r="B4045" s="15" t="s">
        <v>807</v>
      </c>
      <c r="C4045" s="15" t="s">
        <v>31</v>
      </c>
      <c r="D4045" s="16">
        <v>30</v>
      </c>
      <c r="E4045" s="17">
        <v>102.95</v>
      </c>
      <c r="F4045" s="16">
        <v>0.06</v>
      </c>
      <c r="G4045" s="15" t="s">
        <v>101</v>
      </c>
      <c r="H4045" s="18">
        <v>-175.86</v>
      </c>
      <c r="I4045" s="19">
        <v>3.34</v>
      </c>
      <c r="J4045" s="19">
        <v>7.49</v>
      </c>
      <c r="K4045" s="19" t="s">
        <v>33</v>
      </c>
      <c r="L4045" s="19" t="s">
        <v>128</v>
      </c>
      <c r="M4045" s="15" t="s">
        <v>129</v>
      </c>
      <c r="N4045" s="15" t="s">
        <v>36</v>
      </c>
      <c r="O4045" s="15" t="s">
        <v>77</v>
      </c>
      <c r="P4045" s="20" t="s">
        <v>1836</v>
      </c>
      <c r="Q4045" s="15" t="s">
        <v>79</v>
      </c>
      <c r="R4045" s="4"/>
      <c r="S4045" s="4"/>
    </row>
    <row r="4046" spans="1:19" ht="21" customHeight="1" x14ac:dyDescent="0.25">
      <c r="A4046" s="14">
        <f>DATE(2012,12,31)-528</f>
        <v>40746</v>
      </c>
      <c r="B4046" s="15" t="s">
        <v>742</v>
      </c>
      <c r="C4046" s="15" t="s">
        <v>85</v>
      </c>
      <c r="D4046" s="16">
        <v>43</v>
      </c>
      <c r="E4046" s="17">
        <v>866.73</v>
      </c>
      <c r="F4046" s="16">
        <v>0.1</v>
      </c>
      <c r="G4046" s="15" t="s">
        <v>32</v>
      </c>
      <c r="H4046" s="18">
        <v>-199.98</v>
      </c>
      <c r="I4046" s="19">
        <v>20.97</v>
      </c>
      <c r="J4046" s="19">
        <v>6.5</v>
      </c>
      <c r="K4046" s="19" t="s">
        <v>33</v>
      </c>
      <c r="L4046" s="19" t="s">
        <v>93</v>
      </c>
      <c r="M4046" s="15" t="s">
        <v>94</v>
      </c>
      <c r="N4046" s="15" t="s">
        <v>64</v>
      </c>
      <c r="O4046" s="15" t="s">
        <v>72</v>
      </c>
      <c r="P4046" s="20" t="s">
        <v>393</v>
      </c>
      <c r="Q4046" s="15" t="s">
        <v>83</v>
      </c>
      <c r="R4046" s="4"/>
      <c r="S4046" s="4"/>
    </row>
    <row r="4047" spans="1:19" ht="21" customHeight="1" x14ac:dyDescent="0.25">
      <c r="A4047" s="14">
        <f>DATE(2012,12,31)-528</f>
        <v>40746</v>
      </c>
      <c r="B4047" s="15" t="s">
        <v>742</v>
      </c>
      <c r="C4047" s="15" t="s">
        <v>85</v>
      </c>
      <c r="D4047" s="16">
        <v>6</v>
      </c>
      <c r="E4047" s="17">
        <v>642.41999999999996</v>
      </c>
      <c r="F4047" s="16">
        <v>0.03</v>
      </c>
      <c r="G4047" s="15" t="s">
        <v>32</v>
      </c>
      <c r="H4047" s="18">
        <v>80.010000000000005</v>
      </c>
      <c r="I4047" s="19">
        <v>104.85</v>
      </c>
      <c r="J4047" s="19">
        <v>19.989999999999998</v>
      </c>
      <c r="K4047" s="19" t="s">
        <v>97</v>
      </c>
      <c r="L4047" s="19" t="s">
        <v>195</v>
      </c>
      <c r="M4047" s="15" t="s">
        <v>2138</v>
      </c>
      <c r="N4047" s="15" t="s">
        <v>36</v>
      </c>
      <c r="O4047" s="15" t="s">
        <v>117</v>
      </c>
      <c r="P4047" s="20" t="s">
        <v>2139</v>
      </c>
      <c r="Q4047" s="15" t="s">
        <v>83</v>
      </c>
      <c r="R4047" s="4"/>
      <c r="S4047" s="4"/>
    </row>
    <row r="4048" spans="1:19" ht="21" customHeight="1" x14ac:dyDescent="0.25">
      <c r="A4048" s="14">
        <f>DATE(2012,12,31)-528</f>
        <v>40746</v>
      </c>
      <c r="B4048" s="15" t="s">
        <v>742</v>
      </c>
      <c r="C4048" s="15" t="s">
        <v>85</v>
      </c>
      <c r="D4048" s="16">
        <v>26</v>
      </c>
      <c r="E4048" s="17">
        <v>2169.7525000000001</v>
      </c>
      <c r="F4048" s="16">
        <v>0.02</v>
      </c>
      <c r="G4048" s="15" t="s">
        <v>32</v>
      </c>
      <c r="H4048" s="18">
        <v>374.75099999999998</v>
      </c>
      <c r="I4048" s="19">
        <v>95.99</v>
      </c>
      <c r="J4048" s="19">
        <v>8.99</v>
      </c>
      <c r="K4048" s="19" t="s">
        <v>97</v>
      </c>
      <c r="L4048" s="19" t="s">
        <v>132</v>
      </c>
      <c r="M4048" s="15" t="s">
        <v>133</v>
      </c>
      <c r="N4048" s="15" t="s">
        <v>64</v>
      </c>
      <c r="O4048" s="15" t="s">
        <v>65</v>
      </c>
      <c r="P4048" s="20" t="s">
        <v>1521</v>
      </c>
      <c r="Q4048" s="15" t="s">
        <v>83</v>
      </c>
      <c r="R4048" s="4"/>
      <c r="S4048" s="4"/>
    </row>
    <row r="4049" spans="1:19" ht="21" customHeight="1" x14ac:dyDescent="0.25">
      <c r="A4049" s="14">
        <f>DATE(2012,12,31)-270</f>
        <v>41004</v>
      </c>
      <c r="B4049" s="15" t="s">
        <v>1055</v>
      </c>
      <c r="C4049" s="15" t="s">
        <v>51</v>
      </c>
      <c r="D4049" s="16">
        <v>30</v>
      </c>
      <c r="E4049" s="17">
        <v>204.49</v>
      </c>
      <c r="F4049" s="16">
        <v>0.05</v>
      </c>
      <c r="G4049" s="15" t="s">
        <v>32</v>
      </c>
      <c r="H4049" s="18">
        <v>-142.30000000000001</v>
      </c>
      <c r="I4049" s="19">
        <v>6.48</v>
      </c>
      <c r="J4049" s="19">
        <v>8.73</v>
      </c>
      <c r="K4049" s="19" t="s">
        <v>124</v>
      </c>
      <c r="L4049" s="19" t="s">
        <v>160</v>
      </c>
      <c r="M4049" s="15" t="s">
        <v>1951</v>
      </c>
      <c r="N4049" s="15" t="s">
        <v>36</v>
      </c>
      <c r="O4049" s="15" t="s">
        <v>117</v>
      </c>
      <c r="P4049" s="20" t="s">
        <v>880</v>
      </c>
      <c r="Q4049" s="15" t="s">
        <v>83</v>
      </c>
      <c r="R4049" s="4"/>
      <c r="S4049" s="4"/>
    </row>
    <row r="4050" spans="1:19" ht="21" customHeight="1" x14ac:dyDescent="0.25">
      <c r="A4050" s="14">
        <f>DATE(2012,12,31)-417</f>
        <v>40857</v>
      </c>
      <c r="B4050" s="15" t="s">
        <v>1961</v>
      </c>
      <c r="C4050" s="15" t="s">
        <v>51</v>
      </c>
      <c r="D4050" s="16">
        <v>27</v>
      </c>
      <c r="E4050" s="17">
        <v>1154.8900000000001</v>
      </c>
      <c r="F4050" s="16">
        <v>0.03</v>
      </c>
      <c r="G4050" s="15" t="s">
        <v>32</v>
      </c>
      <c r="H4050" s="18">
        <v>66.36</v>
      </c>
      <c r="I4050" s="19">
        <v>40.98</v>
      </c>
      <c r="J4050" s="19">
        <v>6.5</v>
      </c>
      <c r="K4050" s="19" t="s">
        <v>124</v>
      </c>
      <c r="L4050" s="19" t="s">
        <v>160</v>
      </c>
      <c r="M4050" s="15" t="s">
        <v>1951</v>
      </c>
      <c r="N4050" s="15" t="s">
        <v>64</v>
      </c>
      <c r="O4050" s="15" t="s">
        <v>72</v>
      </c>
      <c r="P4050" s="20" t="s">
        <v>1403</v>
      </c>
      <c r="Q4050" s="15" t="s">
        <v>83</v>
      </c>
      <c r="R4050" s="4"/>
      <c r="S4050" s="4"/>
    </row>
    <row r="4051" spans="1:19" ht="21" customHeight="1" x14ac:dyDescent="0.25">
      <c r="A4051" s="14">
        <f>DATE(2012,12,31)-417</f>
        <v>40857</v>
      </c>
      <c r="B4051" s="15" t="s">
        <v>1961</v>
      </c>
      <c r="C4051" s="15" t="s">
        <v>51</v>
      </c>
      <c r="D4051" s="16">
        <v>35</v>
      </c>
      <c r="E4051" s="17">
        <v>3310.9454999999998</v>
      </c>
      <c r="F4051" s="16">
        <v>0.05</v>
      </c>
      <c r="G4051" s="15" t="s">
        <v>32</v>
      </c>
      <c r="H4051" s="18">
        <v>822.40199999999993</v>
      </c>
      <c r="I4051" s="19">
        <v>115.99</v>
      </c>
      <c r="J4051" s="19">
        <v>2.5</v>
      </c>
      <c r="K4051" s="19" t="s">
        <v>124</v>
      </c>
      <c r="L4051" s="19" t="s">
        <v>160</v>
      </c>
      <c r="M4051" s="15" t="s">
        <v>1951</v>
      </c>
      <c r="N4051" s="15" t="s">
        <v>64</v>
      </c>
      <c r="O4051" s="15" t="s">
        <v>65</v>
      </c>
      <c r="P4051" s="20" t="s">
        <v>870</v>
      </c>
      <c r="Q4051" s="15" t="s">
        <v>83</v>
      </c>
      <c r="R4051" s="4"/>
      <c r="S4051" s="4"/>
    </row>
    <row r="4052" spans="1:19" ht="21" customHeight="1" x14ac:dyDescent="0.25">
      <c r="A4052" s="14">
        <f>DATE(2012,12,31)-260</f>
        <v>41014</v>
      </c>
      <c r="B4052" s="15" t="s">
        <v>357</v>
      </c>
      <c r="C4052" s="15" t="s">
        <v>51</v>
      </c>
      <c r="D4052" s="16">
        <v>10</v>
      </c>
      <c r="E4052" s="17">
        <v>55.02</v>
      </c>
      <c r="F4052" s="16">
        <v>0.08</v>
      </c>
      <c r="G4052" s="15" t="s">
        <v>32</v>
      </c>
      <c r="H4052" s="18">
        <v>-56.12</v>
      </c>
      <c r="I4052" s="19">
        <v>5.0199999999999996</v>
      </c>
      <c r="J4052" s="19">
        <v>5.14</v>
      </c>
      <c r="K4052" s="19" t="s">
        <v>124</v>
      </c>
      <c r="L4052" s="19" t="s">
        <v>164</v>
      </c>
      <c r="M4052" s="15" t="s">
        <v>2126</v>
      </c>
      <c r="N4052" s="15" t="s">
        <v>64</v>
      </c>
      <c r="O4052" s="15" t="s">
        <v>72</v>
      </c>
      <c r="P4052" s="20" t="s">
        <v>563</v>
      </c>
      <c r="Q4052" s="15" t="s">
        <v>49</v>
      </c>
      <c r="R4052" s="4"/>
      <c r="S4052" s="4"/>
    </row>
    <row r="4053" spans="1:19" ht="21" customHeight="1" x14ac:dyDescent="0.25">
      <c r="A4053" s="14">
        <f>DATE(2012,12,31)-1225</f>
        <v>40049</v>
      </c>
      <c r="B4053" s="15" t="s">
        <v>506</v>
      </c>
      <c r="C4053" s="15" t="s">
        <v>85</v>
      </c>
      <c r="D4053" s="16">
        <v>35</v>
      </c>
      <c r="E4053" s="17">
        <v>146.15</v>
      </c>
      <c r="F4053" s="16">
        <v>0.02</v>
      </c>
      <c r="G4053" s="15" t="s">
        <v>32</v>
      </c>
      <c r="H4053" s="18">
        <v>-180.26</v>
      </c>
      <c r="I4053" s="19">
        <v>4.0599999999999996</v>
      </c>
      <c r="J4053" s="19">
        <v>6.89</v>
      </c>
      <c r="K4053" s="19" t="s">
        <v>124</v>
      </c>
      <c r="L4053" s="19" t="s">
        <v>164</v>
      </c>
      <c r="M4053" s="15" t="s">
        <v>2126</v>
      </c>
      <c r="N4053" s="15" t="s">
        <v>36</v>
      </c>
      <c r="O4053" s="15" t="s">
        <v>176</v>
      </c>
      <c r="P4053" s="20" t="s">
        <v>1222</v>
      </c>
      <c r="Q4053" s="15" t="s">
        <v>83</v>
      </c>
      <c r="R4053" s="4"/>
      <c r="S4053" s="4"/>
    </row>
    <row r="4054" spans="1:19" ht="21" customHeight="1" x14ac:dyDescent="0.25">
      <c r="A4054" s="14">
        <f>DATE(2012,12,31)-1225</f>
        <v>40049</v>
      </c>
      <c r="B4054" s="15" t="s">
        <v>506</v>
      </c>
      <c r="C4054" s="15" t="s">
        <v>85</v>
      </c>
      <c r="D4054" s="16">
        <v>14</v>
      </c>
      <c r="E4054" s="17">
        <v>877.47</v>
      </c>
      <c r="F4054" s="16">
        <v>7.0000000000000007E-2</v>
      </c>
      <c r="G4054" s="15" t="s">
        <v>32</v>
      </c>
      <c r="H4054" s="18">
        <v>151.24</v>
      </c>
      <c r="I4054" s="19">
        <v>60.98</v>
      </c>
      <c r="J4054" s="19">
        <v>19.989999999999998</v>
      </c>
      <c r="K4054" s="19" t="s">
        <v>44</v>
      </c>
      <c r="L4054" s="19" t="s">
        <v>52</v>
      </c>
      <c r="M4054" s="15" t="s">
        <v>2068</v>
      </c>
      <c r="N4054" s="15" t="s">
        <v>36</v>
      </c>
      <c r="O4054" s="15" t="s">
        <v>189</v>
      </c>
      <c r="P4054" s="20" t="s">
        <v>1251</v>
      </c>
      <c r="Q4054" s="15" t="s">
        <v>83</v>
      </c>
      <c r="R4054" s="4"/>
      <c r="S4054" s="4"/>
    </row>
    <row r="4055" spans="1:19" ht="21" customHeight="1" x14ac:dyDescent="0.25">
      <c r="A4055" s="14">
        <f>DATE(2012,12,31)-583</f>
        <v>40691</v>
      </c>
      <c r="B4055" s="15" t="s">
        <v>1605</v>
      </c>
      <c r="C4055" s="15" t="s">
        <v>31</v>
      </c>
      <c r="D4055" s="16">
        <v>44</v>
      </c>
      <c r="E4055" s="17">
        <v>246</v>
      </c>
      <c r="F4055" s="16">
        <v>0.1</v>
      </c>
      <c r="G4055" s="15" t="s">
        <v>32</v>
      </c>
      <c r="H4055" s="18">
        <v>-207.36</v>
      </c>
      <c r="I4055" s="19">
        <v>5.78</v>
      </c>
      <c r="J4055" s="19">
        <v>7.96</v>
      </c>
      <c r="K4055" s="19" t="s">
        <v>44</v>
      </c>
      <c r="L4055" s="19" t="s">
        <v>236</v>
      </c>
      <c r="M4055" s="15" t="s">
        <v>2129</v>
      </c>
      <c r="N4055" s="15" t="s">
        <v>36</v>
      </c>
      <c r="O4055" s="15" t="s">
        <v>117</v>
      </c>
      <c r="P4055" s="20" t="s">
        <v>1017</v>
      </c>
      <c r="Q4055" s="15" t="s">
        <v>83</v>
      </c>
      <c r="R4055" s="4"/>
      <c r="S4055" s="4"/>
    </row>
    <row r="4056" spans="1:19" ht="21" customHeight="1" x14ac:dyDescent="0.25">
      <c r="A4056" s="14">
        <f>DATE(2012,12,31)-200</f>
        <v>41074</v>
      </c>
      <c r="B4056" s="15" t="s">
        <v>435</v>
      </c>
      <c r="C4056" s="15" t="s">
        <v>31</v>
      </c>
      <c r="D4056" s="16">
        <v>27</v>
      </c>
      <c r="E4056" s="17">
        <v>4488.2635</v>
      </c>
      <c r="F4056" s="16">
        <v>0.06</v>
      </c>
      <c r="G4056" s="15" t="s">
        <v>32</v>
      </c>
      <c r="H4056" s="18">
        <v>750.54600000000005</v>
      </c>
      <c r="I4056" s="19">
        <v>205.99</v>
      </c>
      <c r="J4056" s="19">
        <v>5</v>
      </c>
      <c r="K4056" s="19" t="s">
        <v>44</v>
      </c>
      <c r="L4056" s="19" t="s">
        <v>52</v>
      </c>
      <c r="M4056" s="15" t="s">
        <v>2068</v>
      </c>
      <c r="N4056" s="15" t="s">
        <v>64</v>
      </c>
      <c r="O4056" s="15" t="s">
        <v>65</v>
      </c>
      <c r="P4056" s="20" t="s">
        <v>1869</v>
      </c>
      <c r="Q4056" s="15" t="s">
        <v>83</v>
      </c>
      <c r="R4056" s="4"/>
      <c r="S4056" s="4"/>
    </row>
    <row r="4057" spans="1:19" ht="21" customHeight="1" x14ac:dyDescent="0.25">
      <c r="A4057" s="14">
        <f>DATE(2012,12,31)-203</f>
        <v>41071</v>
      </c>
      <c r="B4057" s="15" t="s">
        <v>520</v>
      </c>
      <c r="C4057" s="15" t="s">
        <v>51</v>
      </c>
      <c r="D4057" s="16">
        <v>23</v>
      </c>
      <c r="E4057" s="17">
        <v>871.32</v>
      </c>
      <c r="F4057" s="16">
        <v>0.1</v>
      </c>
      <c r="G4057" s="15" t="s">
        <v>32</v>
      </c>
      <c r="H4057" s="18">
        <v>315.16000000000003</v>
      </c>
      <c r="I4057" s="19">
        <v>40.99</v>
      </c>
      <c r="J4057" s="19">
        <v>5.86</v>
      </c>
      <c r="K4057" s="19" t="s">
        <v>44</v>
      </c>
      <c r="L4057" s="19" t="s">
        <v>236</v>
      </c>
      <c r="M4057" s="15" t="s">
        <v>2129</v>
      </c>
      <c r="N4057" s="15" t="s">
        <v>36</v>
      </c>
      <c r="O4057" s="15" t="s">
        <v>117</v>
      </c>
      <c r="P4057" s="20" t="s">
        <v>1960</v>
      </c>
      <c r="Q4057" s="15" t="s">
        <v>83</v>
      </c>
      <c r="R4057" s="4"/>
      <c r="S4057" s="4"/>
    </row>
    <row r="4058" spans="1:19" ht="21" customHeight="1" x14ac:dyDescent="0.25">
      <c r="A4058" s="14">
        <f>DATE(2012,12,31)-976</f>
        <v>40298</v>
      </c>
      <c r="B4058" s="15" t="s">
        <v>1894</v>
      </c>
      <c r="C4058" s="15" t="s">
        <v>31</v>
      </c>
      <c r="D4058" s="16">
        <v>3</v>
      </c>
      <c r="E4058" s="17">
        <v>185.16</v>
      </c>
      <c r="F4058" s="16">
        <v>0.02</v>
      </c>
      <c r="G4058" s="15" t="s">
        <v>32</v>
      </c>
      <c r="H4058" s="18">
        <v>-49.34</v>
      </c>
      <c r="I4058" s="19">
        <v>59.98</v>
      </c>
      <c r="J4058" s="19">
        <v>3.99</v>
      </c>
      <c r="K4058" s="19" t="s">
        <v>69</v>
      </c>
      <c r="L4058" s="19" t="s">
        <v>70</v>
      </c>
      <c r="M4058" s="15" t="s">
        <v>1895</v>
      </c>
      <c r="N4058" s="15" t="s">
        <v>36</v>
      </c>
      <c r="O4058" s="15" t="s">
        <v>176</v>
      </c>
      <c r="P4058" s="20" t="s">
        <v>351</v>
      </c>
      <c r="Q4058" s="15" t="s">
        <v>83</v>
      </c>
      <c r="R4058" s="4"/>
      <c r="S4058" s="4"/>
    </row>
    <row r="4059" spans="1:19" ht="21" customHeight="1" x14ac:dyDescent="0.25">
      <c r="A4059" s="14">
        <f>DATE(2012,12,31)-976</f>
        <v>40298</v>
      </c>
      <c r="B4059" s="15" t="s">
        <v>1894</v>
      </c>
      <c r="C4059" s="15" t="s">
        <v>31</v>
      </c>
      <c r="D4059" s="16">
        <v>22</v>
      </c>
      <c r="E4059" s="17">
        <v>5144.9399999999996</v>
      </c>
      <c r="F4059" s="16">
        <v>0.09</v>
      </c>
      <c r="G4059" s="15" t="s">
        <v>32</v>
      </c>
      <c r="H4059" s="18">
        <v>729.06</v>
      </c>
      <c r="I4059" s="19">
        <v>256.99</v>
      </c>
      <c r="J4059" s="19">
        <v>11.25</v>
      </c>
      <c r="K4059" s="19" t="s">
        <v>44</v>
      </c>
      <c r="L4059" s="19" t="s">
        <v>236</v>
      </c>
      <c r="M4059" s="15" t="s">
        <v>2129</v>
      </c>
      <c r="N4059" s="15" t="s">
        <v>64</v>
      </c>
      <c r="O4059" s="15" t="s">
        <v>72</v>
      </c>
      <c r="P4059" s="20" t="s">
        <v>2020</v>
      </c>
      <c r="Q4059" s="15" t="s">
        <v>83</v>
      </c>
      <c r="R4059" s="4"/>
      <c r="S4059" s="4"/>
    </row>
    <row r="4060" spans="1:19" ht="21" customHeight="1" x14ac:dyDescent="0.25">
      <c r="A4060" s="14">
        <f>DATE(2012,12,31)-976</f>
        <v>40298</v>
      </c>
      <c r="B4060" s="15" t="s">
        <v>1894</v>
      </c>
      <c r="C4060" s="15" t="s">
        <v>31</v>
      </c>
      <c r="D4060" s="16">
        <v>46</v>
      </c>
      <c r="E4060" s="17">
        <v>1397.383</v>
      </c>
      <c r="F4060" s="16">
        <v>0.01</v>
      </c>
      <c r="G4060" s="15" t="s">
        <v>32</v>
      </c>
      <c r="H4060" s="18">
        <v>-135.86100000000002</v>
      </c>
      <c r="I4060" s="19">
        <v>35.99</v>
      </c>
      <c r="J4060" s="19">
        <v>5</v>
      </c>
      <c r="K4060" s="19" t="s">
        <v>33</v>
      </c>
      <c r="L4060" s="19" t="s">
        <v>145</v>
      </c>
      <c r="M4060" s="15" t="s">
        <v>2055</v>
      </c>
      <c r="N4060" s="15" t="s">
        <v>64</v>
      </c>
      <c r="O4060" s="15" t="s">
        <v>65</v>
      </c>
      <c r="P4060" s="20" t="s">
        <v>1631</v>
      </c>
      <c r="Q4060" s="15" t="s">
        <v>79</v>
      </c>
      <c r="R4060" s="4"/>
      <c r="S4060" s="4"/>
    </row>
    <row r="4061" spans="1:19" ht="21" customHeight="1" x14ac:dyDescent="0.25">
      <c r="A4061" s="14">
        <f>DATE(2012,12,31)-83</f>
        <v>41191</v>
      </c>
      <c r="B4061" s="15" t="s">
        <v>1532</v>
      </c>
      <c r="C4061" s="15" t="s">
        <v>85</v>
      </c>
      <c r="D4061" s="16">
        <v>37</v>
      </c>
      <c r="E4061" s="17">
        <v>230.97</v>
      </c>
      <c r="F4061" s="16">
        <v>0.08</v>
      </c>
      <c r="G4061" s="15" t="s">
        <v>32</v>
      </c>
      <c r="H4061" s="18">
        <v>-173.73</v>
      </c>
      <c r="I4061" s="19">
        <v>6.48</v>
      </c>
      <c r="J4061" s="19">
        <v>8.19</v>
      </c>
      <c r="K4061" s="19" t="s">
        <v>33</v>
      </c>
      <c r="L4061" s="19" t="s">
        <v>34</v>
      </c>
      <c r="M4061" s="15" t="s">
        <v>2043</v>
      </c>
      <c r="N4061" s="15" t="s">
        <v>36</v>
      </c>
      <c r="O4061" s="15" t="s">
        <v>117</v>
      </c>
      <c r="P4061" s="20" t="s">
        <v>118</v>
      </c>
      <c r="Q4061" s="15" t="s">
        <v>83</v>
      </c>
      <c r="R4061" s="4"/>
      <c r="S4061" s="4"/>
    </row>
    <row r="4062" spans="1:19" ht="21" customHeight="1" x14ac:dyDescent="0.25">
      <c r="A4062" s="14">
        <f>DATE(2012,12,31)-83</f>
        <v>41191</v>
      </c>
      <c r="B4062" s="15" t="s">
        <v>1532</v>
      </c>
      <c r="C4062" s="15" t="s">
        <v>85</v>
      </c>
      <c r="D4062" s="16">
        <v>46</v>
      </c>
      <c r="E4062" s="17">
        <v>723.17</v>
      </c>
      <c r="F4062" s="16">
        <v>0.09</v>
      </c>
      <c r="G4062" s="15" t="s">
        <v>32</v>
      </c>
      <c r="H4062" s="18">
        <v>-154.11000000000001</v>
      </c>
      <c r="I4062" s="19">
        <v>16.98</v>
      </c>
      <c r="J4062" s="19">
        <v>12.39</v>
      </c>
      <c r="K4062" s="19" t="s">
        <v>33</v>
      </c>
      <c r="L4062" s="19" t="s">
        <v>59</v>
      </c>
      <c r="M4062" s="15" t="s">
        <v>2091</v>
      </c>
      <c r="N4062" s="15" t="s">
        <v>36</v>
      </c>
      <c r="O4062" s="15" t="s">
        <v>189</v>
      </c>
      <c r="P4062" s="20" t="s">
        <v>1242</v>
      </c>
      <c r="Q4062" s="15" t="s">
        <v>83</v>
      </c>
      <c r="R4062" s="4"/>
      <c r="S4062" s="4"/>
    </row>
    <row r="4063" spans="1:19" ht="21" customHeight="1" x14ac:dyDescent="0.25">
      <c r="A4063" s="14">
        <f>DATE(2012,12,31)-894</f>
        <v>40380</v>
      </c>
      <c r="B4063" s="15" t="s">
        <v>1962</v>
      </c>
      <c r="C4063" s="15" t="s">
        <v>31</v>
      </c>
      <c r="D4063" s="16">
        <v>24</v>
      </c>
      <c r="E4063" s="17">
        <v>269.57</v>
      </c>
      <c r="F4063" s="16">
        <v>0</v>
      </c>
      <c r="G4063" s="15" t="s">
        <v>101</v>
      </c>
      <c r="H4063" s="18">
        <v>33.47</v>
      </c>
      <c r="I4063" s="19">
        <v>10.4</v>
      </c>
      <c r="J4063" s="19">
        <v>5.4</v>
      </c>
      <c r="K4063" s="19" t="s">
        <v>33</v>
      </c>
      <c r="L4063" s="19" t="s">
        <v>34</v>
      </c>
      <c r="M4063" s="15" t="s">
        <v>2043</v>
      </c>
      <c r="N4063" s="15" t="s">
        <v>54</v>
      </c>
      <c r="O4063" s="15" t="s">
        <v>55</v>
      </c>
      <c r="P4063" s="20" t="s">
        <v>1435</v>
      </c>
      <c r="Q4063" s="15" t="s">
        <v>49</v>
      </c>
      <c r="R4063" s="4"/>
      <c r="S4063" s="4"/>
    </row>
    <row r="4064" spans="1:19" ht="21" customHeight="1" x14ac:dyDescent="0.25">
      <c r="A4064" s="14">
        <f>DATE(2012,12,31)-894</f>
        <v>40380</v>
      </c>
      <c r="B4064" s="15" t="s">
        <v>1962</v>
      </c>
      <c r="C4064" s="15" t="s">
        <v>31</v>
      </c>
      <c r="D4064" s="16">
        <v>18</v>
      </c>
      <c r="E4064" s="17">
        <v>98.94</v>
      </c>
      <c r="F4064" s="16">
        <v>0.1</v>
      </c>
      <c r="G4064" s="15" t="s">
        <v>32</v>
      </c>
      <c r="H4064" s="18">
        <v>-12.59</v>
      </c>
      <c r="I4064" s="19">
        <v>5.85</v>
      </c>
      <c r="J4064" s="19">
        <v>2.27</v>
      </c>
      <c r="K4064" s="19" t="s">
        <v>33</v>
      </c>
      <c r="L4064" s="19" t="s">
        <v>59</v>
      </c>
      <c r="M4064" s="15" t="s">
        <v>2091</v>
      </c>
      <c r="N4064" s="15" t="s">
        <v>36</v>
      </c>
      <c r="O4064" s="15" t="s">
        <v>77</v>
      </c>
      <c r="P4064" s="20" t="s">
        <v>793</v>
      </c>
      <c r="Q4064" s="15" t="s">
        <v>79</v>
      </c>
      <c r="R4064" s="4"/>
      <c r="S4064" s="4"/>
    </row>
    <row r="4065" spans="1:19" ht="21" customHeight="1" x14ac:dyDescent="0.25">
      <c r="A4065" s="14">
        <f>DATE(2012,12,31)-1271</f>
        <v>40003</v>
      </c>
      <c r="B4065" s="15" t="s">
        <v>1096</v>
      </c>
      <c r="C4065" s="15" t="s">
        <v>85</v>
      </c>
      <c r="D4065" s="16">
        <v>1</v>
      </c>
      <c r="E4065" s="17">
        <v>11.16</v>
      </c>
      <c r="F4065" s="16">
        <v>0.01</v>
      </c>
      <c r="G4065" s="15" t="s">
        <v>32</v>
      </c>
      <c r="H4065" s="18">
        <v>-7.25</v>
      </c>
      <c r="I4065" s="19">
        <v>5.58</v>
      </c>
      <c r="J4065" s="19">
        <v>5.3</v>
      </c>
      <c r="K4065" s="19" t="s">
        <v>33</v>
      </c>
      <c r="L4065" s="19" t="s">
        <v>145</v>
      </c>
      <c r="M4065" s="15" t="s">
        <v>2140</v>
      </c>
      <c r="N4065" s="15" t="s">
        <v>36</v>
      </c>
      <c r="O4065" s="15" t="s">
        <v>189</v>
      </c>
      <c r="P4065" s="20" t="s">
        <v>849</v>
      </c>
      <c r="Q4065" s="15" t="s">
        <v>83</v>
      </c>
      <c r="R4065" s="4"/>
      <c r="S4065" s="4"/>
    </row>
    <row r="4066" spans="1:19" ht="21" customHeight="1" x14ac:dyDescent="0.25">
      <c r="A4066" s="14">
        <f>DATE(2012,12,31)-1271</f>
        <v>40003</v>
      </c>
      <c r="B4066" s="15" t="s">
        <v>1096</v>
      </c>
      <c r="C4066" s="15" t="s">
        <v>85</v>
      </c>
      <c r="D4066" s="16">
        <v>38</v>
      </c>
      <c r="E4066" s="17">
        <v>156.19999999999999</v>
      </c>
      <c r="F4066" s="16">
        <v>0.03</v>
      </c>
      <c r="G4066" s="15" t="s">
        <v>32</v>
      </c>
      <c r="H4066" s="18">
        <v>43</v>
      </c>
      <c r="I4066" s="19">
        <v>3.98</v>
      </c>
      <c r="J4066" s="19">
        <v>0.7</v>
      </c>
      <c r="K4066" s="19" t="s">
        <v>33</v>
      </c>
      <c r="L4066" s="19" t="s">
        <v>145</v>
      </c>
      <c r="M4066" s="15" t="s">
        <v>2140</v>
      </c>
      <c r="N4066" s="15" t="s">
        <v>36</v>
      </c>
      <c r="O4066" s="15" t="s">
        <v>77</v>
      </c>
      <c r="P4066" s="20" t="s">
        <v>981</v>
      </c>
      <c r="Q4066" s="15" t="s">
        <v>79</v>
      </c>
      <c r="R4066" s="4"/>
      <c r="S4066" s="4"/>
    </row>
    <row r="4067" spans="1:19" ht="21" customHeight="1" x14ac:dyDescent="0.25">
      <c r="A4067" s="14">
        <f>DATE(2012,12,31)-33</f>
        <v>41241</v>
      </c>
      <c r="B4067" s="15" t="s">
        <v>887</v>
      </c>
      <c r="C4067" s="15" t="s">
        <v>85</v>
      </c>
      <c r="D4067" s="16">
        <v>12</v>
      </c>
      <c r="E4067" s="17">
        <v>1272.3499999999999</v>
      </c>
      <c r="F4067" s="16">
        <v>0</v>
      </c>
      <c r="G4067" s="15" t="s">
        <v>32</v>
      </c>
      <c r="H4067" s="18">
        <v>297.57</v>
      </c>
      <c r="I4067" s="19">
        <v>100.98</v>
      </c>
      <c r="J4067" s="19">
        <v>7.18</v>
      </c>
      <c r="K4067" s="19" t="s">
        <v>33</v>
      </c>
      <c r="L4067" s="19" t="s">
        <v>59</v>
      </c>
      <c r="M4067" s="15" t="s">
        <v>2091</v>
      </c>
      <c r="N4067" s="15" t="s">
        <v>64</v>
      </c>
      <c r="O4067" s="15" t="s">
        <v>72</v>
      </c>
      <c r="P4067" s="20" t="s">
        <v>1686</v>
      </c>
      <c r="Q4067" s="15" t="s">
        <v>83</v>
      </c>
      <c r="R4067" s="4"/>
      <c r="S4067" s="4"/>
    </row>
    <row r="4068" spans="1:19" ht="21" customHeight="1" x14ac:dyDescent="0.25">
      <c r="A4068" s="14">
        <f>DATE(2012,12,31)-33</f>
        <v>41241</v>
      </c>
      <c r="B4068" s="15" t="s">
        <v>887</v>
      </c>
      <c r="C4068" s="15" t="s">
        <v>85</v>
      </c>
      <c r="D4068" s="16">
        <v>26</v>
      </c>
      <c r="E4068" s="17">
        <v>4000.35</v>
      </c>
      <c r="F4068" s="16">
        <v>7.0000000000000007E-2</v>
      </c>
      <c r="G4068" s="15" t="s">
        <v>58</v>
      </c>
      <c r="H4068" s="18">
        <v>303.39</v>
      </c>
      <c r="I4068" s="19">
        <v>160.97999999999999</v>
      </c>
      <c r="J4068" s="19">
        <v>30</v>
      </c>
      <c r="K4068" s="19" t="s">
        <v>33</v>
      </c>
      <c r="L4068" s="19" t="s">
        <v>145</v>
      </c>
      <c r="M4068" s="15" t="s">
        <v>2140</v>
      </c>
      <c r="N4068" s="15" t="s">
        <v>54</v>
      </c>
      <c r="O4068" s="15" t="s">
        <v>252</v>
      </c>
      <c r="P4068" s="20" t="s">
        <v>726</v>
      </c>
      <c r="Q4068" s="15" t="s">
        <v>181</v>
      </c>
      <c r="R4068" s="4"/>
      <c r="S4068" s="4"/>
    </row>
    <row r="4069" spans="1:19" ht="21" customHeight="1" x14ac:dyDescent="0.25">
      <c r="A4069" s="14">
        <f>DATE(2012,12,31)-33</f>
        <v>41241</v>
      </c>
      <c r="B4069" s="15" t="s">
        <v>887</v>
      </c>
      <c r="C4069" s="15" t="s">
        <v>85</v>
      </c>
      <c r="D4069" s="16">
        <v>26</v>
      </c>
      <c r="E4069" s="17">
        <v>3356.92</v>
      </c>
      <c r="F4069" s="16">
        <v>0</v>
      </c>
      <c r="G4069" s="15" t="s">
        <v>101</v>
      </c>
      <c r="H4069" s="18">
        <v>1555.9</v>
      </c>
      <c r="I4069" s="19">
        <v>120.97</v>
      </c>
      <c r="J4069" s="19">
        <v>7.11</v>
      </c>
      <c r="K4069" s="19" t="s">
        <v>33</v>
      </c>
      <c r="L4069" s="19" t="s">
        <v>59</v>
      </c>
      <c r="M4069" s="15" t="s">
        <v>2091</v>
      </c>
      <c r="N4069" s="15" t="s">
        <v>64</v>
      </c>
      <c r="O4069" s="15" t="s">
        <v>122</v>
      </c>
      <c r="P4069" s="20" t="s">
        <v>955</v>
      </c>
      <c r="Q4069" s="15" t="s">
        <v>57</v>
      </c>
      <c r="R4069" s="4"/>
      <c r="S4069" s="4"/>
    </row>
    <row r="4070" spans="1:19" ht="21" customHeight="1" x14ac:dyDescent="0.25">
      <c r="A4070" s="14">
        <f>DATE(2012,12,31)-393</f>
        <v>40881</v>
      </c>
      <c r="B4070" s="15" t="s">
        <v>1645</v>
      </c>
      <c r="C4070" s="15" t="s">
        <v>43</v>
      </c>
      <c r="D4070" s="16">
        <v>37</v>
      </c>
      <c r="E4070" s="17">
        <v>6072.1875</v>
      </c>
      <c r="F4070" s="16">
        <v>0.09</v>
      </c>
      <c r="G4070" s="15" t="s">
        <v>32</v>
      </c>
      <c r="H4070" s="18">
        <v>1372.086</v>
      </c>
      <c r="I4070" s="19">
        <v>205.99</v>
      </c>
      <c r="J4070" s="19">
        <v>2.5</v>
      </c>
      <c r="K4070" s="19" t="s">
        <v>33</v>
      </c>
      <c r="L4070" s="19" t="s">
        <v>59</v>
      </c>
      <c r="M4070" s="15" t="s">
        <v>2091</v>
      </c>
      <c r="N4070" s="15" t="s">
        <v>64</v>
      </c>
      <c r="O4070" s="15" t="s">
        <v>65</v>
      </c>
      <c r="P4070" s="20" t="s">
        <v>1529</v>
      </c>
      <c r="Q4070" s="15" t="s">
        <v>83</v>
      </c>
      <c r="R4070" s="4"/>
      <c r="S4070" s="4"/>
    </row>
    <row r="4071" spans="1:19" ht="21" customHeight="1" x14ac:dyDescent="0.25">
      <c r="A4071" s="14">
        <f>DATE(2012,12,31)-469</f>
        <v>40805</v>
      </c>
      <c r="B4071" s="15" t="s">
        <v>110</v>
      </c>
      <c r="C4071" s="15" t="s">
        <v>85</v>
      </c>
      <c r="D4071" s="16">
        <v>41</v>
      </c>
      <c r="E4071" s="17">
        <v>6863.95</v>
      </c>
      <c r="F4071" s="16">
        <v>0.1</v>
      </c>
      <c r="G4071" s="15" t="s">
        <v>101</v>
      </c>
      <c r="H4071" s="18">
        <v>1662.92</v>
      </c>
      <c r="I4071" s="19">
        <v>178.47</v>
      </c>
      <c r="J4071" s="19">
        <v>19.989999999999998</v>
      </c>
      <c r="K4071" s="19" t="s">
        <v>33</v>
      </c>
      <c r="L4071" s="19" t="s">
        <v>145</v>
      </c>
      <c r="M4071" s="15" t="s">
        <v>2140</v>
      </c>
      <c r="N4071" s="15" t="s">
        <v>36</v>
      </c>
      <c r="O4071" s="15" t="s">
        <v>37</v>
      </c>
      <c r="P4071" s="20" t="s">
        <v>232</v>
      </c>
      <c r="Q4071" s="15" t="s">
        <v>83</v>
      </c>
      <c r="R4071" s="4"/>
      <c r="S4071" s="4"/>
    </row>
    <row r="4072" spans="1:19" ht="21" customHeight="1" x14ac:dyDescent="0.25">
      <c r="A4072" s="14">
        <f>DATE(2012,12,31)-964</f>
        <v>40310</v>
      </c>
      <c r="B4072" s="15" t="s">
        <v>1579</v>
      </c>
      <c r="C4072" s="15" t="s">
        <v>51</v>
      </c>
      <c r="D4072" s="16">
        <v>9</v>
      </c>
      <c r="E4072" s="17">
        <v>298.52</v>
      </c>
      <c r="F4072" s="16">
        <v>0</v>
      </c>
      <c r="G4072" s="15" t="s">
        <v>32</v>
      </c>
      <c r="H4072" s="18">
        <v>73.19</v>
      </c>
      <c r="I4072" s="19">
        <v>30.98</v>
      </c>
      <c r="J4072" s="19">
        <v>5.76</v>
      </c>
      <c r="K4072" s="19" t="s">
        <v>33</v>
      </c>
      <c r="L4072" s="19" t="s">
        <v>59</v>
      </c>
      <c r="M4072" s="15" t="s">
        <v>2091</v>
      </c>
      <c r="N4072" s="15" t="s">
        <v>36</v>
      </c>
      <c r="O4072" s="15" t="s">
        <v>117</v>
      </c>
      <c r="P4072" s="20" t="s">
        <v>713</v>
      </c>
      <c r="Q4072" s="15" t="s">
        <v>83</v>
      </c>
      <c r="R4072" s="4"/>
      <c r="S4072" s="4"/>
    </row>
    <row r="4073" spans="1:19" ht="21" customHeight="1" x14ac:dyDescent="0.25">
      <c r="A4073" s="14">
        <f>DATE(2012,12,31)-964</f>
        <v>40310</v>
      </c>
      <c r="B4073" s="15" t="s">
        <v>1579</v>
      </c>
      <c r="C4073" s="15" t="s">
        <v>51</v>
      </c>
      <c r="D4073" s="16">
        <v>34</v>
      </c>
      <c r="E4073" s="17">
        <v>667.35</v>
      </c>
      <c r="F4073" s="16">
        <v>0.04</v>
      </c>
      <c r="G4073" s="15" t="s">
        <v>32</v>
      </c>
      <c r="H4073" s="18">
        <v>80.92</v>
      </c>
      <c r="I4073" s="19">
        <v>19.98</v>
      </c>
      <c r="J4073" s="19">
        <v>8.68</v>
      </c>
      <c r="K4073" s="19" t="s">
        <v>69</v>
      </c>
      <c r="L4073" s="19" t="s">
        <v>70</v>
      </c>
      <c r="M4073" s="15" t="s">
        <v>1895</v>
      </c>
      <c r="N4073" s="15" t="s">
        <v>36</v>
      </c>
      <c r="O4073" s="15" t="s">
        <v>117</v>
      </c>
      <c r="P4073" s="20" t="s">
        <v>1274</v>
      </c>
      <c r="Q4073" s="15" t="s">
        <v>83</v>
      </c>
      <c r="R4073" s="4"/>
      <c r="S4073" s="4"/>
    </row>
    <row r="4074" spans="1:19" ht="21" customHeight="1" x14ac:dyDescent="0.25">
      <c r="A4074" s="14">
        <f>DATE(2012,12,31)-1451</f>
        <v>39823</v>
      </c>
      <c r="B4074" s="15" t="s">
        <v>1007</v>
      </c>
      <c r="C4074" s="15" t="s">
        <v>51</v>
      </c>
      <c r="D4074" s="16">
        <v>34</v>
      </c>
      <c r="E4074" s="17">
        <v>1177.5</v>
      </c>
      <c r="F4074" s="16">
        <v>0.02</v>
      </c>
      <c r="G4074" s="15" t="s">
        <v>32</v>
      </c>
      <c r="H4074" s="18">
        <v>420.05</v>
      </c>
      <c r="I4074" s="19">
        <v>33.979999999999997</v>
      </c>
      <c r="J4074" s="19">
        <v>1.99</v>
      </c>
      <c r="K4074" s="19" t="s">
        <v>69</v>
      </c>
      <c r="L4074" s="19" t="s">
        <v>70</v>
      </c>
      <c r="M4074" s="15" t="s">
        <v>1895</v>
      </c>
      <c r="N4074" s="15" t="s">
        <v>64</v>
      </c>
      <c r="O4074" s="15" t="s">
        <v>72</v>
      </c>
      <c r="P4074" s="20" t="s">
        <v>997</v>
      </c>
      <c r="Q4074" s="15" t="s">
        <v>49</v>
      </c>
      <c r="R4074" s="4"/>
      <c r="S4074" s="4"/>
    </row>
    <row r="4075" spans="1:19" ht="21" customHeight="1" x14ac:dyDescent="0.25">
      <c r="A4075" s="14">
        <f>DATE(2012,12,31)-695</f>
        <v>40579</v>
      </c>
      <c r="B4075" s="15" t="s">
        <v>1334</v>
      </c>
      <c r="C4075" s="15" t="s">
        <v>85</v>
      </c>
      <c r="D4075" s="16">
        <v>43</v>
      </c>
      <c r="E4075" s="17">
        <v>17131.36</v>
      </c>
      <c r="F4075" s="16">
        <v>0.08</v>
      </c>
      <c r="G4075" s="15" t="s">
        <v>58</v>
      </c>
      <c r="H4075" s="18">
        <v>4722.7700000000004</v>
      </c>
      <c r="I4075" s="19">
        <v>400.97</v>
      </c>
      <c r="J4075" s="19">
        <v>14.7</v>
      </c>
      <c r="K4075" s="19" t="s">
        <v>69</v>
      </c>
      <c r="L4075" s="19" t="s">
        <v>75</v>
      </c>
      <c r="M4075" s="15" t="s">
        <v>1980</v>
      </c>
      <c r="N4075" s="15" t="s">
        <v>64</v>
      </c>
      <c r="O4075" s="15" t="s">
        <v>122</v>
      </c>
      <c r="P4075" s="20" t="s">
        <v>2141</v>
      </c>
      <c r="Q4075" s="15" t="s">
        <v>181</v>
      </c>
      <c r="R4075" s="4"/>
      <c r="S4075" s="4"/>
    </row>
    <row r="4076" spans="1:19" ht="21" customHeight="1" x14ac:dyDescent="0.25">
      <c r="A4076" s="14">
        <f>DATE(2012,12,31)-364</f>
        <v>40910</v>
      </c>
      <c r="B4076" s="15" t="s">
        <v>820</v>
      </c>
      <c r="C4076" s="15" t="s">
        <v>85</v>
      </c>
      <c r="D4076" s="16">
        <v>10</v>
      </c>
      <c r="E4076" s="17">
        <v>192.58</v>
      </c>
      <c r="F4076" s="16">
        <v>0.05</v>
      </c>
      <c r="G4076" s="15" t="s">
        <v>32</v>
      </c>
      <c r="H4076" s="18">
        <v>24.6</v>
      </c>
      <c r="I4076" s="19">
        <v>19.84</v>
      </c>
      <c r="J4076" s="19">
        <v>4.0999999999999996</v>
      </c>
      <c r="K4076" s="19" t="s">
        <v>69</v>
      </c>
      <c r="L4076" s="19" t="s">
        <v>70</v>
      </c>
      <c r="M4076" s="15" t="s">
        <v>1895</v>
      </c>
      <c r="N4076" s="15" t="s">
        <v>36</v>
      </c>
      <c r="O4076" s="15" t="s">
        <v>77</v>
      </c>
      <c r="P4076" s="20" t="s">
        <v>162</v>
      </c>
      <c r="Q4076" s="15" t="s">
        <v>79</v>
      </c>
      <c r="R4076" s="4"/>
      <c r="S4076" s="4"/>
    </row>
    <row r="4077" spans="1:19" ht="21" customHeight="1" x14ac:dyDescent="0.25">
      <c r="A4077" s="14">
        <f>DATE(2012,12,31)-1093</f>
        <v>40181</v>
      </c>
      <c r="B4077" s="15" t="s">
        <v>140</v>
      </c>
      <c r="C4077" s="15" t="s">
        <v>51</v>
      </c>
      <c r="D4077" s="16">
        <v>43</v>
      </c>
      <c r="E4077" s="17">
        <v>287.61</v>
      </c>
      <c r="F4077" s="16">
        <v>0.02</v>
      </c>
      <c r="G4077" s="15" t="s">
        <v>32</v>
      </c>
      <c r="H4077" s="18">
        <v>-101.5</v>
      </c>
      <c r="I4077" s="19">
        <v>6.48</v>
      </c>
      <c r="J4077" s="19">
        <v>6.35</v>
      </c>
      <c r="K4077" s="19" t="s">
        <v>69</v>
      </c>
      <c r="L4077" s="19" t="s">
        <v>70</v>
      </c>
      <c r="M4077" s="15" t="s">
        <v>1895</v>
      </c>
      <c r="N4077" s="15" t="s">
        <v>36</v>
      </c>
      <c r="O4077" s="15" t="s">
        <v>117</v>
      </c>
      <c r="P4077" s="20" t="s">
        <v>1122</v>
      </c>
      <c r="Q4077" s="15" t="s">
        <v>83</v>
      </c>
      <c r="R4077" s="4"/>
      <c r="S4077" s="4"/>
    </row>
    <row r="4078" spans="1:19" ht="21" customHeight="1" x14ac:dyDescent="0.25">
      <c r="A4078" s="14">
        <f>DATE(2012,12,31)-1093</f>
        <v>40181</v>
      </c>
      <c r="B4078" s="15" t="s">
        <v>140</v>
      </c>
      <c r="C4078" s="15" t="s">
        <v>51</v>
      </c>
      <c r="D4078" s="16">
        <v>23</v>
      </c>
      <c r="E4078" s="17">
        <v>128.52000000000001</v>
      </c>
      <c r="F4078" s="16">
        <v>0.06</v>
      </c>
      <c r="G4078" s="15" t="s">
        <v>32</v>
      </c>
      <c r="H4078" s="18">
        <v>42.8</v>
      </c>
      <c r="I4078" s="19">
        <v>5.84</v>
      </c>
      <c r="J4078" s="19">
        <v>1</v>
      </c>
      <c r="K4078" s="19" t="s">
        <v>69</v>
      </c>
      <c r="L4078" s="19" t="s">
        <v>75</v>
      </c>
      <c r="M4078" s="15" t="s">
        <v>1980</v>
      </c>
      <c r="N4078" s="15" t="s">
        <v>36</v>
      </c>
      <c r="O4078" s="15" t="s">
        <v>77</v>
      </c>
      <c r="P4078" s="20" t="s">
        <v>1148</v>
      </c>
      <c r="Q4078" s="15" t="s">
        <v>79</v>
      </c>
      <c r="R4078" s="4"/>
      <c r="S4078" s="4"/>
    </row>
    <row r="4079" spans="1:19" ht="21" customHeight="1" x14ac:dyDescent="0.25">
      <c r="A4079" s="14">
        <f>DATE(2012,12,31)-1093</f>
        <v>40181</v>
      </c>
      <c r="B4079" s="15" t="s">
        <v>140</v>
      </c>
      <c r="C4079" s="15" t="s">
        <v>51</v>
      </c>
      <c r="D4079" s="16">
        <v>41</v>
      </c>
      <c r="E4079" s="17">
        <v>1011.67</v>
      </c>
      <c r="F4079" s="16">
        <v>0.04</v>
      </c>
      <c r="G4079" s="15" t="s">
        <v>32</v>
      </c>
      <c r="H4079" s="18">
        <v>-74.64</v>
      </c>
      <c r="I4079" s="19">
        <v>24.98</v>
      </c>
      <c r="J4079" s="19">
        <v>8.7899999999999991</v>
      </c>
      <c r="K4079" s="19" t="s">
        <v>69</v>
      </c>
      <c r="L4079" s="19" t="s">
        <v>75</v>
      </c>
      <c r="M4079" s="15" t="s">
        <v>1980</v>
      </c>
      <c r="N4079" s="15" t="s">
        <v>36</v>
      </c>
      <c r="O4079" s="15" t="s">
        <v>37</v>
      </c>
      <c r="P4079" s="20" t="s">
        <v>1613</v>
      </c>
      <c r="Q4079" s="15" t="s">
        <v>83</v>
      </c>
      <c r="R4079" s="4"/>
      <c r="S4079" s="4"/>
    </row>
    <row r="4080" spans="1:19" ht="21" customHeight="1" x14ac:dyDescent="0.25">
      <c r="A4080" s="14">
        <f>DATE(2012,12,31)-1093</f>
        <v>40181</v>
      </c>
      <c r="B4080" s="15" t="s">
        <v>140</v>
      </c>
      <c r="C4080" s="15" t="s">
        <v>51</v>
      </c>
      <c r="D4080" s="16">
        <v>33</v>
      </c>
      <c r="E4080" s="17">
        <v>28389.14</v>
      </c>
      <c r="F4080" s="16">
        <v>7.0000000000000007E-2</v>
      </c>
      <c r="G4080" s="15" t="s">
        <v>58</v>
      </c>
      <c r="H4080" s="18">
        <v>7132.18</v>
      </c>
      <c r="I4080" s="19">
        <v>880.98</v>
      </c>
      <c r="J4080" s="19">
        <v>44.55</v>
      </c>
      <c r="K4080" s="19" t="s">
        <v>69</v>
      </c>
      <c r="L4080" s="19" t="s">
        <v>70</v>
      </c>
      <c r="M4080" s="15" t="s">
        <v>1895</v>
      </c>
      <c r="N4080" s="15" t="s">
        <v>54</v>
      </c>
      <c r="O4080" s="15" t="s">
        <v>134</v>
      </c>
      <c r="P4080" s="20" t="s">
        <v>668</v>
      </c>
      <c r="Q4080" s="15" t="s">
        <v>63</v>
      </c>
      <c r="R4080" s="4"/>
      <c r="S4080" s="4"/>
    </row>
    <row r="4081" spans="1:19" ht="21" customHeight="1" x14ac:dyDescent="0.25">
      <c r="A4081" s="14">
        <f>DATE(2012,12,31)-350</f>
        <v>40924</v>
      </c>
      <c r="B4081" s="15" t="s">
        <v>892</v>
      </c>
      <c r="C4081" s="15" t="s">
        <v>85</v>
      </c>
      <c r="D4081" s="16">
        <v>24</v>
      </c>
      <c r="E4081" s="17">
        <v>99.1</v>
      </c>
      <c r="F4081" s="16">
        <v>0.02</v>
      </c>
      <c r="G4081" s="15" t="s">
        <v>32</v>
      </c>
      <c r="H4081" s="18">
        <v>28.42</v>
      </c>
      <c r="I4081" s="19">
        <v>4.13</v>
      </c>
      <c r="J4081" s="19">
        <v>0.99</v>
      </c>
      <c r="K4081" s="19" t="s">
        <v>69</v>
      </c>
      <c r="L4081" s="19" t="s">
        <v>75</v>
      </c>
      <c r="M4081" s="15" t="s">
        <v>1980</v>
      </c>
      <c r="N4081" s="15" t="s">
        <v>36</v>
      </c>
      <c r="O4081" s="15" t="s">
        <v>114</v>
      </c>
      <c r="P4081" s="20" t="s">
        <v>926</v>
      </c>
      <c r="Q4081" s="15" t="s">
        <v>83</v>
      </c>
      <c r="R4081" s="4"/>
      <c r="S4081" s="4"/>
    </row>
    <row r="4082" spans="1:19" ht="21" customHeight="1" x14ac:dyDescent="0.25">
      <c r="A4082" s="14">
        <f>DATE(2012,12,31)-350</f>
        <v>40924</v>
      </c>
      <c r="B4082" s="15" t="s">
        <v>892</v>
      </c>
      <c r="C4082" s="15" t="s">
        <v>85</v>
      </c>
      <c r="D4082" s="16">
        <v>36</v>
      </c>
      <c r="E4082" s="17">
        <v>380.34</v>
      </c>
      <c r="F4082" s="16">
        <v>0.02</v>
      </c>
      <c r="G4082" s="15" t="s">
        <v>32</v>
      </c>
      <c r="H4082" s="18">
        <v>-108.2</v>
      </c>
      <c r="I4082" s="19">
        <v>10.48</v>
      </c>
      <c r="J4082" s="19">
        <v>6.91</v>
      </c>
      <c r="K4082" s="19" t="s">
        <v>69</v>
      </c>
      <c r="L4082" s="19" t="s">
        <v>70</v>
      </c>
      <c r="M4082" s="15" t="s">
        <v>1895</v>
      </c>
      <c r="N4082" s="15" t="s">
        <v>36</v>
      </c>
      <c r="O4082" s="15" t="s">
        <v>37</v>
      </c>
      <c r="P4082" s="20" t="s">
        <v>2142</v>
      </c>
      <c r="Q4082" s="15" t="s">
        <v>83</v>
      </c>
      <c r="R4082" s="4"/>
      <c r="S4082" s="4"/>
    </row>
    <row r="4083" spans="1:19" ht="21" customHeight="1" x14ac:dyDescent="0.25">
      <c r="A4083" s="14">
        <f>DATE(2012,12,31)-664</f>
        <v>40610</v>
      </c>
      <c r="B4083" s="15" t="s">
        <v>1475</v>
      </c>
      <c r="C4083" s="15" t="s">
        <v>43</v>
      </c>
      <c r="D4083" s="16">
        <v>40</v>
      </c>
      <c r="E4083" s="17">
        <v>291.67</v>
      </c>
      <c r="F4083" s="16">
        <v>0.01</v>
      </c>
      <c r="G4083" s="15" t="s">
        <v>32</v>
      </c>
      <c r="H4083" s="18">
        <v>54.459499999999991</v>
      </c>
      <c r="I4083" s="19">
        <v>6.75</v>
      </c>
      <c r="J4083" s="19">
        <v>2.99</v>
      </c>
      <c r="K4083" s="19" t="s">
        <v>69</v>
      </c>
      <c r="L4083" s="19" t="s">
        <v>70</v>
      </c>
      <c r="M4083" s="15" t="s">
        <v>1895</v>
      </c>
      <c r="N4083" s="15" t="s">
        <v>36</v>
      </c>
      <c r="O4083" s="15" t="s">
        <v>170</v>
      </c>
      <c r="P4083" s="20" t="s">
        <v>1453</v>
      </c>
      <c r="Q4083" s="15" t="s">
        <v>83</v>
      </c>
      <c r="R4083" s="4"/>
      <c r="S4083" s="4"/>
    </row>
    <row r="4084" spans="1:19" ht="21" customHeight="1" x14ac:dyDescent="0.25">
      <c r="A4084" s="14">
        <f>DATE(2012,12,31)-964</f>
        <v>40310</v>
      </c>
      <c r="B4084" s="15" t="s">
        <v>572</v>
      </c>
      <c r="C4084" s="15" t="s">
        <v>31</v>
      </c>
      <c r="D4084" s="16">
        <v>43</v>
      </c>
      <c r="E4084" s="17">
        <v>1677.27</v>
      </c>
      <c r="F4084" s="16">
        <v>0.08</v>
      </c>
      <c r="G4084" s="15" t="s">
        <v>32</v>
      </c>
      <c r="H4084" s="18">
        <v>528.79349999999999</v>
      </c>
      <c r="I4084" s="19">
        <v>40.98</v>
      </c>
      <c r="J4084" s="19">
        <v>7.47</v>
      </c>
      <c r="K4084" s="19" t="s">
        <v>69</v>
      </c>
      <c r="L4084" s="19" t="s">
        <v>215</v>
      </c>
      <c r="M4084" s="15" t="s">
        <v>2120</v>
      </c>
      <c r="N4084" s="15" t="s">
        <v>36</v>
      </c>
      <c r="O4084" s="15" t="s">
        <v>170</v>
      </c>
      <c r="P4084" s="20" t="s">
        <v>389</v>
      </c>
      <c r="Q4084" s="15" t="s">
        <v>83</v>
      </c>
      <c r="R4084" s="4"/>
      <c r="S4084" s="4"/>
    </row>
    <row r="4085" spans="1:19" ht="21" customHeight="1" x14ac:dyDescent="0.25">
      <c r="A4085" s="14">
        <f>DATE(2012,12,31)-964</f>
        <v>40310</v>
      </c>
      <c r="B4085" s="15" t="s">
        <v>572</v>
      </c>
      <c r="C4085" s="15" t="s">
        <v>31</v>
      </c>
      <c r="D4085" s="16">
        <v>21</v>
      </c>
      <c r="E4085" s="17">
        <v>1556.08</v>
      </c>
      <c r="F4085" s="16">
        <v>0.05</v>
      </c>
      <c r="G4085" s="15" t="s">
        <v>58</v>
      </c>
      <c r="H4085" s="18">
        <v>-41.77</v>
      </c>
      <c r="I4085" s="19">
        <v>70.98</v>
      </c>
      <c r="J4085" s="19">
        <v>26.74</v>
      </c>
      <c r="K4085" s="19" t="s">
        <v>69</v>
      </c>
      <c r="L4085" s="19" t="s">
        <v>75</v>
      </c>
      <c r="M4085" s="15" t="s">
        <v>1980</v>
      </c>
      <c r="N4085" s="15" t="s">
        <v>54</v>
      </c>
      <c r="O4085" s="15" t="s">
        <v>134</v>
      </c>
      <c r="P4085" s="20" t="s">
        <v>1236</v>
      </c>
      <c r="Q4085" s="15" t="s">
        <v>63</v>
      </c>
      <c r="R4085" s="4"/>
      <c r="S4085" s="4"/>
    </row>
    <row r="4086" spans="1:19" ht="21" customHeight="1" x14ac:dyDescent="0.25">
      <c r="A4086" s="14">
        <f>DATE(2012,12,31)-995</f>
        <v>40279</v>
      </c>
      <c r="B4086" s="15" t="s">
        <v>903</v>
      </c>
      <c r="C4086" s="15" t="s">
        <v>85</v>
      </c>
      <c r="D4086" s="16">
        <v>31</v>
      </c>
      <c r="E4086" s="17">
        <v>3206.9650000000001</v>
      </c>
      <c r="F4086" s="16">
        <v>0.08</v>
      </c>
      <c r="G4086" s="15" t="s">
        <v>32</v>
      </c>
      <c r="H4086" s="18">
        <v>575.33399999999995</v>
      </c>
      <c r="I4086" s="19">
        <v>125.99</v>
      </c>
      <c r="J4086" s="19">
        <v>7.69</v>
      </c>
      <c r="K4086" s="19" t="s">
        <v>111</v>
      </c>
      <c r="L4086" s="19" t="s">
        <v>112</v>
      </c>
      <c r="M4086" s="15" t="s">
        <v>2137</v>
      </c>
      <c r="N4086" s="15" t="s">
        <v>64</v>
      </c>
      <c r="O4086" s="15" t="s">
        <v>65</v>
      </c>
      <c r="P4086" s="20" t="s">
        <v>860</v>
      </c>
      <c r="Q4086" s="15" t="s">
        <v>83</v>
      </c>
      <c r="R4086" s="4"/>
      <c r="S4086" s="4"/>
    </row>
    <row r="4087" spans="1:19" ht="21" customHeight="1" x14ac:dyDescent="0.25">
      <c r="A4087" s="14">
        <f>DATE(2012,12,31)-1371</f>
        <v>39903</v>
      </c>
      <c r="B4087" s="15" t="s">
        <v>1798</v>
      </c>
      <c r="C4087" s="15" t="s">
        <v>85</v>
      </c>
      <c r="D4087" s="16">
        <v>18</v>
      </c>
      <c r="E4087" s="17">
        <v>31.13</v>
      </c>
      <c r="F4087" s="16">
        <v>0.06</v>
      </c>
      <c r="G4087" s="15" t="s">
        <v>32</v>
      </c>
      <c r="H4087" s="18">
        <v>-0.81</v>
      </c>
      <c r="I4087" s="19">
        <v>1.68</v>
      </c>
      <c r="J4087" s="19">
        <v>1</v>
      </c>
      <c r="K4087" s="19" t="s">
        <v>111</v>
      </c>
      <c r="L4087" s="19" t="s">
        <v>258</v>
      </c>
      <c r="M4087" s="15" t="s">
        <v>259</v>
      </c>
      <c r="N4087" s="15" t="s">
        <v>36</v>
      </c>
      <c r="O4087" s="15" t="s">
        <v>77</v>
      </c>
      <c r="P4087" s="20" t="s">
        <v>1772</v>
      </c>
      <c r="Q4087" s="15" t="s">
        <v>79</v>
      </c>
      <c r="R4087" s="4"/>
      <c r="S4087" s="4"/>
    </row>
    <row r="4088" spans="1:19" ht="21" customHeight="1" x14ac:dyDescent="0.25">
      <c r="A4088" s="14">
        <f>DATE(2012,12,31)-527</f>
        <v>40747</v>
      </c>
      <c r="B4088" s="15" t="s">
        <v>1059</v>
      </c>
      <c r="C4088" s="15" t="s">
        <v>31</v>
      </c>
      <c r="D4088" s="16">
        <v>3</v>
      </c>
      <c r="E4088" s="17">
        <v>58.63</v>
      </c>
      <c r="F4088" s="16">
        <v>0</v>
      </c>
      <c r="G4088" s="15" t="s">
        <v>32</v>
      </c>
      <c r="H4088" s="18">
        <v>-40.86</v>
      </c>
      <c r="I4088" s="19">
        <v>17.48</v>
      </c>
      <c r="J4088" s="19">
        <v>1.99</v>
      </c>
      <c r="K4088" s="19" t="s">
        <v>111</v>
      </c>
      <c r="L4088" s="19" t="s">
        <v>112</v>
      </c>
      <c r="M4088" s="15" t="s">
        <v>2137</v>
      </c>
      <c r="N4088" s="15" t="s">
        <v>64</v>
      </c>
      <c r="O4088" s="15" t="s">
        <v>72</v>
      </c>
      <c r="P4088" s="20" t="s">
        <v>1262</v>
      </c>
      <c r="Q4088" s="15" t="s">
        <v>49</v>
      </c>
      <c r="R4088" s="4"/>
      <c r="S4088" s="4"/>
    </row>
    <row r="4089" spans="1:19" ht="21" customHeight="1" x14ac:dyDescent="0.25">
      <c r="A4089" s="14">
        <f>DATE(2012,12,31)-527</f>
        <v>40747</v>
      </c>
      <c r="B4089" s="15" t="s">
        <v>1059</v>
      </c>
      <c r="C4089" s="15" t="s">
        <v>31</v>
      </c>
      <c r="D4089" s="16">
        <v>13</v>
      </c>
      <c r="E4089" s="17">
        <v>94.99</v>
      </c>
      <c r="F4089" s="16">
        <v>0.06</v>
      </c>
      <c r="G4089" s="15" t="s">
        <v>32</v>
      </c>
      <c r="H4089" s="18">
        <v>-106.29</v>
      </c>
      <c r="I4089" s="19">
        <v>6.98</v>
      </c>
      <c r="J4089" s="19">
        <v>9.69</v>
      </c>
      <c r="K4089" s="19" t="s">
        <v>111</v>
      </c>
      <c r="L4089" s="19" t="s">
        <v>407</v>
      </c>
      <c r="M4089" s="15" t="s">
        <v>407</v>
      </c>
      <c r="N4089" s="15" t="s">
        <v>36</v>
      </c>
      <c r="O4089" s="15" t="s">
        <v>37</v>
      </c>
      <c r="P4089" s="20" t="s">
        <v>1855</v>
      </c>
      <c r="Q4089" s="15" t="s">
        <v>83</v>
      </c>
      <c r="R4089" s="4"/>
      <c r="S4089" s="4"/>
    </row>
    <row r="4090" spans="1:19" ht="21" customHeight="1" x14ac:dyDescent="0.25">
      <c r="A4090" s="14">
        <f>DATE(2012,12,31)-1041</f>
        <v>40233</v>
      </c>
      <c r="B4090" s="15" t="s">
        <v>854</v>
      </c>
      <c r="C4090" s="15" t="s">
        <v>31</v>
      </c>
      <c r="D4090" s="16">
        <v>10</v>
      </c>
      <c r="E4090" s="17">
        <v>208.77</v>
      </c>
      <c r="F4090" s="16">
        <v>7.0000000000000007E-2</v>
      </c>
      <c r="G4090" s="15" t="s">
        <v>32</v>
      </c>
      <c r="H4090" s="18">
        <v>-76.58</v>
      </c>
      <c r="I4090" s="19">
        <v>20.97</v>
      </c>
      <c r="J4090" s="19">
        <v>4</v>
      </c>
      <c r="K4090" s="19" t="s">
        <v>111</v>
      </c>
      <c r="L4090" s="19" t="s">
        <v>258</v>
      </c>
      <c r="M4090" s="15" t="s">
        <v>259</v>
      </c>
      <c r="N4090" s="15" t="s">
        <v>64</v>
      </c>
      <c r="O4090" s="15" t="s">
        <v>72</v>
      </c>
      <c r="P4090" s="20" t="s">
        <v>393</v>
      </c>
      <c r="Q4090" s="15" t="s">
        <v>83</v>
      </c>
      <c r="R4090" s="4"/>
      <c r="S4090" s="4"/>
    </row>
    <row r="4091" spans="1:19" ht="21" customHeight="1" x14ac:dyDescent="0.25">
      <c r="A4091" s="14">
        <f>DATE(2012,12,31)-438</f>
        <v>40836</v>
      </c>
      <c r="B4091" s="15" t="s">
        <v>167</v>
      </c>
      <c r="C4091" s="15" t="s">
        <v>51</v>
      </c>
      <c r="D4091" s="16">
        <v>12</v>
      </c>
      <c r="E4091" s="17">
        <v>2266.6999999999998</v>
      </c>
      <c r="F4091" s="16">
        <v>7.0000000000000007E-2</v>
      </c>
      <c r="G4091" s="15" t="s">
        <v>58</v>
      </c>
      <c r="H4091" s="18">
        <v>180.8</v>
      </c>
      <c r="I4091" s="19">
        <v>200.98</v>
      </c>
      <c r="J4091" s="19">
        <v>23.76</v>
      </c>
      <c r="K4091" s="19" t="s">
        <v>44</v>
      </c>
      <c r="L4091" s="19" t="s">
        <v>89</v>
      </c>
      <c r="M4091" s="15" t="s">
        <v>1932</v>
      </c>
      <c r="N4091" s="15" t="s">
        <v>54</v>
      </c>
      <c r="O4091" s="15" t="s">
        <v>252</v>
      </c>
      <c r="P4091" s="20" t="s">
        <v>1277</v>
      </c>
      <c r="Q4091" s="15" t="s">
        <v>181</v>
      </c>
      <c r="R4091" s="4"/>
      <c r="S4091" s="4"/>
    </row>
    <row r="4092" spans="1:19" ht="21" customHeight="1" x14ac:dyDescent="0.25">
      <c r="A4092" s="14">
        <f>DATE(2012,12,31)-1076</f>
        <v>40198</v>
      </c>
      <c r="B4092" s="15" t="s">
        <v>1018</v>
      </c>
      <c r="C4092" s="15" t="s">
        <v>51</v>
      </c>
      <c r="D4092" s="16">
        <v>8</v>
      </c>
      <c r="E4092" s="17">
        <v>468.49</v>
      </c>
      <c r="F4092" s="16">
        <v>0.03</v>
      </c>
      <c r="G4092" s="15" t="s">
        <v>32</v>
      </c>
      <c r="H4092" s="18">
        <v>-6.37</v>
      </c>
      <c r="I4092" s="19">
        <v>56.96</v>
      </c>
      <c r="J4092" s="19">
        <v>13.22</v>
      </c>
      <c r="K4092" s="19" t="s">
        <v>44</v>
      </c>
      <c r="L4092" s="19" t="s">
        <v>80</v>
      </c>
      <c r="M4092" s="15" t="s">
        <v>2081</v>
      </c>
      <c r="N4092" s="15" t="s">
        <v>36</v>
      </c>
      <c r="O4092" s="15" t="s">
        <v>176</v>
      </c>
      <c r="P4092" s="20" t="s">
        <v>904</v>
      </c>
      <c r="Q4092" s="15" t="s">
        <v>83</v>
      </c>
      <c r="R4092" s="4"/>
      <c r="S4092" s="4"/>
    </row>
    <row r="4093" spans="1:19" ht="21" customHeight="1" x14ac:dyDescent="0.25">
      <c r="A4093" s="14">
        <f>DATE(2012,12,31)-1076</f>
        <v>40198</v>
      </c>
      <c r="B4093" s="15" t="s">
        <v>1018</v>
      </c>
      <c r="C4093" s="15" t="s">
        <v>51</v>
      </c>
      <c r="D4093" s="16">
        <v>48</v>
      </c>
      <c r="E4093" s="17">
        <v>446.53</v>
      </c>
      <c r="F4093" s="16">
        <v>0.04</v>
      </c>
      <c r="G4093" s="15" t="s">
        <v>101</v>
      </c>
      <c r="H4093" s="18">
        <v>-261.45</v>
      </c>
      <c r="I4093" s="19">
        <v>8.3699999999999992</v>
      </c>
      <c r="J4093" s="19">
        <v>10.16</v>
      </c>
      <c r="K4093" s="19" t="s">
        <v>44</v>
      </c>
      <c r="L4093" s="19" t="s">
        <v>45</v>
      </c>
      <c r="M4093" s="15" t="s">
        <v>2053</v>
      </c>
      <c r="N4093" s="15" t="s">
        <v>54</v>
      </c>
      <c r="O4093" s="15" t="s">
        <v>55</v>
      </c>
      <c r="P4093" s="20" t="s">
        <v>1516</v>
      </c>
      <c r="Q4093" s="15" t="s">
        <v>39</v>
      </c>
      <c r="R4093" s="4"/>
      <c r="S4093" s="4"/>
    </row>
    <row r="4094" spans="1:19" ht="21" customHeight="1" x14ac:dyDescent="0.25">
      <c r="A4094" s="14">
        <f>DATE(2012,12,31)-1076</f>
        <v>40198</v>
      </c>
      <c r="B4094" s="15" t="s">
        <v>1018</v>
      </c>
      <c r="C4094" s="15" t="s">
        <v>51</v>
      </c>
      <c r="D4094" s="16">
        <v>5</v>
      </c>
      <c r="E4094" s="17">
        <v>217.85</v>
      </c>
      <c r="F4094" s="16">
        <v>0.02</v>
      </c>
      <c r="G4094" s="15" t="s">
        <v>101</v>
      </c>
      <c r="H4094" s="18">
        <v>-25.31</v>
      </c>
      <c r="I4094" s="19">
        <v>40.99</v>
      </c>
      <c r="J4094" s="19">
        <v>17.48</v>
      </c>
      <c r="K4094" s="19" t="s">
        <v>44</v>
      </c>
      <c r="L4094" s="19" t="s">
        <v>89</v>
      </c>
      <c r="M4094" s="15" t="s">
        <v>1932</v>
      </c>
      <c r="N4094" s="15" t="s">
        <v>36</v>
      </c>
      <c r="O4094" s="15" t="s">
        <v>117</v>
      </c>
      <c r="P4094" s="20" t="s">
        <v>583</v>
      </c>
      <c r="Q4094" s="15" t="s">
        <v>83</v>
      </c>
      <c r="R4094" s="4"/>
      <c r="S4094" s="4"/>
    </row>
    <row r="4095" spans="1:19" ht="21" customHeight="1" x14ac:dyDescent="0.25">
      <c r="A4095" s="14">
        <f>DATE(2012,12,31)-1249</f>
        <v>40025</v>
      </c>
      <c r="B4095" s="15" t="s">
        <v>491</v>
      </c>
      <c r="C4095" s="15" t="s">
        <v>31</v>
      </c>
      <c r="D4095" s="16">
        <v>5</v>
      </c>
      <c r="E4095" s="17">
        <v>142.30000000000001</v>
      </c>
      <c r="F4095" s="16">
        <v>0.03</v>
      </c>
      <c r="G4095" s="15" t="s">
        <v>32</v>
      </c>
      <c r="H4095" s="18">
        <v>-24.1845</v>
      </c>
      <c r="I4095" s="19">
        <v>24.92</v>
      </c>
      <c r="J4095" s="19">
        <v>12.98</v>
      </c>
      <c r="K4095" s="19" t="s">
        <v>44</v>
      </c>
      <c r="L4095" s="19" t="s">
        <v>89</v>
      </c>
      <c r="M4095" s="15" t="s">
        <v>1932</v>
      </c>
      <c r="N4095" s="15" t="s">
        <v>36</v>
      </c>
      <c r="O4095" s="15" t="s">
        <v>170</v>
      </c>
      <c r="P4095" s="20" t="s">
        <v>171</v>
      </c>
      <c r="Q4095" s="15" t="s">
        <v>83</v>
      </c>
      <c r="R4095" s="4"/>
      <c r="S4095" s="4"/>
    </row>
    <row r="4096" spans="1:19" ht="21" customHeight="1" x14ac:dyDescent="0.25">
      <c r="A4096" s="14">
        <f>DATE(2012,12,31)-1249</f>
        <v>40025</v>
      </c>
      <c r="B4096" s="15" t="s">
        <v>491</v>
      </c>
      <c r="C4096" s="15" t="s">
        <v>31</v>
      </c>
      <c r="D4096" s="16">
        <v>8</v>
      </c>
      <c r="E4096" s="17">
        <v>21.93</v>
      </c>
      <c r="F4096" s="16">
        <v>0.09</v>
      </c>
      <c r="G4096" s="15" t="s">
        <v>32</v>
      </c>
      <c r="H4096" s="18">
        <v>-37.789000000000001</v>
      </c>
      <c r="I4096" s="19">
        <v>2.16</v>
      </c>
      <c r="J4096" s="19">
        <v>6.05</v>
      </c>
      <c r="K4096" s="19" t="s">
        <v>44</v>
      </c>
      <c r="L4096" s="19" t="s">
        <v>45</v>
      </c>
      <c r="M4096" s="15" t="s">
        <v>2053</v>
      </c>
      <c r="N4096" s="15" t="s">
        <v>36</v>
      </c>
      <c r="O4096" s="15" t="s">
        <v>170</v>
      </c>
      <c r="P4096" s="20" t="s">
        <v>475</v>
      </c>
      <c r="Q4096" s="15" t="s">
        <v>83</v>
      </c>
      <c r="R4096" s="4"/>
      <c r="S4096" s="4"/>
    </row>
    <row r="4097" spans="1:19" ht="21" customHeight="1" x14ac:dyDescent="0.25">
      <c r="A4097" s="14">
        <f>DATE(2012,12,31)-1249</f>
        <v>40025</v>
      </c>
      <c r="B4097" s="15" t="s">
        <v>491</v>
      </c>
      <c r="C4097" s="15" t="s">
        <v>31</v>
      </c>
      <c r="D4097" s="16">
        <v>35</v>
      </c>
      <c r="E4097" s="17">
        <v>26095.13</v>
      </c>
      <c r="F4097" s="16">
        <v>0.03</v>
      </c>
      <c r="G4097" s="15" t="s">
        <v>58</v>
      </c>
      <c r="H4097" s="18">
        <v>12606.81</v>
      </c>
      <c r="I4097" s="19">
        <v>808.49</v>
      </c>
      <c r="J4097" s="19">
        <v>55.3</v>
      </c>
      <c r="K4097" s="19" t="s">
        <v>44</v>
      </c>
      <c r="L4097" s="19" t="s">
        <v>89</v>
      </c>
      <c r="M4097" s="15" t="s">
        <v>1932</v>
      </c>
      <c r="N4097" s="15" t="s">
        <v>64</v>
      </c>
      <c r="O4097" s="15" t="s">
        <v>122</v>
      </c>
      <c r="P4097" s="20" t="s">
        <v>2035</v>
      </c>
      <c r="Q4097" s="15" t="s">
        <v>181</v>
      </c>
      <c r="R4097" s="4"/>
      <c r="S4097" s="4"/>
    </row>
    <row r="4098" spans="1:19" ht="21" customHeight="1" x14ac:dyDescent="0.25">
      <c r="A4098" s="14">
        <f>DATE(2012,12,31)-1249</f>
        <v>40025</v>
      </c>
      <c r="B4098" s="15" t="s">
        <v>491</v>
      </c>
      <c r="C4098" s="15" t="s">
        <v>31</v>
      </c>
      <c r="D4098" s="16">
        <v>10</v>
      </c>
      <c r="E4098" s="17">
        <v>75.58</v>
      </c>
      <c r="F4098" s="16">
        <v>0</v>
      </c>
      <c r="G4098" s="15" t="s">
        <v>32</v>
      </c>
      <c r="H4098" s="18">
        <v>-43.26</v>
      </c>
      <c r="I4098" s="19">
        <v>6.48</v>
      </c>
      <c r="J4098" s="19">
        <v>8.19</v>
      </c>
      <c r="K4098" s="19" t="s">
        <v>44</v>
      </c>
      <c r="L4098" s="19" t="s">
        <v>45</v>
      </c>
      <c r="M4098" s="15" t="s">
        <v>2053</v>
      </c>
      <c r="N4098" s="15" t="s">
        <v>36</v>
      </c>
      <c r="O4098" s="15" t="s">
        <v>117</v>
      </c>
      <c r="P4098" s="20" t="s">
        <v>118</v>
      </c>
      <c r="Q4098" s="15" t="s">
        <v>83</v>
      </c>
      <c r="R4098" s="4"/>
      <c r="S4098" s="4"/>
    </row>
    <row r="4099" spans="1:19" ht="21" customHeight="1" x14ac:dyDescent="0.25">
      <c r="A4099" s="14">
        <f>DATE(2012,12,31)-1249</f>
        <v>40025</v>
      </c>
      <c r="B4099" s="15" t="s">
        <v>491</v>
      </c>
      <c r="C4099" s="15" t="s">
        <v>31</v>
      </c>
      <c r="D4099" s="16">
        <v>42</v>
      </c>
      <c r="E4099" s="17">
        <v>477.53</v>
      </c>
      <c r="F4099" s="16">
        <v>0.03</v>
      </c>
      <c r="G4099" s="15" t="s">
        <v>32</v>
      </c>
      <c r="H4099" s="18">
        <v>51.17</v>
      </c>
      <c r="I4099" s="19">
        <v>10.98</v>
      </c>
      <c r="J4099" s="19">
        <v>3.37</v>
      </c>
      <c r="K4099" s="19" t="s">
        <v>44</v>
      </c>
      <c r="L4099" s="19" t="s">
        <v>89</v>
      </c>
      <c r="M4099" s="15" t="s">
        <v>1932</v>
      </c>
      <c r="N4099" s="15" t="s">
        <v>36</v>
      </c>
      <c r="O4099" s="15" t="s">
        <v>47</v>
      </c>
      <c r="P4099" s="20" t="s">
        <v>1698</v>
      </c>
      <c r="Q4099" s="15" t="s">
        <v>49</v>
      </c>
      <c r="R4099" s="4"/>
      <c r="S4099" s="4"/>
    </row>
    <row r="4100" spans="1:19" ht="21" customHeight="1" x14ac:dyDescent="0.25">
      <c r="A4100" s="14">
        <f>DATE(2012,12,31)-186</f>
        <v>41088</v>
      </c>
      <c r="B4100" s="15" t="s">
        <v>151</v>
      </c>
      <c r="C4100" s="15" t="s">
        <v>85</v>
      </c>
      <c r="D4100" s="16">
        <v>26</v>
      </c>
      <c r="E4100" s="17">
        <v>7201.89</v>
      </c>
      <c r="F4100" s="16">
        <v>0.09</v>
      </c>
      <c r="G4100" s="15" t="s">
        <v>58</v>
      </c>
      <c r="H4100" s="18">
        <v>-650.11</v>
      </c>
      <c r="I4100" s="19">
        <v>296.18</v>
      </c>
      <c r="J4100" s="19">
        <v>54.12</v>
      </c>
      <c r="K4100" s="19" t="s">
        <v>44</v>
      </c>
      <c r="L4100" s="19" t="s">
        <v>45</v>
      </c>
      <c r="M4100" s="15" t="s">
        <v>2053</v>
      </c>
      <c r="N4100" s="15" t="s">
        <v>54</v>
      </c>
      <c r="O4100" s="15" t="s">
        <v>61</v>
      </c>
      <c r="P4100" s="20" t="s">
        <v>345</v>
      </c>
      <c r="Q4100" s="15" t="s">
        <v>63</v>
      </c>
      <c r="R4100" s="4"/>
      <c r="S4100" s="4"/>
    </row>
    <row r="4101" spans="1:19" ht="21" customHeight="1" x14ac:dyDescent="0.25">
      <c r="A4101" s="14">
        <f>DATE(2012,12,31)-2</f>
        <v>41272</v>
      </c>
      <c r="B4101" s="15" t="s">
        <v>1668</v>
      </c>
      <c r="C4101" s="15" t="s">
        <v>85</v>
      </c>
      <c r="D4101" s="16">
        <v>46</v>
      </c>
      <c r="E4101" s="17">
        <v>1936.45</v>
      </c>
      <c r="F4101" s="16">
        <v>0.1</v>
      </c>
      <c r="G4101" s="15" t="s">
        <v>32</v>
      </c>
      <c r="H4101" s="18">
        <v>307.17</v>
      </c>
      <c r="I4101" s="19">
        <v>43.22</v>
      </c>
      <c r="J4101" s="19">
        <v>4</v>
      </c>
      <c r="K4101" s="19" t="s">
        <v>44</v>
      </c>
      <c r="L4101" s="19" t="s">
        <v>120</v>
      </c>
      <c r="M4101" s="15" t="s">
        <v>2025</v>
      </c>
      <c r="N4101" s="15" t="s">
        <v>64</v>
      </c>
      <c r="O4101" s="15" t="s">
        <v>72</v>
      </c>
      <c r="P4101" s="20" t="s">
        <v>1446</v>
      </c>
      <c r="Q4101" s="15" t="s">
        <v>83</v>
      </c>
      <c r="R4101" s="4"/>
      <c r="S4101" s="4"/>
    </row>
    <row r="4102" spans="1:19" ht="21" customHeight="1" x14ac:dyDescent="0.25">
      <c r="A4102" s="14">
        <f>DATE(2012,12,31)-2</f>
        <v>41272</v>
      </c>
      <c r="B4102" s="15" t="s">
        <v>1668</v>
      </c>
      <c r="C4102" s="15" t="s">
        <v>85</v>
      </c>
      <c r="D4102" s="16">
        <v>17</v>
      </c>
      <c r="E4102" s="17">
        <v>3711.04</v>
      </c>
      <c r="F4102" s="16">
        <v>0.04</v>
      </c>
      <c r="G4102" s="15" t="s">
        <v>58</v>
      </c>
      <c r="H4102" s="18">
        <v>-773.78</v>
      </c>
      <c r="I4102" s="19">
        <v>218.75</v>
      </c>
      <c r="J4102" s="19">
        <v>69.64</v>
      </c>
      <c r="K4102" s="19" t="s">
        <v>44</v>
      </c>
      <c r="L4102" s="19" t="s">
        <v>80</v>
      </c>
      <c r="M4102" s="15" t="s">
        <v>2081</v>
      </c>
      <c r="N4102" s="15" t="s">
        <v>54</v>
      </c>
      <c r="O4102" s="15" t="s">
        <v>61</v>
      </c>
      <c r="P4102" s="20" t="s">
        <v>425</v>
      </c>
      <c r="Q4102" s="15" t="s">
        <v>63</v>
      </c>
      <c r="R4102" s="4"/>
      <c r="S4102" s="4"/>
    </row>
    <row r="4103" spans="1:19" ht="21" customHeight="1" x14ac:dyDescent="0.25">
      <c r="A4103" s="14">
        <f>DATE(2012,12,31)-216</f>
        <v>41058</v>
      </c>
      <c r="B4103" s="15" t="s">
        <v>1444</v>
      </c>
      <c r="C4103" s="15" t="s">
        <v>31</v>
      </c>
      <c r="D4103" s="16">
        <v>19</v>
      </c>
      <c r="E4103" s="17">
        <v>1823.02</v>
      </c>
      <c r="F4103" s="16">
        <v>0.04</v>
      </c>
      <c r="G4103" s="15" t="s">
        <v>101</v>
      </c>
      <c r="H4103" s="18">
        <v>80.8</v>
      </c>
      <c r="I4103" s="19">
        <v>92.23</v>
      </c>
      <c r="J4103" s="19">
        <v>39.61</v>
      </c>
      <c r="K4103" s="19" t="s">
        <v>44</v>
      </c>
      <c r="L4103" s="19" t="s">
        <v>89</v>
      </c>
      <c r="M4103" s="15" t="s">
        <v>1932</v>
      </c>
      <c r="N4103" s="15" t="s">
        <v>54</v>
      </c>
      <c r="O4103" s="15" t="s">
        <v>55</v>
      </c>
      <c r="P4103" s="20" t="s">
        <v>1111</v>
      </c>
      <c r="Q4103" s="15" t="s">
        <v>57</v>
      </c>
      <c r="R4103" s="4"/>
      <c r="S4103" s="4"/>
    </row>
    <row r="4104" spans="1:19" ht="21" customHeight="1" x14ac:dyDescent="0.25">
      <c r="A4104" s="14">
        <f>DATE(2012,12,31)-216</f>
        <v>41058</v>
      </c>
      <c r="B4104" s="15" t="s">
        <v>1444</v>
      </c>
      <c r="C4104" s="15" t="s">
        <v>31</v>
      </c>
      <c r="D4104" s="16">
        <v>26</v>
      </c>
      <c r="E4104" s="17">
        <v>74.02</v>
      </c>
      <c r="F4104" s="16">
        <v>0.04</v>
      </c>
      <c r="G4104" s="15" t="s">
        <v>32</v>
      </c>
      <c r="H4104" s="18">
        <v>8.1300000000000008</v>
      </c>
      <c r="I4104" s="19">
        <v>2.88</v>
      </c>
      <c r="J4104" s="19">
        <v>0.7</v>
      </c>
      <c r="K4104" s="19" t="s">
        <v>44</v>
      </c>
      <c r="L4104" s="19" t="s">
        <v>45</v>
      </c>
      <c r="M4104" s="15" t="s">
        <v>2053</v>
      </c>
      <c r="N4104" s="15" t="s">
        <v>36</v>
      </c>
      <c r="O4104" s="15" t="s">
        <v>77</v>
      </c>
      <c r="P4104" s="20" t="s">
        <v>95</v>
      </c>
      <c r="Q4104" s="15" t="s">
        <v>79</v>
      </c>
      <c r="R4104" s="4"/>
      <c r="S4104" s="4"/>
    </row>
    <row r="4105" spans="1:19" ht="21" customHeight="1" x14ac:dyDescent="0.25">
      <c r="A4105" s="14">
        <f>DATE(2012,12,31)-216</f>
        <v>41058</v>
      </c>
      <c r="B4105" s="15" t="s">
        <v>1444</v>
      </c>
      <c r="C4105" s="15" t="s">
        <v>31</v>
      </c>
      <c r="D4105" s="16">
        <v>13</v>
      </c>
      <c r="E4105" s="17">
        <v>2252.9760000000001</v>
      </c>
      <c r="F4105" s="16">
        <v>0.02</v>
      </c>
      <c r="G4105" s="15" t="s">
        <v>32</v>
      </c>
      <c r="H4105" s="18">
        <v>-54.362000000000002</v>
      </c>
      <c r="I4105" s="19">
        <v>205.99</v>
      </c>
      <c r="J4105" s="19">
        <v>8.99</v>
      </c>
      <c r="K4105" s="19" t="s">
        <v>44</v>
      </c>
      <c r="L4105" s="19" t="s">
        <v>120</v>
      </c>
      <c r="M4105" s="15" t="s">
        <v>2025</v>
      </c>
      <c r="N4105" s="15" t="s">
        <v>64</v>
      </c>
      <c r="O4105" s="15" t="s">
        <v>65</v>
      </c>
      <c r="P4105" s="20" t="s">
        <v>758</v>
      </c>
      <c r="Q4105" s="15" t="s">
        <v>83</v>
      </c>
      <c r="R4105" s="4"/>
      <c r="S4105" s="4"/>
    </row>
    <row r="4106" spans="1:19" ht="21" customHeight="1" x14ac:dyDescent="0.25">
      <c r="A4106" s="14">
        <f>DATE(2012,12,31)-1361</f>
        <v>39913</v>
      </c>
      <c r="B4106" s="15" t="s">
        <v>1931</v>
      </c>
      <c r="C4106" s="15" t="s">
        <v>43</v>
      </c>
      <c r="D4106" s="16">
        <v>29</v>
      </c>
      <c r="E4106" s="17">
        <v>203.4</v>
      </c>
      <c r="F4106" s="16">
        <v>0.04</v>
      </c>
      <c r="G4106" s="15" t="s">
        <v>32</v>
      </c>
      <c r="H4106" s="18">
        <v>24.59</v>
      </c>
      <c r="I4106" s="19">
        <v>7.08</v>
      </c>
      <c r="J4106" s="19">
        <v>2.35</v>
      </c>
      <c r="K4106" s="19" t="s">
        <v>44</v>
      </c>
      <c r="L4106" s="19" t="s">
        <v>120</v>
      </c>
      <c r="M4106" s="15" t="s">
        <v>2025</v>
      </c>
      <c r="N4106" s="15" t="s">
        <v>36</v>
      </c>
      <c r="O4106" s="15" t="s">
        <v>77</v>
      </c>
      <c r="P4106" s="20" t="s">
        <v>1833</v>
      </c>
      <c r="Q4106" s="15" t="s">
        <v>79</v>
      </c>
      <c r="R4106" s="4"/>
      <c r="S4106" s="4"/>
    </row>
    <row r="4107" spans="1:19" ht="21" customHeight="1" x14ac:dyDescent="0.25">
      <c r="A4107" s="14">
        <f>DATE(2012,12,31)-2</f>
        <v>41272</v>
      </c>
      <c r="B4107" s="15" t="s">
        <v>185</v>
      </c>
      <c r="C4107" s="15" t="s">
        <v>85</v>
      </c>
      <c r="D4107" s="16">
        <v>36</v>
      </c>
      <c r="E4107" s="17">
        <v>12690.33</v>
      </c>
      <c r="F4107" s="16">
        <v>0.08</v>
      </c>
      <c r="G4107" s="15" t="s">
        <v>101</v>
      </c>
      <c r="H4107" s="18">
        <v>5045.3024999999998</v>
      </c>
      <c r="I4107" s="19">
        <v>367.99</v>
      </c>
      <c r="J4107" s="19">
        <v>19.989999999999998</v>
      </c>
      <c r="K4107" s="19" t="s">
        <v>44</v>
      </c>
      <c r="L4107" s="19" t="s">
        <v>89</v>
      </c>
      <c r="M4107" s="15" t="s">
        <v>1932</v>
      </c>
      <c r="N4107" s="15" t="s">
        <v>36</v>
      </c>
      <c r="O4107" s="15" t="s">
        <v>170</v>
      </c>
      <c r="P4107" s="20" t="s">
        <v>2030</v>
      </c>
      <c r="Q4107" s="15" t="s">
        <v>83</v>
      </c>
      <c r="R4107" s="4"/>
      <c r="S4107" s="4"/>
    </row>
    <row r="4108" spans="1:19" ht="21" customHeight="1" x14ac:dyDescent="0.25">
      <c r="A4108" s="14">
        <f>DATE(2012,12,31)-216</f>
        <v>41058</v>
      </c>
      <c r="B4108" s="15" t="s">
        <v>690</v>
      </c>
      <c r="C4108" s="15" t="s">
        <v>51</v>
      </c>
      <c r="D4108" s="16">
        <v>41</v>
      </c>
      <c r="E4108" s="17">
        <v>325.33</v>
      </c>
      <c r="F4108" s="16">
        <v>0</v>
      </c>
      <c r="G4108" s="15" t="s">
        <v>32</v>
      </c>
      <c r="H4108" s="18">
        <v>-41.75</v>
      </c>
      <c r="I4108" s="19">
        <v>7.64</v>
      </c>
      <c r="J4108" s="19">
        <v>5.83</v>
      </c>
      <c r="K4108" s="19" t="s">
        <v>44</v>
      </c>
      <c r="L4108" s="19" t="s">
        <v>120</v>
      </c>
      <c r="M4108" s="15" t="s">
        <v>2025</v>
      </c>
      <c r="N4108" s="15" t="s">
        <v>36</v>
      </c>
      <c r="O4108" s="15" t="s">
        <v>117</v>
      </c>
      <c r="P4108" s="20" t="s">
        <v>188</v>
      </c>
      <c r="Q4108" s="15" t="s">
        <v>79</v>
      </c>
      <c r="R4108" s="4"/>
      <c r="S4108" s="4"/>
    </row>
    <row r="4109" spans="1:19" ht="21" customHeight="1" x14ac:dyDescent="0.25">
      <c r="A4109" s="14">
        <f>DATE(2012,12,31)-346</f>
        <v>40928</v>
      </c>
      <c r="B4109" s="15" t="s">
        <v>1433</v>
      </c>
      <c r="C4109" s="15" t="s">
        <v>51</v>
      </c>
      <c r="D4109" s="16">
        <v>48</v>
      </c>
      <c r="E4109" s="17">
        <v>24701.119999999999</v>
      </c>
      <c r="F4109" s="16">
        <v>0.04</v>
      </c>
      <c r="G4109" s="15" t="s">
        <v>58</v>
      </c>
      <c r="H4109" s="18">
        <v>8022.94</v>
      </c>
      <c r="I4109" s="19">
        <v>500.98</v>
      </c>
      <c r="J4109" s="19">
        <v>26</v>
      </c>
      <c r="K4109" s="19" t="s">
        <v>44</v>
      </c>
      <c r="L4109" s="19" t="s">
        <v>120</v>
      </c>
      <c r="M4109" s="15" t="s">
        <v>2025</v>
      </c>
      <c r="N4109" s="15" t="s">
        <v>54</v>
      </c>
      <c r="O4109" s="15" t="s">
        <v>252</v>
      </c>
      <c r="P4109" s="20" t="s">
        <v>577</v>
      </c>
      <c r="Q4109" s="15" t="s">
        <v>181</v>
      </c>
      <c r="R4109" s="4"/>
      <c r="S4109" s="4"/>
    </row>
    <row r="4110" spans="1:19" ht="21" customHeight="1" x14ac:dyDescent="0.25">
      <c r="A4110" s="14">
        <f>DATE(2012,12,31)-567</f>
        <v>40707</v>
      </c>
      <c r="B4110" s="15" t="s">
        <v>2143</v>
      </c>
      <c r="C4110" s="15" t="s">
        <v>31</v>
      </c>
      <c r="D4110" s="16">
        <v>12</v>
      </c>
      <c r="E4110" s="17">
        <v>3156.6</v>
      </c>
      <c r="F4110" s="16">
        <v>0.1</v>
      </c>
      <c r="G4110" s="15" t="s">
        <v>32</v>
      </c>
      <c r="H4110" s="18">
        <v>454.26</v>
      </c>
      <c r="I4110" s="19">
        <v>276.2</v>
      </c>
      <c r="J4110" s="19">
        <v>24.49</v>
      </c>
      <c r="K4110" s="19" t="s">
        <v>44</v>
      </c>
      <c r="L4110" s="19" t="s">
        <v>89</v>
      </c>
      <c r="M4110" s="15" t="s">
        <v>1932</v>
      </c>
      <c r="N4110" s="15" t="s">
        <v>54</v>
      </c>
      <c r="O4110" s="15" t="s">
        <v>252</v>
      </c>
      <c r="P4110" s="20" t="s">
        <v>524</v>
      </c>
      <c r="Q4110" s="15" t="s">
        <v>39</v>
      </c>
      <c r="R4110" s="4"/>
      <c r="S4110" s="4"/>
    </row>
    <row r="4111" spans="1:19" ht="21" customHeight="1" x14ac:dyDescent="0.25">
      <c r="A4111" s="14">
        <f>DATE(2012,12,31)-567</f>
        <v>40707</v>
      </c>
      <c r="B4111" s="15" t="s">
        <v>2143</v>
      </c>
      <c r="C4111" s="15" t="s">
        <v>31</v>
      </c>
      <c r="D4111" s="16">
        <v>47</v>
      </c>
      <c r="E4111" s="17">
        <v>302.69</v>
      </c>
      <c r="F4111" s="16">
        <v>0.05</v>
      </c>
      <c r="G4111" s="15" t="s">
        <v>101</v>
      </c>
      <c r="H4111" s="18">
        <v>125.65</v>
      </c>
      <c r="I4111" s="19">
        <v>6.35</v>
      </c>
      <c r="J4111" s="19">
        <v>1.02</v>
      </c>
      <c r="K4111" s="19" t="s">
        <v>44</v>
      </c>
      <c r="L4111" s="19" t="s">
        <v>89</v>
      </c>
      <c r="M4111" s="15" t="s">
        <v>1932</v>
      </c>
      <c r="N4111" s="15" t="s">
        <v>36</v>
      </c>
      <c r="O4111" s="15" t="s">
        <v>117</v>
      </c>
      <c r="P4111" s="20" t="s">
        <v>1203</v>
      </c>
      <c r="Q4111" s="15" t="s">
        <v>79</v>
      </c>
      <c r="R4111" s="4"/>
      <c r="S4111" s="4"/>
    </row>
    <row r="4112" spans="1:19" ht="21" customHeight="1" x14ac:dyDescent="0.25">
      <c r="A4112" s="14">
        <f>DATE(2012,12,31)-1243</f>
        <v>40031</v>
      </c>
      <c r="B4112" s="15" t="s">
        <v>807</v>
      </c>
      <c r="C4112" s="15" t="s">
        <v>31</v>
      </c>
      <c r="D4112" s="16">
        <v>9</v>
      </c>
      <c r="E4112" s="17">
        <v>65.81</v>
      </c>
      <c r="F4112" s="16">
        <v>0.01</v>
      </c>
      <c r="G4112" s="15" t="s">
        <v>32</v>
      </c>
      <c r="H4112" s="18">
        <v>-15.44</v>
      </c>
      <c r="I4112" s="19">
        <v>6.48</v>
      </c>
      <c r="J4112" s="19">
        <v>5.19</v>
      </c>
      <c r="K4112" s="19" t="s">
        <v>44</v>
      </c>
      <c r="L4112" s="19" t="s">
        <v>120</v>
      </c>
      <c r="M4112" s="15" t="s">
        <v>2025</v>
      </c>
      <c r="N4112" s="15" t="s">
        <v>36</v>
      </c>
      <c r="O4112" s="15" t="s">
        <v>117</v>
      </c>
      <c r="P4112" s="20" t="s">
        <v>2054</v>
      </c>
      <c r="Q4112" s="15" t="s">
        <v>83</v>
      </c>
      <c r="R4112" s="4"/>
      <c r="S4112" s="4"/>
    </row>
    <row r="4113" spans="1:19" ht="21" customHeight="1" x14ac:dyDescent="0.25">
      <c r="A4113" s="14">
        <f>DATE(2012,12,31)-394</f>
        <v>40880</v>
      </c>
      <c r="B4113" s="15" t="s">
        <v>637</v>
      </c>
      <c r="C4113" s="15" t="s">
        <v>31</v>
      </c>
      <c r="D4113" s="16">
        <v>11</v>
      </c>
      <c r="E4113" s="17">
        <v>617.21899999999994</v>
      </c>
      <c r="F4113" s="16">
        <v>0.03</v>
      </c>
      <c r="G4113" s="15" t="s">
        <v>101</v>
      </c>
      <c r="H4113" s="18">
        <v>-136.09199999999998</v>
      </c>
      <c r="I4113" s="19">
        <v>65.989999999999995</v>
      </c>
      <c r="J4113" s="19">
        <v>8.99</v>
      </c>
      <c r="K4113" s="19" t="s">
        <v>44</v>
      </c>
      <c r="L4113" s="19" t="s">
        <v>236</v>
      </c>
      <c r="M4113" s="15" t="s">
        <v>2129</v>
      </c>
      <c r="N4113" s="15" t="s">
        <v>64</v>
      </c>
      <c r="O4113" s="15" t="s">
        <v>65</v>
      </c>
      <c r="P4113" s="20" t="s">
        <v>1234</v>
      </c>
      <c r="Q4113" s="15" t="s">
        <v>83</v>
      </c>
      <c r="R4113" s="4"/>
      <c r="S4113" s="4"/>
    </row>
    <row r="4114" spans="1:19" ht="21" customHeight="1" x14ac:dyDescent="0.25">
      <c r="A4114" s="14">
        <f>DATE(2012,12,31)-278</f>
        <v>40996</v>
      </c>
      <c r="B4114" s="15" t="s">
        <v>683</v>
      </c>
      <c r="C4114" s="15" t="s">
        <v>85</v>
      </c>
      <c r="D4114" s="16">
        <v>19</v>
      </c>
      <c r="E4114" s="17">
        <v>238.35</v>
      </c>
      <c r="F4114" s="16">
        <v>0</v>
      </c>
      <c r="G4114" s="15" t="s">
        <v>32</v>
      </c>
      <c r="H4114" s="18">
        <v>-64.510000000000005</v>
      </c>
      <c r="I4114" s="19">
        <v>11.66</v>
      </c>
      <c r="J4114" s="19">
        <v>7.95</v>
      </c>
      <c r="K4114" s="19" t="s">
        <v>44</v>
      </c>
      <c r="L4114" s="19" t="s">
        <v>89</v>
      </c>
      <c r="M4114" s="15" t="s">
        <v>1932</v>
      </c>
      <c r="N4114" s="15" t="s">
        <v>36</v>
      </c>
      <c r="O4114" s="15" t="s">
        <v>77</v>
      </c>
      <c r="P4114" s="20" t="s">
        <v>1502</v>
      </c>
      <c r="Q4114" s="15" t="s">
        <v>49</v>
      </c>
      <c r="R4114" s="4"/>
      <c r="S4114" s="4"/>
    </row>
    <row r="4115" spans="1:19" ht="21" customHeight="1" x14ac:dyDescent="0.25">
      <c r="A4115" s="14">
        <f>DATE(2012,12,31)-278</f>
        <v>40996</v>
      </c>
      <c r="B4115" s="15" t="s">
        <v>683</v>
      </c>
      <c r="C4115" s="15" t="s">
        <v>85</v>
      </c>
      <c r="D4115" s="16">
        <v>30</v>
      </c>
      <c r="E4115" s="17">
        <v>856.34</v>
      </c>
      <c r="F4115" s="16">
        <v>0.06</v>
      </c>
      <c r="G4115" s="15" t="s">
        <v>32</v>
      </c>
      <c r="H4115" s="18">
        <v>248.91</v>
      </c>
      <c r="I4115" s="19">
        <v>28.38</v>
      </c>
      <c r="J4115" s="19">
        <v>1.99</v>
      </c>
      <c r="K4115" s="19" t="s">
        <v>44</v>
      </c>
      <c r="L4115" s="19" t="s">
        <v>45</v>
      </c>
      <c r="M4115" s="15" t="s">
        <v>2053</v>
      </c>
      <c r="N4115" s="15" t="s">
        <v>64</v>
      </c>
      <c r="O4115" s="15" t="s">
        <v>72</v>
      </c>
      <c r="P4115" s="20" t="s">
        <v>2144</v>
      </c>
      <c r="Q4115" s="15" t="s">
        <v>49</v>
      </c>
      <c r="R4115" s="4"/>
      <c r="S4115" s="4"/>
    </row>
    <row r="4116" spans="1:19" ht="21" customHeight="1" x14ac:dyDescent="0.25">
      <c r="A4116" s="14">
        <f>DATE(2012,12,31)-33</f>
        <v>41241</v>
      </c>
      <c r="B4116" s="15" t="s">
        <v>1719</v>
      </c>
      <c r="C4116" s="15" t="s">
        <v>85</v>
      </c>
      <c r="D4116" s="16">
        <v>4</v>
      </c>
      <c r="E4116" s="17">
        <v>34.270000000000003</v>
      </c>
      <c r="F4116" s="16">
        <v>0.1</v>
      </c>
      <c r="G4116" s="15" t="s">
        <v>32</v>
      </c>
      <c r="H4116" s="18">
        <v>-26.44</v>
      </c>
      <c r="I4116" s="19">
        <v>6.48</v>
      </c>
      <c r="J4116" s="19">
        <v>9.5399999999999991</v>
      </c>
      <c r="K4116" s="19" t="s">
        <v>124</v>
      </c>
      <c r="L4116" s="19" t="s">
        <v>125</v>
      </c>
      <c r="M4116" s="15" t="s">
        <v>2048</v>
      </c>
      <c r="N4116" s="15" t="s">
        <v>36</v>
      </c>
      <c r="O4116" s="15" t="s">
        <v>117</v>
      </c>
      <c r="P4116" s="20" t="s">
        <v>684</v>
      </c>
      <c r="Q4116" s="15" t="s">
        <v>83</v>
      </c>
      <c r="R4116" s="4"/>
      <c r="S4116" s="4"/>
    </row>
    <row r="4117" spans="1:19" ht="21" customHeight="1" x14ac:dyDescent="0.25">
      <c r="A4117" s="14">
        <f>DATE(2012,12,31)-1361</f>
        <v>39913</v>
      </c>
      <c r="B4117" s="15" t="s">
        <v>340</v>
      </c>
      <c r="C4117" s="15" t="s">
        <v>85</v>
      </c>
      <c r="D4117" s="16">
        <v>20</v>
      </c>
      <c r="E4117" s="17">
        <v>6449.0560000000005</v>
      </c>
      <c r="F4117" s="16">
        <v>0.01</v>
      </c>
      <c r="G4117" s="15" t="s">
        <v>58</v>
      </c>
      <c r="H4117" s="18">
        <v>1116.02</v>
      </c>
      <c r="I4117" s="19">
        <v>400.98</v>
      </c>
      <c r="J4117" s="19">
        <v>42.52</v>
      </c>
      <c r="K4117" s="19" t="s">
        <v>33</v>
      </c>
      <c r="L4117" s="19" t="s">
        <v>93</v>
      </c>
      <c r="M4117" s="15" t="s">
        <v>94</v>
      </c>
      <c r="N4117" s="15" t="s">
        <v>54</v>
      </c>
      <c r="O4117" s="15" t="s">
        <v>61</v>
      </c>
      <c r="P4117" s="20" t="s">
        <v>1001</v>
      </c>
      <c r="Q4117" s="15" t="s">
        <v>63</v>
      </c>
      <c r="R4117" s="4"/>
      <c r="S4117" s="4"/>
    </row>
    <row r="4118" spans="1:19" ht="21" customHeight="1" x14ac:dyDescent="0.25">
      <c r="A4118" s="14">
        <f>DATE(2012,12,31)-1252</f>
        <v>40022</v>
      </c>
      <c r="B4118" s="15" t="s">
        <v>869</v>
      </c>
      <c r="C4118" s="15" t="s">
        <v>85</v>
      </c>
      <c r="D4118" s="16">
        <v>4</v>
      </c>
      <c r="E4118" s="17">
        <v>13070.2</v>
      </c>
      <c r="F4118" s="16">
        <v>7.0000000000000007E-2</v>
      </c>
      <c r="G4118" s="15" t="s">
        <v>58</v>
      </c>
      <c r="H4118" s="18">
        <v>-6923.5991999999997</v>
      </c>
      <c r="I4118" s="19">
        <v>3502.14</v>
      </c>
      <c r="J4118" s="19">
        <v>8.73</v>
      </c>
      <c r="K4118" s="19" t="s">
        <v>33</v>
      </c>
      <c r="L4118" s="19" t="s">
        <v>93</v>
      </c>
      <c r="M4118" s="15" t="s">
        <v>94</v>
      </c>
      <c r="N4118" s="15" t="s">
        <v>64</v>
      </c>
      <c r="O4118" s="15" t="s">
        <v>122</v>
      </c>
      <c r="P4118" s="20" t="s">
        <v>613</v>
      </c>
      <c r="Q4118" s="15" t="s">
        <v>63</v>
      </c>
      <c r="R4118" s="4"/>
      <c r="S4118" s="4"/>
    </row>
    <row r="4119" spans="1:19" ht="21" customHeight="1" x14ac:dyDescent="0.25">
      <c r="A4119" s="14">
        <f>DATE(2012,12,31)-1278</f>
        <v>39996</v>
      </c>
      <c r="B4119" s="15" t="s">
        <v>736</v>
      </c>
      <c r="C4119" s="15" t="s">
        <v>51</v>
      </c>
      <c r="D4119" s="16">
        <v>50</v>
      </c>
      <c r="E4119" s="17">
        <v>281.39</v>
      </c>
      <c r="F4119" s="16">
        <v>0.1</v>
      </c>
      <c r="G4119" s="15" t="s">
        <v>32</v>
      </c>
      <c r="H4119" s="18">
        <v>-106.398</v>
      </c>
      <c r="I4119" s="19">
        <v>5.74</v>
      </c>
      <c r="J4119" s="19">
        <v>5.01</v>
      </c>
      <c r="K4119" s="19" t="s">
        <v>33</v>
      </c>
      <c r="L4119" s="19" t="s">
        <v>128</v>
      </c>
      <c r="M4119" s="15" t="s">
        <v>129</v>
      </c>
      <c r="N4119" s="15" t="s">
        <v>36</v>
      </c>
      <c r="O4119" s="15" t="s">
        <v>170</v>
      </c>
      <c r="P4119" s="20" t="s">
        <v>834</v>
      </c>
      <c r="Q4119" s="15" t="s">
        <v>83</v>
      </c>
      <c r="R4119" s="4"/>
      <c r="S4119" s="4"/>
    </row>
    <row r="4120" spans="1:19" ht="21" customHeight="1" x14ac:dyDescent="0.25">
      <c r="A4120" s="14">
        <f>DATE(2012,12,31)-1278</f>
        <v>39996</v>
      </c>
      <c r="B4120" s="15" t="s">
        <v>736</v>
      </c>
      <c r="C4120" s="15" t="s">
        <v>51</v>
      </c>
      <c r="D4120" s="16">
        <v>49</v>
      </c>
      <c r="E4120" s="17">
        <v>12593.91</v>
      </c>
      <c r="F4120" s="16">
        <v>0.09</v>
      </c>
      <c r="G4120" s="15" t="s">
        <v>58</v>
      </c>
      <c r="H4120" s="18">
        <v>2699.67</v>
      </c>
      <c r="I4120" s="19">
        <v>270.97000000000003</v>
      </c>
      <c r="J4120" s="19">
        <v>28.06</v>
      </c>
      <c r="K4120" s="19" t="s">
        <v>33</v>
      </c>
      <c r="L4120" s="19" t="s">
        <v>128</v>
      </c>
      <c r="M4120" s="15" t="s">
        <v>129</v>
      </c>
      <c r="N4120" s="15" t="s">
        <v>64</v>
      </c>
      <c r="O4120" s="15" t="s">
        <v>122</v>
      </c>
      <c r="P4120" s="20" t="s">
        <v>1865</v>
      </c>
      <c r="Q4120" s="15" t="s">
        <v>181</v>
      </c>
      <c r="R4120" s="4"/>
      <c r="S4120" s="4"/>
    </row>
    <row r="4121" spans="1:19" ht="21" customHeight="1" x14ac:dyDescent="0.25">
      <c r="A4121" s="14">
        <f>DATE(2012,12,31)-456</f>
        <v>40818</v>
      </c>
      <c r="B4121" s="15" t="s">
        <v>523</v>
      </c>
      <c r="C4121" s="15" t="s">
        <v>43</v>
      </c>
      <c r="D4121" s="16">
        <v>40</v>
      </c>
      <c r="E4121" s="17">
        <v>7789.63</v>
      </c>
      <c r="F4121" s="16">
        <v>0.08</v>
      </c>
      <c r="G4121" s="15" t="s">
        <v>58</v>
      </c>
      <c r="H4121" s="18">
        <v>1774.53</v>
      </c>
      <c r="I4121" s="19">
        <v>200.98</v>
      </c>
      <c r="J4121" s="19">
        <v>23.76</v>
      </c>
      <c r="K4121" s="19" t="s">
        <v>33</v>
      </c>
      <c r="L4121" s="19" t="s">
        <v>128</v>
      </c>
      <c r="M4121" s="15" t="s">
        <v>129</v>
      </c>
      <c r="N4121" s="15" t="s">
        <v>54</v>
      </c>
      <c r="O4121" s="15" t="s">
        <v>252</v>
      </c>
      <c r="P4121" s="20" t="s">
        <v>1277</v>
      </c>
      <c r="Q4121" s="15" t="s">
        <v>181</v>
      </c>
      <c r="R4121" s="4"/>
      <c r="S4121" s="4"/>
    </row>
    <row r="4122" spans="1:19" ht="21" customHeight="1" x14ac:dyDescent="0.25">
      <c r="A4122" s="14">
        <f>DATE(2012,12,31)-456</f>
        <v>40818</v>
      </c>
      <c r="B4122" s="15" t="s">
        <v>523</v>
      </c>
      <c r="C4122" s="15" t="s">
        <v>43</v>
      </c>
      <c r="D4122" s="16">
        <v>20</v>
      </c>
      <c r="E4122" s="17">
        <v>15703.82</v>
      </c>
      <c r="F4122" s="16">
        <v>0.06</v>
      </c>
      <c r="G4122" s="15" t="s">
        <v>58</v>
      </c>
      <c r="H4122" s="18">
        <v>3055.72</v>
      </c>
      <c r="I4122" s="19">
        <v>810.98</v>
      </c>
      <c r="J4122" s="19">
        <v>16.059999999999999</v>
      </c>
      <c r="K4122" s="19" t="s">
        <v>33</v>
      </c>
      <c r="L4122" s="19" t="s">
        <v>93</v>
      </c>
      <c r="M4122" s="15" t="s">
        <v>94</v>
      </c>
      <c r="N4122" s="15" t="s">
        <v>64</v>
      </c>
      <c r="O4122" s="15" t="s">
        <v>122</v>
      </c>
      <c r="P4122" s="20" t="s">
        <v>1857</v>
      </c>
      <c r="Q4122" s="15" t="s">
        <v>181</v>
      </c>
      <c r="R4122" s="4"/>
      <c r="S4122" s="4"/>
    </row>
    <row r="4123" spans="1:19" ht="21" customHeight="1" x14ac:dyDescent="0.25">
      <c r="A4123" s="14">
        <f>DATE(2012,12,31)-456</f>
        <v>40818</v>
      </c>
      <c r="B4123" s="15" t="s">
        <v>523</v>
      </c>
      <c r="C4123" s="15" t="s">
        <v>43</v>
      </c>
      <c r="D4123" s="16">
        <v>31</v>
      </c>
      <c r="E4123" s="17">
        <v>140.69</v>
      </c>
      <c r="F4123" s="16">
        <v>0.06</v>
      </c>
      <c r="G4123" s="15" t="s">
        <v>32</v>
      </c>
      <c r="H4123" s="18">
        <v>-14.54</v>
      </c>
      <c r="I4123" s="19">
        <v>4.71</v>
      </c>
      <c r="J4123" s="19">
        <v>0.7</v>
      </c>
      <c r="K4123" s="19" t="s">
        <v>97</v>
      </c>
      <c r="L4123" s="19" t="s">
        <v>195</v>
      </c>
      <c r="M4123" s="15" t="s">
        <v>2138</v>
      </c>
      <c r="N4123" s="15" t="s">
        <v>36</v>
      </c>
      <c r="O4123" s="15" t="s">
        <v>105</v>
      </c>
      <c r="P4123" s="20" t="s">
        <v>778</v>
      </c>
      <c r="Q4123" s="15" t="s">
        <v>79</v>
      </c>
      <c r="R4123" s="4"/>
      <c r="S4123" s="4"/>
    </row>
    <row r="4124" spans="1:19" ht="21" customHeight="1" x14ac:dyDescent="0.25">
      <c r="A4124" s="14">
        <f>DATE(2012,12,31)-550</f>
        <v>40724</v>
      </c>
      <c r="B4124" s="15" t="s">
        <v>900</v>
      </c>
      <c r="C4124" s="15" t="s">
        <v>43</v>
      </c>
      <c r="D4124" s="16">
        <v>21</v>
      </c>
      <c r="E4124" s="17">
        <v>2954.14</v>
      </c>
      <c r="F4124" s="16">
        <v>0.04</v>
      </c>
      <c r="G4124" s="15" t="s">
        <v>101</v>
      </c>
      <c r="H4124" s="18">
        <v>-522.94000000000005</v>
      </c>
      <c r="I4124" s="19">
        <v>138.13999999999999</v>
      </c>
      <c r="J4124" s="19">
        <v>35</v>
      </c>
      <c r="K4124" s="19" t="s">
        <v>97</v>
      </c>
      <c r="L4124" s="19" t="s">
        <v>283</v>
      </c>
      <c r="M4124" s="15" t="s">
        <v>1901</v>
      </c>
      <c r="N4124" s="15" t="s">
        <v>36</v>
      </c>
      <c r="O4124" s="15" t="s">
        <v>37</v>
      </c>
      <c r="P4124" s="20" t="s">
        <v>285</v>
      </c>
      <c r="Q4124" s="15" t="s">
        <v>39</v>
      </c>
      <c r="R4124" s="4"/>
      <c r="S4124" s="4"/>
    </row>
    <row r="4125" spans="1:19" ht="21" customHeight="1" x14ac:dyDescent="0.25">
      <c r="A4125" s="14">
        <f>DATE(2012,12,31)-550</f>
        <v>40724</v>
      </c>
      <c r="B4125" s="15" t="s">
        <v>900</v>
      </c>
      <c r="C4125" s="15" t="s">
        <v>43</v>
      </c>
      <c r="D4125" s="16">
        <v>34</v>
      </c>
      <c r="E4125" s="17">
        <v>3375.3074999999999</v>
      </c>
      <c r="F4125" s="16">
        <v>0.1</v>
      </c>
      <c r="G4125" s="15" t="s">
        <v>32</v>
      </c>
      <c r="H4125" s="18">
        <v>562.13100000000009</v>
      </c>
      <c r="I4125" s="19">
        <v>125.99</v>
      </c>
      <c r="J4125" s="19">
        <v>8.08</v>
      </c>
      <c r="K4125" s="19" t="s">
        <v>97</v>
      </c>
      <c r="L4125" s="19" t="s">
        <v>283</v>
      </c>
      <c r="M4125" s="15" t="s">
        <v>1901</v>
      </c>
      <c r="N4125" s="15" t="s">
        <v>64</v>
      </c>
      <c r="O4125" s="15" t="s">
        <v>65</v>
      </c>
      <c r="P4125" s="20" t="s">
        <v>174</v>
      </c>
      <c r="Q4125" s="15" t="s">
        <v>83</v>
      </c>
      <c r="R4125" s="4"/>
      <c r="S4125" s="4"/>
    </row>
    <row r="4126" spans="1:19" ht="21" customHeight="1" x14ac:dyDescent="0.25">
      <c r="A4126" s="14">
        <f>DATE(2012,12,31)-1437</f>
        <v>39837</v>
      </c>
      <c r="B4126" s="15" t="s">
        <v>1115</v>
      </c>
      <c r="C4126" s="15" t="s">
        <v>31</v>
      </c>
      <c r="D4126" s="16">
        <v>30</v>
      </c>
      <c r="E4126" s="17">
        <v>6654.39</v>
      </c>
      <c r="F4126" s="16">
        <v>0.1</v>
      </c>
      <c r="G4126" s="15" t="s">
        <v>32</v>
      </c>
      <c r="H4126" s="18">
        <v>1151.69</v>
      </c>
      <c r="I4126" s="19">
        <v>238.4</v>
      </c>
      <c r="J4126" s="19">
        <v>24.49</v>
      </c>
      <c r="K4126" s="19" t="s">
        <v>97</v>
      </c>
      <c r="L4126" s="19" t="s">
        <v>98</v>
      </c>
      <c r="M4126" s="15" t="s">
        <v>2085</v>
      </c>
      <c r="N4126" s="15" t="s">
        <v>54</v>
      </c>
      <c r="O4126" s="15" t="s">
        <v>252</v>
      </c>
      <c r="P4126" s="20" t="s">
        <v>2145</v>
      </c>
      <c r="Q4126" s="15" t="s">
        <v>39</v>
      </c>
      <c r="R4126" s="4"/>
      <c r="S4126" s="4"/>
    </row>
    <row r="4127" spans="1:19" ht="21" customHeight="1" x14ac:dyDescent="0.25">
      <c r="A4127" s="14">
        <f>DATE(2012,12,31)-1437</f>
        <v>39837</v>
      </c>
      <c r="B4127" s="15" t="s">
        <v>1115</v>
      </c>
      <c r="C4127" s="15" t="s">
        <v>31</v>
      </c>
      <c r="D4127" s="16">
        <v>21</v>
      </c>
      <c r="E4127" s="17">
        <v>4429.6899999999996</v>
      </c>
      <c r="F4127" s="16">
        <v>0.03</v>
      </c>
      <c r="G4127" s="15" t="s">
        <v>101</v>
      </c>
      <c r="H4127" s="18">
        <v>983.55</v>
      </c>
      <c r="I4127" s="19">
        <v>199.99</v>
      </c>
      <c r="J4127" s="19">
        <v>24.49</v>
      </c>
      <c r="K4127" s="19" t="s">
        <v>97</v>
      </c>
      <c r="L4127" s="19" t="s">
        <v>98</v>
      </c>
      <c r="M4127" s="15" t="s">
        <v>2085</v>
      </c>
      <c r="N4127" s="15" t="s">
        <v>64</v>
      </c>
      <c r="O4127" s="15" t="s">
        <v>460</v>
      </c>
      <c r="P4127" s="20" t="s">
        <v>1967</v>
      </c>
      <c r="Q4127" s="15" t="s">
        <v>39</v>
      </c>
      <c r="R4127" s="4"/>
      <c r="S4127" s="4"/>
    </row>
    <row r="4128" spans="1:19" ht="21" customHeight="1" x14ac:dyDescent="0.25">
      <c r="A4128" s="14">
        <f>DATE(2012,12,31)-1233</f>
        <v>40041</v>
      </c>
      <c r="B4128" s="15" t="s">
        <v>1854</v>
      </c>
      <c r="C4128" s="15" t="s">
        <v>31</v>
      </c>
      <c r="D4128" s="16">
        <v>2</v>
      </c>
      <c r="E4128" s="17">
        <v>29.06</v>
      </c>
      <c r="F4128" s="16">
        <v>0.1</v>
      </c>
      <c r="G4128" s="15" t="s">
        <v>32</v>
      </c>
      <c r="H4128" s="18">
        <v>-16.149999999999999</v>
      </c>
      <c r="I4128" s="19">
        <v>11.58</v>
      </c>
      <c r="J4128" s="19">
        <v>6.97</v>
      </c>
      <c r="K4128" s="19" t="s">
        <v>97</v>
      </c>
      <c r="L4128" s="19" t="s">
        <v>132</v>
      </c>
      <c r="M4128" s="15" t="s">
        <v>133</v>
      </c>
      <c r="N4128" s="15" t="s">
        <v>36</v>
      </c>
      <c r="O4128" s="15" t="s">
        <v>189</v>
      </c>
      <c r="P4128" s="20" t="s">
        <v>977</v>
      </c>
      <c r="Q4128" s="15" t="s">
        <v>83</v>
      </c>
      <c r="R4128" s="4"/>
      <c r="S4128" s="4"/>
    </row>
    <row r="4129" spans="1:19" ht="21" customHeight="1" x14ac:dyDescent="0.25">
      <c r="A4129" s="14">
        <f>DATE(2012,12,31)-141</f>
        <v>41133</v>
      </c>
      <c r="B4129" s="15" t="s">
        <v>418</v>
      </c>
      <c r="C4129" s="15" t="s">
        <v>85</v>
      </c>
      <c r="D4129" s="16">
        <v>50</v>
      </c>
      <c r="E4129" s="17">
        <v>2040.39</v>
      </c>
      <c r="F4129" s="16">
        <v>7.0000000000000007E-2</v>
      </c>
      <c r="G4129" s="15" t="s">
        <v>32</v>
      </c>
      <c r="H4129" s="18">
        <v>221.09</v>
      </c>
      <c r="I4129" s="19">
        <v>40.99</v>
      </c>
      <c r="J4129" s="19">
        <v>19.989999999999998</v>
      </c>
      <c r="K4129" s="19" t="s">
        <v>97</v>
      </c>
      <c r="L4129" s="19" t="s">
        <v>132</v>
      </c>
      <c r="M4129" s="15" t="s">
        <v>133</v>
      </c>
      <c r="N4129" s="15" t="s">
        <v>36</v>
      </c>
      <c r="O4129" s="15" t="s">
        <v>117</v>
      </c>
      <c r="P4129" s="20" t="s">
        <v>619</v>
      </c>
      <c r="Q4129" s="15" t="s">
        <v>83</v>
      </c>
      <c r="R4129" s="4"/>
      <c r="S4129" s="4"/>
    </row>
    <row r="4130" spans="1:19" ht="21" customHeight="1" x14ac:dyDescent="0.25">
      <c r="A4130" s="14">
        <f>DATE(2012,12,31)-935</f>
        <v>40339</v>
      </c>
      <c r="B4130" s="15" t="s">
        <v>1748</v>
      </c>
      <c r="C4130" s="15" t="s">
        <v>51</v>
      </c>
      <c r="D4130" s="16">
        <v>46</v>
      </c>
      <c r="E4130" s="17">
        <v>2526.54</v>
      </c>
      <c r="F4130" s="16">
        <v>0.04</v>
      </c>
      <c r="G4130" s="15" t="s">
        <v>32</v>
      </c>
      <c r="H4130" s="18">
        <v>772.11</v>
      </c>
      <c r="I4130" s="19">
        <v>65.989999999999995</v>
      </c>
      <c r="J4130" s="19">
        <v>2.5</v>
      </c>
      <c r="K4130" s="19" t="s">
        <v>97</v>
      </c>
      <c r="L4130" s="19" t="s">
        <v>98</v>
      </c>
      <c r="M4130" s="15" t="s">
        <v>2085</v>
      </c>
      <c r="N4130" s="15" t="s">
        <v>64</v>
      </c>
      <c r="O4130" s="15" t="s">
        <v>65</v>
      </c>
      <c r="P4130" s="20" t="s">
        <v>1239</v>
      </c>
      <c r="Q4130" s="15" t="s">
        <v>83</v>
      </c>
      <c r="R4130" s="4"/>
      <c r="S4130" s="4"/>
    </row>
    <row r="4131" spans="1:19" ht="21" customHeight="1" x14ac:dyDescent="0.25">
      <c r="A4131" s="14">
        <f>DATE(2012,12,31)-935</f>
        <v>40339</v>
      </c>
      <c r="B4131" s="15" t="s">
        <v>1748</v>
      </c>
      <c r="C4131" s="15" t="s">
        <v>51</v>
      </c>
      <c r="D4131" s="16">
        <v>33</v>
      </c>
      <c r="E4131" s="17">
        <v>162.38999999999999</v>
      </c>
      <c r="F4131" s="16">
        <v>0.1</v>
      </c>
      <c r="G4131" s="15" t="s">
        <v>32</v>
      </c>
      <c r="H4131" s="18">
        <v>-101.68</v>
      </c>
      <c r="I4131" s="19">
        <v>5.28</v>
      </c>
      <c r="J4131" s="19">
        <v>5.57</v>
      </c>
      <c r="K4131" s="19" t="s">
        <v>124</v>
      </c>
      <c r="L4131" s="19" t="s">
        <v>160</v>
      </c>
      <c r="M4131" s="15" t="s">
        <v>1951</v>
      </c>
      <c r="N4131" s="15" t="s">
        <v>36</v>
      </c>
      <c r="O4131" s="15" t="s">
        <v>117</v>
      </c>
      <c r="P4131" s="20" t="s">
        <v>417</v>
      </c>
      <c r="Q4131" s="15" t="s">
        <v>83</v>
      </c>
      <c r="R4131" s="4"/>
      <c r="S4131" s="4"/>
    </row>
    <row r="4132" spans="1:19" ht="21" customHeight="1" x14ac:dyDescent="0.25">
      <c r="A4132" s="14">
        <f>DATE(2012,12,31)-1224</f>
        <v>40050</v>
      </c>
      <c r="B4132" s="15" t="s">
        <v>630</v>
      </c>
      <c r="C4132" s="15" t="s">
        <v>51</v>
      </c>
      <c r="D4132" s="16">
        <v>47</v>
      </c>
      <c r="E4132" s="17">
        <v>2519.5500000000002</v>
      </c>
      <c r="F4132" s="16">
        <v>0.05</v>
      </c>
      <c r="G4132" s="15" t="s">
        <v>32</v>
      </c>
      <c r="H4132" s="18">
        <v>592.52650000000006</v>
      </c>
      <c r="I4132" s="19">
        <v>52.4</v>
      </c>
      <c r="J4132" s="19">
        <v>16.11</v>
      </c>
      <c r="K4132" s="19" t="s">
        <v>124</v>
      </c>
      <c r="L4132" s="19" t="s">
        <v>160</v>
      </c>
      <c r="M4132" s="15" t="s">
        <v>1951</v>
      </c>
      <c r="N4132" s="15" t="s">
        <v>36</v>
      </c>
      <c r="O4132" s="15" t="s">
        <v>170</v>
      </c>
      <c r="P4132" s="20" t="s">
        <v>1797</v>
      </c>
      <c r="Q4132" s="15" t="s">
        <v>83</v>
      </c>
      <c r="R4132" s="4"/>
      <c r="S4132" s="4"/>
    </row>
    <row r="4133" spans="1:19" ht="21" customHeight="1" x14ac:dyDescent="0.25">
      <c r="A4133" s="14">
        <f>DATE(2012,12,31)-1224</f>
        <v>40050</v>
      </c>
      <c r="B4133" s="15" t="s">
        <v>630</v>
      </c>
      <c r="C4133" s="15" t="s">
        <v>51</v>
      </c>
      <c r="D4133" s="16">
        <v>10</v>
      </c>
      <c r="E4133" s="17">
        <v>150.33000000000001</v>
      </c>
      <c r="F4133" s="16">
        <v>0.1</v>
      </c>
      <c r="G4133" s="15" t="s">
        <v>32</v>
      </c>
      <c r="H4133" s="18">
        <v>-47.88</v>
      </c>
      <c r="I4133" s="19">
        <v>15.14</v>
      </c>
      <c r="J4133" s="19">
        <v>4.53</v>
      </c>
      <c r="K4133" s="19" t="s">
        <v>124</v>
      </c>
      <c r="L4133" s="19" t="s">
        <v>493</v>
      </c>
      <c r="M4133" s="15" t="s">
        <v>2134</v>
      </c>
      <c r="N4133" s="15" t="s">
        <v>36</v>
      </c>
      <c r="O4133" s="15" t="s">
        <v>37</v>
      </c>
      <c r="P4133" s="20" t="s">
        <v>795</v>
      </c>
      <c r="Q4133" s="15" t="s">
        <v>83</v>
      </c>
      <c r="R4133" s="4"/>
      <c r="S4133" s="4"/>
    </row>
    <row r="4134" spans="1:19" ht="21" customHeight="1" x14ac:dyDescent="0.25">
      <c r="A4134" s="14">
        <f>DATE(2012,12,31)-1224</f>
        <v>40050</v>
      </c>
      <c r="B4134" s="15" t="s">
        <v>630</v>
      </c>
      <c r="C4134" s="15" t="s">
        <v>51</v>
      </c>
      <c r="D4134" s="16">
        <v>46</v>
      </c>
      <c r="E4134" s="17">
        <v>1634.17</v>
      </c>
      <c r="F4134" s="16">
        <v>0.05</v>
      </c>
      <c r="G4134" s="15" t="s">
        <v>101</v>
      </c>
      <c r="H4134" s="18">
        <v>232.8</v>
      </c>
      <c r="I4134" s="19">
        <v>36.549999999999997</v>
      </c>
      <c r="J4134" s="19">
        <v>13.89</v>
      </c>
      <c r="K4134" s="19" t="s">
        <v>124</v>
      </c>
      <c r="L4134" s="19" t="s">
        <v>160</v>
      </c>
      <c r="M4134" s="15" t="s">
        <v>1951</v>
      </c>
      <c r="N4134" s="15" t="s">
        <v>36</v>
      </c>
      <c r="O4134" s="15" t="s">
        <v>77</v>
      </c>
      <c r="P4134" s="20" t="s">
        <v>150</v>
      </c>
      <c r="Q4134" s="15" t="s">
        <v>79</v>
      </c>
      <c r="R4134" s="4"/>
      <c r="S4134" s="4"/>
    </row>
    <row r="4135" spans="1:19" ht="21" customHeight="1" x14ac:dyDescent="0.25">
      <c r="A4135" s="14">
        <f>DATE(2012,12,31)-455</f>
        <v>40819</v>
      </c>
      <c r="B4135" s="15" t="s">
        <v>343</v>
      </c>
      <c r="C4135" s="15" t="s">
        <v>85</v>
      </c>
      <c r="D4135" s="16">
        <v>17</v>
      </c>
      <c r="E4135" s="17">
        <v>5122.6099999999997</v>
      </c>
      <c r="F4135" s="16">
        <v>0.05</v>
      </c>
      <c r="G4135" s="15" t="s">
        <v>32</v>
      </c>
      <c r="H4135" s="18">
        <v>1784.0394999999999</v>
      </c>
      <c r="I4135" s="19">
        <v>304.99</v>
      </c>
      <c r="J4135" s="19">
        <v>19.989999999999998</v>
      </c>
      <c r="K4135" s="19" t="s">
        <v>124</v>
      </c>
      <c r="L4135" s="19" t="s">
        <v>160</v>
      </c>
      <c r="M4135" s="15" t="s">
        <v>1951</v>
      </c>
      <c r="N4135" s="15" t="s">
        <v>36</v>
      </c>
      <c r="O4135" s="15" t="s">
        <v>170</v>
      </c>
      <c r="P4135" s="20" t="s">
        <v>743</v>
      </c>
      <c r="Q4135" s="15" t="s">
        <v>83</v>
      </c>
      <c r="R4135" s="4"/>
      <c r="S4135" s="4"/>
    </row>
    <row r="4136" spans="1:19" ht="21" customHeight="1" x14ac:dyDescent="0.25">
      <c r="A4136" s="14">
        <f>DATE(2012,12,31)-142</f>
        <v>41132</v>
      </c>
      <c r="B4136" s="15" t="s">
        <v>1339</v>
      </c>
      <c r="C4136" s="15" t="s">
        <v>85</v>
      </c>
      <c r="D4136" s="16">
        <v>20</v>
      </c>
      <c r="E4136" s="17">
        <v>2850.31</v>
      </c>
      <c r="F4136" s="16">
        <v>0.09</v>
      </c>
      <c r="G4136" s="15" t="s">
        <v>32</v>
      </c>
      <c r="H4136" s="18">
        <v>569.08000000000004</v>
      </c>
      <c r="I4136" s="19">
        <v>155.06</v>
      </c>
      <c r="J4136" s="19">
        <v>7.07</v>
      </c>
      <c r="K4136" s="19" t="s">
        <v>124</v>
      </c>
      <c r="L4136" s="19" t="s">
        <v>125</v>
      </c>
      <c r="M4136" s="15" t="s">
        <v>2048</v>
      </c>
      <c r="N4136" s="15" t="s">
        <v>36</v>
      </c>
      <c r="O4136" s="15" t="s">
        <v>37</v>
      </c>
      <c r="P4136" s="20" t="s">
        <v>1107</v>
      </c>
      <c r="Q4136" s="15" t="s">
        <v>83</v>
      </c>
      <c r="R4136" s="4"/>
      <c r="S4136" s="4"/>
    </row>
    <row r="4137" spans="1:19" ht="21" customHeight="1" x14ac:dyDescent="0.25">
      <c r="A4137" s="14">
        <f>DATE(2012,12,31)-1344</f>
        <v>39930</v>
      </c>
      <c r="B4137" s="15" t="s">
        <v>1068</v>
      </c>
      <c r="C4137" s="15" t="s">
        <v>43</v>
      </c>
      <c r="D4137" s="16">
        <v>13</v>
      </c>
      <c r="E4137" s="17">
        <v>150.13</v>
      </c>
      <c r="F4137" s="16">
        <v>0.09</v>
      </c>
      <c r="G4137" s="15" t="s">
        <v>32</v>
      </c>
      <c r="H4137" s="18">
        <v>1.73</v>
      </c>
      <c r="I4137" s="19">
        <v>12.28</v>
      </c>
      <c r="J4137" s="19">
        <v>4.8600000000000003</v>
      </c>
      <c r="K4137" s="19" t="s">
        <v>124</v>
      </c>
      <c r="L4137" s="19" t="s">
        <v>158</v>
      </c>
      <c r="M4137" s="15" t="s">
        <v>158</v>
      </c>
      <c r="N4137" s="15" t="s">
        <v>36</v>
      </c>
      <c r="O4137" s="15" t="s">
        <v>117</v>
      </c>
      <c r="P4137" s="20" t="s">
        <v>2123</v>
      </c>
      <c r="Q4137" s="15" t="s">
        <v>83</v>
      </c>
      <c r="R4137" s="4"/>
      <c r="S4137" s="4"/>
    </row>
    <row r="4138" spans="1:19" ht="21" customHeight="1" x14ac:dyDescent="0.25">
      <c r="A4138" s="14">
        <f>DATE(2012,12,31)-775</f>
        <v>40499</v>
      </c>
      <c r="B4138" s="15" t="s">
        <v>1671</v>
      </c>
      <c r="C4138" s="15" t="s">
        <v>51</v>
      </c>
      <c r="D4138" s="16">
        <v>42</v>
      </c>
      <c r="E4138" s="17">
        <v>239.35</v>
      </c>
      <c r="F4138" s="16">
        <v>0.05</v>
      </c>
      <c r="G4138" s="15" t="s">
        <v>32</v>
      </c>
      <c r="H4138" s="18">
        <v>78.959999999999994</v>
      </c>
      <c r="I4138" s="19">
        <v>5.68</v>
      </c>
      <c r="J4138" s="19">
        <v>1.39</v>
      </c>
      <c r="K4138" s="19" t="s">
        <v>124</v>
      </c>
      <c r="L4138" s="19" t="s">
        <v>125</v>
      </c>
      <c r="M4138" s="15" t="s">
        <v>2048</v>
      </c>
      <c r="N4138" s="15" t="s">
        <v>36</v>
      </c>
      <c r="O4138" s="15" t="s">
        <v>189</v>
      </c>
      <c r="P4138" s="20" t="s">
        <v>202</v>
      </c>
      <c r="Q4138" s="15" t="s">
        <v>83</v>
      </c>
      <c r="R4138" s="4"/>
      <c r="S4138" s="4"/>
    </row>
    <row r="4139" spans="1:19" ht="21" customHeight="1" x14ac:dyDescent="0.25">
      <c r="A4139" s="14">
        <f>DATE(2012,12,31)-775</f>
        <v>40499</v>
      </c>
      <c r="B4139" s="15" t="s">
        <v>1671</v>
      </c>
      <c r="C4139" s="15" t="s">
        <v>51</v>
      </c>
      <c r="D4139" s="16">
        <v>34</v>
      </c>
      <c r="E4139" s="17">
        <v>684.66</v>
      </c>
      <c r="F4139" s="16">
        <v>7.0000000000000007E-2</v>
      </c>
      <c r="G4139" s="15" t="s">
        <v>101</v>
      </c>
      <c r="H4139" s="18">
        <v>35.090000000000003</v>
      </c>
      <c r="I4139" s="19">
        <v>19.98</v>
      </c>
      <c r="J4139" s="19">
        <v>10.49</v>
      </c>
      <c r="K4139" s="19" t="s">
        <v>124</v>
      </c>
      <c r="L4139" s="19" t="s">
        <v>164</v>
      </c>
      <c r="M4139" s="15" t="s">
        <v>2126</v>
      </c>
      <c r="N4139" s="15" t="s">
        <v>54</v>
      </c>
      <c r="O4139" s="15" t="s">
        <v>55</v>
      </c>
      <c r="P4139" s="20" t="s">
        <v>889</v>
      </c>
      <c r="Q4139" s="15" t="s">
        <v>83</v>
      </c>
      <c r="R4139" s="4"/>
      <c r="S4139" s="4"/>
    </row>
    <row r="4140" spans="1:19" ht="21" customHeight="1" x14ac:dyDescent="0.25">
      <c r="A4140" s="14">
        <f>DATE(2012,12,31)-409</f>
        <v>40865</v>
      </c>
      <c r="B4140" s="15" t="s">
        <v>367</v>
      </c>
      <c r="C4140" s="15" t="s">
        <v>85</v>
      </c>
      <c r="D4140" s="16">
        <v>20</v>
      </c>
      <c r="E4140" s="17">
        <v>157.13</v>
      </c>
      <c r="F4140" s="16">
        <v>7.0000000000000007E-2</v>
      </c>
      <c r="G4140" s="15" t="s">
        <v>32</v>
      </c>
      <c r="H4140" s="18">
        <v>-46.89</v>
      </c>
      <c r="I4140" s="19">
        <v>8.32</v>
      </c>
      <c r="J4140" s="19">
        <v>2.38</v>
      </c>
      <c r="K4140" s="19" t="s">
        <v>124</v>
      </c>
      <c r="L4140" s="19" t="s">
        <v>164</v>
      </c>
      <c r="M4140" s="15" t="s">
        <v>2126</v>
      </c>
      <c r="N4140" s="15" t="s">
        <v>64</v>
      </c>
      <c r="O4140" s="15" t="s">
        <v>72</v>
      </c>
      <c r="P4140" s="20" t="s">
        <v>876</v>
      </c>
      <c r="Q4140" s="15" t="s">
        <v>49</v>
      </c>
      <c r="R4140" s="4"/>
      <c r="S4140" s="4"/>
    </row>
    <row r="4141" spans="1:19" ht="21" customHeight="1" x14ac:dyDescent="0.25">
      <c r="A4141" s="14">
        <f>DATE(2012,12,31)-409</f>
        <v>40865</v>
      </c>
      <c r="B4141" s="15" t="s">
        <v>367</v>
      </c>
      <c r="C4141" s="15" t="s">
        <v>85</v>
      </c>
      <c r="D4141" s="16">
        <v>28</v>
      </c>
      <c r="E4141" s="17">
        <v>195.11</v>
      </c>
      <c r="F4141" s="16">
        <v>0.04</v>
      </c>
      <c r="G4141" s="15" t="s">
        <v>32</v>
      </c>
      <c r="H4141" s="18">
        <v>-129.41999999999999</v>
      </c>
      <c r="I4141" s="19">
        <v>6.48</v>
      </c>
      <c r="J4141" s="19">
        <v>8.73</v>
      </c>
      <c r="K4141" s="19" t="s">
        <v>44</v>
      </c>
      <c r="L4141" s="19" t="s">
        <v>52</v>
      </c>
      <c r="M4141" s="15" t="s">
        <v>2068</v>
      </c>
      <c r="N4141" s="15" t="s">
        <v>36</v>
      </c>
      <c r="O4141" s="15" t="s">
        <v>117</v>
      </c>
      <c r="P4141" s="20" t="s">
        <v>880</v>
      </c>
      <c r="Q4141" s="15" t="s">
        <v>83</v>
      </c>
      <c r="R4141" s="4"/>
      <c r="S4141" s="4"/>
    </row>
    <row r="4142" spans="1:19" ht="21" customHeight="1" x14ac:dyDescent="0.25">
      <c r="A4142" s="14">
        <f>DATE(2012,12,31)-409</f>
        <v>40865</v>
      </c>
      <c r="B4142" s="15" t="s">
        <v>367</v>
      </c>
      <c r="C4142" s="15" t="s">
        <v>85</v>
      </c>
      <c r="D4142" s="16">
        <v>29</v>
      </c>
      <c r="E4142" s="17">
        <v>2738.7849999999999</v>
      </c>
      <c r="F4142" s="16">
        <v>7.0000000000000007E-2</v>
      </c>
      <c r="G4142" s="15" t="s">
        <v>32</v>
      </c>
      <c r="H4142" s="18">
        <v>556.83000000000004</v>
      </c>
      <c r="I4142" s="19">
        <v>115.99</v>
      </c>
      <c r="J4142" s="19">
        <v>2.5</v>
      </c>
      <c r="K4142" s="19" t="s">
        <v>124</v>
      </c>
      <c r="L4142" s="19" t="s">
        <v>319</v>
      </c>
      <c r="M4142" s="15" t="s">
        <v>2146</v>
      </c>
      <c r="N4142" s="15" t="s">
        <v>64</v>
      </c>
      <c r="O4142" s="15" t="s">
        <v>65</v>
      </c>
      <c r="P4142" s="20" t="s">
        <v>1997</v>
      </c>
      <c r="Q4142" s="15" t="s">
        <v>83</v>
      </c>
      <c r="R4142" s="4"/>
      <c r="S4142" s="4"/>
    </row>
    <row r="4143" spans="1:19" ht="21" customHeight="1" x14ac:dyDescent="0.25">
      <c r="A4143" s="14">
        <f>DATE(2012,12,31)-409</f>
        <v>40865</v>
      </c>
      <c r="B4143" s="15" t="s">
        <v>367</v>
      </c>
      <c r="C4143" s="15" t="s">
        <v>85</v>
      </c>
      <c r="D4143" s="16">
        <v>30</v>
      </c>
      <c r="E4143" s="17">
        <v>217.42</v>
      </c>
      <c r="F4143" s="16">
        <v>0.09</v>
      </c>
      <c r="G4143" s="15" t="s">
        <v>32</v>
      </c>
      <c r="H4143" s="18">
        <v>16.97</v>
      </c>
      <c r="I4143" s="19">
        <v>7.59</v>
      </c>
      <c r="J4143" s="19">
        <v>4</v>
      </c>
      <c r="K4143" s="19" t="s">
        <v>124</v>
      </c>
      <c r="L4143" s="19" t="s">
        <v>319</v>
      </c>
      <c r="M4143" s="15" t="s">
        <v>2146</v>
      </c>
      <c r="N4143" s="15" t="s">
        <v>54</v>
      </c>
      <c r="O4143" s="15" t="s">
        <v>55</v>
      </c>
      <c r="P4143" s="20" t="s">
        <v>951</v>
      </c>
      <c r="Q4143" s="15" t="s">
        <v>79</v>
      </c>
      <c r="R4143" s="4"/>
      <c r="S4143" s="4"/>
    </row>
    <row r="4144" spans="1:19" ht="21" customHeight="1" x14ac:dyDescent="0.25">
      <c r="A4144" s="14">
        <f>DATE(2012,12,31)-974</f>
        <v>40300</v>
      </c>
      <c r="B4144" s="15" t="s">
        <v>785</v>
      </c>
      <c r="C4144" s="15" t="s">
        <v>43</v>
      </c>
      <c r="D4144" s="16">
        <v>44</v>
      </c>
      <c r="E4144" s="17">
        <v>4260.7299999999996</v>
      </c>
      <c r="F4144" s="16">
        <v>7.0000000000000007E-2</v>
      </c>
      <c r="G4144" s="15" t="s">
        <v>58</v>
      </c>
      <c r="H4144" s="18">
        <v>251.58</v>
      </c>
      <c r="I4144" s="19">
        <v>119.99</v>
      </c>
      <c r="J4144" s="19">
        <v>56.14</v>
      </c>
      <c r="K4144" s="19" t="s">
        <v>44</v>
      </c>
      <c r="L4144" s="19" t="s">
        <v>52</v>
      </c>
      <c r="M4144" s="15" t="s">
        <v>2068</v>
      </c>
      <c r="N4144" s="15" t="s">
        <v>64</v>
      </c>
      <c r="O4144" s="15" t="s">
        <v>122</v>
      </c>
      <c r="P4144" s="20" t="s">
        <v>1542</v>
      </c>
      <c r="Q4144" s="15" t="s">
        <v>63</v>
      </c>
      <c r="R4144" s="4"/>
      <c r="S4144" s="4"/>
    </row>
    <row r="4145" spans="1:19" ht="21" customHeight="1" x14ac:dyDescent="0.25">
      <c r="A4145" s="14">
        <f>DATE(2012,12,31)-718</f>
        <v>40556</v>
      </c>
      <c r="B4145" s="15" t="s">
        <v>431</v>
      </c>
      <c r="C4145" s="15" t="s">
        <v>51</v>
      </c>
      <c r="D4145" s="16">
        <v>23</v>
      </c>
      <c r="E4145" s="17">
        <v>38.99</v>
      </c>
      <c r="F4145" s="16">
        <v>0.09</v>
      </c>
      <c r="G4145" s="15" t="s">
        <v>32</v>
      </c>
      <c r="H4145" s="18">
        <v>-33.520000000000003</v>
      </c>
      <c r="I4145" s="19">
        <v>1.7</v>
      </c>
      <c r="J4145" s="19">
        <v>1.99</v>
      </c>
      <c r="K4145" s="19" t="s">
        <v>44</v>
      </c>
      <c r="L4145" s="19" t="s">
        <v>52</v>
      </c>
      <c r="M4145" s="15" t="s">
        <v>2068</v>
      </c>
      <c r="N4145" s="15" t="s">
        <v>64</v>
      </c>
      <c r="O4145" s="15" t="s">
        <v>72</v>
      </c>
      <c r="P4145" s="20" t="s">
        <v>1852</v>
      </c>
      <c r="Q4145" s="15" t="s">
        <v>49</v>
      </c>
      <c r="R4145" s="4"/>
      <c r="S4145" s="4"/>
    </row>
    <row r="4146" spans="1:19" ht="21" customHeight="1" x14ac:dyDescent="0.25">
      <c r="A4146" s="14">
        <f>DATE(2012,12,31)-1201</f>
        <v>40073</v>
      </c>
      <c r="B4146" s="15" t="s">
        <v>1913</v>
      </c>
      <c r="C4146" s="15" t="s">
        <v>85</v>
      </c>
      <c r="D4146" s="16">
        <v>35</v>
      </c>
      <c r="E4146" s="17">
        <v>4186.53</v>
      </c>
      <c r="F4146" s="16">
        <v>0.04</v>
      </c>
      <c r="G4146" s="15" t="s">
        <v>32</v>
      </c>
      <c r="H4146" s="18">
        <v>1929.58</v>
      </c>
      <c r="I4146" s="19">
        <v>120.97</v>
      </c>
      <c r="J4146" s="19">
        <v>7.11</v>
      </c>
      <c r="K4146" s="19" t="s">
        <v>44</v>
      </c>
      <c r="L4146" s="19" t="s">
        <v>52</v>
      </c>
      <c r="M4146" s="15" t="s">
        <v>2068</v>
      </c>
      <c r="N4146" s="15" t="s">
        <v>64</v>
      </c>
      <c r="O4146" s="15" t="s">
        <v>122</v>
      </c>
      <c r="P4146" s="20" t="s">
        <v>955</v>
      </c>
      <c r="Q4146" s="15" t="s">
        <v>57</v>
      </c>
      <c r="R4146" s="4"/>
      <c r="S4146" s="4"/>
    </row>
    <row r="4147" spans="1:19" ht="21" customHeight="1" x14ac:dyDescent="0.25">
      <c r="A4147" s="14">
        <f>DATE(2012,12,31)-1201</f>
        <v>40073</v>
      </c>
      <c r="B4147" s="15" t="s">
        <v>1913</v>
      </c>
      <c r="C4147" s="15" t="s">
        <v>85</v>
      </c>
      <c r="D4147" s="16">
        <v>36</v>
      </c>
      <c r="E4147" s="17">
        <v>6057.27</v>
      </c>
      <c r="F4147" s="16">
        <v>0</v>
      </c>
      <c r="G4147" s="15" t="s">
        <v>32</v>
      </c>
      <c r="H4147" s="18">
        <v>1585.5030000000002</v>
      </c>
      <c r="I4147" s="19">
        <v>195.99</v>
      </c>
      <c r="J4147" s="19">
        <v>4.2</v>
      </c>
      <c r="K4147" s="19" t="s">
        <v>44</v>
      </c>
      <c r="L4147" s="19" t="s">
        <v>80</v>
      </c>
      <c r="M4147" s="15" t="s">
        <v>2081</v>
      </c>
      <c r="N4147" s="15" t="s">
        <v>64</v>
      </c>
      <c r="O4147" s="15" t="s">
        <v>65</v>
      </c>
      <c r="P4147" s="20" t="s">
        <v>1393</v>
      </c>
      <c r="Q4147" s="15" t="s">
        <v>83</v>
      </c>
      <c r="R4147" s="4"/>
      <c r="S4147" s="4"/>
    </row>
    <row r="4148" spans="1:19" ht="21" customHeight="1" x14ac:dyDescent="0.25">
      <c r="A4148" s="14">
        <f>DATE(2012,12,31)-269</f>
        <v>41005</v>
      </c>
      <c r="B4148" s="15" t="s">
        <v>1817</v>
      </c>
      <c r="C4148" s="15" t="s">
        <v>51</v>
      </c>
      <c r="D4148" s="16">
        <v>29</v>
      </c>
      <c r="E4148" s="17">
        <v>67.87</v>
      </c>
      <c r="F4148" s="16">
        <v>7.0000000000000007E-2</v>
      </c>
      <c r="G4148" s="15" t="s">
        <v>32</v>
      </c>
      <c r="H4148" s="18">
        <v>-112.54</v>
      </c>
      <c r="I4148" s="19">
        <v>2.2200000000000002</v>
      </c>
      <c r="J4148" s="19">
        <v>5</v>
      </c>
      <c r="K4148" s="19" t="s">
        <v>44</v>
      </c>
      <c r="L4148" s="19" t="s">
        <v>52</v>
      </c>
      <c r="M4148" s="15" t="s">
        <v>2068</v>
      </c>
      <c r="N4148" s="15" t="s">
        <v>36</v>
      </c>
      <c r="O4148" s="15" t="s">
        <v>176</v>
      </c>
      <c r="P4148" s="20" t="s">
        <v>2147</v>
      </c>
      <c r="Q4148" s="15" t="s">
        <v>83</v>
      </c>
      <c r="R4148" s="4"/>
      <c r="S4148" s="4"/>
    </row>
    <row r="4149" spans="1:19" ht="21" customHeight="1" x14ac:dyDescent="0.25">
      <c r="A4149" s="14">
        <f>DATE(2012,12,31)-269</f>
        <v>41005</v>
      </c>
      <c r="B4149" s="15" t="s">
        <v>1817</v>
      </c>
      <c r="C4149" s="15" t="s">
        <v>51</v>
      </c>
      <c r="D4149" s="16">
        <v>33</v>
      </c>
      <c r="E4149" s="17">
        <v>542.24</v>
      </c>
      <c r="F4149" s="16">
        <v>0.02</v>
      </c>
      <c r="G4149" s="15" t="s">
        <v>32</v>
      </c>
      <c r="H4149" s="18">
        <v>268.52999999999997</v>
      </c>
      <c r="I4149" s="19">
        <v>15.67</v>
      </c>
      <c r="J4149" s="19">
        <v>1.39</v>
      </c>
      <c r="K4149" s="19" t="s">
        <v>44</v>
      </c>
      <c r="L4149" s="19" t="s">
        <v>52</v>
      </c>
      <c r="M4149" s="15" t="s">
        <v>2068</v>
      </c>
      <c r="N4149" s="15" t="s">
        <v>36</v>
      </c>
      <c r="O4149" s="15" t="s">
        <v>189</v>
      </c>
      <c r="P4149" s="20" t="s">
        <v>967</v>
      </c>
      <c r="Q4149" s="15" t="s">
        <v>83</v>
      </c>
      <c r="R4149" s="4"/>
      <c r="S4149" s="4"/>
    </row>
    <row r="4150" spans="1:19" ht="21" customHeight="1" x14ac:dyDescent="0.25">
      <c r="A4150" s="14">
        <f>DATE(2012,12,31)-269</f>
        <v>41005</v>
      </c>
      <c r="B4150" s="15" t="s">
        <v>1817</v>
      </c>
      <c r="C4150" s="15" t="s">
        <v>51</v>
      </c>
      <c r="D4150" s="16">
        <v>38</v>
      </c>
      <c r="E4150" s="17">
        <v>15174.95</v>
      </c>
      <c r="F4150" s="16">
        <v>0.02</v>
      </c>
      <c r="G4150" s="15" t="s">
        <v>58</v>
      </c>
      <c r="H4150" s="18">
        <v>7251.92</v>
      </c>
      <c r="I4150" s="19">
        <v>400.97</v>
      </c>
      <c r="J4150" s="19">
        <v>48.26</v>
      </c>
      <c r="K4150" s="19" t="s">
        <v>44</v>
      </c>
      <c r="L4150" s="19" t="s">
        <v>52</v>
      </c>
      <c r="M4150" s="15" t="s">
        <v>2068</v>
      </c>
      <c r="N4150" s="15" t="s">
        <v>64</v>
      </c>
      <c r="O4150" s="15" t="s">
        <v>122</v>
      </c>
      <c r="P4150" s="20" t="s">
        <v>1937</v>
      </c>
      <c r="Q4150" s="15" t="s">
        <v>63</v>
      </c>
      <c r="R4150" s="4"/>
      <c r="S4150" s="4"/>
    </row>
    <row r="4151" spans="1:19" ht="21" customHeight="1" x14ac:dyDescent="0.25">
      <c r="A4151" s="14">
        <f>DATE(2012,12,31)-269</f>
        <v>41005</v>
      </c>
      <c r="B4151" s="15" t="s">
        <v>1817</v>
      </c>
      <c r="C4151" s="15" t="s">
        <v>51</v>
      </c>
      <c r="D4151" s="16">
        <v>45</v>
      </c>
      <c r="E4151" s="17">
        <v>1084.1199999999999</v>
      </c>
      <c r="F4151" s="16">
        <v>0.04</v>
      </c>
      <c r="G4151" s="15" t="s">
        <v>32</v>
      </c>
      <c r="H4151" s="18">
        <v>294.43</v>
      </c>
      <c r="I4151" s="19">
        <v>23.99</v>
      </c>
      <c r="J4151" s="19">
        <v>6.3</v>
      </c>
      <c r="K4151" s="19" t="s">
        <v>44</v>
      </c>
      <c r="L4151" s="19" t="s">
        <v>52</v>
      </c>
      <c r="M4151" s="15" t="s">
        <v>2068</v>
      </c>
      <c r="N4151" s="15" t="s">
        <v>64</v>
      </c>
      <c r="O4151" s="15" t="s">
        <v>122</v>
      </c>
      <c r="P4151" s="20" t="s">
        <v>1205</v>
      </c>
      <c r="Q4151" s="15" t="s">
        <v>57</v>
      </c>
      <c r="R4151" s="4"/>
      <c r="S4151" s="4"/>
    </row>
    <row r="4152" spans="1:19" ht="21" customHeight="1" x14ac:dyDescent="0.25">
      <c r="A4152" s="14">
        <f>DATE(2012,12,31)-824</f>
        <v>40450</v>
      </c>
      <c r="B4152" s="15" t="s">
        <v>288</v>
      </c>
      <c r="C4152" s="15" t="s">
        <v>51</v>
      </c>
      <c r="D4152" s="16">
        <v>28</v>
      </c>
      <c r="E4152" s="17">
        <v>2531.35</v>
      </c>
      <c r="F4152" s="16">
        <v>0.09</v>
      </c>
      <c r="G4152" s="15" t="s">
        <v>58</v>
      </c>
      <c r="H4152" s="18">
        <v>415.55</v>
      </c>
      <c r="I4152" s="19">
        <v>90.97</v>
      </c>
      <c r="J4152" s="19">
        <v>28</v>
      </c>
      <c r="K4152" s="19" t="s">
        <v>44</v>
      </c>
      <c r="L4152" s="19" t="s">
        <v>52</v>
      </c>
      <c r="M4152" s="15" t="s">
        <v>2068</v>
      </c>
      <c r="N4152" s="15" t="s">
        <v>64</v>
      </c>
      <c r="O4152" s="15" t="s">
        <v>122</v>
      </c>
      <c r="P4152" s="20" t="s">
        <v>1440</v>
      </c>
      <c r="Q4152" s="15" t="s">
        <v>181</v>
      </c>
      <c r="R4152" s="4"/>
      <c r="S4152" s="4"/>
    </row>
    <row r="4153" spans="1:19" ht="21" customHeight="1" x14ac:dyDescent="0.25">
      <c r="A4153" s="14">
        <f>DATE(2012,12,31)-320</f>
        <v>40954</v>
      </c>
      <c r="B4153" s="15" t="s">
        <v>578</v>
      </c>
      <c r="C4153" s="15" t="s">
        <v>85</v>
      </c>
      <c r="D4153" s="16">
        <v>40</v>
      </c>
      <c r="E4153" s="17">
        <v>13367.82</v>
      </c>
      <c r="F4153" s="16">
        <v>0</v>
      </c>
      <c r="G4153" s="15" t="s">
        <v>58</v>
      </c>
      <c r="H4153" s="18">
        <v>-774.89068800000007</v>
      </c>
      <c r="I4153" s="19">
        <v>320.64</v>
      </c>
      <c r="J4153" s="19">
        <v>29.2</v>
      </c>
      <c r="K4153" s="19" t="s">
        <v>44</v>
      </c>
      <c r="L4153" s="19" t="s">
        <v>52</v>
      </c>
      <c r="M4153" s="15" t="s">
        <v>2068</v>
      </c>
      <c r="N4153" s="15" t="s">
        <v>54</v>
      </c>
      <c r="O4153" s="15" t="s">
        <v>61</v>
      </c>
      <c r="P4153" s="20" t="s">
        <v>1280</v>
      </c>
      <c r="Q4153" s="15" t="s">
        <v>63</v>
      </c>
      <c r="R4153" s="4"/>
      <c r="S4153" s="4"/>
    </row>
    <row r="4154" spans="1:19" ht="21" customHeight="1" x14ac:dyDescent="0.25">
      <c r="A4154" s="14">
        <f>DATE(2012,12,31)-320</f>
        <v>40954</v>
      </c>
      <c r="B4154" s="15" t="s">
        <v>578</v>
      </c>
      <c r="C4154" s="15" t="s">
        <v>85</v>
      </c>
      <c r="D4154" s="16">
        <v>31</v>
      </c>
      <c r="E4154" s="17">
        <v>206.28649999999999</v>
      </c>
      <c r="F4154" s="16">
        <v>0.05</v>
      </c>
      <c r="G4154" s="15" t="s">
        <v>32</v>
      </c>
      <c r="H4154" s="18">
        <v>-111.98</v>
      </c>
      <c r="I4154" s="19">
        <v>7.99</v>
      </c>
      <c r="J4154" s="19">
        <v>5.03</v>
      </c>
      <c r="K4154" s="19" t="s">
        <v>44</v>
      </c>
      <c r="L4154" s="19" t="s">
        <v>52</v>
      </c>
      <c r="M4154" s="15" t="s">
        <v>2068</v>
      </c>
      <c r="N4154" s="15" t="s">
        <v>64</v>
      </c>
      <c r="O4154" s="15" t="s">
        <v>65</v>
      </c>
      <c r="P4154" s="20" t="s">
        <v>66</v>
      </c>
      <c r="Q4154" s="15" t="s">
        <v>57</v>
      </c>
      <c r="R4154" s="4"/>
      <c r="S4154" s="4"/>
    </row>
    <row r="4155" spans="1:19" ht="21" customHeight="1" x14ac:dyDescent="0.25">
      <c r="A4155" s="14">
        <f>DATE(2012,12,31)-1043</f>
        <v>40231</v>
      </c>
      <c r="B4155" s="15" t="s">
        <v>796</v>
      </c>
      <c r="C4155" s="15" t="s">
        <v>51</v>
      </c>
      <c r="D4155" s="16">
        <v>49</v>
      </c>
      <c r="E4155" s="17">
        <v>235.12</v>
      </c>
      <c r="F4155" s="16">
        <v>0.09</v>
      </c>
      <c r="G4155" s="15" t="s">
        <v>32</v>
      </c>
      <c r="H4155" s="18">
        <v>-29.62</v>
      </c>
      <c r="I4155" s="19">
        <v>4.91</v>
      </c>
      <c r="J4155" s="19">
        <v>3.05</v>
      </c>
      <c r="K4155" s="19" t="s">
        <v>44</v>
      </c>
      <c r="L4155" s="19" t="s">
        <v>236</v>
      </c>
      <c r="M4155" s="15" t="s">
        <v>2129</v>
      </c>
      <c r="N4155" s="15" t="s">
        <v>54</v>
      </c>
      <c r="O4155" s="15" t="s">
        <v>55</v>
      </c>
      <c r="P4155" s="20" t="s">
        <v>2080</v>
      </c>
      <c r="Q4155" s="15" t="s">
        <v>49</v>
      </c>
      <c r="R4155" s="4"/>
      <c r="S4155" s="4"/>
    </row>
    <row r="4156" spans="1:19" ht="21" customHeight="1" x14ac:dyDescent="0.25">
      <c r="A4156" s="14">
        <f>DATE(2012,12,31)-1043</f>
        <v>40231</v>
      </c>
      <c r="B4156" s="15" t="s">
        <v>796</v>
      </c>
      <c r="C4156" s="15" t="s">
        <v>51</v>
      </c>
      <c r="D4156" s="16">
        <v>2</v>
      </c>
      <c r="E4156" s="17">
        <v>1814.82</v>
      </c>
      <c r="F4156" s="16">
        <v>0</v>
      </c>
      <c r="G4156" s="15" t="s">
        <v>58</v>
      </c>
      <c r="H4156" s="18">
        <v>-1128.6600000000001</v>
      </c>
      <c r="I4156" s="19">
        <v>880.98</v>
      </c>
      <c r="J4156" s="19">
        <v>44.55</v>
      </c>
      <c r="K4156" s="19" t="s">
        <v>44</v>
      </c>
      <c r="L4156" s="19" t="s">
        <v>52</v>
      </c>
      <c r="M4156" s="15" t="s">
        <v>2068</v>
      </c>
      <c r="N4156" s="15" t="s">
        <v>54</v>
      </c>
      <c r="O4156" s="15" t="s">
        <v>134</v>
      </c>
      <c r="P4156" s="20" t="s">
        <v>668</v>
      </c>
      <c r="Q4156" s="15" t="s">
        <v>63</v>
      </c>
      <c r="R4156" s="4"/>
      <c r="S4156" s="4"/>
    </row>
    <row r="4157" spans="1:19" ht="21" customHeight="1" x14ac:dyDescent="0.25">
      <c r="A4157" s="14">
        <f>DATE(2012,12,31)-997</f>
        <v>40277</v>
      </c>
      <c r="B4157" s="15" t="s">
        <v>1320</v>
      </c>
      <c r="C4157" s="15" t="s">
        <v>51</v>
      </c>
      <c r="D4157" s="16">
        <v>15</v>
      </c>
      <c r="E4157" s="17">
        <v>272.89249999999998</v>
      </c>
      <c r="F4157" s="16">
        <v>0.01</v>
      </c>
      <c r="G4157" s="15" t="s">
        <v>32</v>
      </c>
      <c r="H4157" s="18">
        <v>19.611000000000001</v>
      </c>
      <c r="I4157" s="19">
        <v>20.99</v>
      </c>
      <c r="J4157" s="19">
        <v>0.99</v>
      </c>
      <c r="K4157" s="19" t="s">
        <v>44</v>
      </c>
      <c r="L4157" s="19" t="s">
        <v>52</v>
      </c>
      <c r="M4157" s="15" t="s">
        <v>2148</v>
      </c>
      <c r="N4157" s="15" t="s">
        <v>64</v>
      </c>
      <c r="O4157" s="15" t="s">
        <v>65</v>
      </c>
      <c r="P4157" s="20" t="s">
        <v>1616</v>
      </c>
      <c r="Q4157" s="15" t="s">
        <v>79</v>
      </c>
      <c r="R4157" s="4"/>
      <c r="S4157" s="4"/>
    </row>
    <row r="4158" spans="1:19" ht="21" customHeight="1" x14ac:dyDescent="0.25">
      <c r="A4158" s="14">
        <f>DATE(2012,12,31)-830</f>
        <v>40444</v>
      </c>
      <c r="B4158" s="15" t="s">
        <v>2149</v>
      </c>
      <c r="C4158" s="15" t="s">
        <v>43</v>
      </c>
      <c r="D4158" s="16">
        <v>20</v>
      </c>
      <c r="E4158" s="17">
        <v>1485.06</v>
      </c>
      <c r="F4158" s="16">
        <v>0.04</v>
      </c>
      <c r="G4158" s="15" t="s">
        <v>58</v>
      </c>
      <c r="H4158" s="18">
        <v>25.32</v>
      </c>
      <c r="I4158" s="19">
        <v>70.98</v>
      </c>
      <c r="J4158" s="19">
        <v>26.85</v>
      </c>
      <c r="K4158" s="19" t="s">
        <v>44</v>
      </c>
      <c r="L4158" s="19" t="s">
        <v>52</v>
      </c>
      <c r="M4158" s="15" t="s">
        <v>2148</v>
      </c>
      <c r="N4158" s="15" t="s">
        <v>54</v>
      </c>
      <c r="O4158" s="15" t="s">
        <v>134</v>
      </c>
      <c r="P4158" s="20" t="s">
        <v>2150</v>
      </c>
      <c r="Q4158" s="15" t="s">
        <v>63</v>
      </c>
      <c r="R4158" s="4"/>
      <c r="S4158" s="4"/>
    </row>
    <row r="4159" spans="1:19" ht="21" customHeight="1" x14ac:dyDescent="0.25">
      <c r="A4159" s="14">
        <f>DATE(2012,12,31)-830</f>
        <v>40444</v>
      </c>
      <c r="B4159" s="15" t="s">
        <v>2149</v>
      </c>
      <c r="C4159" s="15" t="s">
        <v>43</v>
      </c>
      <c r="D4159" s="16">
        <v>34</v>
      </c>
      <c r="E4159" s="17">
        <v>1211.18</v>
      </c>
      <c r="F4159" s="16">
        <v>0.1</v>
      </c>
      <c r="G4159" s="15" t="s">
        <v>32</v>
      </c>
      <c r="H4159" s="18">
        <v>208.4</v>
      </c>
      <c r="I4159" s="19">
        <v>38.76</v>
      </c>
      <c r="J4159" s="19">
        <v>13.26</v>
      </c>
      <c r="K4159" s="19" t="s">
        <v>44</v>
      </c>
      <c r="L4159" s="19" t="s">
        <v>52</v>
      </c>
      <c r="M4159" s="15" t="s">
        <v>2148</v>
      </c>
      <c r="N4159" s="15" t="s">
        <v>36</v>
      </c>
      <c r="O4159" s="15" t="s">
        <v>117</v>
      </c>
      <c r="P4159" s="20" t="s">
        <v>720</v>
      </c>
      <c r="Q4159" s="15" t="s">
        <v>83</v>
      </c>
      <c r="R4159" s="4"/>
      <c r="S4159" s="4"/>
    </row>
    <row r="4160" spans="1:19" ht="21" customHeight="1" x14ac:dyDescent="0.25">
      <c r="A4160" s="14">
        <f>DATE(2012,12,31)-4</f>
        <v>41270</v>
      </c>
      <c r="B4160" s="15" t="s">
        <v>149</v>
      </c>
      <c r="C4160" s="15" t="s">
        <v>85</v>
      </c>
      <c r="D4160" s="16">
        <v>22</v>
      </c>
      <c r="E4160" s="17">
        <v>45.21</v>
      </c>
      <c r="F4160" s="16">
        <v>0.02</v>
      </c>
      <c r="G4160" s="15" t="s">
        <v>101</v>
      </c>
      <c r="H4160" s="18">
        <v>4.6100000000000003</v>
      </c>
      <c r="I4160" s="19">
        <v>1.76</v>
      </c>
      <c r="J4160" s="19">
        <v>0.7</v>
      </c>
      <c r="K4160" s="19" t="s">
        <v>44</v>
      </c>
      <c r="L4160" s="19" t="s">
        <v>52</v>
      </c>
      <c r="M4160" s="15" t="s">
        <v>2148</v>
      </c>
      <c r="N4160" s="15" t="s">
        <v>36</v>
      </c>
      <c r="O4160" s="15" t="s">
        <v>77</v>
      </c>
      <c r="P4160" s="20" t="s">
        <v>295</v>
      </c>
      <c r="Q4160" s="15" t="s">
        <v>79</v>
      </c>
      <c r="R4160" s="4"/>
      <c r="S4160" s="4"/>
    </row>
    <row r="4161" spans="1:19" ht="21" customHeight="1" x14ac:dyDescent="0.25">
      <c r="A4161" s="14">
        <f>DATE(2012,12,31)-566</f>
        <v>40708</v>
      </c>
      <c r="B4161" s="15" t="s">
        <v>946</v>
      </c>
      <c r="C4161" s="15" t="s">
        <v>85</v>
      </c>
      <c r="D4161" s="16">
        <v>46</v>
      </c>
      <c r="E4161" s="17">
        <v>221.13</v>
      </c>
      <c r="F4161" s="16">
        <v>0.01</v>
      </c>
      <c r="G4161" s="15" t="s">
        <v>32</v>
      </c>
      <c r="H4161" s="18">
        <v>59.703999999999994</v>
      </c>
      <c r="I4161" s="19">
        <v>4.55</v>
      </c>
      <c r="J4161" s="19">
        <v>1.49</v>
      </c>
      <c r="K4161" s="19" t="s">
        <v>44</v>
      </c>
      <c r="L4161" s="19" t="s">
        <v>52</v>
      </c>
      <c r="M4161" s="15" t="s">
        <v>2148</v>
      </c>
      <c r="N4161" s="15" t="s">
        <v>36</v>
      </c>
      <c r="O4161" s="15" t="s">
        <v>170</v>
      </c>
      <c r="P4161" s="20" t="s">
        <v>1581</v>
      </c>
      <c r="Q4161" s="15" t="s">
        <v>83</v>
      </c>
      <c r="R4161" s="4"/>
      <c r="S4161" s="4"/>
    </row>
    <row r="4162" spans="1:19" ht="21" customHeight="1" x14ac:dyDescent="0.25">
      <c r="A4162" s="14">
        <f>DATE(2012,12,31)-566</f>
        <v>40708</v>
      </c>
      <c r="B4162" s="15" t="s">
        <v>946</v>
      </c>
      <c r="C4162" s="15" t="s">
        <v>85</v>
      </c>
      <c r="D4162" s="16">
        <v>8</v>
      </c>
      <c r="E4162" s="17">
        <v>16.350000000000001</v>
      </c>
      <c r="F4162" s="16">
        <v>0.05</v>
      </c>
      <c r="G4162" s="15" t="s">
        <v>32</v>
      </c>
      <c r="H4162" s="18">
        <v>-5.6234999999999999</v>
      </c>
      <c r="I4162" s="19">
        <v>1.88</v>
      </c>
      <c r="J4162" s="19">
        <v>1.49</v>
      </c>
      <c r="K4162" s="19" t="s">
        <v>44</v>
      </c>
      <c r="L4162" s="19" t="s">
        <v>52</v>
      </c>
      <c r="M4162" s="15" t="s">
        <v>2148</v>
      </c>
      <c r="N4162" s="15" t="s">
        <v>36</v>
      </c>
      <c r="O4162" s="15" t="s">
        <v>170</v>
      </c>
      <c r="P4162" s="20" t="s">
        <v>1353</v>
      </c>
      <c r="Q4162" s="15" t="s">
        <v>83</v>
      </c>
      <c r="R4162" s="4"/>
      <c r="S4162" s="4"/>
    </row>
    <row r="4163" spans="1:19" ht="21" customHeight="1" x14ac:dyDescent="0.25">
      <c r="A4163" s="14">
        <f>DATE(2012,12,31)-326</f>
        <v>40948</v>
      </c>
      <c r="B4163" s="15" t="s">
        <v>637</v>
      </c>
      <c r="C4163" s="15" t="s">
        <v>31</v>
      </c>
      <c r="D4163" s="16">
        <v>14</v>
      </c>
      <c r="E4163" s="17">
        <v>3049.6320000000001</v>
      </c>
      <c r="F4163" s="16">
        <v>0.04</v>
      </c>
      <c r="G4163" s="15" t="s">
        <v>58</v>
      </c>
      <c r="H4163" s="18">
        <v>-679.0443660000002</v>
      </c>
      <c r="I4163" s="19">
        <v>280.98</v>
      </c>
      <c r="J4163" s="19">
        <v>35.67</v>
      </c>
      <c r="K4163" s="19" t="s">
        <v>44</v>
      </c>
      <c r="L4163" s="19" t="s">
        <v>52</v>
      </c>
      <c r="M4163" s="15" t="s">
        <v>2148</v>
      </c>
      <c r="N4163" s="15" t="s">
        <v>54</v>
      </c>
      <c r="O4163" s="15" t="s">
        <v>61</v>
      </c>
      <c r="P4163" s="20" t="s">
        <v>368</v>
      </c>
      <c r="Q4163" s="15" t="s">
        <v>63</v>
      </c>
      <c r="R4163" s="4"/>
      <c r="S4163" s="4"/>
    </row>
    <row r="4164" spans="1:19" ht="21" customHeight="1" x14ac:dyDescent="0.25">
      <c r="A4164" s="14">
        <f>DATE(2012,12,31)-326</f>
        <v>40948</v>
      </c>
      <c r="B4164" s="15" t="s">
        <v>637</v>
      </c>
      <c r="C4164" s="15" t="s">
        <v>31</v>
      </c>
      <c r="D4164" s="16">
        <v>41</v>
      </c>
      <c r="E4164" s="17">
        <v>1274.9490000000001</v>
      </c>
      <c r="F4164" s="16">
        <v>0.05</v>
      </c>
      <c r="G4164" s="15" t="s">
        <v>32</v>
      </c>
      <c r="H4164" s="18">
        <v>416.988</v>
      </c>
      <c r="I4164" s="19">
        <v>35.99</v>
      </c>
      <c r="J4164" s="19">
        <v>1.1000000000000001</v>
      </c>
      <c r="K4164" s="19" t="s">
        <v>44</v>
      </c>
      <c r="L4164" s="19" t="s">
        <v>52</v>
      </c>
      <c r="M4164" s="15" t="s">
        <v>2148</v>
      </c>
      <c r="N4164" s="15" t="s">
        <v>64</v>
      </c>
      <c r="O4164" s="15" t="s">
        <v>65</v>
      </c>
      <c r="P4164" s="20" t="s">
        <v>501</v>
      </c>
      <c r="Q4164" s="15" t="s">
        <v>83</v>
      </c>
      <c r="R4164" s="4"/>
      <c r="S4164" s="4"/>
    </row>
    <row r="4165" spans="1:19" ht="21" customHeight="1" x14ac:dyDescent="0.25">
      <c r="A4165" s="14">
        <f>DATE(2012,12,31)-626</f>
        <v>40648</v>
      </c>
      <c r="B4165" s="15" t="s">
        <v>481</v>
      </c>
      <c r="C4165" s="15" t="s">
        <v>85</v>
      </c>
      <c r="D4165" s="16">
        <v>22</v>
      </c>
      <c r="E4165" s="17">
        <v>6123.94</v>
      </c>
      <c r="F4165" s="16">
        <v>0.01</v>
      </c>
      <c r="G4165" s="15" t="s">
        <v>58</v>
      </c>
      <c r="H4165" s="18">
        <v>1292.44</v>
      </c>
      <c r="I4165" s="19">
        <v>260.98</v>
      </c>
      <c r="J4165" s="19">
        <v>41.91</v>
      </c>
      <c r="K4165" s="19" t="s">
        <v>44</v>
      </c>
      <c r="L4165" s="19" t="s">
        <v>52</v>
      </c>
      <c r="M4165" s="15" t="s">
        <v>2148</v>
      </c>
      <c r="N4165" s="15" t="s">
        <v>54</v>
      </c>
      <c r="O4165" s="15" t="s">
        <v>134</v>
      </c>
      <c r="P4165" s="20" t="s">
        <v>687</v>
      </c>
      <c r="Q4165" s="15" t="s">
        <v>63</v>
      </c>
      <c r="R4165" s="4"/>
      <c r="S4165" s="4"/>
    </row>
    <row r="4166" spans="1:19" ht="21" customHeight="1" x14ac:dyDescent="0.25">
      <c r="A4166" s="14">
        <f>DATE(2012,12,31)-115</f>
        <v>41159</v>
      </c>
      <c r="B4166" s="15" t="s">
        <v>782</v>
      </c>
      <c r="C4166" s="15" t="s">
        <v>85</v>
      </c>
      <c r="D4166" s="16">
        <v>5</v>
      </c>
      <c r="E4166" s="17">
        <v>495.32</v>
      </c>
      <c r="F4166" s="16">
        <v>0.05</v>
      </c>
      <c r="G4166" s="15" t="s">
        <v>58</v>
      </c>
      <c r="H4166" s="18">
        <v>-72.73</v>
      </c>
      <c r="I4166" s="19">
        <v>100.98</v>
      </c>
      <c r="J4166" s="19">
        <v>15.66</v>
      </c>
      <c r="K4166" s="19" t="s">
        <v>44</v>
      </c>
      <c r="L4166" s="19" t="s">
        <v>52</v>
      </c>
      <c r="M4166" s="15" t="s">
        <v>2148</v>
      </c>
      <c r="N4166" s="15" t="s">
        <v>36</v>
      </c>
      <c r="O4166" s="15" t="s">
        <v>176</v>
      </c>
      <c r="P4166" s="20" t="s">
        <v>847</v>
      </c>
      <c r="Q4166" s="15" t="s">
        <v>181</v>
      </c>
      <c r="R4166" s="4"/>
      <c r="S4166" s="4"/>
    </row>
    <row r="4167" spans="1:19" ht="21" customHeight="1" x14ac:dyDescent="0.25">
      <c r="A4167" s="14">
        <f>DATE(2012,12,31)-115</f>
        <v>41159</v>
      </c>
      <c r="B4167" s="15" t="s">
        <v>782</v>
      </c>
      <c r="C4167" s="15" t="s">
        <v>85</v>
      </c>
      <c r="D4167" s="16">
        <v>11</v>
      </c>
      <c r="E4167" s="17">
        <v>2483.5300000000002</v>
      </c>
      <c r="F4167" s="16">
        <v>7.0000000000000007E-2</v>
      </c>
      <c r="G4167" s="15" t="s">
        <v>58</v>
      </c>
      <c r="H4167" s="18">
        <v>-176.77</v>
      </c>
      <c r="I4167" s="19">
        <v>220.98</v>
      </c>
      <c r="J4167" s="19">
        <v>64.66</v>
      </c>
      <c r="K4167" s="19" t="s">
        <v>69</v>
      </c>
      <c r="L4167" s="19" t="s">
        <v>70</v>
      </c>
      <c r="M4167" s="15" t="s">
        <v>1895</v>
      </c>
      <c r="N4167" s="15" t="s">
        <v>54</v>
      </c>
      <c r="O4167" s="15" t="s">
        <v>134</v>
      </c>
      <c r="P4167" s="20" t="s">
        <v>447</v>
      </c>
      <c r="Q4167" s="15" t="s">
        <v>63</v>
      </c>
      <c r="R4167" s="4"/>
      <c r="S4167" s="4"/>
    </row>
    <row r="4168" spans="1:19" ht="21" customHeight="1" x14ac:dyDescent="0.25">
      <c r="A4168" s="14">
        <f>DATE(2012,12,31)-115</f>
        <v>41159</v>
      </c>
      <c r="B4168" s="15" t="s">
        <v>782</v>
      </c>
      <c r="C4168" s="15" t="s">
        <v>85</v>
      </c>
      <c r="D4168" s="16">
        <v>26</v>
      </c>
      <c r="E4168" s="17">
        <v>967.41</v>
      </c>
      <c r="F4168" s="16">
        <v>0.03</v>
      </c>
      <c r="G4168" s="15" t="s">
        <v>32</v>
      </c>
      <c r="H4168" s="18">
        <v>26.64</v>
      </c>
      <c r="I4168" s="19">
        <v>35.44</v>
      </c>
      <c r="J4168" s="19">
        <v>19.989999999999998</v>
      </c>
      <c r="K4168" s="19" t="s">
        <v>44</v>
      </c>
      <c r="L4168" s="19" t="s">
        <v>45</v>
      </c>
      <c r="M4168" s="15" t="s">
        <v>2053</v>
      </c>
      <c r="N4168" s="15" t="s">
        <v>36</v>
      </c>
      <c r="O4168" s="15" t="s">
        <v>117</v>
      </c>
      <c r="P4168" s="20" t="s">
        <v>1093</v>
      </c>
      <c r="Q4168" s="15" t="s">
        <v>83</v>
      </c>
      <c r="R4168" s="4"/>
      <c r="S4168" s="4"/>
    </row>
    <row r="4169" spans="1:19" ht="21" customHeight="1" x14ac:dyDescent="0.25">
      <c r="A4169" s="14">
        <f>DATE(2012,12,31)-103</f>
        <v>41171</v>
      </c>
      <c r="B4169" s="15" t="s">
        <v>2151</v>
      </c>
      <c r="C4169" s="15" t="s">
        <v>31</v>
      </c>
      <c r="D4169" s="16">
        <v>30</v>
      </c>
      <c r="E4169" s="17">
        <v>318.56</v>
      </c>
      <c r="F4169" s="16">
        <v>0.08</v>
      </c>
      <c r="G4169" s="15" t="s">
        <v>101</v>
      </c>
      <c r="H4169" s="18">
        <v>-30.97</v>
      </c>
      <c r="I4169" s="19">
        <v>10.89</v>
      </c>
      <c r="J4169" s="19">
        <v>4.5</v>
      </c>
      <c r="K4169" s="19" t="s">
        <v>44</v>
      </c>
      <c r="L4169" s="19" t="s">
        <v>45</v>
      </c>
      <c r="M4169" s="15" t="s">
        <v>2053</v>
      </c>
      <c r="N4169" s="15" t="s">
        <v>36</v>
      </c>
      <c r="O4169" s="15" t="s">
        <v>176</v>
      </c>
      <c r="P4169" s="20" t="s">
        <v>250</v>
      </c>
      <c r="Q4169" s="15" t="s">
        <v>83</v>
      </c>
      <c r="R4169" s="4"/>
      <c r="S4169" s="4"/>
    </row>
    <row r="4170" spans="1:19" ht="21" customHeight="1" x14ac:dyDescent="0.25">
      <c r="A4170" s="14">
        <f>DATE(2012,12,31)-618</f>
        <v>40656</v>
      </c>
      <c r="B4170" s="15" t="s">
        <v>1002</v>
      </c>
      <c r="C4170" s="15" t="s">
        <v>51</v>
      </c>
      <c r="D4170" s="16">
        <v>24</v>
      </c>
      <c r="E4170" s="17">
        <v>223.2</v>
      </c>
      <c r="F4170" s="16">
        <v>0.1</v>
      </c>
      <c r="G4170" s="15" t="s">
        <v>32</v>
      </c>
      <c r="H4170" s="18">
        <v>78.739999999999995</v>
      </c>
      <c r="I4170" s="19">
        <v>9.7799999999999994</v>
      </c>
      <c r="J4170" s="19">
        <v>1.39</v>
      </c>
      <c r="K4170" s="19" t="s">
        <v>33</v>
      </c>
      <c r="L4170" s="19" t="s">
        <v>93</v>
      </c>
      <c r="M4170" s="15" t="s">
        <v>94</v>
      </c>
      <c r="N4170" s="15" t="s">
        <v>36</v>
      </c>
      <c r="O4170" s="15" t="s">
        <v>189</v>
      </c>
      <c r="P4170" s="20" t="s">
        <v>917</v>
      </c>
      <c r="Q4170" s="15" t="s">
        <v>83</v>
      </c>
      <c r="R4170" s="4"/>
      <c r="S4170" s="4"/>
    </row>
    <row r="4171" spans="1:19" ht="21" customHeight="1" x14ac:dyDescent="0.25">
      <c r="A4171" s="14">
        <f>DATE(2012,12,31)-547</f>
        <v>40727</v>
      </c>
      <c r="B4171" s="15" t="s">
        <v>782</v>
      </c>
      <c r="C4171" s="15" t="s">
        <v>51</v>
      </c>
      <c r="D4171" s="16">
        <v>46</v>
      </c>
      <c r="E4171" s="17">
        <v>27720.98</v>
      </c>
      <c r="F4171" s="16">
        <v>7.0000000000000007E-2</v>
      </c>
      <c r="G4171" s="15" t="s">
        <v>32</v>
      </c>
      <c r="H4171" s="18">
        <v>11984.395</v>
      </c>
      <c r="I4171" s="19">
        <v>599.99</v>
      </c>
      <c r="J4171" s="19">
        <v>24.49</v>
      </c>
      <c r="K4171" s="19" t="s">
        <v>33</v>
      </c>
      <c r="L4171" s="19" t="s">
        <v>59</v>
      </c>
      <c r="M4171" s="15" t="s">
        <v>2091</v>
      </c>
      <c r="N4171" s="15" t="s">
        <v>64</v>
      </c>
      <c r="O4171" s="15" t="s">
        <v>460</v>
      </c>
      <c r="P4171" s="20" t="s">
        <v>597</v>
      </c>
      <c r="Q4171" s="15" t="s">
        <v>39</v>
      </c>
      <c r="R4171" s="4"/>
      <c r="S4171" s="4"/>
    </row>
    <row r="4172" spans="1:19" ht="21" customHeight="1" x14ac:dyDescent="0.25">
      <c r="A4172" s="14">
        <f>DATE(2012,12,31)-547</f>
        <v>40727</v>
      </c>
      <c r="B4172" s="15" t="s">
        <v>782</v>
      </c>
      <c r="C4172" s="15" t="s">
        <v>51</v>
      </c>
      <c r="D4172" s="16">
        <v>29</v>
      </c>
      <c r="E4172" s="17">
        <v>520.13</v>
      </c>
      <c r="F4172" s="16">
        <v>0.1</v>
      </c>
      <c r="G4172" s="15" t="s">
        <v>32</v>
      </c>
      <c r="H4172" s="18">
        <v>127.55</v>
      </c>
      <c r="I4172" s="19">
        <v>18.97</v>
      </c>
      <c r="J4172" s="19">
        <v>5.21</v>
      </c>
      <c r="K4172" s="19" t="s">
        <v>33</v>
      </c>
      <c r="L4172" s="19" t="s">
        <v>145</v>
      </c>
      <c r="M4172" s="15" t="s">
        <v>2140</v>
      </c>
      <c r="N4172" s="15" t="s">
        <v>36</v>
      </c>
      <c r="O4172" s="15" t="s">
        <v>117</v>
      </c>
      <c r="P4172" s="20" t="s">
        <v>1437</v>
      </c>
      <c r="Q4172" s="15" t="s">
        <v>83</v>
      </c>
      <c r="R4172" s="4"/>
      <c r="S4172" s="4"/>
    </row>
    <row r="4173" spans="1:19" ht="21" customHeight="1" x14ac:dyDescent="0.25">
      <c r="A4173" s="14">
        <f>DATE(2012,12,31)-942</f>
        <v>40332</v>
      </c>
      <c r="B4173" s="15" t="s">
        <v>562</v>
      </c>
      <c r="C4173" s="15" t="s">
        <v>43</v>
      </c>
      <c r="D4173" s="16">
        <v>18</v>
      </c>
      <c r="E4173" s="17">
        <v>2657.56</v>
      </c>
      <c r="F4173" s="16">
        <v>0.1</v>
      </c>
      <c r="G4173" s="15" t="s">
        <v>58</v>
      </c>
      <c r="H4173" s="18">
        <v>126.27855</v>
      </c>
      <c r="I4173" s="19">
        <v>150.97999999999999</v>
      </c>
      <c r="J4173" s="19">
        <v>16.010000000000002</v>
      </c>
      <c r="K4173" s="19" t="s">
        <v>33</v>
      </c>
      <c r="L4173" s="19" t="s">
        <v>145</v>
      </c>
      <c r="M4173" s="15" t="s">
        <v>2140</v>
      </c>
      <c r="N4173" s="15" t="s">
        <v>54</v>
      </c>
      <c r="O4173" s="15" t="s">
        <v>61</v>
      </c>
      <c r="P4173" s="20" t="s">
        <v>941</v>
      </c>
      <c r="Q4173" s="15" t="s">
        <v>63</v>
      </c>
      <c r="R4173" s="4"/>
      <c r="S4173" s="4"/>
    </row>
    <row r="4174" spans="1:19" ht="21" customHeight="1" x14ac:dyDescent="0.25">
      <c r="A4174" s="14">
        <f>DATE(2012,12,31)-350</f>
        <v>40924</v>
      </c>
      <c r="B4174" s="15" t="s">
        <v>136</v>
      </c>
      <c r="C4174" s="15" t="s">
        <v>85</v>
      </c>
      <c r="D4174" s="16">
        <v>43</v>
      </c>
      <c r="E4174" s="17">
        <v>792.21</v>
      </c>
      <c r="F4174" s="16">
        <v>0.05</v>
      </c>
      <c r="G4174" s="15" t="s">
        <v>32</v>
      </c>
      <c r="H4174" s="18">
        <v>42.24</v>
      </c>
      <c r="I4174" s="19">
        <v>18.97</v>
      </c>
      <c r="J4174" s="19">
        <v>9.5399999999999991</v>
      </c>
      <c r="K4174" s="19" t="s">
        <v>69</v>
      </c>
      <c r="L4174" s="19" t="s">
        <v>70</v>
      </c>
      <c r="M4174" s="15" t="s">
        <v>1895</v>
      </c>
      <c r="N4174" s="15" t="s">
        <v>36</v>
      </c>
      <c r="O4174" s="15" t="s">
        <v>117</v>
      </c>
      <c r="P4174" s="20" t="s">
        <v>281</v>
      </c>
      <c r="Q4174" s="15" t="s">
        <v>83</v>
      </c>
      <c r="R4174" s="4"/>
      <c r="S4174" s="4"/>
    </row>
    <row r="4175" spans="1:19" ht="21" customHeight="1" x14ac:dyDescent="0.25">
      <c r="A4175" s="14">
        <f>DATE(2012,12,31)-293</f>
        <v>40981</v>
      </c>
      <c r="B4175" s="15" t="s">
        <v>265</v>
      </c>
      <c r="C4175" s="15" t="s">
        <v>85</v>
      </c>
      <c r="D4175" s="16">
        <v>20</v>
      </c>
      <c r="E4175" s="17">
        <v>240.74</v>
      </c>
      <c r="F4175" s="16">
        <v>0.05</v>
      </c>
      <c r="G4175" s="15" t="s">
        <v>32</v>
      </c>
      <c r="H4175" s="18">
        <v>21.05</v>
      </c>
      <c r="I4175" s="19">
        <v>12.28</v>
      </c>
      <c r="J4175" s="19">
        <v>5.09</v>
      </c>
      <c r="K4175" s="19" t="s">
        <v>44</v>
      </c>
      <c r="L4175" s="19" t="s">
        <v>89</v>
      </c>
      <c r="M4175" s="15" t="s">
        <v>1932</v>
      </c>
      <c r="N4175" s="15" t="s">
        <v>36</v>
      </c>
      <c r="O4175" s="15" t="s">
        <v>117</v>
      </c>
      <c r="P4175" s="20" t="s">
        <v>1958</v>
      </c>
      <c r="Q4175" s="15" t="s">
        <v>83</v>
      </c>
      <c r="R4175" s="4"/>
      <c r="S4175" s="4"/>
    </row>
    <row r="4176" spans="1:19" ht="21" customHeight="1" x14ac:dyDescent="0.25">
      <c r="A4176" s="14">
        <f>DATE(2012,12,31)-1288</f>
        <v>39986</v>
      </c>
      <c r="B4176" s="15" t="s">
        <v>946</v>
      </c>
      <c r="C4176" s="15" t="s">
        <v>85</v>
      </c>
      <c r="D4176" s="16">
        <v>11</v>
      </c>
      <c r="E4176" s="17">
        <v>96.01</v>
      </c>
      <c r="F4176" s="16">
        <v>0.01</v>
      </c>
      <c r="G4176" s="15" t="s">
        <v>32</v>
      </c>
      <c r="H4176" s="18">
        <v>-43.24</v>
      </c>
      <c r="I4176" s="19">
        <v>7.98</v>
      </c>
      <c r="J4176" s="19">
        <v>6.5</v>
      </c>
      <c r="K4176" s="19" t="s">
        <v>44</v>
      </c>
      <c r="L4176" s="19" t="s">
        <v>45</v>
      </c>
      <c r="M4176" s="15" t="s">
        <v>2053</v>
      </c>
      <c r="N4176" s="15" t="s">
        <v>36</v>
      </c>
      <c r="O4176" s="15" t="s">
        <v>37</v>
      </c>
      <c r="P4176" s="20" t="s">
        <v>984</v>
      </c>
      <c r="Q4176" s="15" t="s">
        <v>57</v>
      </c>
      <c r="R4176" s="4"/>
      <c r="S4176" s="4"/>
    </row>
    <row r="4177" spans="1:19" ht="21" customHeight="1" x14ac:dyDescent="0.25">
      <c r="A4177" s="14">
        <f>DATE(2012,12,31)-1316</f>
        <v>39958</v>
      </c>
      <c r="B4177" s="15" t="s">
        <v>1462</v>
      </c>
      <c r="C4177" s="15" t="s">
        <v>51</v>
      </c>
      <c r="D4177" s="16">
        <v>34</v>
      </c>
      <c r="E4177" s="17">
        <v>598.19000000000005</v>
      </c>
      <c r="F4177" s="16">
        <v>0.09</v>
      </c>
      <c r="G4177" s="15" t="s">
        <v>32</v>
      </c>
      <c r="H4177" s="18">
        <v>-6.6120000000000108</v>
      </c>
      <c r="I4177" s="19">
        <v>17.98</v>
      </c>
      <c r="J4177" s="19">
        <v>8.51</v>
      </c>
      <c r="K4177" s="19" t="s">
        <v>44</v>
      </c>
      <c r="L4177" s="19" t="s">
        <v>45</v>
      </c>
      <c r="M4177" s="15" t="s">
        <v>2053</v>
      </c>
      <c r="N4177" s="15" t="s">
        <v>64</v>
      </c>
      <c r="O4177" s="15" t="s">
        <v>122</v>
      </c>
      <c r="P4177" s="20" t="s">
        <v>1357</v>
      </c>
      <c r="Q4177" s="15" t="s">
        <v>57</v>
      </c>
      <c r="R4177" s="4"/>
      <c r="S4177" s="4"/>
    </row>
    <row r="4178" spans="1:19" ht="21" customHeight="1" x14ac:dyDescent="0.25">
      <c r="A4178" s="14">
        <f>DATE(2012,12,31)-624</f>
        <v>40650</v>
      </c>
      <c r="B4178" s="15" t="s">
        <v>674</v>
      </c>
      <c r="C4178" s="15" t="s">
        <v>85</v>
      </c>
      <c r="D4178" s="16">
        <v>8</v>
      </c>
      <c r="E4178" s="17">
        <v>22.37</v>
      </c>
      <c r="F4178" s="16">
        <v>0.04</v>
      </c>
      <c r="G4178" s="15" t="s">
        <v>32</v>
      </c>
      <c r="H4178" s="18">
        <v>-14.09</v>
      </c>
      <c r="I4178" s="19">
        <v>2.6</v>
      </c>
      <c r="J4178" s="19">
        <v>2.4</v>
      </c>
      <c r="K4178" s="19" t="s">
        <v>124</v>
      </c>
      <c r="L4178" s="19" t="s">
        <v>493</v>
      </c>
      <c r="M4178" s="15" t="s">
        <v>2134</v>
      </c>
      <c r="N4178" s="15" t="s">
        <v>36</v>
      </c>
      <c r="O4178" s="15" t="s">
        <v>77</v>
      </c>
      <c r="P4178" s="20" t="s">
        <v>1783</v>
      </c>
      <c r="Q4178" s="15" t="s">
        <v>79</v>
      </c>
      <c r="R4178" s="4"/>
      <c r="S4178" s="4"/>
    </row>
    <row r="4179" spans="1:19" ht="21" customHeight="1" x14ac:dyDescent="0.25">
      <c r="A4179" s="14">
        <f>DATE(2012,12,31)-367</f>
        <v>40907</v>
      </c>
      <c r="B4179" s="15" t="s">
        <v>340</v>
      </c>
      <c r="C4179" s="15" t="s">
        <v>43</v>
      </c>
      <c r="D4179" s="16">
        <v>44</v>
      </c>
      <c r="E4179" s="17">
        <v>362.75</v>
      </c>
      <c r="F4179" s="16">
        <v>0.08</v>
      </c>
      <c r="G4179" s="15" t="s">
        <v>32</v>
      </c>
      <c r="H4179" s="18">
        <v>-54.47</v>
      </c>
      <c r="I4179" s="19">
        <v>8.32</v>
      </c>
      <c r="J4179" s="19">
        <v>2.38</v>
      </c>
      <c r="K4179" s="19" t="s">
        <v>124</v>
      </c>
      <c r="L4179" s="19" t="s">
        <v>160</v>
      </c>
      <c r="M4179" s="15" t="s">
        <v>1951</v>
      </c>
      <c r="N4179" s="15" t="s">
        <v>64</v>
      </c>
      <c r="O4179" s="15" t="s">
        <v>72</v>
      </c>
      <c r="P4179" s="20" t="s">
        <v>876</v>
      </c>
      <c r="Q4179" s="15" t="s">
        <v>49</v>
      </c>
      <c r="R4179" s="4"/>
      <c r="S4179" s="4"/>
    </row>
    <row r="4180" spans="1:19" ht="21" customHeight="1" x14ac:dyDescent="0.25">
      <c r="A4180" s="14">
        <f>DATE(2012,12,31)-367</f>
        <v>40907</v>
      </c>
      <c r="B4180" s="15" t="s">
        <v>340</v>
      </c>
      <c r="C4180" s="15" t="s">
        <v>43</v>
      </c>
      <c r="D4180" s="16">
        <v>29</v>
      </c>
      <c r="E4180" s="17">
        <v>155.86000000000001</v>
      </c>
      <c r="F4180" s="16">
        <v>0.09</v>
      </c>
      <c r="G4180" s="15" t="s">
        <v>32</v>
      </c>
      <c r="H4180" s="18">
        <v>-152.59</v>
      </c>
      <c r="I4180" s="19">
        <v>5.28</v>
      </c>
      <c r="J4180" s="19">
        <v>8.16</v>
      </c>
      <c r="K4180" s="19" t="s">
        <v>44</v>
      </c>
      <c r="L4180" s="19" t="s">
        <v>52</v>
      </c>
      <c r="M4180" s="15" t="s">
        <v>2148</v>
      </c>
      <c r="N4180" s="15" t="s">
        <v>36</v>
      </c>
      <c r="O4180" s="15" t="s">
        <v>117</v>
      </c>
      <c r="P4180" s="20" t="s">
        <v>1965</v>
      </c>
      <c r="Q4180" s="15" t="s">
        <v>83</v>
      </c>
      <c r="R4180" s="4"/>
      <c r="S4180" s="4"/>
    </row>
    <row r="4181" spans="1:19" ht="21" customHeight="1" x14ac:dyDescent="0.25">
      <c r="A4181" s="14">
        <f>DATE(2012,12,31)-1256</f>
        <v>40018</v>
      </c>
      <c r="B4181" s="15" t="s">
        <v>1188</v>
      </c>
      <c r="C4181" s="15" t="s">
        <v>43</v>
      </c>
      <c r="D4181" s="16">
        <v>14</v>
      </c>
      <c r="E4181" s="17">
        <v>215.31</v>
      </c>
      <c r="F4181" s="16">
        <v>0.09</v>
      </c>
      <c r="G4181" s="15" t="s">
        <v>32</v>
      </c>
      <c r="H4181" s="18">
        <v>-51.75</v>
      </c>
      <c r="I4181" s="19">
        <v>15.28</v>
      </c>
      <c r="J4181" s="19">
        <v>10.91</v>
      </c>
      <c r="K4181" s="19" t="s">
        <v>44</v>
      </c>
      <c r="L4181" s="19" t="s">
        <v>52</v>
      </c>
      <c r="M4181" s="15" t="s">
        <v>2148</v>
      </c>
      <c r="N4181" s="15" t="s">
        <v>36</v>
      </c>
      <c r="O4181" s="15" t="s">
        <v>170</v>
      </c>
      <c r="P4181" s="20" t="s">
        <v>1540</v>
      </c>
      <c r="Q4181" s="15" t="s">
        <v>83</v>
      </c>
      <c r="R4181" s="4"/>
      <c r="S4181" s="4"/>
    </row>
    <row r="4182" spans="1:19" ht="21" customHeight="1" x14ac:dyDescent="0.25">
      <c r="A4182" s="14">
        <f>DATE(2012,12,31)-1015</f>
        <v>40259</v>
      </c>
      <c r="B4182" s="15" t="s">
        <v>290</v>
      </c>
      <c r="C4182" s="15" t="s">
        <v>85</v>
      </c>
      <c r="D4182" s="16">
        <v>43</v>
      </c>
      <c r="E4182" s="17">
        <v>1511.7</v>
      </c>
      <c r="F4182" s="16">
        <v>0.02</v>
      </c>
      <c r="G4182" s="15" t="s">
        <v>32</v>
      </c>
      <c r="H4182" s="18">
        <v>221.63</v>
      </c>
      <c r="I4182" s="19">
        <v>34.99</v>
      </c>
      <c r="J4182" s="19">
        <v>7.73</v>
      </c>
      <c r="K4182" s="19" t="s">
        <v>44</v>
      </c>
      <c r="L4182" s="19" t="s">
        <v>89</v>
      </c>
      <c r="M4182" s="15" t="s">
        <v>1932</v>
      </c>
      <c r="N4182" s="15" t="s">
        <v>36</v>
      </c>
      <c r="O4182" s="15" t="s">
        <v>77</v>
      </c>
      <c r="P4182" s="20" t="s">
        <v>2113</v>
      </c>
      <c r="Q4182" s="15" t="s">
        <v>83</v>
      </c>
      <c r="R4182" s="4"/>
      <c r="S4182" s="4"/>
    </row>
    <row r="4183" spans="1:19" ht="21" customHeight="1" x14ac:dyDescent="0.25">
      <c r="A4183" s="14">
        <f>DATE(2012,12,31)-1000</f>
        <v>40274</v>
      </c>
      <c r="B4183" s="15" t="s">
        <v>630</v>
      </c>
      <c r="C4183" s="15" t="s">
        <v>85</v>
      </c>
      <c r="D4183" s="16">
        <v>9</v>
      </c>
      <c r="E4183" s="17">
        <v>30.35</v>
      </c>
      <c r="F4183" s="16">
        <v>0.01</v>
      </c>
      <c r="G4183" s="15" t="s">
        <v>32</v>
      </c>
      <c r="H4183" s="18">
        <v>5.0199999999999996</v>
      </c>
      <c r="I4183" s="19">
        <v>3.08</v>
      </c>
      <c r="J4183" s="19">
        <v>0.99</v>
      </c>
      <c r="K4183" s="19" t="s">
        <v>97</v>
      </c>
      <c r="L4183" s="19" t="s">
        <v>98</v>
      </c>
      <c r="M4183" s="15" t="s">
        <v>2085</v>
      </c>
      <c r="N4183" s="15" t="s">
        <v>36</v>
      </c>
      <c r="O4183" s="15" t="s">
        <v>114</v>
      </c>
      <c r="P4183" s="20" t="s">
        <v>262</v>
      </c>
      <c r="Q4183" s="15" t="s">
        <v>83</v>
      </c>
      <c r="R4183" s="4"/>
      <c r="S4183" s="4"/>
    </row>
    <row r="4184" spans="1:19" ht="21" customHeight="1" x14ac:dyDescent="0.25">
      <c r="A4184" s="14">
        <f>DATE(2012,12,31)-929</f>
        <v>40345</v>
      </c>
      <c r="B4184" s="15" t="s">
        <v>265</v>
      </c>
      <c r="C4184" s="15" t="s">
        <v>85</v>
      </c>
      <c r="D4184" s="16">
        <v>21</v>
      </c>
      <c r="E4184" s="17">
        <v>3072.86</v>
      </c>
      <c r="F4184" s="16">
        <v>0.08</v>
      </c>
      <c r="G4184" s="15" t="s">
        <v>58</v>
      </c>
      <c r="H4184" s="18">
        <v>-364.87336600000009</v>
      </c>
      <c r="I4184" s="19">
        <v>150.97999999999999</v>
      </c>
      <c r="J4184" s="19">
        <v>39.25</v>
      </c>
      <c r="K4184" s="19" t="s">
        <v>124</v>
      </c>
      <c r="L4184" s="19" t="s">
        <v>493</v>
      </c>
      <c r="M4184" s="15" t="s">
        <v>2134</v>
      </c>
      <c r="N4184" s="15" t="s">
        <v>54</v>
      </c>
      <c r="O4184" s="15" t="s">
        <v>61</v>
      </c>
      <c r="P4184" s="20" t="s">
        <v>941</v>
      </c>
      <c r="Q4184" s="15" t="s">
        <v>63</v>
      </c>
      <c r="R4184" s="4"/>
      <c r="S4184" s="4"/>
    </row>
    <row r="4185" spans="1:19" ht="21" customHeight="1" x14ac:dyDescent="0.25">
      <c r="A4185" s="14">
        <f>DATE(2012,12,31)-181</f>
        <v>41093</v>
      </c>
      <c r="B4185" s="15" t="s">
        <v>1612</v>
      </c>
      <c r="C4185" s="15" t="s">
        <v>85</v>
      </c>
      <c r="D4185" s="16">
        <v>48</v>
      </c>
      <c r="E4185" s="17">
        <v>1463.105</v>
      </c>
      <c r="F4185" s="16">
        <v>0.06</v>
      </c>
      <c r="G4185" s="15" t="s">
        <v>32</v>
      </c>
      <c r="H4185" s="18">
        <v>446.99400000000003</v>
      </c>
      <c r="I4185" s="19">
        <v>35.99</v>
      </c>
      <c r="J4185" s="19">
        <v>1.25</v>
      </c>
      <c r="K4185" s="19" t="s">
        <v>33</v>
      </c>
      <c r="L4185" s="19" t="s">
        <v>145</v>
      </c>
      <c r="M4185" s="15" t="s">
        <v>2140</v>
      </c>
      <c r="N4185" s="15" t="s">
        <v>64</v>
      </c>
      <c r="O4185" s="15" t="s">
        <v>65</v>
      </c>
      <c r="P4185" s="20" t="s">
        <v>680</v>
      </c>
      <c r="Q4185" s="15" t="s">
        <v>49</v>
      </c>
      <c r="R4185" s="4"/>
      <c r="S4185" s="4"/>
    </row>
    <row r="4186" spans="1:19" ht="21" customHeight="1" x14ac:dyDescent="0.25">
      <c r="A4186" s="14">
        <f>DATE(2012,12,31)-181</f>
        <v>41093</v>
      </c>
      <c r="B4186" s="15" t="s">
        <v>1612</v>
      </c>
      <c r="C4186" s="15" t="s">
        <v>85</v>
      </c>
      <c r="D4186" s="16">
        <v>42</v>
      </c>
      <c r="E4186" s="17">
        <v>1085.4000000000001</v>
      </c>
      <c r="F4186" s="16">
        <v>0.02</v>
      </c>
      <c r="G4186" s="15" t="s">
        <v>32</v>
      </c>
      <c r="H4186" s="18">
        <v>262.32</v>
      </c>
      <c r="I4186" s="19">
        <v>25.98</v>
      </c>
      <c r="J4186" s="19">
        <v>5.37</v>
      </c>
      <c r="K4186" s="19" t="s">
        <v>33</v>
      </c>
      <c r="L4186" s="19" t="s">
        <v>59</v>
      </c>
      <c r="M4186" s="15" t="s">
        <v>2091</v>
      </c>
      <c r="N4186" s="15" t="s">
        <v>36</v>
      </c>
      <c r="O4186" s="15" t="s">
        <v>176</v>
      </c>
      <c r="P4186" s="20" t="s">
        <v>1120</v>
      </c>
      <c r="Q4186" s="15" t="s">
        <v>57</v>
      </c>
      <c r="R4186" s="4"/>
      <c r="S4186" s="4"/>
    </row>
    <row r="4187" spans="1:19" ht="21" customHeight="1" x14ac:dyDescent="0.25">
      <c r="A4187" s="14">
        <f>DATE(2012,12,31)-181</f>
        <v>41093</v>
      </c>
      <c r="B4187" s="15" t="s">
        <v>1612</v>
      </c>
      <c r="C4187" s="15" t="s">
        <v>85</v>
      </c>
      <c r="D4187" s="16">
        <v>19</v>
      </c>
      <c r="E4187" s="17">
        <v>123.67</v>
      </c>
      <c r="F4187" s="16">
        <v>0.03</v>
      </c>
      <c r="G4187" s="15" t="s">
        <v>32</v>
      </c>
      <c r="H4187" s="18">
        <v>-34.17</v>
      </c>
      <c r="I4187" s="19">
        <v>6.24</v>
      </c>
      <c r="J4187" s="19">
        <v>5.22</v>
      </c>
      <c r="K4187" s="19" t="s">
        <v>33</v>
      </c>
      <c r="L4187" s="19" t="s">
        <v>145</v>
      </c>
      <c r="M4187" s="15" t="s">
        <v>2140</v>
      </c>
      <c r="N4187" s="15" t="s">
        <v>54</v>
      </c>
      <c r="O4187" s="15" t="s">
        <v>55</v>
      </c>
      <c r="P4187" s="20" t="s">
        <v>341</v>
      </c>
      <c r="Q4187" s="15" t="s">
        <v>83</v>
      </c>
      <c r="R4187" s="4"/>
      <c r="S4187" s="4"/>
    </row>
    <row r="4188" spans="1:19" ht="21" customHeight="1" x14ac:dyDescent="0.25">
      <c r="A4188" s="14">
        <f>DATE(2012,12,31)-881</f>
        <v>40393</v>
      </c>
      <c r="B4188" s="15" t="s">
        <v>696</v>
      </c>
      <c r="C4188" s="15" t="s">
        <v>85</v>
      </c>
      <c r="D4188" s="16">
        <v>15</v>
      </c>
      <c r="E4188" s="17">
        <v>22.45</v>
      </c>
      <c r="F4188" s="16">
        <v>0.03</v>
      </c>
      <c r="G4188" s="15" t="s">
        <v>32</v>
      </c>
      <c r="H4188" s="18">
        <v>0.78</v>
      </c>
      <c r="I4188" s="19">
        <v>1.48</v>
      </c>
      <c r="J4188" s="19">
        <v>0.7</v>
      </c>
      <c r="K4188" s="19" t="s">
        <v>33</v>
      </c>
      <c r="L4188" s="19" t="s">
        <v>59</v>
      </c>
      <c r="M4188" s="15" t="s">
        <v>2091</v>
      </c>
      <c r="N4188" s="15" t="s">
        <v>36</v>
      </c>
      <c r="O4188" s="15" t="s">
        <v>105</v>
      </c>
      <c r="P4188" s="20" t="s">
        <v>1165</v>
      </c>
      <c r="Q4188" s="15" t="s">
        <v>79</v>
      </c>
      <c r="R4188" s="4"/>
      <c r="S4188" s="4"/>
    </row>
    <row r="4189" spans="1:19" ht="21" customHeight="1" x14ac:dyDescent="0.25">
      <c r="A4189" s="14">
        <f>DATE(2012,12,31)-881</f>
        <v>40393</v>
      </c>
      <c r="B4189" s="15" t="s">
        <v>696</v>
      </c>
      <c r="C4189" s="15" t="s">
        <v>85</v>
      </c>
      <c r="D4189" s="16">
        <v>33</v>
      </c>
      <c r="E4189" s="17">
        <v>3268.56</v>
      </c>
      <c r="F4189" s="16">
        <v>0.03</v>
      </c>
      <c r="G4189" s="15" t="s">
        <v>58</v>
      </c>
      <c r="H4189" s="18">
        <v>-1181.71</v>
      </c>
      <c r="I4189" s="19">
        <v>95.95</v>
      </c>
      <c r="J4189" s="19">
        <v>74.349999999999994</v>
      </c>
      <c r="K4189" s="19" t="s">
        <v>33</v>
      </c>
      <c r="L4189" s="19" t="s">
        <v>59</v>
      </c>
      <c r="M4189" s="15" t="s">
        <v>2091</v>
      </c>
      <c r="N4189" s="15" t="s">
        <v>54</v>
      </c>
      <c r="O4189" s="15" t="s">
        <v>252</v>
      </c>
      <c r="P4189" s="20" t="s">
        <v>540</v>
      </c>
      <c r="Q4189" s="15" t="s">
        <v>181</v>
      </c>
      <c r="R4189" s="4"/>
      <c r="S4189" s="4"/>
    </row>
    <row r="4190" spans="1:19" ht="21" customHeight="1" x14ac:dyDescent="0.25">
      <c r="A4190" s="14">
        <f>DATE(2012,12,31)-162</f>
        <v>41112</v>
      </c>
      <c r="B4190" s="15" t="s">
        <v>468</v>
      </c>
      <c r="C4190" s="15" t="s">
        <v>85</v>
      </c>
      <c r="D4190" s="16">
        <v>10</v>
      </c>
      <c r="E4190" s="17">
        <v>165.09</v>
      </c>
      <c r="F4190" s="16">
        <v>0</v>
      </c>
      <c r="G4190" s="15" t="s">
        <v>101</v>
      </c>
      <c r="H4190" s="18">
        <v>-8.5904999999999987</v>
      </c>
      <c r="I4190" s="19">
        <v>15.01</v>
      </c>
      <c r="J4190" s="19">
        <v>8.4</v>
      </c>
      <c r="K4190" s="19" t="s">
        <v>33</v>
      </c>
      <c r="L4190" s="19" t="s">
        <v>145</v>
      </c>
      <c r="M4190" s="15" t="s">
        <v>2140</v>
      </c>
      <c r="N4190" s="15" t="s">
        <v>36</v>
      </c>
      <c r="O4190" s="15" t="s">
        <v>170</v>
      </c>
      <c r="P4190" s="20" t="s">
        <v>1304</v>
      </c>
      <c r="Q4190" s="15" t="s">
        <v>83</v>
      </c>
      <c r="R4190" s="4"/>
      <c r="S4190" s="4"/>
    </row>
    <row r="4191" spans="1:19" ht="21" customHeight="1" x14ac:dyDescent="0.25">
      <c r="A4191" s="14">
        <f>DATE(2012,12,31)-1381</f>
        <v>39893</v>
      </c>
      <c r="B4191" s="15" t="s">
        <v>131</v>
      </c>
      <c r="C4191" s="15" t="s">
        <v>85</v>
      </c>
      <c r="D4191" s="16">
        <v>13</v>
      </c>
      <c r="E4191" s="17">
        <v>89061.05</v>
      </c>
      <c r="F4191" s="16">
        <v>0</v>
      </c>
      <c r="G4191" s="15" t="s">
        <v>32</v>
      </c>
      <c r="H4191" s="18">
        <v>27220.69</v>
      </c>
      <c r="I4191" s="19">
        <v>6783.02</v>
      </c>
      <c r="J4191" s="19">
        <v>24.49</v>
      </c>
      <c r="K4191" s="19" t="s">
        <v>33</v>
      </c>
      <c r="L4191" s="19" t="s">
        <v>59</v>
      </c>
      <c r="M4191" s="15" t="s">
        <v>2091</v>
      </c>
      <c r="N4191" s="15" t="s">
        <v>64</v>
      </c>
      <c r="O4191" s="15" t="s">
        <v>122</v>
      </c>
      <c r="P4191" s="20" t="s">
        <v>750</v>
      </c>
      <c r="Q4191" s="15" t="s">
        <v>39</v>
      </c>
      <c r="R4191" s="4"/>
      <c r="S4191" s="4"/>
    </row>
    <row r="4192" spans="1:19" ht="21" customHeight="1" x14ac:dyDescent="0.25">
      <c r="A4192" s="14">
        <f>DATE(2012,12,31)-1381</f>
        <v>39893</v>
      </c>
      <c r="B4192" s="15" t="s">
        <v>131</v>
      </c>
      <c r="C4192" s="15" t="s">
        <v>85</v>
      </c>
      <c r="D4192" s="16">
        <v>40</v>
      </c>
      <c r="E4192" s="17">
        <v>6636.6639999999998</v>
      </c>
      <c r="F4192" s="16">
        <v>0.08</v>
      </c>
      <c r="G4192" s="15" t="s">
        <v>32</v>
      </c>
      <c r="H4192" s="18">
        <v>1623.6989999999998</v>
      </c>
      <c r="I4192" s="19">
        <v>205.99</v>
      </c>
      <c r="J4192" s="19">
        <v>8.99</v>
      </c>
      <c r="K4192" s="19" t="s">
        <v>33</v>
      </c>
      <c r="L4192" s="19" t="s">
        <v>59</v>
      </c>
      <c r="M4192" s="15" t="s">
        <v>2091</v>
      </c>
      <c r="N4192" s="15" t="s">
        <v>64</v>
      </c>
      <c r="O4192" s="15" t="s">
        <v>65</v>
      </c>
      <c r="P4192" s="20" t="s">
        <v>1464</v>
      </c>
      <c r="Q4192" s="15" t="s">
        <v>83</v>
      </c>
      <c r="R4192" s="4"/>
      <c r="S4192" s="4"/>
    </row>
    <row r="4193" spans="1:19" ht="21" customHeight="1" x14ac:dyDescent="0.25">
      <c r="A4193" s="14">
        <f>DATE(2012,12,31)-695</f>
        <v>40579</v>
      </c>
      <c r="B4193" s="15" t="s">
        <v>1351</v>
      </c>
      <c r="C4193" s="15" t="s">
        <v>51</v>
      </c>
      <c r="D4193" s="16">
        <v>48</v>
      </c>
      <c r="E4193" s="17">
        <v>4153.0600000000004</v>
      </c>
      <c r="F4193" s="16">
        <v>0.06</v>
      </c>
      <c r="G4193" s="15" t="s">
        <v>32</v>
      </c>
      <c r="H4193" s="18">
        <v>1499.41</v>
      </c>
      <c r="I4193" s="19">
        <v>90.24</v>
      </c>
      <c r="J4193" s="19">
        <v>0.99</v>
      </c>
      <c r="K4193" s="19" t="s">
        <v>33</v>
      </c>
      <c r="L4193" s="19" t="s">
        <v>59</v>
      </c>
      <c r="M4193" s="15" t="s">
        <v>2091</v>
      </c>
      <c r="N4193" s="15" t="s">
        <v>36</v>
      </c>
      <c r="O4193" s="15" t="s">
        <v>176</v>
      </c>
      <c r="P4193" s="20" t="s">
        <v>697</v>
      </c>
      <c r="Q4193" s="15" t="s">
        <v>83</v>
      </c>
      <c r="R4193" s="4"/>
      <c r="S4193" s="4"/>
    </row>
    <row r="4194" spans="1:19" ht="21" customHeight="1" x14ac:dyDescent="0.25">
      <c r="A4194" s="14">
        <f>DATE(2012,12,31)-402</f>
        <v>40872</v>
      </c>
      <c r="B4194" s="15" t="s">
        <v>616</v>
      </c>
      <c r="C4194" s="15" t="s">
        <v>51</v>
      </c>
      <c r="D4194" s="16">
        <v>49</v>
      </c>
      <c r="E4194" s="17">
        <v>19325.2</v>
      </c>
      <c r="F4194" s="16">
        <v>0.05</v>
      </c>
      <c r="G4194" s="15" t="s">
        <v>32</v>
      </c>
      <c r="H4194" s="18">
        <v>8793.5390000000007</v>
      </c>
      <c r="I4194" s="19">
        <v>387.99</v>
      </c>
      <c r="J4194" s="19">
        <v>19.989999999999998</v>
      </c>
      <c r="K4194" s="19" t="s">
        <v>33</v>
      </c>
      <c r="L4194" s="19" t="s">
        <v>34</v>
      </c>
      <c r="M4194" s="15" t="s">
        <v>2043</v>
      </c>
      <c r="N4194" s="15" t="s">
        <v>36</v>
      </c>
      <c r="O4194" s="15" t="s">
        <v>170</v>
      </c>
      <c r="P4194" s="20" t="s">
        <v>1649</v>
      </c>
      <c r="Q4194" s="15" t="s">
        <v>83</v>
      </c>
      <c r="R4194" s="4"/>
      <c r="S4194" s="4"/>
    </row>
    <row r="4195" spans="1:19" ht="21" customHeight="1" x14ac:dyDescent="0.25">
      <c r="A4195" s="14">
        <f>DATE(2012,12,31)-402</f>
        <v>40872</v>
      </c>
      <c r="B4195" s="15" t="s">
        <v>616</v>
      </c>
      <c r="C4195" s="15" t="s">
        <v>51</v>
      </c>
      <c r="D4195" s="16">
        <v>48</v>
      </c>
      <c r="E4195" s="17">
        <v>8380.2199999999993</v>
      </c>
      <c r="F4195" s="16">
        <v>0</v>
      </c>
      <c r="G4195" s="15" t="s">
        <v>58</v>
      </c>
      <c r="H4195" s="18">
        <v>813.83</v>
      </c>
      <c r="I4195" s="19">
        <v>160.97999999999999</v>
      </c>
      <c r="J4195" s="19">
        <v>35.020000000000003</v>
      </c>
      <c r="K4195" s="19" t="s">
        <v>33</v>
      </c>
      <c r="L4195" s="19" t="s">
        <v>59</v>
      </c>
      <c r="M4195" s="15" t="s">
        <v>2091</v>
      </c>
      <c r="N4195" s="15" t="s">
        <v>54</v>
      </c>
      <c r="O4195" s="15" t="s">
        <v>134</v>
      </c>
      <c r="P4195" s="20" t="s">
        <v>451</v>
      </c>
      <c r="Q4195" s="15" t="s">
        <v>63</v>
      </c>
      <c r="R4195" s="4"/>
      <c r="S4195" s="4"/>
    </row>
    <row r="4196" spans="1:19" ht="21" customHeight="1" x14ac:dyDescent="0.25">
      <c r="A4196" s="14">
        <f>DATE(2012,12,31)-919</f>
        <v>40355</v>
      </c>
      <c r="B4196" s="15" t="s">
        <v>1258</v>
      </c>
      <c r="C4196" s="15" t="s">
        <v>51</v>
      </c>
      <c r="D4196" s="16">
        <v>50</v>
      </c>
      <c r="E4196" s="17">
        <v>742.05</v>
      </c>
      <c r="F4196" s="16">
        <v>0.05</v>
      </c>
      <c r="G4196" s="15" t="s">
        <v>32</v>
      </c>
      <c r="H4196" s="18">
        <v>-337.98</v>
      </c>
      <c r="I4196" s="19">
        <v>14.89</v>
      </c>
      <c r="J4196" s="19">
        <v>13.56</v>
      </c>
      <c r="K4196" s="19" t="s">
        <v>33</v>
      </c>
      <c r="L4196" s="19" t="s">
        <v>145</v>
      </c>
      <c r="M4196" s="15" t="s">
        <v>2140</v>
      </c>
      <c r="N4196" s="15" t="s">
        <v>54</v>
      </c>
      <c r="O4196" s="15" t="s">
        <v>55</v>
      </c>
      <c r="P4196" s="20" t="s">
        <v>1825</v>
      </c>
      <c r="Q4196" s="15" t="s">
        <v>39</v>
      </c>
      <c r="R4196" s="4"/>
      <c r="S4196" s="4"/>
    </row>
    <row r="4197" spans="1:19" ht="21" customHeight="1" x14ac:dyDescent="0.25">
      <c r="A4197" s="14">
        <f>DATE(2012,12,31)-1194</f>
        <v>40080</v>
      </c>
      <c r="B4197" s="15" t="s">
        <v>799</v>
      </c>
      <c r="C4197" s="15" t="s">
        <v>85</v>
      </c>
      <c r="D4197" s="16">
        <v>9</v>
      </c>
      <c r="E4197" s="17">
        <v>157.63</v>
      </c>
      <c r="F4197" s="16">
        <v>0.06</v>
      </c>
      <c r="G4197" s="15" t="s">
        <v>32</v>
      </c>
      <c r="H4197" s="18">
        <v>-78.13</v>
      </c>
      <c r="I4197" s="19">
        <v>17.98</v>
      </c>
      <c r="J4197" s="19">
        <v>4</v>
      </c>
      <c r="K4197" s="19" t="s">
        <v>33</v>
      </c>
      <c r="L4197" s="19" t="s">
        <v>59</v>
      </c>
      <c r="M4197" s="15" t="s">
        <v>2091</v>
      </c>
      <c r="N4197" s="15" t="s">
        <v>64</v>
      </c>
      <c r="O4197" s="15" t="s">
        <v>72</v>
      </c>
      <c r="P4197" s="20" t="s">
        <v>1503</v>
      </c>
      <c r="Q4197" s="15" t="s">
        <v>83</v>
      </c>
      <c r="R4197" s="4"/>
      <c r="S4197" s="4"/>
    </row>
    <row r="4198" spans="1:19" ht="21" customHeight="1" x14ac:dyDescent="0.25">
      <c r="A4198" s="14">
        <f>DATE(2012,12,31)-536</f>
        <v>40738</v>
      </c>
      <c r="B4198" s="15" t="s">
        <v>782</v>
      </c>
      <c r="C4198" s="15" t="s">
        <v>85</v>
      </c>
      <c r="D4198" s="16">
        <v>35</v>
      </c>
      <c r="E4198" s="17">
        <v>926.65</v>
      </c>
      <c r="F4198" s="16">
        <v>0.01</v>
      </c>
      <c r="G4198" s="15" t="s">
        <v>32</v>
      </c>
      <c r="H4198" s="18">
        <v>-75.38</v>
      </c>
      <c r="I4198" s="19">
        <v>26.31</v>
      </c>
      <c r="J4198" s="19">
        <v>5.89</v>
      </c>
      <c r="K4198" s="19" t="s">
        <v>69</v>
      </c>
      <c r="L4198" s="19" t="s">
        <v>75</v>
      </c>
      <c r="M4198" s="15" t="s">
        <v>1980</v>
      </c>
      <c r="N4198" s="15" t="s">
        <v>64</v>
      </c>
      <c r="O4198" s="15" t="s">
        <v>72</v>
      </c>
      <c r="P4198" s="20" t="s">
        <v>1286</v>
      </c>
      <c r="Q4198" s="15" t="s">
        <v>83</v>
      </c>
      <c r="R4198" s="4"/>
      <c r="S4198" s="4"/>
    </row>
    <row r="4199" spans="1:19" ht="21" customHeight="1" x14ac:dyDescent="0.25">
      <c r="A4199" s="14">
        <f>DATE(2012,12,31)-277</f>
        <v>40997</v>
      </c>
      <c r="B4199" s="15" t="s">
        <v>635</v>
      </c>
      <c r="C4199" s="15" t="s">
        <v>85</v>
      </c>
      <c r="D4199" s="16">
        <v>29</v>
      </c>
      <c r="E4199" s="17">
        <v>2175.2199999999998</v>
      </c>
      <c r="F4199" s="16">
        <v>0</v>
      </c>
      <c r="G4199" s="15" t="s">
        <v>58</v>
      </c>
      <c r="H4199" s="18">
        <v>-520.54999999999995</v>
      </c>
      <c r="I4199" s="19">
        <v>68.81</v>
      </c>
      <c r="J4199" s="19">
        <v>60</v>
      </c>
      <c r="K4199" s="19" t="s">
        <v>69</v>
      </c>
      <c r="L4199" s="19" t="s">
        <v>70</v>
      </c>
      <c r="M4199" s="15" t="s">
        <v>1895</v>
      </c>
      <c r="N4199" s="15" t="s">
        <v>36</v>
      </c>
      <c r="O4199" s="15" t="s">
        <v>176</v>
      </c>
      <c r="P4199" s="20" t="s">
        <v>363</v>
      </c>
      <c r="Q4199" s="15" t="s">
        <v>181</v>
      </c>
      <c r="R4199" s="4"/>
      <c r="S4199" s="4"/>
    </row>
    <row r="4200" spans="1:19" ht="21" customHeight="1" x14ac:dyDescent="0.25">
      <c r="A4200" s="14">
        <f>DATE(2012,12,31)-206</f>
        <v>41068</v>
      </c>
      <c r="B4200" s="15" t="s">
        <v>808</v>
      </c>
      <c r="C4200" s="15" t="s">
        <v>85</v>
      </c>
      <c r="D4200" s="16">
        <v>24</v>
      </c>
      <c r="E4200" s="17">
        <v>115.54</v>
      </c>
      <c r="F4200" s="16">
        <v>0.04</v>
      </c>
      <c r="G4200" s="15" t="s">
        <v>32</v>
      </c>
      <c r="H4200" s="18">
        <v>43.35</v>
      </c>
      <c r="I4200" s="19">
        <v>4.9800000000000004</v>
      </c>
      <c r="J4200" s="19">
        <v>0.8</v>
      </c>
      <c r="K4200" s="19" t="s">
        <v>69</v>
      </c>
      <c r="L4200" s="19" t="s">
        <v>70</v>
      </c>
      <c r="M4200" s="15" t="s">
        <v>1895</v>
      </c>
      <c r="N4200" s="15" t="s">
        <v>36</v>
      </c>
      <c r="O4200" s="15" t="s">
        <v>117</v>
      </c>
      <c r="P4200" s="20" t="s">
        <v>487</v>
      </c>
      <c r="Q4200" s="15" t="s">
        <v>79</v>
      </c>
      <c r="R4200" s="4"/>
      <c r="S4200" s="4"/>
    </row>
    <row r="4201" spans="1:19" ht="21" customHeight="1" x14ac:dyDescent="0.25">
      <c r="A4201" s="14">
        <f>DATE(2012,12,31)-1115</f>
        <v>40159</v>
      </c>
      <c r="B4201" s="15" t="s">
        <v>1780</v>
      </c>
      <c r="C4201" s="15" t="s">
        <v>85</v>
      </c>
      <c r="D4201" s="16">
        <v>41</v>
      </c>
      <c r="E4201" s="17">
        <v>5572.92</v>
      </c>
      <c r="F4201" s="16">
        <v>7.0000000000000007E-2</v>
      </c>
      <c r="G4201" s="15" t="s">
        <v>58</v>
      </c>
      <c r="H4201" s="18">
        <v>-639.47</v>
      </c>
      <c r="I4201" s="19">
        <v>140.97999999999999</v>
      </c>
      <c r="J4201" s="19">
        <v>36.090000000000003</v>
      </c>
      <c r="K4201" s="19" t="s">
        <v>69</v>
      </c>
      <c r="L4201" s="19" t="s">
        <v>70</v>
      </c>
      <c r="M4201" s="15" t="s">
        <v>1895</v>
      </c>
      <c r="N4201" s="15" t="s">
        <v>54</v>
      </c>
      <c r="O4201" s="15" t="s">
        <v>134</v>
      </c>
      <c r="P4201" s="20" t="s">
        <v>1039</v>
      </c>
      <c r="Q4201" s="15" t="s">
        <v>63</v>
      </c>
      <c r="R4201" s="4"/>
      <c r="S4201" s="4"/>
    </row>
    <row r="4202" spans="1:19" ht="21" customHeight="1" x14ac:dyDescent="0.25">
      <c r="A4202" s="14">
        <f>DATE(2012,12,31)-1205</f>
        <v>40069</v>
      </c>
      <c r="B4202" s="15" t="s">
        <v>1123</v>
      </c>
      <c r="C4202" s="15" t="s">
        <v>85</v>
      </c>
      <c r="D4202" s="16">
        <v>48</v>
      </c>
      <c r="E4202" s="17">
        <v>8295.2900000000009</v>
      </c>
      <c r="F4202" s="16">
        <v>0.08</v>
      </c>
      <c r="G4202" s="15" t="s">
        <v>32</v>
      </c>
      <c r="H4202" s="18">
        <v>2267.2199999999998</v>
      </c>
      <c r="I4202" s="19">
        <v>178.47</v>
      </c>
      <c r="J4202" s="19">
        <v>19.989999999999998</v>
      </c>
      <c r="K4202" s="19" t="s">
        <v>69</v>
      </c>
      <c r="L4202" s="19" t="s">
        <v>70</v>
      </c>
      <c r="M4202" s="15" t="s">
        <v>1895</v>
      </c>
      <c r="N4202" s="15" t="s">
        <v>36</v>
      </c>
      <c r="O4202" s="15" t="s">
        <v>37</v>
      </c>
      <c r="P4202" s="20" t="s">
        <v>232</v>
      </c>
      <c r="Q4202" s="15" t="s">
        <v>83</v>
      </c>
      <c r="R4202" s="4"/>
      <c r="S4202" s="4"/>
    </row>
    <row r="4203" spans="1:19" ht="21" customHeight="1" x14ac:dyDescent="0.25">
      <c r="A4203" s="14">
        <f>DATE(2012,12,31)-250</f>
        <v>41024</v>
      </c>
      <c r="B4203" s="15" t="s">
        <v>775</v>
      </c>
      <c r="C4203" s="15" t="s">
        <v>85</v>
      </c>
      <c r="D4203" s="16">
        <v>11</v>
      </c>
      <c r="E4203" s="17">
        <v>35.17</v>
      </c>
      <c r="F4203" s="16">
        <v>0.03</v>
      </c>
      <c r="G4203" s="15" t="s">
        <v>32</v>
      </c>
      <c r="H4203" s="18">
        <v>5.58</v>
      </c>
      <c r="I4203" s="19">
        <v>3.08</v>
      </c>
      <c r="J4203" s="19">
        <v>0.99</v>
      </c>
      <c r="K4203" s="19" t="s">
        <v>69</v>
      </c>
      <c r="L4203" s="19" t="s">
        <v>70</v>
      </c>
      <c r="M4203" s="15" t="s">
        <v>1895</v>
      </c>
      <c r="N4203" s="15" t="s">
        <v>36</v>
      </c>
      <c r="O4203" s="15" t="s">
        <v>114</v>
      </c>
      <c r="P4203" s="20" t="s">
        <v>262</v>
      </c>
      <c r="Q4203" s="15" t="s">
        <v>83</v>
      </c>
      <c r="R4203" s="4"/>
      <c r="S4203" s="4"/>
    </row>
    <row r="4204" spans="1:19" ht="21" customHeight="1" x14ac:dyDescent="0.25">
      <c r="A4204" s="14">
        <f>DATE(2012,12,31)-561</f>
        <v>40713</v>
      </c>
      <c r="B4204" s="15" t="s">
        <v>144</v>
      </c>
      <c r="C4204" s="15" t="s">
        <v>85</v>
      </c>
      <c r="D4204" s="16">
        <v>34</v>
      </c>
      <c r="E4204" s="17">
        <v>214.64</v>
      </c>
      <c r="F4204" s="16">
        <v>0.08</v>
      </c>
      <c r="G4204" s="15" t="s">
        <v>32</v>
      </c>
      <c r="H4204" s="18">
        <v>-76.88</v>
      </c>
      <c r="I4204" s="19">
        <v>6.48</v>
      </c>
      <c r="J4204" s="19">
        <v>5.86</v>
      </c>
      <c r="K4204" s="19" t="s">
        <v>69</v>
      </c>
      <c r="L4204" s="19" t="s">
        <v>70</v>
      </c>
      <c r="M4204" s="15" t="s">
        <v>1895</v>
      </c>
      <c r="N4204" s="15" t="s">
        <v>36</v>
      </c>
      <c r="O4204" s="15" t="s">
        <v>117</v>
      </c>
      <c r="P4204" s="20" t="s">
        <v>700</v>
      </c>
      <c r="Q4204" s="15" t="s">
        <v>83</v>
      </c>
      <c r="R4204" s="4"/>
      <c r="S4204" s="4"/>
    </row>
    <row r="4205" spans="1:19" ht="21" customHeight="1" x14ac:dyDescent="0.25">
      <c r="A4205" s="14">
        <f>DATE(2012,12,31)-1123</f>
        <v>40151</v>
      </c>
      <c r="B4205" s="15" t="s">
        <v>965</v>
      </c>
      <c r="C4205" s="15" t="s">
        <v>43</v>
      </c>
      <c r="D4205" s="16">
        <v>44</v>
      </c>
      <c r="E4205" s="17">
        <v>243.5</v>
      </c>
      <c r="F4205" s="16">
        <v>0.09</v>
      </c>
      <c r="G4205" s="15" t="s">
        <v>32</v>
      </c>
      <c r="H4205" s="18">
        <v>23.87</v>
      </c>
      <c r="I4205" s="19">
        <v>5.98</v>
      </c>
      <c r="J4205" s="19">
        <v>1.67</v>
      </c>
      <c r="K4205" s="19" t="s">
        <v>69</v>
      </c>
      <c r="L4205" s="19" t="s">
        <v>75</v>
      </c>
      <c r="M4205" s="15" t="s">
        <v>1980</v>
      </c>
      <c r="N4205" s="15" t="s">
        <v>36</v>
      </c>
      <c r="O4205" s="15" t="s">
        <v>77</v>
      </c>
      <c r="P4205" s="20" t="s">
        <v>2152</v>
      </c>
      <c r="Q4205" s="15" t="s">
        <v>79</v>
      </c>
      <c r="R4205" s="4"/>
      <c r="S4205" s="4"/>
    </row>
    <row r="4206" spans="1:19" ht="21" customHeight="1" x14ac:dyDescent="0.25">
      <c r="A4206" s="14">
        <f>DATE(2012,12,31)-198</f>
        <v>41076</v>
      </c>
      <c r="B4206" s="15" t="s">
        <v>950</v>
      </c>
      <c r="C4206" s="15" t="s">
        <v>85</v>
      </c>
      <c r="D4206" s="16">
        <v>24</v>
      </c>
      <c r="E4206" s="17">
        <v>5452.9</v>
      </c>
      <c r="F4206" s="16">
        <v>7.0000000000000007E-2</v>
      </c>
      <c r="G4206" s="15" t="s">
        <v>58</v>
      </c>
      <c r="H4206" s="18">
        <v>426.67</v>
      </c>
      <c r="I4206" s="19">
        <v>225.02</v>
      </c>
      <c r="J4206" s="19">
        <v>28.66</v>
      </c>
      <c r="K4206" s="19" t="s">
        <v>69</v>
      </c>
      <c r="L4206" s="19" t="s">
        <v>215</v>
      </c>
      <c r="M4206" s="15" t="s">
        <v>2120</v>
      </c>
      <c r="N4206" s="15" t="s">
        <v>36</v>
      </c>
      <c r="O4206" s="15" t="s">
        <v>37</v>
      </c>
      <c r="P4206" s="20" t="s">
        <v>722</v>
      </c>
      <c r="Q4206" s="15" t="s">
        <v>181</v>
      </c>
      <c r="R4206" s="4"/>
      <c r="S4206" s="4"/>
    </row>
    <row r="4207" spans="1:19" ht="21" customHeight="1" x14ac:dyDescent="0.25">
      <c r="A4207" s="14">
        <f>DATE(2012,12,31)-846</f>
        <v>40428</v>
      </c>
      <c r="B4207" s="15" t="s">
        <v>1582</v>
      </c>
      <c r="C4207" s="15" t="s">
        <v>31</v>
      </c>
      <c r="D4207" s="16">
        <v>43</v>
      </c>
      <c r="E4207" s="17">
        <v>606.98</v>
      </c>
      <c r="F4207" s="16">
        <v>0.05</v>
      </c>
      <c r="G4207" s="15" t="s">
        <v>32</v>
      </c>
      <c r="H4207" s="18">
        <v>21.08</v>
      </c>
      <c r="I4207" s="19">
        <v>13.73</v>
      </c>
      <c r="J4207" s="19">
        <v>6.85</v>
      </c>
      <c r="K4207" s="19" t="s">
        <v>111</v>
      </c>
      <c r="L4207" s="19" t="s">
        <v>442</v>
      </c>
      <c r="M4207" s="15" t="s">
        <v>2010</v>
      </c>
      <c r="N4207" s="15" t="s">
        <v>54</v>
      </c>
      <c r="O4207" s="15" t="s">
        <v>55</v>
      </c>
      <c r="P4207" s="20" t="s">
        <v>360</v>
      </c>
      <c r="Q4207" s="15" t="s">
        <v>79</v>
      </c>
      <c r="R4207" s="4"/>
      <c r="S4207" s="4"/>
    </row>
    <row r="4208" spans="1:19" ht="21" customHeight="1" x14ac:dyDescent="0.25">
      <c r="A4208" s="14">
        <f>DATE(2012,12,31)-846</f>
        <v>40428</v>
      </c>
      <c r="B4208" s="15" t="s">
        <v>1582</v>
      </c>
      <c r="C4208" s="15" t="s">
        <v>31</v>
      </c>
      <c r="D4208" s="16">
        <v>48</v>
      </c>
      <c r="E4208" s="17">
        <v>301.62</v>
      </c>
      <c r="F4208" s="16">
        <v>0.09</v>
      </c>
      <c r="G4208" s="15" t="s">
        <v>32</v>
      </c>
      <c r="H4208" s="18">
        <v>-162.54</v>
      </c>
      <c r="I4208" s="19">
        <v>6.68</v>
      </c>
      <c r="J4208" s="19">
        <v>6.92</v>
      </c>
      <c r="K4208" s="19" t="s">
        <v>111</v>
      </c>
      <c r="L4208" s="19" t="s">
        <v>112</v>
      </c>
      <c r="M4208" s="15" t="s">
        <v>2137</v>
      </c>
      <c r="N4208" s="15" t="s">
        <v>36</v>
      </c>
      <c r="O4208" s="15" t="s">
        <v>117</v>
      </c>
      <c r="P4208" s="20" t="s">
        <v>878</v>
      </c>
      <c r="Q4208" s="15" t="s">
        <v>83</v>
      </c>
      <c r="R4208" s="4"/>
      <c r="S4208" s="4"/>
    </row>
    <row r="4209" spans="1:19" ht="21" customHeight="1" x14ac:dyDescent="0.25">
      <c r="A4209" s="14">
        <f>DATE(2012,12,31)-803</f>
        <v>40471</v>
      </c>
      <c r="B4209" s="15" t="s">
        <v>1746</v>
      </c>
      <c r="C4209" s="15" t="s">
        <v>85</v>
      </c>
      <c r="D4209" s="16">
        <v>43</v>
      </c>
      <c r="E4209" s="17">
        <v>7286.65</v>
      </c>
      <c r="F4209" s="16">
        <v>0.03</v>
      </c>
      <c r="G4209" s="15" t="s">
        <v>58</v>
      </c>
      <c r="H4209" s="18">
        <v>474.89</v>
      </c>
      <c r="I4209" s="19">
        <v>160.97999999999999</v>
      </c>
      <c r="J4209" s="19">
        <v>35.020000000000003</v>
      </c>
      <c r="K4209" s="19" t="s">
        <v>111</v>
      </c>
      <c r="L4209" s="19" t="s">
        <v>112</v>
      </c>
      <c r="M4209" s="15" t="s">
        <v>2137</v>
      </c>
      <c r="N4209" s="15" t="s">
        <v>54</v>
      </c>
      <c r="O4209" s="15" t="s">
        <v>134</v>
      </c>
      <c r="P4209" s="20" t="s">
        <v>451</v>
      </c>
      <c r="Q4209" s="15" t="s">
        <v>63</v>
      </c>
      <c r="R4209" s="4"/>
      <c r="S4209" s="4"/>
    </row>
    <row r="4210" spans="1:19" ht="21" customHeight="1" x14ac:dyDescent="0.25">
      <c r="A4210" s="14">
        <f>DATE(2012,12,31)-283</f>
        <v>40991</v>
      </c>
      <c r="B4210" s="15" t="s">
        <v>183</v>
      </c>
      <c r="C4210" s="15" t="s">
        <v>85</v>
      </c>
      <c r="D4210" s="16">
        <v>33</v>
      </c>
      <c r="E4210" s="17">
        <v>3977.97</v>
      </c>
      <c r="F4210" s="16">
        <v>0.06</v>
      </c>
      <c r="G4210" s="15" t="s">
        <v>32</v>
      </c>
      <c r="H4210" s="18">
        <v>1733.4730000000002</v>
      </c>
      <c r="I4210" s="19">
        <v>120.98</v>
      </c>
      <c r="J4210" s="19">
        <v>9.07</v>
      </c>
      <c r="K4210" s="19" t="s">
        <v>44</v>
      </c>
      <c r="L4210" s="19" t="s">
        <v>120</v>
      </c>
      <c r="M4210" s="15" t="s">
        <v>2025</v>
      </c>
      <c r="N4210" s="15" t="s">
        <v>36</v>
      </c>
      <c r="O4210" s="15" t="s">
        <v>170</v>
      </c>
      <c r="P4210" s="20" t="s">
        <v>1445</v>
      </c>
      <c r="Q4210" s="15" t="s">
        <v>83</v>
      </c>
      <c r="R4210" s="4"/>
      <c r="S4210" s="4"/>
    </row>
    <row r="4211" spans="1:19" ht="21" customHeight="1" x14ac:dyDescent="0.25">
      <c r="A4211" s="14">
        <f>DATE(2012,12,31)-284</f>
        <v>40990</v>
      </c>
      <c r="B4211" s="15" t="s">
        <v>537</v>
      </c>
      <c r="C4211" s="15" t="s">
        <v>85</v>
      </c>
      <c r="D4211" s="16">
        <v>9</v>
      </c>
      <c r="E4211" s="17">
        <v>20.21</v>
      </c>
      <c r="F4211" s="16">
        <v>0</v>
      </c>
      <c r="G4211" s="15" t="s">
        <v>32</v>
      </c>
      <c r="H4211" s="18">
        <v>-5.1404999999999994</v>
      </c>
      <c r="I4211" s="19">
        <v>2.08</v>
      </c>
      <c r="J4211" s="19">
        <v>1.49</v>
      </c>
      <c r="K4211" s="19" t="s">
        <v>44</v>
      </c>
      <c r="L4211" s="19" t="s">
        <v>89</v>
      </c>
      <c r="M4211" s="15" t="s">
        <v>1932</v>
      </c>
      <c r="N4211" s="15" t="s">
        <v>36</v>
      </c>
      <c r="O4211" s="15" t="s">
        <v>170</v>
      </c>
      <c r="P4211" s="20" t="s">
        <v>1907</v>
      </c>
      <c r="Q4211" s="15" t="s">
        <v>83</v>
      </c>
      <c r="R4211" s="4"/>
      <c r="S4211" s="4"/>
    </row>
    <row r="4212" spans="1:19" ht="21" customHeight="1" x14ac:dyDescent="0.25">
      <c r="A4212" s="14">
        <f>DATE(2012,12,31)-54</f>
        <v>41220</v>
      </c>
      <c r="B4212" s="15" t="s">
        <v>911</v>
      </c>
      <c r="C4212" s="15" t="s">
        <v>51</v>
      </c>
      <c r="D4212" s="16">
        <v>19</v>
      </c>
      <c r="E4212" s="17">
        <v>257.97000000000003</v>
      </c>
      <c r="F4212" s="16">
        <v>0.03</v>
      </c>
      <c r="G4212" s="15" t="s">
        <v>32</v>
      </c>
      <c r="H4212" s="18">
        <v>33.1755</v>
      </c>
      <c r="I4212" s="19">
        <v>12.95</v>
      </c>
      <c r="J4212" s="19">
        <v>4.9800000000000004</v>
      </c>
      <c r="K4212" s="19" t="s">
        <v>44</v>
      </c>
      <c r="L4212" s="19" t="s">
        <v>89</v>
      </c>
      <c r="M4212" s="15" t="s">
        <v>1932</v>
      </c>
      <c r="N4212" s="15" t="s">
        <v>36</v>
      </c>
      <c r="O4212" s="15" t="s">
        <v>170</v>
      </c>
      <c r="P4212" s="20" t="s">
        <v>289</v>
      </c>
      <c r="Q4212" s="15" t="s">
        <v>83</v>
      </c>
      <c r="R4212" s="4"/>
      <c r="S4212" s="4"/>
    </row>
    <row r="4213" spans="1:19" ht="21" customHeight="1" x14ac:dyDescent="0.25">
      <c r="A4213" s="14">
        <f>DATE(2012,12,31)-693</f>
        <v>40581</v>
      </c>
      <c r="B4213" s="15" t="s">
        <v>1819</v>
      </c>
      <c r="C4213" s="15" t="s">
        <v>85</v>
      </c>
      <c r="D4213" s="16">
        <v>42</v>
      </c>
      <c r="E4213" s="17">
        <v>619.77</v>
      </c>
      <c r="F4213" s="16">
        <v>0.02</v>
      </c>
      <c r="G4213" s="15" t="s">
        <v>32</v>
      </c>
      <c r="H4213" s="18">
        <v>50.243499999999997</v>
      </c>
      <c r="I4213" s="19">
        <v>14.45</v>
      </c>
      <c r="J4213" s="19">
        <v>7.17</v>
      </c>
      <c r="K4213" s="19" t="s">
        <v>44</v>
      </c>
      <c r="L4213" s="19" t="s">
        <v>45</v>
      </c>
      <c r="M4213" s="15" t="s">
        <v>2053</v>
      </c>
      <c r="N4213" s="15" t="s">
        <v>36</v>
      </c>
      <c r="O4213" s="15" t="s">
        <v>170</v>
      </c>
      <c r="P4213" s="20" t="s">
        <v>1252</v>
      </c>
      <c r="Q4213" s="15" t="s">
        <v>83</v>
      </c>
      <c r="R4213" s="4"/>
      <c r="S4213" s="4"/>
    </row>
    <row r="4214" spans="1:19" ht="21" customHeight="1" x14ac:dyDescent="0.25">
      <c r="A4214" s="14">
        <f>DATE(2012,12,31)-1235</f>
        <v>40039</v>
      </c>
      <c r="B4214" s="15" t="s">
        <v>797</v>
      </c>
      <c r="C4214" s="15" t="s">
        <v>85</v>
      </c>
      <c r="D4214" s="16">
        <v>48</v>
      </c>
      <c r="E4214" s="17">
        <v>80.33</v>
      </c>
      <c r="F4214" s="16">
        <v>0.09</v>
      </c>
      <c r="G4214" s="15" t="s">
        <v>32</v>
      </c>
      <c r="H4214" s="18">
        <v>-12.95</v>
      </c>
      <c r="I4214" s="19">
        <v>1.82</v>
      </c>
      <c r="J4214" s="19">
        <v>0.83</v>
      </c>
      <c r="K4214" s="19" t="s">
        <v>44</v>
      </c>
      <c r="L4214" s="19" t="s">
        <v>89</v>
      </c>
      <c r="M4214" s="15" t="s">
        <v>1932</v>
      </c>
      <c r="N4214" s="15" t="s">
        <v>36</v>
      </c>
      <c r="O4214" s="15" t="s">
        <v>77</v>
      </c>
      <c r="P4214" s="20" t="s">
        <v>1737</v>
      </c>
      <c r="Q4214" s="15" t="s">
        <v>79</v>
      </c>
      <c r="R4214" s="4"/>
      <c r="S4214" s="4"/>
    </row>
    <row r="4215" spans="1:19" ht="21" customHeight="1" x14ac:dyDescent="0.25">
      <c r="A4215" s="14">
        <f>DATE(2012,12,31)-1024</f>
        <v>40250</v>
      </c>
      <c r="B4215" s="15" t="s">
        <v>1522</v>
      </c>
      <c r="C4215" s="15" t="s">
        <v>85</v>
      </c>
      <c r="D4215" s="16">
        <v>28</v>
      </c>
      <c r="E4215" s="17">
        <v>2555.37</v>
      </c>
      <c r="F4215" s="16">
        <v>0.08</v>
      </c>
      <c r="G4215" s="15" t="s">
        <v>58</v>
      </c>
      <c r="H4215" s="18">
        <v>-824.91</v>
      </c>
      <c r="I4215" s="19">
        <v>95.98</v>
      </c>
      <c r="J4215" s="19">
        <v>58.2</v>
      </c>
      <c r="K4215" s="19" t="s">
        <v>44</v>
      </c>
      <c r="L4215" s="19" t="s">
        <v>45</v>
      </c>
      <c r="M4215" s="15" t="s">
        <v>2053</v>
      </c>
      <c r="N4215" s="15" t="s">
        <v>54</v>
      </c>
      <c r="O4215" s="15" t="s">
        <v>252</v>
      </c>
      <c r="P4215" s="20" t="s">
        <v>1275</v>
      </c>
      <c r="Q4215" s="15" t="s">
        <v>181</v>
      </c>
      <c r="R4215" s="4"/>
      <c r="S4215" s="4"/>
    </row>
    <row r="4216" spans="1:19" ht="21" customHeight="1" x14ac:dyDescent="0.25">
      <c r="A4216" s="14">
        <f>DATE(2012,12,31)-1024</f>
        <v>40250</v>
      </c>
      <c r="B4216" s="15" t="s">
        <v>1522</v>
      </c>
      <c r="C4216" s="15" t="s">
        <v>85</v>
      </c>
      <c r="D4216" s="16">
        <v>31</v>
      </c>
      <c r="E4216" s="17">
        <v>1447.62</v>
      </c>
      <c r="F4216" s="16">
        <v>7.0000000000000007E-2</v>
      </c>
      <c r="G4216" s="15" t="s">
        <v>32</v>
      </c>
      <c r="H4216" s="18">
        <v>576.39</v>
      </c>
      <c r="I4216" s="19">
        <v>48.04</v>
      </c>
      <c r="J4216" s="19">
        <v>7.23</v>
      </c>
      <c r="K4216" s="19" t="s">
        <v>44</v>
      </c>
      <c r="L4216" s="19" t="s">
        <v>89</v>
      </c>
      <c r="M4216" s="15" t="s">
        <v>1932</v>
      </c>
      <c r="N4216" s="15" t="s">
        <v>36</v>
      </c>
      <c r="O4216" s="15" t="s">
        <v>117</v>
      </c>
      <c r="P4216" s="20" t="s">
        <v>891</v>
      </c>
      <c r="Q4216" s="15" t="s">
        <v>83</v>
      </c>
      <c r="R4216" s="4"/>
      <c r="S4216" s="4"/>
    </row>
    <row r="4217" spans="1:19" ht="21" customHeight="1" x14ac:dyDescent="0.25">
      <c r="A4217" s="14">
        <f>DATE(2012,12,31)-725</f>
        <v>40549</v>
      </c>
      <c r="B4217" s="15" t="s">
        <v>468</v>
      </c>
      <c r="C4217" s="15" t="s">
        <v>51</v>
      </c>
      <c r="D4217" s="16">
        <v>47</v>
      </c>
      <c r="E4217" s="17">
        <v>307.57</v>
      </c>
      <c r="F4217" s="16">
        <v>0</v>
      </c>
      <c r="G4217" s="15" t="s">
        <v>32</v>
      </c>
      <c r="H4217" s="18">
        <v>-72.3005</v>
      </c>
      <c r="I4217" s="19">
        <v>6.37</v>
      </c>
      <c r="J4217" s="19">
        <v>5.19</v>
      </c>
      <c r="K4217" s="19" t="s">
        <v>44</v>
      </c>
      <c r="L4217" s="19" t="s">
        <v>120</v>
      </c>
      <c r="M4217" s="15" t="s">
        <v>2025</v>
      </c>
      <c r="N4217" s="15" t="s">
        <v>36</v>
      </c>
      <c r="O4217" s="15" t="s">
        <v>170</v>
      </c>
      <c r="P4217" s="20" t="s">
        <v>383</v>
      </c>
      <c r="Q4217" s="15" t="s">
        <v>83</v>
      </c>
      <c r="R4217" s="4"/>
      <c r="S4217" s="4"/>
    </row>
    <row r="4218" spans="1:19" ht="21" customHeight="1" x14ac:dyDescent="0.25">
      <c r="A4218" s="14">
        <f>DATE(2012,12,31)-725</f>
        <v>40549</v>
      </c>
      <c r="B4218" s="15" t="s">
        <v>468</v>
      </c>
      <c r="C4218" s="15" t="s">
        <v>51</v>
      </c>
      <c r="D4218" s="16">
        <v>32</v>
      </c>
      <c r="E4218" s="17">
        <v>14861.07</v>
      </c>
      <c r="F4218" s="16">
        <v>0.1</v>
      </c>
      <c r="G4218" s="15" t="s">
        <v>58</v>
      </c>
      <c r="H4218" s="18">
        <v>3408.29</v>
      </c>
      <c r="I4218" s="19">
        <v>500.98</v>
      </c>
      <c r="J4218" s="19">
        <v>26</v>
      </c>
      <c r="K4218" s="19" t="s">
        <v>44</v>
      </c>
      <c r="L4218" s="19" t="s">
        <v>80</v>
      </c>
      <c r="M4218" s="15" t="s">
        <v>2081</v>
      </c>
      <c r="N4218" s="15" t="s">
        <v>54</v>
      </c>
      <c r="O4218" s="15" t="s">
        <v>252</v>
      </c>
      <c r="P4218" s="20" t="s">
        <v>577</v>
      </c>
      <c r="Q4218" s="15" t="s">
        <v>181</v>
      </c>
      <c r="R4218" s="4"/>
      <c r="S4218" s="4"/>
    </row>
    <row r="4219" spans="1:19" ht="21" customHeight="1" x14ac:dyDescent="0.25">
      <c r="A4219" s="14">
        <f>DATE(2012,12,31)-173</f>
        <v>41101</v>
      </c>
      <c r="B4219" s="15" t="s">
        <v>1037</v>
      </c>
      <c r="C4219" s="15" t="s">
        <v>85</v>
      </c>
      <c r="D4219" s="16">
        <v>2</v>
      </c>
      <c r="E4219" s="17">
        <v>24.51</v>
      </c>
      <c r="F4219" s="16">
        <v>0.06</v>
      </c>
      <c r="G4219" s="15" t="s">
        <v>32</v>
      </c>
      <c r="H4219" s="18">
        <v>-18.262</v>
      </c>
      <c r="I4219" s="19">
        <v>8.0399999999999991</v>
      </c>
      <c r="J4219" s="19">
        <v>8.94</v>
      </c>
      <c r="K4219" s="19" t="s">
        <v>44</v>
      </c>
      <c r="L4219" s="19" t="s">
        <v>45</v>
      </c>
      <c r="M4219" s="15" t="s">
        <v>2053</v>
      </c>
      <c r="N4219" s="15" t="s">
        <v>36</v>
      </c>
      <c r="O4219" s="15" t="s">
        <v>170</v>
      </c>
      <c r="P4219" s="20" t="s">
        <v>995</v>
      </c>
      <c r="Q4219" s="15" t="s">
        <v>83</v>
      </c>
      <c r="R4219" s="4"/>
      <c r="S4219" s="4"/>
    </row>
    <row r="4220" spans="1:19" ht="21" customHeight="1" x14ac:dyDescent="0.25">
      <c r="A4220" s="14">
        <f>DATE(2012,12,31)-173</f>
        <v>41101</v>
      </c>
      <c r="B4220" s="15" t="s">
        <v>311</v>
      </c>
      <c r="C4220" s="15" t="s">
        <v>85</v>
      </c>
      <c r="D4220" s="16">
        <v>22</v>
      </c>
      <c r="E4220" s="17">
        <v>196.75</v>
      </c>
      <c r="F4220" s="16">
        <v>0.03</v>
      </c>
      <c r="G4220" s="15" t="s">
        <v>101</v>
      </c>
      <c r="H4220" s="18">
        <v>0.13</v>
      </c>
      <c r="I4220" s="19">
        <v>7.96</v>
      </c>
      <c r="J4220" s="19">
        <v>4.95</v>
      </c>
      <c r="K4220" s="19" t="s">
        <v>44</v>
      </c>
      <c r="L4220" s="19" t="s">
        <v>45</v>
      </c>
      <c r="M4220" s="15" t="s">
        <v>2053</v>
      </c>
      <c r="N4220" s="15" t="s">
        <v>54</v>
      </c>
      <c r="O4220" s="15" t="s">
        <v>55</v>
      </c>
      <c r="P4220" s="20" t="s">
        <v>1114</v>
      </c>
      <c r="Q4220" s="15" t="s">
        <v>83</v>
      </c>
      <c r="R4220" s="4"/>
      <c r="S4220" s="4"/>
    </row>
    <row r="4221" spans="1:19" ht="21" customHeight="1" x14ac:dyDescent="0.25">
      <c r="A4221" s="14">
        <f>DATE(2012,12,31)-547</f>
        <v>40727</v>
      </c>
      <c r="B4221" s="15" t="s">
        <v>1018</v>
      </c>
      <c r="C4221" s="15" t="s">
        <v>85</v>
      </c>
      <c r="D4221" s="16">
        <v>40</v>
      </c>
      <c r="E4221" s="17">
        <v>1477.39</v>
      </c>
      <c r="F4221" s="16">
        <v>0.03</v>
      </c>
      <c r="G4221" s="15" t="s">
        <v>32</v>
      </c>
      <c r="H4221" s="18">
        <v>641.40150000000006</v>
      </c>
      <c r="I4221" s="19">
        <v>37.700000000000003</v>
      </c>
      <c r="J4221" s="19">
        <v>2.99</v>
      </c>
      <c r="K4221" s="19" t="s">
        <v>44</v>
      </c>
      <c r="L4221" s="19" t="s">
        <v>89</v>
      </c>
      <c r="M4221" s="15" t="s">
        <v>1932</v>
      </c>
      <c r="N4221" s="15" t="s">
        <v>36</v>
      </c>
      <c r="O4221" s="15" t="s">
        <v>170</v>
      </c>
      <c r="P4221" s="20" t="s">
        <v>391</v>
      </c>
      <c r="Q4221" s="15" t="s">
        <v>83</v>
      </c>
      <c r="R4221" s="4"/>
      <c r="S4221" s="4"/>
    </row>
    <row r="4222" spans="1:19" ht="21" customHeight="1" x14ac:dyDescent="0.25">
      <c r="A4222" s="14">
        <f>DATE(2012,12,31)-1298</f>
        <v>39976</v>
      </c>
      <c r="B4222" s="15" t="s">
        <v>1152</v>
      </c>
      <c r="C4222" s="15" t="s">
        <v>51</v>
      </c>
      <c r="D4222" s="16">
        <v>12</v>
      </c>
      <c r="E4222" s="17">
        <v>5177.3999999999996</v>
      </c>
      <c r="F4222" s="16">
        <v>0.06</v>
      </c>
      <c r="G4222" s="15" t="s">
        <v>58</v>
      </c>
      <c r="H4222" s="18">
        <v>287.5</v>
      </c>
      <c r="I4222" s="19">
        <v>449.99</v>
      </c>
      <c r="J4222" s="19">
        <v>49</v>
      </c>
      <c r="K4222" s="19" t="s">
        <v>44</v>
      </c>
      <c r="L4222" s="19" t="s">
        <v>89</v>
      </c>
      <c r="M4222" s="15" t="s">
        <v>1932</v>
      </c>
      <c r="N4222" s="15" t="s">
        <v>64</v>
      </c>
      <c r="O4222" s="15" t="s">
        <v>460</v>
      </c>
      <c r="P4222" s="20" t="s">
        <v>511</v>
      </c>
      <c r="Q4222" s="15" t="s">
        <v>181</v>
      </c>
      <c r="R4222" s="4"/>
      <c r="S4222" s="4"/>
    </row>
    <row r="4223" spans="1:19" ht="21" customHeight="1" x14ac:dyDescent="0.25">
      <c r="A4223" s="14">
        <f>DATE(2012,12,31)-87</f>
        <v>41187</v>
      </c>
      <c r="B4223" s="15" t="s">
        <v>956</v>
      </c>
      <c r="C4223" s="15" t="s">
        <v>31</v>
      </c>
      <c r="D4223" s="16">
        <v>41</v>
      </c>
      <c r="E4223" s="17">
        <v>123.11</v>
      </c>
      <c r="F4223" s="16">
        <v>0.06</v>
      </c>
      <c r="G4223" s="15" t="s">
        <v>32</v>
      </c>
      <c r="H4223" s="18">
        <v>48.93</v>
      </c>
      <c r="I4223" s="19">
        <v>3.15</v>
      </c>
      <c r="J4223" s="19">
        <v>0.49</v>
      </c>
      <c r="K4223" s="19" t="s">
        <v>44</v>
      </c>
      <c r="L4223" s="19" t="s">
        <v>89</v>
      </c>
      <c r="M4223" s="15" t="s">
        <v>1932</v>
      </c>
      <c r="N4223" s="15" t="s">
        <v>36</v>
      </c>
      <c r="O4223" s="15" t="s">
        <v>114</v>
      </c>
      <c r="P4223" s="20" t="s">
        <v>845</v>
      </c>
      <c r="Q4223" s="15" t="s">
        <v>83</v>
      </c>
      <c r="R4223" s="4"/>
      <c r="S4223" s="4"/>
    </row>
    <row r="4224" spans="1:19" ht="21" customHeight="1" x14ac:dyDescent="0.25">
      <c r="A4224" s="14">
        <f>DATE(2012,12,31)-1458</f>
        <v>39816</v>
      </c>
      <c r="B4224" s="15" t="s">
        <v>1589</v>
      </c>
      <c r="C4224" s="15" t="s">
        <v>85</v>
      </c>
      <c r="D4224" s="16">
        <v>15</v>
      </c>
      <c r="E4224" s="17">
        <v>85.56</v>
      </c>
      <c r="F4224" s="16">
        <v>0.03</v>
      </c>
      <c r="G4224" s="15" t="s">
        <v>32</v>
      </c>
      <c r="H4224" s="18">
        <v>-41.58</v>
      </c>
      <c r="I4224" s="19">
        <v>5.28</v>
      </c>
      <c r="J4224" s="19">
        <v>5.66</v>
      </c>
      <c r="K4224" s="19" t="s">
        <v>44</v>
      </c>
      <c r="L4224" s="19" t="s">
        <v>80</v>
      </c>
      <c r="M4224" s="15" t="s">
        <v>2081</v>
      </c>
      <c r="N4224" s="15" t="s">
        <v>36</v>
      </c>
      <c r="O4224" s="15" t="s">
        <v>117</v>
      </c>
      <c r="P4224" s="20" t="s">
        <v>2153</v>
      </c>
      <c r="Q4224" s="15" t="s">
        <v>83</v>
      </c>
      <c r="R4224" s="4"/>
      <c r="S4224" s="4"/>
    </row>
    <row r="4225" spans="1:19" ht="21" customHeight="1" x14ac:dyDescent="0.25">
      <c r="A4225" s="14">
        <f>DATE(2012,12,31)-1458</f>
        <v>39816</v>
      </c>
      <c r="B4225" s="15" t="s">
        <v>1589</v>
      </c>
      <c r="C4225" s="15" t="s">
        <v>85</v>
      </c>
      <c r="D4225" s="16">
        <v>8</v>
      </c>
      <c r="E4225" s="17">
        <v>754.65549999999996</v>
      </c>
      <c r="F4225" s="16">
        <v>0.01</v>
      </c>
      <c r="G4225" s="15" t="s">
        <v>32</v>
      </c>
      <c r="H4225" s="18">
        <v>-212.553</v>
      </c>
      <c r="I4225" s="19">
        <v>110.99</v>
      </c>
      <c r="J4225" s="19">
        <v>2.5</v>
      </c>
      <c r="K4225" s="19" t="s">
        <v>44</v>
      </c>
      <c r="L4225" s="19" t="s">
        <v>120</v>
      </c>
      <c r="M4225" s="15" t="s">
        <v>2025</v>
      </c>
      <c r="N4225" s="15" t="s">
        <v>64</v>
      </c>
      <c r="O4225" s="15" t="s">
        <v>65</v>
      </c>
      <c r="P4225" s="20" t="s">
        <v>1010</v>
      </c>
      <c r="Q4225" s="15" t="s">
        <v>83</v>
      </c>
      <c r="R4225" s="4"/>
      <c r="S4225" s="4"/>
    </row>
    <row r="4226" spans="1:19" ht="21" customHeight="1" x14ac:dyDescent="0.25">
      <c r="A4226" s="14">
        <f>DATE(2012,12,31)-808</f>
        <v>40466</v>
      </c>
      <c r="B4226" s="15" t="s">
        <v>1007</v>
      </c>
      <c r="C4226" s="15" t="s">
        <v>31</v>
      </c>
      <c r="D4226" s="16">
        <v>34</v>
      </c>
      <c r="E4226" s="17">
        <v>16193.16</v>
      </c>
      <c r="F4226" s="16">
        <v>0.02</v>
      </c>
      <c r="G4226" s="15" t="s">
        <v>58</v>
      </c>
      <c r="H4226" s="18">
        <v>6463.34</v>
      </c>
      <c r="I4226" s="19">
        <v>449.99</v>
      </c>
      <c r="J4226" s="19">
        <v>49</v>
      </c>
      <c r="K4226" s="19" t="s">
        <v>124</v>
      </c>
      <c r="L4226" s="19" t="s">
        <v>160</v>
      </c>
      <c r="M4226" s="15" t="s">
        <v>1951</v>
      </c>
      <c r="N4226" s="15" t="s">
        <v>64</v>
      </c>
      <c r="O4226" s="15" t="s">
        <v>460</v>
      </c>
      <c r="P4226" s="20" t="s">
        <v>511</v>
      </c>
      <c r="Q4226" s="15" t="s">
        <v>181</v>
      </c>
      <c r="R4226" s="4"/>
      <c r="S4226" s="4"/>
    </row>
    <row r="4227" spans="1:19" ht="21" customHeight="1" x14ac:dyDescent="0.25">
      <c r="A4227" s="14">
        <f>DATE(2012,12,31)-808</f>
        <v>40466</v>
      </c>
      <c r="B4227" s="15" t="s">
        <v>1007</v>
      </c>
      <c r="C4227" s="15" t="s">
        <v>31</v>
      </c>
      <c r="D4227" s="16">
        <v>14</v>
      </c>
      <c r="E4227" s="17">
        <v>157.33000000000001</v>
      </c>
      <c r="F4227" s="16">
        <v>0.1</v>
      </c>
      <c r="G4227" s="15" t="s">
        <v>32</v>
      </c>
      <c r="H4227" s="18">
        <v>-76.34</v>
      </c>
      <c r="I4227" s="19">
        <v>11.35</v>
      </c>
      <c r="J4227" s="19">
        <v>8.6</v>
      </c>
      <c r="K4227" s="19" t="s">
        <v>33</v>
      </c>
      <c r="L4227" s="19" t="s">
        <v>128</v>
      </c>
      <c r="M4227" s="15" t="s">
        <v>129</v>
      </c>
      <c r="N4227" s="15" t="s">
        <v>36</v>
      </c>
      <c r="O4227" s="15" t="s">
        <v>37</v>
      </c>
      <c r="P4227" s="20" t="s">
        <v>1642</v>
      </c>
      <c r="Q4227" s="15" t="s">
        <v>83</v>
      </c>
      <c r="R4227" s="4"/>
      <c r="S4227" s="4"/>
    </row>
    <row r="4228" spans="1:19" ht="21" customHeight="1" x14ac:dyDescent="0.25">
      <c r="A4228" s="14">
        <f>DATE(2012,12,31)-808</f>
        <v>40466</v>
      </c>
      <c r="B4228" s="15" t="s">
        <v>1007</v>
      </c>
      <c r="C4228" s="15" t="s">
        <v>31</v>
      </c>
      <c r="D4228" s="16">
        <v>28</v>
      </c>
      <c r="E4228" s="17">
        <v>10253.75</v>
      </c>
      <c r="F4228" s="16">
        <v>0.1</v>
      </c>
      <c r="G4228" s="15" t="s">
        <v>58</v>
      </c>
      <c r="H4228" s="18">
        <v>3256.81</v>
      </c>
      <c r="I4228" s="19">
        <v>400.97</v>
      </c>
      <c r="J4228" s="19">
        <v>48.26</v>
      </c>
      <c r="K4228" s="19" t="s">
        <v>33</v>
      </c>
      <c r="L4228" s="19" t="s">
        <v>128</v>
      </c>
      <c r="M4228" s="15" t="s">
        <v>129</v>
      </c>
      <c r="N4228" s="15" t="s">
        <v>64</v>
      </c>
      <c r="O4228" s="15" t="s">
        <v>122</v>
      </c>
      <c r="P4228" s="20" t="s">
        <v>1937</v>
      </c>
      <c r="Q4228" s="15" t="s">
        <v>63</v>
      </c>
      <c r="R4228" s="4"/>
      <c r="S4228" s="4"/>
    </row>
    <row r="4229" spans="1:19" ht="21" customHeight="1" x14ac:dyDescent="0.25">
      <c r="A4229" s="14">
        <f>DATE(2012,12,31)-808</f>
        <v>40466</v>
      </c>
      <c r="B4229" s="15" t="s">
        <v>1007</v>
      </c>
      <c r="C4229" s="15" t="s">
        <v>31</v>
      </c>
      <c r="D4229" s="16">
        <v>36</v>
      </c>
      <c r="E4229" s="17">
        <v>840.24</v>
      </c>
      <c r="F4229" s="16">
        <v>0</v>
      </c>
      <c r="G4229" s="15" t="s">
        <v>32</v>
      </c>
      <c r="H4229" s="18">
        <v>19.73</v>
      </c>
      <c r="I4229" s="19">
        <v>21.38</v>
      </c>
      <c r="J4229" s="19">
        <v>8.99</v>
      </c>
      <c r="K4229" s="19" t="s">
        <v>33</v>
      </c>
      <c r="L4229" s="19" t="s">
        <v>93</v>
      </c>
      <c r="M4229" s="15" t="s">
        <v>94</v>
      </c>
      <c r="N4229" s="15" t="s">
        <v>36</v>
      </c>
      <c r="O4229" s="15" t="s">
        <v>77</v>
      </c>
      <c r="P4229" s="20" t="s">
        <v>948</v>
      </c>
      <c r="Q4229" s="15" t="s">
        <v>49</v>
      </c>
      <c r="R4229" s="4"/>
      <c r="S4229" s="4"/>
    </row>
    <row r="4230" spans="1:19" ht="21" customHeight="1" x14ac:dyDescent="0.25">
      <c r="A4230" s="14">
        <f>DATE(2012,12,31)-567</f>
        <v>40707</v>
      </c>
      <c r="B4230" s="15" t="s">
        <v>311</v>
      </c>
      <c r="C4230" s="15" t="s">
        <v>85</v>
      </c>
      <c r="D4230" s="16">
        <v>44</v>
      </c>
      <c r="E4230" s="17">
        <v>7765.13</v>
      </c>
      <c r="F4230" s="16">
        <v>0.06</v>
      </c>
      <c r="G4230" s="15" t="s">
        <v>58</v>
      </c>
      <c r="H4230" s="18">
        <v>433.63</v>
      </c>
      <c r="I4230" s="19">
        <v>180.98</v>
      </c>
      <c r="J4230" s="19">
        <v>55.24</v>
      </c>
      <c r="K4230" s="19" t="s">
        <v>97</v>
      </c>
      <c r="L4230" s="19" t="s">
        <v>132</v>
      </c>
      <c r="M4230" s="15" t="s">
        <v>133</v>
      </c>
      <c r="N4230" s="15" t="s">
        <v>36</v>
      </c>
      <c r="O4230" s="15" t="s">
        <v>176</v>
      </c>
      <c r="P4230" s="20" t="s">
        <v>1420</v>
      </c>
      <c r="Q4230" s="15" t="s">
        <v>181</v>
      </c>
      <c r="R4230" s="4"/>
      <c r="S4230" s="4"/>
    </row>
    <row r="4231" spans="1:19" ht="21" customHeight="1" x14ac:dyDescent="0.25">
      <c r="A4231" s="14">
        <f>DATE(2012,12,31)-286</f>
        <v>40988</v>
      </c>
      <c r="B4231" s="15" t="s">
        <v>2016</v>
      </c>
      <c r="C4231" s="15" t="s">
        <v>43</v>
      </c>
      <c r="D4231" s="16">
        <v>42</v>
      </c>
      <c r="E4231" s="17">
        <v>243.06</v>
      </c>
      <c r="F4231" s="16">
        <v>0.02</v>
      </c>
      <c r="G4231" s="15" t="s">
        <v>32</v>
      </c>
      <c r="H4231" s="18">
        <v>-1.57</v>
      </c>
      <c r="I4231" s="19">
        <v>5.85</v>
      </c>
      <c r="J4231" s="19">
        <v>2.27</v>
      </c>
      <c r="K4231" s="19" t="s">
        <v>97</v>
      </c>
      <c r="L4231" s="19" t="s">
        <v>195</v>
      </c>
      <c r="M4231" s="15" t="s">
        <v>2138</v>
      </c>
      <c r="N4231" s="15" t="s">
        <v>36</v>
      </c>
      <c r="O4231" s="15" t="s">
        <v>77</v>
      </c>
      <c r="P4231" s="20" t="s">
        <v>793</v>
      </c>
      <c r="Q4231" s="15" t="s">
        <v>79</v>
      </c>
      <c r="R4231" s="4"/>
      <c r="S4231" s="4"/>
    </row>
    <row r="4232" spans="1:19" ht="21" customHeight="1" x14ac:dyDescent="0.25">
      <c r="A4232" s="14">
        <f>DATE(2012,12,31)-1429</f>
        <v>39845</v>
      </c>
      <c r="B4232" s="15" t="s">
        <v>1334</v>
      </c>
      <c r="C4232" s="15" t="s">
        <v>85</v>
      </c>
      <c r="D4232" s="16">
        <v>41</v>
      </c>
      <c r="E4232" s="17">
        <v>3279.01</v>
      </c>
      <c r="F4232" s="16">
        <v>0.06</v>
      </c>
      <c r="G4232" s="15" t="s">
        <v>58</v>
      </c>
      <c r="H4232" s="18">
        <v>349.22</v>
      </c>
      <c r="I4232" s="19">
        <v>80.97</v>
      </c>
      <c r="J4232" s="19">
        <v>33.6</v>
      </c>
      <c r="K4232" s="19" t="s">
        <v>97</v>
      </c>
      <c r="L4232" s="19" t="s">
        <v>195</v>
      </c>
      <c r="M4232" s="15" t="s">
        <v>2138</v>
      </c>
      <c r="N4232" s="15" t="s">
        <v>64</v>
      </c>
      <c r="O4232" s="15" t="s">
        <v>122</v>
      </c>
      <c r="P4232" s="20" t="s">
        <v>1130</v>
      </c>
      <c r="Q4232" s="15" t="s">
        <v>181</v>
      </c>
      <c r="R4232" s="4"/>
      <c r="S4232" s="4"/>
    </row>
    <row r="4233" spans="1:19" ht="21" customHeight="1" x14ac:dyDescent="0.25">
      <c r="A4233" s="14">
        <f>DATE(2012,12,31)-121</f>
        <v>41153</v>
      </c>
      <c r="B4233" s="15" t="s">
        <v>552</v>
      </c>
      <c r="C4233" s="15" t="s">
        <v>43</v>
      </c>
      <c r="D4233" s="16">
        <v>33</v>
      </c>
      <c r="E4233" s="17">
        <v>311.19</v>
      </c>
      <c r="F4233" s="16">
        <v>0.03</v>
      </c>
      <c r="G4233" s="15" t="s">
        <v>32</v>
      </c>
      <c r="H4233" s="18">
        <v>-9.18</v>
      </c>
      <c r="I4233" s="19">
        <v>9.3800000000000008</v>
      </c>
      <c r="J4233" s="19">
        <v>4.93</v>
      </c>
      <c r="K4233" s="19" t="s">
        <v>97</v>
      </c>
      <c r="L4233" s="19" t="s">
        <v>98</v>
      </c>
      <c r="M4233" s="15" t="s">
        <v>2085</v>
      </c>
      <c r="N4233" s="15" t="s">
        <v>54</v>
      </c>
      <c r="O4233" s="15" t="s">
        <v>55</v>
      </c>
      <c r="P4233" s="20" t="s">
        <v>590</v>
      </c>
      <c r="Q4233" s="15" t="s">
        <v>83</v>
      </c>
      <c r="R4233" s="4"/>
      <c r="S4233" s="4"/>
    </row>
    <row r="4234" spans="1:19" ht="21" customHeight="1" x14ac:dyDescent="0.25">
      <c r="A4234" s="14">
        <f>DATE(2012,12,31)-380</f>
        <v>40894</v>
      </c>
      <c r="B4234" s="15" t="s">
        <v>854</v>
      </c>
      <c r="C4234" s="15" t="s">
        <v>51</v>
      </c>
      <c r="D4234" s="16">
        <v>26</v>
      </c>
      <c r="E4234" s="17">
        <v>213.49</v>
      </c>
      <c r="F4234" s="16">
        <v>0.05</v>
      </c>
      <c r="G4234" s="15" t="s">
        <v>32</v>
      </c>
      <c r="H4234" s="18">
        <v>-136.44749999999999</v>
      </c>
      <c r="I4234" s="19">
        <v>8.0399999999999991</v>
      </c>
      <c r="J4234" s="19">
        <v>8.94</v>
      </c>
      <c r="K4234" s="19" t="s">
        <v>97</v>
      </c>
      <c r="L4234" s="19" t="s">
        <v>98</v>
      </c>
      <c r="M4234" s="15" t="s">
        <v>2085</v>
      </c>
      <c r="N4234" s="15" t="s">
        <v>36</v>
      </c>
      <c r="O4234" s="15" t="s">
        <v>170</v>
      </c>
      <c r="P4234" s="20" t="s">
        <v>995</v>
      </c>
      <c r="Q4234" s="15" t="s">
        <v>83</v>
      </c>
      <c r="R4234" s="4"/>
      <c r="S4234" s="4"/>
    </row>
    <row r="4235" spans="1:19" ht="21" customHeight="1" x14ac:dyDescent="0.25">
      <c r="A4235" s="14">
        <f>DATE(2012,12,31)-1453</f>
        <v>39821</v>
      </c>
      <c r="B4235" s="15" t="s">
        <v>716</v>
      </c>
      <c r="C4235" s="15" t="s">
        <v>43</v>
      </c>
      <c r="D4235" s="16">
        <v>23</v>
      </c>
      <c r="E4235" s="17">
        <v>324.27999999999997</v>
      </c>
      <c r="F4235" s="16">
        <v>7.0000000000000007E-2</v>
      </c>
      <c r="G4235" s="15" t="s">
        <v>32</v>
      </c>
      <c r="H4235" s="18">
        <v>20.43</v>
      </c>
      <c r="I4235" s="19">
        <v>14.56</v>
      </c>
      <c r="J4235" s="19">
        <v>3.5</v>
      </c>
      <c r="K4235" s="19" t="s">
        <v>97</v>
      </c>
      <c r="L4235" s="19" t="s">
        <v>98</v>
      </c>
      <c r="M4235" s="15" t="s">
        <v>2085</v>
      </c>
      <c r="N4235" s="15" t="s">
        <v>36</v>
      </c>
      <c r="O4235" s="15" t="s">
        <v>176</v>
      </c>
      <c r="P4235" s="20" t="s">
        <v>972</v>
      </c>
      <c r="Q4235" s="15" t="s">
        <v>83</v>
      </c>
      <c r="R4235" s="4"/>
      <c r="S4235" s="4"/>
    </row>
    <row r="4236" spans="1:19" ht="21" customHeight="1" x14ac:dyDescent="0.25">
      <c r="A4236" s="14">
        <f>DATE(2012,12,31)-868</f>
        <v>40406</v>
      </c>
      <c r="B4236" s="15" t="s">
        <v>300</v>
      </c>
      <c r="C4236" s="15" t="s">
        <v>31</v>
      </c>
      <c r="D4236" s="16">
        <v>7</v>
      </c>
      <c r="E4236" s="17">
        <v>4667.28</v>
      </c>
      <c r="F4236" s="16">
        <v>0.09</v>
      </c>
      <c r="G4236" s="15" t="s">
        <v>101</v>
      </c>
      <c r="H4236" s="18">
        <v>-362.88</v>
      </c>
      <c r="I4236" s="19">
        <v>699.99</v>
      </c>
      <c r="J4236" s="19">
        <v>24.49</v>
      </c>
      <c r="K4236" s="19" t="s">
        <v>97</v>
      </c>
      <c r="L4236" s="19" t="s">
        <v>195</v>
      </c>
      <c r="M4236" s="15" t="s">
        <v>2138</v>
      </c>
      <c r="N4236" s="15" t="s">
        <v>64</v>
      </c>
      <c r="O4236" s="15" t="s">
        <v>460</v>
      </c>
      <c r="P4236" s="20" t="s">
        <v>461</v>
      </c>
      <c r="Q4236" s="15" t="s">
        <v>39</v>
      </c>
      <c r="R4236" s="4"/>
      <c r="S4236" s="4"/>
    </row>
    <row r="4237" spans="1:19" ht="21" customHeight="1" x14ac:dyDescent="0.25">
      <c r="A4237" s="14">
        <f>DATE(2012,12,31)-513</f>
        <v>40761</v>
      </c>
      <c r="B4237" s="15" t="s">
        <v>545</v>
      </c>
      <c r="C4237" s="15" t="s">
        <v>31</v>
      </c>
      <c r="D4237" s="16">
        <v>25</v>
      </c>
      <c r="E4237" s="17">
        <v>5503.39</v>
      </c>
      <c r="F4237" s="16">
        <v>0.08</v>
      </c>
      <c r="G4237" s="15" t="s">
        <v>58</v>
      </c>
      <c r="H4237" s="18">
        <v>-528.65312500000005</v>
      </c>
      <c r="I4237" s="19">
        <v>218.75</v>
      </c>
      <c r="J4237" s="19">
        <v>69.64</v>
      </c>
      <c r="K4237" s="19" t="s">
        <v>124</v>
      </c>
      <c r="L4237" s="19" t="s">
        <v>493</v>
      </c>
      <c r="M4237" s="15" t="s">
        <v>2134</v>
      </c>
      <c r="N4237" s="15" t="s">
        <v>54</v>
      </c>
      <c r="O4237" s="15" t="s">
        <v>61</v>
      </c>
      <c r="P4237" s="20" t="s">
        <v>425</v>
      </c>
      <c r="Q4237" s="15" t="s">
        <v>63</v>
      </c>
      <c r="R4237" s="4"/>
      <c r="S4237" s="4"/>
    </row>
    <row r="4238" spans="1:19" ht="21" customHeight="1" x14ac:dyDescent="0.25">
      <c r="A4238" s="14">
        <f>DATE(2012,12,31)-197</f>
        <v>41077</v>
      </c>
      <c r="B4238" s="15" t="s">
        <v>799</v>
      </c>
      <c r="C4238" s="15" t="s">
        <v>43</v>
      </c>
      <c r="D4238" s="16">
        <v>37</v>
      </c>
      <c r="E4238" s="17">
        <v>740.14</v>
      </c>
      <c r="F4238" s="16">
        <v>0.06</v>
      </c>
      <c r="G4238" s="15" t="s">
        <v>32</v>
      </c>
      <c r="H4238" s="18">
        <v>29.73</v>
      </c>
      <c r="I4238" s="19">
        <v>19.98</v>
      </c>
      <c r="J4238" s="19">
        <v>10.49</v>
      </c>
      <c r="K4238" s="19" t="s">
        <v>124</v>
      </c>
      <c r="L4238" s="19" t="s">
        <v>160</v>
      </c>
      <c r="M4238" s="15" t="s">
        <v>1951</v>
      </c>
      <c r="N4238" s="15" t="s">
        <v>54</v>
      </c>
      <c r="O4238" s="15" t="s">
        <v>55</v>
      </c>
      <c r="P4238" s="20" t="s">
        <v>889</v>
      </c>
      <c r="Q4238" s="15" t="s">
        <v>83</v>
      </c>
      <c r="R4238" s="4"/>
      <c r="S4238" s="4"/>
    </row>
    <row r="4239" spans="1:19" ht="21" customHeight="1" x14ac:dyDescent="0.25">
      <c r="A4239" s="14">
        <f>DATE(2012,12,31)-750</f>
        <v>40524</v>
      </c>
      <c r="B4239" s="15" t="s">
        <v>1605</v>
      </c>
      <c r="C4239" s="15" t="s">
        <v>85</v>
      </c>
      <c r="D4239" s="16">
        <v>8</v>
      </c>
      <c r="E4239" s="17">
        <v>16.47</v>
      </c>
      <c r="F4239" s="16">
        <v>0.1</v>
      </c>
      <c r="G4239" s="15" t="s">
        <v>32</v>
      </c>
      <c r="H4239" s="18">
        <v>-6.8194999999999997</v>
      </c>
      <c r="I4239" s="19">
        <v>2.08</v>
      </c>
      <c r="J4239" s="19">
        <v>1.49</v>
      </c>
      <c r="K4239" s="19" t="s">
        <v>124</v>
      </c>
      <c r="L4239" s="19" t="s">
        <v>160</v>
      </c>
      <c r="M4239" s="15" t="s">
        <v>1951</v>
      </c>
      <c r="N4239" s="15" t="s">
        <v>36</v>
      </c>
      <c r="O4239" s="15" t="s">
        <v>170</v>
      </c>
      <c r="P4239" s="20" t="s">
        <v>1907</v>
      </c>
      <c r="Q4239" s="15" t="s">
        <v>83</v>
      </c>
      <c r="R4239" s="4"/>
      <c r="S4239" s="4"/>
    </row>
    <row r="4240" spans="1:19" ht="21" customHeight="1" x14ac:dyDescent="0.25">
      <c r="A4240" s="14">
        <f>DATE(2012,12,31)-750</f>
        <v>40524</v>
      </c>
      <c r="B4240" s="15" t="s">
        <v>1605</v>
      </c>
      <c r="C4240" s="15" t="s">
        <v>85</v>
      </c>
      <c r="D4240" s="16">
        <v>5</v>
      </c>
      <c r="E4240" s="17">
        <v>173.62</v>
      </c>
      <c r="F4240" s="16">
        <v>0.09</v>
      </c>
      <c r="G4240" s="15" t="s">
        <v>58</v>
      </c>
      <c r="H4240" s="18">
        <v>-88.64</v>
      </c>
      <c r="I4240" s="19">
        <v>33.94</v>
      </c>
      <c r="J4240" s="19">
        <v>19.190000000000001</v>
      </c>
      <c r="K4240" s="19" t="s">
        <v>124</v>
      </c>
      <c r="L4240" s="19" t="s">
        <v>493</v>
      </c>
      <c r="M4240" s="15" t="s">
        <v>2134</v>
      </c>
      <c r="N4240" s="15" t="s">
        <v>54</v>
      </c>
      <c r="O4240" s="15" t="s">
        <v>252</v>
      </c>
      <c r="P4240" s="20" t="s">
        <v>2045</v>
      </c>
      <c r="Q4240" s="15" t="s">
        <v>181</v>
      </c>
      <c r="R4240" s="4"/>
      <c r="S4240" s="4"/>
    </row>
    <row r="4241" spans="1:19" ht="21" customHeight="1" x14ac:dyDescent="0.25">
      <c r="A4241" s="14">
        <f>DATE(2012,12,31)-750</f>
        <v>40524</v>
      </c>
      <c r="B4241" s="15" t="s">
        <v>1605</v>
      </c>
      <c r="C4241" s="15" t="s">
        <v>85</v>
      </c>
      <c r="D4241" s="16">
        <v>50</v>
      </c>
      <c r="E4241" s="17">
        <v>690.97</v>
      </c>
      <c r="F4241" s="16">
        <v>0.03</v>
      </c>
      <c r="G4241" s="15" t="s">
        <v>32</v>
      </c>
      <c r="H4241" s="18">
        <v>-16.940000000000001</v>
      </c>
      <c r="I4241" s="19">
        <v>13.79</v>
      </c>
      <c r="J4241" s="19">
        <v>8.7799999999999994</v>
      </c>
      <c r="K4241" s="19" t="s">
        <v>124</v>
      </c>
      <c r="L4241" s="19" t="s">
        <v>160</v>
      </c>
      <c r="M4241" s="15" t="s">
        <v>1951</v>
      </c>
      <c r="N4241" s="15" t="s">
        <v>54</v>
      </c>
      <c r="O4241" s="15" t="s">
        <v>55</v>
      </c>
      <c r="P4241" s="20" t="s">
        <v>1463</v>
      </c>
      <c r="Q4241" s="15" t="s">
        <v>83</v>
      </c>
      <c r="R4241" s="4"/>
      <c r="S4241" s="4"/>
    </row>
    <row r="4242" spans="1:19" ht="21" customHeight="1" x14ac:dyDescent="0.25">
      <c r="A4242" s="14">
        <f>DATE(2012,12,31)-819</f>
        <v>40455</v>
      </c>
      <c r="B4242" s="15" t="s">
        <v>1525</v>
      </c>
      <c r="C4242" s="15" t="s">
        <v>85</v>
      </c>
      <c r="D4242" s="16">
        <v>30</v>
      </c>
      <c r="E4242" s="17">
        <v>443.46</v>
      </c>
      <c r="F4242" s="16">
        <v>0.06</v>
      </c>
      <c r="G4242" s="15" t="s">
        <v>32</v>
      </c>
      <c r="H4242" s="18">
        <v>193.12</v>
      </c>
      <c r="I4242" s="19">
        <v>15.57</v>
      </c>
      <c r="J4242" s="19">
        <v>1.39</v>
      </c>
      <c r="K4242" s="19" t="s">
        <v>124</v>
      </c>
      <c r="L4242" s="19" t="s">
        <v>160</v>
      </c>
      <c r="M4242" s="15" t="s">
        <v>1951</v>
      </c>
      <c r="N4242" s="15" t="s">
        <v>36</v>
      </c>
      <c r="O4242" s="15" t="s">
        <v>189</v>
      </c>
      <c r="P4242" s="20" t="s">
        <v>802</v>
      </c>
      <c r="Q4242" s="15" t="s">
        <v>83</v>
      </c>
      <c r="R4242" s="4"/>
      <c r="S4242" s="4"/>
    </row>
    <row r="4243" spans="1:19" ht="21" customHeight="1" x14ac:dyDescent="0.25">
      <c r="A4243" s="14">
        <f>DATE(2012,12,31)-702</f>
        <v>40572</v>
      </c>
      <c r="B4243" s="15" t="s">
        <v>406</v>
      </c>
      <c r="C4243" s="15" t="s">
        <v>43</v>
      </c>
      <c r="D4243" s="16">
        <v>31</v>
      </c>
      <c r="E4243" s="17">
        <v>792.76</v>
      </c>
      <c r="F4243" s="16">
        <v>0.02</v>
      </c>
      <c r="G4243" s="15" t="s">
        <v>32</v>
      </c>
      <c r="H4243" s="18">
        <v>33.370999999999995</v>
      </c>
      <c r="I4243" s="19">
        <v>24.92</v>
      </c>
      <c r="J4243" s="19">
        <v>12.98</v>
      </c>
      <c r="K4243" s="19" t="s">
        <v>124</v>
      </c>
      <c r="L4243" s="19" t="s">
        <v>160</v>
      </c>
      <c r="M4243" s="15" t="s">
        <v>1951</v>
      </c>
      <c r="N4243" s="15" t="s">
        <v>36</v>
      </c>
      <c r="O4243" s="15" t="s">
        <v>170</v>
      </c>
      <c r="P4243" s="20" t="s">
        <v>171</v>
      </c>
      <c r="Q4243" s="15" t="s">
        <v>83</v>
      </c>
      <c r="R4243" s="4"/>
      <c r="S4243" s="4"/>
    </row>
    <row r="4244" spans="1:19" ht="21" customHeight="1" x14ac:dyDescent="0.25">
      <c r="A4244" s="14">
        <f>DATE(2012,12,31)-1352</f>
        <v>39922</v>
      </c>
      <c r="B4244" s="15" t="s">
        <v>1281</v>
      </c>
      <c r="C4244" s="15" t="s">
        <v>31</v>
      </c>
      <c r="D4244" s="16">
        <v>30</v>
      </c>
      <c r="E4244" s="17">
        <v>2504.41</v>
      </c>
      <c r="F4244" s="16">
        <v>0.01</v>
      </c>
      <c r="G4244" s="15" t="s">
        <v>32</v>
      </c>
      <c r="H4244" s="18">
        <v>-547.89</v>
      </c>
      <c r="I4244" s="19">
        <v>79.52</v>
      </c>
      <c r="J4244" s="19">
        <v>48.2</v>
      </c>
      <c r="K4244" s="19" t="s">
        <v>124</v>
      </c>
      <c r="L4244" s="19" t="s">
        <v>160</v>
      </c>
      <c r="M4244" s="15" t="s">
        <v>1951</v>
      </c>
      <c r="N4244" s="15" t="s">
        <v>54</v>
      </c>
      <c r="O4244" s="15" t="s">
        <v>55</v>
      </c>
      <c r="P4244" s="20" t="s">
        <v>909</v>
      </c>
      <c r="Q4244" s="15" t="s">
        <v>57</v>
      </c>
      <c r="R4244" s="4"/>
      <c r="S4244" s="4"/>
    </row>
    <row r="4245" spans="1:19" ht="21" customHeight="1" x14ac:dyDescent="0.25">
      <c r="A4245" s="14">
        <f>DATE(2012,12,31)-168</f>
        <v>41106</v>
      </c>
      <c r="B4245" s="15" t="s">
        <v>1993</v>
      </c>
      <c r="C4245" s="15" t="s">
        <v>31</v>
      </c>
      <c r="D4245" s="16">
        <v>46</v>
      </c>
      <c r="E4245" s="17">
        <v>1752.0964999999999</v>
      </c>
      <c r="F4245" s="16">
        <v>0.1</v>
      </c>
      <c r="G4245" s="15" t="s">
        <v>32</v>
      </c>
      <c r="H4245" s="18">
        <v>356.346</v>
      </c>
      <c r="I4245" s="19">
        <v>45.99</v>
      </c>
      <c r="J4245" s="19">
        <v>4.99</v>
      </c>
      <c r="K4245" s="19" t="s">
        <v>124</v>
      </c>
      <c r="L4245" s="19" t="s">
        <v>160</v>
      </c>
      <c r="M4245" s="15" t="s">
        <v>1951</v>
      </c>
      <c r="N4245" s="15" t="s">
        <v>64</v>
      </c>
      <c r="O4245" s="15" t="s">
        <v>65</v>
      </c>
      <c r="P4245" s="20" t="s">
        <v>1539</v>
      </c>
      <c r="Q4245" s="15" t="s">
        <v>83</v>
      </c>
      <c r="R4245" s="4"/>
      <c r="S4245" s="4"/>
    </row>
    <row r="4246" spans="1:19" ht="21" customHeight="1" x14ac:dyDescent="0.25">
      <c r="A4246" s="14">
        <f>DATE(2012,12,31)-938</f>
        <v>40336</v>
      </c>
      <c r="B4246" s="15" t="s">
        <v>313</v>
      </c>
      <c r="C4246" s="15" t="s">
        <v>85</v>
      </c>
      <c r="D4246" s="16">
        <v>19</v>
      </c>
      <c r="E4246" s="17">
        <v>141.96</v>
      </c>
      <c r="F4246" s="16">
        <v>0.05</v>
      </c>
      <c r="G4246" s="15" t="s">
        <v>32</v>
      </c>
      <c r="H4246" s="18">
        <v>38.43</v>
      </c>
      <c r="I4246" s="19">
        <v>7.4</v>
      </c>
      <c r="J4246" s="19">
        <v>1.71</v>
      </c>
      <c r="K4246" s="19" t="s">
        <v>124</v>
      </c>
      <c r="L4246" s="19" t="s">
        <v>160</v>
      </c>
      <c r="M4246" s="15" t="s">
        <v>1951</v>
      </c>
      <c r="N4246" s="15" t="s">
        <v>36</v>
      </c>
      <c r="O4246" s="15" t="s">
        <v>117</v>
      </c>
      <c r="P4246" s="20" t="s">
        <v>1560</v>
      </c>
      <c r="Q4246" s="15" t="s">
        <v>79</v>
      </c>
      <c r="R4246" s="4"/>
      <c r="S4246" s="4"/>
    </row>
    <row r="4247" spans="1:19" ht="21" customHeight="1" x14ac:dyDescent="0.25">
      <c r="A4247" s="14">
        <f>DATE(2012,12,31)-1184</f>
        <v>40090</v>
      </c>
      <c r="B4247" s="15" t="s">
        <v>108</v>
      </c>
      <c r="C4247" s="15" t="s">
        <v>31</v>
      </c>
      <c r="D4247" s="16">
        <v>38</v>
      </c>
      <c r="E4247" s="17">
        <v>375.61</v>
      </c>
      <c r="F4247" s="16">
        <v>0.1</v>
      </c>
      <c r="G4247" s="15" t="s">
        <v>101</v>
      </c>
      <c r="H4247" s="18">
        <v>-21.263499999999997</v>
      </c>
      <c r="I4247" s="19">
        <v>10.44</v>
      </c>
      <c r="J4247" s="19">
        <v>5.75</v>
      </c>
      <c r="K4247" s="19" t="s">
        <v>124</v>
      </c>
      <c r="L4247" s="19" t="s">
        <v>160</v>
      </c>
      <c r="M4247" s="15" t="s">
        <v>1951</v>
      </c>
      <c r="N4247" s="15" t="s">
        <v>36</v>
      </c>
      <c r="O4247" s="15" t="s">
        <v>170</v>
      </c>
      <c r="P4247" s="20" t="s">
        <v>2154</v>
      </c>
      <c r="Q4247" s="15" t="s">
        <v>83</v>
      </c>
      <c r="R4247" s="4"/>
      <c r="S4247" s="4"/>
    </row>
    <row r="4248" spans="1:19" ht="21" customHeight="1" x14ac:dyDescent="0.25">
      <c r="A4248" s="14">
        <f>DATE(2012,12,31)-1404</f>
        <v>39870</v>
      </c>
      <c r="B4248" s="15" t="s">
        <v>2155</v>
      </c>
      <c r="C4248" s="15" t="s">
        <v>85</v>
      </c>
      <c r="D4248" s="16">
        <v>23</v>
      </c>
      <c r="E4248" s="17">
        <v>3637.7280000000001</v>
      </c>
      <c r="F4248" s="16">
        <v>0.06</v>
      </c>
      <c r="G4248" s="15" t="s">
        <v>32</v>
      </c>
      <c r="H4248" s="18">
        <v>349.47</v>
      </c>
      <c r="I4248" s="19">
        <v>195.99</v>
      </c>
      <c r="J4248" s="19">
        <v>8.99</v>
      </c>
      <c r="K4248" s="19" t="s">
        <v>124</v>
      </c>
      <c r="L4248" s="19" t="s">
        <v>493</v>
      </c>
      <c r="M4248" s="15" t="s">
        <v>2134</v>
      </c>
      <c r="N4248" s="15" t="s">
        <v>64</v>
      </c>
      <c r="O4248" s="15" t="s">
        <v>65</v>
      </c>
      <c r="P4248" s="20" t="s">
        <v>387</v>
      </c>
      <c r="Q4248" s="15" t="s">
        <v>83</v>
      </c>
      <c r="R4248" s="4"/>
      <c r="S4248" s="4"/>
    </row>
    <row r="4249" spans="1:19" ht="21" customHeight="1" x14ac:dyDescent="0.25">
      <c r="A4249" s="14">
        <f>DATE(2012,12,31)-1404</f>
        <v>39870</v>
      </c>
      <c r="B4249" s="15" t="s">
        <v>2155</v>
      </c>
      <c r="C4249" s="15" t="s">
        <v>85</v>
      </c>
      <c r="D4249" s="16">
        <v>20</v>
      </c>
      <c r="E4249" s="17">
        <v>125.84</v>
      </c>
      <c r="F4249" s="16">
        <v>0.1</v>
      </c>
      <c r="G4249" s="15" t="s">
        <v>32</v>
      </c>
      <c r="H4249" s="18">
        <v>18.420000000000002</v>
      </c>
      <c r="I4249" s="19">
        <v>6.88</v>
      </c>
      <c r="J4249" s="19">
        <v>2</v>
      </c>
      <c r="K4249" s="19" t="s">
        <v>124</v>
      </c>
      <c r="L4249" s="19" t="s">
        <v>160</v>
      </c>
      <c r="M4249" s="15" t="s">
        <v>1951</v>
      </c>
      <c r="N4249" s="15" t="s">
        <v>36</v>
      </c>
      <c r="O4249" s="15" t="s">
        <v>117</v>
      </c>
      <c r="P4249" s="20" t="s">
        <v>356</v>
      </c>
      <c r="Q4249" s="15" t="s">
        <v>79</v>
      </c>
      <c r="R4249" s="4"/>
      <c r="S4249" s="4"/>
    </row>
    <row r="4250" spans="1:19" ht="21" customHeight="1" x14ac:dyDescent="0.25">
      <c r="A4250" s="14">
        <f>DATE(2012,12,31)-971</f>
        <v>40303</v>
      </c>
      <c r="B4250" s="15" t="s">
        <v>1579</v>
      </c>
      <c r="C4250" s="15" t="s">
        <v>85</v>
      </c>
      <c r="D4250" s="16">
        <v>44</v>
      </c>
      <c r="E4250" s="17">
        <v>2435.3200000000002</v>
      </c>
      <c r="F4250" s="16">
        <v>0.09</v>
      </c>
      <c r="G4250" s="15" t="s">
        <v>32</v>
      </c>
      <c r="H4250" s="18">
        <v>650.55999999999995</v>
      </c>
      <c r="I4250" s="19">
        <v>60.22</v>
      </c>
      <c r="J4250" s="19">
        <v>3.5</v>
      </c>
      <c r="K4250" s="19" t="s">
        <v>124</v>
      </c>
      <c r="L4250" s="19" t="s">
        <v>160</v>
      </c>
      <c r="M4250" s="15" t="s">
        <v>1951</v>
      </c>
      <c r="N4250" s="15" t="s">
        <v>36</v>
      </c>
      <c r="O4250" s="15" t="s">
        <v>176</v>
      </c>
      <c r="P4250" s="20" t="s">
        <v>1805</v>
      </c>
      <c r="Q4250" s="15" t="s">
        <v>83</v>
      </c>
      <c r="R4250" s="4"/>
      <c r="S4250" s="4"/>
    </row>
    <row r="4251" spans="1:19" ht="21" customHeight="1" x14ac:dyDescent="0.25">
      <c r="A4251" s="14">
        <f>DATE(2012,12,31)-971</f>
        <v>40303</v>
      </c>
      <c r="B4251" s="15" t="s">
        <v>1579</v>
      </c>
      <c r="C4251" s="15" t="s">
        <v>85</v>
      </c>
      <c r="D4251" s="16">
        <v>21</v>
      </c>
      <c r="E4251" s="17">
        <v>4242.76</v>
      </c>
      <c r="F4251" s="16">
        <v>7.0000000000000007E-2</v>
      </c>
      <c r="G4251" s="15" t="s">
        <v>32</v>
      </c>
      <c r="H4251" s="18">
        <v>340.88</v>
      </c>
      <c r="I4251" s="19">
        <v>199.99</v>
      </c>
      <c r="J4251" s="19">
        <v>24.49</v>
      </c>
      <c r="K4251" s="19" t="s">
        <v>124</v>
      </c>
      <c r="L4251" s="19" t="s">
        <v>160</v>
      </c>
      <c r="M4251" s="15" t="s">
        <v>1951</v>
      </c>
      <c r="N4251" s="15" t="s">
        <v>64</v>
      </c>
      <c r="O4251" s="15" t="s">
        <v>460</v>
      </c>
      <c r="P4251" s="20" t="s">
        <v>1967</v>
      </c>
      <c r="Q4251" s="15" t="s">
        <v>39</v>
      </c>
      <c r="R4251" s="4"/>
      <c r="S4251" s="4"/>
    </row>
    <row r="4252" spans="1:19" ht="21" customHeight="1" x14ac:dyDescent="0.25">
      <c r="A4252" s="14">
        <f>DATE(2012,12,31)-493</f>
        <v>40781</v>
      </c>
      <c r="B4252" s="15" t="s">
        <v>974</v>
      </c>
      <c r="C4252" s="15" t="s">
        <v>31</v>
      </c>
      <c r="D4252" s="16">
        <v>44</v>
      </c>
      <c r="E4252" s="17">
        <v>1453.704</v>
      </c>
      <c r="F4252" s="16">
        <v>0</v>
      </c>
      <c r="G4252" s="15" t="s">
        <v>32</v>
      </c>
      <c r="H4252" s="18">
        <v>549.83699999999999</v>
      </c>
      <c r="I4252" s="19">
        <v>35.99</v>
      </c>
      <c r="J4252" s="19">
        <v>1.1000000000000001</v>
      </c>
      <c r="K4252" s="19" t="s">
        <v>124</v>
      </c>
      <c r="L4252" s="19" t="s">
        <v>158</v>
      </c>
      <c r="M4252" s="15" t="s">
        <v>158</v>
      </c>
      <c r="N4252" s="15" t="s">
        <v>64</v>
      </c>
      <c r="O4252" s="15" t="s">
        <v>65</v>
      </c>
      <c r="P4252" s="20" t="s">
        <v>501</v>
      </c>
      <c r="Q4252" s="15" t="s">
        <v>83</v>
      </c>
      <c r="R4252" s="4"/>
      <c r="S4252" s="4"/>
    </row>
    <row r="4253" spans="1:19" ht="21" customHeight="1" x14ac:dyDescent="0.25">
      <c r="A4253" s="14">
        <f>DATE(2012,12,31)-493</f>
        <v>40781</v>
      </c>
      <c r="B4253" s="15" t="s">
        <v>974</v>
      </c>
      <c r="C4253" s="15" t="s">
        <v>31</v>
      </c>
      <c r="D4253" s="16">
        <v>34</v>
      </c>
      <c r="E4253" s="17">
        <v>7656.3040000000001</v>
      </c>
      <c r="F4253" s="16">
        <v>0.1</v>
      </c>
      <c r="G4253" s="15" t="s">
        <v>58</v>
      </c>
      <c r="H4253" s="18">
        <v>-715.7782060000003</v>
      </c>
      <c r="I4253" s="19">
        <v>296.18</v>
      </c>
      <c r="J4253" s="19">
        <v>54.12</v>
      </c>
      <c r="K4253" s="19" t="s">
        <v>124</v>
      </c>
      <c r="L4253" s="19" t="s">
        <v>158</v>
      </c>
      <c r="M4253" s="15" t="s">
        <v>158</v>
      </c>
      <c r="N4253" s="15" t="s">
        <v>54</v>
      </c>
      <c r="O4253" s="15" t="s">
        <v>61</v>
      </c>
      <c r="P4253" s="20" t="s">
        <v>345</v>
      </c>
      <c r="Q4253" s="15" t="s">
        <v>63</v>
      </c>
      <c r="R4253" s="4"/>
      <c r="S4253" s="4"/>
    </row>
    <row r="4254" spans="1:19" ht="21" customHeight="1" x14ac:dyDescent="0.25">
      <c r="A4254" s="14">
        <f>DATE(2012,12,31)-1188</f>
        <v>40086</v>
      </c>
      <c r="B4254" s="15" t="s">
        <v>401</v>
      </c>
      <c r="C4254" s="15" t="s">
        <v>31</v>
      </c>
      <c r="D4254" s="16">
        <v>50</v>
      </c>
      <c r="E4254" s="17">
        <v>2860.93</v>
      </c>
      <c r="F4254" s="16">
        <v>0.03</v>
      </c>
      <c r="G4254" s="15" t="s">
        <v>32</v>
      </c>
      <c r="H4254" s="18">
        <v>832.61699999999996</v>
      </c>
      <c r="I4254" s="19">
        <v>65.989999999999995</v>
      </c>
      <c r="J4254" s="19">
        <v>5.26</v>
      </c>
      <c r="K4254" s="19" t="s">
        <v>124</v>
      </c>
      <c r="L4254" s="19" t="s">
        <v>164</v>
      </c>
      <c r="M4254" s="15" t="s">
        <v>2126</v>
      </c>
      <c r="N4254" s="15" t="s">
        <v>64</v>
      </c>
      <c r="O4254" s="15" t="s">
        <v>65</v>
      </c>
      <c r="P4254" s="20" t="s">
        <v>488</v>
      </c>
      <c r="Q4254" s="15" t="s">
        <v>83</v>
      </c>
      <c r="R4254" s="4"/>
      <c r="S4254" s="4"/>
    </row>
    <row r="4255" spans="1:19" ht="21" customHeight="1" x14ac:dyDescent="0.25">
      <c r="A4255" s="14">
        <f>DATE(2012,12,31)-390</f>
        <v>40884</v>
      </c>
      <c r="B4255" s="15" t="s">
        <v>1119</v>
      </c>
      <c r="C4255" s="15" t="s">
        <v>85</v>
      </c>
      <c r="D4255" s="16">
        <v>25</v>
      </c>
      <c r="E4255" s="17">
        <v>1412.98</v>
      </c>
      <c r="F4255" s="16">
        <v>0.1</v>
      </c>
      <c r="G4255" s="15" t="s">
        <v>32</v>
      </c>
      <c r="H4255" s="18">
        <v>324.95999999999998</v>
      </c>
      <c r="I4255" s="19">
        <v>60.97</v>
      </c>
      <c r="J4255" s="19">
        <v>4.5</v>
      </c>
      <c r="K4255" s="19" t="s">
        <v>124</v>
      </c>
      <c r="L4255" s="19" t="s">
        <v>125</v>
      </c>
      <c r="M4255" s="15" t="s">
        <v>2048</v>
      </c>
      <c r="N4255" s="15" t="s">
        <v>36</v>
      </c>
      <c r="O4255" s="15" t="s">
        <v>176</v>
      </c>
      <c r="P4255" s="20" t="s">
        <v>571</v>
      </c>
      <c r="Q4255" s="15" t="s">
        <v>83</v>
      </c>
      <c r="R4255" s="4"/>
      <c r="S4255" s="4"/>
    </row>
    <row r="4256" spans="1:19" ht="21" customHeight="1" x14ac:dyDescent="0.25">
      <c r="A4256" s="14">
        <f>DATE(2012,12,31)-390</f>
        <v>40884</v>
      </c>
      <c r="B4256" s="15" t="s">
        <v>1119</v>
      </c>
      <c r="C4256" s="15" t="s">
        <v>85</v>
      </c>
      <c r="D4256" s="16">
        <v>39</v>
      </c>
      <c r="E4256" s="17">
        <v>19539.939999999999</v>
      </c>
      <c r="F4256" s="16">
        <v>0.06</v>
      </c>
      <c r="G4256" s="15" t="s">
        <v>58</v>
      </c>
      <c r="H4256" s="18">
        <v>4914.24</v>
      </c>
      <c r="I4256" s="19">
        <v>517.48</v>
      </c>
      <c r="J4256" s="19">
        <v>16.63</v>
      </c>
      <c r="K4256" s="19" t="s">
        <v>124</v>
      </c>
      <c r="L4256" s="19" t="s">
        <v>164</v>
      </c>
      <c r="M4256" s="15" t="s">
        <v>2126</v>
      </c>
      <c r="N4256" s="15" t="s">
        <v>64</v>
      </c>
      <c r="O4256" s="15" t="s">
        <v>122</v>
      </c>
      <c r="P4256" s="20" t="s">
        <v>2156</v>
      </c>
      <c r="Q4256" s="15" t="s">
        <v>63</v>
      </c>
      <c r="R4256" s="4"/>
      <c r="S4256" s="4"/>
    </row>
    <row r="4257" spans="1:19" ht="21" customHeight="1" x14ac:dyDescent="0.25">
      <c r="A4257" s="14">
        <f>DATE(2012,12,31)-1016</f>
        <v>40258</v>
      </c>
      <c r="B4257" s="15" t="s">
        <v>2077</v>
      </c>
      <c r="C4257" s="15" t="s">
        <v>85</v>
      </c>
      <c r="D4257" s="16">
        <v>15</v>
      </c>
      <c r="E4257" s="17">
        <v>30.38</v>
      </c>
      <c r="F4257" s="16">
        <v>0.08</v>
      </c>
      <c r="G4257" s="15" t="s">
        <v>32</v>
      </c>
      <c r="H4257" s="18">
        <v>-59.179000000000002</v>
      </c>
      <c r="I4257" s="19">
        <v>1.8</v>
      </c>
      <c r="J4257" s="19">
        <v>4.79</v>
      </c>
      <c r="K4257" s="19" t="s">
        <v>124</v>
      </c>
      <c r="L4257" s="19" t="s">
        <v>164</v>
      </c>
      <c r="M4257" s="15" t="s">
        <v>2126</v>
      </c>
      <c r="N4257" s="15" t="s">
        <v>36</v>
      </c>
      <c r="O4257" s="15" t="s">
        <v>170</v>
      </c>
      <c r="P4257" s="20" t="s">
        <v>2157</v>
      </c>
      <c r="Q4257" s="15" t="s">
        <v>83</v>
      </c>
      <c r="R4257" s="4"/>
      <c r="S4257" s="4"/>
    </row>
    <row r="4258" spans="1:19" ht="21" customHeight="1" x14ac:dyDescent="0.25">
      <c r="A4258" s="14">
        <f>DATE(2012,12,31)-249</f>
        <v>41025</v>
      </c>
      <c r="B4258" s="15" t="s">
        <v>1378</v>
      </c>
      <c r="C4258" s="15" t="s">
        <v>85</v>
      </c>
      <c r="D4258" s="16">
        <v>21</v>
      </c>
      <c r="E4258" s="17">
        <v>2024.0284999999999</v>
      </c>
      <c r="F4258" s="16">
        <v>0.1</v>
      </c>
      <c r="G4258" s="15" t="s">
        <v>32</v>
      </c>
      <c r="H4258" s="18">
        <v>4.8960000000000106</v>
      </c>
      <c r="I4258" s="19">
        <v>125.99</v>
      </c>
      <c r="J4258" s="19">
        <v>8.8000000000000007</v>
      </c>
      <c r="K4258" s="19" t="s">
        <v>44</v>
      </c>
      <c r="L4258" s="19" t="s">
        <v>120</v>
      </c>
      <c r="M4258" s="15" t="s">
        <v>2025</v>
      </c>
      <c r="N4258" s="15" t="s">
        <v>64</v>
      </c>
      <c r="O4258" s="15" t="s">
        <v>65</v>
      </c>
      <c r="P4258" s="20" t="s">
        <v>536</v>
      </c>
      <c r="Q4258" s="15" t="s">
        <v>83</v>
      </c>
      <c r="R4258" s="4"/>
      <c r="S4258" s="4"/>
    </row>
    <row r="4259" spans="1:19" ht="21" customHeight="1" x14ac:dyDescent="0.25">
      <c r="A4259" s="14">
        <f>DATE(2012,12,31)-1067</f>
        <v>40207</v>
      </c>
      <c r="B4259" s="15" t="s">
        <v>300</v>
      </c>
      <c r="C4259" s="15" t="s">
        <v>85</v>
      </c>
      <c r="D4259" s="16">
        <v>28</v>
      </c>
      <c r="E4259" s="17">
        <v>5155.07</v>
      </c>
      <c r="F4259" s="16">
        <v>0.06</v>
      </c>
      <c r="G4259" s="15" t="s">
        <v>32</v>
      </c>
      <c r="H4259" s="18">
        <v>368.79</v>
      </c>
      <c r="I4259" s="19">
        <v>193.17</v>
      </c>
      <c r="J4259" s="19">
        <v>19.989999999999998</v>
      </c>
      <c r="K4259" s="19" t="s">
        <v>124</v>
      </c>
      <c r="L4259" s="19" t="s">
        <v>319</v>
      </c>
      <c r="M4259" s="15" t="s">
        <v>2146</v>
      </c>
      <c r="N4259" s="15" t="s">
        <v>36</v>
      </c>
      <c r="O4259" s="15" t="s">
        <v>37</v>
      </c>
      <c r="P4259" s="20" t="s">
        <v>197</v>
      </c>
      <c r="Q4259" s="15" t="s">
        <v>83</v>
      </c>
      <c r="R4259" s="4"/>
      <c r="S4259" s="4"/>
    </row>
    <row r="4260" spans="1:19" ht="21" customHeight="1" x14ac:dyDescent="0.25">
      <c r="A4260" s="14">
        <f>DATE(2012,12,31)-1430</f>
        <v>39844</v>
      </c>
      <c r="B4260" s="15" t="s">
        <v>167</v>
      </c>
      <c r="C4260" s="15" t="s">
        <v>31</v>
      </c>
      <c r="D4260" s="16">
        <v>42</v>
      </c>
      <c r="E4260" s="17">
        <v>6244.18</v>
      </c>
      <c r="F4260" s="16">
        <v>0.09</v>
      </c>
      <c r="G4260" s="15" t="s">
        <v>58</v>
      </c>
      <c r="H4260" s="18">
        <v>470.3</v>
      </c>
      <c r="I4260" s="19">
        <v>160.97999999999999</v>
      </c>
      <c r="J4260" s="19">
        <v>30</v>
      </c>
      <c r="K4260" s="19" t="s">
        <v>124</v>
      </c>
      <c r="L4260" s="19" t="s">
        <v>319</v>
      </c>
      <c r="M4260" s="15" t="s">
        <v>2146</v>
      </c>
      <c r="N4260" s="15" t="s">
        <v>54</v>
      </c>
      <c r="O4260" s="15" t="s">
        <v>252</v>
      </c>
      <c r="P4260" s="20" t="s">
        <v>726</v>
      </c>
      <c r="Q4260" s="15" t="s">
        <v>181</v>
      </c>
      <c r="R4260" s="4"/>
      <c r="S4260" s="4"/>
    </row>
    <row r="4261" spans="1:19" ht="21" customHeight="1" x14ac:dyDescent="0.25">
      <c r="A4261" s="14">
        <f>DATE(2012,12,31)-1430</f>
        <v>39844</v>
      </c>
      <c r="B4261" s="15" t="s">
        <v>167</v>
      </c>
      <c r="C4261" s="15" t="s">
        <v>31</v>
      </c>
      <c r="D4261" s="16">
        <v>41</v>
      </c>
      <c r="E4261" s="17">
        <v>239.75</v>
      </c>
      <c r="F4261" s="16">
        <v>0.09</v>
      </c>
      <c r="G4261" s="15" t="s">
        <v>32</v>
      </c>
      <c r="H4261" s="18">
        <v>105.91</v>
      </c>
      <c r="I4261" s="19">
        <v>6.3</v>
      </c>
      <c r="J4261" s="19">
        <v>0.5</v>
      </c>
      <c r="K4261" s="19" t="s">
        <v>44</v>
      </c>
      <c r="L4261" s="19" t="s">
        <v>52</v>
      </c>
      <c r="M4261" s="15" t="s">
        <v>2148</v>
      </c>
      <c r="N4261" s="15" t="s">
        <v>36</v>
      </c>
      <c r="O4261" s="15" t="s">
        <v>114</v>
      </c>
      <c r="P4261" s="20" t="s">
        <v>916</v>
      </c>
      <c r="Q4261" s="15" t="s">
        <v>83</v>
      </c>
      <c r="R4261" s="4"/>
      <c r="S4261" s="4"/>
    </row>
    <row r="4262" spans="1:19" ht="21" customHeight="1" x14ac:dyDescent="0.25">
      <c r="A4262" s="14">
        <f>DATE(2012,12,31)-1430</f>
        <v>39844</v>
      </c>
      <c r="B4262" s="15" t="s">
        <v>167</v>
      </c>
      <c r="C4262" s="15" t="s">
        <v>31</v>
      </c>
      <c r="D4262" s="16">
        <v>30</v>
      </c>
      <c r="E4262" s="17">
        <v>150.19999999999999</v>
      </c>
      <c r="F4262" s="16">
        <v>0</v>
      </c>
      <c r="G4262" s="15" t="s">
        <v>32</v>
      </c>
      <c r="H4262" s="18">
        <v>62.46</v>
      </c>
      <c r="I4262" s="19">
        <v>4.9800000000000004</v>
      </c>
      <c r="J4262" s="19">
        <v>0.8</v>
      </c>
      <c r="K4262" s="19" t="s">
        <v>44</v>
      </c>
      <c r="L4262" s="19" t="s">
        <v>236</v>
      </c>
      <c r="M4262" s="15" t="s">
        <v>2129</v>
      </c>
      <c r="N4262" s="15" t="s">
        <v>36</v>
      </c>
      <c r="O4262" s="15" t="s">
        <v>117</v>
      </c>
      <c r="P4262" s="20" t="s">
        <v>487</v>
      </c>
      <c r="Q4262" s="15" t="s">
        <v>79</v>
      </c>
      <c r="R4262" s="4"/>
      <c r="S4262" s="4"/>
    </row>
    <row r="4263" spans="1:19" ht="21" customHeight="1" x14ac:dyDescent="0.25">
      <c r="A4263" s="14">
        <f>DATE(2012,12,31)-224</f>
        <v>41050</v>
      </c>
      <c r="B4263" s="15" t="s">
        <v>1597</v>
      </c>
      <c r="C4263" s="15" t="s">
        <v>85</v>
      </c>
      <c r="D4263" s="16">
        <v>48</v>
      </c>
      <c r="E4263" s="17">
        <v>1556.42</v>
      </c>
      <c r="F4263" s="16">
        <v>0</v>
      </c>
      <c r="G4263" s="15" t="s">
        <v>32</v>
      </c>
      <c r="H4263" s="18">
        <v>-60.98</v>
      </c>
      <c r="I4263" s="19">
        <v>30.42</v>
      </c>
      <c r="J4263" s="19">
        <v>8.65</v>
      </c>
      <c r="K4263" s="19" t="s">
        <v>44</v>
      </c>
      <c r="L4263" s="19" t="s">
        <v>80</v>
      </c>
      <c r="M4263" s="15" t="s">
        <v>2081</v>
      </c>
      <c r="N4263" s="15" t="s">
        <v>64</v>
      </c>
      <c r="O4263" s="15" t="s">
        <v>72</v>
      </c>
      <c r="P4263" s="20" t="s">
        <v>1175</v>
      </c>
      <c r="Q4263" s="15" t="s">
        <v>83</v>
      </c>
      <c r="R4263" s="4"/>
      <c r="S4263" s="4"/>
    </row>
    <row r="4264" spans="1:19" ht="21" customHeight="1" x14ac:dyDescent="0.25">
      <c r="A4264" s="14">
        <f>DATE(2012,12,31)-224</f>
        <v>41050</v>
      </c>
      <c r="B4264" s="15" t="s">
        <v>1597</v>
      </c>
      <c r="C4264" s="15" t="s">
        <v>85</v>
      </c>
      <c r="D4264" s="16">
        <v>28</v>
      </c>
      <c r="E4264" s="17">
        <v>130.28</v>
      </c>
      <c r="F4264" s="16">
        <v>0.08</v>
      </c>
      <c r="G4264" s="15" t="s">
        <v>32</v>
      </c>
      <c r="H4264" s="18">
        <v>56.97</v>
      </c>
      <c r="I4264" s="19">
        <v>4.91</v>
      </c>
      <c r="J4264" s="19">
        <v>0.5</v>
      </c>
      <c r="K4264" s="19" t="s">
        <v>44</v>
      </c>
      <c r="L4264" s="19" t="s">
        <v>52</v>
      </c>
      <c r="M4264" s="15" t="s">
        <v>2148</v>
      </c>
      <c r="N4264" s="15" t="s">
        <v>36</v>
      </c>
      <c r="O4264" s="15" t="s">
        <v>114</v>
      </c>
      <c r="P4264" s="20" t="s">
        <v>1429</v>
      </c>
      <c r="Q4264" s="15" t="s">
        <v>83</v>
      </c>
      <c r="R4264" s="4"/>
      <c r="S4264" s="4"/>
    </row>
    <row r="4265" spans="1:19" ht="21" customHeight="1" x14ac:dyDescent="0.25">
      <c r="A4265" s="14">
        <f>DATE(2012,12,31)-224</f>
        <v>41050</v>
      </c>
      <c r="B4265" s="15" t="s">
        <v>2158</v>
      </c>
      <c r="C4265" s="15" t="s">
        <v>85</v>
      </c>
      <c r="D4265" s="16">
        <v>8</v>
      </c>
      <c r="E4265" s="17">
        <v>41343.21</v>
      </c>
      <c r="F4265" s="16">
        <v>0.09</v>
      </c>
      <c r="G4265" s="15" t="s">
        <v>32</v>
      </c>
      <c r="H4265" s="18">
        <v>3852.19</v>
      </c>
      <c r="I4265" s="19">
        <v>6783.02</v>
      </c>
      <c r="J4265" s="19">
        <v>24.49</v>
      </c>
      <c r="K4265" s="19" t="s">
        <v>44</v>
      </c>
      <c r="L4265" s="19" t="s">
        <v>52</v>
      </c>
      <c r="M4265" s="15" t="s">
        <v>2148</v>
      </c>
      <c r="N4265" s="15" t="s">
        <v>64</v>
      </c>
      <c r="O4265" s="15" t="s">
        <v>122</v>
      </c>
      <c r="P4265" s="20" t="s">
        <v>750</v>
      </c>
      <c r="Q4265" s="15" t="s">
        <v>39</v>
      </c>
      <c r="R4265" s="4"/>
      <c r="S4265" s="4"/>
    </row>
    <row r="4266" spans="1:19" ht="21" customHeight="1" x14ac:dyDescent="0.25">
      <c r="A4266" s="14">
        <f>DATE(2012,12,31)-648</f>
        <v>40626</v>
      </c>
      <c r="B4266" s="15" t="s">
        <v>1752</v>
      </c>
      <c r="C4266" s="15" t="s">
        <v>85</v>
      </c>
      <c r="D4266" s="16">
        <v>13</v>
      </c>
      <c r="E4266" s="17">
        <v>76.81</v>
      </c>
      <c r="F4266" s="16">
        <v>0</v>
      </c>
      <c r="G4266" s="15" t="s">
        <v>32</v>
      </c>
      <c r="H4266" s="18">
        <v>-55.77</v>
      </c>
      <c r="I4266" s="19">
        <v>4.9800000000000004</v>
      </c>
      <c r="J4266" s="19">
        <v>7.54</v>
      </c>
      <c r="K4266" s="19" t="s">
        <v>44</v>
      </c>
      <c r="L4266" s="19" t="s">
        <v>52</v>
      </c>
      <c r="M4266" s="15" t="s">
        <v>2148</v>
      </c>
      <c r="N4266" s="15" t="s">
        <v>36</v>
      </c>
      <c r="O4266" s="15" t="s">
        <v>117</v>
      </c>
      <c r="P4266" s="20" t="s">
        <v>2107</v>
      </c>
      <c r="Q4266" s="15" t="s">
        <v>83</v>
      </c>
      <c r="R4266" s="4"/>
      <c r="S4266" s="4"/>
    </row>
    <row r="4267" spans="1:19" ht="21" customHeight="1" x14ac:dyDescent="0.25">
      <c r="A4267" s="14">
        <f>DATE(2012,12,31)-648</f>
        <v>40626</v>
      </c>
      <c r="B4267" s="15" t="s">
        <v>1752</v>
      </c>
      <c r="C4267" s="15" t="s">
        <v>85</v>
      </c>
      <c r="D4267" s="16">
        <v>21</v>
      </c>
      <c r="E4267" s="17">
        <v>174.22</v>
      </c>
      <c r="F4267" s="16">
        <v>0.03</v>
      </c>
      <c r="G4267" s="15" t="s">
        <v>32</v>
      </c>
      <c r="H4267" s="18">
        <v>-1.23</v>
      </c>
      <c r="I4267" s="19">
        <v>8.34</v>
      </c>
      <c r="J4267" s="19">
        <v>2.64</v>
      </c>
      <c r="K4267" s="19" t="s">
        <v>44</v>
      </c>
      <c r="L4267" s="19" t="s">
        <v>52</v>
      </c>
      <c r="M4267" s="15" t="s">
        <v>2148</v>
      </c>
      <c r="N4267" s="15" t="s">
        <v>36</v>
      </c>
      <c r="O4267" s="15" t="s">
        <v>47</v>
      </c>
      <c r="P4267" s="20" t="s">
        <v>1864</v>
      </c>
      <c r="Q4267" s="15" t="s">
        <v>49</v>
      </c>
      <c r="R4267" s="4"/>
      <c r="S4267" s="4"/>
    </row>
    <row r="4268" spans="1:19" ht="21" customHeight="1" x14ac:dyDescent="0.25">
      <c r="A4268" s="14">
        <f>DATE(2012,12,31)-854</f>
        <v>40420</v>
      </c>
      <c r="B4268" s="15" t="s">
        <v>1396</v>
      </c>
      <c r="C4268" s="15" t="s">
        <v>51</v>
      </c>
      <c r="D4268" s="16">
        <v>1</v>
      </c>
      <c r="E4268" s="17">
        <v>14.4</v>
      </c>
      <c r="F4268" s="16">
        <v>0.1</v>
      </c>
      <c r="G4268" s="15" t="s">
        <v>32</v>
      </c>
      <c r="H4268" s="18">
        <v>-7.39</v>
      </c>
      <c r="I4268" s="19">
        <v>12.22</v>
      </c>
      <c r="J4268" s="19">
        <v>2.85</v>
      </c>
      <c r="K4268" s="19" t="s">
        <v>44</v>
      </c>
      <c r="L4268" s="19" t="s">
        <v>52</v>
      </c>
      <c r="M4268" s="15" t="s">
        <v>2148</v>
      </c>
      <c r="N4268" s="15" t="s">
        <v>54</v>
      </c>
      <c r="O4268" s="15" t="s">
        <v>55</v>
      </c>
      <c r="P4268" s="20" t="s">
        <v>1073</v>
      </c>
      <c r="Q4268" s="15" t="s">
        <v>49</v>
      </c>
      <c r="R4268" s="4"/>
      <c r="S4268" s="4"/>
    </row>
    <row r="4269" spans="1:19" ht="21" customHeight="1" x14ac:dyDescent="0.25">
      <c r="A4269" s="14">
        <f>DATE(2012,12,31)-1016</f>
        <v>40258</v>
      </c>
      <c r="B4269" s="15" t="s">
        <v>1276</v>
      </c>
      <c r="C4269" s="15" t="s">
        <v>85</v>
      </c>
      <c r="D4269" s="16">
        <v>12</v>
      </c>
      <c r="E4269" s="17">
        <v>709.54</v>
      </c>
      <c r="F4269" s="16">
        <v>7.0000000000000007E-2</v>
      </c>
      <c r="G4269" s="15" t="s">
        <v>32</v>
      </c>
      <c r="H4269" s="18">
        <v>131.44</v>
      </c>
      <c r="I4269" s="19">
        <v>59.98</v>
      </c>
      <c r="J4269" s="19">
        <v>3.99</v>
      </c>
      <c r="K4269" s="19" t="s">
        <v>44</v>
      </c>
      <c r="L4269" s="19" t="s">
        <v>52</v>
      </c>
      <c r="M4269" s="15" t="s">
        <v>2148</v>
      </c>
      <c r="N4269" s="15" t="s">
        <v>36</v>
      </c>
      <c r="O4269" s="15" t="s">
        <v>176</v>
      </c>
      <c r="P4269" s="20" t="s">
        <v>351</v>
      </c>
      <c r="Q4269" s="15" t="s">
        <v>83</v>
      </c>
      <c r="R4269" s="4"/>
      <c r="S4269" s="4"/>
    </row>
    <row r="4270" spans="1:19" ht="21" customHeight="1" x14ac:dyDescent="0.25">
      <c r="A4270" s="14">
        <f>DATE(2012,12,31)-1016</f>
        <v>40258</v>
      </c>
      <c r="B4270" s="15" t="s">
        <v>1276</v>
      </c>
      <c r="C4270" s="15" t="s">
        <v>85</v>
      </c>
      <c r="D4270" s="16">
        <v>42</v>
      </c>
      <c r="E4270" s="17">
        <v>1220.08</v>
      </c>
      <c r="F4270" s="16">
        <v>0</v>
      </c>
      <c r="G4270" s="15" t="s">
        <v>32</v>
      </c>
      <c r="H4270" s="18">
        <v>515.64</v>
      </c>
      <c r="I4270" s="19">
        <v>28.48</v>
      </c>
      <c r="J4270" s="19">
        <v>1.99</v>
      </c>
      <c r="K4270" s="19" t="s">
        <v>44</v>
      </c>
      <c r="L4270" s="19" t="s">
        <v>52</v>
      </c>
      <c r="M4270" s="15" t="s">
        <v>2148</v>
      </c>
      <c r="N4270" s="15" t="s">
        <v>64</v>
      </c>
      <c r="O4270" s="15" t="s">
        <v>72</v>
      </c>
      <c r="P4270" s="20" t="s">
        <v>382</v>
      </c>
      <c r="Q4270" s="15" t="s">
        <v>49</v>
      </c>
      <c r="R4270" s="4"/>
      <c r="S4270" s="4"/>
    </row>
    <row r="4271" spans="1:19" ht="21" customHeight="1" x14ac:dyDescent="0.25">
      <c r="A4271" s="14">
        <f>DATE(2012,12,31)-242</f>
        <v>41032</v>
      </c>
      <c r="B4271" s="15" t="s">
        <v>979</v>
      </c>
      <c r="C4271" s="15" t="s">
        <v>31</v>
      </c>
      <c r="D4271" s="16">
        <v>20</v>
      </c>
      <c r="E4271" s="17">
        <v>71.45</v>
      </c>
      <c r="F4271" s="16">
        <v>0.03</v>
      </c>
      <c r="G4271" s="15" t="s">
        <v>32</v>
      </c>
      <c r="H4271" s="18">
        <v>-92.954499999999996</v>
      </c>
      <c r="I4271" s="19">
        <v>3.36</v>
      </c>
      <c r="J4271" s="19">
        <v>6.27</v>
      </c>
      <c r="K4271" s="19" t="s">
        <v>44</v>
      </c>
      <c r="L4271" s="19" t="s">
        <v>52</v>
      </c>
      <c r="M4271" s="15" t="s">
        <v>2148</v>
      </c>
      <c r="N4271" s="15" t="s">
        <v>36</v>
      </c>
      <c r="O4271" s="15" t="s">
        <v>170</v>
      </c>
      <c r="P4271" s="20" t="s">
        <v>652</v>
      </c>
      <c r="Q4271" s="15" t="s">
        <v>83</v>
      </c>
      <c r="R4271" s="4"/>
      <c r="S4271" s="4"/>
    </row>
    <row r="4272" spans="1:19" ht="21" customHeight="1" x14ac:dyDescent="0.25">
      <c r="A4272" s="14">
        <f>DATE(2012,12,31)-74</f>
        <v>41200</v>
      </c>
      <c r="B4272" s="15" t="s">
        <v>1291</v>
      </c>
      <c r="C4272" s="15" t="s">
        <v>85</v>
      </c>
      <c r="D4272" s="16">
        <v>39</v>
      </c>
      <c r="E4272" s="17">
        <v>239.4</v>
      </c>
      <c r="F4272" s="16">
        <v>7.0000000000000007E-2</v>
      </c>
      <c r="G4272" s="15" t="s">
        <v>32</v>
      </c>
      <c r="H4272" s="18">
        <v>-57.37</v>
      </c>
      <c r="I4272" s="19">
        <v>5.98</v>
      </c>
      <c r="J4272" s="19">
        <v>5.15</v>
      </c>
      <c r="K4272" s="19" t="s">
        <v>44</v>
      </c>
      <c r="L4272" s="19" t="s">
        <v>52</v>
      </c>
      <c r="M4272" s="15" t="s">
        <v>2148</v>
      </c>
      <c r="N4272" s="15" t="s">
        <v>36</v>
      </c>
      <c r="O4272" s="15" t="s">
        <v>117</v>
      </c>
      <c r="P4272" s="20" t="s">
        <v>155</v>
      </c>
      <c r="Q4272" s="15" t="s">
        <v>83</v>
      </c>
      <c r="R4272" s="4"/>
      <c r="S4272" s="4"/>
    </row>
    <row r="4273" spans="1:19" ht="21" customHeight="1" x14ac:dyDescent="0.25">
      <c r="A4273" s="14">
        <f>DATE(2012,12,31)-174</f>
        <v>41100</v>
      </c>
      <c r="B4273" s="15" t="s">
        <v>420</v>
      </c>
      <c r="C4273" s="15" t="s">
        <v>51</v>
      </c>
      <c r="D4273" s="16">
        <v>41</v>
      </c>
      <c r="E4273" s="17">
        <v>305.01</v>
      </c>
      <c r="F4273" s="16">
        <v>0.05</v>
      </c>
      <c r="G4273" s="15" t="s">
        <v>101</v>
      </c>
      <c r="H4273" s="18">
        <v>-160.816</v>
      </c>
      <c r="I4273" s="19">
        <v>7.3</v>
      </c>
      <c r="J4273" s="19">
        <v>7.72</v>
      </c>
      <c r="K4273" s="19" t="s">
        <v>44</v>
      </c>
      <c r="L4273" s="19" t="s">
        <v>52</v>
      </c>
      <c r="M4273" s="15" t="s">
        <v>2148</v>
      </c>
      <c r="N4273" s="15" t="s">
        <v>36</v>
      </c>
      <c r="O4273" s="15" t="s">
        <v>170</v>
      </c>
      <c r="P4273" s="20" t="s">
        <v>274</v>
      </c>
      <c r="Q4273" s="15" t="s">
        <v>83</v>
      </c>
      <c r="R4273" s="4"/>
      <c r="S4273" s="4"/>
    </row>
    <row r="4274" spans="1:19" ht="21" customHeight="1" x14ac:dyDescent="0.25">
      <c r="A4274" s="14">
        <f>DATE(2012,12,31)-174</f>
        <v>41100</v>
      </c>
      <c r="B4274" s="15" t="s">
        <v>420</v>
      </c>
      <c r="C4274" s="15" t="s">
        <v>51</v>
      </c>
      <c r="D4274" s="16">
        <v>24</v>
      </c>
      <c r="E4274" s="17">
        <v>3583.52</v>
      </c>
      <c r="F4274" s="16">
        <v>0.09</v>
      </c>
      <c r="G4274" s="15" t="s">
        <v>32</v>
      </c>
      <c r="H4274" s="18">
        <v>221.71</v>
      </c>
      <c r="I4274" s="19">
        <v>161.55000000000001</v>
      </c>
      <c r="J4274" s="19">
        <v>19.989999999999998</v>
      </c>
      <c r="K4274" s="19" t="s">
        <v>44</v>
      </c>
      <c r="L4274" s="19" t="s">
        <v>52</v>
      </c>
      <c r="M4274" s="15" t="s">
        <v>2148</v>
      </c>
      <c r="N4274" s="15" t="s">
        <v>36</v>
      </c>
      <c r="O4274" s="15" t="s">
        <v>37</v>
      </c>
      <c r="P4274" s="20" t="s">
        <v>1794</v>
      </c>
      <c r="Q4274" s="15" t="s">
        <v>83</v>
      </c>
      <c r="R4274" s="4"/>
      <c r="S4274" s="4"/>
    </row>
    <row r="4275" spans="1:19" ht="21" customHeight="1" x14ac:dyDescent="0.25">
      <c r="A4275" s="14">
        <f>DATE(2012,12,31)-247</f>
        <v>41027</v>
      </c>
      <c r="B4275" s="15" t="s">
        <v>1664</v>
      </c>
      <c r="C4275" s="15" t="s">
        <v>31</v>
      </c>
      <c r="D4275" s="16">
        <v>7</v>
      </c>
      <c r="E4275" s="17">
        <v>2789.03</v>
      </c>
      <c r="F4275" s="16">
        <v>0.05</v>
      </c>
      <c r="G4275" s="15" t="s">
        <v>58</v>
      </c>
      <c r="H4275" s="18">
        <v>-303.44</v>
      </c>
      <c r="I4275" s="19">
        <v>400.98</v>
      </c>
      <c r="J4275" s="19">
        <v>42.52</v>
      </c>
      <c r="K4275" s="19" t="s">
        <v>69</v>
      </c>
      <c r="L4275" s="19" t="s">
        <v>75</v>
      </c>
      <c r="M4275" s="15" t="s">
        <v>1980</v>
      </c>
      <c r="N4275" s="15" t="s">
        <v>54</v>
      </c>
      <c r="O4275" s="15" t="s">
        <v>61</v>
      </c>
      <c r="P4275" s="20" t="s">
        <v>1001</v>
      </c>
      <c r="Q4275" s="15" t="s">
        <v>63</v>
      </c>
      <c r="R4275" s="4"/>
      <c r="S4275" s="4"/>
    </row>
    <row r="4276" spans="1:19" ht="21" customHeight="1" x14ac:dyDescent="0.25">
      <c r="A4276" s="14">
        <f>DATE(2012,12,31)-1354</f>
        <v>39920</v>
      </c>
      <c r="B4276" s="15" t="s">
        <v>674</v>
      </c>
      <c r="C4276" s="15" t="s">
        <v>31</v>
      </c>
      <c r="D4276" s="16">
        <v>41</v>
      </c>
      <c r="E4276" s="17">
        <v>17853.64</v>
      </c>
      <c r="F4276" s="16">
        <v>0.02</v>
      </c>
      <c r="G4276" s="15" t="s">
        <v>32</v>
      </c>
      <c r="H4276" s="18">
        <v>6227.33</v>
      </c>
      <c r="I4276" s="19">
        <v>419.19</v>
      </c>
      <c r="J4276" s="19">
        <v>19.989999999999998</v>
      </c>
      <c r="K4276" s="19" t="s">
        <v>124</v>
      </c>
      <c r="L4276" s="19" t="s">
        <v>160</v>
      </c>
      <c r="M4276" s="15" t="s">
        <v>1951</v>
      </c>
      <c r="N4276" s="15" t="s">
        <v>36</v>
      </c>
      <c r="O4276" s="15" t="s">
        <v>37</v>
      </c>
      <c r="P4276" s="20" t="s">
        <v>1168</v>
      </c>
      <c r="Q4276" s="15" t="s">
        <v>83</v>
      </c>
      <c r="R4276" s="4"/>
      <c r="S4276" s="4"/>
    </row>
    <row r="4277" spans="1:19" ht="21" customHeight="1" x14ac:dyDescent="0.25">
      <c r="A4277" s="14">
        <f>DATE(2012,12,31)-936</f>
        <v>40338</v>
      </c>
      <c r="B4277" s="15" t="s">
        <v>1583</v>
      </c>
      <c r="C4277" s="15" t="s">
        <v>85</v>
      </c>
      <c r="D4277" s="16">
        <v>17</v>
      </c>
      <c r="E4277" s="17">
        <v>253.38</v>
      </c>
      <c r="F4277" s="16">
        <v>0</v>
      </c>
      <c r="G4277" s="15" t="s">
        <v>101</v>
      </c>
      <c r="H4277" s="18">
        <v>-35.78</v>
      </c>
      <c r="I4277" s="19">
        <v>13.9</v>
      </c>
      <c r="J4277" s="19">
        <v>7.59</v>
      </c>
      <c r="K4277" s="19" t="s">
        <v>44</v>
      </c>
      <c r="L4277" s="19" t="s">
        <v>89</v>
      </c>
      <c r="M4277" s="15" t="s">
        <v>1932</v>
      </c>
      <c r="N4277" s="15" t="s">
        <v>36</v>
      </c>
      <c r="O4277" s="15" t="s">
        <v>47</v>
      </c>
      <c r="P4277" s="20" t="s">
        <v>976</v>
      </c>
      <c r="Q4277" s="15" t="s">
        <v>49</v>
      </c>
      <c r="R4277" s="4"/>
      <c r="S4277" s="4"/>
    </row>
    <row r="4278" spans="1:19" ht="21" customHeight="1" x14ac:dyDescent="0.25">
      <c r="A4278" s="14">
        <f>DATE(2012,12,31)-177</f>
        <v>41097</v>
      </c>
      <c r="B4278" s="15" t="s">
        <v>276</v>
      </c>
      <c r="C4278" s="15" t="s">
        <v>31</v>
      </c>
      <c r="D4278" s="16">
        <v>30</v>
      </c>
      <c r="E4278" s="17">
        <v>121.19</v>
      </c>
      <c r="F4278" s="16">
        <v>0.09</v>
      </c>
      <c r="G4278" s="15" t="s">
        <v>101</v>
      </c>
      <c r="H4278" s="18">
        <v>-152.1335</v>
      </c>
      <c r="I4278" s="19">
        <v>3.89</v>
      </c>
      <c r="J4278" s="19">
        <v>7.01</v>
      </c>
      <c r="K4278" s="19" t="s">
        <v>44</v>
      </c>
      <c r="L4278" s="19" t="s">
        <v>89</v>
      </c>
      <c r="M4278" s="15" t="s">
        <v>1932</v>
      </c>
      <c r="N4278" s="15" t="s">
        <v>36</v>
      </c>
      <c r="O4278" s="15" t="s">
        <v>170</v>
      </c>
      <c r="P4278" s="20" t="s">
        <v>711</v>
      </c>
      <c r="Q4278" s="15" t="s">
        <v>83</v>
      </c>
      <c r="R4278" s="4"/>
      <c r="S4278" s="4"/>
    </row>
    <row r="4279" spans="1:19" ht="21" customHeight="1" x14ac:dyDescent="0.25">
      <c r="A4279" s="14">
        <f>DATE(2012,12,31)-1234</f>
        <v>40040</v>
      </c>
      <c r="B4279" s="15" t="s">
        <v>1023</v>
      </c>
      <c r="C4279" s="15" t="s">
        <v>85</v>
      </c>
      <c r="D4279" s="16">
        <v>5</v>
      </c>
      <c r="E4279" s="17">
        <v>2019.65</v>
      </c>
      <c r="F4279" s="16">
        <v>0.05</v>
      </c>
      <c r="G4279" s="15" t="s">
        <v>32</v>
      </c>
      <c r="H4279" s="18">
        <v>289.87549999999999</v>
      </c>
      <c r="I4279" s="19">
        <v>420.98</v>
      </c>
      <c r="J4279" s="19">
        <v>19.989999999999998</v>
      </c>
      <c r="K4279" s="19" t="s">
        <v>44</v>
      </c>
      <c r="L4279" s="19" t="s">
        <v>89</v>
      </c>
      <c r="M4279" s="15" t="s">
        <v>1932</v>
      </c>
      <c r="N4279" s="15" t="s">
        <v>36</v>
      </c>
      <c r="O4279" s="15" t="s">
        <v>170</v>
      </c>
      <c r="P4279" s="20" t="s">
        <v>466</v>
      </c>
      <c r="Q4279" s="15" t="s">
        <v>83</v>
      </c>
      <c r="R4279" s="4"/>
      <c r="S4279" s="4"/>
    </row>
    <row r="4280" spans="1:19" ht="21" customHeight="1" x14ac:dyDescent="0.25">
      <c r="A4280" s="14">
        <f>DATE(2012,12,31)-6</f>
        <v>41268</v>
      </c>
      <c r="B4280" s="15" t="s">
        <v>659</v>
      </c>
      <c r="C4280" s="15" t="s">
        <v>43</v>
      </c>
      <c r="D4280" s="16">
        <v>46</v>
      </c>
      <c r="E4280" s="17">
        <v>304.26</v>
      </c>
      <c r="F4280" s="16">
        <v>0.1</v>
      </c>
      <c r="G4280" s="15" t="s">
        <v>32</v>
      </c>
      <c r="H4280" s="18">
        <v>28.93</v>
      </c>
      <c r="I4280" s="19">
        <v>7.08</v>
      </c>
      <c r="J4280" s="19">
        <v>2.35</v>
      </c>
      <c r="K4280" s="19" t="s">
        <v>44</v>
      </c>
      <c r="L4280" s="19" t="s">
        <v>89</v>
      </c>
      <c r="M4280" s="15" t="s">
        <v>1932</v>
      </c>
      <c r="N4280" s="15" t="s">
        <v>36</v>
      </c>
      <c r="O4280" s="15" t="s">
        <v>77</v>
      </c>
      <c r="P4280" s="20" t="s">
        <v>1833</v>
      </c>
      <c r="Q4280" s="15" t="s">
        <v>79</v>
      </c>
      <c r="R4280" s="4"/>
      <c r="S4280" s="4"/>
    </row>
    <row r="4281" spans="1:19" ht="21" customHeight="1" x14ac:dyDescent="0.25">
      <c r="A4281" s="14">
        <f>DATE(2012,12,31)-694</f>
        <v>40580</v>
      </c>
      <c r="B4281" s="15" t="s">
        <v>1227</v>
      </c>
      <c r="C4281" s="15" t="s">
        <v>85</v>
      </c>
      <c r="D4281" s="16">
        <v>34</v>
      </c>
      <c r="E4281" s="17">
        <v>706.91</v>
      </c>
      <c r="F4281" s="16">
        <v>0.03</v>
      </c>
      <c r="G4281" s="15" t="s">
        <v>101</v>
      </c>
      <c r="H4281" s="18">
        <v>85.68</v>
      </c>
      <c r="I4281" s="19">
        <v>20.98</v>
      </c>
      <c r="J4281" s="19">
        <v>8.83</v>
      </c>
      <c r="K4281" s="19" t="s">
        <v>44</v>
      </c>
      <c r="L4281" s="19" t="s">
        <v>52</v>
      </c>
      <c r="M4281" s="15" t="s">
        <v>2148</v>
      </c>
      <c r="N4281" s="15" t="s">
        <v>36</v>
      </c>
      <c r="O4281" s="15" t="s">
        <v>170</v>
      </c>
      <c r="P4281" s="20" t="s">
        <v>1891</v>
      </c>
      <c r="Q4281" s="15" t="s">
        <v>83</v>
      </c>
      <c r="R4281" s="4"/>
      <c r="S4281" s="4"/>
    </row>
    <row r="4282" spans="1:19" ht="21" customHeight="1" x14ac:dyDescent="0.25">
      <c r="A4282" s="14">
        <f>DATE(2012,12,31)-694</f>
        <v>40580</v>
      </c>
      <c r="B4282" s="15" t="s">
        <v>1227</v>
      </c>
      <c r="C4282" s="15" t="s">
        <v>85</v>
      </c>
      <c r="D4282" s="16">
        <v>31</v>
      </c>
      <c r="E4282" s="17">
        <v>190.06</v>
      </c>
      <c r="F4282" s="16">
        <v>0.06</v>
      </c>
      <c r="G4282" s="15" t="s">
        <v>32</v>
      </c>
      <c r="H4282" s="18">
        <v>-61.9</v>
      </c>
      <c r="I4282" s="19">
        <v>5.98</v>
      </c>
      <c r="J4282" s="19">
        <v>5.35</v>
      </c>
      <c r="K4282" s="19" t="s">
        <v>44</v>
      </c>
      <c r="L4282" s="19" t="s">
        <v>89</v>
      </c>
      <c r="M4282" s="15" t="s">
        <v>1932</v>
      </c>
      <c r="N4282" s="15" t="s">
        <v>36</v>
      </c>
      <c r="O4282" s="15" t="s">
        <v>117</v>
      </c>
      <c r="P4282" s="20" t="s">
        <v>933</v>
      </c>
      <c r="Q4282" s="15" t="s">
        <v>83</v>
      </c>
      <c r="R4282" s="4"/>
      <c r="S4282" s="4"/>
    </row>
    <row r="4283" spans="1:19" ht="21" customHeight="1" x14ac:dyDescent="0.25">
      <c r="A4283" s="14">
        <f>DATE(2012,12,31)-62</f>
        <v>41212</v>
      </c>
      <c r="B4283" s="15" t="s">
        <v>256</v>
      </c>
      <c r="C4283" s="15" t="s">
        <v>51</v>
      </c>
      <c r="D4283" s="16">
        <v>16</v>
      </c>
      <c r="E4283" s="17">
        <v>92.06</v>
      </c>
      <c r="F4283" s="16">
        <v>0.1</v>
      </c>
      <c r="G4283" s="15" t="s">
        <v>32</v>
      </c>
      <c r="H4283" s="18">
        <v>5.66</v>
      </c>
      <c r="I4283" s="19">
        <v>5.98</v>
      </c>
      <c r="J4283" s="19">
        <v>2.5</v>
      </c>
      <c r="K4283" s="19" t="s">
        <v>124</v>
      </c>
      <c r="L4283" s="19" t="s">
        <v>160</v>
      </c>
      <c r="M4283" s="15" t="s">
        <v>1951</v>
      </c>
      <c r="N4283" s="15" t="s">
        <v>36</v>
      </c>
      <c r="O4283" s="15" t="s">
        <v>189</v>
      </c>
      <c r="P4283" s="20" t="s">
        <v>513</v>
      </c>
      <c r="Q4283" s="15" t="s">
        <v>83</v>
      </c>
      <c r="R4283" s="4"/>
      <c r="S4283" s="4"/>
    </row>
    <row r="4284" spans="1:19" ht="21" customHeight="1" x14ac:dyDescent="0.25">
      <c r="A4284" s="14">
        <f>DATE(2012,12,31)-62</f>
        <v>41212</v>
      </c>
      <c r="B4284" s="15" t="s">
        <v>256</v>
      </c>
      <c r="C4284" s="15" t="s">
        <v>51</v>
      </c>
      <c r="D4284" s="16">
        <v>33</v>
      </c>
      <c r="E4284" s="17">
        <v>199.62</v>
      </c>
      <c r="F4284" s="16">
        <v>0.01</v>
      </c>
      <c r="G4284" s="15" t="s">
        <v>32</v>
      </c>
      <c r="H4284" s="18">
        <v>42.34</v>
      </c>
      <c r="I4284" s="19">
        <v>5.84</v>
      </c>
      <c r="J4284" s="19">
        <v>1.2</v>
      </c>
      <c r="K4284" s="19" t="s">
        <v>124</v>
      </c>
      <c r="L4284" s="19" t="s">
        <v>319</v>
      </c>
      <c r="M4284" s="15" t="s">
        <v>2146</v>
      </c>
      <c r="N4284" s="15" t="s">
        <v>36</v>
      </c>
      <c r="O4284" s="15" t="s">
        <v>77</v>
      </c>
      <c r="P4284" s="20" t="s">
        <v>1400</v>
      </c>
      <c r="Q4284" s="15" t="s">
        <v>79</v>
      </c>
      <c r="R4284" s="4"/>
      <c r="S4284" s="4"/>
    </row>
    <row r="4285" spans="1:19" ht="21" customHeight="1" x14ac:dyDescent="0.25">
      <c r="A4285" s="14">
        <f>DATE(2012,12,31)-401</f>
        <v>40873</v>
      </c>
      <c r="B4285" s="15" t="s">
        <v>2159</v>
      </c>
      <c r="C4285" s="15" t="s">
        <v>51</v>
      </c>
      <c r="D4285" s="16">
        <v>28</v>
      </c>
      <c r="E4285" s="17">
        <v>431.37</v>
      </c>
      <c r="F4285" s="16">
        <v>0.03</v>
      </c>
      <c r="G4285" s="15" t="s">
        <v>32</v>
      </c>
      <c r="H4285" s="18">
        <v>-28.669499999999999</v>
      </c>
      <c r="I4285" s="19">
        <v>15.22</v>
      </c>
      <c r="J4285" s="19">
        <v>9.73</v>
      </c>
      <c r="K4285" s="19" t="s">
        <v>44</v>
      </c>
      <c r="L4285" s="19" t="s">
        <v>45</v>
      </c>
      <c r="M4285" s="15" t="s">
        <v>2053</v>
      </c>
      <c r="N4285" s="15" t="s">
        <v>36</v>
      </c>
      <c r="O4285" s="15" t="s">
        <v>170</v>
      </c>
      <c r="P4285" s="20" t="s">
        <v>1617</v>
      </c>
      <c r="Q4285" s="15" t="s">
        <v>83</v>
      </c>
      <c r="R4285" s="4"/>
      <c r="S4285" s="4"/>
    </row>
    <row r="4286" spans="1:19" ht="21" customHeight="1" x14ac:dyDescent="0.25">
      <c r="A4286" s="14">
        <f>DATE(2012,12,31)-401</f>
        <v>40873</v>
      </c>
      <c r="B4286" s="15" t="s">
        <v>2159</v>
      </c>
      <c r="C4286" s="15" t="s">
        <v>51</v>
      </c>
      <c r="D4286" s="16">
        <v>23</v>
      </c>
      <c r="E4286" s="17">
        <v>262.31</v>
      </c>
      <c r="F4286" s="16">
        <v>0.04</v>
      </c>
      <c r="G4286" s="15" t="s">
        <v>101</v>
      </c>
      <c r="H4286" s="18">
        <v>27.55</v>
      </c>
      <c r="I4286" s="19">
        <v>11.09</v>
      </c>
      <c r="J4286" s="19">
        <v>5.25</v>
      </c>
      <c r="K4286" s="19" t="s">
        <v>124</v>
      </c>
      <c r="L4286" s="19" t="s">
        <v>125</v>
      </c>
      <c r="M4286" s="15" t="s">
        <v>2048</v>
      </c>
      <c r="N4286" s="15" t="s">
        <v>36</v>
      </c>
      <c r="O4286" s="15" t="s">
        <v>189</v>
      </c>
      <c r="P4286" s="20" t="s">
        <v>505</v>
      </c>
      <c r="Q4286" s="15" t="s">
        <v>83</v>
      </c>
      <c r="R4286" s="4"/>
      <c r="S4286" s="4"/>
    </row>
    <row r="4287" spans="1:19" ht="21" customHeight="1" x14ac:dyDescent="0.25">
      <c r="A4287" s="14">
        <f>DATE(2012,12,31)-401</f>
        <v>40873</v>
      </c>
      <c r="B4287" s="15" t="s">
        <v>2159</v>
      </c>
      <c r="C4287" s="15" t="s">
        <v>51</v>
      </c>
      <c r="D4287" s="16">
        <v>45</v>
      </c>
      <c r="E4287" s="17">
        <v>514.03</v>
      </c>
      <c r="F4287" s="16">
        <v>0.05</v>
      </c>
      <c r="G4287" s="15" t="s">
        <v>32</v>
      </c>
      <c r="H4287" s="18">
        <v>82.19</v>
      </c>
      <c r="I4287" s="19">
        <v>11.34</v>
      </c>
      <c r="J4287" s="19">
        <v>5.01</v>
      </c>
      <c r="K4287" s="19" t="s">
        <v>44</v>
      </c>
      <c r="L4287" s="19" t="s">
        <v>52</v>
      </c>
      <c r="M4287" s="15" t="s">
        <v>2148</v>
      </c>
      <c r="N4287" s="15" t="s">
        <v>36</v>
      </c>
      <c r="O4287" s="15" t="s">
        <v>117</v>
      </c>
      <c r="P4287" s="20" t="s">
        <v>1425</v>
      </c>
      <c r="Q4287" s="15" t="s">
        <v>83</v>
      </c>
      <c r="R4287" s="4"/>
      <c r="S4287" s="4"/>
    </row>
    <row r="4288" spans="1:19" ht="21" customHeight="1" x14ac:dyDescent="0.25">
      <c r="A4288" s="14">
        <f>DATE(2012,12,31)-401</f>
        <v>40873</v>
      </c>
      <c r="B4288" s="15" t="s">
        <v>2159</v>
      </c>
      <c r="C4288" s="15" t="s">
        <v>51</v>
      </c>
      <c r="D4288" s="16">
        <v>9</v>
      </c>
      <c r="E4288" s="17">
        <v>1696.7</v>
      </c>
      <c r="F4288" s="16">
        <v>0.04</v>
      </c>
      <c r="G4288" s="15" t="s">
        <v>58</v>
      </c>
      <c r="H4288" s="18">
        <v>-82.81</v>
      </c>
      <c r="I4288" s="19">
        <v>180.98</v>
      </c>
      <c r="J4288" s="19">
        <v>23.58</v>
      </c>
      <c r="K4288" s="19" t="s">
        <v>69</v>
      </c>
      <c r="L4288" s="19" t="s">
        <v>75</v>
      </c>
      <c r="M4288" s="15" t="s">
        <v>1980</v>
      </c>
      <c r="N4288" s="15" t="s">
        <v>54</v>
      </c>
      <c r="O4288" s="15" t="s">
        <v>134</v>
      </c>
      <c r="P4288" s="20" t="s">
        <v>1257</v>
      </c>
      <c r="Q4288" s="15" t="s">
        <v>63</v>
      </c>
      <c r="R4288" s="4"/>
      <c r="S4288" s="4"/>
    </row>
    <row r="4289" spans="1:19" ht="21" customHeight="1" x14ac:dyDescent="0.25">
      <c r="A4289" s="14">
        <f>DATE(2012,12,31)-1404</f>
        <v>39870</v>
      </c>
      <c r="B4289" s="15" t="s">
        <v>307</v>
      </c>
      <c r="C4289" s="15" t="s">
        <v>85</v>
      </c>
      <c r="D4289" s="16">
        <v>20</v>
      </c>
      <c r="E4289" s="17">
        <v>606.39850000000001</v>
      </c>
      <c r="F4289" s="16">
        <v>0.09</v>
      </c>
      <c r="G4289" s="15" t="s">
        <v>32</v>
      </c>
      <c r="H4289" s="18">
        <v>126.12599999999999</v>
      </c>
      <c r="I4289" s="19">
        <v>35.99</v>
      </c>
      <c r="J4289" s="19">
        <v>5.99</v>
      </c>
      <c r="K4289" s="19" t="s">
        <v>69</v>
      </c>
      <c r="L4289" s="19" t="s">
        <v>70</v>
      </c>
      <c r="M4289" s="15" t="s">
        <v>1895</v>
      </c>
      <c r="N4289" s="15" t="s">
        <v>64</v>
      </c>
      <c r="O4289" s="15" t="s">
        <v>65</v>
      </c>
      <c r="P4289" s="20" t="s">
        <v>1577</v>
      </c>
      <c r="Q4289" s="15" t="s">
        <v>79</v>
      </c>
      <c r="R4289" s="4"/>
      <c r="S4289" s="4"/>
    </row>
    <row r="4290" spans="1:19" ht="21" customHeight="1" x14ac:dyDescent="0.25">
      <c r="A4290" s="14">
        <f>DATE(2012,12,31)-524</f>
        <v>40750</v>
      </c>
      <c r="B4290" s="15" t="s">
        <v>119</v>
      </c>
      <c r="C4290" s="15" t="s">
        <v>85</v>
      </c>
      <c r="D4290" s="16">
        <v>32</v>
      </c>
      <c r="E4290" s="17">
        <v>1785.02</v>
      </c>
      <c r="F4290" s="16">
        <v>0.04</v>
      </c>
      <c r="G4290" s="15" t="s">
        <v>101</v>
      </c>
      <c r="H4290" s="18">
        <v>52.66</v>
      </c>
      <c r="I4290" s="19">
        <v>55.94</v>
      </c>
      <c r="J4290" s="19">
        <v>4</v>
      </c>
      <c r="K4290" s="19" t="s">
        <v>69</v>
      </c>
      <c r="L4290" s="19" t="s">
        <v>75</v>
      </c>
      <c r="M4290" s="15" t="s">
        <v>1980</v>
      </c>
      <c r="N4290" s="15" t="s">
        <v>64</v>
      </c>
      <c r="O4290" s="15" t="s">
        <v>72</v>
      </c>
      <c r="P4290" s="20" t="s">
        <v>702</v>
      </c>
      <c r="Q4290" s="15" t="s">
        <v>83</v>
      </c>
      <c r="R4290" s="4"/>
      <c r="S4290" s="4"/>
    </row>
    <row r="4291" spans="1:19" ht="21" customHeight="1" x14ac:dyDescent="0.25">
      <c r="A4291" s="14">
        <f>DATE(2012,12,31)-549</f>
        <v>40725</v>
      </c>
      <c r="B4291" s="15" t="s">
        <v>1812</v>
      </c>
      <c r="C4291" s="15" t="s">
        <v>31</v>
      </c>
      <c r="D4291" s="16">
        <v>34</v>
      </c>
      <c r="E4291" s="17">
        <v>225.45</v>
      </c>
      <c r="F4291" s="16">
        <v>0.02</v>
      </c>
      <c r="G4291" s="15" t="s">
        <v>32</v>
      </c>
      <c r="H4291" s="18">
        <v>-193.39</v>
      </c>
      <c r="I4291" s="19">
        <v>6.48</v>
      </c>
      <c r="J4291" s="19">
        <v>9.5399999999999991</v>
      </c>
      <c r="K4291" s="19" t="s">
        <v>33</v>
      </c>
      <c r="L4291" s="19" t="s">
        <v>128</v>
      </c>
      <c r="M4291" s="15" t="s">
        <v>129</v>
      </c>
      <c r="N4291" s="15" t="s">
        <v>36</v>
      </c>
      <c r="O4291" s="15" t="s">
        <v>117</v>
      </c>
      <c r="P4291" s="20" t="s">
        <v>684</v>
      </c>
      <c r="Q4291" s="15" t="s">
        <v>83</v>
      </c>
      <c r="R4291" s="4"/>
      <c r="S4291" s="4"/>
    </row>
    <row r="4292" spans="1:19" ht="21" customHeight="1" x14ac:dyDescent="0.25">
      <c r="A4292" s="14">
        <f>DATE(2012,12,31)-1447</f>
        <v>39827</v>
      </c>
      <c r="B4292" s="15" t="s">
        <v>325</v>
      </c>
      <c r="C4292" s="15" t="s">
        <v>43</v>
      </c>
      <c r="D4292" s="16">
        <v>14</v>
      </c>
      <c r="E4292" s="17">
        <v>2690.84</v>
      </c>
      <c r="F4292" s="16">
        <v>0.1</v>
      </c>
      <c r="G4292" s="15" t="s">
        <v>58</v>
      </c>
      <c r="H4292" s="18">
        <v>-368.02</v>
      </c>
      <c r="I4292" s="19">
        <v>208.16</v>
      </c>
      <c r="J4292" s="19">
        <v>68.02</v>
      </c>
      <c r="K4292" s="19" t="s">
        <v>44</v>
      </c>
      <c r="L4292" s="19" t="s">
        <v>52</v>
      </c>
      <c r="M4292" s="15" t="s">
        <v>2148</v>
      </c>
      <c r="N4292" s="15" t="s">
        <v>36</v>
      </c>
      <c r="O4292" s="15" t="s">
        <v>176</v>
      </c>
      <c r="P4292" s="20" t="s">
        <v>192</v>
      </c>
      <c r="Q4292" s="15" t="s">
        <v>181</v>
      </c>
      <c r="R4292" s="4"/>
      <c r="S4292" s="4"/>
    </row>
    <row r="4293" spans="1:19" ht="21" customHeight="1" x14ac:dyDescent="0.25">
      <c r="A4293" s="14">
        <f>DATE(2012,12,31)-1447</f>
        <v>39827</v>
      </c>
      <c r="B4293" s="15" t="s">
        <v>325</v>
      </c>
      <c r="C4293" s="15" t="s">
        <v>43</v>
      </c>
      <c r="D4293" s="16">
        <v>8</v>
      </c>
      <c r="E4293" s="17">
        <v>733.55</v>
      </c>
      <c r="F4293" s="16">
        <v>7.0000000000000007E-2</v>
      </c>
      <c r="G4293" s="15" t="s">
        <v>32</v>
      </c>
      <c r="H4293" s="18">
        <v>103.13</v>
      </c>
      <c r="I4293" s="19">
        <v>90.48</v>
      </c>
      <c r="J4293" s="19">
        <v>19.989999999999998</v>
      </c>
      <c r="K4293" s="19" t="s">
        <v>44</v>
      </c>
      <c r="L4293" s="19" t="s">
        <v>52</v>
      </c>
      <c r="M4293" s="15" t="s">
        <v>2148</v>
      </c>
      <c r="N4293" s="15" t="s">
        <v>36</v>
      </c>
      <c r="O4293" s="15" t="s">
        <v>189</v>
      </c>
      <c r="P4293" s="20" t="s">
        <v>963</v>
      </c>
      <c r="Q4293" s="15" t="s">
        <v>83</v>
      </c>
      <c r="R4293" s="4"/>
      <c r="S4293" s="4"/>
    </row>
    <row r="4294" spans="1:19" ht="21" customHeight="1" x14ac:dyDescent="0.25">
      <c r="A4294" s="14">
        <f>DATE(2012,12,31)-1447</f>
        <v>39827</v>
      </c>
      <c r="B4294" s="15" t="s">
        <v>325</v>
      </c>
      <c r="C4294" s="15" t="s">
        <v>43</v>
      </c>
      <c r="D4294" s="16">
        <v>3</v>
      </c>
      <c r="E4294" s="17">
        <v>38.71</v>
      </c>
      <c r="F4294" s="16">
        <v>0.01</v>
      </c>
      <c r="G4294" s="15" t="s">
        <v>101</v>
      </c>
      <c r="H4294" s="18">
        <v>23</v>
      </c>
      <c r="I4294" s="19">
        <v>9.48</v>
      </c>
      <c r="J4294" s="19">
        <v>7.29</v>
      </c>
      <c r="K4294" s="19" t="s">
        <v>33</v>
      </c>
      <c r="L4294" s="19" t="s">
        <v>59</v>
      </c>
      <c r="M4294" s="15" t="s">
        <v>2091</v>
      </c>
      <c r="N4294" s="15" t="s">
        <v>54</v>
      </c>
      <c r="O4294" s="15" t="s">
        <v>55</v>
      </c>
      <c r="P4294" s="20" t="s">
        <v>798</v>
      </c>
      <c r="Q4294" s="15" t="s">
        <v>49</v>
      </c>
      <c r="R4294" s="4"/>
      <c r="S4294" s="4"/>
    </row>
    <row r="4295" spans="1:19" ht="21" customHeight="1" x14ac:dyDescent="0.25">
      <c r="A4295" s="14">
        <f>DATE(2012,12,31)-1447</f>
        <v>39827</v>
      </c>
      <c r="B4295" s="15" t="s">
        <v>325</v>
      </c>
      <c r="C4295" s="15" t="s">
        <v>43</v>
      </c>
      <c r="D4295" s="16">
        <v>14</v>
      </c>
      <c r="E4295" s="17">
        <v>62.6</v>
      </c>
      <c r="F4295" s="16">
        <v>0.02</v>
      </c>
      <c r="G4295" s="15" t="s">
        <v>32</v>
      </c>
      <c r="H4295" s="18">
        <v>7.32</v>
      </c>
      <c r="I4295" s="19">
        <v>4.28</v>
      </c>
      <c r="J4295" s="19">
        <v>0.94</v>
      </c>
      <c r="K4295" s="19" t="s">
        <v>33</v>
      </c>
      <c r="L4295" s="19" t="s">
        <v>145</v>
      </c>
      <c r="M4295" s="15" t="s">
        <v>2140</v>
      </c>
      <c r="N4295" s="15" t="s">
        <v>36</v>
      </c>
      <c r="O4295" s="15" t="s">
        <v>77</v>
      </c>
      <c r="P4295" s="20" t="s">
        <v>600</v>
      </c>
      <c r="Q4295" s="15" t="s">
        <v>79</v>
      </c>
      <c r="R4295" s="4"/>
      <c r="S4295" s="4"/>
    </row>
    <row r="4296" spans="1:19" ht="21" customHeight="1" x14ac:dyDescent="0.25">
      <c r="A4296" s="14">
        <f>DATE(2012,12,31)-525</f>
        <v>40749</v>
      </c>
      <c r="B4296" s="15" t="s">
        <v>1270</v>
      </c>
      <c r="C4296" s="15" t="s">
        <v>85</v>
      </c>
      <c r="D4296" s="16">
        <v>20</v>
      </c>
      <c r="E4296" s="17">
        <v>97.65</v>
      </c>
      <c r="F4296" s="16">
        <v>0.04</v>
      </c>
      <c r="G4296" s="15" t="s">
        <v>101</v>
      </c>
      <c r="H4296" s="18">
        <v>-90.07</v>
      </c>
      <c r="I4296" s="19">
        <v>4.18</v>
      </c>
      <c r="J4296" s="19">
        <v>6.92</v>
      </c>
      <c r="K4296" s="19" t="s">
        <v>69</v>
      </c>
      <c r="L4296" s="19" t="s">
        <v>70</v>
      </c>
      <c r="M4296" s="15" t="s">
        <v>1895</v>
      </c>
      <c r="N4296" s="15" t="s">
        <v>54</v>
      </c>
      <c r="O4296" s="15" t="s">
        <v>55</v>
      </c>
      <c r="P4296" s="20" t="s">
        <v>1744</v>
      </c>
      <c r="Q4296" s="15" t="s">
        <v>83</v>
      </c>
      <c r="R4296" s="4"/>
      <c r="S4296" s="4"/>
    </row>
    <row r="4297" spans="1:19" ht="21" customHeight="1" x14ac:dyDescent="0.25">
      <c r="A4297" s="14">
        <f>DATE(2012,12,31)-525</f>
        <v>40749</v>
      </c>
      <c r="B4297" s="15" t="s">
        <v>1270</v>
      </c>
      <c r="C4297" s="15" t="s">
        <v>85</v>
      </c>
      <c r="D4297" s="16">
        <v>41</v>
      </c>
      <c r="E4297" s="17">
        <v>1408.34</v>
      </c>
      <c r="F4297" s="16">
        <v>0.06</v>
      </c>
      <c r="G4297" s="15" t="s">
        <v>32</v>
      </c>
      <c r="H4297" s="18">
        <v>176.63</v>
      </c>
      <c r="I4297" s="19">
        <v>34.58</v>
      </c>
      <c r="J4297" s="19">
        <v>8.99</v>
      </c>
      <c r="K4297" s="19" t="s">
        <v>69</v>
      </c>
      <c r="L4297" s="19" t="s">
        <v>70</v>
      </c>
      <c r="M4297" s="15" t="s">
        <v>1895</v>
      </c>
      <c r="N4297" s="15" t="s">
        <v>36</v>
      </c>
      <c r="O4297" s="15" t="s">
        <v>77</v>
      </c>
      <c r="P4297" s="20" t="s">
        <v>241</v>
      </c>
      <c r="Q4297" s="15" t="s">
        <v>49</v>
      </c>
      <c r="R4297" s="4"/>
      <c r="S4297" s="4"/>
    </row>
    <row r="4298" spans="1:19" ht="21" customHeight="1" x14ac:dyDescent="0.25">
      <c r="A4298" s="14">
        <f>DATE(2012,12,31)-148</f>
        <v>41126</v>
      </c>
      <c r="B4298" s="15" t="s">
        <v>1310</v>
      </c>
      <c r="C4298" s="15" t="s">
        <v>51</v>
      </c>
      <c r="D4298" s="16">
        <v>18</v>
      </c>
      <c r="E4298" s="17">
        <v>93.02</v>
      </c>
      <c r="F4298" s="16">
        <v>7.0000000000000007E-2</v>
      </c>
      <c r="G4298" s="15" t="s">
        <v>32</v>
      </c>
      <c r="H4298" s="18">
        <v>20.010000000000002</v>
      </c>
      <c r="I4298" s="19">
        <v>5.08</v>
      </c>
      <c r="J4298" s="19">
        <v>2.0299999999999998</v>
      </c>
      <c r="K4298" s="19" t="s">
        <v>111</v>
      </c>
      <c r="L4298" s="19" t="s">
        <v>407</v>
      </c>
      <c r="M4298" s="15" t="s">
        <v>407</v>
      </c>
      <c r="N4298" s="15" t="s">
        <v>54</v>
      </c>
      <c r="O4298" s="15" t="s">
        <v>55</v>
      </c>
      <c r="P4298" s="20" t="s">
        <v>1126</v>
      </c>
      <c r="Q4298" s="15" t="s">
        <v>79</v>
      </c>
      <c r="R4298" s="4"/>
      <c r="S4298" s="4"/>
    </row>
    <row r="4299" spans="1:19" ht="21" customHeight="1" x14ac:dyDescent="0.25">
      <c r="A4299" s="14">
        <f>DATE(2012,12,31)-148</f>
        <v>41126</v>
      </c>
      <c r="B4299" s="15" t="s">
        <v>1310</v>
      </c>
      <c r="C4299" s="15" t="s">
        <v>51</v>
      </c>
      <c r="D4299" s="16">
        <v>42</v>
      </c>
      <c r="E4299" s="17">
        <v>639.84</v>
      </c>
      <c r="F4299" s="16">
        <v>0.03</v>
      </c>
      <c r="G4299" s="15" t="s">
        <v>32</v>
      </c>
      <c r="H4299" s="18">
        <v>-95.76</v>
      </c>
      <c r="I4299" s="19">
        <v>15.14</v>
      </c>
      <c r="J4299" s="19">
        <v>4.53</v>
      </c>
      <c r="K4299" s="19" t="s">
        <v>44</v>
      </c>
      <c r="L4299" s="19" t="s">
        <v>89</v>
      </c>
      <c r="M4299" s="15" t="s">
        <v>1932</v>
      </c>
      <c r="N4299" s="15" t="s">
        <v>36</v>
      </c>
      <c r="O4299" s="15" t="s">
        <v>37</v>
      </c>
      <c r="P4299" s="20" t="s">
        <v>795</v>
      </c>
      <c r="Q4299" s="15" t="s">
        <v>83</v>
      </c>
      <c r="R4299" s="4"/>
      <c r="S4299" s="4"/>
    </row>
    <row r="4300" spans="1:19" ht="21" customHeight="1" x14ac:dyDescent="0.25">
      <c r="A4300" s="14">
        <f>DATE(2012,12,31)-325</f>
        <v>40949</v>
      </c>
      <c r="B4300" s="15" t="s">
        <v>1134</v>
      </c>
      <c r="C4300" s="15" t="s">
        <v>43</v>
      </c>
      <c r="D4300" s="16">
        <v>23</v>
      </c>
      <c r="E4300" s="17">
        <v>105.93</v>
      </c>
      <c r="F4300" s="16">
        <v>0.05</v>
      </c>
      <c r="G4300" s="15" t="s">
        <v>32</v>
      </c>
      <c r="H4300" s="18">
        <v>33.47</v>
      </c>
      <c r="I4300" s="19">
        <v>4.76</v>
      </c>
      <c r="J4300" s="19">
        <v>0.88</v>
      </c>
      <c r="K4300" s="19" t="s">
        <v>44</v>
      </c>
      <c r="L4300" s="19" t="s">
        <v>120</v>
      </c>
      <c r="M4300" s="15" t="s">
        <v>2025</v>
      </c>
      <c r="N4300" s="15" t="s">
        <v>36</v>
      </c>
      <c r="O4300" s="15" t="s">
        <v>117</v>
      </c>
      <c r="P4300" s="20" t="s">
        <v>599</v>
      </c>
      <c r="Q4300" s="15" t="s">
        <v>79</v>
      </c>
      <c r="R4300" s="4"/>
      <c r="S4300" s="4"/>
    </row>
    <row r="4301" spans="1:19" ht="21" customHeight="1" x14ac:dyDescent="0.25">
      <c r="A4301" s="14">
        <f>DATE(2012,12,31)-1057</f>
        <v>40217</v>
      </c>
      <c r="B4301" s="15" t="s">
        <v>1518</v>
      </c>
      <c r="C4301" s="15" t="s">
        <v>85</v>
      </c>
      <c r="D4301" s="16">
        <v>37</v>
      </c>
      <c r="E4301" s="17">
        <v>478.94</v>
      </c>
      <c r="F4301" s="16">
        <v>0.04</v>
      </c>
      <c r="G4301" s="15" t="s">
        <v>32</v>
      </c>
      <c r="H4301" s="18">
        <v>10.557</v>
      </c>
      <c r="I4301" s="19">
        <v>12.53</v>
      </c>
      <c r="J4301" s="19">
        <v>7.17</v>
      </c>
      <c r="K4301" s="19" t="s">
        <v>44</v>
      </c>
      <c r="L4301" s="19" t="s">
        <v>89</v>
      </c>
      <c r="M4301" s="15" t="s">
        <v>1932</v>
      </c>
      <c r="N4301" s="15" t="s">
        <v>36</v>
      </c>
      <c r="O4301" s="15" t="s">
        <v>170</v>
      </c>
      <c r="P4301" s="20" t="s">
        <v>332</v>
      </c>
      <c r="Q4301" s="15" t="s">
        <v>83</v>
      </c>
      <c r="R4301" s="4"/>
      <c r="S4301" s="4"/>
    </row>
    <row r="4302" spans="1:19" ht="21" customHeight="1" x14ac:dyDescent="0.25">
      <c r="A4302" s="14">
        <f>DATE(2012,12,31)-1057</f>
        <v>40217</v>
      </c>
      <c r="B4302" s="15" t="s">
        <v>1518</v>
      </c>
      <c r="C4302" s="15" t="s">
        <v>85</v>
      </c>
      <c r="D4302" s="16">
        <v>24</v>
      </c>
      <c r="E4302" s="17">
        <v>2429.09</v>
      </c>
      <c r="F4302" s="16">
        <v>0.06</v>
      </c>
      <c r="G4302" s="15" t="s">
        <v>101</v>
      </c>
      <c r="H4302" s="18">
        <v>-20.67</v>
      </c>
      <c r="I4302" s="19">
        <v>105.29</v>
      </c>
      <c r="J4302" s="19">
        <v>10.119999999999999</v>
      </c>
      <c r="K4302" s="19" t="s">
        <v>44</v>
      </c>
      <c r="L4302" s="19" t="s">
        <v>89</v>
      </c>
      <c r="M4302" s="15" t="s">
        <v>1932</v>
      </c>
      <c r="N4302" s="15" t="s">
        <v>54</v>
      </c>
      <c r="O4302" s="15" t="s">
        <v>55</v>
      </c>
      <c r="P4302" s="20" t="s">
        <v>430</v>
      </c>
      <c r="Q4302" s="15" t="s">
        <v>39</v>
      </c>
      <c r="R4302" s="4"/>
      <c r="S4302" s="4"/>
    </row>
    <row r="4303" spans="1:19" ht="21" customHeight="1" x14ac:dyDescent="0.25">
      <c r="A4303" s="14">
        <f>DATE(2012,12,31)-616</f>
        <v>40658</v>
      </c>
      <c r="B4303" s="15" t="s">
        <v>1166</v>
      </c>
      <c r="C4303" s="15" t="s">
        <v>85</v>
      </c>
      <c r="D4303" s="16">
        <v>23</v>
      </c>
      <c r="E4303" s="17">
        <v>220.82</v>
      </c>
      <c r="F4303" s="16">
        <v>0.1</v>
      </c>
      <c r="G4303" s="15" t="s">
        <v>101</v>
      </c>
      <c r="H4303" s="18">
        <v>77.680000000000007</v>
      </c>
      <c r="I4303" s="19">
        <v>9.93</v>
      </c>
      <c r="J4303" s="19">
        <v>1.0900000000000001</v>
      </c>
      <c r="K4303" s="19" t="s">
        <v>33</v>
      </c>
      <c r="L4303" s="19" t="s">
        <v>93</v>
      </c>
      <c r="M4303" s="15" t="s">
        <v>94</v>
      </c>
      <c r="N4303" s="15" t="s">
        <v>36</v>
      </c>
      <c r="O4303" s="15" t="s">
        <v>77</v>
      </c>
      <c r="P4303" s="20" t="s">
        <v>366</v>
      </c>
      <c r="Q4303" s="15" t="s">
        <v>79</v>
      </c>
      <c r="R4303" s="4"/>
      <c r="S4303" s="4"/>
    </row>
    <row r="4304" spans="1:19" ht="21" customHeight="1" x14ac:dyDescent="0.25">
      <c r="A4304" s="14">
        <f>DATE(2012,12,31)-601</f>
        <v>40673</v>
      </c>
      <c r="B4304" s="15" t="s">
        <v>2160</v>
      </c>
      <c r="C4304" s="15" t="s">
        <v>51</v>
      </c>
      <c r="D4304" s="16">
        <v>6</v>
      </c>
      <c r="E4304" s="17">
        <v>273.38</v>
      </c>
      <c r="F4304" s="16">
        <v>0.06</v>
      </c>
      <c r="G4304" s="15" t="s">
        <v>101</v>
      </c>
      <c r="H4304" s="18">
        <v>-170.91</v>
      </c>
      <c r="I4304" s="19">
        <v>43.22</v>
      </c>
      <c r="J4304" s="19">
        <v>16.71</v>
      </c>
      <c r="K4304" s="19" t="s">
        <v>33</v>
      </c>
      <c r="L4304" s="19" t="s">
        <v>93</v>
      </c>
      <c r="M4304" s="15" t="s">
        <v>94</v>
      </c>
      <c r="N4304" s="15" t="s">
        <v>64</v>
      </c>
      <c r="O4304" s="15" t="s">
        <v>72</v>
      </c>
      <c r="P4304" s="20" t="s">
        <v>1446</v>
      </c>
      <c r="Q4304" s="15" t="s">
        <v>83</v>
      </c>
      <c r="R4304" s="4"/>
      <c r="S4304" s="4"/>
    </row>
    <row r="4305" spans="1:19" ht="21" customHeight="1" x14ac:dyDescent="0.25">
      <c r="A4305" s="14">
        <f>DATE(2012,12,31)-601</f>
        <v>40673</v>
      </c>
      <c r="B4305" s="15" t="s">
        <v>2160</v>
      </c>
      <c r="C4305" s="15" t="s">
        <v>51</v>
      </c>
      <c r="D4305" s="16">
        <v>8</v>
      </c>
      <c r="E4305" s="17">
        <v>179.66</v>
      </c>
      <c r="F4305" s="16">
        <v>0.01</v>
      </c>
      <c r="G4305" s="15" t="s">
        <v>32</v>
      </c>
      <c r="H4305" s="18">
        <v>-1.7299999999999827</v>
      </c>
      <c r="I4305" s="19">
        <v>22.24</v>
      </c>
      <c r="J4305" s="19">
        <v>1.99</v>
      </c>
      <c r="K4305" s="19" t="s">
        <v>97</v>
      </c>
      <c r="L4305" s="19" t="s">
        <v>98</v>
      </c>
      <c r="M4305" s="15" t="s">
        <v>2161</v>
      </c>
      <c r="N4305" s="15" t="s">
        <v>64</v>
      </c>
      <c r="O4305" s="15" t="s">
        <v>72</v>
      </c>
      <c r="P4305" s="20" t="s">
        <v>1401</v>
      </c>
      <c r="Q4305" s="15" t="s">
        <v>49</v>
      </c>
      <c r="R4305" s="4"/>
      <c r="S4305" s="4"/>
    </row>
    <row r="4306" spans="1:19" ht="21" customHeight="1" x14ac:dyDescent="0.25">
      <c r="A4306" s="14">
        <f>DATE(2012,12,31)-646</f>
        <v>40628</v>
      </c>
      <c r="B4306" s="15" t="s">
        <v>2082</v>
      </c>
      <c r="C4306" s="15" t="s">
        <v>85</v>
      </c>
      <c r="D4306" s="16">
        <v>35</v>
      </c>
      <c r="E4306" s="17">
        <v>17387.650000000001</v>
      </c>
      <c r="F4306" s="16">
        <v>0.08</v>
      </c>
      <c r="G4306" s="15" t="s">
        <v>32</v>
      </c>
      <c r="H4306" s="18">
        <v>6907.6130000000003</v>
      </c>
      <c r="I4306" s="19">
        <v>499.99</v>
      </c>
      <c r="J4306" s="19">
        <v>24.49</v>
      </c>
      <c r="K4306" s="19" t="s">
        <v>97</v>
      </c>
      <c r="L4306" s="19" t="s">
        <v>98</v>
      </c>
      <c r="M4306" s="15" t="s">
        <v>2161</v>
      </c>
      <c r="N4306" s="15" t="s">
        <v>64</v>
      </c>
      <c r="O4306" s="15" t="s">
        <v>460</v>
      </c>
      <c r="P4306" s="20" t="s">
        <v>1118</v>
      </c>
      <c r="Q4306" s="15" t="s">
        <v>39</v>
      </c>
      <c r="R4306" s="4"/>
      <c r="S4306" s="4"/>
    </row>
    <row r="4307" spans="1:19" ht="21" customHeight="1" x14ac:dyDescent="0.25">
      <c r="A4307" s="14">
        <f>DATE(2012,12,31)-646</f>
        <v>40628</v>
      </c>
      <c r="B4307" s="15" t="s">
        <v>2082</v>
      </c>
      <c r="C4307" s="15" t="s">
        <v>85</v>
      </c>
      <c r="D4307" s="16">
        <v>44</v>
      </c>
      <c r="E4307" s="17">
        <v>6040.22</v>
      </c>
      <c r="F4307" s="16">
        <v>0.05</v>
      </c>
      <c r="G4307" s="15" t="s">
        <v>32</v>
      </c>
      <c r="H4307" s="18">
        <v>-942.5</v>
      </c>
      <c r="I4307" s="19">
        <v>138.13999999999999</v>
      </c>
      <c r="J4307" s="19">
        <v>35</v>
      </c>
      <c r="K4307" s="19" t="s">
        <v>124</v>
      </c>
      <c r="L4307" s="19" t="s">
        <v>160</v>
      </c>
      <c r="M4307" s="15" t="s">
        <v>1951</v>
      </c>
      <c r="N4307" s="15" t="s">
        <v>36</v>
      </c>
      <c r="O4307" s="15" t="s">
        <v>37</v>
      </c>
      <c r="P4307" s="20" t="s">
        <v>285</v>
      </c>
      <c r="Q4307" s="15" t="s">
        <v>39</v>
      </c>
      <c r="R4307" s="4"/>
      <c r="S4307" s="4"/>
    </row>
    <row r="4308" spans="1:19" ht="21" customHeight="1" x14ac:dyDescent="0.25">
      <c r="A4308" s="14">
        <f>DATE(2012,12,31)-475</f>
        <v>40799</v>
      </c>
      <c r="B4308" s="15" t="s">
        <v>1040</v>
      </c>
      <c r="C4308" s="15" t="s">
        <v>85</v>
      </c>
      <c r="D4308" s="16">
        <v>45</v>
      </c>
      <c r="E4308" s="17">
        <v>3116.7714999999998</v>
      </c>
      <c r="F4308" s="16">
        <v>0.08</v>
      </c>
      <c r="G4308" s="15" t="s">
        <v>32</v>
      </c>
      <c r="H4308" s="18">
        <v>-106.51300000000001</v>
      </c>
      <c r="I4308" s="19">
        <v>85.99</v>
      </c>
      <c r="J4308" s="19">
        <v>0.99</v>
      </c>
      <c r="K4308" s="19" t="s">
        <v>124</v>
      </c>
      <c r="L4308" s="19" t="s">
        <v>160</v>
      </c>
      <c r="M4308" s="15" t="s">
        <v>1951</v>
      </c>
      <c r="N4308" s="15" t="s">
        <v>64</v>
      </c>
      <c r="O4308" s="15" t="s">
        <v>65</v>
      </c>
      <c r="P4308" s="20" t="s">
        <v>213</v>
      </c>
      <c r="Q4308" s="15" t="s">
        <v>79</v>
      </c>
      <c r="R4308" s="4"/>
      <c r="S4308" s="4"/>
    </row>
    <row r="4309" spans="1:19" ht="21" customHeight="1" x14ac:dyDescent="0.25">
      <c r="A4309" s="14">
        <f>DATE(2012,12,31)-117</f>
        <v>41157</v>
      </c>
      <c r="B4309" s="15" t="s">
        <v>1055</v>
      </c>
      <c r="C4309" s="15" t="s">
        <v>85</v>
      </c>
      <c r="D4309" s="16">
        <v>16</v>
      </c>
      <c r="E4309" s="17">
        <v>986.27199999999993</v>
      </c>
      <c r="F4309" s="16">
        <v>0.02</v>
      </c>
      <c r="G4309" s="15" t="s">
        <v>32</v>
      </c>
      <c r="H4309" s="18">
        <v>-647.13599999999997</v>
      </c>
      <c r="I4309" s="19">
        <v>71.37</v>
      </c>
      <c r="J4309" s="19">
        <v>69</v>
      </c>
      <c r="K4309" s="19" t="s">
        <v>124</v>
      </c>
      <c r="L4309" s="19" t="s">
        <v>160</v>
      </c>
      <c r="M4309" s="15" t="s">
        <v>1951</v>
      </c>
      <c r="N4309" s="15" t="s">
        <v>54</v>
      </c>
      <c r="O4309" s="15" t="s">
        <v>61</v>
      </c>
      <c r="P4309" s="20" t="s">
        <v>399</v>
      </c>
      <c r="Q4309" s="15" t="s">
        <v>39</v>
      </c>
      <c r="R4309" s="4"/>
      <c r="S4309" s="4"/>
    </row>
    <row r="4310" spans="1:19" ht="21" customHeight="1" x14ac:dyDescent="0.25">
      <c r="A4310" s="14">
        <f>DATE(2012,12,31)-95</f>
        <v>41179</v>
      </c>
      <c r="B4310" s="15" t="s">
        <v>683</v>
      </c>
      <c r="C4310" s="15" t="s">
        <v>31</v>
      </c>
      <c r="D4310" s="16">
        <v>5</v>
      </c>
      <c r="E4310" s="17">
        <v>32.770000000000003</v>
      </c>
      <c r="F4310" s="16">
        <v>7.0000000000000007E-2</v>
      </c>
      <c r="G4310" s="15" t="s">
        <v>32</v>
      </c>
      <c r="H4310" s="18">
        <v>-17.192499999999999</v>
      </c>
      <c r="I4310" s="19">
        <v>5.74</v>
      </c>
      <c r="J4310" s="19">
        <v>5.01</v>
      </c>
      <c r="K4310" s="19" t="s">
        <v>124</v>
      </c>
      <c r="L4310" s="19" t="s">
        <v>158</v>
      </c>
      <c r="M4310" s="15" t="s">
        <v>158</v>
      </c>
      <c r="N4310" s="15" t="s">
        <v>36</v>
      </c>
      <c r="O4310" s="15" t="s">
        <v>170</v>
      </c>
      <c r="P4310" s="20" t="s">
        <v>834</v>
      </c>
      <c r="Q4310" s="15" t="s">
        <v>83</v>
      </c>
      <c r="R4310" s="4"/>
      <c r="S4310" s="4"/>
    </row>
    <row r="4311" spans="1:19" ht="21" customHeight="1" x14ac:dyDescent="0.25">
      <c r="A4311" s="14">
        <f>DATE(2012,12,31)-95</f>
        <v>41179</v>
      </c>
      <c r="B4311" s="15" t="s">
        <v>683</v>
      </c>
      <c r="C4311" s="15" t="s">
        <v>31</v>
      </c>
      <c r="D4311" s="16">
        <v>37</v>
      </c>
      <c r="E4311" s="17">
        <v>1701.53</v>
      </c>
      <c r="F4311" s="16">
        <v>0.01</v>
      </c>
      <c r="G4311" s="15" t="s">
        <v>101</v>
      </c>
      <c r="H4311" s="18">
        <v>735.99</v>
      </c>
      <c r="I4311" s="19">
        <v>43.98</v>
      </c>
      <c r="J4311" s="19">
        <v>1.99</v>
      </c>
      <c r="K4311" s="19" t="s">
        <v>44</v>
      </c>
      <c r="L4311" s="19" t="s">
        <v>52</v>
      </c>
      <c r="M4311" s="15" t="s">
        <v>2148</v>
      </c>
      <c r="N4311" s="15" t="s">
        <v>64</v>
      </c>
      <c r="O4311" s="15" t="s">
        <v>72</v>
      </c>
      <c r="P4311" s="20" t="s">
        <v>1702</v>
      </c>
      <c r="Q4311" s="15" t="s">
        <v>49</v>
      </c>
      <c r="R4311" s="4"/>
      <c r="S4311" s="4"/>
    </row>
    <row r="4312" spans="1:19" ht="21" customHeight="1" x14ac:dyDescent="0.25">
      <c r="A4312" s="14">
        <f>DATE(2012,12,31)-95</f>
        <v>41179</v>
      </c>
      <c r="B4312" s="15" t="s">
        <v>683</v>
      </c>
      <c r="C4312" s="15" t="s">
        <v>31</v>
      </c>
      <c r="D4312" s="16">
        <v>27</v>
      </c>
      <c r="E4312" s="17">
        <v>2398.9</v>
      </c>
      <c r="F4312" s="16">
        <v>0.09</v>
      </c>
      <c r="G4312" s="15" t="s">
        <v>101</v>
      </c>
      <c r="H4312" s="18">
        <v>656.95</v>
      </c>
      <c r="I4312" s="19">
        <v>95.46</v>
      </c>
      <c r="J4312" s="19">
        <v>18.13</v>
      </c>
      <c r="K4312" s="19" t="s">
        <v>44</v>
      </c>
      <c r="L4312" s="19" t="s">
        <v>52</v>
      </c>
      <c r="M4312" s="15" t="s">
        <v>2148</v>
      </c>
      <c r="N4312" s="15" t="s">
        <v>54</v>
      </c>
      <c r="O4312" s="15" t="s">
        <v>55</v>
      </c>
      <c r="P4312" s="20" t="s">
        <v>2162</v>
      </c>
      <c r="Q4312" s="15" t="s">
        <v>39</v>
      </c>
      <c r="R4312" s="4"/>
      <c r="S4312" s="4"/>
    </row>
    <row r="4313" spans="1:19" ht="21" customHeight="1" x14ac:dyDescent="0.25">
      <c r="A4313" s="14">
        <f>DATE(2012,12,31)-1099</f>
        <v>40175</v>
      </c>
      <c r="B4313" s="15" t="s">
        <v>1077</v>
      </c>
      <c r="C4313" s="15" t="s">
        <v>85</v>
      </c>
      <c r="D4313" s="16">
        <v>39</v>
      </c>
      <c r="E4313" s="17">
        <v>16468.55</v>
      </c>
      <c r="F4313" s="16">
        <v>0.08</v>
      </c>
      <c r="G4313" s="15" t="s">
        <v>58</v>
      </c>
      <c r="H4313" s="18">
        <v>5638.75</v>
      </c>
      <c r="I4313" s="19">
        <v>449.99</v>
      </c>
      <c r="J4313" s="19">
        <v>49</v>
      </c>
      <c r="K4313" s="19" t="s">
        <v>44</v>
      </c>
      <c r="L4313" s="19" t="s">
        <v>52</v>
      </c>
      <c r="M4313" s="15" t="s">
        <v>2148</v>
      </c>
      <c r="N4313" s="15" t="s">
        <v>64</v>
      </c>
      <c r="O4313" s="15" t="s">
        <v>460</v>
      </c>
      <c r="P4313" s="20" t="s">
        <v>511</v>
      </c>
      <c r="Q4313" s="15" t="s">
        <v>181</v>
      </c>
      <c r="R4313" s="4"/>
      <c r="S4313" s="4"/>
    </row>
    <row r="4314" spans="1:19" ht="21" customHeight="1" x14ac:dyDescent="0.25">
      <c r="A4314" s="14">
        <f>DATE(2012,12,31)-1132</f>
        <v>40142</v>
      </c>
      <c r="B4314" s="15" t="s">
        <v>472</v>
      </c>
      <c r="C4314" s="15" t="s">
        <v>85</v>
      </c>
      <c r="D4314" s="16">
        <v>35</v>
      </c>
      <c r="E4314" s="17">
        <v>725.15</v>
      </c>
      <c r="F4314" s="16">
        <v>0.05</v>
      </c>
      <c r="G4314" s="15" t="s">
        <v>32</v>
      </c>
      <c r="H4314" s="18">
        <v>140.57</v>
      </c>
      <c r="I4314" s="19">
        <v>20.27</v>
      </c>
      <c r="J4314" s="19">
        <v>3.99</v>
      </c>
      <c r="K4314" s="19" t="s">
        <v>44</v>
      </c>
      <c r="L4314" s="19" t="s">
        <v>52</v>
      </c>
      <c r="M4314" s="15" t="s">
        <v>2148</v>
      </c>
      <c r="N4314" s="15" t="s">
        <v>36</v>
      </c>
      <c r="O4314" s="15" t="s">
        <v>176</v>
      </c>
      <c r="P4314" s="20" t="s">
        <v>2100</v>
      </c>
      <c r="Q4314" s="15" t="s">
        <v>83</v>
      </c>
      <c r="R4314" s="4"/>
      <c r="S4314" s="4"/>
    </row>
    <row r="4315" spans="1:19" ht="21" customHeight="1" x14ac:dyDescent="0.25">
      <c r="A4315" s="14">
        <f>DATE(2012,12,31)-159</f>
        <v>41115</v>
      </c>
      <c r="B4315" s="15" t="s">
        <v>322</v>
      </c>
      <c r="C4315" s="15" t="s">
        <v>85</v>
      </c>
      <c r="D4315" s="16">
        <v>28</v>
      </c>
      <c r="E4315" s="17">
        <v>1166.29</v>
      </c>
      <c r="F4315" s="16">
        <v>7.0000000000000007E-2</v>
      </c>
      <c r="G4315" s="15" t="s">
        <v>101</v>
      </c>
      <c r="H4315" s="18">
        <v>302.86</v>
      </c>
      <c r="I4315" s="19">
        <v>41.71</v>
      </c>
      <c r="J4315" s="19">
        <v>4.5</v>
      </c>
      <c r="K4315" s="19" t="s">
        <v>69</v>
      </c>
      <c r="L4315" s="19" t="s">
        <v>75</v>
      </c>
      <c r="M4315" s="15" t="s">
        <v>1980</v>
      </c>
      <c r="N4315" s="15" t="s">
        <v>36</v>
      </c>
      <c r="O4315" s="15" t="s">
        <v>176</v>
      </c>
      <c r="P4315" s="20" t="s">
        <v>2163</v>
      </c>
      <c r="Q4315" s="15" t="s">
        <v>83</v>
      </c>
      <c r="R4315" s="4"/>
      <c r="S4315" s="4"/>
    </row>
    <row r="4316" spans="1:19" ht="21" customHeight="1" x14ac:dyDescent="0.25">
      <c r="A4316" s="14">
        <f>DATE(2012,12,31)-767</f>
        <v>40507</v>
      </c>
      <c r="B4316" s="15" t="s">
        <v>1813</v>
      </c>
      <c r="C4316" s="15" t="s">
        <v>31</v>
      </c>
      <c r="D4316" s="16">
        <v>20</v>
      </c>
      <c r="E4316" s="17">
        <v>4108.17</v>
      </c>
      <c r="F4316" s="16">
        <v>0.09</v>
      </c>
      <c r="G4316" s="15" t="s">
        <v>32</v>
      </c>
      <c r="H4316" s="18">
        <v>-505.98447900000014</v>
      </c>
      <c r="I4316" s="19">
        <v>209.37</v>
      </c>
      <c r="J4316" s="19">
        <v>69</v>
      </c>
      <c r="K4316" s="19" t="s">
        <v>33</v>
      </c>
      <c r="L4316" s="19" t="s">
        <v>59</v>
      </c>
      <c r="M4316" s="15" t="s">
        <v>2091</v>
      </c>
      <c r="N4316" s="15" t="s">
        <v>54</v>
      </c>
      <c r="O4316" s="15" t="s">
        <v>61</v>
      </c>
      <c r="P4316" s="20" t="s">
        <v>1131</v>
      </c>
      <c r="Q4316" s="15" t="s">
        <v>39</v>
      </c>
      <c r="R4316" s="4"/>
      <c r="S4316" s="4"/>
    </row>
    <row r="4317" spans="1:19" ht="21" customHeight="1" x14ac:dyDescent="0.25">
      <c r="A4317" s="14">
        <f>DATE(2012,12,31)-736</f>
        <v>40538</v>
      </c>
      <c r="B4317" s="15" t="s">
        <v>1549</v>
      </c>
      <c r="C4317" s="15" t="s">
        <v>85</v>
      </c>
      <c r="D4317" s="16">
        <v>5</v>
      </c>
      <c r="E4317" s="17">
        <v>21.32</v>
      </c>
      <c r="F4317" s="16">
        <v>0.08</v>
      </c>
      <c r="G4317" s="15" t="s">
        <v>101</v>
      </c>
      <c r="H4317" s="18">
        <v>2.2000000000000002</v>
      </c>
      <c r="I4317" s="19">
        <v>3.38</v>
      </c>
      <c r="J4317" s="19">
        <v>0.85</v>
      </c>
      <c r="K4317" s="19" t="s">
        <v>33</v>
      </c>
      <c r="L4317" s="19" t="s">
        <v>93</v>
      </c>
      <c r="M4317" s="15" t="s">
        <v>94</v>
      </c>
      <c r="N4317" s="15" t="s">
        <v>36</v>
      </c>
      <c r="O4317" s="15" t="s">
        <v>77</v>
      </c>
      <c r="P4317" s="20" t="s">
        <v>1618</v>
      </c>
      <c r="Q4317" s="15" t="s">
        <v>79</v>
      </c>
      <c r="R4317" s="4"/>
      <c r="S4317" s="4"/>
    </row>
    <row r="4318" spans="1:19" ht="21" customHeight="1" x14ac:dyDescent="0.25">
      <c r="A4318" s="14">
        <f>DATE(2012,12,31)-736</f>
        <v>40538</v>
      </c>
      <c r="B4318" s="15" t="s">
        <v>1549</v>
      </c>
      <c r="C4318" s="15" t="s">
        <v>85</v>
      </c>
      <c r="D4318" s="16">
        <v>42</v>
      </c>
      <c r="E4318" s="17">
        <v>457.51</v>
      </c>
      <c r="F4318" s="16">
        <v>0.1</v>
      </c>
      <c r="G4318" s="15" t="s">
        <v>32</v>
      </c>
      <c r="H4318" s="18">
        <v>-183.75</v>
      </c>
      <c r="I4318" s="19">
        <v>11.66</v>
      </c>
      <c r="J4318" s="19">
        <v>7.95</v>
      </c>
      <c r="K4318" s="19" t="s">
        <v>33</v>
      </c>
      <c r="L4318" s="19" t="s">
        <v>93</v>
      </c>
      <c r="M4318" s="15" t="s">
        <v>94</v>
      </c>
      <c r="N4318" s="15" t="s">
        <v>36</v>
      </c>
      <c r="O4318" s="15" t="s">
        <v>77</v>
      </c>
      <c r="P4318" s="20" t="s">
        <v>1502</v>
      </c>
      <c r="Q4318" s="15" t="s">
        <v>49</v>
      </c>
      <c r="R4318" s="4"/>
      <c r="S4318" s="4"/>
    </row>
    <row r="4319" spans="1:19" ht="21" customHeight="1" x14ac:dyDescent="0.25">
      <c r="A4319" s="14">
        <f>DATE(2012,12,31)-1333</f>
        <v>39941</v>
      </c>
      <c r="B4319" s="15" t="s">
        <v>149</v>
      </c>
      <c r="C4319" s="15" t="s">
        <v>43</v>
      </c>
      <c r="D4319" s="16">
        <v>2</v>
      </c>
      <c r="E4319" s="17">
        <v>64.790000000000006</v>
      </c>
      <c r="F4319" s="16">
        <v>0.03</v>
      </c>
      <c r="G4319" s="15" t="s">
        <v>32</v>
      </c>
      <c r="H4319" s="18">
        <v>-41.32</v>
      </c>
      <c r="I4319" s="19">
        <v>29.34</v>
      </c>
      <c r="J4319" s="19">
        <v>7.87</v>
      </c>
      <c r="K4319" s="19" t="s">
        <v>33</v>
      </c>
      <c r="L4319" s="19" t="s">
        <v>145</v>
      </c>
      <c r="M4319" s="15" t="s">
        <v>2140</v>
      </c>
      <c r="N4319" s="15" t="s">
        <v>54</v>
      </c>
      <c r="O4319" s="15" t="s">
        <v>55</v>
      </c>
      <c r="P4319" s="20" t="s">
        <v>1638</v>
      </c>
      <c r="Q4319" s="15" t="s">
        <v>83</v>
      </c>
      <c r="R4319" s="4"/>
      <c r="S4319" s="4"/>
    </row>
    <row r="4320" spans="1:19" ht="21" customHeight="1" x14ac:dyDescent="0.25">
      <c r="A4320" s="14">
        <f>DATE(2012,12,31)-238</f>
        <v>41036</v>
      </c>
      <c r="B4320" s="15" t="s">
        <v>529</v>
      </c>
      <c r="C4320" s="15" t="s">
        <v>85</v>
      </c>
      <c r="D4320" s="16">
        <v>10</v>
      </c>
      <c r="E4320" s="17">
        <v>707.3</v>
      </c>
      <c r="F4320" s="16">
        <v>0.06</v>
      </c>
      <c r="G4320" s="15" t="s">
        <v>58</v>
      </c>
      <c r="H4320" s="18">
        <v>-127.94</v>
      </c>
      <c r="I4320" s="19">
        <v>70.98</v>
      </c>
      <c r="J4320" s="19">
        <v>26.74</v>
      </c>
      <c r="K4320" s="19" t="s">
        <v>124</v>
      </c>
      <c r="L4320" s="19" t="s">
        <v>160</v>
      </c>
      <c r="M4320" s="15" t="s">
        <v>1951</v>
      </c>
      <c r="N4320" s="15" t="s">
        <v>54</v>
      </c>
      <c r="O4320" s="15" t="s">
        <v>134</v>
      </c>
      <c r="P4320" s="20" t="s">
        <v>1236</v>
      </c>
      <c r="Q4320" s="15" t="s">
        <v>63</v>
      </c>
      <c r="R4320" s="4"/>
      <c r="S4320" s="4"/>
    </row>
    <row r="4321" spans="1:19" ht="21" customHeight="1" x14ac:dyDescent="0.25">
      <c r="A4321" s="14">
        <f>DATE(2012,12,31)-238</f>
        <v>41036</v>
      </c>
      <c r="B4321" s="15" t="s">
        <v>529</v>
      </c>
      <c r="C4321" s="15" t="s">
        <v>85</v>
      </c>
      <c r="D4321" s="16">
        <v>48</v>
      </c>
      <c r="E4321" s="17">
        <v>335.64</v>
      </c>
      <c r="F4321" s="16">
        <v>0.02</v>
      </c>
      <c r="G4321" s="15" t="s">
        <v>32</v>
      </c>
      <c r="H4321" s="18">
        <v>80.13</v>
      </c>
      <c r="I4321" s="19">
        <v>6.7</v>
      </c>
      <c r="J4321" s="19">
        <v>1.56</v>
      </c>
      <c r="K4321" s="19" t="s">
        <v>33</v>
      </c>
      <c r="L4321" s="19" t="s">
        <v>59</v>
      </c>
      <c r="M4321" s="15" t="s">
        <v>2091</v>
      </c>
      <c r="N4321" s="15" t="s">
        <v>36</v>
      </c>
      <c r="O4321" s="15" t="s">
        <v>77</v>
      </c>
      <c r="P4321" s="20" t="s">
        <v>1777</v>
      </c>
      <c r="Q4321" s="15" t="s">
        <v>79</v>
      </c>
      <c r="R4321" s="4"/>
      <c r="S4321" s="4"/>
    </row>
    <row r="4322" spans="1:19" ht="21" customHeight="1" x14ac:dyDescent="0.25">
      <c r="A4322" s="14">
        <f>DATE(2012,12,31)-1277</f>
        <v>39997</v>
      </c>
      <c r="B4322" s="15" t="s">
        <v>2027</v>
      </c>
      <c r="C4322" s="15" t="s">
        <v>51</v>
      </c>
      <c r="D4322" s="16">
        <v>7</v>
      </c>
      <c r="E4322" s="17">
        <v>55.81</v>
      </c>
      <c r="F4322" s="16">
        <v>0.03</v>
      </c>
      <c r="G4322" s="15" t="s">
        <v>32</v>
      </c>
      <c r="H4322" s="18">
        <v>-35.04</v>
      </c>
      <c r="I4322" s="19">
        <v>6.48</v>
      </c>
      <c r="J4322" s="19">
        <v>8.73</v>
      </c>
      <c r="K4322" s="19" t="s">
        <v>33</v>
      </c>
      <c r="L4322" s="19" t="s">
        <v>145</v>
      </c>
      <c r="M4322" s="15" t="s">
        <v>2140</v>
      </c>
      <c r="N4322" s="15" t="s">
        <v>36</v>
      </c>
      <c r="O4322" s="15" t="s">
        <v>117</v>
      </c>
      <c r="P4322" s="20" t="s">
        <v>880</v>
      </c>
      <c r="Q4322" s="15" t="s">
        <v>83</v>
      </c>
      <c r="R4322" s="4"/>
      <c r="S4322" s="4"/>
    </row>
    <row r="4323" spans="1:19" ht="21" customHeight="1" x14ac:dyDescent="0.25">
      <c r="A4323" s="14">
        <f>DATE(2012,12,31)-1277</f>
        <v>39997</v>
      </c>
      <c r="B4323" s="15" t="s">
        <v>2027</v>
      </c>
      <c r="C4323" s="15" t="s">
        <v>51</v>
      </c>
      <c r="D4323" s="16">
        <v>38</v>
      </c>
      <c r="E4323" s="17">
        <v>373.07</v>
      </c>
      <c r="F4323" s="16">
        <v>7.0000000000000007E-2</v>
      </c>
      <c r="G4323" s="15" t="s">
        <v>32</v>
      </c>
      <c r="H4323" s="18">
        <v>149.53</v>
      </c>
      <c r="I4323" s="19">
        <v>9.93</v>
      </c>
      <c r="J4323" s="19">
        <v>1.0900000000000001</v>
      </c>
      <c r="K4323" s="19" t="s">
        <v>33</v>
      </c>
      <c r="L4323" s="19" t="s">
        <v>59</v>
      </c>
      <c r="M4323" s="15" t="s">
        <v>2091</v>
      </c>
      <c r="N4323" s="15" t="s">
        <v>36</v>
      </c>
      <c r="O4323" s="15" t="s">
        <v>77</v>
      </c>
      <c r="P4323" s="20" t="s">
        <v>366</v>
      </c>
      <c r="Q4323" s="15" t="s">
        <v>79</v>
      </c>
      <c r="R4323" s="4"/>
      <c r="S4323" s="4"/>
    </row>
    <row r="4324" spans="1:19" ht="21" customHeight="1" x14ac:dyDescent="0.25">
      <c r="A4324" s="14">
        <f>DATE(2012,12,31)-168</f>
        <v>41106</v>
      </c>
      <c r="B4324" s="15" t="s">
        <v>648</v>
      </c>
      <c r="C4324" s="15" t="s">
        <v>85</v>
      </c>
      <c r="D4324" s="16">
        <v>23</v>
      </c>
      <c r="E4324" s="17">
        <v>65.91</v>
      </c>
      <c r="F4324" s="16">
        <v>0.01</v>
      </c>
      <c r="G4324" s="15" t="s">
        <v>32</v>
      </c>
      <c r="H4324" s="18">
        <v>0.76000000000000068</v>
      </c>
      <c r="I4324" s="19">
        <v>2.78</v>
      </c>
      <c r="J4324" s="19">
        <v>1.34</v>
      </c>
      <c r="K4324" s="19" t="s">
        <v>33</v>
      </c>
      <c r="L4324" s="19" t="s">
        <v>145</v>
      </c>
      <c r="M4324" s="15" t="s">
        <v>2140</v>
      </c>
      <c r="N4324" s="15" t="s">
        <v>36</v>
      </c>
      <c r="O4324" s="15" t="s">
        <v>77</v>
      </c>
      <c r="P4324" s="20" t="s">
        <v>422</v>
      </c>
      <c r="Q4324" s="15" t="s">
        <v>79</v>
      </c>
      <c r="R4324" s="4"/>
      <c r="S4324" s="4"/>
    </row>
    <row r="4325" spans="1:19" ht="21" customHeight="1" x14ac:dyDescent="0.25">
      <c r="A4325" s="14">
        <f>DATE(2012,12,31)-168</f>
        <v>41106</v>
      </c>
      <c r="B4325" s="15" t="s">
        <v>648</v>
      </c>
      <c r="C4325" s="15" t="s">
        <v>85</v>
      </c>
      <c r="D4325" s="16">
        <v>4</v>
      </c>
      <c r="E4325" s="17">
        <v>72.72</v>
      </c>
      <c r="F4325" s="16">
        <v>0.06</v>
      </c>
      <c r="G4325" s="15" t="s">
        <v>32</v>
      </c>
      <c r="H4325" s="18">
        <v>-36.61</v>
      </c>
      <c r="I4325" s="19">
        <v>15.42</v>
      </c>
      <c r="J4325" s="19">
        <v>10.68</v>
      </c>
      <c r="K4325" s="19" t="s">
        <v>33</v>
      </c>
      <c r="L4325" s="19" t="s">
        <v>59</v>
      </c>
      <c r="M4325" s="15" t="s">
        <v>2091</v>
      </c>
      <c r="N4325" s="15" t="s">
        <v>36</v>
      </c>
      <c r="O4325" s="15" t="s">
        <v>37</v>
      </c>
      <c r="P4325" s="20" t="s">
        <v>156</v>
      </c>
      <c r="Q4325" s="15" t="s">
        <v>83</v>
      </c>
      <c r="R4325" s="4"/>
      <c r="S4325" s="4"/>
    </row>
    <row r="4326" spans="1:19" ht="21" customHeight="1" x14ac:dyDescent="0.25">
      <c r="A4326" s="14">
        <f>DATE(2012,12,31)-461</f>
        <v>40813</v>
      </c>
      <c r="B4326" s="15" t="s">
        <v>562</v>
      </c>
      <c r="C4326" s="15" t="s">
        <v>51</v>
      </c>
      <c r="D4326" s="16">
        <v>43</v>
      </c>
      <c r="E4326" s="17">
        <v>6477.4589999999998</v>
      </c>
      <c r="F4326" s="16">
        <v>0.05</v>
      </c>
      <c r="G4326" s="15" t="s">
        <v>32</v>
      </c>
      <c r="H4326" s="18">
        <v>1836.4590000000001</v>
      </c>
      <c r="I4326" s="19">
        <v>175.99</v>
      </c>
      <c r="J4326" s="19">
        <v>8.99</v>
      </c>
      <c r="K4326" s="19" t="s">
        <v>33</v>
      </c>
      <c r="L4326" s="19" t="s">
        <v>145</v>
      </c>
      <c r="M4326" s="15" t="s">
        <v>2140</v>
      </c>
      <c r="N4326" s="15" t="s">
        <v>64</v>
      </c>
      <c r="O4326" s="15" t="s">
        <v>65</v>
      </c>
      <c r="P4326" s="20" t="s">
        <v>1490</v>
      </c>
      <c r="Q4326" s="15" t="s">
        <v>83</v>
      </c>
      <c r="R4326" s="4"/>
      <c r="S4326" s="4"/>
    </row>
    <row r="4327" spans="1:19" ht="21" customHeight="1" x14ac:dyDescent="0.25">
      <c r="A4327" s="14">
        <f>DATE(2012,12,31)-632</f>
        <v>40642</v>
      </c>
      <c r="B4327" s="15" t="s">
        <v>1177</v>
      </c>
      <c r="C4327" s="15" t="s">
        <v>85</v>
      </c>
      <c r="D4327" s="16">
        <v>21</v>
      </c>
      <c r="E4327" s="17">
        <v>48.01</v>
      </c>
      <c r="F4327" s="16">
        <v>0.1</v>
      </c>
      <c r="G4327" s="15" t="s">
        <v>101</v>
      </c>
      <c r="H4327" s="18">
        <v>-6.85</v>
      </c>
      <c r="I4327" s="19">
        <v>2.21</v>
      </c>
      <c r="J4327" s="19">
        <v>1.1200000000000001</v>
      </c>
      <c r="K4327" s="19" t="s">
        <v>33</v>
      </c>
      <c r="L4327" s="19" t="s">
        <v>145</v>
      </c>
      <c r="M4327" s="15" t="s">
        <v>2140</v>
      </c>
      <c r="N4327" s="15" t="s">
        <v>36</v>
      </c>
      <c r="O4327" s="15" t="s">
        <v>77</v>
      </c>
      <c r="P4327" s="20" t="s">
        <v>1790</v>
      </c>
      <c r="Q4327" s="15" t="s">
        <v>79</v>
      </c>
      <c r="R4327" s="4"/>
      <c r="S4327" s="4"/>
    </row>
    <row r="4328" spans="1:19" ht="21" customHeight="1" x14ac:dyDescent="0.25">
      <c r="A4328" s="14">
        <f>DATE(2012,12,31)-610</f>
        <v>40664</v>
      </c>
      <c r="B4328" s="15" t="s">
        <v>1370</v>
      </c>
      <c r="C4328" s="15" t="s">
        <v>85</v>
      </c>
      <c r="D4328" s="16">
        <v>13</v>
      </c>
      <c r="E4328" s="17">
        <v>4324.29</v>
      </c>
      <c r="F4328" s="16">
        <v>0.09</v>
      </c>
      <c r="G4328" s="15" t="s">
        <v>58</v>
      </c>
      <c r="H4328" s="18">
        <v>298.83</v>
      </c>
      <c r="I4328" s="19">
        <v>348.21</v>
      </c>
      <c r="J4328" s="19">
        <v>40.19</v>
      </c>
      <c r="K4328" s="19" t="s">
        <v>33</v>
      </c>
      <c r="L4328" s="19" t="s">
        <v>59</v>
      </c>
      <c r="M4328" s="15" t="s">
        <v>2091</v>
      </c>
      <c r="N4328" s="15" t="s">
        <v>54</v>
      </c>
      <c r="O4328" s="15" t="s">
        <v>61</v>
      </c>
      <c r="P4328" s="20" t="s">
        <v>1141</v>
      </c>
      <c r="Q4328" s="15" t="s">
        <v>63</v>
      </c>
      <c r="R4328" s="4"/>
      <c r="S4328" s="4"/>
    </row>
    <row r="4329" spans="1:19" ht="21" customHeight="1" x14ac:dyDescent="0.25">
      <c r="A4329" s="14">
        <f>DATE(2012,12,31)-832</f>
        <v>40442</v>
      </c>
      <c r="B4329" s="15" t="s">
        <v>131</v>
      </c>
      <c r="C4329" s="15" t="s">
        <v>31</v>
      </c>
      <c r="D4329" s="16">
        <v>16</v>
      </c>
      <c r="E4329" s="17">
        <v>336.29</v>
      </c>
      <c r="F4329" s="16">
        <v>0.08</v>
      </c>
      <c r="G4329" s="15" t="s">
        <v>32</v>
      </c>
      <c r="H4329" s="18">
        <v>-52.14</v>
      </c>
      <c r="I4329" s="19">
        <v>21.38</v>
      </c>
      <c r="J4329" s="19">
        <v>8.99</v>
      </c>
      <c r="K4329" s="19" t="s">
        <v>33</v>
      </c>
      <c r="L4329" s="19" t="s">
        <v>34</v>
      </c>
      <c r="M4329" s="15" t="s">
        <v>2043</v>
      </c>
      <c r="N4329" s="15" t="s">
        <v>36</v>
      </c>
      <c r="O4329" s="15" t="s">
        <v>77</v>
      </c>
      <c r="P4329" s="20" t="s">
        <v>948</v>
      </c>
      <c r="Q4329" s="15" t="s">
        <v>49</v>
      </c>
      <c r="R4329" s="4"/>
      <c r="S4329" s="4"/>
    </row>
    <row r="4330" spans="1:19" ht="21" customHeight="1" x14ac:dyDescent="0.25">
      <c r="A4330" s="14">
        <f>DATE(2012,12,31)-1327</f>
        <v>39947</v>
      </c>
      <c r="B4330" s="15" t="s">
        <v>645</v>
      </c>
      <c r="C4330" s="15" t="s">
        <v>85</v>
      </c>
      <c r="D4330" s="16">
        <v>35</v>
      </c>
      <c r="E4330" s="17">
        <v>2827.1424999999999</v>
      </c>
      <c r="F4330" s="16">
        <v>0.01</v>
      </c>
      <c r="G4330" s="15" t="s">
        <v>32</v>
      </c>
      <c r="H4330" s="18">
        <v>713.88</v>
      </c>
      <c r="I4330" s="19">
        <v>95.99</v>
      </c>
      <c r="J4330" s="19">
        <v>4.9000000000000004</v>
      </c>
      <c r="K4330" s="19" t="s">
        <v>33</v>
      </c>
      <c r="L4330" s="19" t="s">
        <v>145</v>
      </c>
      <c r="M4330" s="15" t="s">
        <v>2140</v>
      </c>
      <c r="N4330" s="15" t="s">
        <v>64</v>
      </c>
      <c r="O4330" s="15" t="s">
        <v>65</v>
      </c>
      <c r="P4330" s="20" t="s">
        <v>477</v>
      </c>
      <c r="Q4330" s="15" t="s">
        <v>83</v>
      </c>
      <c r="R4330" s="4"/>
      <c r="S4330" s="4"/>
    </row>
    <row r="4331" spans="1:19" ht="21" customHeight="1" x14ac:dyDescent="0.25">
      <c r="A4331" s="14">
        <f>DATE(2012,12,31)-523</f>
        <v>40751</v>
      </c>
      <c r="B4331" s="15" t="s">
        <v>1292</v>
      </c>
      <c r="C4331" s="15" t="s">
        <v>85</v>
      </c>
      <c r="D4331" s="16">
        <v>16</v>
      </c>
      <c r="E4331" s="17">
        <v>41.52</v>
      </c>
      <c r="F4331" s="16">
        <v>0.06</v>
      </c>
      <c r="G4331" s="15" t="s">
        <v>32</v>
      </c>
      <c r="H4331" s="18">
        <v>-85.17</v>
      </c>
      <c r="I4331" s="19">
        <v>2.1800000000000002</v>
      </c>
      <c r="J4331" s="19">
        <v>7.09</v>
      </c>
      <c r="K4331" s="19" t="s">
        <v>33</v>
      </c>
      <c r="L4331" s="19" t="s">
        <v>59</v>
      </c>
      <c r="M4331" s="15" t="s">
        <v>2091</v>
      </c>
      <c r="N4331" s="15" t="s">
        <v>36</v>
      </c>
      <c r="O4331" s="15" t="s">
        <v>117</v>
      </c>
      <c r="P4331" s="20" t="s">
        <v>1044</v>
      </c>
      <c r="Q4331" s="15" t="s">
        <v>79</v>
      </c>
      <c r="R4331" s="4"/>
      <c r="S4331" s="4"/>
    </row>
    <row r="4332" spans="1:19" ht="21" customHeight="1" x14ac:dyDescent="0.25">
      <c r="A4332" s="14">
        <f>DATE(2012,12,31)-523</f>
        <v>40751</v>
      </c>
      <c r="B4332" s="15" t="s">
        <v>1292</v>
      </c>
      <c r="C4332" s="15" t="s">
        <v>85</v>
      </c>
      <c r="D4332" s="16">
        <v>40</v>
      </c>
      <c r="E4332" s="17">
        <v>254.02</v>
      </c>
      <c r="F4332" s="16">
        <v>0.04</v>
      </c>
      <c r="G4332" s="15" t="s">
        <v>32</v>
      </c>
      <c r="H4332" s="18">
        <v>123.14</v>
      </c>
      <c r="I4332" s="19">
        <v>6.3</v>
      </c>
      <c r="J4332" s="19">
        <v>0.5</v>
      </c>
      <c r="K4332" s="19" t="s">
        <v>33</v>
      </c>
      <c r="L4332" s="19" t="s">
        <v>145</v>
      </c>
      <c r="M4332" s="15" t="s">
        <v>2140</v>
      </c>
      <c r="N4332" s="15" t="s">
        <v>36</v>
      </c>
      <c r="O4332" s="15" t="s">
        <v>114</v>
      </c>
      <c r="P4332" s="20" t="s">
        <v>703</v>
      </c>
      <c r="Q4332" s="15" t="s">
        <v>83</v>
      </c>
      <c r="R4332" s="4"/>
      <c r="S4332" s="4"/>
    </row>
    <row r="4333" spans="1:19" ht="21" customHeight="1" x14ac:dyDescent="0.25">
      <c r="A4333" s="14">
        <f>DATE(2012,12,31)-863</f>
        <v>40411</v>
      </c>
      <c r="B4333" s="15" t="s">
        <v>533</v>
      </c>
      <c r="C4333" s="15" t="s">
        <v>85</v>
      </c>
      <c r="D4333" s="16">
        <v>30</v>
      </c>
      <c r="E4333" s="17">
        <v>201.37</v>
      </c>
      <c r="F4333" s="16">
        <v>0.1</v>
      </c>
      <c r="G4333" s="15" t="s">
        <v>32</v>
      </c>
      <c r="H4333" s="18">
        <v>59.84</v>
      </c>
      <c r="I4333" s="19">
        <v>6.98</v>
      </c>
      <c r="J4333" s="19">
        <v>1.6</v>
      </c>
      <c r="K4333" s="19" t="s">
        <v>33</v>
      </c>
      <c r="L4333" s="19" t="s">
        <v>145</v>
      </c>
      <c r="M4333" s="15" t="s">
        <v>2140</v>
      </c>
      <c r="N4333" s="15" t="s">
        <v>36</v>
      </c>
      <c r="O4333" s="15" t="s">
        <v>117</v>
      </c>
      <c r="P4333" s="20" t="s">
        <v>1345</v>
      </c>
      <c r="Q4333" s="15" t="s">
        <v>79</v>
      </c>
      <c r="R4333" s="4"/>
      <c r="S4333" s="4"/>
    </row>
    <row r="4334" spans="1:19" ht="21" customHeight="1" x14ac:dyDescent="0.25">
      <c r="A4334" s="14">
        <f>DATE(2012,12,31)-827</f>
        <v>40447</v>
      </c>
      <c r="B4334" s="15" t="s">
        <v>974</v>
      </c>
      <c r="C4334" s="15" t="s">
        <v>31</v>
      </c>
      <c r="D4334" s="16">
        <v>6</v>
      </c>
      <c r="E4334" s="17">
        <v>763.44799999999998</v>
      </c>
      <c r="F4334" s="16">
        <v>0.05</v>
      </c>
      <c r="G4334" s="15" t="s">
        <v>58</v>
      </c>
      <c r="H4334" s="18">
        <v>-352.95903500000009</v>
      </c>
      <c r="I4334" s="19">
        <v>146.05000000000001</v>
      </c>
      <c r="J4334" s="19">
        <v>80.2</v>
      </c>
      <c r="K4334" s="19" t="s">
        <v>33</v>
      </c>
      <c r="L4334" s="19" t="s">
        <v>34</v>
      </c>
      <c r="M4334" s="15" t="s">
        <v>2043</v>
      </c>
      <c r="N4334" s="15" t="s">
        <v>54</v>
      </c>
      <c r="O4334" s="15" t="s">
        <v>61</v>
      </c>
      <c r="P4334" s="20" t="s">
        <v>222</v>
      </c>
      <c r="Q4334" s="15" t="s">
        <v>63</v>
      </c>
      <c r="R4334" s="4"/>
      <c r="S4334" s="4"/>
    </row>
    <row r="4335" spans="1:19" ht="21" customHeight="1" x14ac:dyDescent="0.25">
      <c r="A4335" s="14">
        <f>DATE(2012,12,31)-924</f>
        <v>40350</v>
      </c>
      <c r="B4335" s="15" t="s">
        <v>942</v>
      </c>
      <c r="C4335" s="15" t="s">
        <v>51</v>
      </c>
      <c r="D4335" s="16">
        <v>24</v>
      </c>
      <c r="E4335" s="17">
        <v>234.24</v>
      </c>
      <c r="F4335" s="16">
        <v>0.09</v>
      </c>
      <c r="G4335" s="15" t="s">
        <v>32</v>
      </c>
      <c r="H4335" s="18">
        <v>-151.80000000000001</v>
      </c>
      <c r="I4335" s="19">
        <v>9.7100000000000009</v>
      </c>
      <c r="J4335" s="19">
        <v>9.4499999999999993</v>
      </c>
      <c r="K4335" s="19" t="s">
        <v>33</v>
      </c>
      <c r="L4335" s="19" t="s">
        <v>59</v>
      </c>
      <c r="M4335" s="15" t="s">
        <v>2091</v>
      </c>
      <c r="N4335" s="15" t="s">
        <v>36</v>
      </c>
      <c r="O4335" s="15" t="s">
        <v>37</v>
      </c>
      <c r="P4335" s="20" t="s">
        <v>130</v>
      </c>
      <c r="Q4335" s="15" t="s">
        <v>83</v>
      </c>
      <c r="R4335" s="4"/>
      <c r="S4335" s="4"/>
    </row>
    <row r="4336" spans="1:19" ht="21" customHeight="1" x14ac:dyDescent="0.25">
      <c r="A4336" s="14">
        <f>DATE(2012,12,31)-233</f>
        <v>41041</v>
      </c>
      <c r="B4336" s="15" t="s">
        <v>292</v>
      </c>
      <c r="C4336" s="15" t="s">
        <v>31</v>
      </c>
      <c r="D4336" s="16">
        <v>28</v>
      </c>
      <c r="E4336" s="17">
        <v>5320.57</v>
      </c>
      <c r="F4336" s="16">
        <v>0.02</v>
      </c>
      <c r="G4336" s="15" t="s">
        <v>32</v>
      </c>
      <c r="H4336" s="18">
        <v>534.29</v>
      </c>
      <c r="I4336" s="19">
        <v>193.17</v>
      </c>
      <c r="J4336" s="19">
        <v>19.989999999999998</v>
      </c>
      <c r="K4336" s="19" t="s">
        <v>33</v>
      </c>
      <c r="L4336" s="19" t="s">
        <v>59</v>
      </c>
      <c r="M4336" s="15" t="s">
        <v>2091</v>
      </c>
      <c r="N4336" s="15" t="s">
        <v>36</v>
      </c>
      <c r="O4336" s="15" t="s">
        <v>37</v>
      </c>
      <c r="P4336" s="20" t="s">
        <v>197</v>
      </c>
      <c r="Q4336" s="15" t="s">
        <v>83</v>
      </c>
      <c r="R4336" s="4"/>
      <c r="S4336" s="4"/>
    </row>
    <row r="4337" spans="1:19" ht="21" customHeight="1" x14ac:dyDescent="0.25">
      <c r="A4337" s="14">
        <f>DATE(2012,12,31)-908</f>
        <v>40366</v>
      </c>
      <c r="B4337" s="15" t="s">
        <v>149</v>
      </c>
      <c r="C4337" s="15" t="s">
        <v>85</v>
      </c>
      <c r="D4337" s="16">
        <v>44</v>
      </c>
      <c r="E4337" s="17">
        <v>4357.1170000000002</v>
      </c>
      <c r="F4337" s="16">
        <v>7.0000000000000007E-2</v>
      </c>
      <c r="G4337" s="15" t="s">
        <v>32</v>
      </c>
      <c r="H4337" s="18">
        <v>1192.9769999999999</v>
      </c>
      <c r="I4337" s="19">
        <v>115.99</v>
      </c>
      <c r="J4337" s="19">
        <v>5.92</v>
      </c>
      <c r="K4337" s="19" t="s">
        <v>69</v>
      </c>
      <c r="L4337" s="19" t="s">
        <v>70</v>
      </c>
      <c r="M4337" s="15" t="s">
        <v>1895</v>
      </c>
      <c r="N4337" s="15" t="s">
        <v>64</v>
      </c>
      <c r="O4337" s="15" t="s">
        <v>65</v>
      </c>
      <c r="P4337" s="20" t="s">
        <v>1053</v>
      </c>
      <c r="Q4337" s="15" t="s">
        <v>83</v>
      </c>
      <c r="R4337" s="4"/>
      <c r="S4337" s="4"/>
    </row>
    <row r="4338" spans="1:19" ht="21" customHeight="1" x14ac:dyDescent="0.25">
      <c r="A4338" s="14">
        <f>DATE(2012,12,31)-100</f>
        <v>41174</v>
      </c>
      <c r="B4338" s="15" t="s">
        <v>537</v>
      </c>
      <c r="C4338" s="15" t="s">
        <v>85</v>
      </c>
      <c r="D4338" s="16">
        <v>23</v>
      </c>
      <c r="E4338" s="17">
        <v>143.1</v>
      </c>
      <c r="F4338" s="16">
        <v>0.01</v>
      </c>
      <c r="G4338" s="15" t="s">
        <v>32</v>
      </c>
      <c r="H4338" s="18">
        <v>36.7455</v>
      </c>
      <c r="I4338" s="19">
        <v>5.98</v>
      </c>
      <c r="J4338" s="19">
        <v>1.49</v>
      </c>
      <c r="K4338" s="19" t="s">
        <v>69</v>
      </c>
      <c r="L4338" s="19" t="s">
        <v>75</v>
      </c>
      <c r="M4338" s="15" t="s">
        <v>1980</v>
      </c>
      <c r="N4338" s="15" t="s">
        <v>36</v>
      </c>
      <c r="O4338" s="15" t="s">
        <v>170</v>
      </c>
      <c r="P4338" s="20" t="s">
        <v>365</v>
      </c>
      <c r="Q4338" s="15" t="s">
        <v>83</v>
      </c>
      <c r="R4338" s="4"/>
      <c r="S4338" s="4"/>
    </row>
    <row r="4339" spans="1:19" ht="21" customHeight="1" x14ac:dyDescent="0.25">
      <c r="A4339" s="14">
        <f>DATE(2012,12,31)-100</f>
        <v>41174</v>
      </c>
      <c r="B4339" s="15" t="s">
        <v>537</v>
      </c>
      <c r="C4339" s="15" t="s">
        <v>85</v>
      </c>
      <c r="D4339" s="16">
        <v>36</v>
      </c>
      <c r="E4339" s="17">
        <v>795.52</v>
      </c>
      <c r="F4339" s="16">
        <v>0.08</v>
      </c>
      <c r="G4339" s="15" t="s">
        <v>32</v>
      </c>
      <c r="H4339" s="18">
        <v>290.64</v>
      </c>
      <c r="I4339" s="19">
        <v>22.24</v>
      </c>
      <c r="J4339" s="19">
        <v>1.99</v>
      </c>
      <c r="K4339" s="19" t="s">
        <v>69</v>
      </c>
      <c r="L4339" s="19" t="s">
        <v>75</v>
      </c>
      <c r="M4339" s="15" t="s">
        <v>1980</v>
      </c>
      <c r="N4339" s="15" t="s">
        <v>64</v>
      </c>
      <c r="O4339" s="15" t="s">
        <v>72</v>
      </c>
      <c r="P4339" s="20" t="s">
        <v>1401</v>
      </c>
      <c r="Q4339" s="15" t="s">
        <v>49</v>
      </c>
      <c r="R4339" s="4"/>
      <c r="S4339" s="4"/>
    </row>
    <row r="4340" spans="1:19" ht="21" customHeight="1" x14ac:dyDescent="0.25">
      <c r="A4340" s="14">
        <f>DATE(2012,12,31)-100</f>
        <v>41174</v>
      </c>
      <c r="B4340" s="15" t="s">
        <v>537</v>
      </c>
      <c r="C4340" s="15" t="s">
        <v>85</v>
      </c>
      <c r="D4340" s="16">
        <v>44</v>
      </c>
      <c r="E4340" s="17">
        <v>126.36</v>
      </c>
      <c r="F4340" s="16">
        <v>0.02</v>
      </c>
      <c r="G4340" s="15" t="s">
        <v>32</v>
      </c>
      <c r="H4340" s="18">
        <v>50.26</v>
      </c>
      <c r="I4340" s="19">
        <v>2.89</v>
      </c>
      <c r="J4340" s="19">
        <v>0.5</v>
      </c>
      <c r="K4340" s="19" t="s">
        <v>69</v>
      </c>
      <c r="L4340" s="19" t="s">
        <v>70</v>
      </c>
      <c r="M4340" s="15" t="s">
        <v>1895</v>
      </c>
      <c r="N4340" s="15" t="s">
        <v>36</v>
      </c>
      <c r="O4340" s="15" t="s">
        <v>114</v>
      </c>
      <c r="P4340" s="20" t="s">
        <v>115</v>
      </c>
      <c r="Q4340" s="15" t="s">
        <v>83</v>
      </c>
      <c r="R4340" s="4"/>
      <c r="S4340" s="4"/>
    </row>
    <row r="4341" spans="1:19" ht="21" customHeight="1" x14ac:dyDescent="0.25">
      <c r="A4341" s="14">
        <f>DATE(2012,12,31)-100</f>
        <v>41174</v>
      </c>
      <c r="B4341" s="15" t="s">
        <v>537</v>
      </c>
      <c r="C4341" s="15" t="s">
        <v>85</v>
      </c>
      <c r="D4341" s="16">
        <v>24</v>
      </c>
      <c r="E4341" s="17">
        <v>496.62</v>
      </c>
      <c r="F4341" s="16">
        <v>7.0000000000000007E-2</v>
      </c>
      <c r="G4341" s="15" t="s">
        <v>101</v>
      </c>
      <c r="H4341" s="18">
        <v>49.86</v>
      </c>
      <c r="I4341" s="19">
        <v>19.98</v>
      </c>
      <c r="J4341" s="19">
        <v>10.49</v>
      </c>
      <c r="K4341" s="19" t="s">
        <v>69</v>
      </c>
      <c r="L4341" s="19" t="s">
        <v>70</v>
      </c>
      <c r="M4341" s="15" t="s">
        <v>1895</v>
      </c>
      <c r="N4341" s="15" t="s">
        <v>54</v>
      </c>
      <c r="O4341" s="15" t="s">
        <v>55</v>
      </c>
      <c r="P4341" s="20" t="s">
        <v>889</v>
      </c>
      <c r="Q4341" s="15" t="s">
        <v>83</v>
      </c>
      <c r="R4341" s="4"/>
      <c r="S4341" s="4"/>
    </row>
    <row r="4342" spans="1:19" ht="21" customHeight="1" x14ac:dyDescent="0.25">
      <c r="A4342" s="14">
        <f>DATE(2012,12,31)-1445</f>
        <v>39829</v>
      </c>
      <c r="B4342" s="15" t="s">
        <v>1012</v>
      </c>
      <c r="C4342" s="15" t="s">
        <v>31</v>
      </c>
      <c r="D4342" s="16">
        <v>20</v>
      </c>
      <c r="E4342" s="17">
        <v>62.78</v>
      </c>
      <c r="F4342" s="16">
        <v>0.04</v>
      </c>
      <c r="G4342" s="15" t="s">
        <v>101</v>
      </c>
      <c r="H4342" s="18">
        <v>-17.75</v>
      </c>
      <c r="I4342" s="19">
        <v>2.98</v>
      </c>
      <c r="J4342" s="19">
        <v>2.0299999999999998</v>
      </c>
      <c r="K4342" s="19" t="s">
        <v>69</v>
      </c>
      <c r="L4342" s="19" t="s">
        <v>70</v>
      </c>
      <c r="M4342" s="15" t="s">
        <v>1895</v>
      </c>
      <c r="N4342" s="15" t="s">
        <v>36</v>
      </c>
      <c r="O4342" s="15" t="s">
        <v>77</v>
      </c>
      <c r="P4342" s="20" t="s">
        <v>1972</v>
      </c>
      <c r="Q4342" s="15" t="s">
        <v>79</v>
      </c>
      <c r="R4342" s="4"/>
      <c r="S4342" s="4"/>
    </row>
    <row r="4343" spans="1:19" ht="21" customHeight="1" x14ac:dyDescent="0.25">
      <c r="A4343" s="14">
        <f>DATE(2012,12,31)-1445</f>
        <v>39829</v>
      </c>
      <c r="B4343" s="15" t="s">
        <v>1012</v>
      </c>
      <c r="C4343" s="15" t="s">
        <v>31</v>
      </c>
      <c r="D4343" s="16">
        <v>25</v>
      </c>
      <c r="E4343" s="17">
        <v>2836.0505000000003</v>
      </c>
      <c r="F4343" s="16">
        <v>0.01</v>
      </c>
      <c r="G4343" s="15" t="s">
        <v>32</v>
      </c>
      <c r="H4343" s="18">
        <v>561.13200000000006</v>
      </c>
      <c r="I4343" s="19">
        <v>125.99</v>
      </c>
      <c r="J4343" s="19">
        <v>8.99</v>
      </c>
      <c r="K4343" s="19" t="s">
        <v>69</v>
      </c>
      <c r="L4343" s="19" t="s">
        <v>75</v>
      </c>
      <c r="M4343" s="15" t="s">
        <v>1980</v>
      </c>
      <c r="N4343" s="15" t="s">
        <v>64</v>
      </c>
      <c r="O4343" s="15" t="s">
        <v>65</v>
      </c>
      <c r="P4343" s="20" t="s">
        <v>1553</v>
      </c>
      <c r="Q4343" s="15" t="s">
        <v>83</v>
      </c>
      <c r="R4343" s="4"/>
      <c r="S4343" s="4"/>
    </row>
    <row r="4344" spans="1:19" ht="21" customHeight="1" x14ac:dyDescent="0.25">
      <c r="A4344" s="14">
        <f>DATE(2012,12,31)-791</f>
        <v>40483</v>
      </c>
      <c r="B4344" s="15" t="s">
        <v>1334</v>
      </c>
      <c r="C4344" s="15" t="s">
        <v>31</v>
      </c>
      <c r="D4344" s="16">
        <v>11</v>
      </c>
      <c r="E4344" s="17">
        <v>86.79</v>
      </c>
      <c r="F4344" s="16">
        <v>0.06</v>
      </c>
      <c r="G4344" s="15" t="s">
        <v>32</v>
      </c>
      <c r="H4344" s="18">
        <v>-45.6</v>
      </c>
      <c r="I4344" s="19">
        <v>8.1199999999999992</v>
      </c>
      <c r="J4344" s="19">
        <v>2.83</v>
      </c>
      <c r="K4344" s="19" t="s">
        <v>69</v>
      </c>
      <c r="L4344" s="19" t="s">
        <v>75</v>
      </c>
      <c r="M4344" s="15" t="s">
        <v>1980</v>
      </c>
      <c r="N4344" s="15" t="s">
        <v>64</v>
      </c>
      <c r="O4344" s="15" t="s">
        <v>72</v>
      </c>
      <c r="P4344" s="20" t="s">
        <v>879</v>
      </c>
      <c r="Q4344" s="15" t="s">
        <v>49</v>
      </c>
      <c r="R4344" s="4"/>
      <c r="S4344" s="4"/>
    </row>
    <row r="4345" spans="1:19" ht="21" customHeight="1" x14ac:dyDescent="0.25">
      <c r="A4345" s="14">
        <f>DATE(2012,12,31)-791</f>
        <v>40483</v>
      </c>
      <c r="B4345" s="15" t="s">
        <v>1334</v>
      </c>
      <c r="C4345" s="15" t="s">
        <v>31</v>
      </c>
      <c r="D4345" s="16">
        <v>8</v>
      </c>
      <c r="E4345" s="17">
        <v>753.8</v>
      </c>
      <c r="F4345" s="16">
        <v>0.06</v>
      </c>
      <c r="G4345" s="15" t="s">
        <v>32</v>
      </c>
      <c r="H4345" s="18">
        <v>-32.303100000000001</v>
      </c>
      <c r="I4345" s="19">
        <v>96.45</v>
      </c>
      <c r="J4345" s="19">
        <v>13.99</v>
      </c>
      <c r="K4345" s="19" t="s">
        <v>69</v>
      </c>
      <c r="L4345" s="19" t="s">
        <v>70</v>
      </c>
      <c r="M4345" s="15" t="s">
        <v>1895</v>
      </c>
      <c r="N4345" s="15" t="s">
        <v>64</v>
      </c>
      <c r="O4345" s="15" t="s">
        <v>122</v>
      </c>
      <c r="P4345" s="20" t="s">
        <v>2032</v>
      </c>
      <c r="Q4345" s="15" t="s">
        <v>57</v>
      </c>
      <c r="R4345" s="4"/>
      <c r="S4345" s="4"/>
    </row>
    <row r="4346" spans="1:19" ht="21" customHeight="1" x14ac:dyDescent="0.25">
      <c r="A4346" s="14">
        <f>DATE(2012,12,31)-558</f>
        <v>40716</v>
      </c>
      <c r="B4346" s="15" t="s">
        <v>1532</v>
      </c>
      <c r="C4346" s="15" t="s">
        <v>85</v>
      </c>
      <c r="D4346" s="16">
        <v>32</v>
      </c>
      <c r="E4346" s="17">
        <v>546.01</v>
      </c>
      <c r="F4346" s="16">
        <v>0.01</v>
      </c>
      <c r="G4346" s="15" t="s">
        <v>32</v>
      </c>
      <c r="H4346" s="18">
        <v>133.56049999999999</v>
      </c>
      <c r="I4346" s="19">
        <v>16.739999999999998</v>
      </c>
      <c r="J4346" s="19">
        <v>5.08</v>
      </c>
      <c r="K4346" s="19" t="s">
        <v>69</v>
      </c>
      <c r="L4346" s="19" t="s">
        <v>70</v>
      </c>
      <c r="M4346" s="15" t="s">
        <v>1895</v>
      </c>
      <c r="N4346" s="15" t="s">
        <v>36</v>
      </c>
      <c r="O4346" s="15" t="s">
        <v>170</v>
      </c>
      <c r="P4346" s="20" t="s">
        <v>2059</v>
      </c>
      <c r="Q4346" s="15" t="s">
        <v>83</v>
      </c>
      <c r="R4346" s="4"/>
      <c r="S4346" s="4"/>
    </row>
    <row r="4347" spans="1:19" ht="21" customHeight="1" x14ac:dyDescent="0.25">
      <c r="A4347" s="14">
        <f>DATE(2012,12,31)-901</f>
        <v>40373</v>
      </c>
      <c r="B4347" s="15" t="s">
        <v>2082</v>
      </c>
      <c r="C4347" s="15" t="s">
        <v>31</v>
      </c>
      <c r="D4347" s="16">
        <v>17</v>
      </c>
      <c r="E4347" s="17">
        <v>691.59</v>
      </c>
      <c r="F4347" s="16">
        <v>0.03</v>
      </c>
      <c r="G4347" s="15" t="s">
        <v>32</v>
      </c>
      <c r="H4347" s="18">
        <v>261.23899999999998</v>
      </c>
      <c r="I4347" s="19">
        <v>41.94</v>
      </c>
      <c r="J4347" s="19">
        <v>2.99</v>
      </c>
      <c r="K4347" s="19" t="s">
        <v>69</v>
      </c>
      <c r="L4347" s="19" t="s">
        <v>70</v>
      </c>
      <c r="M4347" s="15" t="s">
        <v>1895</v>
      </c>
      <c r="N4347" s="15" t="s">
        <v>36</v>
      </c>
      <c r="O4347" s="15" t="s">
        <v>170</v>
      </c>
      <c r="P4347" s="20" t="s">
        <v>1469</v>
      </c>
      <c r="Q4347" s="15" t="s">
        <v>83</v>
      </c>
      <c r="R4347" s="4"/>
      <c r="S4347" s="4"/>
    </row>
    <row r="4348" spans="1:19" ht="21" customHeight="1" x14ac:dyDescent="0.25">
      <c r="A4348" s="14">
        <f>DATE(2012,12,31)-901</f>
        <v>40373</v>
      </c>
      <c r="B4348" s="15" t="s">
        <v>2082</v>
      </c>
      <c r="C4348" s="15" t="s">
        <v>31</v>
      </c>
      <c r="D4348" s="16">
        <v>45</v>
      </c>
      <c r="E4348" s="17">
        <v>345.2</v>
      </c>
      <c r="F4348" s="16">
        <v>0.01</v>
      </c>
      <c r="G4348" s="15" t="s">
        <v>32</v>
      </c>
      <c r="H4348" s="18">
        <v>183.53</v>
      </c>
      <c r="I4348" s="19">
        <v>7.31</v>
      </c>
      <c r="J4348" s="19">
        <v>0.49</v>
      </c>
      <c r="K4348" s="19" t="s">
        <v>69</v>
      </c>
      <c r="L4348" s="19" t="s">
        <v>70</v>
      </c>
      <c r="M4348" s="15" t="s">
        <v>1895</v>
      </c>
      <c r="N4348" s="15" t="s">
        <v>36</v>
      </c>
      <c r="O4348" s="15" t="s">
        <v>114</v>
      </c>
      <c r="P4348" s="20" t="s">
        <v>656</v>
      </c>
      <c r="Q4348" s="15" t="s">
        <v>83</v>
      </c>
      <c r="R4348" s="4"/>
      <c r="S4348" s="4"/>
    </row>
    <row r="4349" spans="1:19" ht="21" customHeight="1" x14ac:dyDescent="0.25">
      <c r="A4349" s="14">
        <f>DATE(2012,12,31)-68</f>
        <v>41206</v>
      </c>
      <c r="B4349" s="15" t="s">
        <v>595</v>
      </c>
      <c r="C4349" s="15" t="s">
        <v>51</v>
      </c>
      <c r="D4349" s="16">
        <v>10</v>
      </c>
      <c r="E4349" s="17">
        <v>403.88</v>
      </c>
      <c r="F4349" s="16">
        <v>7.0000000000000007E-2</v>
      </c>
      <c r="G4349" s="15" t="s">
        <v>32</v>
      </c>
      <c r="H4349" s="18">
        <v>48.03</v>
      </c>
      <c r="I4349" s="19">
        <v>40.97</v>
      </c>
      <c r="J4349" s="19">
        <v>1.99</v>
      </c>
      <c r="K4349" s="19" t="s">
        <v>69</v>
      </c>
      <c r="L4349" s="19" t="s">
        <v>75</v>
      </c>
      <c r="M4349" s="15" t="s">
        <v>1980</v>
      </c>
      <c r="N4349" s="15" t="s">
        <v>64</v>
      </c>
      <c r="O4349" s="15" t="s">
        <v>72</v>
      </c>
      <c r="P4349" s="20" t="s">
        <v>691</v>
      </c>
      <c r="Q4349" s="15" t="s">
        <v>49</v>
      </c>
      <c r="R4349" s="4"/>
      <c r="S4349" s="4"/>
    </row>
    <row r="4350" spans="1:19" ht="21" customHeight="1" x14ac:dyDescent="0.25">
      <c r="A4350" s="14">
        <f>DATE(2012,12,31)-685</f>
        <v>40589</v>
      </c>
      <c r="B4350" s="15" t="s">
        <v>1583</v>
      </c>
      <c r="C4350" s="15" t="s">
        <v>31</v>
      </c>
      <c r="D4350" s="16">
        <v>29</v>
      </c>
      <c r="E4350" s="17">
        <v>7837.44</v>
      </c>
      <c r="F4350" s="16">
        <v>0.1</v>
      </c>
      <c r="G4350" s="15" t="s">
        <v>58</v>
      </c>
      <c r="H4350" s="18">
        <v>1817.76</v>
      </c>
      <c r="I4350" s="19">
        <v>279.81</v>
      </c>
      <c r="J4350" s="19">
        <v>23.19</v>
      </c>
      <c r="K4350" s="19" t="s">
        <v>69</v>
      </c>
      <c r="L4350" s="19" t="s">
        <v>215</v>
      </c>
      <c r="M4350" s="15" t="s">
        <v>2120</v>
      </c>
      <c r="N4350" s="15" t="s">
        <v>36</v>
      </c>
      <c r="O4350" s="15" t="s">
        <v>176</v>
      </c>
      <c r="P4350" s="20" t="s">
        <v>682</v>
      </c>
      <c r="Q4350" s="15" t="s">
        <v>181</v>
      </c>
      <c r="R4350" s="4"/>
      <c r="S4350" s="4"/>
    </row>
    <row r="4351" spans="1:19" ht="21" customHeight="1" x14ac:dyDescent="0.25">
      <c r="A4351" s="14">
        <f>DATE(2012,12,31)-685</f>
        <v>40589</v>
      </c>
      <c r="B4351" s="15" t="s">
        <v>1583</v>
      </c>
      <c r="C4351" s="15" t="s">
        <v>31</v>
      </c>
      <c r="D4351" s="16">
        <v>22</v>
      </c>
      <c r="E4351" s="17">
        <v>3653.22</v>
      </c>
      <c r="F4351" s="16">
        <v>0.09</v>
      </c>
      <c r="G4351" s="15" t="s">
        <v>58</v>
      </c>
      <c r="H4351" s="18">
        <v>-116.02</v>
      </c>
      <c r="I4351" s="19">
        <v>180.98</v>
      </c>
      <c r="J4351" s="19">
        <v>30</v>
      </c>
      <c r="K4351" s="19" t="s">
        <v>69</v>
      </c>
      <c r="L4351" s="19" t="s">
        <v>215</v>
      </c>
      <c r="M4351" s="15" t="s">
        <v>2120</v>
      </c>
      <c r="N4351" s="15" t="s">
        <v>54</v>
      </c>
      <c r="O4351" s="15" t="s">
        <v>252</v>
      </c>
      <c r="P4351" s="20" t="s">
        <v>1543</v>
      </c>
      <c r="Q4351" s="15" t="s">
        <v>181</v>
      </c>
      <c r="R4351" s="4"/>
      <c r="S4351" s="4"/>
    </row>
    <row r="4352" spans="1:19" ht="21" customHeight="1" x14ac:dyDescent="0.25">
      <c r="A4352" s="14">
        <f>DATE(2012,12,31)-839</f>
        <v>40435</v>
      </c>
      <c r="B4352" s="15" t="s">
        <v>300</v>
      </c>
      <c r="C4352" s="15" t="s">
        <v>43</v>
      </c>
      <c r="D4352" s="16">
        <v>23</v>
      </c>
      <c r="E4352" s="17">
        <v>872.97</v>
      </c>
      <c r="F4352" s="16">
        <v>0.1</v>
      </c>
      <c r="G4352" s="15" t="s">
        <v>32</v>
      </c>
      <c r="H4352" s="18">
        <v>-22.63</v>
      </c>
      <c r="I4352" s="19">
        <v>39.979999999999997</v>
      </c>
      <c r="J4352" s="19">
        <v>4</v>
      </c>
      <c r="K4352" s="19" t="s">
        <v>69</v>
      </c>
      <c r="L4352" s="19" t="s">
        <v>75</v>
      </c>
      <c r="M4352" s="15" t="s">
        <v>1980</v>
      </c>
      <c r="N4352" s="15" t="s">
        <v>64</v>
      </c>
      <c r="O4352" s="15" t="s">
        <v>72</v>
      </c>
      <c r="P4352" s="20" t="s">
        <v>733</v>
      </c>
      <c r="Q4352" s="15" t="s">
        <v>83</v>
      </c>
      <c r="R4352" s="4"/>
      <c r="S4352" s="4"/>
    </row>
    <row r="4353" spans="1:19" ht="21" customHeight="1" x14ac:dyDescent="0.25">
      <c r="A4353" s="14">
        <f>DATE(2012,12,31)-839</f>
        <v>40435</v>
      </c>
      <c r="B4353" s="15" t="s">
        <v>300</v>
      </c>
      <c r="C4353" s="15" t="s">
        <v>43</v>
      </c>
      <c r="D4353" s="16">
        <v>19</v>
      </c>
      <c r="E4353" s="17">
        <v>545.71</v>
      </c>
      <c r="F4353" s="16">
        <v>0.1</v>
      </c>
      <c r="G4353" s="15" t="s">
        <v>32</v>
      </c>
      <c r="H4353" s="18">
        <v>-35.47</v>
      </c>
      <c r="I4353" s="19">
        <v>29.74</v>
      </c>
      <c r="J4353" s="19">
        <v>6.64</v>
      </c>
      <c r="K4353" s="19" t="s">
        <v>69</v>
      </c>
      <c r="L4353" s="19" t="s">
        <v>215</v>
      </c>
      <c r="M4353" s="15" t="s">
        <v>2120</v>
      </c>
      <c r="N4353" s="15" t="s">
        <v>36</v>
      </c>
      <c r="O4353" s="15" t="s">
        <v>37</v>
      </c>
      <c r="P4353" s="20" t="s">
        <v>1372</v>
      </c>
      <c r="Q4353" s="15" t="s">
        <v>83</v>
      </c>
      <c r="R4353" s="4"/>
      <c r="S4353" s="4"/>
    </row>
    <row r="4354" spans="1:19" ht="21" customHeight="1" x14ac:dyDescent="0.25">
      <c r="A4354" s="14">
        <f>DATE(2012,12,31)-42</f>
        <v>41232</v>
      </c>
      <c r="B4354" s="15" t="s">
        <v>744</v>
      </c>
      <c r="C4354" s="15" t="s">
        <v>85</v>
      </c>
      <c r="D4354" s="16">
        <v>26</v>
      </c>
      <c r="E4354" s="17">
        <v>3227.38</v>
      </c>
      <c r="F4354" s="16">
        <v>0.05</v>
      </c>
      <c r="G4354" s="15" t="s">
        <v>58</v>
      </c>
      <c r="H4354" s="18">
        <v>192.31</v>
      </c>
      <c r="I4354" s="19">
        <v>120.98</v>
      </c>
      <c r="J4354" s="19">
        <v>30</v>
      </c>
      <c r="K4354" s="19" t="s">
        <v>111</v>
      </c>
      <c r="L4354" s="19" t="s">
        <v>442</v>
      </c>
      <c r="M4354" s="15" t="s">
        <v>2010</v>
      </c>
      <c r="N4354" s="15" t="s">
        <v>54</v>
      </c>
      <c r="O4354" s="15" t="s">
        <v>252</v>
      </c>
      <c r="P4354" s="20" t="s">
        <v>712</v>
      </c>
      <c r="Q4354" s="15" t="s">
        <v>181</v>
      </c>
      <c r="R4354" s="4"/>
      <c r="S4354" s="4"/>
    </row>
    <row r="4355" spans="1:19" ht="21" customHeight="1" x14ac:dyDescent="0.25">
      <c r="A4355" s="14">
        <f>DATE(2012,12,31)-42</f>
        <v>41232</v>
      </c>
      <c r="B4355" s="15" t="s">
        <v>744</v>
      </c>
      <c r="C4355" s="15" t="s">
        <v>85</v>
      </c>
      <c r="D4355" s="16">
        <v>48</v>
      </c>
      <c r="E4355" s="17">
        <v>134.52000000000001</v>
      </c>
      <c r="F4355" s="16">
        <v>0.03</v>
      </c>
      <c r="G4355" s="15" t="s">
        <v>32</v>
      </c>
      <c r="H4355" s="18">
        <v>-6.04</v>
      </c>
      <c r="I4355" s="19">
        <v>2.78</v>
      </c>
      <c r="J4355" s="19">
        <v>1.2</v>
      </c>
      <c r="K4355" s="19" t="s">
        <v>111</v>
      </c>
      <c r="L4355" s="19" t="s">
        <v>407</v>
      </c>
      <c r="M4355" s="15" t="s">
        <v>407</v>
      </c>
      <c r="N4355" s="15" t="s">
        <v>36</v>
      </c>
      <c r="O4355" s="15" t="s">
        <v>77</v>
      </c>
      <c r="P4355" s="20" t="s">
        <v>422</v>
      </c>
      <c r="Q4355" s="15" t="s">
        <v>79</v>
      </c>
      <c r="R4355" s="4"/>
      <c r="S4355" s="4"/>
    </row>
    <row r="4356" spans="1:19" ht="21" customHeight="1" x14ac:dyDescent="0.25">
      <c r="A4356" s="14">
        <f>DATE(2012,12,31)-1265</f>
        <v>40009</v>
      </c>
      <c r="B4356" s="15" t="s">
        <v>900</v>
      </c>
      <c r="C4356" s="15" t="s">
        <v>51</v>
      </c>
      <c r="D4356" s="16">
        <v>49</v>
      </c>
      <c r="E4356" s="17">
        <v>772.42</v>
      </c>
      <c r="F4356" s="16">
        <v>0.02</v>
      </c>
      <c r="G4356" s="15" t="s">
        <v>32</v>
      </c>
      <c r="H4356" s="18">
        <v>299.33</v>
      </c>
      <c r="I4356" s="19">
        <v>15.28</v>
      </c>
      <c r="J4356" s="19">
        <v>1.99</v>
      </c>
      <c r="K4356" s="19" t="s">
        <v>111</v>
      </c>
      <c r="L4356" s="19" t="s">
        <v>112</v>
      </c>
      <c r="M4356" s="15" t="s">
        <v>2137</v>
      </c>
      <c r="N4356" s="15" t="s">
        <v>64</v>
      </c>
      <c r="O4356" s="15" t="s">
        <v>72</v>
      </c>
      <c r="P4356" s="20" t="s">
        <v>809</v>
      </c>
      <c r="Q4356" s="15" t="s">
        <v>49</v>
      </c>
      <c r="R4356" s="4"/>
      <c r="S4356" s="4"/>
    </row>
    <row r="4357" spans="1:19" ht="21" customHeight="1" x14ac:dyDescent="0.25">
      <c r="A4357" s="14">
        <f>DATE(2012,12,31)-1265</f>
        <v>40009</v>
      </c>
      <c r="B4357" s="15" t="s">
        <v>900</v>
      </c>
      <c r="C4357" s="15" t="s">
        <v>51</v>
      </c>
      <c r="D4357" s="16">
        <v>3</v>
      </c>
      <c r="E4357" s="17">
        <v>221.4675</v>
      </c>
      <c r="F4357" s="16">
        <v>0</v>
      </c>
      <c r="G4357" s="15" t="s">
        <v>32</v>
      </c>
      <c r="H4357" s="18">
        <v>-302.22500000000002</v>
      </c>
      <c r="I4357" s="19">
        <v>85.99</v>
      </c>
      <c r="J4357" s="19">
        <v>3.3</v>
      </c>
      <c r="K4357" s="19" t="s">
        <v>111</v>
      </c>
      <c r="L4357" s="19" t="s">
        <v>407</v>
      </c>
      <c r="M4357" s="15" t="s">
        <v>407</v>
      </c>
      <c r="N4357" s="15" t="s">
        <v>64</v>
      </c>
      <c r="O4357" s="15" t="s">
        <v>65</v>
      </c>
      <c r="P4357" s="20" t="s">
        <v>428</v>
      </c>
      <c r="Q4357" s="15" t="s">
        <v>49</v>
      </c>
      <c r="R4357" s="4"/>
      <c r="S4357" s="4"/>
    </row>
    <row r="4358" spans="1:19" ht="21" customHeight="1" x14ac:dyDescent="0.25">
      <c r="A4358" s="14">
        <f>DATE(2012,12,31)-693</f>
        <v>40581</v>
      </c>
      <c r="B4358" s="15" t="s">
        <v>172</v>
      </c>
      <c r="C4358" s="15" t="s">
        <v>85</v>
      </c>
      <c r="D4358" s="16">
        <v>42</v>
      </c>
      <c r="E4358" s="17">
        <v>3900.5309999999995</v>
      </c>
      <c r="F4358" s="16">
        <v>0.08</v>
      </c>
      <c r="G4358" s="15" t="s">
        <v>32</v>
      </c>
      <c r="H4358" s="18">
        <v>1144.6289999999999</v>
      </c>
      <c r="I4358" s="19">
        <v>110.99</v>
      </c>
      <c r="J4358" s="19">
        <v>2.5</v>
      </c>
      <c r="K4358" s="19" t="s">
        <v>111</v>
      </c>
      <c r="L4358" s="19" t="s">
        <v>112</v>
      </c>
      <c r="M4358" s="15" t="s">
        <v>2137</v>
      </c>
      <c r="N4358" s="15" t="s">
        <v>64</v>
      </c>
      <c r="O4358" s="15" t="s">
        <v>65</v>
      </c>
      <c r="P4358" s="20" t="s">
        <v>1010</v>
      </c>
      <c r="Q4358" s="15" t="s">
        <v>83</v>
      </c>
      <c r="R4358" s="4"/>
      <c r="S4358" s="4"/>
    </row>
    <row r="4359" spans="1:19" ht="21" customHeight="1" x14ac:dyDescent="0.25">
      <c r="A4359" s="14">
        <f>DATE(2012,12,31)-693</f>
        <v>40581</v>
      </c>
      <c r="B4359" s="15" t="s">
        <v>172</v>
      </c>
      <c r="C4359" s="15" t="s">
        <v>85</v>
      </c>
      <c r="D4359" s="16">
        <v>35</v>
      </c>
      <c r="E4359" s="17">
        <v>248.42</v>
      </c>
      <c r="F4359" s="16">
        <v>0.02</v>
      </c>
      <c r="G4359" s="15" t="s">
        <v>32</v>
      </c>
      <c r="H4359" s="18">
        <v>-58.81</v>
      </c>
      <c r="I4359" s="19">
        <v>6.84</v>
      </c>
      <c r="J4359" s="19">
        <v>4.42</v>
      </c>
      <c r="K4359" s="19" t="s">
        <v>44</v>
      </c>
      <c r="L4359" s="19" t="s">
        <v>80</v>
      </c>
      <c r="M4359" s="15" t="s">
        <v>2081</v>
      </c>
      <c r="N4359" s="15" t="s">
        <v>36</v>
      </c>
      <c r="O4359" s="15" t="s">
        <v>47</v>
      </c>
      <c r="P4359" s="20" t="s">
        <v>2075</v>
      </c>
      <c r="Q4359" s="15" t="s">
        <v>49</v>
      </c>
      <c r="R4359" s="4"/>
      <c r="S4359" s="4"/>
    </row>
    <row r="4360" spans="1:19" ht="21" customHeight="1" x14ac:dyDescent="0.25">
      <c r="A4360" s="14">
        <f>DATE(2012,12,31)-763</f>
        <v>40511</v>
      </c>
      <c r="B4360" s="15" t="s">
        <v>334</v>
      </c>
      <c r="C4360" s="15" t="s">
        <v>31</v>
      </c>
      <c r="D4360" s="16">
        <v>4</v>
      </c>
      <c r="E4360" s="17">
        <v>701.16</v>
      </c>
      <c r="F4360" s="16">
        <v>0.08</v>
      </c>
      <c r="G4360" s="15" t="s">
        <v>32</v>
      </c>
      <c r="H4360" s="18">
        <v>4.5559999999999636</v>
      </c>
      <c r="I4360" s="19">
        <v>172.99</v>
      </c>
      <c r="J4360" s="19">
        <v>19.989999999999998</v>
      </c>
      <c r="K4360" s="19" t="s">
        <v>44</v>
      </c>
      <c r="L4360" s="19" t="s">
        <v>89</v>
      </c>
      <c r="M4360" s="15" t="s">
        <v>1932</v>
      </c>
      <c r="N4360" s="15" t="s">
        <v>36</v>
      </c>
      <c r="O4360" s="15" t="s">
        <v>170</v>
      </c>
      <c r="P4360" s="20" t="s">
        <v>1271</v>
      </c>
      <c r="Q4360" s="15" t="s">
        <v>83</v>
      </c>
      <c r="R4360" s="4"/>
      <c r="S4360" s="4"/>
    </row>
    <row r="4361" spans="1:19" ht="21" customHeight="1" x14ac:dyDescent="0.25">
      <c r="A4361" s="14">
        <f>DATE(2012,12,31)-890</f>
        <v>40384</v>
      </c>
      <c r="B4361" s="15" t="s">
        <v>254</v>
      </c>
      <c r="C4361" s="15" t="s">
        <v>85</v>
      </c>
      <c r="D4361" s="16">
        <v>39</v>
      </c>
      <c r="E4361" s="17">
        <v>1818.76</v>
      </c>
      <c r="F4361" s="16">
        <v>0.02</v>
      </c>
      <c r="G4361" s="15" t="s">
        <v>32</v>
      </c>
      <c r="H4361" s="18">
        <v>843.12</v>
      </c>
      <c r="I4361" s="19">
        <v>46.94</v>
      </c>
      <c r="J4361" s="19">
        <v>6.77</v>
      </c>
      <c r="K4361" s="19" t="s">
        <v>44</v>
      </c>
      <c r="L4361" s="19" t="s">
        <v>89</v>
      </c>
      <c r="M4361" s="15" t="s">
        <v>1932</v>
      </c>
      <c r="N4361" s="15" t="s">
        <v>54</v>
      </c>
      <c r="O4361" s="15" t="s">
        <v>55</v>
      </c>
      <c r="P4361" s="20" t="s">
        <v>1428</v>
      </c>
      <c r="Q4361" s="15" t="s">
        <v>83</v>
      </c>
      <c r="R4361" s="4"/>
      <c r="S4361" s="4"/>
    </row>
    <row r="4362" spans="1:19" ht="21" customHeight="1" x14ac:dyDescent="0.25">
      <c r="A4362" s="14">
        <f>DATE(2012,12,31)-890</f>
        <v>40384</v>
      </c>
      <c r="B4362" s="15" t="s">
        <v>254</v>
      </c>
      <c r="C4362" s="15" t="s">
        <v>85</v>
      </c>
      <c r="D4362" s="16">
        <v>26</v>
      </c>
      <c r="E4362" s="17">
        <v>4322.26</v>
      </c>
      <c r="F4362" s="16">
        <v>7.0000000000000007E-2</v>
      </c>
      <c r="G4362" s="15" t="s">
        <v>32</v>
      </c>
      <c r="H4362" s="18">
        <v>-618.95000000000005</v>
      </c>
      <c r="I4362" s="19">
        <v>167.27</v>
      </c>
      <c r="J4362" s="19">
        <v>35</v>
      </c>
      <c r="K4362" s="19" t="s">
        <v>44</v>
      </c>
      <c r="L4362" s="19" t="s">
        <v>120</v>
      </c>
      <c r="M4362" s="15" t="s">
        <v>2025</v>
      </c>
      <c r="N4362" s="15" t="s">
        <v>36</v>
      </c>
      <c r="O4362" s="15" t="s">
        <v>37</v>
      </c>
      <c r="P4362" s="20" t="s">
        <v>1472</v>
      </c>
      <c r="Q4362" s="15" t="s">
        <v>39</v>
      </c>
      <c r="R4362" s="4"/>
      <c r="S4362" s="4"/>
    </row>
    <row r="4363" spans="1:19" ht="21" customHeight="1" x14ac:dyDescent="0.25">
      <c r="A4363" s="14">
        <f>DATE(2012,12,31)-800</f>
        <v>40474</v>
      </c>
      <c r="B4363" s="15" t="s">
        <v>1950</v>
      </c>
      <c r="C4363" s="15" t="s">
        <v>43</v>
      </c>
      <c r="D4363" s="16">
        <v>36</v>
      </c>
      <c r="E4363" s="17">
        <v>1955.0765000000001</v>
      </c>
      <c r="F4363" s="16">
        <v>0.06</v>
      </c>
      <c r="G4363" s="15" t="s">
        <v>32</v>
      </c>
      <c r="H4363" s="18">
        <v>470.82599999999996</v>
      </c>
      <c r="I4363" s="19">
        <v>65.989999999999995</v>
      </c>
      <c r="J4363" s="19">
        <v>3.9</v>
      </c>
      <c r="K4363" s="19" t="s">
        <v>44</v>
      </c>
      <c r="L4363" s="19" t="s">
        <v>89</v>
      </c>
      <c r="M4363" s="15" t="s">
        <v>1932</v>
      </c>
      <c r="N4363" s="15" t="s">
        <v>64</v>
      </c>
      <c r="O4363" s="15" t="s">
        <v>65</v>
      </c>
      <c r="P4363" s="20" t="s">
        <v>1062</v>
      </c>
      <c r="Q4363" s="15" t="s">
        <v>83</v>
      </c>
      <c r="R4363" s="4"/>
      <c r="S4363" s="4"/>
    </row>
    <row r="4364" spans="1:19" ht="21" customHeight="1" x14ac:dyDescent="0.25">
      <c r="A4364" s="14">
        <f>DATE(2012,12,31)-1420</f>
        <v>39854</v>
      </c>
      <c r="B4364" s="15" t="s">
        <v>1278</v>
      </c>
      <c r="C4364" s="15" t="s">
        <v>85</v>
      </c>
      <c r="D4364" s="16">
        <v>7</v>
      </c>
      <c r="E4364" s="17">
        <v>104.46</v>
      </c>
      <c r="F4364" s="16">
        <v>0.01</v>
      </c>
      <c r="G4364" s="15" t="s">
        <v>32</v>
      </c>
      <c r="H4364" s="18">
        <v>-36.766199999999998</v>
      </c>
      <c r="I4364" s="19">
        <v>13.99</v>
      </c>
      <c r="J4364" s="19">
        <v>7.51</v>
      </c>
      <c r="K4364" s="19" t="s">
        <v>44</v>
      </c>
      <c r="L4364" s="19" t="s">
        <v>89</v>
      </c>
      <c r="M4364" s="15" t="s">
        <v>1932</v>
      </c>
      <c r="N4364" s="15" t="s">
        <v>64</v>
      </c>
      <c r="O4364" s="15" t="s">
        <v>122</v>
      </c>
      <c r="P4364" s="20" t="s">
        <v>370</v>
      </c>
      <c r="Q4364" s="15" t="s">
        <v>57</v>
      </c>
      <c r="R4364" s="4"/>
      <c r="S4364" s="4"/>
    </row>
    <row r="4365" spans="1:19" ht="21" customHeight="1" x14ac:dyDescent="0.25">
      <c r="A4365" s="14">
        <f>DATE(2012,12,31)-319</f>
        <v>40955</v>
      </c>
      <c r="B4365" s="15" t="s">
        <v>1890</v>
      </c>
      <c r="C4365" s="15" t="s">
        <v>31</v>
      </c>
      <c r="D4365" s="16">
        <v>37</v>
      </c>
      <c r="E4365" s="17">
        <v>101.9</v>
      </c>
      <c r="F4365" s="16">
        <v>0</v>
      </c>
      <c r="G4365" s="15" t="s">
        <v>32</v>
      </c>
      <c r="H4365" s="18">
        <v>40.520000000000003</v>
      </c>
      <c r="I4365" s="19">
        <v>2.61</v>
      </c>
      <c r="J4365" s="19">
        <v>0.5</v>
      </c>
      <c r="K4365" s="19" t="s">
        <v>44</v>
      </c>
      <c r="L4365" s="19" t="s">
        <v>89</v>
      </c>
      <c r="M4365" s="15" t="s">
        <v>1932</v>
      </c>
      <c r="N4365" s="15" t="s">
        <v>36</v>
      </c>
      <c r="O4365" s="15" t="s">
        <v>114</v>
      </c>
      <c r="P4365" s="20" t="s">
        <v>593</v>
      </c>
      <c r="Q4365" s="15" t="s">
        <v>83</v>
      </c>
      <c r="R4365" s="4"/>
      <c r="S4365" s="4"/>
    </row>
    <row r="4366" spans="1:19" ht="21" customHeight="1" x14ac:dyDescent="0.25">
      <c r="A4366" s="14">
        <f>DATE(2012,12,31)-319</f>
        <v>40955</v>
      </c>
      <c r="B4366" s="15" t="s">
        <v>1890</v>
      </c>
      <c r="C4366" s="15" t="s">
        <v>31</v>
      </c>
      <c r="D4366" s="16">
        <v>7</v>
      </c>
      <c r="E4366" s="17">
        <v>187.33</v>
      </c>
      <c r="F4366" s="16">
        <v>0.03</v>
      </c>
      <c r="G4366" s="15" t="s">
        <v>32</v>
      </c>
      <c r="H4366" s="18">
        <v>66.47</v>
      </c>
      <c r="I4366" s="19">
        <v>25.13</v>
      </c>
      <c r="J4366" s="19">
        <v>9.8699999999999992</v>
      </c>
      <c r="K4366" s="19" t="s">
        <v>44</v>
      </c>
      <c r="L4366" s="19" t="s">
        <v>45</v>
      </c>
      <c r="M4366" s="15" t="s">
        <v>2053</v>
      </c>
      <c r="N4366" s="15" t="s">
        <v>54</v>
      </c>
      <c r="O4366" s="15" t="s">
        <v>55</v>
      </c>
      <c r="P4366" s="20" t="s">
        <v>2164</v>
      </c>
      <c r="Q4366" s="15" t="s">
        <v>83</v>
      </c>
      <c r="R4366" s="4"/>
      <c r="S4366" s="4"/>
    </row>
    <row r="4367" spans="1:19" ht="21" customHeight="1" x14ac:dyDescent="0.25">
      <c r="A4367" s="14">
        <f>DATE(2012,12,31)-319</f>
        <v>40955</v>
      </c>
      <c r="B4367" s="15" t="s">
        <v>1890</v>
      </c>
      <c r="C4367" s="15" t="s">
        <v>31</v>
      </c>
      <c r="D4367" s="16">
        <v>45</v>
      </c>
      <c r="E4367" s="17">
        <v>259.17</v>
      </c>
      <c r="F4367" s="16">
        <v>0.01</v>
      </c>
      <c r="G4367" s="15" t="s">
        <v>32</v>
      </c>
      <c r="H4367" s="18">
        <v>-57.33</v>
      </c>
      <c r="I4367" s="19">
        <v>5.68</v>
      </c>
      <c r="J4367" s="19">
        <v>3.6</v>
      </c>
      <c r="K4367" s="19" t="s">
        <v>44</v>
      </c>
      <c r="L4367" s="19" t="s">
        <v>45</v>
      </c>
      <c r="M4367" s="15" t="s">
        <v>2165</v>
      </c>
      <c r="N4367" s="15" t="s">
        <v>36</v>
      </c>
      <c r="O4367" s="15" t="s">
        <v>47</v>
      </c>
      <c r="P4367" s="20" t="s">
        <v>1459</v>
      </c>
      <c r="Q4367" s="15" t="s">
        <v>49</v>
      </c>
      <c r="R4367" s="4"/>
      <c r="S4367" s="4"/>
    </row>
    <row r="4368" spans="1:19" ht="21" customHeight="1" x14ac:dyDescent="0.25">
      <c r="A4368" s="14">
        <f>DATE(2012,12,31)-319</f>
        <v>40955</v>
      </c>
      <c r="B4368" s="15" t="s">
        <v>1890</v>
      </c>
      <c r="C4368" s="15" t="s">
        <v>31</v>
      </c>
      <c r="D4368" s="16">
        <v>43</v>
      </c>
      <c r="E4368" s="17">
        <v>4697.0320000000002</v>
      </c>
      <c r="F4368" s="16">
        <v>0</v>
      </c>
      <c r="G4368" s="15" t="s">
        <v>32</v>
      </c>
      <c r="H4368" s="18">
        <v>1263.0059999999999</v>
      </c>
      <c r="I4368" s="19">
        <v>125.99</v>
      </c>
      <c r="J4368" s="19">
        <v>5.63</v>
      </c>
      <c r="K4368" s="19" t="s">
        <v>44</v>
      </c>
      <c r="L4368" s="19" t="s">
        <v>89</v>
      </c>
      <c r="M4368" s="15" t="s">
        <v>1932</v>
      </c>
      <c r="N4368" s="15" t="s">
        <v>64</v>
      </c>
      <c r="O4368" s="15" t="s">
        <v>65</v>
      </c>
      <c r="P4368" s="20" t="s">
        <v>1064</v>
      </c>
      <c r="Q4368" s="15" t="s">
        <v>83</v>
      </c>
      <c r="R4368" s="4"/>
      <c r="S4368" s="4"/>
    </row>
    <row r="4369" spans="1:19" ht="21" customHeight="1" x14ac:dyDescent="0.25">
      <c r="A4369" s="14">
        <f>DATE(2012,12,31)-430</f>
        <v>40844</v>
      </c>
      <c r="B4369" s="15" t="s">
        <v>539</v>
      </c>
      <c r="C4369" s="15" t="s">
        <v>31</v>
      </c>
      <c r="D4369" s="16">
        <v>49</v>
      </c>
      <c r="E4369" s="17">
        <v>1515</v>
      </c>
      <c r="F4369" s="16">
        <v>0.08</v>
      </c>
      <c r="G4369" s="15" t="s">
        <v>32</v>
      </c>
      <c r="H4369" s="18">
        <v>219.03649999999999</v>
      </c>
      <c r="I4369" s="19">
        <v>31.74</v>
      </c>
      <c r="J4369" s="19">
        <v>12.62</v>
      </c>
      <c r="K4369" s="19" t="s">
        <v>44</v>
      </c>
      <c r="L4369" s="19" t="s">
        <v>45</v>
      </c>
      <c r="M4369" s="15" t="s">
        <v>2165</v>
      </c>
      <c r="N4369" s="15" t="s">
        <v>36</v>
      </c>
      <c r="O4369" s="15" t="s">
        <v>170</v>
      </c>
      <c r="P4369" s="20" t="s">
        <v>1344</v>
      </c>
      <c r="Q4369" s="15" t="s">
        <v>83</v>
      </c>
      <c r="R4369" s="4"/>
      <c r="S4369" s="4"/>
    </row>
    <row r="4370" spans="1:19" ht="21" customHeight="1" x14ac:dyDescent="0.25">
      <c r="A4370" s="14">
        <f>DATE(2012,12,31)-1225</f>
        <v>40049</v>
      </c>
      <c r="B4370" s="15" t="s">
        <v>282</v>
      </c>
      <c r="C4370" s="15" t="s">
        <v>43</v>
      </c>
      <c r="D4370" s="16">
        <v>27</v>
      </c>
      <c r="E4370" s="17">
        <v>217.93</v>
      </c>
      <c r="F4370" s="16">
        <v>0.03</v>
      </c>
      <c r="G4370" s="15" t="s">
        <v>32</v>
      </c>
      <c r="H4370" s="18">
        <v>-29.02</v>
      </c>
      <c r="I4370" s="19">
        <v>7.64</v>
      </c>
      <c r="J4370" s="19">
        <v>5.83</v>
      </c>
      <c r="K4370" s="19" t="s">
        <v>44</v>
      </c>
      <c r="L4370" s="19" t="s">
        <v>45</v>
      </c>
      <c r="M4370" s="15" t="s">
        <v>2165</v>
      </c>
      <c r="N4370" s="15" t="s">
        <v>36</v>
      </c>
      <c r="O4370" s="15" t="s">
        <v>117</v>
      </c>
      <c r="P4370" s="20" t="s">
        <v>188</v>
      </c>
      <c r="Q4370" s="15" t="s">
        <v>79</v>
      </c>
      <c r="R4370" s="4"/>
      <c r="S4370" s="4"/>
    </row>
    <row r="4371" spans="1:19" ht="21" customHeight="1" x14ac:dyDescent="0.25">
      <c r="A4371" s="14">
        <f>DATE(2012,12,31)-1440</f>
        <v>39834</v>
      </c>
      <c r="B4371" s="15" t="s">
        <v>212</v>
      </c>
      <c r="C4371" s="15" t="s">
        <v>51</v>
      </c>
      <c r="D4371" s="16">
        <v>37</v>
      </c>
      <c r="E4371" s="17">
        <v>1251.18</v>
      </c>
      <c r="F4371" s="16">
        <v>0.05</v>
      </c>
      <c r="G4371" s="15" t="s">
        <v>58</v>
      </c>
      <c r="H4371" s="18">
        <v>-1756.4404000000002</v>
      </c>
      <c r="I4371" s="19">
        <v>31.76</v>
      </c>
      <c r="J4371" s="19">
        <v>45.51</v>
      </c>
      <c r="K4371" s="19" t="s">
        <v>44</v>
      </c>
      <c r="L4371" s="19" t="s">
        <v>89</v>
      </c>
      <c r="M4371" s="15" t="s">
        <v>1932</v>
      </c>
      <c r="N4371" s="15" t="s">
        <v>54</v>
      </c>
      <c r="O4371" s="15" t="s">
        <v>61</v>
      </c>
      <c r="P4371" s="20" t="s">
        <v>542</v>
      </c>
      <c r="Q4371" s="15" t="s">
        <v>63</v>
      </c>
      <c r="R4371" s="4"/>
      <c r="S4371" s="4"/>
    </row>
    <row r="4372" spans="1:19" ht="21" customHeight="1" x14ac:dyDescent="0.25">
      <c r="A4372" s="14">
        <f>DATE(2012,12,31)-699</f>
        <v>40575</v>
      </c>
      <c r="B4372" s="15" t="s">
        <v>1514</v>
      </c>
      <c r="C4372" s="15" t="s">
        <v>85</v>
      </c>
      <c r="D4372" s="16">
        <v>4</v>
      </c>
      <c r="E4372" s="17">
        <v>13.42</v>
      </c>
      <c r="F4372" s="16">
        <v>0.03</v>
      </c>
      <c r="G4372" s="15" t="s">
        <v>32</v>
      </c>
      <c r="H4372" s="18">
        <v>-1.26</v>
      </c>
      <c r="I4372" s="19">
        <v>3.08</v>
      </c>
      <c r="J4372" s="19">
        <v>0.99</v>
      </c>
      <c r="K4372" s="19" t="s">
        <v>44</v>
      </c>
      <c r="L4372" s="19" t="s">
        <v>120</v>
      </c>
      <c r="M4372" s="15" t="s">
        <v>2025</v>
      </c>
      <c r="N4372" s="15" t="s">
        <v>36</v>
      </c>
      <c r="O4372" s="15" t="s">
        <v>114</v>
      </c>
      <c r="P4372" s="20" t="s">
        <v>262</v>
      </c>
      <c r="Q4372" s="15" t="s">
        <v>83</v>
      </c>
      <c r="R4372" s="4"/>
      <c r="S4372" s="4"/>
    </row>
    <row r="4373" spans="1:19" ht="21" customHeight="1" x14ac:dyDescent="0.25">
      <c r="A4373" s="14">
        <f>DATE(2012,12,31)-571</f>
        <v>40703</v>
      </c>
      <c r="B4373" s="15" t="s">
        <v>1074</v>
      </c>
      <c r="C4373" s="15" t="s">
        <v>31</v>
      </c>
      <c r="D4373" s="16">
        <v>6</v>
      </c>
      <c r="E4373" s="17">
        <v>254.76</v>
      </c>
      <c r="F4373" s="16">
        <v>0.06</v>
      </c>
      <c r="G4373" s="15" t="s">
        <v>32</v>
      </c>
      <c r="H4373" s="18">
        <v>109.88</v>
      </c>
      <c r="I4373" s="19">
        <v>40.97</v>
      </c>
      <c r="J4373" s="19">
        <v>14.45</v>
      </c>
      <c r="K4373" s="19" t="s">
        <v>44</v>
      </c>
      <c r="L4373" s="19" t="s">
        <v>89</v>
      </c>
      <c r="M4373" s="15" t="s">
        <v>1932</v>
      </c>
      <c r="N4373" s="15" t="s">
        <v>54</v>
      </c>
      <c r="O4373" s="15" t="s">
        <v>55</v>
      </c>
      <c r="P4373" s="20" t="s">
        <v>508</v>
      </c>
      <c r="Q4373" s="15" t="s">
        <v>39</v>
      </c>
      <c r="R4373" s="4"/>
      <c r="S4373" s="4"/>
    </row>
    <row r="4374" spans="1:19" ht="21" customHeight="1" x14ac:dyDescent="0.25">
      <c r="A4374" s="14">
        <f>DATE(2012,12,31)-339</f>
        <v>40935</v>
      </c>
      <c r="B4374" s="15" t="s">
        <v>1379</v>
      </c>
      <c r="C4374" s="15" t="s">
        <v>85</v>
      </c>
      <c r="D4374" s="16">
        <v>32</v>
      </c>
      <c r="E4374" s="17">
        <v>320.57</v>
      </c>
      <c r="F4374" s="16">
        <v>0.09</v>
      </c>
      <c r="G4374" s="15" t="s">
        <v>32</v>
      </c>
      <c r="H4374" s="18">
        <v>27.95</v>
      </c>
      <c r="I4374" s="19">
        <v>10.130000000000001</v>
      </c>
      <c r="J4374" s="19">
        <v>1.99</v>
      </c>
      <c r="K4374" s="19" t="s">
        <v>44</v>
      </c>
      <c r="L4374" s="19" t="s">
        <v>45</v>
      </c>
      <c r="M4374" s="15" t="s">
        <v>2165</v>
      </c>
      <c r="N4374" s="15" t="s">
        <v>64</v>
      </c>
      <c r="O4374" s="15" t="s">
        <v>72</v>
      </c>
      <c r="P4374" s="20" t="s">
        <v>2166</v>
      </c>
      <c r="Q4374" s="15" t="s">
        <v>49</v>
      </c>
      <c r="R4374" s="4"/>
      <c r="S4374" s="4"/>
    </row>
    <row r="4375" spans="1:19" ht="21" customHeight="1" x14ac:dyDescent="0.25">
      <c r="A4375" s="14">
        <f>DATE(2012,12,31)-1363</f>
        <v>39911</v>
      </c>
      <c r="B4375" s="15" t="s">
        <v>2167</v>
      </c>
      <c r="C4375" s="15" t="s">
        <v>43</v>
      </c>
      <c r="D4375" s="16">
        <v>37</v>
      </c>
      <c r="E4375" s="17">
        <v>161.02000000000001</v>
      </c>
      <c r="F4375" s="16">
        <v>0.08</v>
      </c>
      <c r="G4375" s="15" t="s">
        <v>32</v>
      </c>
      <c r="H4375" s="18">
        <v>32.189499999999995</v>
      </c>
      <c r="I4375" s="19">
        <v>4.55</v>
      </c>
      <c r="J4375" s="19">
        <v>1.49</v>
      </c>
      <c r="K4375" s="19" t="s">
        <v>44</v>
      </c>
      <c r="L4375" s="19" t="s">
        <v>89</v>
      </c>
      <c r="M4375" s="15" t="s">
        <v>1932</v>
      </c>
      <c r="N4375" s="15" t="s">
        <v>36</v>
      </c>
      <c r="O4375" s="15" t="s">
        <v>170</v>
      </c>
      <c r="P4375" s="20" t="s">
        <v>1581</v>
      </c>
      <c r="Q4375" s="15" t="s">
        <v>83</v>
      </c>
      <c r="R4375" s="4"/>
      <c r="S4375" s="4"/>
    </row>
    <row r="4376" spans="1:19" ht="21" customHeight="1" x14ac:dyDescent="0.25">
      <c r="A4376" s="14">
        <f>DATE(2012,12,31)-135</f>
        <v>41139</v>
      </c>
      <c r="B4376" s="15" t="s">
        <v>637</v>
      </c>
      <c r="C4376" s="15" t="s">
        <v>31</v>
      </c>
      <c r="D4376" s="16">
        <v>24</v>
      </c>
      <c r="E4376" s="17">
        <v>169.35400000000001</v>
      </c>
      <c r="F4376" s="16">
        <v>0.09</v>
      </c>
      <c r="G4376" s="15" t="s">
        <v>101</v>
      </c>
      <c r="H4376" s="18">
        <v>-84.138999999999996</v>
      </c>
      <c r="I4376" s="19">
        <v>7.99</v>
      </c>
      <c r="J4376" s="19">
        <v>5.03</v>
      </c>
      <c r="K4376" s="19" t="s">
        <v>44</v>
      </c>
      <c r="L4376" s="19" t="s">
        <v>89</v>
      </c>
      <c r="M4376" s="15" t="s">
        <v>1932</v>
      </c>
      <c r="N4376" s="15" t="s">
        <v>64</v>
      </c>
      <c r="O4376" s="15" t="s">
        <v>65</v>
      </c>
      <c r="P4376" s="20" t="s">
        <v>66</v>
      </c>
      <c r="Q4376" s="15" t="s">
        <v>57</v>
      </c>
      <c r="R4376" s="4"/>
      <c r="S4376" s="4"/>
    </row>
    <row r="4377" spans="1:19" ht="21" customHeight="1" x14ac:dyDescent="0.25">
      <c r="A4377" s="14">
        <f>DATE(2012,12,31)-1376</f>
        <v>39898</v>
      </c>
      <c r="B4377" s="15" t="s">
        <v>392</v>
      </c>
      <c r="C4377" s="15" t="s">
        <v>43</v>
      </c>
      <c r="D4377" s="16">
        <v>20</v>
      </c>
      <c r="E4377" s="17">
        <v>4520.6000000000004</v>
      </c>
      <c r="F4377" s="16">
        <v>7.0000000000000007E-2</v>
      </c>
      <c r="G4377" s="15" t="s">
        <v>32</v>
      </c>
      <c r="H4377" s="18">
        <v>1944.38</v>
      </c>
      <c r="I4377" s="19">
        <v>225.04</v>
      </c>
      <c r="J4377" s="19">
        <v>11.79</v>
      </c>
      <c r="K4377" s="19" t="s">
        <v>124</v>
      </c>
      <c r="L4377" s="19" t="s">
        <v>164</v>
      </c>
      <c r="M4377" s="15" t="s">
        <v>2126</v>
      </c>
      <c r="N4377" s="15" t="s">
        <v>36</v>
      </c>
      <c r="O4377" s="15" t="s">
        <v>176</v>
      </c>
      <c r="P4377" s="20" t="s">
        <v>2067</v>
      </c>
      <c r="Q4377" s="15" t="s">
        <v>57</v>
      </c>
      <c r="R4377" s="4"/>
      <c r="S4377" s="4"/>
    </row>
    <row r="4378" spans="1:19" ht="21" customHeight="1" x14ac:dyDescent="0.25">
      <c r="A4378" s="14">
        <f>DATE(2012,12,31)-1376</f>
        <v>39898</v>
      </c>
      <c r="B4378" s="15" t="s">
        <v>392</v>
      </c>
      <c r="C4378" s="15" t="s">
        <v>43</v>
      </c>
      <c r="D4378" s="16">
        <v>29</v>
      </c>
      <c r="E4378" s="17">
        <v>225.25</v>
      </c>
      <c r="F4378" s="16">
        <v>0.03</v>
      </c>
      <c r="G4378" s="15" t="s">
        <v>32</v>
      </c>
      <c r="H4378" s="18">
        <v>-7.59</v>
      </c>
      <c r="I4378" s="19">
        <v>7.84</v>
      </c>
      <c r="J4378" s="19">
        <v>4.71</v>
      </c>
      <c r="K4378" s="19" t="s">
        <v>33</v>
      </c>
      <c r="L4378" s="19" t="s">
        <v>93</v>
      </c>
      <c r="M4378" s="15" t="s">
        <v>94</v>
      </c>
      <c r="N4378" s="15" t="s">
        <v>36</v>
      </c>
      <c r="O4378" s="15" t="s">
        <v>170</v>
      </c>
      <c r="P4378" s="20" t="s">
        <v>776</v>
      </c>
      <c r="Q4378" s="15" t="s">
        <v>83</v>
      </c>
      <c r="R4378" s="4"/>
      <c r="S4378" s="4"/>
    </row>
    <row r="4379" spans="1:19" ht="21" customHeight="1" x14ac:dyDescent="0.25">
      <c r="A4379" s="14">
        <f>DATE(2012,12,31)-1192</f>
        <v>40082</v>
      </c>
      <c r="B4379" s="15" t="s">
        <v>282</v>
      </c>
      <c r="C4379" s="15" t="s">
        <v>85</v>
      </c>
      <c r="D4379" s="16">
        <v>26</v>
      </c>
      <c r="E4379" s="17">
        <v>539.66</v>
      </c>
      <c r="F4379" s="16">
        <v>0</v>
      </c>
      <c r="G4379" s="15" t="s">
        <v>101</v>
      </c>
      <c r="H4379" s="18">
        <v>147.08000000000001</v>
      </c>
      <c r="I4379" s="19">
        <v>19.98</v>
      </c>
      <c r="J4379" s="19">
        <v>5.97</v>
      </c>
      <c r="K4379" s="19" t="s">
        <v>33</v>
      </c>
      <c r="L4379" s="19" t="s">
        <v>128</v>
      </c>
      <c r="M4379" s="15" t="s">
        <v>129</v>
      </c>
      <c r="N4379" s="15" t="s">
        <v>36</v>
      </c>
      <c r="O4379" s="15" t="s">
        <v>117</v>
      </c>
      <c r="P4379" s="20" t="s">
        <v>1347</v>
      </c>
      <c r="Q4379" s="15" t="s">
        <v>83</v>
      </c>
      <c r="R4379" s="4"/>
      <c r="S4379" s="4"/>
    </row>
    <row r="4380" spans="1:19" ht="21" customHeight="1" x14ac:dyDescent="0.25">
      <c r="A4380" s="14">
        <f>DATE(2012,12,31)-863</f>
        <v>40411</v>
      </c>
      <c r="B4380" s="15" t="s">
        <v>688</v>
      </c>
      <c r="C4380" s="15" t="s">
        <v>31</v>
      </c>
      <c r="D4380" s="16">
        <v>14</v>
      </c>
      <c r="E4380" s="17">
        <v>215.52</v>
      </c>
      <c r="F4380" s="16">
        <v>0.02</v>
      </c>
      <c r="G4380" s="15" t="s">
        <v>32</v>
      </c>
      <c r="H4380" s="18">
        <v>75.83</v>
      </c>
      <c r="I4380" s="19">
        <v>14.34</v>
      </c>
      <c r="J4380" s="19">
        <v>5</v>
      </c>
      <c r="K4380" s="19" t="s">
        <v>33</v>
      </c>
      <c r="L4380" s="19" t="s">
        <v>93</v>
      </c>
      <c r="M4380" s="15" t="s">
        <v>94</v>
      </c>
      <c r="N4380" s="15" t="s">
        <v>54</v>
      </c>
      <c r="O4380" s="15" t="s">
        <v>55</v>
      </c>
      <c r="P4380" s="20" t="s">
        <v>277</v>
      </c>
      <c r="Q4380" s="15" t="s">
        <v>49</v>
      </c>
      <c r="R4380" s="4"/>
      <c r="S4380" s="4"/>
    </row>
    <row r="4381" spans="1:19" ht="21" customHeight="1" x14ac:dyDescent="0.25">
      <c r="A4381" s="14">
        <f>DATE(2012,12,31)-863</f>
        <v>40411</v>
      </c>
      <c r="B4381" s="15" t="s">
        <v>688</v>
      </c>
      <c r="C4381" s="15" t="s">
        <v>31</v>
      </c>
      <c r="D4381" s="16">
        <v>8</v>
      </c>
      <c r="E4381" s="17">
        <v>10.46</v>
      </c>
      <c r="F4381" s="16">
        <v>0</v>
      </c>
      <c r="G4381" s="15" t="s">
        <v>32</v>
      </c>
      <c r="H4381" s="18">
        <v>-0.89</v>
      </c>
      <c r="I4381" s="19">
        <v>1.1399999999999999</v>
      </c>
      <c r="J4381" s="19">
        <v>0.7</v>
      </c>
      <c r="K4381" s="19" t="s">
        <v>33</v>
      </c>
      <c r="L4381" s="19" t="s">
        <v>128</v>
      </c>
      <c r="M4381" s="15" t="s">
        <v>129</v>
      </c>
      <c r="N4381" s="15" t="s">
        <v>36</v>
      </c>
      <c r="O4381" s="15" t="s">
        <v>105</v>
      </c>
      <c r="P4381" s="20" t="s">
        <v>1551</v>
      </c>
      <c r="Q4381" s="15" t="s">
        <v>79</v>
      </c>
      <c r="R4381" s="4"/>
      <c r="S4381" s="4"/>
    </row>
    <row r="4382" spans="1:19" ht="21" customHeight="1" x14ac:dyDescent="0.25">
      <c r="A4382" s="14">
        <f>DATE(2012,12,31)-124</f>
        <v>41150</v>
      </c>
      <c r="B4382" s="15" t="s">
        <v>1605</v>
      </c>
      <c r="C4382" s="15" t="s">
        <v>51</v>
      </c>
      <c r="D4382" s="16">
        <v>9</v>
      </c>
      <c r="E4382" s="17">
        <v>2643.15</v>
      </c>
      <c r="F4382" s="16">
        <v>0.01</v>
      </c>
      <c r="G4382" s="15" t="s">
        <v>58</v>
      </c>
      <c r="H4382" s="18">
        <v>-715.11440000000016</v>
      </c>
      <c r="I4382" s="19">
        <v>286.85000000000002</v>
      </c>
      <c r="J4382" s="19">
        <v>61.76</v>
      </c>
      <c r="K4382" s="19" t="s">
        <v>33</v>
      </c>
      <c r="L4382" s="19" t="s">
        <v>93</v>
      </c>
      <c r="M4382" s="15" t="s">
        <v>94</v>
      </c>
      <c r="N4382" s="15" t="s">
        <v>54</v>
      </c>
      <c r="O4382" s="15" t="s">
        <v>61</v>
      </c>
      <c r="P4382" s="20" t="s">
        <v>1194</v>
      </c>
      <c r="Q4382" s="15" t="s">
        <v>63</v>
      </c>
      <c r="R4382" s="4"/>
      <c r="S4382" s="4"/>
    </row>
    <row r="4383" spans="1:19" ht="21" customHeight="1" x14ac:dyDescent="0.25">
      <c r="A4383" s="14">
        <f>DATE(2012,12,31)-464</f>
        <v>40810</v>
      </c>
      <c r="B4383" s="15" t="s">
        <v>149</v>
      </c>
      <c r="C4383" s="15" t="s">
        <v>31</v>
      </c>
      <c r="D4383" s="16">
        <v>41</v>
      </c>
      <c r="E4383" s="17">
        <v>1298.29</v>
      </c>
      <c r="F4383" s="16">
        <v>0.06</v>
      </c>
      <c r="G4383" s="15" t="s">
        <v>32</v>
      </c>
      <c r="H4383" s="18">
        <v>542.33000000000004</v>
      </c>
      <c r="I4383" s="19">
        <v>31.78</v>
      </c>
      <c r="J4383" s="19">
        <v>1.99</v>
      </c>
      <c r="K4383" s="19" t="s">
        <v>97</v>
      </c>
      <c r="L4383" s="19" t="s">
        <v>98</v>
      </c>
      <c r="M4383" s="15" t="s">
        <v>2161</v>
      </c>
      <c r="N4383" s="15" t="s">
        <v>64</v>
      </c>
      <c r="O4383" s="15" t="s">
        <v>72</v>
      </c>
      <c r="P4383" s="20" t="s">
        <v>421</v>
      </c>
      <c r="Q4383" s="15" t="s">
        <v>49</v>
      </c>
      <c r="R4383" s="4"/>
      <c r="S4383" s="4"/>
    </row>
    <row r="4384" spans="1:19" ht="21" customHeight="1" x14ac:dyDescent="0.25">
      <c r="A4384" s="14">
        <f>DATE(2012,12,31)-464</f>
        <v>40810</v>
      </c>
      <c r="B4384" s="15" t="s">
        <v>149</v>
      </c>
      <c r="C4384" s="15" t="s">
        <v>31</v>
      </c>
      <c r="D4384" s="16">
        <v>3</v>
      </c>
      <c r="E4384" s="17">
        <v>19.34</v>
      </c>
      <c r="F4384" s="16">
        <v>0.06</v>
      </c>
      <c r="G4384" s="15" t="s">
        <v>32</v>
      </c>
      <c r="H4384" s="18">
        <v>-11.36</v>
      </c>
      <c r="I4384" s="19">
        <v>4.9800000000000004</v>
      </c>
      <c r="J4384" s="19">
        <v>5.0199999999999996</v>
      </c>
      <c r="K4384" s="19" t="s">
        <v>97</v>
      </c>
      <c r="L4384" s="19" t="s">
        <v>98</v>
      </c>
      <c r="M4384" s="15" t="s">
        <v>2161</v>
      </c>
      <c r="N4384" s="15" t="s">
        <v>36</v>
      </c>
      <c r="O4384" s="15" t="s">
        <v>117</v>
      </c>
      <c r="P4384" s="20" t="s">
        <v>2168</v>
      </c>
      <c r="Q4384" s="15" t="s">
        <v>83</v>
      </c>
      <c r="R4384" s="4"/>
      <c r="S4384" s="4"/>
    </row>
    <row r="4385" spans="1:19" ht="21" customHeight="1" x14ac:dyDescent="0.25">
      <c r="A4385" s="14">
        <f>DATE(2012,12,31)-464</f>
        <v>40810</v>
      </c>
      <c r="B4385" s="15" t="s">
        <v>149</v>
      </c>
      <c r="C4385" s="15" t="s">
        <v>31</v>
      </c>
      <c r="D4385" s="16">
        <v>35</v>
      </c>
      <c r="E4385" s="17">
        <v>590.32000000000005</v>
      </c>
      <c r="F4385" s="16">
        <v>0.06</v>
      </c>
      <c r="G4385" s="15" t="s">
        <v>32</v>
      </c>
      <c r="H4385" s="18">
        <v>-91.31</v>
      </c>
      <c r="I4385" s="19">
        <v>16.989999999999998</v>
      </c>
      <c r="J4385" s="19">
        <v>8.99</v>
      </c>
      <c r="K4385" s="19" t="s">
        <v>97</v>
      </c>
      <c r="L4385" s="19" t="s">
        <v>98</v>
      </c>
      <c r="M4385" s="15" t="s">
        <v>2161</v>
      </c>
      <c r="N4385" s="15" t="s">
        <v>36</v>
      </c>
      <c r="O4385" s="15" t="s">
        <v>77</v>
      </c>
      <c r="P4385" s="20" t="s">
        <v>1313</v>
      </c>
      <c r="Q4385" s="15" t="s">
        <v>49</v>
      </c>
      <c r="R4385" s="4"/>
      <c r="S4385" s="4"/>
    </row>
    <row r="4386" spans="1:19" ht="21" customHeight="1" x14ac:dyDescent="0.25">
      <c r="A4386" s="14">
        <f>DATE(2012,12,31)-464</f>
        <v>40810</v>
      </c>
      <c r="B4386" s="15" t="s">
        <v>149</v>
      </c>
      <c r="C4386" s="15" t="s">
        <v>31</v>
      </c>
      <c r="D4386" s="16">
        <v>19</v>
      </c>
      <c r="E4386" s="17">
        <v>4245.93</v>
      </c>
      <c r="F4386" s="16">
        <v>0</v>
      </c>
      <c r="G4386" s="15" t="s">
        <v>32</v>
      </c>
      <c r="H4386" s="18">
        <v>-626.45000000000005</v>
      </c>
      <c r="I4386" s="19">
        <v>209.37</v>
      </c>
      <c r="J4386" s="19">
        <v>69</v>
      </c>
      <c r="K4386" s="19" t="s">
        <v>97</v>
      </c>
      <c r="L4386" s="19" t="s">
        <v>98</v>
      </c>
      <c r="M4386" s="15" t="s">
        <v>2161</v>
      </c>
      <c r="N4386" s="15" t="s">
        <v>54</v>
      </c>
      <c r="O4386" s="15" t="s">
        <v>61</v>
      </c>
      <c r="P4386" s="20" t="s">
        <v>1131</v>
      </c>
      <c r="Q4386" s="15" t="s">
        <v>39</v>
      </c>
      <c r="R4386" s="4"/>
      <c r="S4386" s="4"/>
    </row>
    <row r="4387" spans="1:19" ht="21" customHeight="1" x14ac:dyDescent="0.25">
      <c r="A4387" s="14">
        <f>DATE(2012,12,31)-521</f>
        <v>40753</v>
      </c>
      <c r="B4387" s="15" t="s">
        <v>311</v>
      </c>
      <c r="C4387" s="15" t="s">
        <v>43</v>
      </c>
      <c r="D4387" s="16">
        <v>13</v>
      </c>
      <c r="E4387" s="17">
        <v>589.78</v>
      </c>
      <c r="F4387" s="16">
        <v>0</v>
      </c>
      <c r="G4387" s="15" t="s">
        <v>32</v>
      </c>
      <c r="H4387" s="18">
        <v>225.2585</v>
      </c>
      <c r="I4387" s="19">
        <v>42.8</v>
      </c>
      <c r="J4387" s="19">
        <v>2.99</v>
      </c>
      <c r="K4387" s="19" t="s">
        <v>97</v>
      </c>
      <c r="L4387" s="19" t="s">
        <v>195</v>
      </c>
      <c r="M4387" s="15" t="s">
        <v>2138</v>
      </c>
      <c r="N4387" s="15" t="s">
        <v>36</v>
      </c>
      <c r="O4387" s="15" t="s">
        <v>170</v>
      </c>
      <c r="P4387" s="20" t="s">
        <v>1391</v>
      </c>
      <c r="Q4387" s="15" t="s">
        <v>83</v>
      </c>
      <c r="R4387" s="4"/>
      <c r="S4387" s="4"/>
    </row>
    <row r="4388" spans="1:19" ht="21" customHeight="1" x14ac:dyDescent="0.25">
      <c r="A4388" s="14">
        <f>DATE(2012,12,31)-862</f>
        <v>40412</v>
      </c>
      <c r="B4388" s="15" t="s">
        <v>1364</v>
      </c>
      <c r="C4388" s="15" t="s">
        <v>85</v>
      </c>
      <c r="D4388" s="16">
        <v>21</v>
      </c>
      <c r="E4388" s="17">
        <v>7512.03</v>
      </c>
      <c r="F4388" s="16">
        <v>0.09</v>
      </c>
      <c r="G4388" s="15" t="s">
        <v>101</v>
      </c>
      <c r="H4388" s="18">
        <v>2017.64</v>
      </c>
      <c r="I4388" s="19">
        <v>363.25</v>
      </c>
      <c r="J4388" s="19">
        <v>19.989999999999998</v>
      </c>
      <c r="K4388" s="19" t="s">
        <v>97</v>
      </c>
      <c r="L4388" s="19" t="s">
        <v>195</v>
      </c>
      <c r="M4388" s="15" t="s">
        <v>2138</v>
      </c>
      <c r="N4388" s="15" t="s">
        <v>36</v>
      </c>
      <c r="O4388" s="15" t="s">
        <v>176</v>
      </c>
      <c r="P4388" s="20" t="s">
        <v>177</v>
      </c>
      <c r="Q4388" s="15" t="s">
        <v>83</v>
      </c>
      <c r="R4388" s="4"/>
      <c r="S4388" s="4"/>
    </row>
    <row r="4389" spans="1:19" ht="21" customHeight="1" x14ac:dyDescent="0.25">
      <c r="A4389" s="14">
        <f>DATE(2012,12,31)-856</f>
        <v>40418</v>
      </c>
      <c r="B4389" s="15" t="s">
        <v>2086</v>
      </c>
      <c r="C4389" s="15" t="s">
        <v>31</v>
      </c>
      <c r="D4389" s="16">
        <v>20</v>
      </c>
      <c r="E4389" s="17">
        <v>677.9</v>
      </c>
      <c r="F4389" s="16">
        <v>0.05</v>
      </c>
      <c r="G4389" s="15" t="s">
        <v>32</v>
      </c>
      <c r="H4389" s="18">
        <v>196.36</v>
      </c>
      <c r="I4389" s="19">
        <v>33.979999999999997</v>
      </c>
      <c r="J4389" s="19">
        <v>1.99</v>
      </c>
      <c r="K4389" s="19" t="s">
        <v>97</v>
      </c>
      <c r="L4389" s="19" t="s">
        <v>195</v>
      </c>
      <c r="M4389" s="15" t="s">
        <v>2138</v>
      </c>
      <c r="N4389" s="15" t="s">
        <v>64</v>
      </c>
      <c r="O4389" s="15" t="s">
        <v>72</v>
      </c>
      <c r="P4389" s="20" t="s">
        <v>997</v>
      </c>
      <c r="Q4389" s="15" t="s">
        <v>49</v>
      </c>
      <c r="R4389" s="4"/>
      <c r="S4389" s="4"/>
    </row>
    <row r="4390" spans="1:19" ht="21" customHeight="1" x14ac:dyDescent="0.25">
      <c r="A4390" s="14">
        <f>DATE(2012,12,31)-89</f>
        <v>41185</v>
      </c>
      <c r="B4390" s="15" t="s">
        <v>620</v>
      </c>
      <c r="C4390" s="15" t="s">
        <v>51</v>
      </c>
      <c r="D4390" s="16">
        <v>16</v>
      </c>
      <c r="E4390" s="17">
        <v>6573.75</v>
      </c>
      <c r="F4390" s="16">
        <v>0.04</v>
      </c>
      <c r="G4390" s="15" t="s">
        <v>58</v>
      </c>
      <c r="H4390" s="18">
        <v>1197.05</v>
      </c>
      <c r="I4390" s="19">
        <v>399.98</v>
      </c>
      <c r="J4390" s="19">
        <v>12.06</v>
      </c>
      <c r="K4390" s="19" t="s">
        <v>124</v>
      </c>
      <c r="L4390" s="19" t="s">
        <v>160</v>
      </c>
      <c r="M4390" s="15" t="s">
        <v>1951</v>
      </c>
      <c r="N4390" s="15" t="s">
        <v>64</v>
      </c>
      <c r="O4390" s="15" t="s">
        <v>122</v>
      </c>
      <c r="P4390" s="20" t="s">
        <v>561</v>
      </c>
      <c r="Q4390" s="15" t="s">
        <v>63</v>
      </c>
      <c r="R4390" s="4"/>
      <c r="S4390" s="4"/>
    </row>
    <row r="4391" spans="1:19" ht="21" customHeight="1" x14ac:dyDescent="0.25">
      <c r="A4391" s="14">
        <f>DATE(2012,12,31)-38</f>
        <v>41236</v>
      </c>
      <c r="B4391" s="15" t="s">
        <v>649</v>
      </c>
      <c r="C4391" s="15" t="s">
        <v>85</v>
      </c>
      <c r="D4391" s="16">
        <v>21</v>
      </c>
      <c r="E4391" s="17">
        <v>6806.66</v>
      </c>
      <c r="F4391" s="16">
        <v>0</v>
      </c>
      <c r="G4391" s="15" t="s">
        <v>58</v>
      </c>
      <c r="H4391" s="18">
        <v>801.72</v>
      </c>
      <c r="I4391" s="19">
        <v>299.05</v>
      </c>
      <c r="J4391" s="19">
        <v>87.01</v>
      </c>
      <c r="K4391" s="19" t="s">
        <v>124</v>
      </c>
      <c r="L4391" s="19" t="s">
        <v>160</v>
      </c>
      <c r="M4391" s="15" t="s">
        <v>1951</v>
      </c>
      <c r="N4391" s="15" t="s">
        <v>54</v>
      </c>
      <c r="O4391" s="15" t="s">
        <v>252</v>
      </c>
      <c r="P4391" s="20" t="s">
        <v>2169</v>
      </c>
      <c r="Q4391" s="15" t="s">
        <v>181</v>
      </c>
      <c r="R4391" s="4"/>
      <c r="S4391" s="4"/>
    </row>
    <row r="4392" spans="1:19" ht="21" customHeight="1" x14ac:dyDescent="0.25">
      <c r="A4392" s="14">
        <f>DATE(2012,12,31)-38</f>
        <v>41236</v>
      </c>
      <c r="B4392" s="15" t="s">
        <v>649</v>
      </c>
      <c r="C4392" s="15" t="s">
        <v>85</v>
      </c>
      <c r="D4392" s="16">
        <v>3</v>
      </c>
      <c r="E4392" s="17">
        <v>891.61</v>
      </c>
      <c r="F4392" s="16">
        <v>0.1</v>
      </c>
      <c r="G4392" s="15" t="s">
        <v>58</v>
      </c>
      <c r="H4392" s="18">
        <v>-328.36</v>
      </c>
      <c r="I4392" s="19">
        <v>291.73</v>
      </c>
      <c r="J4392" s="19">
        <v>48.8</v>
      </c>
      <c r="K4392" s="19" t="s">
        <v>124</v>
      </c>
      <c r="L4392" s="19" t="s">
        <v>160</v>
      </c>
      <c r="M4392" s="15" t="s">
        <v>1951</v>
      </c>
      <c r="N4392" s="15" t="s">
        <v>54</v>
      </c>
      <c r="O4392" s="15" t="s">
        <v>252</v>
      </c>
      <c r="P4392" s="20" t="s">
        <v>751</v>
      </c>
      <c r="Q4392" s="15" t="s">
        <v>181</v>
      </c>
      <c r="R4392" s="4"/>
      <c r="S4392" s="4"/>
    </row>
    <row r="4393" spans="1:19" ht="21" customHeight="1" x14ac:dyDescent="0.25">
      <c r="A4393" s="14">
        <f>DATE(2012,12,31)-38</f>
        <v>41236</v>
      </c>
      <c r="B4393" s="15" t="s">
        <v>649</v>
      </c>
      <c r="C4393" s="15" t="s">
        <v>85</v>
      </c>
      <c r="D4393" s="16">
        <v>5</v>
      </c>
      <c r="E4393" s="17">
        <v>165.04</v>
      </c>
      <c r="F4393" s="16">
        <v>0.03</v>
      </c>
      <c r="G4393" s="15" t="s">
        <v>32</v>
      </c>
      <c r="H4393" s="18">
        <v>-112.44</v>
      </c>
      <c r="I4393" s="19">
        <v>30.42</v>
      </c>
      <c r="J4393" s="19">
        <v>8.65</v>
      </c>
      <c r="K4393" s="19" t="s">
        <v>124</v>
      </c>
      <c r="L4393" s="19" t="s">
        <v>160</v>
      </c>
      <c r="M4393" s="15" t="s">
        <v>1951</v>
      </c>
      <c r="N4393" s="15" t="s">
        <v>64</v>
      </c>
      <c r="O4393" s="15" t="s">
        <v>72</v>
      </c>
      <c r="P4393" s="20" t="s">
        <v>1175</v>
      </c>
      <c r="Q4393" s="15" t="s">
        <v>83</v>
      </c>
      <c r="R4393" s="4"/>
      <c r="S4393" s="4"/>
    </row>
    <row r="4394" spans="1:19" ht="21" customHeight="1" x14ac:dyDescent="0.25">
      <c r="A4394" s="14">
        <f>DATE(2012,12,31)-621</f>
        <v>40653</v>
      </c>
      <c r="B4394" s="15" t="s">
        <v>612</v>
      </c>
      <c r="C4394" s="15" t="s">
        <v>31</v>
      </c>
      <c r="D4394" s="16">
        <v>4</v>
      </c>
      <c r="E4394" s="17">
        <v>43.29</v>
      </c>
      <c r="F4394" s="16">
        <v>0.03</v>
      </c>
      <c r="G4394" s="15" t="s">
        <v>32</v>
      </c>
      <c r="H4394" s="18">
        <v>-0.36000000000000654</v>
      </c>
      <c r="I4394" s="19">
        <v>8.3699999999999992</v>
      </c>
      <c r="J4394" s="19">
        <v>10.16</v>
      </c>
      <c r="K4394" s="19" t="s">
        <v>124</v>
      </c>
      <c r="L4394" s="19" t="s">
        <v>160</v>
      </c>
      <c r="M4394" s="15" t="s">
        <v>1951</v>
      </c>
      <c r="N4394" s="15" t="s">
        <v>54</v>
      </c>
      <c r="O4394" s="15" t="s">
        <v>55</v>
      </c>
      <c r="P4394" s="20" t="s">
        <v>1516</v>
      </c>
      <c r="Q4394" s="15" t="s">
        <v>39</v>
      </c>
      <c r="R4394" s="4"/>
      <c r="S4394" s="4"/>
    </row>
    <row r="4395" spans="1:19" ht="21" customHeight="1" x14ac:dyDescent="0.25">
      <c r="A4395" s="14">
        <f>DATE(2012,12,31)-135</f>
        <v>41139</v>
      </c>
      <c r="B4395" s="15" t="s">
        <v>1755</v>
      </c>
      <c r="C4395" s="15" t="s">
        <v>31</v>
      </c>
      <c r="D4395" s="16">
        <v>39</v>
      </c>
      <c r="E4395" s="17">
        <v>679.95</v>
      </c>
      <c r="F4395" s="16">
        <v>0.08</v>
      </c>
      <c r="G4395" s="15" t="s">
        <v>32</v>
      </c>
      <c r="H4395" s="18">
        <v>-93.3</v>
      </c>
      <c r="I4395" s="19">
        <v>17.989999999999998</v>
      </c>
      <c r="J4395" s="19">
        <v>8.65</v>
      </c>
      <c r="K4395" s="19" t="s">
        <v>124</v>
      </c>
      <c r="L4395" s="19" t="s">
        <v>164</v>
      </c>
      <c r="M4395" s="15" t="s">
        <v>2126</v>
      </c>
      <c r="N4395" s="15" t="s">
        <v>36</v>
      </c>
      <c r="O4395" s="15" t="s">
        <v>77</v>
      </c>
      <c r="P4395" s="20" t="s">
        <v>2170</v>
      </c>
      <c r="Q4395" s="15" t="s">
        <v>83</v>
      </c>
      <c r="R4395" s="4"/>
      <c r="S4395" s="4"/>
    </row>
    <row r="4396" spans="1:19" ht="21" customHeight="1" x14ac:dyDescent="0.25">
      <c r="A4396" s="14">
        <f>DATE(2012,12,31)-135</f>
        <v>41139</v>
      </c>
      <c r="B4396" s="15" t="s">
        <v>1755</v>
      </c>
      <c r="C4396" s="15" t="s">
        <v>31</v>
      </c>
      <c r="D4396" s="16">
        <v>44</v>
      </c>
      <c r="E4396" s="17">
        <v>1579.56</v>
      </c>
      <c r="F4396" s="16">
        <v>0.01</v>
      </c>
      <c r="G4396" s="15" t="s">
        <v>32</v>
      </c>
      <c r="H4396" s="18">
        <v>699.64</v>
      </c>
      <c r="I4396" s="19">
        <v>35.44</v>
      </c>
      <c r="J4396" s="19">
        <v>4.92</v>
      </c>
      <c r="K4396" s="19" t="s">
        <v>124</v>
      </c>
      <c r="L4396" s="19" t="s">
        <v>164</v>
      </c>
      <c r="M4396" s="15" t="s">
        <v>2171</v>
      </c>
      <c r="N4396" s="15" t="s">
        <v>36</v>
      </c>
      <c r="O4396" s="15" t="s">
        <v>117</v>
      </c>
      <c r="P4396" s="20" t="s">
        <v>1851</v>
      </c>
      <c r="Q4396" s="15" t="s">
        <v>83</v>
      </c>
      <c r="R4396" s="4"/>
      <c r="S4396" s="4"/>
    </row>
    <row r="4397" spans="1:19" ht="21" customHeight="1" x14ac:dyDescent="0.25">
      <c r="A4397" s="14">
        <f>DATE(2012,12,31)-805</f>
        <v>40469</v>
      </c>
      <c r="B4397" s="15" t="s">
        <v>290</v>
      </c>
      <c r="C4397" s="15" t="s">
        <v>31</v>
      </c>
      <c r="D4397" s="16">
        <v>31</v>
      </c>
      <c r="E4397" s="17">
        <v>109.78</v>
      </c>
      <c r="F4397" s="16">
        <v>0.06</v>
      </c>
      <c r="G4397" s="15" t="s">
        <v>32</v>
      </c>
      <c r="H4397" s="18">
        <v>43.77</v>
      </c>
      <c r="I4397" s="19">
        <v>3.75</v>
      </c>
      <c r="J4397" s="19">
        <v>0.5</v>
      </c>
      <c r="K4397" s="19" t="s">
        <v>124</v>
      </c>
      <c r="L4397" s="19" t="s">
        <v>493</v>
      </c>
      <c r="M4397" s="15" t="s">
        <v>2134</v>
      </c>
      <c r="N4397" s="15" t="s">
        <v>36</v>
      </c>
      <c r="O4397" s="15" t="s">
        <v>114</v>
      </c>
      <c r="P4397" s="20" t="s">
        <v>982</v>
      </c>
      <c r="Q4397" s="15" t="s">
        <v>83</v>
      </c>
      <c r="R4397" s="4"/>
      <c r="S4397" s="4"/>
    </row>
    <row r="4398" spans="1:19" ht="21" customHeight="1" x14ac:dyDescent="0.25">
      <c r="A4398" s="14">
        <f>DATE(2012,12,31)-152</f>
        <v>41122</v>
      </c>
      <c r="B4398" s="15" t="s">
        <v>386</v>
      </c>
      <c r="C4398" s="15" t="s">
        <v>51</v>
      </c>
      <c r="D4398" s="16">
        <v>41</v>
      </c>
      <c r="E4398" s="17">
        <v>4648.6400000000003</v>
      </c>
      <c r="F4398" s="16">
        <v>0.04</v>
      </c>
      <c r="G4398" s="15" t="s">
        <v>32</v>
      </c>
      <c r="H4398" s="18">
        <v>1777.67</v>
      </c>
      <c r="I4398" s="19">
        <v>115.79</v>
      </c>
      <c r="J4398" s="19">
        <v>1.99</v>
      </c>
      <c r="K4398" s="19" t="s">
        <v>124</v>
      </c>
      <c r="L4398" s="19" t="s">
        <v>493</v>
      </c>
      <c r="M4398" s="15" t="s">
        <v>2134</v>
      </c>
      <c r="N4398" s="15" t="s">
        <v>64</v>
      </c>
      <c r="O4398" s="15" t="s">
        <v>72</v>
      </c>
      <c r="P4398" s="20" t="s">
        <v>91</v>
      </c>
      <c r="Q4398" s="15" t="s">
        <v>49</v>
      </c>
      <c r="R4398" s="4"/>
      <c r="S4398" s="4"/>
    </row>
    <row r="4399" spans="1:19" ht="21" customHeight="1" x14ac:dyDescent="0.25">
      <c r="A4399" s="14">
        <f>DATE(2012,12,31)-652</f>
        <v>40622</v>
      </c>
      <c r="B4399" s="15" t="s">
        <v>1211</v>
      </c>
      <c r="C4399" s="15" t="s">
        <v>31</v>
      </c>
      <c r="D4399" s="16">
        <v>50</v>
      </c>
      <c r="E4399" s="17">
        <v>306.13</v>
      </c>
      <c r="F4399" s="16">
        <v>0.09</v>
      </c>
      <c r="G4399" s="15" t="s">
        <v>101</v>
      </c>
      <c r="H4399" s="18">
        <v>87.600999999999999</v>
      </c>
      <c r="I4399" s="19">
        <v>5.98</v>
      </c>
      <c r="J4399" s="19">
        <v>1.49</v>
      </c>
      <c r="K4399" s="19" t="s">
        <v>124</v>
      </c>
      <c r="L4399" s="19" t="s">
        <v>164</v>
      </c>
      <c r="M4399" s="15" t="s">
        <v>2171</v>
      </c>
      <c r="N4399" s="15" t="s">
        <v>36</v>
      </c>
      <c r="O4399" s="15" t="s">
        <v>170</v>
      </c>
      <c r="P4399" s="20" t="s">
        <v>365</v>
      </c>
      <c r="Q4399" s="15" t="s">
        <v>83</v>
      </c>
      <c r="R4399" s="4"/>
      <c r="S4399" s="4"/>
    </row>
    <row r="4400" spans="1:19" ht="21" customHeight="1" x14ac:dyDescent="0.25">
      <c r="A4400" s="14">
        <f>DATE(2012,12,31)-944</f>
        <v>40330</v>
      </c>
      <c r="B4400" s="15" t="s">
        <v>2160</v>
      </c>
      <c r="C4400" s="15" t="s">
        <v>51</v>
      </c>
      <c r="D4400" s="16">
        <v>2</v>
      </c>
      <c r="E4400" s="17">
        <v>13.5</v>
      </c>
      <c r="F4400" s="16">
        <v>0.04</v>
      </c>
      <c r="G4400" s="15" t="s">
        <v>32</v>
      </c>
      <c r="H4400" s="18">
        <v>-7.9</v>
      </c>
      <c r="I4400" s="19">
        <v>5.98</v>
      </c>
      <c r="J4400" s="19">
        <v>1.67</v>
      </c>
      <c r="K4400" s="19" t="s">
        <v>124</v>
      </c>
      <c r="L4400" s="19" t="s">
        <v>158</v>
      </c>
      <c r="M4400" s="15" t="s">
        <v>158</v>
      </c>
      <c r="N4400" s="15" t="s">
        <v>36</v>
      </c>
      <c r="O4400" s="15" t="s">
        <v>77</v>
      </c>
      <c r="P4400" s="20" t="s">
        <v>2152</v>
      </c>
      <c r="Q4400" s="15" t="s">
        <v>79</v>
      </c>
      <c r="R4400" s="4"/>
      <c r="S4400" s="4"/>
    </row>
    <row r="4401" spans="1:19" ht="21" customHeight="1" x14ac:dyDescent="0.25">
      <c r="A4401" s="14">
        <f>DATE(2012,12,31)-944</f>
        <v>40330</v>
      </c>
      <c r="B4401" s="15" t="s">
        <v>2160</v>
      </c>
      <c r="C4401" s="15" t="s">
        <v>51</v>
      </c>
      <c r="D4401" s="16">
        <v>38</v>
      </c>
      <c r="E4401" s="17">
        <v>540.64</v>
      </c>
      <c r="F4401" s="16">
        <v>0.02</v>
      </c>
      <c r="G4401" s="15" t="s">
        <v>32</v>
      </c>
      <c r="H4401" s="18">
        <v>13.89</v>
      </c>
      <c r="I4401" s="19">
        <v>13.43</v>
      </c>
      <c r="J4401" s="19">
        <v>5.5</v>
      </c>
      <c r="K4401" s="19" t="s">
        <v>124</v>
      </c>
      <c r="L4401" s="19" t="s">
        <v>164</v>
      </c>
      <c r="M4401" s="15" t="s">
        <v>2171</v>
      </c>
      <c r="N4401" s="15" t="s">
        <v>36</v>
      </c>
      <c r="O4401" s="15" t="s">
        <v>37</v>
      </c>
      <c r="P4401" s="20" t="s">
        <v>1109</v>
      </c>
      <c r="Q4401" s="15" t="s">
        <v>83</v>
      </c>
      <c r="R4401" s="4"/>
      <c r="S4401" s="4"/>
    </row>
    <row r="4402" spans="1:19" ht="21" customHeight="1" x14ac:dyDescent="0.25">
      <c r="A4402" s="14">
        <f>DATE(2012,12,31)-1340</f>
        <v>39934</v>
      </c>
      <c r="B4402" s="15" t="s">
        <v>1058</v>
      </c>
      <c r="C4402" s="15" t="s">
        <v>43</v>
      </c>
      <c r="D4402" s="16">
        <v>2</v>
      </c>
      <c r="E4402" s="17">
        <v>789.01</v>
      </c>
      <c r="F4402" s="16">
        <v>7.0000000000000007E-2</v>
      </c>
      <c r="G4402" s="15" t="s">
        <v>32</v>
      </c>
      <c r="H4402" s="18">
        <v>-539.59</v>
      </c>
      <c r="I4402" s="19">
        <v>415.88</v>
      </c>
      <c r="J4402" s="19">
        <v>11.37</v>
      </c>
      <c r="K4402" s="19" t="s">
        <v>124</v>
      </c>
      <c r="L4402" s="19" t="s">
        <v>168</v>
      </c>
      <c r="M4402" s="15" t="s">
        <v>2065</v>
      </c>
      <c r="N4402" s="15" t="s">
        <v>36</v>
      </c>
      <c r="O4402" s="15" t="s">
        <v>37</v>
      </c>
      <c r="P4402" s="20" t="s">
        <v>449</v>
      </c>
      <c r="Q4402" s="15" t="s">
        <v>83</v>
      </c>
      <c r="R4402" s="4"/>
      <c r="S4402" s="4"/>
    </row>
    <row r="4403" spans="1:19" ht="21" customHeight="1" x14ac:dyDescent="0.25">
      <c r="A4403" s="14">
        <f>DATE(2012,12,31)-970</f>
        <v>40304</v>
      </c>
      <c r="B4403" s="15" t="s">
        <v>833</v>
      </c>
      <c r="C4403" s="15" t="s">
        <v>31</v>
      </c>
      <c r="D4403" s="16">
        <v>21</v>
      </c>
      <c r="E4403" s="17">
        <v>128.86000000000001</v>
      </c>
      <c r="F4403" s="16">
        <v>0.1</v>
      </c>
      <c r="G4403" s="15" t="s">
        <v>32</v>
      </c>
      <c r="H4403" s="18">
        <v>-42.81</v>
      </c>
      <c r="I4403" s="19">
        <v>6.48</v>
      </c>
      <c r="J4403" s="19">
        <v>5.16</v>
      </c>
      <c r="K4403" s="19" t="s">
        <v>124</v>
      </c>
      <c r="L4403" s="19" t="s">
        <v>168</v>
      </c>
      <c r="M4403" s="15" t="s">
        <v>2065</v>
      </c>
      <c r="N4403" s="15" t="s">
        <v>36</v>
      </c>
      <c r="O4403" s="15" t="s">
        <v>117</v>
      </c>
      <c r="P4403" s="20" t="s">
        <v>1730</v>
      </c>
      <c r="Q4403" s="15" t="s">
        <v>83</v>
      </c>
      <c r="R4403" s="4"/>
      <c r="S4403" s="4"/>
    </row>
    <row r="4404" spans="1:19" ht="21" customHeight="1" x14ac:dyDescent="0.25">
      <c r="A4404" s="14">
        <f>DATE(2012,12,31)-970</f>
        <v>40304</v>
      </c>
      <c r="B4404" s="15" t="s">
        <v>833</v>
      </c>
      <c r="C4404" s="15" t="s">
        <v>31</v>
      </c>
      <c r="D4404" s="16">
        <v>44</v>
      </c>
      <c r="E4404" s="17">
        <v>3249.09</v>
      </c>
      <c r="F4404" s="16">
        <v>0.1</v>
      </c>
      <c r="G4404" s="15" t="s">
        <v>32</v>
      </c>
      <c r="H4404" s="18">
        <v>-1326.29</v>
      </c>
      <c r="I4404" s="19">
        <v>78.8</v>
      </c>
      <c r="J4404" s="19">
        <v>35</v>
      </c>
      <c r="K4404" s="19" t="s">
        <v>124</v>
      </c>
      <c r="L4404" s="19" t="s">
        <v>319</v>
      </c>
      <c r="M4404" s="15" t="s">
        <v>2146</v>
      </c>
      <c r="N4404" s="15" t="s">
        <v>36</v>
      </c>
      <c r="O4404" s="15" t="s">
        <v>37</v>
      </c>
      <c r="P4404" s="20" t="s">
        <v>1714</v>
      </c>
      <c r="Q4404" s="15" t="s">
        <v>39</v>
      </c>
      <c r="R4404" s="4"/>
      <c r="S4404" s="4"/>
    </row>
    <row r="4405" spans="1:19" ht="21" customHeight="1" x14ac:dyDescent="0.25">
      <c r="A4405" s="14">
        <f>DATE(2012,12,31)-234</f>
        <v>41040</v>
      </c>
      <c r="B4405" s="15" t="s">
        <v>1961</v>
      </c>
      <c r="C4405" s="15" t="s">
        <v>85</v>
      </c>
      <c r="D4405" s="16">
        <v>4</v>
      </c>
      <c r="E4405" s="17">
        <v>97.57</v>
      </c>
      <c r="F4405" s="16">
        <v>0.04</v>
      </c>
      <c r="G4405" s="15" t="s">
        <v>32</v>
      </c>
      <c r="H4405" s="18">
        <v>-27.31</v>
      </c>
      <c r="I4405" s="19">
        <v>19.940000000000001</v>
      </c>
      <c r="J4405" s="19">
        <v>14.87</v>
      </c>
      <c r="K4405" s="19" t="s">
        <v>124</v>
      </c>
      <c r="L4405" s="19" t="s">
        <v>164</v>
      </c>
      <c r="M4405" s="15" t="s">
        <v>2171</v>
      </c>
      <c r="N4405" s="15" t="s">
        <v>54</v>
      </c>
      <c r="O4405" s="15" t="s">
        <v>55</v>
      </c>
      <c r="P4405" s="20" t="s">
        <v>2064</v>
      </c>
      <c r="Q4405" s="15" t="s">
        <v>39</v>
      </c>
      <c r="R4405" s="4"/>
      <c r="S4405" s="4"/>
    </row>
    <row r="4406" spans="1:19" ht="21" customHeight="1" x14ac:dyDescent="0.25">
      <c r="A4406" s="14">
        <f>DATE(2012,12,31)-234</f>
        <v>41040</v>
      </c>
      <c r="B4406" s="15" t="s">
        <v>1961</v>
      </c>
      <c r="C4406" s="15" t="s">
        <v>85</v>
      </c>
      <c r="D4406" s="16">
        <v>31</v>
      </c>
      <c r="E4406" s="17">
        <v>110.32</v>
      </c>
      <c r="F4406" s="16">
        <v>0.09</v>
      </c>
      <c r="G4406" s="15" t="s">
        <v>32</v>
      </c>
      <c r="H4406" s="18">
        <v>-32.65</v>
      </c>
      <c r="I4406" s="19">
        <v>3.68</v>
      </c>
      <c r="J4406" s="19">
        <v>1.32</v>
      </c>
      <c r="K4406" s="19" t="s">
        <v>124</v>
      </c>
      <c r="L4406" s="19" t="s">
        <v>164</v>
      </c>
      <c r="M4406" s="15" t="s">
        <v>2171</v>
      </c>
      <c r="N4406" s="15" t="s">
        <v>36</v>
      </c>
      <c r="O4406" s="15" t="s">
        <v>47</v>
      </c>
      <c r="P4406" s="20" t="s">
        <v>1013</v>
      </c>
      <c r="Q4406" s="15" t="s">
        <v>79</v>
      </c>
      <c r="R4406" s="4"/>
      <c r="S4406" s="4"/>
    </row>
    <row r="4407" spans="1:19" ht="21" customHeight="1" x14ac:dyDescent="0.25">
      <c r="A4407" s="14">
        <f>DATE(2012,12,31)-422</f>
        <v>40852</v>
      </c>
      <c r="B4407" s="15" t="s">
        <v>2172</v>
      </c>
      <c r="C4407" s="15" t="s">
        <v>43</v>
      </c>
      <c r="D4407" s="16">
        <v>9</v>
      </c>
      <c r="E4407" s="17">
        <v>337.20349999999996</v>
      </c>
      <c r="F4407" s="16">
        <v>0.09</v>
      </c>
      <c r="G4407" s="15" t="s">
        <v>32</v>
      </c>
      <c r="H4407" s="18">
        <v>-120.934</v>
      </c>
      <c r="I4407" s="19">
        <v>45.99</v>
      </c>
      <c r="J4407" s="19">
        <v>4.99</v>
      </c>
      <c r="K4407" s="19" t="s">
        <v>124</v>
      </c>
      <c r="L4407" s="19" t="s">
        <v>319</v>
      </c>
      <c r="M4407" s="15" t="s">
        <v>2146</v>
      </c>
      <c r="N4407" s="15" t="s">
        <v>64</v>
      </c>
      <c r="O4407" s="15" t="s">
        <v>65</v>
      </c>
      <c r="P4407" s="20" t="s">
        <v>1057</v>
      </c>
      <c r="Q4407" s="15" t="s">
        <v>83</v>
      </c>
      <c r="R4407" s="4"/>
      <c r="S4407" s="4"/>
    </row>
    <row r="4408" spans="1:19" ht="21" customHeight="1" x14ac:dyDescent="0.25">
      <c r="A4408" s="14">
        <f>DATE(2012,12,31)-1244</f>
        <v>40030</v>
      </c>
      <c r="B4408" s="15" t="s">
        <v>1832</v>
      </c>
      <c r="C4408" s="15" t="s">
        <v>31</v>
      </c>
      <c r="D4408" s="16">
        <v>40</v>
      </c>
      <c r="E4408" s="17">
        <v>4054.0579999999995</v>
      </c>
      <c r="F4408" s="16">
        <v>0.09</v>
      </c>
      <c r="G4408" s="15" t="s">
        <v>32</v>
      </c>
      <c r="H4408" s="18">
        <v>914.19299999999998</v>
      </c>
      <c r="I4408" s="19">
        <v>125.99</v>
      </c>
      <c r="J4408" s="19">
        <v>2.5</v>
      </c>
      <c r="K4408" s="19" t="s">
        <v>44</v>
      </c>
      <c r="L4408" s="19" t="s">
        <v>52</v>
      </c>
      <c r="M4408" s="15" t="s">
        <v>2148</v>
      </c>
      <c r="N4408" s="15" t="s">
        <v>64</v>
      </c>
      <c r="O4408" s="15" t="s">
        <v>65</v>
      </c>
      <c r="P4408" s="20" t="s">
        <v>1340</v>
      </c>
      <c r="Q4408" s="15" t="s">
        <v>83</v>
      </c>
      <c r="R4408" s="4"/>
      <c r="S4408" s="4"/>
    </row>
    <row r="4409" spans="1:19" ht="21" customHeight="1" x14ac:dyDescent="0.25">
      <c r="A4409" s="14">
        <f>DATE(2012,12,31)-46</f>
        <v>41228</v>
      </c>
      <c r="B4409" s="15" t="s">
        <v>426</v>
      </c>
      <c r="C4409" s="15" t="s">
        <v>51</v>
      </c>
      <c r="D4409" s="16">
        <v>10</v>
      </c>
      <c r="E4409" s="17">
        <v>225.09</v>
      </c>
      <c r="F4409" s="16">
        <v>0.02</v>
      </c>
      <c r="G4409" s="15" t="s">
        <v>32</v>
      </c>
      <c r="H4409" s="18">
        <v>64.140999999999991</v>
      </c>
      <c r="I4409" s="19">
        <v>21.38</v>
      </c>
      <c r="J4409" s="19">
        <v>2.99</v>
      </c>
      <c r="K4409" s="19" t="s">
        <v>44</v>
      </c>
      <c r="L4409" s="19" t="s">
        <v>52</v>
      </c>
      <c r="M4409" s="15" t="s">
        <v>2148</v>
      </c>
      <c r="N4409" s="15" t="s">
        <v>36</v>
      </c>
      <c r="O4409" s="15" t="s">
        <v>170</v>
      </c>
      <c r="P4409" s="20" t="s">
        <v>1738</v>
      </c>
      <c r="Q4409" s="15" t="s">
        <v>83</v>
      </c>
      <c r="R4409" s="4"/>
      <c r="S4409" s="4"/>
    </row>
    <row r="4410" spans="1:19" ht="21" customHeight="1" x14ac:dyDescent="0.25">
      <c r="A4410" s="14">
        <f>DATE(2012,12,31)-127</f>
        <v>41147</v>
      </c>
      <c r="B4410" s="15" t="s">
        <v>1939</v>
      </c>
      <c r="C4410" s="15" t="s">
        <v>51</v>
      </c>
      <c r="D4410" s="16">
        <v>9</v>
      </c>
      <c r="E4410" s="17">
        <v>990.67</v>
      </c>
      <c r="F4410" s="16">
        <v>0.08</v>
      </c>
      <c r="G4410" s="15" t="s">
        <v>32</v>
      </c>
      <c r="H4410" s="18">
        <v>-365.32</v>
      </c>
      <c r="I4410" s="19">
        <v>110.98</v>
      </c>
      <c r="J4410" s="19">
        <v>35</v>
      </c>
      <c r="K4410" s="19" t="s">
        <v>44</v>
      </c>
      <c r="L4410" s="19" t="s">
        <v>52</v>
      </c>
      <c r="M4410" s="15" t="s">
        <v>2148</v>
      </c>
      <c r="N4410" s="15" t="s">
        <v>36</v>
      </c>
      <c r="O4410" s="15" t="s">
        <v>37</v>
      </c>
      <c r="P4410" s="20" t="s">
        <v>1620</v>
      </c>
      <c r="Q4410" s="15" t="s">
        <v>39</v>
      </c>
      <c r="R4410" s="4"/>
      <c r="S4410" s="4"/>
    </row>
    <row r="4411" spans="1:19" ht="21" customHeight="1" x14ac:dyDescent="0.25">
      <c r="A4411" s="14">
        <f>DATE(2012,12,31)-553</f>
        <v>40721</v>
      </c>
      <c r="B4411" s="15" t="s">
        <v>643</v>
      </c>
      <c r="C4411" s="15" t="s">
        <v>85</v>
      </c>
      <c r="D4411" s="16">
        <v>26</v>
      </c>
      <c r="E4411" s="17">
        <v>1463.42</v>
      </c>
      <c r="F4411" s="16">
        <v>0.08</v>
      </c>
      <c r="G4411" s="15" t="s">
        <v>32</v>
      </c>
      <c r="H4411" s="18">
        <v>350.82</v>
      </c>
      <c r="I4411" s="19">
        <v>59.98</v>
      </c>
      <c r="J4411" s="19">
        <v>3.99</v>
      </c>
      <c r="K4411" s="19" t="s">
        <v>44</v>
      </c>
      <c r="L4411" s="19" t="s">
        <v>236</v>
      </c>
      <c r="M4411" s="15" t="s">
        <v>2129</v>
      </c>
      <c r="N4411" s="15" t="s">
        <v>36</v>
      </c>
      <c r="O4411" s="15" t="s">
        <v>176</v>
      </c>
      <c r="P4411" s="20" t="s">
        <v>351</v>
      </c>
      <c r="Q4411" s="15" t="s">
        <v>83</v>
      </c>
      <c r="R4411" s="4"/>
      <c r="S4411" s="4"/>
    </row>
    <row r="4412" spans="1:19" ht="21" customHeight="1" x14ac:dyDescent="0.25">
      <c r="A4412" s="14">
        <f>DATE(2012,12,31)-808</f>
        <v>40466</v>
      </c>
      <c r="B4412" s="15" t="s">
        <v>826</v>
      </c>
      <c r="C4412" s="15" t="s">
        <v>85</v>
      </c>
      <c r="D4412" s="16">
        <v>26</v>
      </c>
      <c r="E4412" s="17">
        <v>321.68</v>
      </c>
      <c r="F4412" s="16">
        <v>0.04</v>
      </c>
      <c r="G4412" s="15" t="s">
        <v>32</v>
      </c>
      <c r="H4412" s="18">
        <v>-12.25</v>
      </c>
      <c r="I4412" s="19">
        <v>11.97</v>
      </c>
      <c r="J4412" s="19">
        <v>4.9800000000000004</v>
      </c>
      <c r="K4412" s="19" t="s">
        <v>44</v>
      </c>
      <c r="L4412" s="19" t="s">
        <v>52</v>
      </c>
      <c r="M4412" s="15" t="s">
        <v>2148</v>
      </c>
      <c r="N4412" s="15" t="s">
        <v>36</v>
      </c>
      <c r="O4412" s="15" t="s">
        <v>176</v>
      </c>
      <c r="P4412" s="20" t="s">
        <v>1735</v>
      </c>
      <c r="Q4412" s="15" t="s">
        <v>83</v>
      </c>
      <c r="R4412" s="4"/>
      <c r="S4412" s="4"/>
    </row>
    <row r="4413" spans="1:19" ht="21" customHeight="1" x14ac:dyDescent="0.25">
      <c r="A4413" s="14">
        <f>DATE(2012,12,31)-808</f>
        <v>40466</v>
      </c>
      <c r="B4413" s="15" t="s">
        <v>826</v>
      </c>
      <c r="C4413" s="15" t="s">
        <v>85</v>
      </c>
      <c r="D4413" s="16">
        <v>34</v>
      </c>
      <c r="E4413" s="17">
        <v>971.95</v>
      </c>
      <c r="F4413" s="16">
        <v>0.09</v>
      </c>
      <c r="G4413" s="15" t="s">
        <v>101</v>
      </c>
      <c r="H4413" s="18">
        <v>-21.1</v>
      </c>
      <c r="I4413" s="19">
        <v>29.74</v>
      </c>
      <c r="J4413" s="19">
        <v>6.64</v>
      </c>
      <c r="K4413" s="19" t="s">
        <v>44</v>
      </c>
      <c r="L4413" s="19" t="s">
        <v>52</v>
      </c>
      <c r="M4413" s="15" t="s">
        <v>2148</v>
      </c>
      <c r="N4413" s="15" t="s">
        <v>36</v>
      </c>
      <c r="O4413" s="15" t="s">
        <v>37</v>
      </c>
      <c r="P4413" s="20" t="s">
        <v>1372</v>
      </c>
      <c r="Q4413" s="15" t="s">
        <v>83</v>
      </c>
      <c r="R4413" s="4"/>
      <c r="S4413" s="4"/>
    </row>
    <row r="4414" spans="1:19" ht="21" customHeight="1" x14ac:dyDescent="0.25">
      <c r="A4414" s="14">
        <f>DATE(2012,12,31)-808</f>
        <v>40466</v>
      </c>
      <c r="B4414" s="15" t="s">
        <v>826</v>
      </c>
      <c r="C4414" s="15" t="s">
        <v>85</v>
      </c>
      <c r="D4414" s="16">
        <v>23</v>
      </c>
      <c r="E4414" s="17">
        <v>2149.0300000000002</v>
      </c>
      <c r="F4414" s="16">
        <v>0.03</v>
      </c>
      <c r="G4414" s="15" t="s">
        <v>32</v>
      </c>
      <c r="H4414" s="18">
        <v>-235.56</v>
      </c>
      <c r="I4414" s="19">
        <v>95.43</v>
      </c>
      <c r="J4414" s="19">
        <v>19.989999999999998</v>
      </c>
      <c r="K4414" s="19" t="s">
        <v>44</v>
      </c>
      <c r="L4414" s="19" t="s">
        <v>236</v>
      </c>
      <c r="M4414" s="15" t="s">
        <v>2129</v>
      </c>
      <c r="N4414" s="15" t="s">
        <v>36</v>
      </c>
      <c r="O4414" s="15" t="s">
        <v>37</v>
      </c>
      <c r="P4414" s="20" t="s">
        <v>379</v>
      </c>
      <c r="Q4414" s="15" t="s">
        <v>83</v>
      </c>
      <c r="R4414" s="4"/>
      <c r="S4414" s="4"/>
    </row>
    <row r="4415" spans="1:19" ht="21" customHeight="1" x14ac:dyDescent="0.25">
      <c r="A4415" s="14">
        <f>DATE(2012,12,31)-1171</f>
        <v>40103</v>
      </c>
      <c r="B4415" s="15" t="s">
        <v>810</v>
      </c>
      <c r="C4415" s="15" t="s">
        <v>51</v>
      </c>
      <c r="D4415" s="16">
        <v>8</v>
      </c>
      <c r="E4415" s="17">
        <v>112.47</v>
      </c>
      <c r="F4415" s="16">
        <v>0</v>
      </c>
      <c r="G4415" s="15" t="s">
        <v>101</v>
      </c>
      <c r="H4415" s="18">
        <v>46.74</v>
      </c>
      <c r="I4415" s="19">
        <v>12.2</v>
      </c>
      <c r="J4415" s="19">
        <v>6.02</v>
      </c>
      <c r="K4415" s="19" t="s">
        <v>44</v>
      </c>
      <c r="L4415" s="19" t="s">
        <v>52</v>
      </c>
      <c r="M4415" s="15" t="s">
        <v>2148</v>
      </c>
      <c r="N4415" s="15" t="s">
        <v>54</v>
      </c>
      <c r="O4415" s="15" t="s">
        <v>55</v>
      </c>
      <c r="P4415" s="20" t="s">
        <v>1384</v>
      </c>
      <c r="Q4415" s="15" t="s">
        <v>49</v>
      </c>
      <c r="R4415" s="4"/>
      <c r="S4415" s="4"/>
    </row>
    <row r="4416" spans="1:19" ht="21" customHeight="1" x14ac:dyDescent="0.25">
      <c r="A4416" s="14">
        <f>DATE(2012,12,31)-880</f>
        <v>40394</v>
      </c>
      <c r="B4416" s="15" t="s">
        <v>1072</v>
      </c>
      <c r="C4416" s="15" t="s">
        <v>31</v>
      </c>
      <c r="D4416" s="16">
        <v>20</v>
      </c>
      <c r="E4416" s="17">
        <v>191.43</v>
      </c>
      <c r="F4416" s="16">
        <v>0.06</v>
      </c>
      <c r="G4416" s="15" t="s">
        <v>101</v>
      </c>
      <c r="H4416" s="18">
        <v>39.499499999999998</v>
      </c>
      <c r="I4416" s="19">
        <v>8.69</v>
      </c>
      <c r="J4416" s="19">
        <v>2.99</v>
      </c>
      <c r="K4416" s="19" t="s">
        <v>44</v>
      </c>
      <c r="L4416" s="19" t="s">
        <v>52</v>
      </c>
      <c r="M4416" s="15" t="s">
        <v>2148</v>
      </c>
      <c r="N4416" s="15" t="s">
        <v>36</v>
      </c>
      <c r="O4416" s="15" t="s">
        <v>170</v>
      </c>
      <c r="P4416" s="20" t="s">
        <v>193</v>
      </c>
      <c r="Q4416" s="15" t="s">
        <v>83</v>
      </c>
      <c r="R4416" s="4"/>
      <c r="S4416" s="4"/>
    </row>
    <row r="4417" spans="1:19" ht="21" customHeight="1" x14ac:dyDescent="0.25">
      <c r="A4417" s="14">
        <f>DATE(2012,12,31)-880</f>
        <v>40394</v>
      </c>
      <c r="B4417" s="15" t="s">
        <v>1072</v>
      </c>
      <c r="C4417" s="15" t="s">
        <v>31</v>
      </c>
      <c r="D4417" s="16">
        <v>34</v>
      </c>
      <c r="E4417" s="17">
        <v>1234.8499999999999</v>
      </c>
      <c r="F4417" s="16">
        <v>0.03</v>
      </c>
      <c r="G4417" s="15" t="s">
        <v>32</v>
      </c>
      <c r="H4417" s="18">
        <v>212.2</v>
      </c>
      <c r="I4417" s="19">
        <v>34.76</v>
      </c>
      <c r="J4417" s="19">
        <v>8.2200000000000006</v>
      </c>
      <c r="K4417" s="19" t="s">
        <v>44</v>
      </c>
      <c r="L4417" s="19" t="s">
        <v>52</v>
      </c>
      <c r="M4417" s="15" t="s">
        <v>2148</v>
      </c>
      <c r="N4417" s="15" t="s">
        <v>36</v>
      </c>
      <c r="O4417" s="15" t="s">
        <v>37</v>
      </c>
      <c r="P4417" s="20" t="s">
        <v>694</v>
      </c>
      <c r="Q4417" s="15" t="s">
        <v>83</v>
      </c>
      <c r="R4417" s="4"/>
      <c r="S4417" s="4"/>
    </row>
    <row r="4418" spans="1:19" ht="21" customHeight="1" x14ac:dyDescent="0.25">
      <c r="A4418" s="14">
        <f>DATE(2012,12,31)-399</f>
        <v>40875</v>
      </c>
      <c r="B4418" s="15" t="s">
        <v>2072</v>
      </c>
      <c r="C4418" s="15" t="s">
        <v>51</v>
      </c>
      <c r="D4418" s="16">
        <v>23</v>
      </c>
      <c r="E4418" s="17">
        <v>138.71</v>
      </c>
      <c r="F4418" s="16">
        <v>0.09</v>
      </c>
      <c r="G4418" s="15" t="s">
        <v>32</v>
      </c>
      <c r="H4418" s="18">
        <v>-33.159999999999997</v>
      </c>
      <c r="I4418" s="19">
        <v>5.89</v>
      </c>
      <c r="J4418" s="19">
        <v>5.57</v>
      </c>
      <c r="K4418" s="19" t="s">
        <v>44</v>
      </c>
      <c r="L4418" s="19" t="s">
        <v>52</v>
      </c>
      <c r="M4418" s="15" t="s">
        <v>2148</v>
      </c>
      <c r="N4418" s="15" t="s">
        <v>54</v>
      </c>
      <c r="O4418" s="15" t="s">
        <v>55</v>
      </c>
      <c r="P4418" s="20" t="s">
        <v>2173</v>
      </c>
      <c r="Q4418" s="15" t="s">
        <v>83</v>
      </c>
      <c r="R4418" s="4"/>
      <c r="S4418" s="4"/>
    </row>
    <row r="4419" spans="1:19" ht="21" customHeight="1" x14ac:dyDescent="0.25">
      <c r="A4419" s="14">
        <f>DATE(2012,12,31)-951</f>
        <v>40323</v>
      </c>
      <c r="B4419" s="15" t="s">
        <v>378</v>
      </c>
      <c r="C4419" s="15" t="s">
        <v>85</v>
      </c>
      <c r="D4419" s="16">
        <v>14</v>
      </c>
      <c r="E4419" s="17">
        <v>302.39999999999998</v>
      </c>
      <c r="F4419" s="16">
        <v>0.04</v>
      </c>
      <c r="G4419" s="15" t="s">
        <v>32</v>
      </c>
      <c r="H4419" s="18">
        <v>134.21</v>
      </c>
      <c r="I4419" s="19">
        <v>22.23</v>
      </c>
      <c r="J4419" s="19">
        <v>3.63</v>
      </c>
      <c r="K4419" s="19" t="s">
        <v>44</v>
      </c>
      <c r="L4419" s="19" t="s">
        <v>236</v>
      </c>
      <c r="M4419" s="15" t="s">
        <v>2129</v>
      </c>
      <c r="N4419" s="15" t="s">
        <v>54</v>
      </c>
      <c r="O4419" s="15" t="s">
        <v>55</v>
      </c>
      <c r="P4419" s="20" t="s">
        <v>1739</v>
      </c>
      <c r="Q4419" s="15" t="s">
        <v>49</v>
      </c>
      <c r="R4419" s="4"/>
      <c r="S4419" s="4"/>
    </row>
    <row r="4420" spans="1:19" ht="21" customHeight="1" x14ac:dyDescent="0.25">
      <c r="A4420" s="14">
        <f>DATE(2012,12,31)-951</f>
        <v>40323</v>
      </c>
      <c r="B4420" s="15" t="s">
        <v>378</v>
      </c>
      <c r="C4420" s="15" t="s">
        <v>85</v>
      </c>
      <c r="D4420" s="16">
        <v>42</v>
      </c>
      <c r="E4420" s="17">
        <v>1083.3699999999999</v>
      </c>
      <c r="F4420" s="16">
        <v>0.03</v>
      </c>
      <c r="G4420" s="15" t="s">
        <v>58</v>
      </c>
      <c r="H4420" s="18">
        <v>-226.41</v>
      </c>
      <c r="I4420" s="19">
        <v>25.98</v>
      </c>
      <c r="J4420" s="19">
        <v>14.36</v>
      </c>
      <c r="K4420" s="19" t="s">
        <v>44</v>
      </c>
      <c r="L4420" s="19" t="s">
        <v>52</v>
      </c>
      <c r="M4420" s="15" t="s">
        <v>2148</v>
      </c>
      <c r="N4420" s="15" t="s">
        <v>54</v>
      </c>
      <c r="O4420" s="15" t="s">
        <v>252</v>
      </c>
      <c r="P4420" s="20" t="s">
        <v>1431</v>
      </c>
      <c r="Q4420" s="15" t="s">
        <v>181</v>
      </c>
      <c r="R4420" s="4"/>
      <c r="S4420" s="4"/>
    </row>
    <row r="4421" spans="1:19" ht="21" customHeight="1" x14ac:dyDescent="0.25">
      <c r="A4421" s="14">
        <f>DATE(2012,12,31)-298</f>
        <v>40976</v>
      </c>
      <c r="B4421" s="15" t="s">
        <v>2151</v>
      </c>
      <c r="C4421" s="15" t="s">
        <v>31</v>
      </c>
      <c r="D4421" s="16">
        <v>17</v>
      </c>
      <c r="E4421" s="17">
        <v>105.85</v>
      </c>
      <c r="F4421" s="16">
        <v>0.1</v>
      </c>
      <c r="G4421" s="15" t="s">
        <v>32</v>
      </c>
      <c r="H4421" s="18">
        <v>-44.86</v>
      </c>
      <c r="I4421" s="19">
        <v>6.48</v>
      </c>
      <c r="J4421" s="19">
        <v>2.74</v>
      </c>
      <c r="K4421" s="19" t="s">
        <v>44</v>
      </c>
      <c r="L4421" s="19" t="s">
        <v>52</v>
      </c>
      <c r="M4421" s="15" t="s">
        <v>2148</v>
      </c>
      <c r="N4421" s="15" t="s">
        <v>64</v>
      </c>
      <c r="O4421" s="15" t="s">
        <v>72</v>
      </c>
      <c r="P4421" s="20" t="s">
        <v>1244</v>
      </c>
      <c r="Q4421" s="15" t="s">
        <v>49</v>
      </c>
      <c r="R4421" s="4"/>
      <c r="S4421" s="4"/>
    </row>
    <row r="4422" spans="1:19" ht="21" customHeight="1" x14ac:dyDescent="0.25">
      <c r="A4422" s="14">
        <f>DATE(2012,12,31)-298</f>
        <v>40976</v>
      </c>
      <c r="B4422" s="15" t="s">
        <v>2151</v>
      </c>
      <c r="C4422" s="15" t="s">
        <v>31</v>
      </c>
      <c r="D4422" s="16">
        <v>19</v>
      </c>
      <c r="E4422" s="17">
        <v>179.33</v>
      </c>
      <c r="F4422" s="16">
        <v>0</v>
      </c>
      <c r="G4422" s="15" t="s">
        <v>32</v>
      </c>
      <c r="H4422" s="18">
        <v>-58.76</v>
      </c>
      <c r="I4422" s="19">
        <v>8.74</v>
      </c>
      <c r="J4422" s="19">
        <v>8.2899999999999991</v>
      </c>
      <c r="K4422" s="19" t="s">
        <v>44</v>
      </c>
      <c r="L4422" s="19" t="s">
        <v>52</v>
      </c>
      <c r="M4422" s="15" t="s">
        <v>2148</v>
      </c>
      <c r="N4422" s="15" t="s">
        <v>36</v>
      </c>
      <c r="O4422" s="15" t="s">
        <v>189</v>
      </c>
      <c r="P4422" s="20" t="s">
        <v>581</v>
      </c>
      <c r="Q4422" s="15" t="s">
        <v>83</v>
      </c>
      <c r="R4422" s="4"/>
      <c r="S4422" s="4"/>
    </row>
    <row r="4423" spans="1:19" ht="21" customHeight="1" x14ac:dyDescent="0.25">
      <c r="A4423" s="14">
        <f>DATE(2012,12,31)-554</f>
        <v>40720</v>
      </c>
      <c r="B4423" s="15" t="s">
        <v>450</v>
      </c>
      <c r="C4423" s="15" t="s">
        <v>31</v>
      </c>
      <c r="D4423" s="16">
        <v>10</v>
      </c>
      <c r="E4423" s="17">
        <v>1025.8800000000001</v>
      </c>
      <c r="F4423" s="16">
        <v>0.08</v>
      </c>
      <c r="G4423" s="15" t="s">
        <v>58</v>
      </c>
      <c r="H4423" s="18">
        <v>-211.33</v>
      </c>
      <c r="I4423" s="19">
        <v>100.89</v>
      </c>
      <c r="J4423" s="19">
        <v>42</v>
      </c>
      <c r="K4423" s="19" t="s">
        <v>44</v>
      </c>
      <c r="L4423" s="19" t="s">
        <v>236</v>
      </c>
      <c r="M4423" s="15" t="s">
        <v>2129</v>
      </c>
      <c r="N4423" s="15" t="s">
        <v>54</v>
      </c>
      <c r="O4423" s="15" t="s">
        <v>252</v>
      </c>
      <c r="P4423" s="20" t="s">
        <v>2174</v>
      </c>
      <c r="Q4423" s="15" t="s">
        <v>181</v>
      </c>
      <c r="R4423" s="4"/>
      <c r="S4423" s="4"/>
    </row>
    <row r="4424" spans="1:19" ht="21" customHeight="1" x14ac:dyDescent="0.25">
      <c r="A4424" s="14">
        <f>DATE(2012,12,31)-50</f>
        <v>41224</v>
      </c>
      <c r="B4424" s="15" t="s">
        <v>564</v>
      </c>
      <c r="C4424" s="15" t="s">
        <v>51</v>
      </c>
      <c r="D4424" s="16">
        <v>17</v>
      </c>
      <c r="E4424" s="17">
        <v>378.08</v>
      </c>
      <c r="F4424" s="16">
        <v>0</v>
      </c>
      <c r="G4424" s="15" t="s">
        <v>32</v>
      </c>
      <c r="H4424" s="18">
        <v>70.48</v>
      </c>
      <c r="I4424" s="19">
        <v>22.24</v>
      </c>
      <c r="J4424" s="19">
        <v>1.99</v>
      </c>
      <c r="K4424" s="19" t="s">
        <v>44</v>
      </c>
      <c r="L4424" s="19" t="s">
        <v>52</v>
      </c>
      <c r="M4424" s="15" t="s">
        <v>2148</v>
      </c>
      <c r="N4424" s="15" t="s">
        <v>64</v>
      </c>
      <c r="O4424" s="15" t="s">
        <v>72</v>
      </c>
      <c r="P4424" s="20" t="s">
        <v>1401</v>
      </c>
      <c r="Q4424" s="15" t="s">
        <v>49</v>
      </c>
      <c r="R4424" s="4"/>
      <c r="S4424" s="4"/>
    </row>
    <row r="4425" spans="1:19" ht="21" customHeight="1" x14ac:dyDescent="0.25">
      <c r="A4425" s="14">
        <f>DATE(2012,12,31)-50</f>
        <v>41224</v>
      </c>
      <c r="B4425" s="15" t="s">
        <v>564</v>
      </c>
      <c r="C4425" s="15" t="s">
        <v>51</v>
      </c>
      <c r="D4425" s="16">
        <v>24</v>
      </c>
      <c r="E4425" s="17">
        <v>731.71</v>
      </c>
      <c r="F4425" s="16">
        <v>0</v>
      </c>
      <c r="G4425" s="15" t="s">
        <v>32</v>
      </c>
      <c r="H4425" s="18">
        <v>175.82</v>
      </c>
      <c r="I4425" s="19">
        <v>29.89</v>
      </c>
      <c r="J4425" s="19">
        <v>1.99</v>
      </c>
      <c r="K4425" s="19" t="s">
        <v>44</v>
      </c>
      <c r="L4425" s="19" t="s">
        <v>80</v>
      </c>
      <c r="M4425" s="15" t="s">
        <v>2081</v>
      </c>
      <c r="N4425" s="15" t="s">
        <v>64</v>
      </c>
      <c r="O4425" s="15" t="s">
        <v>72</v>
      </c>
      <c r="P4425" s="20" t="s">
        <v>825</v>
      </c>
      <c r="Q4425" s="15" t="s">
        <v>49</v>
      </c>
      <c r="R4425" s="4"/>
      <c r="S4425" s="4"/>
    </row>
    <row r="4426" spans="1:19" ht="21" customHeight="1" x14ac:dyDescent="0.25">
      <c r="A4426" s="14">
        <f>DATE(2012,12,31)-1451</f>
        <v>39823</v>
      </c>
      <c r="B4426" s="15" t="s">
        <v>1021</v>
      </c>
      <c r="C4426" s="15" t="s">
        <v>85</v>
      </c>
      <c r="D4426" s="16">
        <v>32</v>
      </c>
      <c r="E4426" s="17">
        <v>4906.8500000000004</v>
      </c>
      <c r="F4426" s="16">
        <v>0.09</v>
      </c>
      <c r="G4426" s="15" t="s">
        <v>32</v>
      </c>
      <c r="H4426" s="18">
        <v>1907.94</v>
      </c>
      <c r="I4426" s="19">
        <v>162.93</v>
      </c>
      <c r="J4426" s="19">
        <v>19.989999999999998</v>
      </c>
      <c r="K4426" s="19" t="s">
        <v>69</v>
      </c>
      <c r="L4426" s="19" t="s">
        <v>75</v>
      </c>
      <c r="M4426" s="15" t="s">
        <v>1980</v>
      </c>
      <c r="N4426" s="15" t="s">
        <v>36</v>
      </c>
      <c r="O4426" s="15" t="s">
        <v>189</v>
      </c>
      <c r="P4426" s="20" t="s">
        <v>739</v>
      </c>
      <c r="Q4426" s="15" t="s">
        <v>83</v>
      </c>
      <c r="R4426" s="4"/>
      <c r="S4426" s="4"/>
    </row>
    <row r="4427" spans="1:19" ht="21" customHeight="1" x14ac:dyDescent="0.25">
      <c r="A4427" s="14">
        <f>DATE(2012,12,31)-362</f>
        <v>40912</v>
      </c>
      <c r="B4427" s="15" t="s">
        <v>1178</v>
      </c>
      <c r="C4427" s="15" t="s">
        <v>85</v>
      </c>
      <c r="D4427" s="16">
        <v>38</v>
      </c>
      <c r="E4427" s="17">
        <v>3531.75</v>
      </c>
      <c r="F4427" s="16">
        <v>0</v>
      </c>
      <c r="G4427" s="15" t="s">
        <v>32</v>
      </c>
      <c r="H4427" s="18">
        <v>572.26</v>
      </c>
      <c r="I4427" s="19">
        <v>88.84</v>
      </c>
      <c r="J4427" s="19">
        <v>20.79</v>
      </c>
      <c r="K4427" s="19" t="s">
        <v>69</v>
      </c>
      <c r="L4427" s="19" t="s">
        <v>70</v>
      </c>
      <c r="M4427" s="15" t="s">
        <v>1895</v>
      </c>
      <c r="N4427" s="15" t="s">
        <v>54</v>
      </c>
      <c r="O4427" s="15" t="s">
        <v>55</v>
      </c>
      <c r="P4427" s="20" t="s">
        <v>2056</v>
      </c>
      <c r="Q4427" s="15" t="s">
        <v>39</v>
      </c>
      <c r="R4427" s="4"/>
      <c r="S4427" s="4"/>
    </row>
    <row r="4428" spans="1:19" ht="21" customHeight="1" x14ac:dyDescent="0.25">
      <c r="A4428" s="14">
        <f>DATE(2012,12,31)-362</f>
        <v>40912</v>
      </c>
      <c r="B4428" s="15" t="s">
        <v>1178</v>
      </c>
      <c r="C4428" s="15" t="s">
        <v>85</v>
      </c>
      <c r="D4428" s="16">
        <v>5</v>
      </c>
      <c r="E4428" s="17">
        <v>500.5</v>
      </c>
      <c r="F4428" s="16">
        <v>0.02</v>
      </c>
      <c r="G4428" s="15" t="s">
        <v>58</v>
      </c>
      <c r="H4428" s="18">
        <v>-153.31139999999999</v>
      </c>
      <c r="I4428" s="19">
        <v>90.97</v>
      </c>
      <c r="J4428" s="19">
        <v>28</v>
      </c>
      <c r="K4428" s="19" t="s">
        <v>44</v>
      </c>
      <c r="L4428" s="19" t="s">
        <v>236</v>
      </c>
      <c r="M4428" s="15" t="s">
        <v>2175</v>
      </c>
      <c r="N4428" s="15" t="s">
        <v>64</v>
      </c>
      <c r="O4428" s="15" t="s">
        <v>122</v>
      </c>
      <c r="P4428" s="20" t="s">
        <v>1440</v>
      </c>
      <c r="Q4428" s="15" t="s">
        <v>181</v>
      </c>
      <c r="R4428" s="4"/>
      <c r="S4428" s="4"/>
    </row>
    <row r="4429" spans="1:19" ht="21" customHeight="1" x14ac:dyDescent="0.25">
      <c r="A4429" s="14">
        <f>DATE(2012,12,31)-523</f>
        <v>40751</v>
      </c>
      <c r="B4429" s="15" t="s">
        <v>311</v>
      </c>
      <c r="C4429" s="15" t="s">
        <v>85</v>
      </c>
      <c r="D4429" s="16">
        <v>35</v>
      </c>
      <c r="E4429" s="17">
        <v>269.35000000000002</v>
      </c>
      <c r="F4429" s="16">
        <v>7.0000000000000007E-2</v>
      </c>
      <c r="G4429" s="15" t="s">
        <v>32</v>
      </c>
      <c r="H4429" s="18">
        <v>-14.99</v>
      </c>
      <c r="I4429" s="19">
        <v>7.7</v>
      </c>
      <c r="J4429" s="19">
        <v>3.68</v>
      </c>
      <c r="K4429" s="19" t="s">
        <v>33</v>
      </c>
      <c r="L4429" s="19" t="s">
        <v>128</v>
      </c>
      <c r="M4429" s="15" t="s">
        <v>129</v>
      </c>
      <c r="N4429" s="15" t="s">
        <v>54</v>
      </c>
      <c r="O4429" s="15" t="s">
        <v>55</v>
      </c>
      <c r="P4429" s="20" t="s">
        <v>978</v>
      </c>
      <c r="Q4429" s="15" t="s">
        <v>79</v>
      </c>
      <c r="R4429" s="4"/>
      <c r="S4429" s="4"/>
    </row>
    <row r="4430" spans="1:19" ht="21" customHeight="1" x14ac:dyDescent="0.25">
      <c r="A4430" s="14">
        <f>DATE(2012,12,31)-527</f>
        <v>40747</v>
      </c>
      <c r="B4430" s="15" t="s">
        <v>1945</v>
      </c>
      <c r="C4430" s="15" t="s">
        <v>31</v>
      </c>
      <c r="D4430" s="16">
        <v>12</v>
      </c>
      <c r="E4430" s="17">
        <v>3671.3</v>
      </c>
      <c r="F4430" s="16">
        <v>0.04</v>
      </c>
      <c r="G4430" s="15" t="s">
        <v>32</v>
      </c>
      <c r="H4430" s="18">
        <v>900.06</v>
      </c>
      <c r="I4430" s="19">
        <v>300.64999999999998</v>
      </c>
      <c r="J4430" s="19">
        <v>24.49</v>
      </c>
      <c r="K4430" s="19" t="s">
        <v>124</v>
      </c>
      <c r="L4430" s="19" t="s">
        <v>164</v>
      </c>
      <c r="M4430" s="15" t="s">
        <v>2171</v>
      </c>
      <c r="N4430" s="15" t="s">
        <v>36</v>
      </c>
      <c r="O4430" s="15" t="s">
        <v>176</v>
      </c>
      <c r="P4430" s="20" t="s">
        <v>934</v>
      </c>
      <c r="Q4430" s="15" t="s">
        <v>39</v>
      </c>
      <c r="R4430" s="4"/>
      <c r="S4430" s="4"/>
    </row>
    <row r="4431" spans="1:19" ht="21" customHeight="1" x14ac:dyDescent="0.25">
      <c r="A4431" s="14">
        <f>DATE(2012,12,31)-527</f>
        <v>40747</v>
      </c>
      <c r="B4431" s="15" t="s">
        <v>1945</v>
      </c>
      <c r="C4431" s="15" t="s">
        <v>31</v>
      </c>
      <c r="D4431" s="16">
        <v>42</v>
      </c>
      <c r="E4431" s="17">
        <v>1763.6</v>
      </c>
      <c r="F4431" s="16">
        <v>0.08</v>
      </c>
      <c r="G4431" s="15" t="s">
        <v>32</v>
      </c>
      <c r="H4431" s="18">
        <v>455.37</v>
      </c>
      <c r="I4431" s="19">
        <v>45.19</v>
      </c>
      <c r="J4431" s="19">
        <v>1.99</v>
      </c>
      <c r="K4431" s="19" t="s">
        <v>124</v>
      </c>
      <c r="L4431" s="19" t="s">
        <v>319</v>
      </c>
      <c r="M4431" s="15" t="s">
        <v>2146</v>
      </c>
      <c r="N4431" s="15" t="s">
        <v>64</v>
      </c>
      <c r="O4431" s="15" t="s">
        <v>72</v>
      </c>
      <c r="P4431" s="20" t="s">
        <v>877</v>
      </c>
      <c r="Q4431" s="15" t="s">
        <v>49</v>
      </c>
      <c r="R4431" s="4"/>
      <c r="S4431" s="4"/>
    </row>
    <row r="4432" spans="1:19" ht="21" customHeight="1" x14ac:dyDescent="0.25">
      <c r="A4432" s="14">
        <f>DATE(2012,12,31)-285</f>
        <v>40989</v>
      </c>
      <c r="B4432" s="15" t="s">
        <v>1281</v>
      </c>
      <c r="C4432" s="15" t="s">
        <v>31</v>
      </c>
      <c r="D4432" s="16">
        <v>22</v>
      </c>
      <c r="E4432" s="17">
        <v>963.45</v>
      </c>
      <c r="F4432" s="16">
        <v>0.05</v>
      </c>
      <c r="G4432" s="15" t="s">
        <v>101</v>
      </c>
      <c r="H4432" s="18">
        <v>94.03</v>
      </c>
      <c r="I4432" s="19">
        <v>43.22</v>
      </c>
      <c r="J4432" s="19">
        <v>4</v>
      </c>
      <c r="K4432" s="19" t="s">
        <v>44</v>
      </c>
      <c r="L4432" s="19" t="s">
        <v>236</v>
      </c>
      <c r="M4432" s="15" t="s">
        <v>2175</v>
      </c>
      <c r="N4432" s="15" t="s">
        <v>64</v>
      </c>
      <c r="O4432" s="15" t="s">
        <v>72</v>
      </c>
      <c r="P4432" s="20" t="s">
        <v>1446</v>
      </c>
      <c r="Q4432" s="15" t="s">
        <v>83</v>
      </c>
      <c r="R4432" s="4"/>
      <c r="S4432" s="4"/>
    </row>
    <row r="4433" spans="1:19" ht="21" customHeight="1" x14ac:dyDescent="0.25">
      <c r="A4433" s="14">
        <f>DATE(2012,12,31)-285</f>
        <v>40989</v>
      </c>
      <c r="B4433" s="15" t="s">
        <v>1281</v>
      </c>
      <c r="C4433" s="15" t="s">
        <v>31</v>
      </c>
      <c r="D4433" s="16">
        <v>25</v>
      </c>
      <c r="E4433" s="17">
        <v>4390.0289999999995</v>
      </c>
      <c r="F4433" s="16">
        <v>0</v>
      </c>
      <c r="G4433" s="15" t="s">
        <v>101</v>
      </c>
      <c r="H4433" s="18">
        <v>1007.4870000000001</v>
      </c>
      <c r="I4433" s="19">
        <v>205.99</v>
      </c>
      <c r="J4433" s="19">
        <v>5.26</v>
      </c>
      <c r="K4433" s="19" t="s">
        <v>33</v>
      </c>
      <c r="L4433" s="19" t="s">
        <v>93</v>
      </c>
      <c r="M4433" s="15" t="s">
        <v>94</v>
      </c>
      <c r="N4433" s="15" t="s">
        <v>64</v>
      </c>
      <c r="O4433" s="15" t="s">
        <v>65</v>
      </c>
      <c r="P4433" s="20" t="s">
        <v>650</v>
      </c>
      <c r="Q4433" s="15" t="s">
        <v>83</v>
      </c>
      <c r="R4433" s="4"/>
      <c r="S4433" s="4"/>
    </row>
    <row r="4434" spans="1:19" ht="21" customHeight="1" x14ac:dyDescent="0.25">
      <c r="A4434" s="14">
        <f>DATE(2012,12,31)-940</f>
        <v>40334</v>
      </c>
      <c r="B4434" s="15" t="s">
        <v>353</v>
      </c>
      <c r="C4434" s="15" t="s">
        <v>85</v>
      </c>
      <c r="D4434" s="16">
        <v>5</v>
      </c>
      <c r="E4434" s="17">
        <v>43.49</v>
      </c>
      <c r="F4434" s="16">
        <v>0.06</v>
      </c>
      <c r="G4434" s="15" t="s">
        <v>32</v>
      </c>
      <c r="H4434" s="18">
        <v>-21.44</v>
      </c>
      <c r="I4434" s="19">
        <v>8.33</v>
      </c>
      <c r="J4434" s="19">
        <v>1.99</v>
      </c>
      <c r="K4434" s="19" t="s">
        <v>33</v>
      </c>
      <c r="L4434" s="19" t="s">
        <v>59</v>
      </c>
      <c r="M4434" s="15" t="s">
        <v>2091</v>
      </c>
      <c r="N4434" s="15" t="s">
        <v>64</v>
      </c>
      <c r="O4434" s="15" t="s">
        <v>72</v>
      </c>
      <c r="P4434" s="20" t="s">
        <v>966</v>
      </c>
      <c r="Q4434" s="15" t="s">
        <v>49</v>
      </c>
      <c r="R4434" s="4"/>
      <c r="S4434" s="4"/>
    </row>
    <row r="4435" spans="1:19" ht="21" customHeight="1" x14ac:dyDescent="0.25">
      <c r="A4435" s="14">
        <f>DATE(2012,12,31)-940</f>
        <v>40334</v>
      </c>
      <c r="B4435" s="15" t="s">
        <v>353</v>
      </c>
      <c r="C4435" s="15" t="s">
        <v>85</v>
      </c>
      <c r="D4435" s="16">
        <v>27</v>
      </c>
      <c r="E4435" s="17">
        <v>2854.76</v>
      </c>
      <c r="F4435" s="16">
        <v>0.06</v>
      </c>
      <c r="G4435" s="15" t="s">
        <v>32</v>
      </c>
      <c r="H4435" s="18">
        <v>61.13</v>
      </c>
      <c r="I4435" s="19">
        <v>111.03</v>
      </c>
      <c r="J4435" s="19">
        <v>8.64</v>
      </c>
      <c r="K4435" s="19" t="s">
        <v>33</v>
      </c>
      <c r="L4435" s="19" t="s">
        <v>59</v>
      </c>
      <c r="M4435" s="15" t="s">
        <v>2091</v>
      </c>
      <c r="N4435" s="15" t="s">
        <v>36</v>
      </c>
      <c r="O4435" s="15" t="s">
        <v>37</v>
      </c>
      <c r="P4435" s="20" t="s">
        <v>1561</v>
      </c>
      <c r="Q4435" s="15" t="s">
        <v>83</v>
      </c>
      <c r="R4435" s="4"/>
      <c r="S4435" s="4"/>
    </row>
    <row r="4436" spans="1:19" ht="21" customHeight="1" x14ac:dyDescent="0.25">
      <c r="A4436" s="14">
        <f>DATE(2012,12,31)-856</f>
        <v>40418</v>
      </c>
      <c r="B4436" s="15" t="s">
        <v>343</v>
      </c>
      <c r="C4436" s="15" t="s">
        <v>85</v>
      </c>
      <c r="D4436" s="16">
        <v>45</v>
      </c>
      <c r="E4436" s="17">
        <v>182.7</v>
      </c>
      <c r="F4436" s="16">
        <v>0.08</v>
      </c>
      <c r="G4436" s="15" t="s">
        <v>32</v>
      </c>
      <c r="H4436" s="18">
        <v>-156.41149999999999</v>
      </c>
      <c r="I4436" s="19">
        <v>4.24</v>
      </c>
      <c r="J4436" s="19">
        <v>5.41</v>
      </c>
      <c r="K4436" s="19" t="s">
        <v>69</v>
      </c>
      <c r="L4436" s="19" t="s">
        <v>70</v>
      </c>
      <c r="M4436" s="15" t="s">
        <v>1895</v>
      </c>
      <c r="N4436" s="15" t="s">
        <v>36</v>
      </c>
      <c r="O4436" s="15" t="s">
        <v>170</v>
      </c>
      <c r="P4436" s="20" t="s">
        <v>415</v>
      </c>
      <c r="Q4436" s="15" t="s">
        <v>83</v>
      </c>
      <c r="R4436" s="4"/>
      <c r="S4436" s="4"/>
    </row>
    <row r="4437" spans="1:19" ht="21" customHeight="1" x14ac:dyDescent="0.25">
      <c r="A4437" s="14">
        <f>DATE(2012,12,31)-856</f>
        <v>40418</v>
      </c>
      <c r="B4437" s="15" t="s">
        <v>343</v>
      </c>
      <c r="C4437" s="15" t="s">
        <v>85</v>
      </c>
      <c r="D4437" s="16">
        <v>46</v>
      </c>
      <c r="E4437" s="17">
        <v>141.08000000000001</v>
      </c>
      <c r="F4437" s="16">
        <v>0.04</v>
      </c>
      <c r="G4437" s="15" t="s">
        <v>32</v>
      </c>
      <c r="H4437" s="18">
        <v>36.96</v>
      </c>
      <c r="I4437" s="19">
        <v>3.08</v>
      </c>
      <c r="J4437" s="19">
        <v>0.99</v>
      </c>
      <c r="K4437" s="19" t="s">
        <v>69</v>
      </c>
      <c r="L4437" s="19" t="s">
        <v>70</v>
      </c>
      <c r="M4437" s="15" t="s">
        <v>1895</v>
      </c>
      <c r="N4437" s="15" t="s">
        <v>36</v>
      </c>
      <c r="O4437" s="15" t="s">
        <v>114</v>
      </c>
      <c r="P4437" s="20" t="s">
        <v>262</v>
      </c>
      <c r="Q4437" s="15" t="s">
        <v>83</v>
      </c>
      <c r="R4437" s="4"/>
      <c r="S4437" s="4"/>
    </row>
    <row r="4438" spans="1:19" ht="21" customHeight="1" x14ac:dyDescent="0.25">
      <c r="A4438" s="14">
        <f>DATE(2012,12,31)-539</f>
        <v>40735</v>
      </c>
      <c r="B4438" s="15" t="s">
        <v>820</v>
      </c>
      <c r="C4438" s="15" t="s">
        <v>85</v>
      </c>
      <c r="D4438" s="16">
        <v>14</v>
      </c>
      <c r="E4438" s="17">
        <v>403.17</v>
      </c>
      <c r="F4438" s="16">
        <v>0.02</v>
      </c>
      <c r="G4438" s="15" t="s">
        <v>32</v>
      </c>
      <c r="H4438" s="18">
        <v>147.4495</v>
      </c>
      <c r="I4438" s="19">
        <v>28.53</v>
      </c>
      <c r="J4438" s="19">
        <v>1.49</v>
      </c>
      <c r="K4438" s="19" t="s">
        <v>44</v>
      </c>
      <c r="L4438" s="19" t="s">
        <v>80</v>
      </c>
      <c r="M4438" s="15" t="s">
        <v>2081</v>
      </c>
      <c r="N4438" s="15" t="s">
        <v>36</v>
      </c>
      <c r="O4438" s="15" t="s">
        <v>170</v>
      </c>
      <c r="P4438" s="20" t="s">
        <v>1566</v>
      </c>
      <c r="Q4438" s="15" t="s">
        <v>83</v>
      </c>
      <c r="R4438" s="4"/>
      <c r="S4438" s="4"/>
    </row>
    <row r="4439" spans="1:19" ht="21" customHeight="1" x14ac:dyDescent="0.25">
      <c r="A4439" s="14">
        <f>DATE(2012,12,31)-1201</f>
        <v>40073</v>
      </c>
      <c r="B4439" s="15" t="s">
        <v>2124</v>
      </c>
      <c r="C4439" s="15" t="s">
        <v>31</v>
      </c>
      <c r="D4439" s="16">
        <v>11</v>
      </c>
      <c r="E4439" s="17">
        <v>114.87</v>
      </c>
      <c r="F4439" s="16">
        <v>0.1</v>
      </c>
      <c r="G4439" s="15" t="s">
        <v>32</v>
      </c>
      <c r="H4439" s="18">
        <v>-21.03</v>
      </c>
      <c r="I4439" s="19">
        <v>10.98</v>
      </c>
      <c r="J4439" s="19">
        <v>3.99</v>
      </c>
      <c r="K4439" s="19" t="s">
        <v>44</v>
      </c>
      <c r="L4439" s="19" t="s">
        <v>120</v>
      </c>
      <c r="M4439" s="15" t="s">
        <v>2025</v>
      </c>
      <c r="N4439" s="15" t="s">
        <v>36</v>
      </c>
      <c r="O4439" s="15" t="s">
        <v>176</v>
      </c>
      <c r="P4439" s="20" t="s">
        <v>1312</v>
      </c>
      <c r="Q4439" s="15" t="s">
        <v>83</v>
      </c>
      <c r="R4439" s="4"/>
      <c r="S4439" s="4"/>
    </row>
    <row r="4440" spans="1:19" ht="21" customHeight="1" x14ac:dyDescent="0.25">
      <c r="A4440" s="14">
        <f>DATE(2012,12,31)-1201</f>
        <v>40073</v>
      </c>
      <c r="B4440" s="15" t="s">
        <v>2124</v>
      </c>
      <c r="C4440" s="15" t="s">
        <v>31</v>
      </c>
      <c r="D4440" s="16">
        <v>9</v>
      </c>
      <c r="E4440" s="17">
        <v>383.23</v>
      </c>
      <c r="F4440" s="16">
        <v>0.01</v>
      </c>
      <c r="G4440" s="15" t="s">
        <v>32</v>
      </c>
      <c r="H4440" s="18">
        <v>146.51</v>
      </c>
      <c r="I4440" s="19">
        <v>39.979999999999997</v>
      </c>
      <c r="J4440" s="19">
        <v>9.1999999999999993</v>
      </c>
      <c r="K4440" s="19" t="s">
        <v>33</v>
      </c>
      <c r="L4440" s="19" t="s">
        <v>128</v>
      </c>
      <c r="M4440" s="15" t="s">
        <v>129</v>
      </c>
      <c r="N4440" s="15" t="s">
        <v>54</v>
      </c>
      <c r="O4440" s="15" t="s">
        <v>55</v>
      </c>
      <c r="P4440" s="20" t="s">
        <v>1693</v>
      </c>
      <c r="Q4440" s="15" t="s">
        <v>79</v>
      </c>
      <c r="R4440" s="4"/>
      <c r="S4440" s="4"/>
    </row>
    <row r="4441" spans="1:19" ht="21" customHeight="1" x14ac:dyDescent="0.25">
      <c r="A4441" s="14">
        <f>DATE(2012,12,31)-508</f>
        <v>40766</v>
      </c>
      <c r="B4441" s="15" t="s">
        <v>1929</v>
      </c>
      <c r="C4441" s="15" t="s">
        <v>85</v>
      </c>
      <c r="D4441" s="16">
        <v>20</v>
      </c>
      <c r="E4441" s="17">
        <v>1108.366</v>
      </c>
      <c r="F4441" s="16">
        <v>0.05</v>
      </c>
      <c r="G4441" s="15" t="s">
        <v>32</v>
      </c>
      <c r="H4441" s="18">
        <v>178.30799999999999</v>
      </c>
      <c r="I4441" s="19">
        <v>65.989999999999995</v>
      </c>
      <c r="J4441" s="19">
        <v>2.5</v>
      </c>
      <c r="K4441" s="19" t="s">
        <v>33</v>
      </c>
      <c r="L4441" s="19" t="s">
        <v>93</v>
      </c>
      <c r="M4441" s="15" t="s">
        <v>94</v>
      </c>
      <c r="N4441" s="15" t="s">
        <v>64</v>
      </c>
      <c r="O4441" s="15" t="s">
        <v>65</v>
      </c>
      <c r="P4441" s="20" t="s">
        <v>1239</v>
      </c>
      <c r="Q4441" s="15" t="s">
        <v>83</v>
      </c>
      <c r="R4441" s="4"/>
      <c r="S4441" s="4"/>
    </row>
    <row r="4442" spans="1:19" ht="21" customHeight="1" x14ac:dyDescent="0.25">
      <c r="A4442" s="14">
        <f>DATE(2012,12,31)-499</f>
        <v>40775</v>
      </c>
      <c r="B4442" s="15" t="s">
        <v>2176</v>
      </c>
      <c r="C4442" s="15" t="s">
        <v>51</v>
      </c>
      <c r="D4442" s="16">
        <v>8</v>
      </c>
      <c r="E4442" s="17">
        <v>68.94</v>
      </c>
      <c r="F4442" s="16">
        <v>0</v>
      </c>
      <c r="G4442" s="15" t="s">
        <v>32</v>
      </c>
      <c r="H4442" s="18">
        <v>-32.630000000000003</v>
      </c>
      <c r="I4442" s="19">
        <v>8.32</v>
      </c>
      <c r="J4442" s="19">
        <v>2.38</v>
      </c>
      <c r="K4442" s="19" t="s">
        <v>124</v>
      </c>
      <c r="L4442" s="19" t="s">
        <v>160</v>
      </c>
      <c r="M4442" s="15" t="s">
        <v>1951</v>
      </c>
      <c r="N4442" s="15" t="s">
        <v>64</v>
      </c>
      <c r="O4442" s="15" t="s">
        <v>72</v>
      </c>
      <c r="P4442" s="20" t="s">
        <v>876</v>
      </c>
      <c r="Q4442" s="15" t="s">
        <v>49</v>
      </c>
      <c r="R4442" s="4"/>
      <c r="S4442" s="4"/>
    </row>
    <row r="4443" spans="1:19" ht="21" customHeight="1" x14ac:dyDescent="0.25">
      <c r="A4443" s="14">
        <f>DATE(2012,12,31)-499</f>
        <v>40775</v>
      </c>
      <c r="B4443" s="15" t="s">
        <v>2176</v>
      </c>
      <c r="C4443" s="15" t="s">
        <v>51</v>
      </c>
      <c r="D4443" s="16">
        <v>10</v>
      </c>
      <c r="E4443" s="17">
        <v>74.040000000000006</v>
      </c>
      <c r="F4443" s="16">
        <v>0.03</v>
      </c>
      <c r="G4443" s="15" t="s">
        <v>32</v>
      </c>
      <c r="H4443" s="18">
        <v>-37.04</v>
      </c>
      <c r="I4443" s="19">
        <v>6.68</v>
      </c>
      <c r="J4443" s="19">
        <v>7.3</v>
      </c>
      <c r="K4443" s="19" t="s">
        <v>124</v>
      </c>
      <c r="L4443" s="19" t="s">
        <v>493</v>
      </c>
      <c r="M4443" s="15" t="s">
        <v>2134</v>
      </c>
      <c r="N4443" s="15" t="s">
        <v>36</v>
      </c>
      <c r="O4443" s="15" t="s">
        <v>117</v>
      </c>
      <c r="P4443" s="20" t="s">
        <v>1862</v>
      </c>
      <c r="Q4443" s="15" t="s">
        <v>83</v>
      </c>
      <c r="R4443" s="4"/>
      <c r="S4443" s="4"/>
    </row>
    <row r="4444" spans="1:19" ht="21" customHeight="1" x14ac:dyDescent="0.25">
      <c r="A4444" s="14">
        <f>DATE(2012,12,31)-873</f>
        <v>40401</v>
      </c>
      <c r="B4444" s="15" t="s">
        <v>30</v>
      </c>
      <c r="C4444" s="15" t="s">
        <v>43</v>
      </c>
      <c r="D4444" s="16">
        <v>19</v>
      </c>
      <c r="E4444" s="17">
        <v>1504.97</v>
      </c>
      <c r="F4444" s="16">
        <v>0.02</v>
      </c>
      <c r="G4444" s="15" t="s">
        <v>32</v>
      </c>
      <c r="H4444" s="18">
        <v>-0.30999999999997385</v>
      </c>
      <c r="I4444" s="19">
        <v>77.510000000000005</v>
      </c>
      <c r="J4444" s="19">
        <v>4</v>
      </c>
      <c r="K4444" s="19" t="s">
        <v>124</v>
      </c>
      <c r="L4444" s="19" t="s">
        <v>160</v>
      </c>
      <c r="M4444" s="15" t="s">
        <v>1951</v>
      </c>
      <c r="N4444" s="15" t="s">
        <v>64</v>
      </c>
      <c r="O4444" s="15" t="s">
        <v>72</v>
      </c>
      <c r="P4444" s="20" t="s">
        <v>2007</v>
      </c>
      <c r="Q4444" s="15" t="s">
        <v>83</v>
      </c>
      <c r="R4444" s="4"/>
      <c r="S4444" s="4"/>
    </row>
    <row r="4445" spans="1:19" ht="21" customHeight="1" x14ac:dyDescent="0.25">
      <c r="A4445" s="14">
        <f>DATE(2012,12,31)-54</f>
        <v>41220</v>
      </c>
      <c r="B4445" s="15" t="s">
        <v>1227</v>
      </c>
      <c r="C4445" s="15" t="s">
        <v>43</v>
      </c>
      <c r="D4445" s="16">
        <v>38</v>
      </c>
      <c r="E4445" s="17">
        <v>212.12</v>
      </c>
      <c r="F4445" s="16">
        <v>0.02</v>
      </c>
      <c r="G4445" s="15" t="s">
        <v>32</v>
      </c>
      <c r="H4445" s="18">
        <v>-93.78</v>
      </c>
      <c r="I4445" s="19">
        <v>5.28</v>
      </c>
      <c r="J4445" s="19">
        <v>5.66</v>
      </c>
      <c r="K4445" s="19" t="s">
        <v>124</v>
      </c>
      <c r="L4445" s="19" t="s">
        <v>160</v>
      </c>
      <c r="M4445" s="15" t="s">
        <v>1951</v>
      </c>
      <c r="N4445" s="15" t="s">
        <v>36</v>
      </c>
      <c r="O4445" s="15" t="s">
        <v>117</v>
      </c>
      <c r="P4445" s="20" t="s">
        <v>2153</v>
      </c>
      <c r="Q4445" s="15" t="s">
        <v>83</v>
      </c>
      <c r="R4445" s="4"/>
      <c r="S4445" s="4"/>
    </row>
    <row r="4446" spans="1:19" ht="21" customHeight="1" x14ac:dyDescent="0.25">
      <c r="A4446" s="14">
        <f>DATE(2012,12,31)-1028</f>
        <v>40246</v>
      </c>
      <c r="B4446" s="15" t="s">
        <v>974</v>
      </c>
      <c r="C4446" s="15" t="s">
        <v>31</v>
      </c>
      <c r="D4446" s="16">
        <v>42</v>
      </c>
      <c r="E4446" s="17">
        <v>3186.77</v>
      </c>
      <c r="F4446" s="16">
        <v>0.09</v>
      </c>
      <c r="G4446" s="15" t="s">
        <v>32</v>
      </c>
      <c r="H4446" s="18">
        <v>455.42</v>
      </c>
      <c r="I4446" s="19">
        <v>76.72</v>
      </c>
      <c r="J4446" s="19">
        <v>19.95</v>
      </c>
      <c r="K4446" s="19" t="s">
        <v>124</v>
      </c>
      <c r="L4446" s="19" t="s">
        <v>158</v>
      </c>
      <c r="M4446" s="15" t="s">
        <v>158</v>
      </c>
      <c r="N4446" s="15" t="s">
        <v>36</v>
      </c>
      <c r="O4446" s="15" t="s">
        <v>176</v>
      </c>
      <c r="P4446" s="20" t="s">
        <v>1016</v>
      </c>
      <c r="Q4446" s="15" t="s">
        <v>39</v>
      </c>
      <c r="R4446" s="4"/>
      <c r="S4446" s="4"/>
    </row>
    <row r="4447" spans="1:19" ht="21" customHeight="1" x14ac:dyDescent="0.25">
      <c r="A4447" s="14">
        <f>DATE(2012,12,31)-106</f>
        <v>41168</v>
      </c>
      <c r="B4447" s="15" t="s">
        <v>527</v>
      </c>
      <c r="C4447" s="15" t="s">
        <v>85</v>
      </c>
      <c r="D4447" s="16">
        <v>15</v>
      </c>
      <c r="E4447" s="17">
        <v>89.97</v>
      </c>
      <c r="F4447" s="16">
        <v>0.02</v>
      </c>
      <c r="G4447" s="15" t="s">
        <v>32</v>
      </c>
      <c r="H4447" s="18">
        <v>23.48</v>
      </c>
      <c r="I4447" s="19">
        <v>5.68</v>
      </c>
      <c r="J4447" s="19">
        <v>1.46</v>
      </c>
      <c r="K4447" s="19" t="s">
        <v>44</v>
      </c>
      <c r="L4447" s="19" t="s">
        <v>89</v>
      </c>
      <c r="M4447" s="15" t="s">
        <v>1932</v>
      </c>
      <c r="N4447" s="15" t="s">
        <v>36</v>
      </c>
      <c r="O4447" s="15" t="s">
        <v>117</v>
      </c>
      <c r="P4447" s="20" t="s">
        <v>2017</v>
      </c>
      <c r="Q4447" s="15" t="s">
        <v>79</v>
      </c>
      <c r="R4447" s="4"/>
      <c r="S4447" s="4"/>
    </row>
    <row r="4448" spans="1:19" ht="21" customHeight="1" x14ac:dyDescent="0.25">
      <c r="A4448" s="14">
        <f>DATE(2012,12,31)-106</f>
        <v>41168</v>
      </c>
      <c r="B4448" s="15" t="s">
        <v>527</v>
      </c>
      <c r="C4448" s="15" t="s">
        <v>85</v>
      </c>
      <c r="D4448" s="16">
        <v>28</v>
      </c>
      <c r="E4448" s="17">
        <v>456.91</v>
      </c>
      <c r="F4448" s="16">
        <v>0.04</v>
      </c>
      <c r="G4448" s="15" t="s">
        <v>101</v>
      </c>
      <c r="H4448" s="18">
        <v>-328.18</v>
      </c>
      <c r="I4448" s="19">
        <v>15.51</v>
      </c>
      <c r="J4448" s="19">
        <v>17.78</v>
      </c>
      <c r="K4448" s="19" t="s">
        <v>44</v>
      </c>
      <c r="L4448" s="19" t="s">
        <v>52</v>
      </c>
      <c r="M4448" s="15" t="s">
        <v>2148</v>
      </c>
      <c r="N4448" s="15" t="s">
        <v>36</v>
      </c>
      <c r="O4448" s="15" t="s">
        <v>37</v>
      </c>
      <c r="P4448" s="20" t="s">
        <v>1434</v>
      </c>
      <c r="Q4448" s="15" t="s">
        <v>83</v>
      </c>
      <c r="R4448" s="4"/>
      <c r="S4448" s="4"/>
    </row>
    <row r="4449" spans="1:19" ht="21" customHeight="1" x14ac:dyDescent="0.25">
      <c r="A4449" s="14">
        <f>DATE(2012,12,31)-592</f>
        <v>40682</v>
      </c>
      <c r="B4449" s="15" t="s">
        <v>1128</v>
      </c>
      <c r="C4449" s="15" t="s">
        <v>51</v>
      </c>
      <c r="D4449" s="16">
        <v>44</v>
      </c>
      <c r="E4449" s="17">
        <v>123.06</v>
      </c>
      <c r="F4449" s="16">
        <v>7.0000000000000007E-2</v>
      </c>
      <c r="G4449" s="15" t="s">
        <v>32</v>
      </c>
      <c r="H4449" s="18">
        <v>3.5</v>
      </c>
      <c r="I4449" s="19">
        <v>2.78</v>
      </c>
      <c r="J4449" s="19">
        <v>1.34</v>
      </c>
      <c r="K4449" s="19" t="s">
        <v>44</v>
      </c>
      <c r="L4449" s="19" t="s">
        <v>52</v>
      </c>
      <c r="M4449" s="15" t="s">
        <v>2148</v>
      </c>
      <c r="N4449" s="15" t="s">
        <v>36</v>
      </c>
      <c r="O4449" s="15" t="s">
        <v>77</v>
      </c>
      <c r="P4449" s="20" t="s">
        <v>422</v>
      </c>
      <c r="Q4449" s="15" t="s">
        <v>79</v>
      </c>
      <c r="R4449" s="4"/>
      <c r="S4449" s="4"/>
    </row>
    <row r="4450" spans="1:19" ht="21" customHeight="1" x14ac:dyDescent="0.25">
      <c r="A4450" s="14">
        <f>DATE(2012,12,31)-1452</f>
        <v>39822</v>
      </c>
      <c r="B4450" s="15" t="s">
        <v>1024</v>
      </c>
      <c r="C4450" s="15" t="s">
        <v>43</v>
      </c>
      <c r="D4450" s="16">
        <v>24</v>
      </c>
      <c r="E4450" s="17">
        <v>64.11</v>
      </c>
      <c r="F4450" s="16">
        <v>0.09</v>
      </c>
      <c r="G4450" s="15" t="s">
        <v>32</v>
      </c>
      <c r="H4450" s="18">
        <v>-4.09</v>
      </c>
      <c r="I4450" s="19">
        <v>2.78</v>
      </c>
      <c r="J4450" s="19">
        <v>0.97</v>
      </c>
      <c r="K4450" s="19" t="s">
        <v>44</v>
      </c>
      <c r="L4450" s="19" t="s">
        <v>52</v>
      </c>
      <c r="M4450" s="15" t="s">
        <v>2148</v>
      </c>
      <c r="N4450" s="15" t="s">
        <v>36</v>
      </c>
      <c r="O4450" s="15" t="s">
        <v>77</v>
      </c>
      <c r="P4450" s="20" t="s">
        <v>1430</v>
      </c>
      <c r="Q4450" s="15" t="s">
        <v>79</v>
      </c>
      <c r="R4450" s="4"/>
      <c r="S4450" s="4"/>
    </row>
    <row r="4451" spans="1:19" ht="21" customHeight="1" x14ac:dyDescent="0.25">
      <c r="A4451" s="14">
        <f>DATE(2012,12,31)-1452</f>
        <v>39822</v>
      </c>
      <c r="B4451" s="15" t="s">
        <v>1024</v>
      </c>
      <c r="C4451" s="15" t="s">
        <v>43</v>
      </c>
      <c r="D4451" s="16">
        <v>11</v>
      </c>
      <c r="E4451" s="17">
        <v>68.5</v>
      </c>
      <c r="F4451" s="16">
        <v>0.01</v>
      </c>
      <c r="G4451" s="15" t="s">
        <v>32</v>
      </c>
      <c r="H4451" s="18">
        <v>-53.854500000000002</v>
      </c>
      <c r="I4451" s="19">
        <v>5.38</v>
      </c>
      <c r="J4451" s="19">
        <v>7.57</v>
      </c>
      <c r="K4451" s="19" t="s">
        <v>33</v>
      </c>
      <c r="L4451" s="19" t="s">
        <v>59</v>
      </c>
      <c r="M4451" s="15" t="s">
        <v>2091</v>
      </c>
      <c r="N4451" s="15" t="s">
        <v>36</v>
      </c>
      <c r="O4451" s="15" t="s">
        <v>170</v>
      </c>
      <c r="P4451" s="20" t="s">
        <v>2031</v>
      </c>
      <c r="Q4451" s="15" t="s">
        <v>83</v>
      </c>
      <c r="R4451" s="4"/>
      <c r="S4451" s="4"/>
    </row>
    <row r="4452" spans="1:19" ht="21" customHeight="1" x14ac:dyDescent="0.25">
      <c r="A4452" s="14">
        <f>DATE(2012,12,31)-1452</f>
        <v>39822</v>
      </c>
      <c r="B4452" s="15" t="s">
        <v>1024</v>
      </c>
      <c r="C4452" s="15" t="s">
        <v>43</v>
      </c>
      <c r="D4452" s="16">
        <v>44</v>
      </c>
      <c r="E4452" s="17">
        <v>145.19</v>
      </c>
      <c r="F4452" s="16">
        <v>0.05</v>
      </c>
      <c r="G4452" s="15" t="s">
        <v>32</v>
      </c>
      <c r="H4452" s="18">
        <v>-116.87</v>
      </c>
      <c r="I4452" s="19">
        <v>3.28</v>
      </c>
      <c r="J4452" s="19">
        <v>3.97</v>
      </c>
      <c r="K4452" s="19" t="s">
        <v>69</v>
      </c>
      <c r="L4452" s="19" t="s">
        <v>70</v>
      </c>
      <c r="M4452" s="15" t="s">
        <v>1895</v>
      </c>
      <c r="N4452" s="15" t="s">
        <v>36</v>
      </c>
      <c r="O4452" s="15" t="s">
        <v>77</v>
      </c>
      <c r="P4452" s="20" t="s">
        <v>1326</v>
      </c>
      <c r="Q4452" s="15" t="s">
        <v>79</v>
      </c>
      <c r="R4452" s="4"/>
      <c r="S4452" s="4"/>
    </row>
    <row r="4453" spans="1:19" ht="21" customHeight="1" x14ac:dyDescent="0.25">
      <c r="A4453" s="14">
        <f>DATE(2012,12,31)-765</f>
        <v>40509</v>
      </c>
      <c r="B4453" s="15" t="s">
        <v>502</v>
      </c>
      <c r="C4453" s="15" t="s">
        <v>31</v>
      </c>
      <c r="D4453" s="16">
        <v>24</v>
      </c>
      <c r="E4453" s="17">
        <v>1390.6934999999999</v>
      </c>
      <c r="F4453" s="16">
        <v>0.03</v>
      </c>
      <c r="G4453" s="15" t="s">
        <v>32</v>
      </c>
      <c r="H4453" s="18">
        <v>168.46200000000002</v>
      </c>
      <c r="I4453" s="19">
        <v>65.989999999999995</v>
      </c>
      <c r="J4453" s="19">
        <v>7.69</v>
      </c>
      <c r="K4453" s="19" t="s">
        <v>69</v>
      </c>
      <c r="L4453" s="19" t="s">
        <v>70</v>
      </c>
      <c r="M4453" s="15" t="s">
        <v>1895</v>
      </c>
      <c r="N4453" s="15" t="s">
        <v>64</v>
      </c>
      <c r="O4453" s="15" t="s">
        <v>65</v>
      </c>
      <c r="P4453" s="20" t="s">
        <v>229</v>
      </c>
      <c r="Q4453" s="15" t="s">
        <v>83</v>
      </c>
      <c r="R4453" s="4"/>
      <c r="S4453" s="4"/>
    </row>
    <row r="4454" spans="1:19" ht="21" customHeight="1" x14ac:dyDescent="0.25">
      <c r="A4454" s="14">
        <f>DATE(2012,12,31)-765</f>
        <v>40509</v>
      </c>
      <c r="B4454" s="15" t="s">
        <v>502</v>
      </c>
      <c r="C4454" s="15" t="s">
        <v>31</v>
      </c>
      <c r="D4454" s="16">
        <v>20</v>
      </c>
      <c r="E4454" s="17">
        <v>1017.2884999999999</v>
      </c>
      <c r="F4454" s="16">
        <v>0.1</v>
      </c>
      <c r="G4454" s="15" t="s">
        <v>32</v>
      </c>
      <c r="H4454" s="18">
        <v>-115.30199999999999</v>
      </c>
      <c r="I4454" s="19">
        <v>65.989999999999995</v>
      </c>
      <c r="J4454" s="19">
        <v>8.99</v>
      </c>
      <c r="K4454" s="19" t="s">
        <v>69</v>
      </c>
      <c r="L4454" s="19" t="s">
        <v>75</v>
      </c>
      <c r="M4454" s="15" t="s">
        <v>1980</v>
      </c>
      <c r="N4454" s="15" t="s">
        <v>64</v>
      </c>
      <c r="O4454" s="15" t="s">
        <v>65</v>
      </c>
      <c r="P4454" s="20" t="s">
        <v>2029</v>
      </c>
      <c r="Q4454" s="15" t="s">
        <v>83</v>
      </c>
      <c r="R4454" s="4"/>
      <c r="S4454" s="4"/>
    </row>
    <row r="4455" spans="1:19" ht="21" customHeight="1" x14ac:dyDescent="0.25">
      <c r="A4455" s="14">
        <f>DATE(2012,12,31)-113</f>
        <v>41161</v>
      </c>
      <c r="B4455" s="15" t="s">
        <v>2133</v>
      </c>
      <c r="C4455" s="15" t="s">
        <v>85</v>
      </c>
      <c r="D4455" s="16">
        <v>12</v>
      </c>
      <c r="E4455" s="17">
        <v>86.69</v>
      </c>
      <c r="F4455" s="16">
        <v>0</v>
      </c>
      <c r="G4455" s="15" t="s">
        <v>32</v>
      </c>
      <c r="H4455" s="18">
        <v>-43.48</v>
      </c>
      <c r="I4455" s="19">
        <v>6.48</v>
      </c>
      <c r="J4455" s="19">
        <v>7.37</v>
      </c>
      <c r="K4455" s="19" t="s">
        <v>44</v>
      </c>
      <c r="L4455" s="19" t="s">
        <v>89</v>
      </c>
      <c r="M4455" s="15" t="s">
        <v>1932</v>
      </c>
      <c r="N4455" s="15" t="s">
        <v>36</v>
      </c>
      <c r="O4455" s="15" t="s">
        <v>117</v>
      </c>
      <c r="P4455" s="20" t="s">
        <v>998</v>
      </c>
      <c r="Q4455" s="15" t="s">
        <v>83</v>
      </c>
      <c r="R4455" s="4"/>
      <c r="S4455" s="4"/>
    </row>
    <row r="4456" spans="1:19" ht="21" customHeight="1" x14ac:dyDescent="0.25">
      <c r="A4456" s="14">
        <f>DATE(2012,12,31)-585</f>
        <v>40689</v>
      </c>
      <c r="B4456" s="15" t="s">
        <v>586</v>
      </c>
      <c r="C4456" s="15" t="s">
        <v>51</v>
      </c>
      <c r="D4456" s="16">
        <v>31</v>
      </c>
      <c r="E4456" s="17">
        <v>413.12</v>
      </c>
      <c r="F4456" s="16">
        <v>0.1</v>
      </c>
      <c r="G4456" s="15" t="s">
        <v>101</v>
      </c>
      <c r="H4456" s="18">
        <v>-10.223500000000001</v>
      </c>
      <c r="I4456" s="19">
        <v>14.27</v>
      </c>
      <c r="J4456" s="19">
        <v>7.27</v>
      </c>
      <c r="K4456" s="19" t="s">
        <v>124</v>
      </c>
      <c r="L4456" s="19" t="s">
        <v>493</v>
      </c>
      <c r="M4456" s="15" t="s">
        <v>2134</v>
      </c>
      <c r="N4456" s="15" t="s">
        <v>36</v>
      </c>
      <c r="O4456" s="15" t="s">
        <v>170</v>
      </c>
      <c r="P4456" s="20" t="s">
        <v>1224</v>
      </c>
      <c r="Q4456" s="15" t="s">
        <v>83</v>
      </c>
      <c r="R4456" s="4"/>
      <c r="S4456" s="4"/>
    </row>
    <row r="4457" spans="1:19" ht="21" customHeight="1" x14ac:dyDescent="0.25">
      <c r="A4457" s="14">
        <f>DATE(2012,12,31)-439</f>
        <v>40835</v>
      </c>
      <c r="B4457" s="15" t="s">
        <v>1208</v>
      </c>
      <c r="C4457" s="15" t="s">
        <v>43</v>
      </c>
      <c r="D4457" s="16">
        <v>32</v>
      </c>
      <c r="E4457" s="17">
        <v>6483.42</v>
      </c>
      <c r="F4457" s="16">
        <v>7.0000000000000007E-2</v>
      </c>
      <c r="G4457" s="15" t="s">
        <v>58</v>
      </c>
      <c r="H4457" s="18">
        <v>1590.95</v>
      </c>
      <c r="I4457" s="19">
        <v>200.98</v>
      </c>
      <c r="J4457" s="19">
        <v>23.76</v>
      </c>
      <c r="K4457" s="19" t="s">
        <v>124</v>
      </c>
      <c r="L4457" s="19" t="s">
        <v>493</v>
      </c>
      <c r="M4457" s="15" t="s">
        <v>2134</v>
      </c>
      <c r="N4457" s="15" t="s">
        <v>54</v>
      </c>
      <c r="O4457" s="15" t="s">
        <v>252</v>
      </c>
      <c r="P4457" s="20" t="s">
        <v>1277</v>
      </c>
      <c r="Q4457" s="15" t="s">
        <v>181</v>
      </c>
      <c r="R4457" s="4"/>
      <c r="S4457" s="4"/>
    </row>
    <row r="4458" spans="1:19" ht="21" customHeight="1" x14ac:dyDescent="0.25">
      <c r="A4458" s="14">
        <f>DATE(2012,12,31)-439</f>
        <v>40835</v>
      </c>
      <c r="B4458" s="15" t="s">
        <v>1208</v>
      </c>
      <c r="C4458" s="15" t="s">
        <v>43</v>
      </c>
      <c r="D4458" s="16">
        <v>10</v>
      </c>
      <c r="E4458" s="17">
        <v>137.77000000000001</v>
      </c>
      <c r="F4458" s="16">
        <v>0.01</v>
      </c>
      <c r="G4458" s="15" t="s">
        <v>32</v>
      </c>
      <c r="H4458" s="18">
        <v>1.85</v>
      </c>
      <c r="I4458" s="19">
        <v>12.28</v>
      </c>
      <c r="J4458" s="19">
        <v>6.47</v>
      </c>
      <c r="K4458" s="19" t="s">
        <v>33</v>
      </c>
      <c r="L4458" s="19" t="s">
        <v>59</v>
      </c>
      <c r="M4458" s="15" t="s">
        <v>2091</v>
      </c>
      <c r="N4458" s="15" t="s">
        <v>36</v>
      </c>
      <c r="O4458" s="15" t="s">
        <v>117</v>
      </c>
      <c r="P4458" s="20" t="s">
        <v>832</v>
      </c>
      <c r="Q4458" s="15" t="s">
        <v>83</v>
      </c>
      <c r="R4458" s="4"/>
      <c r="S4458" s="4"/>
    </row>
    <row r="4459" spans="1:19" ht="21" customHeight="1" x14ac:dyDescent="0.25">
      <c r="A4459" s="14">
        <f>DATE(2012,12,31)-1067</f>
        <v>40207</v>
      </c>
      <c r="B4459" s="15" t="s">
        <v>875</v>
      </c>
      <c r="C4459" s="15" t="s">
        <v>85</v>
      </c>
      <c r="D4459" s="16">
        <v>17</v>
      </c>
      <c r="E4459" s="17">
        <v>734.25</v>
      </c>
      <c r="F4459" s="16">
        <v>0.08</v>
      </c>
      <c r="G4459" s="15" t="s">
        <v>101</v>
      </c>
      <c r="H4459" s="18">
        <v>160.58000000000001</v>
      </c>
      <c r="I4459" s="19">
        <v>42.98</v>
      </c>
      <c r="J4459" s="19">
        <v>4.62</v>
      </c>
      <c r="K4459" s="19" t="s">
        <v>33</v>
      </c>
      <c r="L4459" s="19" t="s">
        <v>59</v>
      </c>
      <c r="M4459" s="15" t="s">
        <v>2091</v>
      </c>
      <c r="N4459" s="15" t="s">
        <v>36</v>
      </c>
      <c r="O4459" s="15" t="s">
        <v>176</v>
      </c>
      <c r="P4459" s="20" t="s">
        <v>1670</v>
      </c>
      <c r="Q4459" s="15" t="s">
        <v>83</v>
      </c>
      <c r="R4459" s="4"/>
      <c r="S4459" s="4"/>
    </row>
    <row r="4460" spans="1:19" ht="21" customHeight="1" x14ac:dyDescent="0.25">
      <c r="A4460" s="14">
        <f>DATE(2012,12,31)-1445</f>
        <v>39829</v>
      </c>
      <c r="B4460" s="15" t="s">
        <v>398</v>
      </c>
      <c r="C4460" s="15" t="s">
        <v>85</v>
      </c>
      <c r="D4460" s="16">
        <v>46</v>
      </c>
      <c r="E4460" s="17">
        <v>249.02</v>
      </c>
      <c r="F4460" s="16">
        <v>0.1</v>
      </c>
      <c r="G4460" s="15" t="s">
        <v>32</v>
      </c>
      <c r="H4460" s="18">
        <v>-282.61250000000001</v>
      </c>
      <c r="I4460" s="19">
        <v>5.81</v>
      </c>
      <c r="J4460" s="19">
        <v>8.49</v>
      </c>
      <c r="K4460" s="19" t="s">
        <v>33</v>
      </c>
      <c r="L4460" s="19" t="s">
        <v>145</v>
      </c>
      <c r="M4460" s="15" t="s">
        <v>2140</v>
      </c>
      <c r="N4460" s="15" t="s">
        <v>36</v>
      </c>
      <c r="O4460" s="15" t="s">
        <v>170</v>
      </c>
      <c r="P4460" s="20" t="s">
        <v>1190</v>
      </c>
      <c r="Q4460" s="15" t="s">
        <v>83</v>
      </c>
      <c r="R4460" s="4"/>
      <c r="S4460" s="4"/>
    </row>
    <row r="4461" spans="1:19" ht="21" customHeight="1" x14ac:dyDescent="0.25">
      <c r="A4461" s="14">
        <f>DATE(2012,12,31)-1445</f>
        <v>39829</v>
      </c>
      <c r="B4461" s="15" t="s">
        <v>398</v>
      </c>
      <c r="C4461" s="15" t="s">
        <v>85</v>
      </c>
      <c r="D4461" s="16">
        <v>41</v>
      </c>
      <c r="E4461" s="17">
        <v>78.489999999999995</v>
      </c>
      <c r="F4461" s="16">
        <v>0.03</v>
      </c>
      <c r="G4461" s="15" t="s">
        <v>32</v>
      </c>
      <c r="H4461" s="18">
        <v>5.53</v>
      </c>
      <c r="I4461" s="19">
        <v>1.81</v>
      </c>
      <c r="J4461" s="19">
        <v>0.75</v>
      </c>
      <c r="K4461" s="19" t="s">
        <v>33</v>
      </c>
      <c r="L4461" s="19" t="s">
        <v>59</v>
      </c>
      <c r="M4461" s="15" t="s">
        <v>2091</v>
      </c>
      <c r="N4461" s="15" t="s">
        <v>36</v>
      </c>
      <c r="O4461" s="15" t="s">
        <v>105</v>
      </c>
      <c r="P4461" s="20" t="s">
        <v>1195</v>
      </c>
      <c r="Q4461" s="15" t="s">
        <v>79</v>
      </c>
      <c r="R4461" s="4"/>
      <c r="S4461" s="4"/>
    </row>
    <row r="4462" spans="1:19" ht="21" customHeight="1" x14ac:dyDescent="0.25">
      <c r="A4462" s="14">
        <f>DATE(2012,12,31)-887</f>
        <v>40387</v>
      </c>
      <c r="B4462" s="15" t="s">
        <v>1026</v>
      </c>
      <c r="C4462" s="15" t="s">
        <v>51</v>
      </c>
      <c r="D4462" s="16">
        <v>1</v>
      </c>
      <c r="E4462" s="17">
        <v>15</v>
      </c>
      <c r="F4462" s="16">
        <v>0.1</v>
      </c>
      <c r="G4462" s="15" t="s">
        <v>32</v>
      </c>
      <c r="H4462" s="18">
        <v>-13.74</v>
      </c>
      <c r="I4462" s="19">
        <v>9.7799999999999994</v>
      </c>
      <c r="J4462" s="19">
        <v>5.76</v>
      </c>
      <c r="K4462" s="19" t="s">
        <v>33</v>
      </c>
      <c r="L4462" s="19" t="s">
        <v>34</v>
      </c>
      <c r="M4462" s="15" t="s">
        <v>2043</v>
      </c>
      <c r="N4462" s="15" t="s">
        <v>36</v>
      </c>
      <c r="O4462" s="15" t="s">
        <v>189</v>
      </c>
      <c r="P4462" s="20" t="s">
        <v>917</v>
      </c>
      <c r="Q4462" s="15" t="s">
        <v>83</v>
      </c>
      <c r="R4462" s="4"/>
      <c r="S4462" s="4"/>
    </row>
    <row r="4463" spans="1:19" ht="21" customHeight="1" x14ac:dyDescent="0.25">
      <c r="A4463" s="14">
        <f>DATE(2012,12,31)-1320</f>
        <v>39954</v>
      </c>
      <c r="B4463" s="15" t="s">
        <v>2177</v>
      </c>
      <c r="C4463" s="15" t="s">
        <v>85</v>
      </c>
      <c r="D4463" s="16">
        <v>46</v>
      </c>
      <c r="E4463" s="17">
        <v>355.55</v>
      </c>
      <c r="F4463" s="16">
        <v>0.03</v>
      </c>
      <c r="G4463" s="15" t="s">
        <v>32</v>
      </c>
      <c r="H4463" s="18">
        <v>-166.74</v>
      </c>
      <c r="I4463" s="19">
        <v>7.28</v>
      </c>
      <c r="J4463" s="19">
        <v>7.98</v>
      </c>
      <c r="K4463" s="19" t="s">
        <v>33</v>
      </c>
      <c r="L4463" s="19" t="s">
        <v>59</v>
      </c>
      <c r="M4463" s="15" t="s">
        <v>2091</v>
      </c>
      <c r="N4463" s="15" t="s">
        <v>54</v>
      </c>
      <c r="O4463" s="15" t="s">
        <v>55</v>
      </c>
      <c r="P4463" s="20" t="s">
        <v>147</v>
      </c>
      <c r="Q4463" s="15" t="s">
        <v>79</v>
      </c>
      <c r="R4463" s="4"/>
      <c r="S4463" s="4"/>
    </row>
    <row r="4464" spans="1:19" ht="21" customHeight="1" x14ac:dyDescent="0.25">
      <c r="A4464" s="14">
        <f>DATE(2012,12,31)-519</f>
        <v>40755</v>
      </c>
      <c r="B4464" s="15" t="s">
        <v>1893</v>
      </c>
      <c r="C4464" s="15" t="s">
        <v>51</v>
      </c>
      <c r="D4464" s="16">
        <v>14</v>
      </c>
      <c r="E4464" s="17">
        <v>593.62</v>
      </c>
      <c r="F4464" s="16">
        <v>0.02</v>
      </c>
      <c r="G4464" s="15" t="s">
        <v>32</v>
      </c>
      <c r="H4464" s="18">
        <v>25.19</v>
      </c>
      <c r="I4464" s="19">
        <v>40.99</v>
      </c>
      <c r="J4464" s="19">
        <v>19.989999999999998</v>
      </c>
      <c r="K4464" s="19" t="s">
        <v>69</v>
      </c>
      <c r="L4464" s="19" t="s">
        <v>75</v>
      </c>
      <c r="M4464" s="15" t="s">
        <v>1980</v>
      </c>
      <c r="N4464" s="15" t="s">
        <v>36</v>
      </c>
      <c r="O4464" s="15" t="s">
        <v>117</v>
      </c>
      <c r="P4464" s="20" t="s">
        <v>619</v>
      </c>
      <c r="Q4464" s="15" t="s">
        <v>83</v>
      </c>
      <c r="R4464" s="4"/>
      <c r="S4464" s="4"/>
    </row>
    <row r="4465" spans="1:19" ht="21" customHeight="1" x14ac:dyDescent="0.25">
      <c r="A4465" s="14">
        <f>DATE(2012,12,31)-519</f>
        <v>40755</v>
      </c>
      <c r="B4465" s="15" t="s">
        <v>1893</v>
      </c>
      <c r="C4465" s="15" t="s">
        <v>51</v>
      </c>
      <c r="D4465" s="16">
        <v>31</v>
      </c>
      <c r="E4465" s="17">
        <v>38.520000000000003</v>
      </c>
      <c r="F4465" s="16">
        <v>0.06</v>
      </c>
      <c r="G4465" s="15" t="s">
        <v>32</v>
      </c>
      <c r="H4465" s="18">
        <v>-17.34</v>
      </c>
      <c r="I4465" s="19">
        <v>1.26</v>
      </c>
      <c r="J4465" s="19">
        <v>0.7</v>
      </c>
      <c r="K4465" s="19" t="s">
        <v>69</v>
      </c>
      <c r="L4465" s="19" t="s">
        <v>70</v>
      </c>
      <c r="M4465" s="15" t="s">
        <v>1895</v>
      </c>
      <c r="N4465" s="15" t="s">
        <v>36</v>
      </c>
      <c r="O4465" s="15" t="s">
        <v>105</v>
      </c>
      <c r="P4465" s="20" t="s">
        <v>316</v>
      </c>
      <c r="Q4465" s="15" t="s">
        <v>79</v>
      </c>
      <c r="R4465" s="4"/>
      <c r="S4465" s="4"/>
    </row>
    <row r="4466" spans="1:19" ht="21" customHeight="1" x14ac:dyDescent="0.25">
      <c r="A4466" s="14">
        <f>DATE(2012,12,31)-899</f>
        <v>40375</v>
      </c>
      <c r="B4466" s="15" t="s">
        <v>2143</v>
      </c>
      <c r="C4466" s="15" t="s">
        <v>85</v>
      </c>
      <c r="D4466" s="16">
        <v>9</v>
      </c>
      <c r="E4466" s="17">
        <v>157.26</v>
      </c>
      <c r="F4466" s="16">
        <v>0.06</v>
      </c>
      <c r="G4466" s="15" t="s">
        <v>32</v>
      </c>
      <c r="H4466" s="18">
        <v>-18.84</v>
      </c>
      <c r="I4466" s="19">
        <v>17.48</v>
      </c>
      <c r="J4466" s="19">
        <v>1.99</v>
      </c>
      <c r="K4466" s="19" t="s">
        <v>69</v>
      </c>
      <c r="L4466" s="19" t="s">
        <v>75</v>
      </c>
      <c r="M4466" s="15" t="s">
        <v>1980</v>
      </c>
      <c r="N4466" s="15" t="s">
        <v>64</v>
      </c>
      <c r="O4466" s="15" t="s">
        <v>72</v>
      </c>
      <c r="P4466" s="20" t="s">
        <v>1262</v>
      </c>
      <c r="Q4466" s="15" t="s">
        <v>49</v>
      </c>
      <c r="R4466" s="4"/>
      <c r="S4466" s="4"/>
    </row>
    <row r="4467" spans="1:19" ht="21" customHeight="1" x14ac:dyDescent="0.25">
      <c r="A4467" s="14">
        <f>DATE(2012,12,31)-548</f>
        <v>40726</v>
      </c>
      <c r="B4467" s="15" t="s">
        <v>1933</v>
      </c>
      <c r="C4467" s="15" t="s">
        <v>43</v>
      </c>
      <c r="D4467" s="16">
        <v>14</v>
      </c>
      <c r="E4467" s="17">
        <v>2085.9299999999998</v>
      </c>
      <c r="F4467" s="16">
        <v>0.09</v>
      </c>
      <c r="G4467" s="15" t="s">
        <v>58</v>
      </c>
      <c r="H4467" s="18">
        <v>-517.73</v>
      </c>
      <c r="I4467" s="19">
        <v>150.97999999999999</v>
      </c>
      <c r="J4467" s="19">
        <v>66.27</v>
      </c>
      <c r="K4467" s="19" t="s">
        <v>69</v>
      </c>
      <c r="L4467" s="19" t="s">
        <v>70</v>
      </c>
      <c r="M4467" s="15" t="s">
        <v>1895</v>
      </c>
      <c r="N4467" s="15" t="s">
        <v>54</v>
      </c>
      <c r="O4467" s="15" t="s">
        <v>134</v>
      </c>
      <c r="P4467" s="20" t="s">
        <v>1113</v>
      </c>
      <c r="Q4467" s="15" t="s">
        <v>63</v>
      </c>
      <c r="R4467" s="4"/>
      <c r="S4467" s="4"/>
    </row>
    <row r="4468" spans="1:19" ht="21" customHeight="1" x14ac:dyDescent="0.25">
      <c r="A4468" s="14">
        <f>DATE(2012,12,31)-70</f>
        <v>41204</v>
      </c>
      <c r="B4468" s="15" t="s">
        <v>1204</v>
      </c>
      <c r="C4468" s="15" t="s">
        <v>31</v>
      </c>
      <c r="D4468" s="16">
        <v>36</v>
      </c>
      <c r="E4468" s="17">
        <v>3645.12</v>
      </c>
      <c r="F4468" s="16">
        <v>0.04</v>
      </c>
      <c r="G4468" s="15" t="s">
        <v>58</v>
      </c>
      <c r="H4468" s="18">
        <v>807.29</v>
      </c>
      <c r="I4468" s="19">
        <v>100.98</v>
      </c>
      <c r="J4468" s="19">
        <v>15.66</v>
      </c>
      <c r="K4468" s="19" t="s">
        <v>69</v>
      </c>
      <c r="L4468" s="19" t="s">
        <v>70</v>
      </c>
      <c r="M4468" s="15" t="s">
        <v>1895</v>
      </c>
      <c r="N4468" s="15" t="s">
        <v>36</v>
      </c>
      <c r="O4468" s="15" t="s">
        <v>176</v>
      </c>
      <c r="P4468" s="20" t="s">
        <v>847</v>
      </c>
      <c r="Q4468" s="15" t="s">
        <v>181</v>
      </c>
      <c r="R4468" s="4"/>
      <c r="S4468" s="4"/>
    </row>
    <row r="4469" spans="1:19" ht="21" customHeight="1" x14ac:dyDescent="0.25">
      <c r="A4469" s="14">
        <f>DATE(2012,12,31)-70</f>
        <v>41204</v>
      </c>
      <c r="B4469" s="15" t="s">
        <v>1204</v>
      </c>
      <c r="C4469" s="15" t="s">
        <v>31</v>
      </c>
      <c r="D4469" s="16">
        <v>11</v>
      </c>
      <c r="E4469" s="17">
        <v>114.55</v>
      </c>
      <c r="F4469" s="16">
        <v>0.05</v>
      </c>
      <c r="G4469" s="15" t="s">
        <v>32</v>
      </c>
      <c r="H4469" s="18">
        <v>28.61</v>
      </c>
      <c r="I4469" s="19">
        <v>10.06</v>
      </c>
      <c r="J4469" s="19">
        <v>2.06</v>
      </c>
      <c r="K4469" s="19" t="s">
        <v>69</v>
      </c>
      <c r="L4469" s="19" t="s">
        <v>70</v>
      </c>
      <c r="M4469" s="15" t="s">
        <v>1895</v>
      </c>
      <c r="N4469" s="15" t="s">
        <v>36</v>
      </c>
      <c r="O4469" s="15" t="s">
        <v>117</v>
      </c>
      <c r="P4469" s="20" t="s">
        <v>837</v>
      </c>
      <c r="Q4469" s="15" t="s">
        <v>79</v>
      </c>
      <c r="R4469" s="4"/>
      <c r="S4469" s="4"/>
    </row>
    <row r="4470" spans="1:19" ht="21" customHeight="1" x14ac:dyDescent="0.25">
      <c r="A4470" s="14">
        <f>DATE(2012,12,31)-506</f>
        <v>40768</v>
      </c>
      <c r="B4470" s="15" t="s">
        <v>1692</v>
      </c>
      <c r="C4470" s="15" t="s">
        <v>85</v>
      </c>
      <c r="D4470" s="16">
        <v>7</v>
      </c>
      <c r="E4470" s="17">
        <v>261.17</v>
      </c>
      <c r="F4470" s="16">
        <v>0.03</v>
      </c>
      <c r="G4470" s="15" t="s">
        <v>58</v>
      </c>
      <c r="H4470" s="18">
        <v>-78.84</v>
      </c>
      <c r="I4470" s="19">
        <v>33.94</v>
      </c>
      <c r="J4470" s="19">
        <v>19.190000000000001</v>
      </c>
      <c r="K4470" s="19" t="s">
        <v>69</v>
      </c>
      <c r="L4470" s="19" t="s">
        <v>70</v>
      </c>
      <c r="M4470" s="15" t="s">
        <v>1895</v>
      </c>
      <c r="N4470" s="15" t="s">
        <v>54</v>
      </c>
      <c r="O4470" s="15" t="s">
        <v>252</v>
      </c>
      <c r="P4470" s="20" t="s">
        <v>2045</v>
      </c>
      <c r="Q4470" s="15" t="s">
        <v>181</v>
      </c>
      <c r="R4470" s="4"/>
      <c r="S4470" s="4"/>
    </row>
    <row r="4471" spans="1:19" ht="21" customHeight="1" x14ac:dyDescent="0.25">
      <c r="A4471" s="14">
        <f>DATE(2012,12,31)-1109</f>
        <v>40165</v>
      </c>
      <c r="B4471" s="15" t="s">
        <v>1281</v>
      </c>
      <c r="C4471" s="15" t="s">
        <v>31</v>
      </c>
      <c r="D4471" s="16">
        <v>46</v>
      </c>
      <c r="E4471" s="17">
        <v>1692.28</v>
      </c>
      <c r="F4471" s="16">
        <v>0.1</v>
      </c>
      <c r="G4471" s="15" t="s">
        <v>32</v>
      </c>
      <c r="H4471" s="18">
        <v>61</v>
      </c>
      <c r="I4471" s="19">
        <v>39.979999999999997</v>
      </c>
      <c r="J4471" s="19">
        <v>4</v>
      </c>
      <c r="K4471" s="19" t="s">
        <v>69</v>
      </c>
      <c r="L4471" s="19" t="s">
        <v>75</v>
      </c>
      <c r="M4471" s="15" t="s">
        <v>1980</v>
      </c>
      <c r="N4471" s="15" t="s">
        <v>64</v>
      </c>
      <c r="O4471" s="15" t="s">
        <v>72</v>
      </c>
      <c r="P4471" s="20" t="s">
        <v>733</v>
      </c>
      <c r="Q4471" s="15" t="s">
        <v>83</v>
      </c>
      <c r="R4471" s="4"/>
      <c r="S4471" s="4"/>
    </row>
    <row r="4472" spans="1:19" ht="21" customHeight="1" x14ac:dyDescent="0.25">
      <c r="A4472" s="14">
        <f>DATE(2012,12,31)-847</f>
        <v>40427</v>
      </c>
      <c r="B4472" s="15" t="s">
        <v>1432</v>
      </c>
      <c r="C4472" s="15" t="s">
        <v>31</v>
      </c>
      <c r="D4472" s="16">
        <v>34</v>
      </c>
      <c r="E4472" s="17">
        <v>2833.19</v>
      </c>
      <c r="F4472" s="16">
        <v>0.06</v>
      </c>
      <c r="G4472" s="15" t="s">
        <v>101</v>
      </c>
      <c r="H4472" s="18">
        <v>1409.87</v>
      </c>
      <c r="I4472" s="19">
        <v>83.98</v>
      </c>
      <c r="J4472" s="19">
        <v>5.01</v>
      </c>
      <c r="K4472" s="19" t="s">
        <v>69</v>
      </c>
      <c r="L4472" s="19" t="s">
        <v>215</v>
      </c>
      <c r="M4472" s="15" t="s">
        <v>2120</v>
      </c>
      <c r="N4472" s="15" t="s">
        <v>36</v>
      </c>
      <c r="O4472" s="15" t="s">
        <v>189</v>
      </c>
      <c r="P4472" s="20" t="s">
        <v>2076</v>
      </c>
      <c r="Q4472" s="15" t="s">
        <v>83</v>
      </c>
      <c r="R4472" s="4"/>
      <c r="S4472" s="4"/>
    </row>
    <row r="4473" spans="1:19" ht="21" customHeight="1" x14ac:dyDescent="0.25">
      <c r="A4473" s="14">
        <f>DATE(2012,12,31)-847</f>
        <v>40427</v>
      </c>
      <c r="B4473" s="15" t="s">
        <v>1432</v>
      </c>
      <c r="C4473" s="15" t="s">
        <v>31</v>
      </c>
      <c r="D4473" s="16">
        <v>30</v>
      </c>
      <c r="E4473" s="17">
        <v>4452.6499999999996</v>
      </c>
      <c r="F4473" s="16">
        <v>0.09</v>
      </c>
      <c r="G4473" s="15" t="s">
        <v>58</v>
      </c>
      <c r="H4473" s="18">
        <v>-265.12200000000001</v>
      </c>
      <c r="I4473" s="19">
        <v>159.31</v>
      </c>
      <c r="J4473" s="19">
        <v>60</v>
      </c>
      <c r="K4473" s="19" t="s">
        <v>111</v>
      </c>
      <c r="L4473" s="19" t="s">
        <v>442</v>
      </c>
      <c r="M4473" s="15" t="s">
        <v>2010</v>
      </c>
      <c r="N4473" s="15" t="s">
        <v>54</v>
      </c>
      <c r="O4473" s="15" t="s">
        <v>61</v>
      </c>
      <c r="P4473" s="20" t="s">
        <v>679</v>
      </c>
      <c r="Q4473" s="15" t="s">
        <v>181</v>
      </c>
      <c r="R4473" s="4"/>
      <c r="S4473" s="4"/>
    </row>
    <row r="4474" spans="1:19" ht="21" customHeight="1" x14ac:dyDescent="0.25">
      <c r="A4474" s="14">
        <f>DATE(2012,12,31)-1149</f>
        <v>40125</v>
      </c>
      <c r="B4474" s="15" t="s">
        <v>2178</v>
      </c>
      <c r="C4474" s="15" t="s">
        <v>31</v>
      </c>
      <c r="D4474" s="16">
        <v>2</v>
      </c>
      <c r="E4474" s="17">
        <v>141.59</v>
      </c>
      <c r="F4474" s="16">
        <v>0.05</v>
      </c>
      <c r="G4474" s="15" t="s">
        <v>32</v>
      </c>
      <c r="H4474" s="18">
        <v>-91.09</v>
      </c>
      <c r="I4474" s="19">
        <v>70.97</v>
      </c>
      <c r="J4474" s="19">
        <v>3.5</v>
      </c>
      <c r="K4474" s="19" t="s">
        <v>44</v>
      </c>
      <c r="L4474" s="19" t="s">
        <v>89</v>
      </c>
      <c r="M4474" s="15" t="s">
        <v>1932</v>
      </c>
      <c r="N4474" s="15" t="s">
        <v>36</v>
      </c>
      <c r="O4474" s="15" t="s">
        <v>176</v>
      </c>
      <c r="P4474" s="20" t="s">
        <v>339</v>
      </c>
      <c r="Q4474" s="15" t="s">
        <v>83</v>
      </c>
      <c r="R4474" s="4"/>
      <c r="S4474" s="4"/>
    </row>
    <row r="4475" spans="1:19" ht="21" customHeight="1" x14ac:dyDescent="0.25">
      <c r="A4475" s="14">
        <f>DATE(2012,12,31)-1149</f>
        <v>40125</v>
      </c>
      <c r="B4475" s="15" t="s">
        <v>2178</v>
      </c>
      <c r="C4475" s="15" t="s">
        <v>31</v>
      </c>
      <c r="D4475" s="16">
        <v>14</v>
      </c>
      <c r="E4475" s="17">
        <v>2465.5014999999999</v>
      </c>
      <c r="F4475" s="16">
        <v>0.06</v>
      </c>
      <c r="G4475" s="15" t="s">
        <v>32</v>
      </c>
      <c r="H4475" s="18">
        <v>13.014000000000001</v>
      </c>
      <c r="I4475" s="19">
        <v>205.99</v>
      </c>
      <c r="J4475" s="19">
        <v>8.99</v>
      </c>
      <c r="K4475" s="19" t="s">
        <v>44</v>
      </c>
      <c r="L4475" s="19" t="s">
        <v>89</v>
      </c>
      <c r="M4475" s="15" t="s">
        <v>1932</v>
      </c>
      <c r="N4475" s="15" t="s">
        <v>64</v>
      </c>
      <c r="O4475" s="15" t="s">
        <v>65</v>
      </c>
      <c r="P4475" s="20" t="s">
        <v>886</v>
      </c>
      <c r="Q4475" s="15" t="s">
        <v>83</v>
      </c>
      <c r="R4475" s="4"/>
      <c r="S4475" s="4"/>
    </row>
    <row r="4476" spans="1:19" ht="21" customHeight="1" x14ac:dyDescent="0.25">
      <c r="A4476" s="14">
        <f>DATE(2012,12,31)-1149</f>
        <v>40125</v>
      </c>
      <c r="B4476" s="15" t="s">
        <v>2178</v>
      </c>
      <c r="C4476" s="15" t="s">
        <v>31</v>
      </c>
      <c r="D4476" s="16">
        <v>50</v>
      </c>
      <c r="E4476" s="17">
        <v>8558.4714999999997</v>
      </c>
      <c r="F4476" s="16">
        <v>0.06</v>
      </c>
      <c r="G4476" s="15" t="s">
        <v>32</v>
      </c>
      <c r="H4476" s="18">
        <v>2539.4580000000001</v>
      </c>
      <c r="I4476" s="19">
        <v>205.99</v>
      </c>
      <c r="J4476" s="19">
        <v>8.99</v>
      </c>
      <c r="K4476" s="19" t="s">
        <v>44</v>
      </c>
      <c r="L4476" s="19" t="s">
        <v>89</v>
      </c>
      <c r="M4476" s="15" t="s">
        <v>1932</v>
      </c>
      <c r="N4476" s="15" t="s">
        <v>64</v>
      </c>
      <c r="O4476" s="15" t="s">
        <v>65</v>
      </c>
      <c r="P4476" s="20" t="s">
        <v>1464</v>
      </c>
      <c r="Q4476" s="15" t="s">
        <v>83</v>
      </c>
      <c r="R4476" s="4"/>
      <c r="S4476" s="4"/>
    </row>
    <row r="4477" spans="1:19" ht="21" customHeight="1" x14ac:dyDescent="0.25">
      <c r="A4477" s="14">
        <f>DATE(2012,12,31)-1149</f>
        <v>40125</v>
      </c>
      <c r="B4477" s="15" t="s">
        <v>2178</v>
      </c>
      <c r="C4477" s="15" t="s">
        <v>31</v>
      </c>
      <c r="D4477" s="16">
        <v>42</v>
      </c>
      <c r="E4477" s="17">
        <v>236.89</v>
      </c>
      <c r="F4477" s="16">
        <v>0</v>
      </c>
      <c r="G4477" s="15" t="s">
        <v>32</v>
      </c>
      <c r="H4477" s="18">
        <v>-125.29</v>
      </c>
      <c r="I4477" s="19">
        <v>5.28</v>
      </c>
      <c r="J4477" s="19">
        <v>6.26</v>
      </c>
      <c r="K4477" s="19" t="s">
        <v>44</v>
      </c>
      <c r="L4477" s="19" t="s">
        <v>45</v>
      </c>
      <c r="M4477" s="15" t="s">
        <v>2165</v>
      </c>
      <c r="N4477" s="15" t="s">
        <v>36</v>
      </c>
      <c r="O4477" s="15" t="s">
        <v>117</v>
      </c>
      <c r="P4477" s="20" t="s">
        <v>271</v>
      </c>
      <c r="Q4477" s="15" t="s">
        <v>83</v>
      </c>
      <c r="R4477" s="4"/>
      <c r="S4477" s="4"/>
    </row>
    <row r="4478" spans="1:19" ht="21" customHeight="1" x14ac:dyDescent="0.25">
      <c r="A4478" s="14">
        <f>DATE(2012,12,31)-107</f>
        <v>41167</v>
      </c>
      <c r="B4478" s="15" t="s">
        <v>465</v>
      </c>
      <c r="C4478" s="15" t="s">
        <v>51</v>
      </c>
      <c r="D4478" s="16">
        <v>29</v>
      </c>
      <c r="E4478" s="17">
        <v>321.95</v>
      </c>
      <c r="F4478" s="16">
        <v>0.03</v>
      </c>
      <c r="G4478" s="15" t="s">
        <v>101</v>
      </c>
      <c r="H4478" s="18">
        <v>20.76</v>
      </c>
      <c r="I4478" s="19">
        <v>10.98</v>
      </c>
      <c r="J4478" s="19">
        <v>3.37</v>
      </c>
      <c r="K4478" s="19" t="s">
        <v>44</v>
      </c>
      <c r="L4478" s="19" t="s">
        <v>45</v>
      </c>
      <c r="M4478" s="15" t="s">
        <v>2165</v>
      </c>
      <c r="N4478" s="15" t="s">
        <v>36</v>
      </c>
      <c r="O4478" s="15" t="s">
        <v>47</v>
      </c>
      <c r="P4478" s="20" t="s">
        <v>1698</v>
      </c>
      <c r="Q4478" s="15" t="s">
        <v>49</v>
      </c>
      <c r="R4478" s="4"/>
      <c r="S4478" s="4"/>
    </row>
    <row r="4479" spans="1:19" ht="21" customHeight="1" x14ac:dyDescent="0.25">
      <c r="A4479" s="14">
        <f>DATE(2012,12,31)-107</f>
        <v>41167</v>
      </c>
      <c r="B4479" s="15" t="s">
        <v>465</v>
      </c>
      <c r="C4479" s="15" t="s">
        <v>51</v>
      </c>
      <c r="D4479" s="16">
        <v>39</v>
      </c>
      <c r="E4479" s="17">
        <v>13244.04</v>
      </c>
      <c r="F4479" s="16">
        <v>0.05</v>
      </c>
      <c r="G4479" s="15" t="s">
        <v>58</v>
      </c>
      <c r="H4479" s="18">
        <v>275.93</v>
      </c>
      <c r="I4479" s="19">
        <v>348.21</v>
      </c>
      <c r="J4479" s="19">
        <v>84.84</v>
      </c>
      <c r="K4479" s="19" t="s">
        <v>44</v>
      </c>
      <c r="L4479" s="19" t="s">
        <v>45</v>
      </c>
      <c r="M4479" s="15" t="s">
        <v>2165</v>
      </c>
      <c r="N4479" s="15" t="s">
        <v>54</v>
      </c>
      <c r="O4479" s="15" t="s">
        <v>61</v>
      </c>
      <c r="P4479" s="20" t="s">
        <v>1141</v>
      </c>
      <c r="Q4479" s="15" t="s">
        <v>63</v>
      </c>
      <c r="R4479" s="4"/>
      <c r="S4479" s="4"/>
    </row>
    <row r="4480" spans="1:19" ht="21" customHeight="1" x14ac:dyDescent="0.25">
      <c r="A4480" s="14">
        <f>DATE(2012,12,31)-604</f>
        <v>40670</v>
      </c>
      <c r="B4480" s="15" t="s">
        <v>550</v>
      </c>
      <c r="C4480" s="15" t="s">
        <v>51</v>
      </c>
      <c r="D4480" s="16">
        <v>8</v>
      </c>
      <c r="E4480" s="17">
        <v>741.49</v>
      </c>
      <c r="F4480" s="16">
        <v>0.08</v>
      </c>
      <c r="G4480" s="15" t="s">
        <v>32</v>
      </c>
      <c r="H4480" s="18">
        <v>-360.18</v>
      </c>
      <c r="I4480" s="19">
        <v>95.99</v>
      </c>
      <c r="J4480" s="19">
        <v>35</v>
      </c>
      <c r="K4480" s="19" t="s">
        <v>44</v>
      </c>
      <c r="L4480" s="19" t="s">
        <v>45</v>
      </c>
      <c r="M4480" s="15" t="s">
        <v>2165</v>
      </c>
      <c r="N4480" s="15" t="s">
        <v>36</v>
      </c>
      <c r="O4480" s="15" t="s">
        <v>37</v>
      </c>
      <c r="P4480" s="20" t="s">
        <v>137</v>
      </c>
      <c r="Q4480" s="15" t="s">
        <v>39</v>
      </c>
      <c r="R4480" s="4"/>
      <c r="S4480" s="4"/>
    </row>
    <row r="4481" spans="1:19" ht="21" customHeight="1" x14ac:dyDescent="0.25">
      <c r="A4481" s="14">
        <f>DATE(2012,12,31)-1281</f>
        <v>39993</v>
      </c>
      <c r="B4481" s="15" t="s">
        <v>290</v>
      </c>
      <c r="C4481" s="15" t="s">
        <v>85</v>
      </c>
      <c r="D4481" s="16">
        <v>34</v>
      </c>
      <c r="E4481" s="17">
        <v>285.06</v>
      </c>
      <c r="F4481" s="16">
        <v>0.08</v>
      </c>
      <c r="G4481" s="15" t="s">
        <v>32</v>
      </c>
      <c r="H4481" s="18">
        <v>-211.54</v>
      </c>
      <c r="I4481" s="19">
        <v>8.3699999999999992</v>
      </c>
      <c r="J4481" s="19">
        <v>10.16</v>
      </c>
      <c r="K4481" s="19" t="s">
        <v>44</v>
      </c>
      <c r="L4481" s="19" t="s">
        <v>89</v>
      </c>
      <c r="M4481" s="15" t="s">
        <v>1932</v>
      </c>
      <c r="N4481" s="15" t="s">
        <v>54</v>
      </c>
      <c r="O4481" s="15" t="s">
        <v>55</v>
      </c>
      <c r="P4481" s="20" t="s">
        <v>1516</v>
      </c>
      <c r="Q4481" s="15" t="s">
        <v>39</v>
      </c>
      <c r="R4481" s="4"/>
      <c r="S4481" s="4"/>
    </row>
    <row r="4482" spans="1:19" ht="21" customHeight="1" x14ac:dyDescent="0.25">
      <c r="A4482" s="14">
        <f>DATE(2012,12,31)-379</f>
        <v>40895</v>
      </c>
      <c r="B4482" s="15" t="s">
        <v>512</v>
      </c>
      <c r="C4482" s="15" t="s">
        <v>85</v>
      </c>
      <c r="D4482" s="16">
        <v>14</v>
      </c>
      <c r="E4482" s="17">
        <v>138.94999999999999</v>
      </c>
      <c r="F4482" s="16">
        <v>0.04</v>
      </c>
      <c r="G4482" s="15" t="s">
        <v>32</v>
      </c>
      <c r="H4482" s="18">
        <v>9.6300000000000008</v>
      </c>
      <c r="I4482" s="19">
        <v>9.27</v>
      </c>
      <c r="J4482" s="19">
        <v>4.3899999999999997</v>
      </c>
      <c r="K4482" s="19" t="s">
        <v>44</v>
      </c>
      <c r="L4482" s="19" t="s">
        <v>89</v>
      </c>
      <c r="M4482" s="15" t="s">
        <v>1932</v>
      </c>
      <c r="N4482" s="15" t="s">
        <v>36</v>
      </c>
      <c r="O4482" s="15" t="s">
        <v>117</v>
      </c>
      <c r="P4482" s="20" t="s">
        <v>434</v>
      </c>
      <c r="Q4482" s="15" t="s">
        <v>79</v>
      </c>
      <c r="R4482" s="4"/>
      <c r="S4482" s="4"/>
    </row>
    <row r="4483" spans="1:19" ht="21" customHeight="1" x14ac:dyDescent="0.25">
      <c r="A4483" s="14">
        <f>DATE(2012,12,31)-379</f>
        <v>40895</v>
      </c>
      <c r="B4483" s="15" t="s">
        <v>512</v>
      </c>
      <c r="C4483" s="15" t="s">
        <v>85</v>
      </c>
      <c r="D4483" s="16">
        <v>42</v>
      </c>
      <c r="E4483" s="17">
        <v>5678.5524999999998</v>
      </c>
      <c r="F4483" s="16">
        <v>0.01</v>
      </c>
      <c r="G4483" s="15" t="s">
        <v>32</v>
      </c>
      <c r="H4483" s="18">
        <v>1727.7750000000001</v>
      </c>
      <c r="I4483" s="19">
        <v>155.99</v>
      </c>
      <c r="J4483" s="19">
        <v>8.99</v>
      </c>
      <c r="K4483" s="19" t="s">
        <v>44</v>
      </c>
      <c r="L4483" s="19" t="s">
        <v>89</v>
      </c>
      <c r="M4483" s="15" t="s">
        <v>1932</v>
      </c>
      <c r="N4483" s="15" t="s">
        <v>64</v>
      </c>
      <c r="O4483" s="15" t="s">
        <v>65</v>
      </c>
      <c r="P4483" s="20" t="s">
        <v>2092</v>
      </c>
      <c r="Q4483" s="15" t="s">
        <v>83</v>
      </c>
      <c r="R4483" s="4"/>
      <c r="S4483" s="4"/>
    </row>
    <row r="4484" spans="1:19" ht="21" customHeight="1" x14ac:dyDescent="0.25">
      <c r="A4484" s="14">
        <f>DATE(2012,12,31)-958</f>
        <v>40316</v>
      </c>
      <c r="B4484" s="15" t="s">
        <v>343</v>
      </c>
      <c r="C4484" s="15" t="s">
        <v>31</v>
      </c>
      <c r="D4484" s="16">
        <v>38</v>
      </c>
      <c r="E4484" s="17">
        <v>331.53</v>
      </c>
      <c r="F4484" s="16">
        <v>0</v>
      </c>
      <c r="G4484" s="15" t="s">
        <v>32</v>
      </c>
      <c r="H4484" s="18">
        <v>-35.97</v>
      </c>
      <c r="I4484" s="19">
        <v>8.4600000000000009</v>
      </c>
      <c r="J4484" s="19">
        <v>3.62</v>
      </c>
      <c r="K4484" s="19" t="s">
        <v>44</v>
      </c>
      <c r="L4484" s="19" t="s">
        <v>120</v>
      </c>
      <c r="M4484" s="15" t="s">
        <v>2025</v>
      </c>
      <c r="N4484" s="15" t="s">
        <v>64</v>
      </c>
      <c r="O4484" s="15" t="s">
        <v>72</v>
      </c>
      <c r="P4484" s="20" t="s">
        <v>385</v>
      </c>
      <c r="Q4484" s="15" t="s">
        <v>49</v>
      </c>
      <c r="R4484" s="4"/>
      <c r="S4484" s="4"/>
    </row>
    <row r="4485" spans="1:19" ht="21" customHeight="1" x14ac:dyDescent="0.25">
      <c r="A4485" s="14">
        <f>DATE(2012,12,31)-1159</f>
        <v>40115</v>
      </c>
      <c r="B4485" s="15" t="s">
        <v>1478</v>
      </c>
      <c r="C4485" s="15" t="s">
        <v>85</v>
      </c>
      <c r="D4485" s="16">
        <v>6</v>
      </c>
      <c r="E4485" s="17">
        <v>187.63749999999999</v>
      </c>
      <c r="F4485" s="16">
        <v>0.03</v>
      </c>
      <c r="G4485" s="15" t="s">
        <v>32</v>
      </c>
      <c r="H4485" s="18">
        <v>-190.02500000000001</v>
      </c>
      <c r="I4485" s="19">
        <v>35.99</v>
      </c>
      <c r="J4485" s="19">
        <v>5</v>
      </c>
      <c r="K4485" s="19" t="s">
        <v>44</v>
      </c>
      <c r="L4485" s="19" t="s">
        <v>89</v>
      </c>
      <c r="M4485" s="15" t="s">
        <v>1932</v>
      </c>
      <c r="N4485" s="15" t="s">
        <v>64</v>
      </c>
      <c r="O4485" s="15" t="s">
        <v>65</v>
      </c>
      <c r="P4485" s="20" t="s">
        <v>1745</v>
      </c>
      <c r="Q4485" s="15" t="s">
        <v>83</v>
      </c>
      <c r="R4485" s="4"/>
      <c r="S4485" s="4"/>
    </row>
    <row r="4486" spans="1:19" ht="21" customHeight="1" x14ac:dyDescent="0.25">
      <c r="A4486" s="14">
        <f>DATE(2012,12,31)-523</f>
        <v>40751</v>
      </c>
      <c r="B4486" s="15" t="s">
        <v>465</v>
      </c>
      <c r="C4486" s="15" t="s">
        <v>85</v>
      </c>
      <c r="D4486" s="16">
        <v>13</v>
      </c>
      <c r="E4486" s="17">
        <v>1193.6199999999999</v>
      </c>
      <c r="F4486" s="16">
        <v>0.08</v>
      </c>
      <c r="G4486" s="15" t="s">
        <v>58</v>
      </c>
      <c r="H4486" s="18">
        <v>-304.47000000000003</v>
      </c>
      <c r="I4486" s="19">
        <v>89.99</v>
      </c>
      <c r="J4486" s="19">
        <v>42</v>
      </c>
      <c r="K4486" s="19" t="s">
        <v>44</v>
      </c>
      <c r="L4486" s="19" t="s">
        <v>120</v>
      </c>
      <c r="M4486" s="15" t="s">
        <v>2025</v>
      </c>
      <c r="N4486" s="15" t="s">
        <v>54</v>
      </c>
      <c r="O4486" s="15" t="s">
        <v>252</v>
      </c>
      <c r="P4486" s="20" t="s">
        <v>848</v>
      </c>
      <c r="Q4486" s="15" t="s">
        <v>181</v>
      </c>
      <c r="R4486" s="4"/>
      <c r="S4486" s="4"/>
    </row>
    <row r="4487" spans="1:19" ht="21" customHeight="1" x14ac:dyDescent="0.25">
      <c r="A4487" s="14">
        <f>DATE(2012,12,31)-523</f>
        <v>40751</v>
      </c>
      <c r="B4487" s="15" t="s">
        <v>465</v>
      </c>
      <c r="C4487" s="15" t="s">
        <v>85</v>
      </c>
      <c r="D4487" s="16">
        <v>47</v>
      </c>
      <c r="E4487" s="17">
        <v>363.23</v>
      </c>
      <c r="F4487" s="16">
        <v>0.05</v>
      </c>
      <c r="G4487" s="15" t="s">
        <v>32</v>
      </c>
      <c r="H4487" s="18">
        <v>40.58</v>
      </c>
      <c r="I4487" s="19">
        <v>7.59</v>
      </c>
      <c r="J4487" s="19">
        <v>4</v>
      </c>
      <c r="K4487" s="19" t="s">
        <v>44</v>
      </c>
      <c r="L4487" s="19" t="s">
        <v>120</v>
      </c>
      <c r="M4487" s="15" t="s">
        <v>2025</v>
      </c>
      <c r="N4487" s="15" t="s">
        <v>54</v>
      </c>
      <c r="O4487" s="15" t="s">
        <v>55</v>
      </c>
      <c r="P4487" s="20" t="s">
        <v>951</v>
      </c>
      <c r="Q4487" s="15" t="s">
        <v>79</v>
      </c>
      <c r="R4487" s="4"/>
      <c r="S4487" s="4"/>
    </row>
    <row r="4488" spans="1:19" ht="21" customHeight="1" x14ac:dyDescent="0.25">
      <c r="A4488" s="14">
        <f>DATE(2012,12,31)-555</f>
        <v>40719</v>
      </c>
      <c r="B4488" s="15" t="s">
        <v>1059</v>
      </c>
      <c r="C4488" s="15" t="s">
        <v>51</v>
      </c>
      <c r="D4488" s="16">
        <v>13</v>
      </c>
      <c r="E4488" s="17">
        <v>1506.8374999999999</v>
      </c>
      <c r="F4488" s="16">
        <v>7.0000000000000007E-2</v>
      </c>
      <c r="G4488" s="15" t="s">
        <v>32</v>
      </c>
      <c r="H4488" s="18">
        <v>-75.009</v>
      </c>
      <c r="I4488" s="19">
        <v>140.99</v>
      </c>
      <c r="J4488" s="19">
        <v>4.2</v>
      </c>
      <c r="K4488" s="19" t="s">
        <v>44</v>
      </c>
      <c r="L4488" s="19" t="s">
        <v>120</v>
      </c>
      <c r="M4488" s="15" t="s">
        <v>2025</v>
      </c>
      <c r="N4488" s="15" t="s">
        <v>64</v>
      </c>
      <c r="O4488" s="15" t="s">
        <v>65</v>
      </c>
      <c r="P4488" s="20" t="s">
        <v>184</v>
      </c>
      <c r="Q4488" s="15" t="s">
        <v>83</v>
      </c>
      <c r="R4488" s="4"/>
      <c r="S4488" s="4"/>
    </row>
    <row r="4489" spans="1:19" ht="21" customHeight="1" x14ac:dyDescent="0.25">
      <c r="A4489" s="14">
        <f>DATE(2012,12,31)-1384</f>
        <v>39890</v>
      </c>
      <c r="B4489" s="15" t="s">
        <v>1256</v>
      </c>
      <c r="C4489" s="15" t="s">
        <v>85</v>
      </c>
      <c r="D4489" s="16">
        <v>32</v>
      </c>
      <c r="E4489" s="17">
        <v>2564.4499999999998</v>
      </c>
      <c r="F4489" s="16">
        <v>0.01</v>
      </c>
      <c r="G4489" s="15" t="s">
        <v>101</v>
      </c>
      <c r="H4489" s="18">
        <v>650.73</v>
      </c>
      <c r="I4489" s="19">
        <v>78.650000000000006</v>
      </c>
      <c r="J4489" s="19">
        <v>13.99</v>
      </c>
      <c r="K4489" s="19" t="s">
        <v>44</v>
      </c>
      <c r="L4489" s="19" t="s">
        <v>120</v>
      </c>
      <c r="M4489" s="15" t="s">
        <v>2025</v>
      </c>
      <c r="N4489" s="15" t="s">
        <v>36</v>
      </c>
      <c r="O4489" s="15" t="s">
        <v>176</v>
      </c>
      <c r="P4489" s="20" t="s">
        <v>1665</v>
      </c>
      <c r="Q4489" s="15" t="s">
        <v>57</v>
      </c>
      <c r="R4489" s="4"/>
      <c r="S4489" s="4"/>
    </row>
    <row r="4490" spans="1:19" ht="21" customHeight="1" x14ac:dyDescent="0.25">
      <c r="A4490" s="14">
        <f>DATE(2012,12,31)-1384</f>
        <v>39890</v>
      </c>
      <c r="B4490" s="15" t="s">
        <v>1256</v>
      </c>
      <c r="C4490" s="15" t="s">
        <v>85</v>
      </c>
      <c r="D4490" s="16">
        <v>7</v>
      </c>
      <c r="E4490" s="17">
        <v>53.55</v>
      </c>
      <c r="F4490" s="16">
        <v>7.0000000000000007E-2</v>
      </c>
      <c r="G4490" s="15" t="s">
        <v>32</v>
      </c>
      <c r="H4490" s="18">
        <v>-43.5</v>
      </c>
      <c r="I4490" s="19">
        <v>6.48</v>
      </c>
      <c r="J4490" s="19">
        <v>9.68</v>
      </c>
      <c r="K4490" s="19" t="s">
        <v>44</v>
      </c>
      <c r="L4490" s="19" t="s">
        <v>80</v>
      </c>
      <c r="M4490" s="15" t="s">
        <v>2179</v>
      </c>
      <c r="N4490" s="15" t="s">
        <v>36</v>
      </c>
      <c r="O4490" s="15" t="s">
        <v>117</v>
      </c>
      <c r="P4490" s="20" t="s">
        <v>1803</v>
      </c>
      <c r="Q4490" s="15" t="s">
        <v>83</v>
      </c>
      <c r="R4490" s="4"/>
      <c r="S4490" s="4"/>
    </row>
    <row r="4491" spans="1:19" ht="21" customHeight="1" x14ac:dyDescent="0.25">
      <c r="A4491" s="14">
        <f>DATE(2012,12,31)-599</f>
        <v>40675</v>
      </c>
      <c r="B4491" s="15" t="s">
        <v>2149</v>
      </c>
      <c r="C4491" s="15" t="s">
        <v>43</v>
      </c>
      <c r="D4491" s="16">
        <v>15</v>
      </c>
      <c r="E4491" s="17">
        <v>404.54</v>
      </c>
      <c r="F4491" s="16">
        <v>0.03</v>
      </c>
      <c r="G4491" s="15" t="s">
        <v>32</v>
      </c>
      <c r="H4491" s="18">
        <v>43.99</v>
      </c>
      <c r="I4491" s="19">
        <v>26.64</v>
      </c>
      <c r="J4491" s="19">
        <v>5.3</v>
      </c>
      <c r="K4491" s="19" t="s">
        <v>124</v>
      </c>
      <c r="L4491" s="19" t="s">
        <v>125</v>
      </c>
      <c r="M4491" s="15" t="s">
        <v>2048</v>
      </c>
      <c r="N4491" s="15" t="s">
        <v>54</v>
      </c>
      <c r="O4491" s="15" t="s">
        <v>252</v>
      </c>
      <c r="P4491" s="20" t="s">
        <v>2130</v>
      </c>
      <c r="Q4491" s="15" t="s">
        <v>57</v>
      </c>
      <c r="R4491" s="4"/>
      <c r="S4491" s="4"/>
    </row>
    <row r="4492" spans="1:19" ht="21" customHeight="1" x14ac:dyDescent="0.25">
      <c r="A4492" s="14">
        <f>DATE(2012,12,31)-599</f>
        <v>40675</v>
      </c>
      <c r="B4492" s="15" t="s">
        <v>2149</v>
      </c>
      <c r="C4492" s="15" t="s">
        <v>43</v>
      </c>
      <c r="D4492" s="16">
        <v>16</v>
      </c>
      <c r="E4492" s="17">
        <v>124.89</v>
      </c>
      <c r="F4492" s="16">
        <v>7.0000000000000007E-2</v>
      </c>
      <c r="G4492" s="15" t="s">
        <v>32</v>
      </c>
      <c r="H4492" s="18">
        <v>-111.17</v>
      </c>
      <c r="I4492" s="19">
        <v>7.28</v>
      </c>
      <c r="J4492" s="19">
        <v>11.15</v>
      </c>
      <c r="K4492" s="19" t="s">
        <v>33</v>
      </c>
      <c r="L4492" s="19" t="s">
        <v>93</v>
      </c>
      <c r="M4492" s="15" t="s">
        <v>94</v>
      </c>
      <c r="N4492" s="15" t="s">
        <v>36</v>
      </c>
      <c r="O4492" s="15" t="s">
        <v>117</v>
      </c>
      <c r="P4492" s="20" t="s">
        <v>1324</v>
      </c>
      <c r="Q4492" s="15" t="s">
        <v>83</v>
      </c>
      <c r="R4492" s="4"/>
      <c r="S4492" s="4"/>
    </row>
    <row r="4493" spans="1:19" ht="21" customHeight="1" x14ac:dyDescent="0.25">
      <c r="A4493" s="14">
        <f>DATE(2012,12,31)-109</f>
        <v>41165</v>
      </c>
      <c r="B4493" s="15" t="s">
        <v>2159</v>
      </c>
      <c r="C4493" s="15" t="s">
        <v>31</v>
      </c>
      <c r="D4493" s="16">
        <v>49</v>
      </c>
      <c r="E4493" s="17">
        <v>162.16</v>
      </c>
      <c r="F4493" s="16">
        <v>0.05</v>
      </c>
      <c r="G4493" s="15" t="s">
        <v>32</v>
      </c>
      <c r="H4493" s="18">
        <v>24.95</v>
      </c>
      <c r="I4493" s="19">
        <v>3.29</v>
      </c>
      <c r="J4493" s="19">
        <v>1.35</v>
      </c>
      <c r="K4493" s="19" t="s">
        <v>33</v>
      </c>
      <c r="L4493" s="19" t="s">
        <v>93</v>
      </c>
      <c r="M4493" s="15" t="s">
        <v>94</v>
      </c>
      <c r="N4493" s="15" t="s">
        <v>36</v>
      </c>
      <c r="O4493" s="15" t="s">
        <v>105</v>
      </c>
      <c r="P4493" s="20" t="s">
        <v>866</v>
      </c>
      <c r="Q4493" s="15" t="s">
        <v>79</v>
      </c>
      <c r="R4493" s="4"/>
      <c r="S4493" s="4"/>
    </row>
    <row r="4494" spans="1:19" ht="21" customHeight="1" x14ac:dyDescent="0.25">
      <c r="A4494" s="14">
        <f>DATE(2012,12,31)-109</f>
        <v>41165</v>
      </c>
      <c r="B4494" s="15" t="s">
        <v>2159</v>
      </c>
      <c r="C4494" s="15" t="s">
        <v>31</v>
      </c>
      <c r="D4494" s="16">
        <v>26</v>
      </c>
      <c r="E4494" s="17">
        <v>15168.82</v>
      </c>
      <c r="F4494" s="16">
        <v>0.02</v>
      </c>
      <c r="G4494" s="15" t="s">
        <v>58</v>
      </c>
      <c r="H4494" s="18">
        <v>-1096.7760000000001</v>
      </c>
      <c r="I4494" s="19">
        <v>550.98</v>
      </c>
      <c r="J4494" s="19">
        <v>147.12</v>
      </c>
      <c r="K4494" s="19" t="s">
        <v>33</v>
      </c>
      <c r="L4494" s="19" t="s">
        <v>93</v>
      </c>
      <c r="M4494" s="15" t="s">
        <v>94</v>
      </c>
      <c r="N4494" s="15" t="s">
        <v>54</v>
      </c>
      <c r="O4494" s="15" t="s">
        <v>61</v>
      </c>
      <c r="P4494" s="20" t="s">
        <v>1557</v>
      </c>
      <c r="Q4494" s="15" t="s">
        <v>63</v>
      </c>
      <c r="R4494" s="4"/>
      <c r="S4494" s="4"/>
    </row>
    <row r="4495" spans="1:19" ht="21" customHeight="1" x14ac:dyDescent="0.25">
      <c r="A4495" s="14">
        <f>DATE(2012,12,31)-430</f>
        <v>40844</v>
      </c>
      <c r="B4495" s="15" t="s">
        <v>2132</v>
      </c>
      <c r="C4495" s="15" t="s">
        <v>31</v>
      </c>
      <c r="D4495" s="16">
        <v>22</v>
      </c>
      <c r="E4495" s="17">
        <v>494.84</v>
      </c>
      <c r="F4495" s="16">
        <v>7.0000000000000007E-2</v>
      </c>
      <c r="G4495" s="15" t="s">
        <v>32</v>
      </c>
      <c r="H4495" s="18">
        <v>205.13</v>
      </c>
      <c r="I4495" s="19">
        <v>22.23</v>
      </c>
      <c r="J4495" s="19">
        <v>3.63</v>
      </c>
      <c r="K4495" s="19" t="s">
        <v>33</v>
      </c>
      <c r="L4495" s="19" t="s">
        <v>128</v>
      </c>
      <c r="M4495" s="15" t="s">
        <v>129</v>
      </c>
      <c r="N4495" s="15" t="s">
        <v>54</v>
      </c>
      <c r="O4495" s="15" t="s">
        <v>55</v>
      </c>
      <c r="P4495" s="20" t="s">
        <v>1739</v>
      </c>
      <c r="Q4495" s="15" t="s">
        <v>49</v>
      </c>
      <c r="R4495" s="4"/>
      <c r="S4495" s="4"/>
    </row>
    <row r="4496" spans="1:19" ht="21" customHeight="1" x14ac:dyDescent="0.25">
      <c r="A4496" s="14">
        <f>DATE(2012,12,31)-430</f>
        <v>40844</v>
      </c>
      <c r="B4496" s="15" t="s">
        <v>2132</v>
      </c>
      <c r="C4496" s="15" t="s">
        <v>31</v>
      </c>
      <c r="D4496" s="16">
        <v>11</v>
      </c>
      <c r="E4496" s="17">
        <v>3443.21</v>
      </c>
      <c r="F4496" s="16">
        <v>0</v>
      </c>
      <c r="G4496" s="15" t="s">
        <v>32</v>
      </c>
      <c r="H4496" s="18">
        <v>794.2</v>
      </c>
      <c r="I4496" s="19">
        <v>300.98</v>
      </c>
      <c r="J4496" s="19">
        <v>13.99</v>
      </c>
      <c r="K4496" s="19" t="s">
        <v>33</v>
      </c>
      <c r="L4496" s="19" t="s">
        <v>93</v>
      </c>
      <c r="M4496" s="15" t="s">
        <v>94</v>
      </c>
      <c r="N4496" s="15" t="s">
        <v>64</v>
      </c>
      <c r="O4496" s="15" t="s">
        <v>122</v>
      </c>
      <c r="P4496" s="20" t="s">
        <v>1868</v>
      </c>
      <c r="Q4496" s="15" t="s">
        <v>57</v>
      </c>
      <c r="R4496" s="4"/>
      <c r="S4496" s="4"/>
    </row>
    <row r="4497" spans="1:19" ht="21" customHeight="1" x14ac:dyDescent="0.25">
      <c r="A4497" s="14">
        <f>DATE(2012,12,31)-895</f>
        <v>40379</v>
      </c>
      <c r="B4497" s="15" t="s">
        <v>359</v>
      </c>
      <c r="C4497" s="15" t="s">
        <v>31</v>
      </c>
      <c r="D4497" s="16">
        <v>37</v>
      </c>
      <c r="E4497" s="17">
        <v>1196.2</v>
      </c>
      <c r="F4497" s="16">
        <v>0.03</v>
      </c>
      <c r="G4497" s="15" t="s">
        <v>32</v>
      </c>
      <c r="H4497" s="18">
        <v>-73.77</v>
      </c>
      <c r="I4497" s="19">
        <v>30.98</v>
      </c>
      <c r="J4497" s="19">
        <v>6.5</v>
      </c>
      <c r="K4497" s="19" t="s">
        <v>97</v>
      </c>
      <c r="L4497" s="19" t="s">
        <v>98</v>
      </c>
      <c r="M4497" s="15" t="s">
        <v>2161</v>
      </c>
      <c r="N4497" s="15" t="s">
        <v>64</v>
      </c>
      <c r="O4497" s="15" t="s">
        <v>72</v>
      </c>
      <c r="P4497" s="20" t="s">
        <v>1346</v>
      </c>
      <c r="Q4497" s="15" t="s">
        <v>83</v>
      </c>
      <c r="R4497" s="4"/>
      <c r="S4497" s="4"/>
    </row>
    <row r="4498" spans="1:19" ht="21" customHeight="1" x14ac:dyDescent="0.25">
      <c r="A4498" s="14">
        <f>DATE(2012,12,31)-895</f>
        <v>40379</v>
      </c>
      <c r="B4498" s="15" t="s">
        <v>359</v>
      </c>
      <c r="C4498" s="15" t="s">
        <v>31</v>
      </c>
      <c r="D4498" s="16">
        <v>7</v>
      </c>
      <c r="E4498" s="17">
        <v>98.55</v>
      </c>
      <c r="F4498" s="16">
        <v>7.0000000000000007E-2</v>
      </c>
      <c r="G4498" s="15" t="s">
        <v>32</v>
      </c>
      <c r="H4498" s="18">
        <v>23.16</v>
      </c>
      <c r="I4498" s="19">
        <v>13.79</v>
      </c>
      <c r="J4498" s="19">
        <v>8.7799999999999994</v>
      </c>
      <c r="K4498" s="19" t="s">
        <v>97</v>
      </c>
      <c r="L4498" s="19" t="s">
        <v>98</v>
      </c>
      <c r="M4498" s="15" t="s">
        <v>2161</v>
      </c>
      <c r="N4498" s="15" t="s">
        <v>54</v>
      </c>
      <c r="O4498" s="15" t="s">
        <v>55</v>
      </c>
      <c r="P4498" s="20" t="s">
        <v>1463</v>
      </c>
      <c r="Q4498" s="15" t="s">
        <v>83</v>
      </c>
      <c r="R4498" s="4"/>
      <c r="S4498" s="4"/>
    </row>
    <row r="4499" spans="1:19" ht="21" customHeight="1" x14ac:dyDescent="0.25">
      <c r="A4499" s="14">
        <f>DATE(2012,12,31)-695</f>
        <v>40579</v>
      </c>
      <c r="B4499" s="15" t="s">
        <v>932</v>
      </c>
      <c r="C4499" s="15" t="s">
        <v>31</v>
      </c>
      <c r="D4499" s="16">
        <v>41</v>
      </c>
      <c r="E4499" s="17">
        <v>17448.75</v>
      </c>
      <c r="F4499" s="16">
        <v>0.06</v>
      </c>
      <c r="G4499" s="15" t="s">
        <v>58</v>
      </c>
      <c r="H4499" s="18">
        <v>9.9300000000000637</v>
      </c>
      <c r="I4499" s="19">
        <v>417.4</v>
      </c>
      <c r="J4499" s="19">
        <v>75.23</v>
      </c>
      <c r="K4499" s="19" t="s">
        <v>97</v>
      </c>
      <c r="L4499" s="19" t="s">
        <v>132</v>
      </c>
      <c r="M4499" s="15" t="s">
        <v>133</v>
      </c>
      <c r="N4499" s="15" t="s">
        <v>54</v>
      </c>
      <c r="O4499" s="15" t="s">
        <v>61</v>
      </c>
      <c r="P4499" s="20" t="s">
        <v>1983</v>
      </c>
      <c r="Q4499" s="15" t="s">
        <v>63</v>
      </c>
      <c r="R4499" s="4"/>
      <c r="S4499" s="4"/>
    </row>
    <row r="4500" spans="1:19" ht="21" customHeight="1" x14ac:dyDescent="0.25">
      <c r="A4500" s="14">
        <f>DATE(2012,12,31)-453</f>
        <v>40821</v>
      </c>
      <c r="B4500" s="15" t="s">
        <v>116</v>
      </c>
      <c r="C4500" s="15" t="s">
        <v>85</v>
      </c>
      <c r="D4500" s="16">
        <v>6</v>
      </c>
      <c r="E4500" s="17">
        <v>338.89</v>
      </c>
      <c r="F4500" s="16">
        <v>7.0000000000000007E-2</v>
      </c>
      <c r="G4500" s="15" t="s">
        <v>32</v>
      </c>
      <c r="H4500" s="18">
        <v>45.76</v>
      </c>
      <c r="I4500" s="19">
        <v>54.96</v>
      </c>
      <c r="J4500" s="19">
        <v>10.75</v>
      </c>
      <c r="K4500" s="19" t="s">
        <v>97</v>
      </c>
      <c r="L4500" s="19" t="s">
        <v>98</v>
      </c>
      <c r="M4500" s="15" t="s">
        <v>2161</v>
      </c>
      <c r="N4500" s="15" t="s">
        <v>36</v>
      </c>
      <c r="O4500" s="15" t="s">
        <v>117</v>
      </c>
      <c r="P4500" s="20" t="s">
        <v>1611</v>
      </c>
      <c r="Q4500" s="15" t="s">
        <v>83</v>
      </c>
      <c r="R4500" s="4"/>
      <c r="S4500" s="4"/>
    </row>
    <row r="4501" spans="1:19" ht="21" customHeight="1" x14ac:dyDescent="0.25">
      <c r="A4501" s="14">
        <f>DATE(2012,12,31)-453</f>
        <v>40821</v>
      </c>
      <c r="B4501" s="15" t="s">
        <v>116</v>
      </c>
      <c r="C4501" s="15" t="s">
        <v>85</v>
      </c>
      <c r="D4501" s="16">
        <v>25</v>
      </c>
      <c r="E4501" s="17">
        <v>362.52</v>
      </c>
      <c r="F4501" s="16">
        <v>7.0000000000000007E-2</v>
      </c>
      <c r="G4501" s="15" t="s">
        <v>32</v>
      </c>
      <c r="H4501" s="18">
        <v>-68.489999999999995</v>
      </c>
      <c r="I4501" s="19">
        <v>14.97</v>
      </c>
      <c r="J4501" s="19">
        <v>7.51</v>
      </c>
      <c r="K4501" s="19" t="s">
        <v>97</v>
      </c>
      <c r="L4501" s="19" t="s">
        <v>195</v>
      </c>
      <c r="M4501" s="15" t="s">
        <v>2138</v>
      </c>
      <c r="N4501" s="15" t="s">
        <v>36</v>
      </c>
      <c r="O4501" s="15" t="s">
        <v>37</v>
      </c>
      <c r="P4501" s="20" t="s">
        <v>1640</v>
      </c>
      <c r="Q4501" s="15" t="s">
        <v>83</v>
      </c>
      <c r="R4501" s="4"/>
      <c r="S4501" s="4"/>
    </row>
    <row r="4502" spans="1:19" ht="21" customHeight="1" x14ac:dyDescent="0.25">
      <c r="A4502" s="14">
        <f>DATE(2012,12,31)-1414</f>
        <v>39860</v>
      </c>
      <c r="B4502" s="15" t="s">
        <v>779</v>
      </c>
      <c r="C4502" s="15" t="s">
        <v>31</v>
      </c>
      <c r="D4502" s="16">
        <v>37</v>
      </c>
      <c r="E4502" s="17">
        <v>311.66000000000003</v>
      </c>
      <c r="F4502" s="16">
        <v>0.04</v>
      </c>
      <c r="G4502" s="15" t="s">
        <v>32</v>
      </c>
      <c r="H4502" s="18">
        <v>-63.813500000000005</v>
      </c>
      <c r="I4502" s="19">
        <v>8.6</v>
      </c>
      <c r="J4502" s="19">
        <v>6.19</v>
      </c>
      <c r="K4502" s="19" t="s">
        <v>97</v>
      </c>
      <c r="L4502" s="19" t="s">
        <v>98</v>
      </c>
      <c r="M4502" s="15" t="s">
        <v>2161</v>
      </c>
      <c r="N4502" s="15" t="s">
        <v>36</v>
      </c>
      <c r="O4502" s="15" t="s">
        <v>170</v>
      </c>
      <c r="P4502" s="20" t="s">
        <v>413</v>
      </c>
      <c r="Q4502" s="15" t="s">
        <v>83</v>
      </c>
      <c r="R4502" s="4"/>
      <c r="S4502" s="4"/>
    </row>
    <row r="4503" spans="1:19" ht="21" customHeight="1" x14ac:dyDescent="0.25">
      <c r="A4503" s="14">
        <f>DATE(2012,12,31)-1414</f>
        <v>39860</v>
      </c>
      <c r="B4503" s="15" t="s">
        <v>779</v>
      </c>
      <c r="C4503" s="15" t="s">
        <v>31</v>
      </c>
      <c r="D4503" s="16">
        <v>15</v>
      </c>
      <c r="E4503" s="17">
        <v>9862.51</v>
      </c>
      <c r="F4503" s="16">
        <v>7.0000000000000007E-2</v>
      </c>
      <c r="G4503" s="15" t="s">
        <v>32</v>
      </c>
      <c r="H4503" s="18">
        <v>325.29000000000002</v>
      </c>
      <c r="I4503" s="19">
        <v>699.99</v>
      </c>
      <c r="J4503" s="19">
        <v>24.49</v>
      </c>
      <c r="K4503" s="19" t="s">
        <v>124</v>
      </c>
      <c r="L4503" s="19" t="s">
        <v>160</v>
      </c>
      <c r="M4503" s="15" t="s">
        <v>1951</v>
      </c>
      <c r="N4503" s="15" t="s">
        <v>64</v>
      </c>
      <c r="O4503" s="15" t="s">
        <v>460</v>
      </c>
      <c r="P4503" s="20" t="s">
        <v>1973</v>
      </c>
      <c r="Q4503" s="15" t="s">
        <v>39</v>
      </c>
      <c r="R4503" s="4"/>
      <c r="S4503" s="4"/>
    </row>
    <row r="4504" spans="1:19" ht="21" customHeight="1" x14ac:dyDescent="0.25">
      <c r="A4504" s="14">
        <f>DATE(2012,12,31)-1293</f>
        <v>39981</v>
      </c>
      <c r="B4504" s="15" t="s">
        <v>1191</v>
      </c>
      <c r="C4504" s="15" t="s">
        <v>31</v>
      </c>
      <c r="D4504" s="16">
        <v>26</v>
      </c>
      <c r="E4504" s="17">
        <v>342.4</v>
      </c>
      <c r="F4504" s="16">
        <v>0</v>
      </c>
      <c r="G4504" s="15" t="s">
        <v>101</v>
      </c>
      <c r="H4504" s="18">
        <v>-14.06</v>
      </c>
      <c r="I4504" s="19">
        <v>11.7</v>
      </c>
      <c r="J4504" s="19">
        <v>6.96</v>
      </c>
      <c r="K4504" s="19" t="s">
        <v>124</v>
      </c>
      <c r="L4504" s="19" t="s">
        <v>160</v>
      </c>
      <c r="M4504" s="15" t="s">
        <v>1951</v>
      </c>
      <c r="N4504" s="15" t="s">
        <v>36</v>
      </c>
      <c r="O4504" s="15" t="s">
        <v>176</v>
      </c>
      <c r="P4504" s="20" t="s">
        <v>227</v>
      </c>
      <c r="Q4504" s="15" t="s">
        <v>57</v>
      </c>
      <c r="R4504" s="4"/>
      <c r="S4504" s="4"/>
    </row>
    <row r="4505" spans="1:19" ht="21" customHeight="1" x14ac:dyDescent="0.25">
      <c r="A4505" s="14">
        <f>DATE(2012,12,31)-395</f>
        <v>40879</v>
      </c>
      <c r="B4505" s="15" t="s">
        <v>1681</v>
      </c>
      <c r="C4505" s="15" t="s">
        <v>85</v>
      </c>
      <c r="D4505" s="16">
        <v>25</v>
      </c>
      <c r="E4505" s="17">
        <v>450.28</v>
      </c>
      <c r="F4505" s="16">
        <v>0.09</v>
      </c>
      <c r="G4505" s="15" t="s">
        <v>32</v>
      </c>
      <c r="H4505" s="18">
        <v>-12.3453</v>
      </c>
      <c r="I4505" s="19">
        <v>17.98</v>
      </c>
      <c r="J4505" s="19">
        <v>8.51</v>
      </c>
      <c r="K4505" s="19" t="s">
        <v>124</v>
      </c>
      <c r="L4505" s="19" t="s">
        <v>160</v>
      </c>
      <c r="M4505" s="15" t="s">
        <v>1951</v>
      </c>
      <c r="N4505" s="15" t="s">
        <v>64</v>
      </c>
      <c r="O4505" s="15" t="s">
        <v>122</v>
      </c>
      <c r="P4505" s="20" t="s">
        <v>1357</v>
      </c>
      <c r="Q4505" s="15" t="s">
        <v>57</v>
      </c>
      <c r="R4505" s="4"/>
      <c r="S4505" s="4"/>
    </row>
    <row r="4506" spans="1:19" ht="21" customHeight="1" x14ac:dyDescent="0.25">
      <c r="A4506" s="14">
        <f>DATE(2012,12,31)-294</f>
        <v>40980</v>
      </c>
      <c r="B4506" s="15" t="s">
        <v>794</v>
      </c>
      <c r="C4506" s="15" t="s">
        <v>51</v>
      </c>
      <c r="D4506" s="16">
        <v>27</v>
      </c>
      <c r="E4506" s="17">
        <v>2853.8834999999999</v>
      </c>
      <c r="F4506" s="16">
        <v>0.06</v>
      </c>
      <c r="G4506" s="15" t="s">
        <v>32</v>
      </c>
      <c r="H4506" s="18">
        <v>492.23699999999997</v>
      </c>
      <c r="I4506" s="19">
        <v>125.99</v>
      </c>
      <c r="J4506" s="19">
        <v>7.69</v>
      </c>
      <c r="K4506" s="19" t="s">
        <v>124</v>
      </c>
      <c r="L4506" s="19" t="s">
        <v>164</v>
      </c>
      <c r="M4506" s="15" t="s">
        <v>2171</v>
      </c>
      <c r="N4506" s="15" t="s">
        <v>64</v>
      </c>
      <c r="O4506" s="15" t="s">
        <v>65</v>
      </c>
      <c r="P4506" s="20" t="s">
        <v>860</v>
      </c>
      <c r="Q4506" s="15" t="s">
        <v>83</v>
      </c>
      <c r="R4506" s="4"/>
      <c r="S4506" s="4"/>
    </row>
    <row r="4507" spans="1:19" ht="21" customHeight="1" x14ac:dyDescent="0.25">
      <c r="A4507" s="14">
        <f>DATE(2012,12,31)-408</f>
        <v>40866</v>
      </c>
      <c r="B4507" s="15" t="s">
        <v>1455</v>
      </c>
      <c r="C4507" s="15" t="s">
        <v>43</v>
      </c>
      <c r="D4507" s="16">
        <v>8</v>
      </c>
      <c r="E4507" s="17">
        <v>1100</v>
      </c>
      <c r="F4507" s="16">
        <v>7.0000000000000007E-2</v>
      </c>
      <c r="G4507" s="15" t="s">
        <v>58</v>
      </c>
      <c r="H4507" s="18">
        <v>-240.31140000000002</v>
      </c>
      <c r="I4507" s="19">
        <v>145.44999999999999</v>
      </c>
      <c r="J4507" s="19">
        <v>17.850000000000001</v>
      </c>
      <c r="K4507" s="19" t="s">
        <v>124</v>
      </c>
      <c r="L4507" s="19" t="s">
        <v>160</v>
      </c>
      <c r="M4507" s="15" t="s">
        <v>1951</v>
      </c>
      <c r="N4507" s="15" t="s">
        <v>64</v>
      </c>
      <c r="O4507" s="15" t="s">
        <v>122</v>
      </c>
      <c r="P4507" s="20" t="s">
        <v>299</v>
      </c>
      <c r="Q4507" s="15" t="s">
        <v>181</v>
      </c>
      <c r="R4507" s="4"/>
      <c r="S4507" s="4"/>
    </row>
    <row r="4508" spans="1:19" ht="21" customHeight="1" x14ac:dyDescent="0.25">
      <c r="A4508" s="14">
        <f>DATE(2012,12,31)-408</f>
        <v>40866</v>
      </c>
      <c r="B4508" s="15" t="s">
        <v>1455</v>
      </c>
      <c r="C4508" s="15" t="s">
        <v>43</v>
      </c>
      <c r="D4508" s="16">
        <v>17</v>
      </c>
      <c r="E4508" s="17">
        <v>114.94</v>
      </c>
      <c r="F4508" s="16">
        <v>0.09</v>
      </c>
      <c r="G4508" s="15" t="s">
        <v>32</v>
      </c>
      <c r="H4508" s="18">
        <v>-102.24</v>
      </c>
      <c r="I4508" s="19">
        <v>6.48</v>
      </c>
      <c r="J4508" s="19">
        <v>9.68</v>
      </c>
      <c r="K4508" s="19" t="s">
        <v>124</v>
      </c>
      <c r="L4508" s="19" t="s">
        <v>160</v>
      </c>
      <c r="M4508" s="15" t="s">
        <v>1951</v>
      </c>
      <c r="N4508" s="15" t="s">
        <v>36</v>
      </c>
      <c r="O4508" s="15" t="s">
        <v>117</v>
      </c>
      <c r="P4508" s="20" t="s">
        <v>1803</v>
      </c>
      <c r="Q4508" s="15" t="s">
        <v>83</v>
      </c>
      <c r="R4508" s="4"/>
      <c r="S4508" s="4"/>
    </row>
    <row r="4509" spans="1:19" ht="21" customHeight="1" x14ac:dyDescent="0.25">
      <c r="A4509" s="14">
        <f>DATE(2012,12,31)-1263</f>
        <v>40011</v>
      </c>
      <c r="B4509" s="15" t="s">
        <v>823</v>
      </c>
      <c r="C4509" s="15" t="s">
        <v>85</v>
      </c>
      <c r="D4509" s="16">
        <v>50</v>
      </c>
      <c r="E4509" s="17">
        <v>86.7</v>
      </c>
      <c r="F4509" s="16">
        <v>7.0000000000000007E-2</v>
      </c>
      <c r="G4509" s="15" t="s">
        <v>32</v>
      </c>
      <c r="H4509" s="18">
        <v>-185.34</v>
      </c>
      <c r="I4509" s="19">
        <v>1.76</v>
      </c>
      <c r="J4509" s="19">
        <v>4.8600000000000003</v>
      </c>
      <c r="K4509" s="19" t="s">
        <v>124</v>
      </c>
      <c r="L4509" s="19" t="s">
        <v>160</v>
      </c>
      <c r="M4509" s="15" t="s">
        <v>1951</v>
      </c>
      <c r="N4509" s="15" t="s">
        <v>54</v>
      </c>
      <c r="O4509" s="15" t="s">
        <v>55</v>
      </c>
      <c r="P4509" s="20" t="s">
        <v>1287</v>
      </c>
      <c r="Q4509" s="15" t="s">
        <v>83</v>
      </c>
      <c r="R4509" s="4"/>
      <c r="S4509" s="4"/>
    </row>
    <row r="4510" spans="1:19" ht="21" customHeight="1" x14ac:dyDescent="0.25">
      <c r="A4510" s="14">
        <f>DATE(2012,12,31)-971</f>
        <v>40303</v>
      </c>
      <c r="B4510" s="15" t="s">
        <v>2180</v>
      </c>
      <c r="C4510" s="15" t="s">
        <v>43</v>
      </c>
      <c r="D4510" s="16">
        <v>41</v>
      </c>
      <c r="E4510" s="17">
        <v>506.73</v>
      </c>
      <c r="F4510" s="16">
        <v>0.08</v>
      </c>
      <c r="G4510" s="15" t="s">
        <v>32</v>
      </c>
      <c r="H4510" s="18">
        <v>25.58</v>
      </c>
      <c r="I4510" s="19">
        <v>12.28</v>
      </c>
      <c r="J4510" s="19">
        <v>6.47</v>
      </c>
      <c r="K4510" s="19" t="s">
        <v>124</v>
      </c>
      <c r="L4510" s="19" t="s">
        <v>160</v>
      </c>
      <c r="M4510" s="15" t="s">
        <v>1951</v>
      </c>
      <c r="N4510" s="15" t="s">
        <v>36</v>
      </c>
      <c r="O4510" s="15" t="s">
        <v>117</v>
      </c>
      <c r="P4510" s="20" t="s">
        <v>832</v>
      </c>
      <c r="Q4510" s="15" t="s">
        <v>83</v>
      </c>
      <c r="R4510" s="4"/>
      <c r="S4510" s="4"/>
    </row>
    <row r="4511" spans="1:19" ht="21" customHeight="1" x14ac:dyDescent="0.25">
      <c r="A4511" s="14">
        <f>DATE(2012,12,31)-222</f>
        <v>41052</v>
      </c>
      <c r="B4511" s="15" t="s">
        <v>767</v>
      </c>
      <c r="C4511" s="15" t="s">
        <v>85</v>
      </c>
      <c r="D4511" s="16">
        <v>29</v>
      </c>
      <c r="E4511" s="17">
        <v>1104.28</v>
      </c>
      <c r="F4511" s="16">
        <v>0.08</v>
      </c>
      <c r="G4511" s="15" t="s">
        <v>32</v>
      </c>
      <c r="H4511" s="18">
        <v>359.75</v>
      </c>
      <c r="I4511" s="19">
        <v>40.98</v>
      </c>
      <c r="J4511" s="19">
        <v>1.99</v>
      </c>
      <c r="K4511" s="19" t="s">
        <v>124</v>
      </c>
      <c r="L4511" s="19" t="s">
        <v>160</v>
      </c>
      <c r="M4511" s="15" t="s">
        <v>2181</v>
      </c>
      <c r="N4511" s="15" t="s">
        <v>64</v>
      </c>
      <c r="O4511" s="15" t="s">
        <v>72</v>
      </c>
      <c r="P4511" s="20" t="s">
        <v>507</v>
      </c>
      <c r="Q4511" s="15" t="s">
        <v>49</v>
      </c>
      <c r="R4511" s="4"/>
      <c r="S4511" s="4"/>
    </row>
    <row r="4512" spans="1:19" ht="21" customHeight="1" x14ac:dyDescent="0.25">
      <c r="A4512" s="14">
        <f>DATE(2012,12,31)-1101</f>
        <v>40173</v>
      </c>
      <c r="B4512" s="15" t="s">
        <v>489</v>
      </c>
      <c r="C4512" s="15" t="s">
        <v>31</v>
      </c>
      <c r="D4512" s="16">
        <v>48</v>
      </c>
      <c r="E4512" s="17">
        <v>14567.15</v>
      </c>
      <c r="F4512" s="16">
        <v>0.04</v>
      </c>
      <c r="G4512" s="15" t="s">
        <v>58</v>
      </c>
      <c r="H4512" s="18">
        <v>3799.59</v>
      </c>
      <c r="I4512" s="19">
        <v>291.73</v>
      </c>
      <c r="J4512" s="19">
        <v>48.8</v>
      </c>
      <c r="K4512" s="19" t="s">
        <v>124</v>
      </c>
      <c r="L4512" s="19" t="s">
        <v>164</v>
      </c>
      <c r="M4512" s="15" t="s">
        <v>2171</v>
      </c>
      <c r="N4512" s="15" t="s">
        <v>54</v>
      </c>
      <c r="O4512" s="15" t="s">
        <v>252</v>
      </c>
      <c r="P4512" s="20" t="s">
        <v>751</v>
      </c>
      <c r="Q4512" s="15" t="s">
        <v>181</v>
      </c>
      <c r="R4512" s="4"/>
      <c r="S4512" s="4"/>
    </row>
    <row r="4513" spans="1:19" ht="21" customHeight="1" x14ac:dyDescent="0.25">
      <c r="A4513" s="14">
        <f>DATE(2012,12,31)-17</f>
        <v>41257</v>
      </c>
      <c r="B4513" s="15" t="s">
        <v>2182</v>
      </c>
      <c r="C4513" s="15" t="s">
        <v>85</v>
      </c>
      <c r="D4513" s="16">
        <v>2</v>
      </c>
      <c r="E4513" s="17">
        <v>19.809999999999999</v>
      </c>
      <c r="F4513" s="16">
        <v>0.02</v>
      </c>
      <c r="G4513" s="15" t="s">
        <v>32</v>
      </c>
      <c r="H4513" s="18">
        <v>-10.39</v>
      </c>
      <c r="I4513" s="19">
        <v>6.48</v>
      </c>
      <c r="J4513" s="19">
        <v>6.22</v>
      </c>
      <c r="K4513" s="19" t="s">
        <v>124</v>
      </c>
      <c r="L4513" s="19" t="s">
        <v>158</v>
      </c>
      <c r="M4513" s="15" t="s">
        <v>158</v>
      </c>
      <c r="N4513" s="15" t="s">
        <v>36</v>
      </c>
      <c r="O4513" s="15" t="s">
        <v>117</v>
      </c>
      <c r="P4513" s="20" t="s">
        <v>1323</v>
      </c>
      <c r="Q4513" s="15" t="s">
        <v>83</v>
      </c>
      <c r="R4513" s="4"/>
      <c r="S4513" s="4"/>
    </row>
    <row r="4514" spans="1:19" ht="21" customHeight="1" x14ac:dyDescent="0.25">
      <c r="A4514" s="14">
        <f>DATE(2012,12,31)-548</f>
        <v>40726</v>
      </c>
      <c r="B4514" s="15" t="s">
        <v>1656</v>
      </c>
      <c r="C4514" s="15" t="s">
        <v>85</v>
      </c>
      <c r="D4514" s="16">
        <v>20</v>
      </c>
      <c r="E4514" s="17">
        <v>129.27000000000001</v>
      </c>
      <c r="F4514" s="16">
        <v>7.0000000000000007E-2</v>
      </c>
      <c r="G4514" s="15" t="s">
        <v>32</v>
      </c>
      <c r="H4514" s="18">
        <v>-105.15</v>
      </c>
      <c r="I4514" s="19">
        <v>6.48</v>
      </c>
      <c r="J4514" s="19">
        <v>8.74</v>
      </c>
      <c r="K4514" s="19" t="s">
        <v>124</v>
      </c>
      <c r="L4514" s="19" t="s">
        <v>168</v>
      </c>
      <c r="M4514" s="15" t="s">
        <v>2065</v>
      </c>
      <c r="N4514" s="15" t="s">
        <v>36</v>
      </c>
      <c r="O4514" s="15" t="s">
        <v>117</v>
      </c>
      <c r="P4514" s="20" t="s">
        <v>179</v>
      </c>
      <c r="Q4514" s="15" t="s">
        <v>83</v>
      </c>
      <c r="R4514" s="4"/>
      <c r="S4514" s="4"/>
    </row>
    <row r="4515" spans="1:19" ht="21" customHeight="1" x14ac:dyDescent="0.25">
      <c r="A4515" s="14">
        <f>DATE(2012,12,31)-548</f>
        <v>40726</v>
      </c>
      <c r="B4515" s="15" t="s">
        <v>1656</v>
      </c>
      <c r="C4515" s="15" t="s">
        <v>85</v>
      </c>
      <c r="D4515" s="16">
        <v>4</v>
      </c>
      <c r="E4515" s="17">
        <v>8467.68</v>
      </c>
      <c r="F4515" s="16">
        <v>0.01</v>
      </c>
      <c r="G4515" s="15" t="s">
        <v>58</v>
      </c>
      <c r="H4515" s="18">
        <v>-3669.0509999999999</v>
      </c>
      <c r="I4515" s="19">
        <v>2036.48</v>
      </c>
      <c r="J4515" s="19">
        <v>14.7</v>
      </c>
      <c r="K4515" s="19" t="s">
        <v>124</v>
      </c>
      <c r="L4515" s="19" t="s">
        <v>164</v>
      </c>
      <c r="M4515" s="15" t="s">
        <v>2171</v>
      </c>
      <c r="N4515" s="15" t="s">
        <v>64</v>
      </c>
      <c r="O4515" s="15" t="s">
        <v>122</v>
      </c>
      <c r="P4515" s="20" t="s">
        <v>642</v>
      </c>
      <c r="Q4515" s="15" t="s">
        <v>181</v>
      </c>
      <c r="R4515" s="4"/>
      <c r="S4515" s="4"/>
    </row>
    <row r="4516" spans="1:19" ht="21" customHeight="1" x14ac:dyDescent="0.25">
      <c r="A4516" s="14">
        <f>DATE(2012,12,31)-735</f>
        <v>40539</v>
      </c>
      <c r="B4516" s="15" t="s">
        <v>1776</v>
      </c>
      <c r="C4516" s="15" t="s">
        <v>85</v>
      </c>
      <c r="D4516" s="16">
        <v>34</v>
      </c>
      <c r="E4516" s="17">
        <v>126.62</v>
      </c>
      <c r="F4516" s="16">
        <v>0.03</v>
      </c>
      <c r="G4516" s="15" t="s">
        <v>32</v>
      </c>
      <c r="H4516" s="18">
        <v>44.8</v>
      </c>
      <c r="I4516" s="19">
        <v>3.78</v>
      </c>
      <c r="J4516" s="19">
        <v>0.71</v>
      </c>
      <c r="K4516" s="19" t="s">
        <v>124</v>
      </c>
      <c r="L4516" s="19" t="s">
        <v>164</v>
      </c>
      <c r="M4516" s="15" t="s">
        <v>2171</v>
      </c>
      <c r="N4516" s="15" t="s">
        <v>36</v>
      </c>
      <c r="O4516" s="15" t="s">
        <v>105</v>
      </c>
      <c r="P4516" s="20" t="s">
        <v>693</v>
      </c>
      <c r="Q4516" s="15" t="s">
        <v>79</v>
      </c>
      <c r="R4516" s="4"/>
      <c r="S4516" s="4"/>
    </row>
    <row r="4517" spans="1:19" ht="21" customHeight="1" x14ac:dyDescent="0.25">
      <c r="A4517" s="14">
        <f>DATE(2012,12,31)-767</f>
        <v>40507</v>
      </c>
      <c r="B4517" s="15" t="s">
        <v>1828</v>
      </c>
      <c r="C4517" s="15" t="s">
        <v>51</v>
      </c>
      <c r="D4517" s="16">
        <v>37</v>
      </c>
      <c r="E4517" s="17">
        <v>1575.14</v>
      </c>
      <c r="F4517" s="16">
        <v>0</v>
      </c>
      <c r="G4517" s="15" t="s">
        <v>32</v>
      </c>
      <c r="H4517" s="18">
        <v>160.68</v>
      </c>
      <c r="I4517" s="19">
        <v>39.979999999999997</v>
      </c>
      <c r="J4517" s="19">
        <v>7.12</v>
      </c>
      <c r="K4517" s="19" t="s">
        <v>124</v>
      </c>
      <c r="L4517" s="19" t="s">
        <v>125</v>
      </c>
      <c r="M4517" s="15" t="s">
        <v>2048</v>
      </c>
      <c r="N4517" s="15" t="s">
        <v>64</v>
      </c>
      <c r="O4517" s="15" t="s">
        <v>72</v>
      </c>
      <c r="P4517" s="20" t="s">
        <v>1468</v>
      </c>
      <c r="Q4517" s="15" t="s">
        <v>83</v>
      </c>
      <c r="R4517" s="4"/>
      <c r="S4517" s="4"/>
    </row>
    <row r="4518" spans="1:19" ht="21" customHeight="1" x14ac:dyDescent="0.25">
      <c r="A4518" s="14">
        <f>DATE(2012,12,31)-767</f>
        <v>40507</v>
      </c>
      <c r="B4518" s="15" t="s">
        <v>1828</v>
      </c>
      <c r="C4518" s="15" t="s">
        <v>51</v>
      </c>
      <c r="D4518" s="16">
        <v>16</v>
      </c>
      <c r="E4518" s="17">
        <v>187.78</v>
      </c>
      <c r="F4518" s="16">
        <v>0.08</v>
      </c>
      <c r="G4518" s="15" t="s">
        <v>32</v>
      </c>
      <c r="H4518" s="18">
        <v>-21.819599999999998</v>
      </c>
      <c r="I4518" s="19">
        <v>11.99</v>
      </c>
      <c r="J4518" s="19">
        <v>5.99</v>
      </c>
      <c r="K4518" s="19" t="s">
        <v>124</v>
      </c>
      <c r="L4518" s="19" t="s">
        <v>164</v>
      </c>
      <c r="M4518" s="15" t="s">
        <v>2171</v>
      </c>
      <c r="N4518" s="15" t="s">
        <v>64</v>
      </c>
      <c r="O4518" s="15" t="s">
        <v>122</v>
      </c>
      <c r="P4518" s="20" t="s">
        <v>1213</v>
      </c>
      <c r="Q4518" s="15" t="s">
        <v>57</v>
      </c>
      <c r="R4518" s="4"/>
      <c r="S4518" s="4"/>
    </row>
    <row r="4519" spans="1:19" ht="21" customHeight="1" x14ac:dyDescent="0.25">
      <c r="A4519" s="14">
        <f>DATE(2012,12,31)-1063</f>
        <v>40211</v>
      </c>
      <c r="B4519" s="15" t="s">
        <v>1599</v>
      </c>
      <c r="C4519" s="15" t="s">
        <v>43</v>
      </c>
      <c r="D4519" s="16">
        <v>12</v>
      </c>
      <c r="E4519" s="17">
        <v>77.010000000000005</v>
      </c>
      <c r="F4519" s="16">
        <v>0.02</v>
      </c>
      <c r="G4519" s="15" t="s">
        <v>32</v>
      </c>
      <c r="H4519" s="18">
        <v>-19.04</v>
      </c>
      <c r="I4519" s="19">
        <v>5.78</v>
      </c>
      <c r="J4519" s="19">
        <v>4.96</v>
      </c>
      <c r="K4519" s="19" t="s">
        <v>124</v>
      </c>
      <c r="L4519" s="19" t="s">
        <v>319</v>
      </c>
      <c r="M4519" s="15" t="s">
        <v>2146</v>
      </c>
      <c r="N4519" s="15" t="s">
        <v>36</v>
      </c>
      <c r="O4519" s="15" t="s">
        <v>117</v>
      </c>
      <c r="P4519" s="20" t="s">
        <v>636</v>
      </c>
      <c r="Q4519" s="15" t="s">
        <v>83</v>
      </c>
      <c r="R4519" s="4"/>
      <c r="S4519" s="4"/>
    </row>
    <row r="4520" spans="1:19" ht="21" customHeight="1" x14ac:dyDescent="0.25">
      <c r="A4520" s="14">
        <f>DATE(2012,12,31)-1063</f>
        <v>40211</v>
      </c>
      <c r="B4520" s="15" t="s">
        <v>1599</v>
      </c>
      <c r="C4520" s="15" t="s">
        <v>43</v>
      </c>
      <c r="D4520" s="16">
        <v>34</v>
      </c>
      <c r="E4520" s="17">
        <v>111.83</v>
      </c>
      <c r="F4520" s="16">
        <v>7.0000000000000007E-2</v>
      </c>
      <c r="G4520" s="15" t="s">
        <v>32</v>
      </c>
      <c r="H4520" s="18">
        <v>-92.16</v>
      </c>
      <c r="I4520" s="19">
        <v>3.28</v>
      </c>
      <c r="J4520" s="19">
        <v>3.97</v>
      </c>
      <c r="K4520" s="19" t="s">
        <v>124</v>
      </c>
      <c r="L4520" s="19" t="s">
        <v>319</v>
      </c>
      <c r="M4520" s="15" t="s">
        <v>2146</v>
      </c>
      <c r="N4520" s="15" t="s">
        <v>36</v>
      </c>
      <c r="O4520" s="15" t="s">
        <v>77</v>
      </c>
      <c r="P4520" s="20" t="s">
        <v>1326</v>
      </c>
      <c r="Q4520" s="15" t="s">
        <v>79</v>
      </c>
      <c r="R4520" s="4"/>
      <c r="S4520" s="4"/>
    </row>
    <row r="4521" spans="1:19" ht="21" customHeight="1" x14ac:dyDescent="0.25">
      <c r="A4521" s="14">
        <f>DATE(2012,12,31)-1063</f>
        <v>40211</v>
      </c>
      <c r="B4521" s="15" t="s">
        <v>1599</v>
      </c>
      <c r="C4521" s="15" t="s">
        <v>43</v>
      </c>
      <c r="D4521" s="16">
        <v>23</v>
      </c>
      <c r="E4521" s="17">
        <v>6552.9</v>
      </c>
      <c r="F4521" s="16">
        <v>0.1</v>
      </c>
      <c r="G4521" s="15" t="s">
        <v>58</v>
      </c>
      <c r="H4521" s="18">
        <v>-461.45</v>
      </c>
      <c r="I4521" s="19">
        <v>296.18</v>
      </c>
      <c r="J4521" s="19">
        <v>54.12</v>
      </c>
      <c r="K4521" s="19" t="s">
        <v>44</v>
      </c>
      <c r="L4521" s="19" t="s">
        <v>52</v>
      </c>
      <c r="M4521" s="15" t="s">
        <v>2148</v>
      </c>
      <c r="N4521" s="15" t="s">
        <v>54</v>
      </c>
      <c r="O4521" s="15" t="s">
        <v>61</v>
      </c>
      <c r="P4521" s="20" t="s">
        <v>345</v>
      </c>
      <c r="Q4521" s="15" t="s">
        <v>63</v>
      </c>
      <c r="R4521" s="4"/>
      <c r="S4521" s="4"/>
    </row>
    <row r="4522" spans="1:19" ht="21" customHeight="1" x14ac:dyDescent="0.25">
      <c r="A4522" s="14">
        <f>DATE(2012,12,31)-78</f>
        <v>41196</v>
      </c>
      <c r="B4522" s="15" t="s">
        <v>1722</v>
      </c>
      <c r="C4522" s="15" t="s">
        <v>43</v>
      </c>
      <c r="D4522" s="16">
        <v>47</v>
      </c>
      <c r="E4522" s="17">
        <v>3413.69</v>
      </c>
      <c r="F4522" s="16">
        <v>0.06</v>
      </c>
      <c r="G4522" s="15" t="s">
        <v>32</v>
      </c>
      <c r="H4522" s="18">
        <v>175.24</v>
      </c>
      <c r="I4522" s="19">
        <v>73.98</v>
      </c>
      <c r="J4522" s="19">
        <v>14.52</v>
      </c>
      <c r="K4522" s="19" t="s">
        <v>44</v>
      </c>
      <c r="L4522" s="19" t="s">
        <v>52</v>
      </c>
      <c r="M4522" s="15" t="s">
        <v>2148</v>
      </c>
      <c r="N4522" s="15" t="s">
        <v>64</v>
      </c>
      <c r="O4522" s="15" t="s">
        <v>72</v>
      </c>
      <c r="P4522" s="20" t="s">
        <v>842</v>
      </c>
      <c r="Q4522" s="15" t="s">
        <v>83</v>
      </c>
      <c r="R4522" s="4"/>
      <c r="S4522" s="4"/>
    </row>
    <row r="4523" spans="1:19" ht="21" customHeight="1" x14ac:dyDescent="0.25">
      <c r="A4523" s="14">
        <f>DATE(2012,12,31)-78</f>
        <v>41196</v>
      </c>
      <c r="B4523" s="15" t="s">
        <v>1722</v>
      </c>
      <c r="C4523" s="15" t="s">
        <v>43</v>
      </c>
      <c r="D4523" s="16">
        <v>38</v>
      </c>
      <c r="E4523" s="17">
        <v>2939.6824999999999</v>
      </c>
      <c r="F4523" s="16">
        <v>0.02</v>
      </c>
      <c r="G4523" s="15" t="s">
        <v>32</v>
      </c>
      <c r="H4523" s="18">
        <v>192.06</v>
      </c>
      <c r="I4523" s="19">
        <v>85.99</v>
      </c>
      <c r="J4523" s="19">
        <v>0.99</v>
      </c>
      <c r="K4523" s="19" t="s">
        <v>44</v>
      </c>
      <c r="L4523" s="19" t="s">
        <v>52</v>
      </c>
      <c r="M4523" s="15" t="s">
        <v>2148</v>
      </c>
      <c r="N4523" s="15" t="s">
        <v>64</v>
      </c>
      <c r="O4523" s="15" t="s">
        <v>65</v>
      </c>
      <c r="P4523" s="20" t="s">
        <v>213</v>
      </c>
      <c r="Q4523" s="15" t="s">
        <v>79</v>
      </c>
      <c r="R4523" s="4"/>
      <c r="S4523" s="4"/>
    </row>
    <row r="4524" spans="1:19" ht="21" customHeight="1" x14ac:dyDescent="0.25">
      <c r="A4524" s="14">
        <f>DATE(2012,12,31)-317</f>
        <v>40957</v>
      </c>
      <c r="B4524" s="15" t="s">
        <v>1193</v>
      </c>
      <c r="C4524" s="15" t="s">
        <v>43</v>
      </c>
      <c r="D4524" s="16">
        <v>4</v>
      </c>
      <c r="E4524" s="17">
        <v>159.256</v>
      </c>
      <c r="F4524" s="16">
        <v>0.03</v>
      </c>
      <c r="G4524" s="15" t="s">
        <v>32</v>
      </c>
      <c r="H4524" s="18">
        <v>-171.17100000000002</v>
      </c>
      <c r="I4524" s="19">
        <v>45.99</v>
      </c>
      <c r="J4524" s="19">
        <v>2.5</v>
      </c>
      <c r="K4524" s="19" t="s">
        <v>44</v>
      </c>
      <c r="L4524" s="19" t="s">
        <v>52</v>
      </c>
      <c r="M4524" s="15" t="s">
        <v>2148</v>
      </c>
      <c r="N4524" s="15" t="s">
        <v>64</v>
      </c>
      <c r="O4524" s="15" t="s">
        <v>65</v>
      </c>
      <c r="P4524" s="20" t="s">
        <v>1936</v>
      </c>
      <c r="Q4524" s="15" t="s">
        <v>83</v>
      </c>
      <c r="R4524" s="4"/>
      <c r="S4524" s="4"/>
    </row>
    <row r="4525" spans="1:19" ht="21" customHeight="1" x14ac:dyDescent="0.25">
      <c r="A4525" s="14">
        <f>DATE(2012,12,31)-803</f>
        <v>40471</v>
      </c>
      <c r="B4525" s="15" t="s">
        <v>1946</v>
      </c>
      <c r="C4525" s="15" t="s">
        <v>31</v>
      </c>
      <c r="D4525" s="16">
        <v>4</v>
      </c>
      <c r="E4525" s="17">
        <v>40.72</v>
      </c>
      <c r="F4525" s="16">
        <v>0.1</v>
      </c>
      <c r="G4525" s="15" t="s">
        <v>101</v>
      </c>
      <c r="H4525" s="18">
        <v>-10.25</v>
      </c>
      <c r="I4525" s="19">
        <v>6.68</v>
      </c>
      <c r="J4525" s="19">
        <v>6.93</v>
      </c>
      <c r="K4525" s="19" t="s">
        <v>44</v>
      </c>
      <c r="L4525" s="19" t="s">
        <v>52</v>
      </c>
      <c r="M4525" s="15" t="s">
        <v>2148</v>
      </c>
      <c r="N4525" s="15" t="s">
        <v>36</v>
      </c>
      <c r="O4525" s="15" t="s">
        <v>117</v>
      </c>
      <c r="P4525" s="20" t="s">
        <v>957</v>
      </c>
      <c r="Q4525" s="15" t="s">
        <v>83</v>
      </c>
      <c r="R4525" s="4"/>
      <c r="S4525" s="4"/>
    </row>
    <row r="4526" spans="1:19" ht="21" customHeight="1" x14ac:dyDescent="0.25">
      <c r="A4526" s="14">
        <f>DATE(2012,12,31)-803</f>
        <v>40471</v>
      </c>
      <c r="B4526" s="15" t="s">
        <v>1946</v>
      </c>
      <c r="C4526" s="15" t="s">
        <v>31</v>
      </c>
      <c r="D4526" s="16">
        <v>27</v>
      </c>
      <c r="E4526" s="17">
        <v>113.3</v>
      </c>
      <c r="F4526" s="16">
        <v>0.02</v>
      </c>
      <c r="G4526" s="15" t="s">
        <v>32</v>
      </c>
      <c r="H4526" s="18">
        <v>37.33</v>
      </c>
      <c r="I4526" s="19">
        <v>3.93</v>
      </c>
      <c r="J4526" s="19">
        <v>0.99</v>
      </c>
      <c r="K4526" s="19" t="s">
        <v>33</v>
      </c>
      <c r="L4526" s="19" t="s">
        <v>59</v>
      </c>
      <c r="M4526" s="15" t="s">
        <v>2091</v>
      </c>
      <c r="N4526" s="15" t="s">
        <v>36</v>
      </c>
      <c r="O4526" s="15" t="s">
        <v>105</v>
      </c>
      <c r="P4526" s="20" t="s">
        <v>1149</v>
      </c>
      <c r="Q4526" s="15" t="s">
        <v>79</v>
      </c>
      <c r="R4526" s="4"/>
      <c r="S4526" s="4"/>
    </row>
    <row r="4527" spans="1:19" ht="21" customHeight="1" x14ac:dyDescent="0.25">
      <c r="A4527" s="14">
        <f>DATE(2012,12,31)-1132</f>
        <v>40142</v>
      </c>
      <c r="B4527" s="15" t="s">
        <v>1030</v>
      </c>
      <c r="C4527" s="15" t="s">
        <v>85</v>
      </c>
      <c r="D4527" s="16">
        <v>7</v>
      </c>
      <c r="E4527" s="17">
        <v>86.29</v>
      </c>
      <c r="F4527" s="16">
        <v>0.05</v>
      </c>
      <c r="G4527" s="15" t="s">
        <v>32</v>
      </c>
      <c r="H4527" s="18">
        <v>-14.03</v>
      </c>
      <c r="I4527" s="19">
        <v>11.58</v>
      </c>
      <c r="J4527" s="19">
        <v>6.97</v>
      </c>
      <c r="K4527" s="19" t="s">
        <v>69</v>
      </c>
      <c r="L4527" s="19" t="s">
        <v>70</v>
      </c>
      <c r="M4527" s="15" t="s">
        <v>1895</v>
      </c>
      <c r="N4527" s="15" t="s">
        <v>36</v>
      </c>
      <c r="O4527" s="15" t="s">
        <v>189</v>
      </c>
      <c r="P4527" s="20" t="s">
        <v>977</v>
      </c>
      <c r="Q4527" s="15" t="s">
        <v>83</v>
      </c>
      <c r="R4527" s="4"/>
      <c r="S4527" s="4"/>
    </row>
    <row r="4528" spans="1:19" ht="21" customHeight="1" x14ac:dyDescent="0.25">
      <c r="A4528" s="14">
        <f>DATE(2012,12,31)-418</f>
        <v>40856</v>
      </c>
      <c r="B4528" s="15" t="s">
        <v>1364</v>
      </c>
      <c r="C4528" s="15" t="s">
        <v>85</v>
      </c>
      <c r="D4528" s="16">
        <v>31</v>
      </c>
      <c r="E4528" s="17">
        <v>240.63</v>
      </c>
      <c r="F4528" s="16">
        <v>0.02</v>
      </c>
      <c r="G4528" s="15" t="s">
        <v>32</v>
      </c>
      <c r="H4528" s="18">
        <v>-117.92</v>
      </c>
      <c r="I4528" s="19">
        <v>7.37</v>
      </c>
      <c r="J4528" s="19">
        <v>5.53</v>
      </c>
      <c r="K4528" s="19" t="s">
        <v>44</v>
      </c>
      <c r="L4528" s="19" t="s">
        <v>89</v>
      </c>
      <c r="M4528" s="15" t="s">
        <v>1932</v>
      </c>
      <c r="N4528" s="15" t="s">
        <v>64</v>
      </c>
      <c r="O4528" s="15" t="s">
        <v>72</v>
      </c>
      <c r="P4528" s="20" t="s">
        <v>1069</v>
      </c>
      <c r="Q4528" s="15" t="s">
        <v>49</v>
      </c>
      <c r="R4528" s="4"/>
      <c r="S4528" s="4"/>
    </row>
    <row r="4529" spans="1:19" ht="21" customHeight="1" x14ac:dyDescent="0.25">
      <c r="A4529" s="14">
        <f>DATE(2012,12,31)-1265</f>
        <v>40009</v>
      </c>
      <c r="B4529" s="15" t="s">
        <v>944</v>
      </c>
      <c r="C4529" s="15" t="s">
        <v>51</v>
      </c>
      <c r="D4529" s="16">
        <v>40</v>
      </c>
      <c r="E4529" s="17">
        <v>196.5</v>
      </c>
      <c r="F4529" s="16">
        <v>0.08</v>
      </c>
      <c r="G4529" s="15" t="s">
        <v>32</v>
      </c>
      <c r="H4529" s="18">
        <v>-99.762500000000003</v>
      </c>
      <c r="I4529" s="19">
        <v>4.91</v>
      </c>
      <c r="J4529" s="19">
        <v>4.97</v>
      </c>
      <c r="K4529" s="19" t="s">
        <v>33</v>
      </c>
      <c r="L4529" s="19" t="s">
        <v>93</v>
      </c>
      <c r="M4529" s="15" t="s">
        <v>94</v>
      </c>
      <c r="N4529" s="15" t="s">
        <v>36</v>
      </c>
      <c r="O4529" s="15" t="s">
        <v>170</v>
      </c>
      <c r="P4529" s="20" t="s">
        <v>2003</v>
      </c>
      <c r="Q4529" s="15" t="s">
        <v>83</v>
      </c>
      <c r="R4529" s="4"/>
      <c r="S4529" s="4"/>
    </row>
    <row r="4530" spans="1:19" ht="21" customHeight="1" x14ac:dyDescent="0.25">
      <c r="A4530" s="14">
        <f>DATE(2012,12,31)-1265</f>
        <v>40009</v>
      </c>
      <c r="B4530" s="15" t="s">
        <v>944</v>
      </c>
      <c r="C4530" s="15" t="s">
        <v>51</v>
      </c>
      <c r="D4530" s="16">
        <v>1</v>
      </c>
      <c r="E4530" s="17">
        <v>3672.89</v>
      </c>
      <c r="F4530" s="16">
        <v>0.01</v>
      </c>
      <c r="G4530" s="15" t="s">
        <v>32</v>
      </c>
      <c r="H4530" s="18">
        <v>-3061.82</v>
      </c>
      <c r="I4530" s="19">
        <v>3499.99</v>
      </c>
      <c r="J4530" s="19">
        <v>24.49</v>
      </c>
      <c r="K4530" s="19" t="s">
        <v>97</v>
      </c>
      <c r="L4530" s="19" t="s">
        <v>195</v>
      </c>
      <c r="M4530" s="15" t="s">
        <v>2138</v>
      </c>
      <c r="N4530" s="15" t="s">
        <v>64</v>
      </c>
      <c r="O4530" s="15" t="s">
        <v>460</v>
      </c>
      <c r="P4530" s="20" t="s">
        <v>1763</v>
      </c>
      <c r="Q4530" s="15" t="s">
        <v>39</v>
      </c>
      <c r="R4530" s="4"/>
      <c r="S4530" s="4"/>
    </row>
    <row r="4531" spans="1:19" ht="21" customHeight="1" x14ac:dyDescent="0.25">
      <c r="A4531" s="14">
        <f>DATE(2012,12,31)-1265</f>
        <v>40009</v>
      </c>
      <c r="B4531" s="15" t="s">
        <v>944</v>
      </c>
      <c r="C4531" s="15" t="s">
        <v>51</v>
      </c>
      <c r="D4531" s="16">
        <v>8</v>
      </c>
      <c r="E4531" s="17">
        <v>46.97</v>
      </c>
      <c r="F4531" s="16">
        <v>0.03</v>
      </c>
      <c r="G4531" s="15" t="s">
        <v>32</v>
      </c>
      <c r="H4531" s="18">
        <v>-9.9999999999997868E-3</v>
      </c>
      <c r="I4531" s="19">
        <v>5.84</v>
      </c>
      <c r="J4531" s="19">
        <v>1.2</v>
      </c>
      <c r="K4531" s="19" t="s">
        <v>44</v>
      </c>
      <c r="L4531" s="19" t="s">
        <v>120</v>
      </c>
      <c r="M4531" s="15" t="s">
        <v>2025</v>
      </c>
      <c r="N4531" s="15" t="s">
        <v>36</v>
      </c>
      <c r="O4531" s="15" t="s">
        <v>77</v>
      </c>
      <c r="P4531" s="20" t="s">
        <v>1400</v>
      </c>
      <c r="Q4531" s="15" t="s">
        <v>79</v>
      </c>
      <c r="R4531" s="4"/>
      <c r="S4531" s="4"/>
    </row>
    <row r="4532" spans="1:19" ht="21" customHeight="1" x14ac:dyDescent="0.25">
      <c r="A4532" s="14">
        <f>DATE(2012,12,31)-788</f>
        <v>40486</v>
      </c>
      <c r="B4532" s="15" t="s">
        <v>1444</v>
      </c>
      <c r="C4532" s="15" t="s">
        <v>85</v>
      </c>
      <c r="D4532" s="16">
        <v>35</v>
      </c>
      <c r="E4532" s="17">
        <v>209.63</v>
      </c>
      <c r="F4532" s="16">
        <v>0.01</v>
      </c>
      <c r="G4532" s="15" t="s">
        <v>32</v>
      </c>
      <c r="H4532" s="18">
        <v>43.53</v>
      </c>
      <c r="I4532" s="19">
        <v>5.84</v>
      </c>
      <c r="J4532" s="19">
        <v>1.2</v>
      </c>
      <c r="K4532" s="19" t="s">
        <v>44</v>
      </c>
      <c r="L4532" s="19" t="s">
        <v>89</v>
      </c>
      <c r="M4532" s="15" t="s">
        <v>1932</v>
      </c>
      <c r="N4532" s="15" t="s">
        <v>36</v>
      </c>
      <c r="O4532" s="15" t="s">
        <v>77</v>
      </c>
      <c r="P4532" s="20" t="s">
        <v>1400</v>
      </c>
      <c r="Q4532" s="15" t="s">
        <v>79</v>
      </c>
      <c r="R4532" s="4"/>
      <c r="S4532" s="4"/>
    </row>
    <row r="4533" spans="1:19" ht="21" customHeight="1" x14ac:dyDescent="0.25">
      <c r="A4533" s="14">
        <f>DATE(2012,12,31)-854</f>
        <v>40420</v>
      </c>
      <c r="B4533" s="15" t="s">
        <v>336</v>
      </c>
      <c r="C4533" s="15" t="s">
        <v>51</v>
      </c>
      <c r="D4533" s="16">
        <v>8</v>
      </c>
      <c r="E4533" s="17">
        <v>1219.19</v>
      </c>
      <c r="F4533" s="16">
        <v>0.02</v>
      </c>
      <c r="G4533" s="15" t="s">
        <v>32</v>
      </c>
      <c r="H4533" s="18">
        <v>44.369999999999948</v>
      </c>
      <c r="I4533" s="19">
        <v>150.97999999999999</v>
      </c>
      <c r="J4533" s="19">
        <v>13.99</v>
      </c>
      <c r="K4533" s="19" t="s">
        <v>44</v>
      </c>
      <c r="L4533" s="19" t="s">
        <v>52</v>
      </c>
      <c r="M4533" s="15" t="s">
        <v>2183</v>
      </c>
      <c r="N4533" s="15" t="s">
        <v>64</v>
      </c>
      <c r="O4533" s="15" t="s">
        <v>122</v>
      </c>
      <c r="P4533" s="20" t="s">
        <v>123</v>
      </c>
      <c r="Q4533" s="15" t="s">
        <v>57</v>
      </c>
      <c r="R4533" s="4"/>
      <c r="S4533" s="4"/>
    </row>
    <row r="4534" spans="1:19" ht="21" customHeight="1" x14ac:dyDescent="0.25">
      <c r="A4534" s="14">
        <f>DATE(2012,12,31)-854</f>
        <v>40420</v>
      </c>
      <c r="B4534" s="15" t="s">
        <v>336</v>
      </c>
      <c r="C4534" s="15" t="s">
        <v>51</v>
      </c>
      <c r="D4534" s="16">
        <v>15</v>
      </c>
      <c r="E4534" s="17">
        <v>28.68</v>
      </c>
      <c r="F4534" s="16">
        <v>0</v>
      </c>
      <c r="G4534" s="15" t="s">
        <v>32</v>
      </c>
      <c r="H4534" s="18">
        <v>-0.12</v>
      </c>
      <c r="I4534" s="19">
        <v>1.76</v>
      </c>
      <c r="J4534" s="19">
        <v>0.7</v>
      </c>
      <c r="K4534" s="19" t="s">
        <v>44</v>
      </c>
      <c r="L4534" s="19" t="s">
        <v>52</v>
      </c>
      <c r="M4534" s="15" t="s">
        <v>2183</v>
      </c>
      <c r="N4534" s="15" t="s">
        <v>36</v>
      </c>
      <c r="O4534" s="15" t="s">
        <v>77</v>
      </c>
      <c r="P4534" s="20" t="s">
        <v>526</v>
      </c>
      <c r="Q4534" s="15" t="s">
        <v>79</v>
      </c>
      <c r="R4534" s="4"/>
      <c r="S4534" s="4"/>
    </row>
    <row r="4535" spans="1:19" ht="21" customHeight="1" x14ac:dyDescent="0.25">
      <c r="A4535" s="14">
        <f>DATE(2012,12,31)-134</f>
        <v>41140</v>
      </c>
      <c r="B4535" s="15" t="s">
        <v>1100</v>
      </c>
      <c r="C4535" s="15" t="s">
        <v>51</v>
      </c>
      <c r="D4535" s="16">
        <v>46</v>
      </c>
      <c r="E4535" s="17">
        <v>1753.75</v>
      </c>
      <c r="F4535" s="16">
        <v>7.0000000000000007E-2</v>
      </c>
      <c r="G4535" s="15" t="s">
        <v>32</v>
      </c>
      <c r="H4535" s="18">
        <v>215.11</v>
      </c>
      <c r="I4535" s="19">
        <v>39.979999999999997</v>
      </c>
      <c r="J4535" s="19">
        <v>9.1999999999999993</v>
      </c>
      <c r="K4535" s="19" t="s">
        <v>44</v>
      </c>
      <c r="L4535" s="19" t="s">
        <v>89</v>
      </c>
      <c r="M4535" s="15" t="s">
        <v>1932</v>
      </c>
      <c r="N4535" s="15" t="s">
        <v>54</v>
      </c>
      <c r="O4535" s="15" t="s">
        <v>55</v>
      </c>
      <c r="P4535" s="20" t="s">
        <v>1693</v>
      </c>
      <c r="Q4535" s="15" t="s">
        <v>79</v>
      </c>
      <c r="R4535" s="4"/>
      <c r="S4535" s="4"/>
    </row>
    <row r="4536" spans="1:19" ht="21" customHeight="1" x14ac:dyDescent="0.25">
      <c r="A4536" s="14">
        <f>DATE(2012,12,31)-60</f>
        <v>41214</v>
      </c>
      <c r="B4536" s="15" t="s">
        <v>576</v>
      </c>
      <c r="C4536" s="15" t="s">
        <v>31</v>
      </c>
      <c r="D4536" s="16">
        <v>44</v>
      </c>
      <c r="E4536" s="17">
        <v>192.33</v>
      </c>
      <c r="F4536" s="16">
        <v>0.01</v>
      </c>
      <c r="G4536" s="15" t="s">
        <v>32</v>
      </c>
      <c r="H4536" s="18">
        <v>48.54</v>
      </c>
      <c r="I4536" s="19">
        <v>4.26</v>
      </c>
      <c r="J4536" s="19">
        <v>1.2</v>
      </c>
      <c r="K4536" s="19" t="s">
        <v>124</v>
      </c>
      <c r="L4536" s="19" t="s">
        <v>160</v>
      </c>
      <c r="M4536" s="15" t="s">
        <v>2181</v>
      </c>
      <c r="N4536" s="15" t="s">
        <v>36</v>
      </c>
      <c r="O4536" s="15" t="s">
        <v>77</v>
      </c>
      <c r="P4536" s="20" t="s">
        <v>317</v>
      </c>
      <c r="Q4536" s="15" t="s">
        <v>79</v>
      </c>
      <c r="R4536" s="4"/>
      <c r="S4536" s="4"/>
    </row>
    <row r="4537" spans="1:19" ht="21" customHeight="1" x14ac:dyDescent="0.25">
      <c r="A4537" s="14">
        <f>DATE(2012,12,31)-1152</f>
        <v>40122</v>
      </c>
      <c r="B4537" s="15" t="s">
        <v>2184</v>
      </c>
      <c r="C4537" s="15" t="s">
        <v>85</v>
      </c>
      <c r="D4537" s="16">
        <v>13</v>
      </c>
      <c r="E4537" s="17">
        <v>183.22</v>
      </c>
      <c r="F4537" s="16">
        <v>0.01</v>
      </c>
      <c r="G4537" s="15" t="s">
        <v>32</v>
      </c>
      <c r="H4537" s="18">
        <v>-100.89</v>
      </c>
      <c r="I4537" s="19">
        <v>12.99</v>
      </c>
      <c r="J4537" s="19">
        <v>14.37</v>
      </c>
      <c r="K4537" s="19" t="s">
        <v>44</v>
      </c>
      <c r="L4537" s="19" t="s">
        <v>236</v>
      </c>
      <c r="M4537" s="15" t="s">
        <v>2175</v>
      </c>
      <c r="N4537" s="15" t="s">
        <v>54</v>
      </c>
      <c r="O4537" s="15" t="s">
        <v>55</v>
      </c>
      <c r="P4537" s="20" t="s">
        <v>1696</v>
      </c>
      <c r="Q4537" s="15" t="s">
        <v>39</v>
      </c>
      <c r="R4537" s="4"/>
      <c r="S4537" s="4"/>
    </row>
    <row r="4538" spans="1:19" ht="21" customHeight="1" x14ac:dyDescent="0.25">
      <c r="A4538" s="14">
        <f>DATE(2012,12,31)-1152</f>
        <v>40122</v>
      </c>
      <c r="B4538" s="15" t="s">
        <v>2184</v>
      </c>
      <c r="C4538" s="15" t="s">
        <v>85</v>
      </c>
      <c r="D4538" s="16">
        <v>4</v>
      </c>
      <c r="E4538" s="17">
        <v>68.03</v>
      </c>
      <c r="F4538" s="16">
        <v>0.02</v>
      </c>
      <c r="G4538" s="15" t="s">
        <v>32</v>
      </c>
      <c r="H4538" s="18">
        <v>-29.42</v>
      </c>
      <c r="I4538" s="19">
        <v>15.14</v>
      </c>
      <c r="J4538" s="19">
        <v>4.53</v>
      </c>
      <c r="K4538" s="19" t="s">
        <v>33</v>
      </c>
      <c r="L4538" s="19" t="s">
        <v>34</v>
      </c>
      <c r="M4538" s="15" t="s">
        <v>2043</v>
      </c>
      <c r="N4538" s="15" t="s">
        <v>36</v>
      </c>
      <c r="O4538" s="15" t="s">
        <v>37</v>
      </c>
      <c r="P4538" s="20" t="s">
        <v>795</v>
      </c>
      <c r="Q4538" s="15" t="s">
        <v>83</v>
      </c>
      <c r="R4538" s="4"/>
      <c r="S4538" s="4"/>
    </row>
    <row r="4539" spans="1:19" ht="21" customHeight="1" x14ac:dyDescent="0.25">
      <c r="A4539" s="14">
        <f>DATE(2012,12,31)-320</f>
        <v>40954</v>
      </c>
      <c r="B4539" s="15" t="s">
        <v>787</v>
      </c>
      <c r="C4539" s="15" t="s">
        <v>31</v>
      </c>
      <c r="D4539" s="16">
        <v>49</v>
      </c>
      <c r="E4539" s="17">
        <v>5008.7609999999995</v>
      </c>
      <c r="F4539" s="16">
        <v>0.04</v>
      </c>
      <c r="G4539" s="15" t="s">
        <v>32</v>
      </c>
      <c r="H4539" s="18">
        <v>1601.64</v>
      </c>
      <c r="I4539" s="19">
        <v>115.99</v>
      </c>
      <c r="J4539" s="19">
        <v>5.99</v>
      </c>
      <c r="K4539" s="19" t="s">
        <v>69</v>
      </c>
      <c r="L4539" s="19" t="s">
        <v>70</v>
      </c>
      <c r="M4539" s="15" t="s">
        <v>1895</v>
      </c>
      <c r="N4539" s="15" t="s">
        <v>64</v>
      </c>
      <c r="O4539" s="15" t="s">
        <v>65</v>
      </c>
      <c r="P4539" s="20" t="s">
        <v>1032</v>
      </c>
      <c r="Q4539" s="15" t="s">
        <v>83</v>
      </c>
      <c r="R4539" s="4"/>
      <c r="S4539" s="4"/>
    </row>
    <row r="4540" spans="1:19" ht="21" customHeight="1" x14ac:dyDescent="0.25">
      <c r="A4540" s="14">
        <f>DATE(2012,12,31)-320</f>
        <v>40954</v>
      </c>
      <c r="B4540" s="15" t="s">
        <v>787</v>
      </c>
      <c r="C4540" s="15" t="s">
        <v>31</v>
      </c>
      <c r="D4540" s="16">
        <v>1</v>
      </c>
      <c r="E4540" s="17">
        <v>13.53</v>
      </c>
      <c r="F4540" s="16">
        <v>7.0000000000000007E-2</v>
      </c>
      <c r="G4540" s="15" t="s">
        <v>32</v>
      </c>
      <c r="H4540" s="18">
        <v>-6.73</v>
      </c>
      <c r="I4540" s="19">
        <v>11.55</v>
      </c>
      <c r="J4540" s="19">
        <v>2.36</v>
      </c>
      <c r="K4540" s="19" t="s">
        <v>44</v>
      </c>
      <c r="L4540" s="19" t="s">
        <v>120</v>
      </c>
      <c r="M4540" s="15" t="s">
        <v>2025</v>
      </c>
      <c r="N4540" s="15" t="s">
        <v>36</v>
      </c>
      <c r="O4540" s="15" t="s">
        <v>77</v>
      </c>
      <c r="P4540" s="20" t="s">
        <v>996</v>
      </c>
      <c r="Q4540" s="15" t="s">
        <v>79</v>
      </c>
      <c r="R4540" s="4"/>
      <c r="S4540" s="4"/>
    </row>
    <row r="4541" spans="1:19" ht="21" customHeight="1" x14ac:dyDescent="0.25">
      <c r="A4541" s="14">
        <f>DATE(2012,12,31)-1454</f>
        <v>39820</v>
      </c>
      <c r="B4541" s="15" t="s">
        <v>116</v>
      </c>
      <c r="C4541" s="15" t="s">
        <v>51</v>
      </c>
      <c r="D4541" s="16">
        <v>11</v>
      </c>
      <c r="E4541" s="17">
        <v>607.59699999999998</v>
      </c>
      <c r="F4541" s="16">
        <v>7.0000000000000007E-2</v>
      </c>
      <c r="G4541" s="15" t="s">
        <v>32</v>
      </c>
      <c r="H4541" s="18">
        <v>-112.244</v>
      </c>
      <c r="I4541" s="19">
        <v>65.989999999999995</v>
      </c>
      <c r="J4541" s="19">
        <v>5.99</v>
      </c>
      <c r="K4541" s="19" t="s">
        <v>97</v>
      </c>
      <c r="L4541" s="19" t="s">
        <v>132</v>
      </c>
      <c r="M4541" s="15" t="s">
        <v>133</v>
      </c>
      <c r="N4541" s="15" t="s">
        <v>64</v>
      </c>
      <c r="O4541" s="15" t="s">
        <v>65</v>
      </c>
      <c r="P4541" s="20" t="s">
        <v>1573</v>
      </c>
      <c r="Q4541" s="15" t="s">
        <v>83</v>
      </c>
      <c r="R4541" s="4"/>
      <c r="S4541" s="4"/>
    </row>
    <row r="4542" spans="1:19" ht="21" customHeight="1" x14ac:dyDescent="0.25">
      <c r="A4542" s="14">
        <f>DATE(2012,12,31)-892</f>
        <v>40382</v>
      </c>
      <c r="B4542" s="15" t="s">
        <v>485</v>
      </c>
      <c r="C4542" s="15" t="s">
        <v>51</v>
      </c>
      <c r="D4542" s="16">
        <v>3</v>
      </c>
      <c r="E4542" s="17">
        <v>28.75</v>
      </c>
      <c r="F4542" s="16">
        <v>0.01</v>
      </c>
      <c r="G4542" s="15" t="s">
        <v>32</v>
      </c>
      <c r="H4542" s="18">
        <v>-31.43</v>
      </c>
      <c r="I4542" s="19">
        <v>8.4600000000000009</v>
      </c>
      <c r="J4542" s="19">
        <v>3.62</v>
      </c>
      <c r="K4542" s="19" t="s">
        <v>97</v>
      </c>
      <c r="L4542" s="19" t="s">
        <v>98</v>
      </c>
      <c r="M4542" s="15" t="s">
        <v>2161</v>
      </c>
      <c r="N4542" s="15" t="s">
        <v>64</v>
      </c>
      <c r="O4542" s="15" t="s">
        <v>72</v>
      </c>
      <c r="P4542" s="20" t="s">
        <v>385</v>
      </c>
      <c r="Q4542" s="15" t="s">
        <v>49</v>
      </c>
      <c r="R4542" s="4"/>
      <c r="S4542" s="4"/>
    </row>
    <row r="4543" spans="1:19" ht="21" customHeight="1" x14ac:dyDescent="0.25">
      <c r="A4543" s="14">
        <f>DATE(2012,12,31)-892</f>
        <v>40382</v>
      </c>
      <c r="B4543" s="15" t="s">
        <v>485</v>
      </c>
      <c r="C4543" s="15" t="s">
        <v>51</v>
      </c>
      <c r="D4543" s="16">
        <v>3</v>
      </c>
      <c r="E4543" s="17">
        <v>75.81</v>
      </c>
      <c r="F4543" s="16">
        <v>0.06</v>
      </c>
      <c r="G4543" s="15" t="s">
        <v>32</v>
      </c>
      <c r="H4543" s="18">
        <v>-21.13</v>
      </c>
      <c r="I4543" s="19">
        <v>22.84</v>
      </c>
      <c r="J4543" s="19">
        <v>8.18</v>
      </c>
      <c r="K4543" s="19" t="s">
        <v>44</v>
      </c>
      <c r="L4543" s="19" t="s">
        <v>52</v>
      </c>
      <c r="M4543" s="15" t="s">
        <v>2183</v>
      </c>
      <c r="N4543" s="15" t="s">
        <v>36</v>
      </c>
      <c r="O4543" s="15" t="s">
        <v>117</v>
      </c>
      <c r="P4543" s="20" t="s">
        <v>1489</v>
      </c>
      <c r="Q4543" s="15" t="s">
        <v>83</v>
      </c>
      <c r="R4543" s="4"/>
      <c r="S4543" s="4"/>
    </row>
    <row r="4544" spans="1:19" ht="21" customHeight="1" x14ac:dyDescent="0.25">
      <c r="A4544" s="14">
        <f>DATE(2012,12,31)-892</f>
        <v>40382</v>
      </c>
      <c r="B4544" s="15" t="s">
        <v>485</v>
      </c>
      <c r="C4544" s="15" t="s">
        <v>51</v>
      </c>
      <c r="D4544" s="16">
        <v>38</v>
      </c>
      <c r="E4544" s="17">
        <v>259.71749999999997</v>
      </c>
      <c r="F4544" s="16">
        <v>0.02</v>
      </c>
      <c r="G4544" s="15" t="s">
        <v>32</v>
      </c>
      <c r="H4544" s="18">
        <v>-118.48099999999999</v>
      </c>
      <c r="I4544" s="19">
        <v>7.99</v>
      </c>
      <c r="J4544" s="19">
        <v>5.03</v>
      </c>
      <c r="K4544" s="19" t="s">
        <v>33</v>
      </c>
      <c r="L4544" s="19" t="s">
        <v>59</v>
      </c>
      <c r="M4544" s="15" t="s">
        <v>2091</v>
      </c>
      <c r="N4544" s="15" t="s">
        <v>64</v>
      </c>
      <c r="O4544" s="15" t="s">
        <v>65</v>
      </c>
      <c r="P4544" s="20" t="s">
        <v>66</v>
      </c>
      <c r="Q4544" s="15" t="s">
        <v>57</v>
      </c>
      <c r="R4544" s="4"/>
      <c r="S4544" s="4"/>
    </row>
    <row r="4545" spans="1:19" ht="21" customHeight="1" x14ac:dyDescent="0.25">
      <c r="A4545" s="14">
        <f>DATE(2012,12,31)-60</f>
        <v>41214</v>
      </c>
      <c r="B4545" s="15" t="s">
        <v>1515</v>
      </c>
      <c r="C4545" s="15" t="s">
        <v>85</v>
      </c>
      <c r="D4545" s="16">
        <v>45</v>
      </c>
      <c r="E4545" s="17">
        <v>1103.73</v>
      </c>
      <c r="F4545" s="16">
        <v>0</v>
      </c>
      <c r="G4545" s="15" t="s">
        <v>32</v>
      </c>
      <c r="H4545" s="18">
        <v>189.28</v>
      </c>
      <c r="I4545" s="19">
        <v>22.98</v>
      </c>
      <c r="J4545" s="19">
        <v>7.58</v>
      </c>
      <c r="K4545" s="19" t="s">
        <v>33</v>
      </c>
      <c r="L4545" s="19" t="s">
        <v>59</v>
      </c>
      <c r="M4545" s="15" t="s">
        <v>2185</v>
      </c>
      <c r="N4545" s="15" t="s">
        <v>54</v>
      </c>
      <c r="O4545" s="15" t="s">
        <v>55</v>
      </c>
      <c r="P4545" s="20" t="s">
        <v>579</v>
      </c>
      <c r="Q4545" s="15" t="s">
        <v>83</v>
      </c>
      <c r="R4545" s="4"/>
      <c r="S4545" s="4"/>
    </row>
    <row r="4546" spans="1:19" ht="21" customHeight="1" x14ac:dyDescent="0.25">
      <c r="A4546" s="14">
        <f>DATE(2012,12,31)-792</f>
        <v>40482</v>
      </c>
      <c r="B4546" s="15" t="s">
        <v>1336</v>
      </c>
      <c r="C4546" s="15" t="s">
        <v>51</v>
      </c>
      <c r="D4546" s="16">
        <v>50</v>
      </c>
      <c r="E4546" s="17">
        <v>929.81</v>
      </c>
      <c r="F4546" s="16">
        <v>0.09</v>
      </c>
      <c r="G4546" s="15" t="s">
        <v>32</v>
      </c>
      <c r="H4546" s="18">
        <v>-188.41</v>
      </c>
      <c r="I4546" s="19">
        <v>19.989999999999998</v>
      </c>
      <c r="J4546" s="19">
        <v>11.17</v>
      </c>
      <c r="K4546" s="19" t="s">
        <v>33</v>
      </c>
      <c r="L4546" s="19" t="s">
        <v>59</v>
      </c>
      <c r="M4546" s="15" t="s">
        <v>2185</v>
      </c>
      <c r="N4546" s="15" t="s">
        <v>54</v>
      </c>
      <c r="O4546" s="15" t="s">
        <v>55</v>
      </c>
      <c r="P4546" s="20" t="s">
        <v>1902</v>
      </c>
      <c r="Q4546" s="15" t="s">
        <v>39</v>
      </c>
      <c r="R4546" s="4"/>
      <c r="S4546" s="4"/>
    </row>
    <row r="4547" spans="1:19" ht="21" customHeight="1" x14ac:dyDescent="0.25">
      <c r="A4547" s="14">
        <f>DATE(2012,12,31)-146</f>
        <v>41128</v>
      </c>
      <c r="B4547" s="15" t="s">
        <v>401</v>
      </c>
      <c r="C4547" s="15" t="s">
        <v>31</v>
      </c>
      <c r="D4547" s="16">
        <v>45</v>
      </c>
      <c r="E4547" s="17">
        <v>20333.816000000003</v>
      </c>
      <c r="F4547" s="16">
        <v>0.02</v>
      </c>
      <c r="G4547" s="15" t="s">
        <v>58</v>
      </c>
      <c r="H4547" s="18">
        <v>-1430.451</v>
      </c>
      <c r="I4547" s="19">
        <v>550.98</v>
      </c>
      <c r="J4547" s="19">
        <v>147.12</v>
      </c>
      <c r="K4547" s="19" t="s">
        <v>44</v>
      </c>
      <c r="L4547" s="19" t="s">
        <v>89</v>
      </c>
      <c r="M4547" s="15" t="s">
        <v>1932</v>
      </c>
      <c r="N4547" s="15" t="s">
        <v>54</v>
      </c>
      <c r="O4547" s="15" t="s">
        <v>61</v>
      </c>
      <c r="P4547" s="20" t="s">
        <v>1557</v>
      </c>
      <c r="Q4547" s="15" t="s">
        <v>63</v>
      </c>
      <c r="R4547" s="4"/>
      <c r="S4547" s="4"/>
    </row>
    <row r="4548" spans="1:19" ht="21" customHeight="1" x14ac:dyDescent="0.25">
      <c r="A4548" s="14">
        <f>DATE(2012,12,31)-1321</f>
        <v>39953</v>
      </c>
      <c r="B4548" s="15" t="s">
        <v>1682</v>
      </c>
      <c r="C4548" s="15" t="s">
        <v>43</v>
      </c>
      <c r="D4548" s="16">
        <v>34</v>
      </c>
      <c r="E4548" s="17">
        <v>211.86</v>
      </c>
      <c r="F4548" s="16">
        <v>0.01</v>
      </c>
      <c r="G4548" s="15" t="s">
        <v>32</v>
      </c>
      <c r="H4548" s="18">
        <v>-239.315</v>
      </c>
      <c r="I4548" s="19">
        <v>5.94</v>
      </c>
      <c r="J4548" s="19">
        <v>9.92</v>
      </c>
      <c r="K4548" s="19" t="s">
        <v>44</v>
      </c>
      <c r="L4548" s="19" t="s">
        <v>89</v>
      </c>
      <c r="M4548" s="15" t="s">
        <v>1932</v>
      </c>
      <c r="N4548" s="15" t="s">
        <v>36</v>
      </c>
      <c r="O4548" s="15" t="s">
        <v>170</v>
      </c>
      <c r="P4548" s="20" t="s">
        <v>1900</v>
      </c>
      <c r="Q4548" s="15" t="s">
        <v>83</v>
      </c>
      <c r="R4548" s="4"/>
      <c r="S4548" s="4"/>
    </row>
    <row r="4549" spans="1:19" ht="21" customHeight="1" x14ac:dyDescent="0.25">
      <c r="A4549" s="14">
        <f>DATE(2012,12,31)-1321</f>
        <v>39953</v>
      </c>
      <c r="B4549" s="15" t="s">
        <v>1682</v>
      </c>
      <c r="C4549" s="15" t="s">
        <v>43</v>
      </c>
      <c r="D4549" s="16">
        <v>50</v>
      </c>
      <c r="E4549" s="17">
        <v>355.03</v>
      </c>
      <c r="F4549" s="16">
        <v>0</v>
      </c>
      <c r="G4549" s="15" t="s">
        <v>32</v>
      </c>
      <c r="H4549" s="18">
        <v>-33.31</v>
      </c>
      <c r="I4549" s="19">
        <v>6.48</v>
      </c>
      <c r="J4549" s="19">
        <v>5.1100000000000003</v>
      </c>
      <c r="K4549" s="19" t="s">
        <v>44</v>
      </c>
      <c r="L4549" s="19" t="s">
        <v>80</v>
      </c>
      <c r="M4549" s="15" t="s">
        <v>2179</v>
      </c>
      <c r="N4549" s="15" t="s">
        <v>36</v>
      </c>
      <c r="O4549" s="15" t="s">
        <v>117</v>
      </c>
      <c r="P4549" s="20" t="s">
        <v>1659</v>
      </c>
      <c r="Q4549" s="15" t="s">
        <v>83</v>
      </c>
      <c r="R4549" s="4"/>
      <c r="S4549" s="4"/>
    </row>
    <row r="4550" spans="1:19" ht="21" customHeight="1" x14ac:dyDescent="0.25">
      <c r="A4550" s="14">
        <f>DATE(2012,12,31)-82</f>
        <v>41192</v>
      </c>
      <c r="B4550" s="15" t="s">
        <v>1929</v>
      </c>
      <c r="C4550" s="15" t="s">
        <v>43</v>
      </c>
      <c r="D4550" s="16">
        <v>12</v>
      </c>
      <c r="E4550" s="17">
        <v>768.41</v>
      </c>
      <c r="F4550" s="16">
        <v>0.1</v>
      </c>
      <c r="G4550" s="15" t="s">
        <v>32</v>
      </c>
      <c r="H4550" s="18">
        <v>60.375500000000002</v>
      </c>
      <c r="I4550" s="19">
        <v>67.28</v>
      </c>
      <c r="J4550" s="19">
        <v>19.989999999999998</v>
      </c>
      <c r="K4550" s="19" t="s">
        <v>44</v>
      </c>
      <c r="L4550" s="19" t="s">
        <v>120</v>
      </c>
      <c r="M4550" s="15" t="s">
        <v>2025</v>
      </c>
      <c r="N4550" s="15" t="s">
        <v>36</v>
      </c>
      <c r="O4550" s="15" t="s">
        <v>170</v>
      </c>
      <c r="P4550" s="20" t="s">
        <v>821</v>
      </c>
      <c r="Q4550" s="15" t="s">
        <v>83</v>
      </c>
      <c r="R4550" s="4"/>
      <c r="S4550" s="4"/>
    </row>
    <row r="4551" spans="1:19" ht="21" customHeight="1" x14ac:dyDescent="0.25">
      <c r="A4551" s="14">
        <f>DATE(2012,12,31)-82</f>
        <v>41192</v>
      </c>
      <c r="B4551" s="15" t="s">
        <v>1929</v>
      </c>
      <c r="C4551" s="15" t="s">
        <v>43</v>
      </c>
      <c r="D4551" s="16">
        <v>47</v>
      </c>
      <c r="E4551" s="17">
        <v>5238.192</v>
      </c>
      <c r="F4551" s="16">
        <v>0.08</v>
      </c>
      <c r="G4551" s="15" t="s">
        <v>58</v>
      </c>
      <c r="H4551" s="18">
        <v>-503.77</v>
      </c>
      <c r="I4551" s="19">
        <v>145.97999999999999</v>
      </c>
      <c r="J4551" s="19">
        <v>46.2</v>
      </c>
      <c r="K4551" s="19" t="s">
        <v>33</v>
      </c>
      <c r="L4551" s="19" t="s">
        <v>128</v>
      </c>
      <c r="M4551" s="15" t="s">
        <v>129</v>
      </c>
      <c r="N4551" s="15" t="s">
        <v>54</v>
      </c>
      <c r="O4551" s="15" t="s">
        <v>61</v>
      </c>
      <c r="P4551" s="20" t="s">
        <v>910</v>
      </c>
      <c r="Q4551" s="15" t="s">
        <v>63</v>
      </c>
      <c r="R4551" s="4"/>
      <c r="S4551" s="4"/>
    </row>
    <row r="4552" spans="1:19" ht="21" customHeight="1" x14ac:dyDescent="0.25">
      <c r="A4552" s="14">
        <f>DATE(2012,12,31)-257</f>
        <v>41017</v>
      </c>
      <c r="B4552" s="15" t="s">
        <v>1423</v>
      </c>
      <c r="C4552" s="15" t="s">
        <v>85</v>
      </c>
      <c r="D4552" s="16">
        <v>1</v>
      </c>
      <c r="E4552" s="17">
        <v>1996.16</v>
      </c>
      <c r="F4552" s="16">
        <v>0</v>
      </c>
      <c r="G4552" s="15" t="s">
        <v>32</v>
      </c>
      <c r="H4552" s="18">
        <v>-3974.4558000000002</v>
      </c>
      <c r="I4552" s="19">
        <v>1938.02</v>
      </c>
      <c r="J4552" s="19">
        <v>13.99</v>
      </c>
      <c r="K4552" s="19" t="s">
        <v>97</v>
      </c>
      <c r="L4552" s="19" t="s">
        <v>132</v>
      </c>
      <c r="M4552" s="15" t="s">
        <v>133</v>
      </c>
      <c r="N4552" s="15" t="s">
        <v>64</v>
      </c>
      <c r="O4552" s="15" t="s">
        <v>122</v>
      </c>
      <c r="P4552" s="20" t="s">
        <v>1644</v>
      </c>
      <c r="Q4552" s="15" t="s">
        <v>57</v>
      </c>
      <c r="R4552" s="4"/>
      <c r="S4552" s="4"/>
    </row>
    <row r="4553" spans="1:19" ht="21" customHeight="1" x14ac:dyDescent="0.25">
      <c r="A4553" s="14">
        <f>DATE(2012,12,31)-792</f>
        <v>40482</v>
      </c>
      <c r="B4553" s="15" t="s">
        <v>340</v>
      </c>
      <c r="C4553" s="15" t="s">
        <v>85</v>
      </c>
      <c r="D4553" s="16">
        <v>8</v>
      </c>
      <c r="E4553" s="17">
        <v>121.62400000000001</v>
      </c>
      <c r="F4553" s="16">
        <v>0</v>
      </c>
      <c r="G4553" s="15" t="s">
        <v>58</v>
      </c>
      <c r="H4553" s="18">
        <v>11.650950000000002</v>
      </c>
      <c r="I4553" s="19">
        <v>15.23</v>
      </c>
      <c r="J4553" s="19">
        <v>27.75</v>
      </c>
      <c r="K4553" s="19" t="s">
        <v>97</v>
      </c>
      <c r="L4553" s="19" t="s">
        <v>98</v>
      </c>
      <c r="M4553" s="15" t="s">
        <v>2161</v>
      </c>
      <c r="N4553" s="15" t="s">
        <v>54</v>
      </c>
      <c r="O4553" s="15" t="s">
        <v>61</v>
      </c>
      <c r="P4553" s="20" t="s">
        <v>1635</v>
      </c>
      <c r="Q4553" s="15" t="s">
        <v>63</v>
      </c>
      <c r="R4553" s="4"/>
      <c r="S4553" s="4"/>
    </row>
    <row r="4554" spans="1:19" ht="21" customHeight="1" x14ac:dyDescent="0.25">
      <c r="A4554" s="14">
        <f>DATE(2012,12,31)-792</f>
        <v>40482</v>
      </c>
      <c r="B4554" s="15" t="s">
        <v>340</v>
      </c>
      <c r="C4554" s="15" t="s">
        <v>85</v>
      </c>
      <c r="D4554" s="16">
        <v>23</v>
      </c>
      <c r="E4554" s="17">
        <v>934.07</v>
      </c>
      <c r="F4554" s="16">
        <v>7.0000000000000007E-2</v>
      </c>
      <c r="G4554" s="15" t="s">
        <v>32</v>
      </c>
      <c r="H4554" s="18">
        <v>-7.5</v>
      </c>
      <c r="I4554" s="19">
        <v>39.99</v>
      </c>
      <c r="J4554" s="19">
        <v>10.25</v>
      </c>
      <c r="K4554" s="19" t="s">
        <v>124</v>
      </c>
      <c r="L4554" s="19" t="s">
        <v>160</v>
      </c>
      <c r="M4554" s="15" t="s">
        <v>2181</v>
      </c>
      <c r="N4554" s="15" t="s">
        <v>64</v>
      </c>
      <c r="O4554" s="15" t="s">
        <v>72</v>
      </c>
      <c r="P4554" s="20" t="s">
        <v>1754</v>
      </c>
      <c r="Q4554" s="15" t="s">
        <v>83</v>
      </c>
      <c r="R4554" s="4"/>
      <c r="S4554" s="4"/>
    </row>
    <row r="4555" spans="1:19" ht="21" customHeight="1" x14ac:dyDescent="0.25">
      <c r="A4555" s="14">
        <f>DATE(2012,12,31)-792</f>
        <v>40482</v>
      </c>
      <c r="B4555" s="15" t="s">
        <v>340</v>
      </c>
      <c r="C4555" s="15" t="s">
        <v>85</v>
      </c>
      <c r="D4555" s="16">
        <v>1</v>
      </c>
      <c r="E4555" s="17">
        <v>65.466999999999999</v>
      </c>
      <c r="F4555" s="16">
        <v>0.06</v>
      </c>
      <c r="G4555" s="15" t="s">
        <v>101</v>
      </c>
      <c r="H4555" s="18">
        <v>-257.411</v>
      </c>
      <c r="I4555" s="19">
        <v>65.989999999999995</v>
      </c>
      <c r="J4555" s="19">
        <v>8.8000000000000007</v>
      </c>
      <c r="K4555" s="19" t="s">
        <v>124</v>
      </c>
      <c r="L4555" s="19" t="s">
        <v>493</v>
      </c>
      <c r="M4555" s="15" t="s">
        <v>2134</v>
      </c>
      <c r="N4555" s="15" t="s">
        <v>64</v>
      </c>
      <c r="O4555" s="15" t="s">
        <v>65</v>
      </c>
      <c r="P4555" s="20" t="s">
        <v>2041</v>
      </c>
      <c r="Q4555" s="15" t="s">
        <v>83</v>
      </c>
      <c r="R4555" s="4"/>
      <c r="S4555" s="4"/>
    </row>
    <row r="4556" spans="1:19" ht="21" customHeight="1" x14ac:dyDescent="0.25">
      <c r="A4556" s="14">
        <f>DATE(2012,12,31)-1456</f>
        <v>39818</v>
      </c>
      <c r="B4556" s="15" t="s">
        <v>1607</v>
      </c>
      <c r="C4556" s="15" t="s">
        <v>43</v>
      </c>
      <c r="D4556" s="16">
        <v>5</v>
      </c>
      <c r="E4556" s="17">
        <v>1244.19</v>
      </c>
      <c r="F4556" s="16">
        <v>0.08</v>
      </c>
      <c r="G4556" s="15" t="s">
        <v>58</v>
      </c>
      <c r="H4556" s="18">
        <v>-131.31</v>
      </c>
      <c r="I4556" s="19">
        <v>243.98</v>
      </c>
      <c r="J4556" s="19">
        <v>43.32</v>
      </c>
      <c r="K4556" s="19" t="s">
        <v>124</v>
      </c>
      <c r="L4556" s="19" t="s">
        <v>493</v>
      </c>
      <c r="M4556" s="15" t="s">
        <v>2134</v>
      </c>
      <c r="N4556" s="15" t="s">
        <v>54</v>
      </c>
      <c r="O4556" s="15" t="s">
        <v>252</v>
      </c>
      <c r="P4556" s="20" t="s">
        <v>666</v>
      </c>
      <c r="Q4556" s="15" t="s">
        <v>181</v>
      </c>
      <c r="R4556" s="4"/>
      <c r="S4556" s="4"/>
    </row>
    <row r="4557" spans="1:19" ht="21" customHeight="1" x14ac:dyDescent="0.25">
      <c r="A4557" s="14">
        <f>DATE(2012,12,31)-1251</f>
        <v>40023</v>
      </c>
      <c r="B4557" s="15" t="s">
        <v>746</v>
      </c>
      <c r="C4557" s="15" t="s">
        <v>85</v>
      </c>
      <c r="D4557" s="16">
        <v>35</v>
      </c>
      <c r="E4557" s="17">
        <v>175.08</v>
      </c>
      <c r="F4557" s="16">
        <v>7.0000000000000007E-2</v>
      </c>
      <c r="G4557" s="15" t="s">
        <v>32</v>
      </c>
      <c r="H4557" s="18">
        <v>-168.72</v>
      </c>
      <c r="I4557" s="19">
        <v>5.0199999999999996</v>
      </c>
      <c r="J4557" s="19">
        <v>5.14</v>
      </c>
      <c r="K4557" s="19" t="s">
        <v>124</v>
      </c>
      <c r="L4557" s="19" t="s">
        <v>164</v>
      </c>
      <c r="M4557" s="15" t="s">
        <v>2171</v>
      </c>
      <c r="N4557" s="15" t="s">
        <v>64</v>
      </c>
      <c r="O4557" s="15" t="s">
        <v>72</v>
      </c>
      <c r="P4557" s="20" t="s">
        <v>563</v>
      </c>
      <c r="Q4557" s="15" t="s">
        <v>49</v>
      </c>
      <c r="R4557" s="4"/>
      <c r="S4557" s="4"/>
    </row>
    <row r="4558" spans="1:19" ht="21" customHeight="1" x14ac:dyDescent="0.25">
      <c r="A4558" s="14">
        <f>DATE(2012,12,31)-1251</f>
        <v>40023</v>
      </c>
      <c r="B4558" s="15" t="s">
        <v>746</v>
      </c>
      <c r="C4558" s="15" t="s">
        <v>85</v>
      </c>
      <c r="D4558" s="16">
        <v>19</v>
      </c>
      <c r="E4558" s="17">
        <v>5369.46</v>
      </c>
      <c r="F4558" s="16">
        <v>7.0000000000000007E-2</v>
      </c>
      <c r="G4558" s="15" t="s">
        <v>58</v>
      </c>
      <c r="H4558" s="18">
        <v>-439.62</v>
      </c>
      <c r="I4558" s="19">
        <v>280.98</v>
      </c>
      <c r="J4558" s="19">
        <v>57</v>
      </c>
      <c r="K4558" s="19" t="s">
        <v>124</v>
      </c>
      <c r="L4558" s="19" t="s">
        <v>164</v>
      </c>
      <c r="M4558" s="15" t="s">
        <v>2171</v>
      </c>
      <c r="N4558" s="15" t="s">
        <v>54</v>
      </c>
      <c r="O4558" s="15" t="s">
        <v>252</v>
      </c>
      <c r="P4558" s="20" t="s">
        <v>1220</v>
      </c>
      <c r="Q4558" s="15" t="s">
        <v>181</v>
      </c>
      <c r="R4558" s="4"/>
      <c r="S4558" s="4"/>
    </row>
    <row r="4559" spans="1:19" ht="21" customHeight="1" x14ac:dyDescent="0.25">
      <c r="A4559" s="14">
        <f>DATE(2012,12,31)-22</f>
        <v>41252</v>
      </c>
      <c r="B4559" s="15" t="s">
        <v>1622</v>
      </c>
      <c r="C4559" s="15" t="s">
        <v>85</v>
      </c>
      <c r="D4559" s="16">
        <v>39</v>
      </c>
      <c r="E4559" s="17">
        <v>277.58</v>
      </c>
      <c r="F4559" s="16">
        <v>0.08</v>
      </c>
      <c r="G4559" s="15" t="s">
        <v>32</v>
      </c>
      <c r="H4559" s="18">
        <v>-276.88</v>
      </c>
      <c r="I4559" s="19">
        <v>7.28</v>
      </c>
      <c r="J4559" s="19">
        <v>11.15</v>
      </c>
      <c r="K4559" s="19" t="s">
        <v>44</v>
      </c>
      <c r="L4559" s="19" t="s">
        <v>80</v>
      </c>
      <c r="M4559" s="15" t="s">
        <v>2179</v>
      </c>
      <c r="N4559" s="15" t="s">
        <v>36</v>
      </c>
      <c r="O4559" s="15" t="s">
        <v>117</v>
      </c>
      <c r="P4559" s="20" t="s">
        <v>1324</v>
      </c>
      <c r="Q4559" s="15" t="s">
        <v>83</v>
      </c>
      <c r="R4559" s="4"/>
      <c r="S4559" s="4"/>
    </row>
    <row r="4560" spans="1:19" ht="21" customHeight="1" x14ac:dyDescent="0.25">
      <c r="A4560" s="14">
        <f>DATE(2012,12,31)-22</f>
        <v>41252</v>
      </c>
      <c r="B4560" s="15" t="s">
        <v>1622</v>
      </c>
      <c r="C4560" s="15" t="s">
        <v>85</v>
      </c>
      <c r="D4560" s="16">
        <v>12</v>
      </c>
      <c r="E4560" s="17">
        <v>4887.1400000000003</v>
      </c>
      <c r="F4560" s="16">
        <v>0.08</v>
      </c>
      <c r="G4560" s="15" t="s">
        <v>58</v>
      </c>
      <c r="H4560" s="18">
        <v>-694.33</v>
      </c>
      <c r="I4560" s="19">
        <v>424.21</v>
      </c>
      <c r="J4560" s="19">
        <v>110.2</v>
      </c>
      <c r="K4560" s="19" t="s">
        <v>44</v>
      </c>
      <c r="L4560" s="19" t="s">
        <v>52</v>
      </c>
      <c r="M4560" s="15" t="s">
        <v>2183</v>
      </c>
      <c r="N4560" s="15" t="s">
        <v>54</v>
      </c>
      <c r="O4560" s="15" t="s">
        <v>61</v>
      </c>
      <c r="P4560" s="20" t="s">
        <v>2106</v>
      </c>
      <c r="Q4560" s="15" t="s">
        <v>63</v>
      </c>
      <c r="R4560" s="4"/>
      <c r="S4560" s="4"/>
    </row>
    <row r="4561" spans="1:19" ht="21" customHeight="1" x14ac:dyDescent="0.25">
      <c r="A4561" s="14">
        <f>DATE(2012,12,31)-22</f>
        <v>41252</v>
      </c>
      <c r="B4561" s="15" t="s">
        <v>1622</v>
      </c>
      <c r="C4561" s="15" t="s">
        <v>85</v>
      </c>
      <c r="D4561" s="16">
        <v>44</v>
      </c>
      <c r="E4561" s="17">
        <v>7195.2584999999999</v>
      </c>
      <c r="F4561" s="16">
        <v>0.09</v>
      </c>
      <c r="G4561" s="15" t="s">
        <v>101</v>
      </c>
      <c r="H4561" s="18">
        <v>1698.1559999999999</v>
      </c>
      <c r="I4561" s="19">
        <v>200.99</v>
      </c>
      <c r="J4561" s="19">
        <v>8.08</v>
      </c>
      <c r="K4561" s="19" t="s">
        <v>33</v>
      </c>
      <c r="L4561" s="19" t="s">
        <v>34</v>
      </c>
      <c r="M4561" s="15" t="s">
        <v>2043</v>
      </c>
      <c r="N4561" s="15" t="s">
        <v>64</v>
      </c>
      <c r="O4561" s="15" t="s">
        <v>65</v>
      </c>
      <c r="P4561" s="20" t="s">
        <v>1145</v>
      </c>
      <c r="Q4561" s="15" t="s">
        <v>83</v>
      </c>
      <c r="R4561" s="4"/>
      <c r="S4561" s="4"/>
    </row>
    <row r="4562" spans="1:19" ht="21" customHeight="1" x14ac:dyDescent="0.25">
      <c r="A4562" s="14">
        <f>DATE(2012,12,31)-378</f>
        <v>40896</v>
      </c>
      <c r="B4562" s="15" t="s">
        <v>468</v>
      </c>
      <c r="C4562" s="15" t="s">
        <v>85</v>
      </c>
      <c r="D4562" s="16">
        <v>37</v>
      </c>
      <c r="E4562" s="17">
        <v>2638.79</v>
      </c>
      <c r="F4562" s="16">
        <v>0.1</v>
      </c>
      <c r="G4562" s="15" t="s">
        <v>58</v>
      </c>
      <c r="H4562" s="18">
        <v>54.230849999999997</v>
      </c>
      <c r="I4562" s="19">
        <v>70.89</v>
      </c>
      <c r="J4562" s="19">
        <v>89.3</v>
      </c>
      <c r="K4562" s="19" t="s">
        <v>33</v>
      </c>
      <c r="L4562" s="19" t="s">
        <v>93</v>
      </c>
      <c r="M4562" s="15" t="s">
        <v>94</v>
      </c>
      <c r="N4562" s="15" t="s">
        <v>54</v>
      </c>
      <c r="O4562" s="15" t="s">
        <v>61</v>
      </c>
      <c r="P4562" s="20" t="s">
        <v>62</v>
      </c>
      <c r="Q4562" s="15" t="s">
        <v>63</v>
      </c>
      <c r="R4562" s="4"/>
      <c r="S4562" s="4"/>
    </row>
    <row r="4563" spans="1:19" ht="21" customHeight="1" x14ac:dyDescent="0.25">
      <c r="A4563" s="14">
        <f>DATE(2012,12,31)-1378</f>
        <v>39896</v>
      </c>
      <c r="B4563" s="15" t="s">
        <v>1931</v>
      </c>
      <c r="C4563" s="15" t="s">
        <v>43</v>
      </c>
      <c r="D4563" s="16">
        <v>42</v>
      </c>
      <c r="E4563" s="17">
        <v>580.55999999999995</v>
      </c>
      <c r="F4563" s="16">
        <v>0.1</v>
      </c>
      <c r="G4563" s="15" t="s">
        <v>32</v>
      </c>
      <c r="H4563" s="18">
        <v>163.6335</v>
      </c>
      <c r="I4563" s="19">
        <v>14.28</v>
      </c>
      <c r="J4563" s="19">
        <v>2.99</v>
      </c>
      <c r="K4563" s="19" t="s">
        <v>44</v>
      </c>
      <c r="L4563" s="19" t="s">
        <v>45</v>
      </c>
      <c r="M4563" s="15" t="s">
        <v>2165</v>
      </c>
      <c r="N4563" s="15" t="s">
        <v>36</v>
      </c>
      <c r="O4563" s="15" t="s">
        <v>170</v>
      </c>
      <c r="P4563" s="20" t="s">
        <v>2186</v>
      </c>
      <c r="Q4563" s="15" t="s">
        <v>83</v>
      </c>
      <c r="R4563" s="4"/>
      <c r="S4563" s="4"/>
    </row>
    <row r="4564" spans="1:19" ht="21" customHeight="1" x14ac:dyDescent="0.25">
      <c r="A4564" s="14">
        <f>DATE(2012,12,31)-532</f>
        <v>40742</v>
      </c>
      <c r="B4564" s="15" t="s">
        <v>1364</v>
      </c>
      <c r="C4564" s="15" t="s">
        <v>85</v>
      </c>
      <c r="D4564" s="16">
        <v>3</v>
      </c>
      <c r="E4564" s="17">
        <v>8.6</v>
      </c>
      <c r="F4564" s="16">
        <v>0.09</v>
      </c>
      <c r="G4564" s="15" t="s">
        <v>32</v>
      </c>
      <c r="H4564" s="18">
        <v>-2.0299999999999998</v>
      </c>
      <c r="I4564" s="19">
        <v>2.88</v>
      </c>
      <c r="J4564" s="19">
        <v>0.5</v>
      </c>
      <c r="K4564" s="19" t="s">
        <v>44</v>
      </c>
      <c r="L4564" s="19" t="s">
        <v>89</v>
      </c>
      <c r="M4564" s="15" t="s">
        <v>1932</v>
      </c>
      <c r="N4564" s="15" t="s">
        <v>36</v>
      </c>
      <c r="O4564" s="15" t="s">
        <v>114</v>
      </c>
      <c r="P4564" s="20" t="s">
        <v>2097</v>
      </c>
      <c r="Q4564" s="15" t="s">
        <v>83</v>
      </c>
      <c r="R4564" s="4"/>
      <c r="S4564" s="4"/>
    </row>
    <row r="4565" spans="1:19" ht="21" customHeight="1" x14ac:dyDescent="0.25">
      <c r="A4565" s="14">
        <f>DATE(2012,12,31)-641</f>
        <v>40633</v>
      </c>
      <c r="B4565" s="15" t="s">
        <v>2187</v>
      </c>
      <c r="C4565" s="15" t="s">
        <v>85</v>
      </c>
      <c r="D4565" s="16">
        <v>12</v>
      </c>
      <c r="E4565" s="17">
        <v>83.89</v>
      </c>
      <c r="F4565" s="16">
        <v>0.05</v>
      </c>
      <c r="G4565" s="15" t="s">
        <v>32</v>
      </c>
      <c r="H4565" s="18">
        <v>-29.589500000000001</v>
      </c>
      <c r="I4565" s="19">
        <v>6.81</v>
      </c>
      <c r="J4565" s="19">
        <v>5.48</v>
      </c>
      <c r="K4565" s="19" t="s">
        <v>124</v>
      </c>
      <c r="L4565" s="19" t="s">
        <v>160</v>
      </c>
      <c r="M4565" s="15" t="s">
        <v>2181</v>
      </c>
      <c r="N4565" s="15" t="s">
        <v>36</v>
      </c>
      <c r="O4565" s="15" t="s">
        <v>170</v>
      </c>
      <c r="P4565" s="20" t="s">
        <v>1533</v>
      </c>
      <c r="Q4565" s="15" t="s">
        <v>83</v>
      </c>
      <c r="R4565" s="4"/>
      <c r="S4565" s="4"/>
    </row>
    <row r="4566" spans="1:19" ht="21" customHeight="1" x14ac:dyDescent="0.25">
      <c r="A4566" s="14">
        <f>DATE(2012,12,31)-830</f>
        <v>40444</v>
      </c>
      <c r="B4566" s="15" t="s">
        <v>163</v>
      </c>
      <c r="C4566" s="15" t="s">
        <v>51</v>
      </c>
      <c r="D4566" s="16">
        <v>43</v>
      </c>
      <c r="E4566" s="17">
        <v>4620.53</v>
      </c>
      <c r="F4566" s="16">
        <v>0</v>
      </c>
      <c r="G4566" s="15" t="s">
        <v>32</v>
      </c>
      <c r="H4566" s="18">
        <v>1025.23</v>
      </c>
      <c r="I4566" s="19">
        <v>99.99</v>
      </c>
      <c r="J4566" s="19">
        <v>19.989999999999998</v>
      </c>
      <c r="K4566" s="19" t="s">
        <v>33</v>
      </c>
      <c r="L4566" s="19" t="s">
        <v>93</v>
      </c>
      <c r="M4566" s="15" t="s">
        <v>94</v>
      </c>
      <c r="N4566" s="15" t="s">
        <v>64</v>
      </c>
      <c r="O4566" s="15" t="s">
        <v>72</v>
      </c>
      <c r="P4566" s="20" t="s">
        <v>496</v>
      </c>
      <c r="Q4566" s="15" t="s">
        <v>83</v>
      </c>
      <c r="R4566" s="4"/>
      <c r="S4566" s="4"/>
    </row>
    <row r="4567" spans="1:19" ht="21" customHeight="1" x14ac:dyDescent="0.25">
      <c r="A4567" s="14">
        <f>DATE(2012,12,31)-696</f>
        <v>40578</v>
      </c>
      <c r="B4567" s="15" t="s">
        <v>282</v>
      </c>
      <c r="C4567" s="15" t="s">
        <v>43</v>
      </c>
      <c r="D4567" s="16">
        <v>9</v>
      </c>
      <c r="E4567" s="17">
        <v>2502.67</v>
      </c>
      <c r="F4567" s="16">
        <v>0.1</v>
      </c>
      <c r="G4567" s="15" t="s">
        <v>58</v>
      </c>
      <c r="H4567" s="18">
        <v>-198.8</v>
      </c>
      <c r="I4567" s="19">
        <v>300.98</v>
      </c>
      <c r="J4567" s="19">
        <v>64.73</v>
      </c>
      <c r="K4567" s="19" t="s">
        <v>124</v>
      </c>
      <c r="L4567" s="19" t="s">
        <v>319</v>
      </c>
      <c r="M4567" s="15" t="s">
        <v>2146</v>
      </c>
      <c r="N4567" s="15" t="s">
        <v>54</v>
      </c>
      <c r="O4567" s="15" t="s">
        <v>252</v>
      </c>
      <c r="P4567" s="20" t="s">
        <v>1015</v>
      </c>
      <c r="Q4567" s="15" t="s">
        <v>181</v>
      </c>
      <c r="R4567" s="4"/>
      <c r="S4567" s="4"/>
    </row>
    <row r="4568" spans="1:19" ht="21" customHeight="1" x14ac:dyDescent="0.25">
      <c r="A4568" s="14">
        <f>DATE(2012,12,31)-333</f>
        <v>40941</v>
      </c>
      <c r="B4568" s="15" t="s">
        <v>645</v>
      </c>
      <c r="C4568" s="15" t="s">
        <v>31</v>
      </c>
      <c r="D4568" s="16">
        <v>23</v>
      </c>
      <c r="E4568" s="17">
        <v>3982.21</v>
      </c>
      <c r="F4568" s="16">
        <v>0.03</v>
      </c>
      <c r="G4568" s="15" t="s">
        <v>32</v>
      </c>
      <c r="H4568" s="18">
        <v>1413.941</v>
      </c>
      <c r="I4568" s="19">
        <v>165.98</v>
      </c>
      <c r="J4568" s="19">
        <v>19.989999999999998</v>
      </c>
      <c r="K4568" s="19" t="s">
        <v>44</v>
      </c>
      <c r="L4568" s="19" t="s">
        <v>45</v>
      </c>
      <c r="M4568" s="15" t="s">
        <v>2165</v>
      </c>
      <c r="N4568" s="15" t="s">
        <v>36</v>
      </c>
      <c r="O4568" s="15" t="s">
        <v>170</v>
      </c>
      <c r="P4568" s="20" t="s">
        <v>945</v>
      </c>
      <c r="Q4568" s="15" t="s">
        <v>83</v>
      </c>
      <c r="R4568" s="4"/>
      <c r="S4568" s="4"/>
    </row>
    <row r="4569" spans="1:19" ht="21" customHeight="1" x14ac:dyDescent="0.25">
      <c r="A4569" s="14">
        <f>DATE(2012,12,31)-333</f>
        <v>40941</v>
      </c>
      <c r="B4569" s="15" t="s">
        <v>645</v>
      </c>
      <c r="C4569" s="15" t="s">
        <v>31</v>
      </c>
      <c r="D4569" s="16">
        <v>40</v>
      </c>
      <c r="E4569" s="17">
        <v>66.55</v>
      </c>
      <c r="F4569" s="16">
        <v>0.01</v>
      </c>
      <c r="G4569" s="15" t="s">
        <v>32</v>
      </c>
      <c r="H4569" s="18">
        <v>-15.13</v>
      </c>
      <c r="I4569" s="19">
        <v>1.6</v>
      </c>
      <c r="J4569" s="19">
        <v>1.29</v>
      </c>
      <c r="K4569" s="19" t="s">
        <v>33</v>
      </c>
      <c r="L4569" s="19" t="s">
        <v>34</v>
      </c>
      <c r="M4569" s="15" t="s">
        <v>2043</v>
      </c>
      <c r="N4569" s="15" t="s">
        <v>36</v>
      </c>
      <c r="O4569" s="15" t="s">
        <v>77</v>
      </c>
      <c r="P4569" s="20" t="s">
        <v>2099</v>
      </c>
      <c r="Q4569" s="15" t="s">
        <v>79</v>
      </c>
      <c r="R4569" s="4"/>
      <c r="S4569" s="4"/>
    </row>
    <row r="4570" spans="1:19" ht="21" customHeight="1" x14ac:dyDescent="0.25">
      <c r="A4570" s="14">
        <f>DATE(2012,12,31)-799</f>
        <v>40475</v>
      </c>
      <c r="B4570" s="15" t="s">
        <v>1355</v>
      </c>
      <c r="C4570" s="15" t="s">
        <v>85</v>
      </c>
      <c r="D4570" s="16">
        <v>15</v>
      </c>
      <c r="E4570" s="17">
        <v>43.96</v>
      </c>
      <c r="F4570" s="16">
        <v>0.03</v>
      </c>
      <c r="G4570" s="15" t="s">
        <v>32</v>
      </c>
      <c r="H4570" s="18">
        <v>-0.24149999999999999</v>
      </c>
      <c r="I4570" s="19">
        <v>2.78</v>
      </c>
      <c r="J4570" s="19">
        <v>1.49</v>
      </c>
      <c r="K4570" s="19" t="s">
        <v>33</v>
      </c>
      <c r="L4570" s="19" t="s">
        <v>145</v>
      </c>
      <c r="M4570" s="15" t="s">
        <v>2140</v>
      </c>
      <c r="N4570" s="15" t="s">
        <v>36</v>
      </c>
      <c r="O4570" s="15" t="s">
        <v>170</v>
      </c>
      <c r="P4570" s="20" t="s">
        <v>1672</v>
      </c>
      <c r="Q4570" s="15" t="s">
        <v>83</v>
      </c>
      <c r="R4570" s="4"/>
      <c r="S4570" s="4"/>
    </row>
    <row r="4571" spans="1:19" ht="21" customHeight="1" x14ac:dyDescent="0.25">
      <c r="A4571" s="14">
        <f>DATE(2012,12,31)-799</f>
        <v>40475</v>
      </c>
      <c r="B4571" s="15" t="s">
        <v>1355</v>
      </c>
      <c r="C4571" s="15" t="s">
        <v>85</v>
      </c>
      <c r="D4571" s="16">
        <v>7</v>
      </c>
      <c r="E4571" s="17">
        <v>60.19</v>
      </c>
      <c r="F4571" s="16">
        <v>0.01</v>
      </c>
      <c r="G4571" s="15" t="s">
        <v>32</v>
      </c>
      <c r="H4571" s="18">
        <v>6.44</v>
      </c>
      <c r="I4571" s="19">
        <v>7.78</v>
      </c>
      <c r="J4571" s="19">
        <v>2.5</v>
      </c>
      <c r="K4571" s="19" t="s">
        <v>33</v>
      </c>
      <c r="L4571" s="19" t="s">
        <v>59</v>
      </c>
      <c r="M4571" s="15" t="s">
        <v>2185</v>
      </c>
      <c r="N4571" s="15" t="s">
        <v>36</v>
      </c>
      <c r="O4571" s="15" t="s">
        <v>189</v>
      </c>
      <c r="P4571" s="20" t="s">
        <v>1785</v>
      </c>
      <c r="Q4571" s="15" t="s">
        <v>83</v>
      </c>
      <c r="R4571" s="4"/>
      <c r="S4571" s="4"/>
    </row>
    <row r="4572" spans="1:19" ht="21" customHeight="1" x14ac:dyDescent="0.25">
      <c r="A4572" s="14">
        <f>DATE(2012,12,31)-815</f>
        <v>40459</v>
      </c>
      <c r="B4572" s="15" t="s">
        <v>1266</v>
      </c>
      <c r="C4572" s="15" t="s">
        <v>31</v>
      </c>
      <c r="D4572" s="16">
        <v>8</v>
      </c>
      <c r="E4572" s="17">
        <v>85.36</v>
      </c>
      <c r="F4572" s="16">
        <v>0.09</v>
      </c>
      <c r="G4572" s="15" t="s">
        <v>32</v>
      </c>
      <c r="H4572" s="18">
        <v>-23.82</v>
      </c>
      <c r="I4572" s="19">
        <v>10.89</v>
      </c>
      <c r="J4572" s="19">
        <v>4.5</v>
      </c>
      <c r="K4572" s="19" t="s">
        <v>33</v>
      </c>
      <c r="L4572" s="19" t="s">
        <v>34</v>
      </c>
      <c r="M4572" s="15" t="s">
        <v>2043</v>
      </c>
      <c r="N4572" s="15" t="s">
        <v>36</v>
      </c>
      <c r="O4572" s="15" t="s">
        <v>176</v>
      </c>
      <c r="P4572" s="20" t="s">
        <v>250</v>
      </c>
      <c r="Q4572" s="15" t="s">
        <v>83</v>
      </c>
      <c r="R4572" s="4"/>
      <c r="S4572" s="4"/>
    </row>
    <row r="4573" spans="1:19" ht="21" customHeight="1" x14ac:dyDescent="0.25">
      <c r="A4573" s="14">
        <f>DATE(2012,12,31)-654</f>
        <v>40620</v>
      </c>
      <c r="B4573" s="15" t="s">
        <v>1433</v>
      </c>
      <c r="C4573" s="15" t="s">
        <v>85</v>
      </c>
      <c r="D4573" s="16">
        <v>6</v>
      </c>
      <c r="E4573" s="17">
        <v>156.09</v>
      </c>
      <c r="F4573" s="16">
        <v>0</v>
      </c>
      <c r="G4573" s="15" t="s">
        <v>32</v>
      </c>
      <c r="H4573" s="18">
        <v>-34.844999999999999</v>
      </c>
      <c r="I4573" s="19">
        <v>22.38</v>
      </c>
      <c r="J4573" s="19">
        <v>15.1</v>
      </c>
      <c r="K4573" s="19" t="s">
        <v>33</v>
      </c>
      <c r="L4573" s="19" t="s">
        <v>145</v>
      </c>
      <c r="M4573" s="15" t="s">
        <v>2140</v>
      </c>
      <c r="N4573" s="15" t="s">
        <v>36</v>
      </c>
      <c r="O4573" s="15" t="s">
        <v>170</v>
      </c>
      <c r="P4573" s="20" t="s">
        <v>893</v>
      </c>
      <c r="Q4573" s="15" t="s">
        <v>83</v>
      </c>
      <c r="R4573" s="4"/>
      <c r="S4573" s="4"/>
    </row>
    <row r="4574" spans="1:19" ht="21" customHeight="1" x14ac:dyDescent="0.25">
      <c r="A4574" s="14">
        <f>DATE(2012,12,31)-654</f>
        <v>40620</v>
      </c>
      <c r="B4574" s="15" t="s">
        <v>1433</v>
      </c>
      <c r="C4574" s="15" t="s">
        <v>85</v>
      </c>
      <c r="D4574" s="16">
        <v>47</v>
      </c>
      <c r="E4574" s="17">
        <v>1294.0230000000001</v>
      </c>
      <c r="F4574" s="16">
        <v>0.1</v>
      </c>
      <c r="G4574" s="15" t="s">
        <v>32</v>
      </c>
      <c r="H4574" s="18">
        <v>607.25700000000006</v>
      </c>
      <c r="I4574" s="19">
        <v>35.99</v>
      </c>
      <c r="J4574" s="19">
        <v>1.25</v>
      </c>
      <c r="K4574" s="19" t="s">
        <v>33</v>
      </c>
      <c r="L4574" s="19" t="s">
        <v>145</v>
      </c>
      <c r="M4574" s="15" t="s">
        <v>2140</v>
      </c>
      <c r="N4574" s="15" t="s">
        <v>64</v>
      </c>
      <c r="O4574" s="15" t="s">
        <v>65</v>
      </c>
      <c r="P4574" s="20" t="s">
        <v>1725</v>
      </c>
      <c r="Q4574" s="15" t="s">
        <v>49</v>
      </c>
      <c r="R4574" s="4"/>
      <c r="S4574" s="4"/>
    </row>
    <row r="4575" spans="1:19" ht="21" customHeight="1" x14ac:dyDescent="0.25">
      <c r="A4575" s="14">
        <f>DATE(2012,12,31)-473</f>
        <v>40801</v>
      </c>
      <c r="B4575" s="15" t="s">
        <v>2188</v>
      </c>
      <c r="C4575" s="15" t="s">
        <v>51</v>
      </c>
      <c r="D4575" s="16">
        <v>23</v>
      </c>
      <c r="E4575" s="17">
        <v>166.8</v>
      </c>
      <c r="F4575" s="16">
        <v>0.03</v>
      </c>
      <c r="G4575" s="15" t="s">
        <v>32</v>
      </c>
      <c r="H4575" s="18">
        <v>44.59</v>
      </c>
      <c r="I4575" s="19">
        <v>7.4</v>
      </c>
      <c r="J4575" s="19">
        <v>1.71</v>
      </c>
      <c r="K4575" s="19" t="s">
        <v>33</v>
      </c>
      <c r="L4575" s="19" t="s">
        <v>59</v>
      </c>
      <c r="M4575" s="15" t="s">
        <v>2185</v>
      </c>
      <c r="N4575" s="15" t="s">
        <v>36</v>
      </c>
      <c r="O4575" s="15" t="s">
        <v>117</v>
      </c>
      <c r="P4575" s="20" t="s">
        <v>1560</v>
      </c>
      <c r="Q4575" s="15" t="s">
        <v>79</v>
      </c>
      <c r="R4575" s="4"/>
      <c r="S4575" s="4"/>
    </row>
    <row r="4576" spans="1:19" ht="21" customHeight="1" x14ac:dyDescent="0.25">
      <c r="A4576" s="14">
        <f>DATE(2012,12,31)-473</f>
        <v>40801</v>
      </c>
      <c r="B4576" s="15" t="s">
        <v>2188</v>
      </c>
      <c r="C4576" s="15" t="s">
        <v>51</v>
      </c>
      <c r="D4576" s="16">
        <v>38</v>
      </c>
      <c r="E4576" s="17">
        <v>261.38</v>
      </c>
      <c r="F4576" s="16">
        <v>0.05</v>
      </c>
      <c r="G4576" s="15" t="s">
        <v>32</v>
      </c>
      <c r="H4576" s="18">
        <v>-172.35</v>
      </c>
      <c r="I4576" s="19">
        <v>6.48</v>
      </c>
      <c r="J4576" s="19">
        <v>8.74</v>
      </c>
      <c r="K4576" s="19" t="s">
        <v>33</v>
      </c>
      <c r="L4576" s="19" t="s">
        <v>145</v>
      </c>
      <c r="M4576" s="15" t="s">
        <v>2140</v>
      </c>
      <c r="N4576" s="15" t="s">
        <v>36</v>
      </c>
      <c r="O4576" s="15" t="s">
        <v>117</v>
      </c>
      <c r="P4576" s="20" t="s">
        <v>179</v>
      </c>
      <c r="Q4576" s="15" t="s">
        <v>83</v>
      </c>
      <c r="R4576" s="4"/>
      <c r="S4576" s="4"/>
    </row>
    <row r="4577" spans="1:19" ht="21" customHeight="1" x14ac:dyDescent="0.25">
      <c r="A4577" s="14">
        <f>DATE(2012,12,31)-1285</f>
        <v>39989</v>
      </c>
      <c r="B4577" s="15" t="s">
        <v>1575</v>
      </c>
      <c r="C4577" s="15" t="s">
        <v>43</v>
      </c>
      <c r="D4577" s="16">
        <v>27</v>
      </c>
      <c r="E4577" s="17">
        <v>2780.88</v>
      </c>
      <c r="F4577" s="16">
        <v>7.0000000000000007E-2</v>
      </c>
      <c r="G4577" s="15" t="s">
        <v>101</v>
      </c>
      <c r="H4577" s="18">
        <v>595.38</v>
      </c>
      <c r="I4577" s="19">
        <v>105.34</v>
      </c>
      <c r="J4577" s="19">
        <v>24.49</v>
      </c>
      <c r="K4577" s="19" t="s">
        <v>33</v>
      </c>
      <c r="L4577" s="19" t="s">
        <v>145</v>
      </c>
      <c r="M4577" s="15" t="s">
        <v>2140</v>
      </c>
      <c r="N4577" s="15" t="s">
        <v>54</v>
      </c>
      <c r="O4577" s="15" t="s">
        <v>55</v>
      </c>
      <c r="P4577" s="20" t="s">
        <v>1366</v>
      </c>
      <c r="Q4577" s="15" t="s">
        <v>39</v>
      </c>
      <c r="R4577" s="4"/>
      <c r="S4577" s="4"/>
    </row>
    <row r="4578" spans="1:19" ht="21" customHeight="1" x14ac:dyDescent="0.25">
      <c r="A4578" s="14">
        <f>DATE(2012,12,31)-223</f>
        <v>41051</v>
      </c>
      <c r="B4578" s="15" t="s">
        <v>1012</v>
      </c>
      <c r="C4578" s="15" t="s">
        <v>51</v>
      </c>
      <c r="D4578" s="16">
        <v>20</v>
      </c>
      <c r="E4578" s="17">
        <v>1361.91</v>
      </c>
      <c r="F4578" s="16">
        <v>0.05</v>
      </c>
      <c r="G4578" s="15" t="s">
        <v>32</v>
      </c>
      <c r="H4578" s="18">
        <v>312.52</v>
      </c>
      <c r="I4578" s="19">
        <v>70.97</v>
      </c>
      <c r="J4578" s="19">
        <v>3.5</v>
      </c>
      <c r="K4578" s="19" t="s">
        <v>33</v>
      </c>
      <c r="L4578" s="19" t="s">
        <v>145</v>
      </c>
      <c r="M4578" s="15" t="s">
        <v>2140</v>
      </c>
      <c r="N4578" s="15" t="s">
        <v>36</v>
      </c>
      <c r="O4578" s="15" t="s">
        <v>176</v>
      </c>
      <c r="P4578" s="20" t="s">
        <v>339</v>
      </c>
      <c r="Q4578" s="15" t="s">
        <v>83</v>
      </c>
      <c r="R4578" s="4"/>
      <c r="S4578" s="4"/>
    </row>
    <row r="4579" spans="1:19" ht="21" customHeight="1" x14ac:dyDescent="0.25">
      <c r="A4579" s="14">
        <f>DATE(2012,12,31)-134</f>
        <v>41140</v>
      </c>
      <c r="B4579" s="15" t="s">
        <v>725</v>
      </c>
      <c r="C4579" s="15" t="s">
        <v>43</v>
      </c>
      <c r="D4579" s="16">
        <v>47</v>
      </c>
      <c r="E4579" s="17">
        <v>316.99</v>
      </c>
      <c r="F4579" s="16">
        <v>0.04</v>
      </c>
      <c r="G4579" s="15" t="s">
        <v>32</v>
      </c>
      <c r="H4579" s="18">
        <v>-276.54000000000002</v>
      </c>
      <c r="I4579" s="19">
        <v>6.84</v>
      </c>
      <c r="J4579" s="19">
        <v>8.3699999999999992</v>
      </c>
      <c r="K4579" s="19" t="s">
        <v>33</v>
      </c>
      <c r="L4579" s="19" t="s">
        <v>59</v>
      </c>
      <c r="M4579" s="15" t="s">
        <v>2185</v>
      </c>
      <c r="N4579" s="15" t="s">
        <v>36</v>
      </c>
      <c r="O4579" s="15" t="s">
        <v>47</v>
      </c>
      <c r="P4579" s="20" t="s">
        <v>1182</v>
      </c>
      <c r="Q4579" s="15" t="s">
        <v>49</v>
      </c>
      <c r="R4579" s="4"/>
      <c r="S4579" s="4"/>
    </row>
    <row r="4580" spans="1:19" ht="21" customHeight="1" x14ac:dyDescent="0.25">
      <c r="A4580" s="14">
        <f>DATE(2012,12,31)-134</f>
        <v>41140</v>
      </c>
      <c r="B4580" s="15" t="s">
        <v>725</v>
      </c>
      <c r="C4580" s="15" t="s">
        <v>43</v>
      </c>
      <c r="D4580" s="16">
        <v>20</v>
      </c>
      <c r="E4580" s="17">
        <v>1991.8984999999998</v>
      </c>
      <c r="F4580" s="16">
        <v>7.0000000000000007E-2</v>
      </c>
      <c r="G4580" s="15" t="s">
        <v>32</v>
      </c>
      <c r="H4580" s="18">
        <v>88.362000000000009</v>
      </c>
      <c r="I4580" s="19">
        <v>125.99</v>
      </c>
      <c r="J4580" s="19">
        <v>7.69</v>
      </c>
      <c r="K4580" s="19" t="s">
        <v>33</v>
      </c>
      <c r="L4580" s="19" t="s">
        <v>145</v>
      </c>
      <c r="M4580" s="15" t="s">
        <v>2140</v>
      </c>
      <c r="N4580" s="15" t="s">
        <v>64</v>
      </c>
      <c r="O4580" s="15" t="s">
        <v>65</v>
      </c>
      <c r="P4580" s="20" t="s">
        <v>860</v>
      </c>
      <c r="Q4580" s="15" t="s">
        <v>83</v>
      </c>
      <c r="R4580" s="4"/>
      <c r="S4580" s="4"/>
    </row>
    <row r="4581" spans="1:19" ht="21" customHeight="1" x14ac:dyDescent="0.25">
      <c r="A4581" s="14">
        <f>DATE(2012,12,31)-1222</f>
        <v>40052</v>
      </c>
      <c r="B4581" s="15" t="s">
        <v>785</v>
      </c>
      <c r="C4581" s="15" t="s">
        <v>85</v>
      </c>
      <c r="D4581" s="16">
        <v>16</v>
      </c>
      <c r="E4581" s="17">
        <v>33.76</v>
      </c>
      <c r="F4581" s="16">
        <v>0.04</v>
      </c>
      <c r="G4581" s="15" t="s">
        <v>32</v>
      </c>
      <c r="H4581" s="18">
        <v>-7.1529999999999996</v>
      </c>
      <c r="I4581" s="19">
        <v>2.08</v>
      </c>
      <c r="J4581" s="19">
        <v>1.49</v>
      </c>
      <c r="K4581" s="19" t="s">
        <v>33</v>
      </c>
      <c r="L4581" s="19" t="s">
        <v>34</v>
      </c>
      <c r="M4581" s="15" t="s">
        <v>2043</v>
      </c>
      <c r="N4581" s="15" t="s">
        <v>36</v>
      </c>
      <c r="O4581" s="15" t="s">
        <v>170</v>
      </c>
      <c r="P4581" s="20" t="s">
        <v>1285</v>
      </c>
      <c r="Q4581" s="15" t="s">
        <v>83</v>
      </c>
      <c r="R4581" s="4"/>
      <c r="S4581" s="4"/>
    </row>
    <row r="4582" spans="1:19" ht="21" customHeight="1" x14ac:dyDescent="0.25">
      <c r="A4582" s="14">
        <f>DATE(2012,12,31)-1222</f>
        <v>40052</v>
      </c>
      <c r="B4582" s="15" t="s">
        <v>785</v>
      </c>
      <c r="C4582" s="15" t="s">
        <v>85</v>
      </c>
      <c r="D4582" s="16">
        <v>19</v>
      </c>
      <c r="E4582" s="17">
        <v>3537.39</v>
      </c>
      <c r="F4582" s="16">
        <v>0</v>
      </c>
      <c r="G4582" s="15" t="s">
        <v>58</v>
      </c>
      <c r="H4582" s="18">
        <v>232.78</v>
      </c>
      <c r="I4582" s="19">
        <v>180.98</v>
      </c>
      <c r="J4582" s="19">
        <v>30</v>
      </c>
      <c r="K4582" s="19" t="s">
        <v>33</v>
      </c>
      <c r="L4582" s="19" t="s">
        <v>59</v>
      </c>
      <c r="M4582" s="15" t="s">
        <v>2185</v>
      </c>
      <c r="N4582" s="15" t="s">
        <v>54</v>
      </c>
      <c r="O4582" s="15" t="s">
        <v>252</v>
      </c>
      <c r="P4582" s="20" t="s">
        <v>1543</v>
      </c>
      <c r="Q4582" s="15" t="s">
        <v>181</v>
      </c>
      <c r="R4582" s="4"/>
      <c r="S4582" s="4"/>
    </row>
    <row r="4583" spans="1:19" ht="21" customHeight="1" x14ac:dyDescent="0.25">
      <c r="A4583" s="14">
        <f>DATE(2012,12,31)-1222</f>
        <v>40052</v>
      </c>
      <c r="B4583" s="15" t="s">
        <v>785</v>
      </c>
      <c r="C4583" s="15" t="s">
        <v>85</v>
      </c>
      <c r="D4583" s="16">
        <v>18</v>
      </c>
      <c r="E4583" s="17">
        <v>986.24</v>
      </c>
      <c r="F4583" s="16">
        <v>0.02</v>
      </c>
      <c r="G4583" s="15" t="s">
        <v>101</v>
      </c>
      <c r="H4583" s="18">
        <v>68.900000000000006</v>
      </c>
      <c r="I4583" s="19">
        <v>53.98</v>
      </c>
      <c r="J4583" s="19">
        <v>5.5</v>
      </c>
      <c r="K4583" s="19" t="s">
        <v>33</v>
      </c>
      <c r="L4583" s="19" t="s">
        <v>145</v>
      </c>
      <c r="M4583" s="15" t="s">
        <v>2140</v>
      </c>
      <c r="N4583" s="15" t="s">
        <v>64</v>
      </c>
      <c r="O4583" s="15" t="s">
        <v>72</v>
      </c>
      <c r="P4583" s="20" t="s">
        <v>773</v>
      </c>
      <c r="Q4583" s="15" t="s">
        <v>83</v>
      </c>
      <c r="R4583" s="4"/>
      <c r="S4583" s="4"/>
    </row>
    <row r="4584" spans="1:19" ht="21" customHeight="1" x14ac:dyDescent="0.25">
      <c r="A4584" s="14">
        <f>DATE(2012,12,31)-1222</f>
        <v>40052</v>
      </c>
      <c r="B4584" s="15" t="s">
        <v>785</v>
      </c>
      <c r="C4584" s="15" t="s">
        <v>85</v>
      </c>
      <c r="D4584" s="16">
        <v>15</v>
      </c>
      <c r="E4584" s="17">
        <v>81.66</v>
      </c>
      <c r="F4584" s="16">
        <v>0.05</v>
      </c>
      <c r="G4584" s="15" t="s">
        <v>32</v>
      </c>
      <c r="H4584" s="18">
        <v>-31.99</v>
      </c>
      <c r="I4584" s="19">
        <v>4.9800000000000004</v>
      </c>
      <c r="J4584" s="19">
        <v>5.0199999999999996</v>
      </c>
      <c r="K4584" s="19" t="s">
        <v>69</v>
      </c>
      <c r="L4584" s="19" t="s">
        <v>75</v>
      </c>
      <c r="M4584" s="15" t="s">
        <v>1980</v>
      </c>
      <c r="N4584" s="15" t="s">
        <v>36</v>
      </c>
      <c r="O4584" s="15" t="s">
        <v>117</v>
      </c>
      <c r="P4584" s="20" t="s">
        <v>2168</v>
      </c>
      <c r="Q4584" s="15" t="s">
        <v>83</v>
      </c>
      <c r="R4584" s="4"/>
      <c r="S4584" s="4"/>
    </row>
    <row r="4585" spans="1:19" ht="21" customHeight="1" x14ac:dyDescent="0.25">
      <c r="A4585" s="14">
        <f>DATE(2012,12,31)-381</f>
        <v>40893</v>
      </c>
      <c r="B4585" s="15" t="s">
        <v>2189</v>
      </c>
      <c r="C4585" s="15" t="s">
        <v>31</v>
      </c>
      <c r="D4585" s="16">
        <v>31</v>
      </c>
      <c r="E4585" s="17">
        <v>1359.74</v>
      </c>
      <c r="F4585" s="16">
        <v>0.01</v>
      </c>
      <c r="G4585" s="15" t="s">
        <v>101</v>
      </c>
      <c r="H4585" s="18">
        <v>202.33</v>
      </c>
      <c r="I4585" s="19">
        <v>43.98</v>
      </c>
      <c r="J4585" s="19">
        <v>8.99</v>
      </c>
      <c r="K4585" s="19" t="s">
        <v>69</v>
      </c>
      <c r="L4585" s="19" t="s">
        <v>70</v>
      </c>
      <c r="M4585" s="15" t="s">
        <v>1895</v>
      </c>
      <c r="N4585" s="15" t="s">
        <v>36</v>
      </c>
      <c r="O4585" s="15" t="s">
        <v>77</v>
      </c>
      <c r="P4585" s="20" t="s">
        <v>173</v>
      </c>
      <c r="Q4585" s="15" t="s">
        <v>49</v>
      </c>
      <c r="R4585" s="4"/>
      <c r="S4585" s="4"/>
    </row>
    <row r="4586" spans="1:19" ht="21" customHeight="1" x14ac:dyDescent="0.25">
      <c r="A4586" s="14">
        <f>DATE(2012,12,31)-381</f>
        <v>40893</v>
      </c>
      <c r="B4586" s="15" t="s">
        <v>2189</v>
      </c>
      <c r="C4586" s="15" t="s">
        <v>31</v>
      </c>
      <c r="D4586" s="16">
        <v>38</v>
      </c>
      <c r="E4586" s="17">
        <v>5228.2</v>
      </c>
      <c r="F4586" s="16">
        <v>0</v>
      </c>
      <c r="G4586" s="15" t="s">
        <v>32</v>
      </c>
      <c r="H4586" s="18">
        <v>-691.52</v>
      </c>
      <c r="I4586" s="19">
        <v>135.31</v>
      </c>
      <c r="J4586" s="19">
        <v>35</v>
      </c>
      <c r="K4586" s="19" t="s">
        <v>69</v>
      </c>
      <c r="L4586" s="19" t="s">
        <v>70</v>
      </c>
      <c r="M4586" s="15" t="s">
        <v>1895</v>
      </c>
      <c r="N4586" s="15" t="s">
        <v>36</v>
      </c>
      <c r="O4586" s="15" t="s">
        <v>37</v>
      </c>
      <c r="P4586" s="20" t="s">
        <v>2190</v>
      </c>
      <c r="Q4586" s="15" t="s">
        <v>39</v>
      </c>
      <c r="R4586" s="4"/>
      <c r="S4586" s="4"/>
    </row>
    <row r="4587" spans="1:19" ht="21" customHeight="1" x14ac:dyDescent="0.25">
      <c r="A4587" s="14">
        <f>DATE(2012,12,31)-381</f>
        <v>40893</v>
      </c>
      <c r="B4587" s="15" t="s">
        <v>2189</v>
      </c>
      <c r="C4587" s="15" t="s">
        <v>31</v>
      </c>
      <c r="D4587" s="16">
        <v>41</v>
      </c>
      <c r="E4587" s="17">
        <v>7174.9435000000003</v>
      </c>
      <c r="F4587" s="16">
        <v>0.02</v>
      </c>
      <c r="G4587" s="15" t="s">
        <v>101</v>
      </c>
      <c r="H4587" s="18">
        <v>2373.2370000000001</v>
      </c>
      <c r="I4587" s="19">
        <v>195.99</v>
      </c>
      <c r="J4587" s="19">
        <v>3.99</v>
      </c>
      <c r="K4587" s="19" t="s">
        <v>69</v>
      </c>
      <c r="L4587" s="19" t="s">
        <v>70</v>
      </c>
      <c r="M4587" s="15" t="s">
        <v>1895</v>
      </c>
      <c r="N4587" s="15" t="s">
        <v>64</v>
      </c>
      <c r="O4587" s="15" t="s">
        <v>65</v>
      </c>
      <c r="P4587" s="20" t="s">
        <v>248</v>
      </c>
      <c r="Q4587" s="15" t="s">
        <v>83</v>
      </c>
      <c r="R4587" s="4"/>
      <c r="S4587" s="4"/>
    </row>
    <row r="4588" spans="1:19" ht="21" customHeight="1" x14ac:dyDescent="0.25">
      <c r="A4588" s="14">
        <f>DATE(2012,12,31)-107</f>
        <v>41167</v>
      </c>
      <c r="B4588" s="15" t="s">
        <v>315</v>
      </c>
      <c r="C4588" s="15" t="s">
        <v>51</v>
      </c>
      <c r="D4588" s="16">
        <v>18</v>
      </c>
      <c r="E4588" s="17">
        <v>126.69</v>
      </c>
      <c r="F4588" s="16">
        <v>0.04</v>
      </c>
      <c r="G4588" s="15" t="s">
        <v>32</v>
      </c>
      <c r="H4588" s="18">
        <v>-35.558</v>
      </c>
      <c r="I4588" s="19">
        <v>6.81</v>
      </c>
      <c r="J4588" s="19">
        <v>5.48</v>
      </c>
      <c r="K4588" s="19" t="s">
        <v>69</v>
      </c>
      <c r="L4588" s="19" t="s">
        <v>75</v>
      </c>
      <c r="M4588" s="15" t="s">
        <v>1980</v>
      </c>
      <c r="N4588" s="15" t="s">
        <v>36</v>
      </c>
      <c r="O4588" s="15" t="s">
        <v>170</v>
      </c>
      <c r="P4588" s="20" t="s">
        <v>1533</v>
      </c>
      <c r="Q4588" s="15" t="s">
        <v>83</v>
      </c>
      <c r="R4588" s="4"/>
      <c r="S4588" s="4"/>
    </row>
    <row r="4589" spans="1:19" ht="21" customHeight="1" x14ac:dyDescent="0.25">
      <c r="A4589" s="14">
        <f>DATE(2012,12,31)-107</f>
        <v>41167</v>
      </c>
      <c r="B4589" s="15" t="s">
        <v>315</v>
      </c>
      <c r="C4589" s="15" t="s">
        <v>51</v>
      </c>
      <c r="D4589" s="16">
        <v>12</v>
      </c>
      <c r="E4589" s="17">
        <v>162.11000000000001</v>
      </c>
      <c r="F4589" s="16">
        <v>0.04</v>
      </c>
      <c r="G4589" s="15" t="s">
        <v>101</v>
      </c>
      <c r="H4589" s="18">
        <v>3.91</v>
      </c>
      <c r="I4589" s="19">
        <v>12.28</v>
      </c>
      <c r="J4589" s="19">
        <v>6.47</v>
      </c>
      <c r="K4589" s="19" t="s">
        <v>69</v>
      </c>
      <c r="L4589" s="19" t="s">
        <v>70</v>
      </c>
      <c r="M4589" s="15" t="s">
        <v>1895</v>
      </c>
      <c r="N4589" s="15" t="s">
        <v>36</v>
      </c>
      <c r="O4589" s="15" t="s">
        <v>117</v>
      </c>
      <c r="P4589" s="20" t="s">
        <v>832</v>
      </c>
      <c r="Q4589" s="15" t="s">
        <v>83</v>
      </c>
      <c r="R4589" s="4"/>
      <c r="S4589" s="4"/>
    </row>
    <row r="4590" spans="1:19" ht="21" customHeight="1" x14ac:dyDescent="0.25">
      <c r="A4590" s="14">
        <f>DATE(2012,12,31)-1016</f>
        <v>40258</v>
      </c>
      <c r="B4590" s="15" t="s">
        <v>631</v>
      </c>
      <c r="C4590" s="15" t="s">
        <v>51</v>
      </c>
      <c r="D4590" s="16">
        <v>18</v>
      </c>
      <c r="E4590" s="17">
        <v>167.53</v>
      </c>
      <c r="F4590" s="16">
        <v>0.05</v>
      </c>
      <c r="G4590" s="15" t="s">
        <v>32</v>
      </c>
      <c r="H4590" s="18">
        <v>-9.5679999999999996</v>
      </c>
      <c r="I4590" s="19">
        <v>8.85</v>
      </c>
      <c r="J4590" s="19">
        <v>5.6</v>
      </c>
      <c r="K4590" s="19" t="s">
        <v>69</v>
      </c>
      <c r="L4590" s="19" t="s">
        <v>215</v>
      </c>
      <c r="M4590" s="15" t="s">
        <v>2120</v>
      </c>
      <c r="N4590" s="15" t="s">
        <v>36</v>
      </c>
      <c r="O4590" s="15" t="s">
        <v>170</v>
      </c>
      <c r="P4590" s="20" t="s">
        <v>1218</v>
      </c>
      <c r="Q4590" s="15" t="s">
        <v>83</v>
      </c>
      <c r="R4590" s="4"/>
      <c r="S4590" s="4"/>
    </row>
    <row r="4591" spans="1:19" ht="21" customHeight="1" x14ac:dyDescent="0.25">
      <c r="A4591" s="14">
        <f>DATE(2012,12,31)-277</f>
        <v>40997</v>
      </c>
      <c r="B4591" s="15" t="s">
        <v>1282</v>
      </c>
      <c r="C4591" s="15" t="s">
        <v>85</v>
      </c>
      <c r="D4591" s="16">
        <v>50</v>
      </c>
      <c r="E4591" s="17">
        <v>1507.16</v>
      </c>
      <c r="F4591" s="16">
        <v>0.02</v>
      </c>
      <c r="G4591" s="15" t="s">
        <v>32</v>
      </c>
      <c r="H4591" s="18">
        <v>724.14</v>
      </c>
      <c r="I4591" s="19">
        <v>28.48</v>
      </c>
      <c r="J4591" s="19">
        <v>1.99</v>
      </c>
      <c r="K4591" s="19" t="s">
        <v>69</v>
      </c>
      <c r="L4591" s="19" t="s">
        <v>215</v>
      </c>
      <c r="M4591" s="15" t="s">
        <v>2120</v>
      </c>
      <c r="N4591" s="15" t="s">
        <v>64</v>
      </c>
      <c r="O4591" s="15" t="s">
        <v>72</v>
      </c>
      <c r="P4591" s="20" t="s">
        <v>382</v>
      </c>
      <c r="Q4591" s="15" t="s">
        <v>49</v>
      </c>
      <c r="R4591" s="4"/>
      <c r="S4591" s="4"/>
    </row>
    <row r="4592" spans="1:19" ht="21" customHeight="1" x14ac:dyDescent="0.25">
      <c r="A4592" s="14">
        <f>DATE(2012,12,31)-409</f>
        <v>40865</v>
      </c>
      <c r="B4592" s="15" t="s">
        <v>2191</v>
      </c>
      <c r="C4592" s="15" t="s">
        <v>51</v>
      </c>
      <c r="D4592" s="16">
        <v>32</v>
      </c>
      <c r="E4592" s="17">
        <v>671.75</v>
      </c>
      <c r="F4592" s="16">
        <v>7.0000000000000007E-2</v>
      </c>
      <c r="G4592" s="15" t="s">
        <v>32</v>
      </c>
      <c r="H4592" s="18">
        <v>-56.83</v>
      </c>
      <c r="I4592" s="19">
        <v>20.97</v>
      </c>
      <c r="J4592" s="19">
        <v>4</v>
      </c>
      <c r="K4592" s="19" t="s">
        <v>69</v>
      </c>
      <c r="L4592" s="19" t="s">
        <v>215</v>
      </c>
      <c r="M4592" s="15" t="s">
        <v>2120</v>
      </c>
      <c r="N4592" s="15" t="s">
        <v>64</v>
      </c>
      <c r="O4592" s="15" t="s">
        <v>72</v>
      </c>
      <c r="P4592" s="20" t="s">
        <v>393</v>
      </c>
      <c r="Q4592" s="15" t="s">
        <v>83</v>
      </c>
      <c r="R4592" s="4"/>
      <c r="S4592" s="4"/>
    </row>
    <row r="4593" spans="1:19" ht="21" customHeight="1" x14ac:dyDescent="0.25">
      <c r="A4593" s="14">
        <f>DATE(2012,12,31)-409</f>
        <v>40865</v>
      </c>
      <c r="B4593" s="15" t="s">
        <v>2191</v>
      </c>
      <c r="C4593" s="15" t="s">
        <v>51</v>
      </c>
      <c r="D4593" s="16">
        <v>27</v>
      </c>
      <c r="E4593" s="17">
        <v>9541.0400000000009</v>
      </c>
      <c r="F4593" s="16">
        <v>0.06</v>
      </c>
      <c r="G4593" s="15" t="s">
        <v>58</v>
      </c>
      <c r="H4593" s="18">
        <v>348.84</v>
      </c>
      <c r="I4593" s="19">
        <v>348.21</v>
      </c>
      <c r="J4593" s="19">
        <v>84.84</v>
      </c>
      <c r="K4593" s="19" t="s">
        <v>111</v>
      </c>
      <c r="L4593" s="19" t="s">
        <v>407</v>
      </c>
      <c r="M4593" s="15" t="s">
        <v>407</v>
      </c>
      <c r="N4593" s="15" t="s">
        <v>54</v>
      </c>
      <c r="O4593" s="15" t="s">
        <v>61</v>
      </c>
      <c r="P4593" s="20" t="s">
        <v>1141</v>
      </c>
      <c r="Q4593" s="15" t="s">
        <v>63</v>
      </c>
      <c r="R4593" s="4"/>
      <c r="S4593" s="4"/>
    </row>
    <row r="4594" spans="1:19" ht="21" customHeight="1" x14ac:dyDescent="0.25">
      <c r="A4594" s="14">
        <f>DATE(2012,12,31)-1154</f>
        <v>40120</v>
      </c>
      <c r="B4594" s="15" t="s">
        <v>96</v>
      </c>
      <c r="C4594" s="15" t="s">
        <v>51</v>
      </c>
      <c r="D4594" s="16">
        <v>20</v>
      </c>
      <c r="E4594" s="17">
        <v>6865.19</v>
      </c>
      <c r="F4594" s="16">
        <v>0.09</v>
      </c>
      <c r="G4594" s="15" t="s">
        <v>58</v>
      </c>
      <c r="H4594" s="18">
        <v>1541.68</v>
      </c>
      <c r="I4594" s="19">
        <v>349.45</v>
      </c>
      <c r="J4594" s="19">
        <v>60</v>
      </c>
      <c r="K4594" s="19" t="s">
        <v>111</v>
      </c>
      <c r="L4594" s="19" t="s">
        <v>407</v>
      </c>
      <c r="M4594" s="15" t="s">
        <v>407</v>
      </c>
      <c r="N4594" s="15" t="s">
        <v>54</v>
      </c>
      <c r="O4594" s="15" t="s">
        <v>61</v>
      </c>
      <c r="P4594" s="20" t="s">
        <v>1031</v>
      </c>
      <c r="Q4594" s="15" t="s">
        <v>181</v>
      </c>
      <c r="R4594" s="4"/>
      <c r="S4594" s="4"/>
    </row>
    <row r="4595" spans="1:19" ht="21" customHeight="1" x14ac:dyDescent="0.25">
      <c r="A4595" s="14">
        <f>DATE(2012,12,31)-1429</f>
        <v>39845</v>
      </c>
      <c r="B4595" s="15" t="s">
        <v>1438</v>
      </c>
      <c r="C4595" s="15" t="s">
        <v>85</v>
      </c>
      <c r="D4595" s="16">
        <v>37</v>
      </c>
      <c r="E4595" s="17">
        <v>1697.44</v>
      </c>
      <c r="F4595" s="16">
        <v>0.06</v>
      </c>
      <c r="G4595" s="15" t="s">
        <v>32</v>
      </c>
      <c r="H4595" s="18">
        <v>523.42999999999995</v>
      </c>
      <c r="I4595" s="19">
        <v>45.19</v>
      </c>
      <c r="J4595" s="19">
        <v>1.99</v>
      </c>
      <c r="K4595" s="19" t="s">
        <v>44</v>
      </c>
      <c r="L4595" s="19" t="s">
        <v>89</v>
      </c>
      <c r="M4595" s="15" t="s">
        <v>1932</v>
      </c>
      <c r="N4595" s="15" t="s">
        <v>64</v>
      </c>
      <c r="O4595" s="15" t="s">
        <v>72</v>
      </c>
      <c r="P4595" s="20" t="s">
        <v>877</v>
      </c>
      <c r="Q4595" s="15" t="s">
        <v>49</v>
      </c>
      <c r="R4595" s="4"/>
      <c r="S4595" s="4"/>
    </row>
    <row r="4596" spans="1:19" ht="21" customHeight="1" x14ac:dyDescent="0.25">
      <c r="A4596" s="14">
        <f>DATE(2012,12,31)-1276</f>
        <v>39998</v>
      </c>
      <c r="B4596" s="15" t="s">
        <v>167</v>
      </c>
      <c r="C4596" s="15" t="s">
        <v>85</v>
      </c>
      <c r="D4596" s="16">
        <v>5</v>
      </c>
      <c r="E4596" s="17">
        <v>2017.5</v>
      </c>
      <c r="F4596" s="16">
        <v>0.03</v>
      </c>
      <c r="G4596" s="15" t="s">
        <v>58</v>
      </c>
      <c r="H4596" s="18">
        <v>-663.51419999999996</v>
      </c>
      <c r="I4596" s="19">
        <v>399.98</v>
      </c>
      <c r="J4596" s="19">
        <v>12.06</v>
      </c>
      <c r="K4596" s="19" t="s">
        <v>44</v>
      </c>
      <c r="L4596" s="19" t="s">
        <v>89</v>
      </c>
      <c r="M4596" s="15" t="s">
        <v>1932</v>
      </c>
      <c r="N4596" s="15" t="s">
        <v>64</v>
      </c>
      <c r="O4596" s="15" t="s">
        <v>122</v>
      </c>
      <c r="P4596" s="20" t="s">
        <v>561</v>
      </c>
      <c r="Q4596" s="15" t="s">
        <v>63</v>
      </c>
      <c r="R4596" s="4"/>
      <c r="S4596" s="4"/>
    </row>
    <row r="4597" spans="1:19" ht="21" customHeight="1" x14ac:dyDescent="0.25">
      <c r="A4597" s="14">
        <f>DATE(2012,12,31)-1141</f>
        <v>40133</v>
      </c>
      <c r="B4597" s="15" t="s">
        <v>1781</v>
      </c>
      <c r="C4597" s="15" t="s">
        <v>51</v>
      </c>
      <c r="D4597" s="16">
        <v>43</v>
      </c>
      <c r="E4597" s="17">
        <v>540.33000000000004</v>
      </c>
      <c r="F4597" s="16">
        <v>0.04</v>
      </c>
      <c r="G4597" s="15" t="s">
        <v>32</v>
      </c>
      <c r="H4597" s="18">
        <v>-59.06</v>
      </c>
      <c r="I4597" s="19">
        <v>12.44</v>
      </c>
      <c r="J4597" s="19">
        <v>6.27</v>
      </c>
      <c r="K4597" s="19" t="s">
        <v>44</v>
      </c>
      <c r="L4597" s="19" t="s">
        <v>120</v>
      </c>
      <c r="M4597" s="15" t="s">
        <v>2025</v>
      </c>
      <c r="N4597" s="15" t="s">
        <v>36</v>
      </c>
      <c r="O4597" s="15" t="s">
        <v>37</v>
      </c>
      <c r="P4597" s="20" t="s">
        <v>143</v>
      </c>
      <c r="Q4597" s="15" t="s">
        <v>57</v>
      </c>
      <c r="R4597" s="4"/>
      <c r="S4597" s="4"/>
    </row>
    <row r="4598" spans="1:19" ht="21" customHeight="1" x14ac:dyDescent="0.25">
      <c r="A4598" s="14">
        <f>DATE(2012,12,31)-1160</f>
        <v>40114</v>
      </c>
      <c r="B4598" s="15" t="s">
        <v>2159</v>
      </c>
      <c r="C4598" s="15" t="s">
        <v>51</v>
      </c>
      <c r="D4598" s="16">
        <v>14</v>
      </c>
      <c r="E4598" s="17">
        <v>367.11</v>
      </c>
      <c r="F4598" s="16">
        <v>0.09</v>
      </c>
      <c r="G4598" s="15" t="s">
        <v>32</v>
      </c>
      <c r="H4598" s="18">
        <v>116.79849999999999</v>
      </c>
      <c r="I4598" s="19">
        <v>28.53</v>
      </c>
      <c r="J4598" s="19">
        <v>1.49</v>
      </c>
      <c r="K4598" s="19" t="s">
        <v>44</v>
      </c>
      <c r="L4598" s="19" t="s">
        <v>120</v>
      </c>
      <c r="M4598" s="15" t="s">
        <v>2025</v>
      </c>
      <c r="N4598" s="15" t="s">
        <v>36</v>
      </c>
      <c r="O4598" s="15" t="s">
        <v>170</v>
      </c>
      <c r="P4598" s="20" t="s">
        <v>1566</v>
      </c>
      <c r="Q4598" s="15" t="s">
        <v>83</v>
      </c>
      <c r="R4598" s="4"/>
      <c r="S4598" s="4"/>
    </row>
    <row r="4599" spans="1:19" ht="21" customHeight="1" x14ac:dyDescent="0.25">
      <c r="A4599" s="14">
        <f>DATE(2012,12,31)-1415</f>
        <v>39859</v>
      </c>
      <c r="B4599" s="15" t="s">
        <v>286</v>
      </c>
      <c r="C4599" s="15" t="s">
        <v>31</v>
      </c>
      <c r="D4599" s="16">
        <v>13</v>
      </c>
      <c r="E4599" s="17">
        <v>136.24</v>
      </c>
      <c r="F4599" s="16">
        <v>7.0000000000000007E-2</v>
      </c>
      <c r="G4599" s="15" t="s">
        <v>32</v>
      </c>
      <c r="H4599" s="18">
        <v>-81.77</v>
      </c>
      <c r="I4599" s="19">
        <v>9.7100000000000009</v>
      </c>
      <c r="J4599" s="19">
        <v>9.4499999999999993</v>
      </c>
      <c r="K4599" s="19" t="s">
        <v>44</v>
      </c>
      <c r="L4599" s="19" t="s">
        <v>120</v>
      </c>
      <c r="M4599" s="15" t="s">
        <v>2025</v>
      </c>
      <c r="N4599" s="15" t="s">
        <v>36</v>
      </c>
      <c r="O4599" s="15" t="s">
        <v>37</v>
      </c>
      <c r="P4599" s="20" t="s">
        <v>130</v>
      </c>
      <c r="Q4599" s="15" t="s">
        <v>83</v>
      </c>
      <c r="R4599" s="4"/>
      <c r="S4599" s="4"/>
    </row>
    <row r="4600" spans="1:19" ht="21" customHeight="1" x14ac:dyDescent="0.25">
      <c r="A4600" s="14">
        <f>DATE(2012,12,31)-969</f>
        <v>40305</v>
      </c>
      <c r="B4600" s="15" t="s">
        <v>616</v>
      </c>
      <c r="C4600" s="15" t="s">
        <v>85</v>
      </c>
      <c r="D4600" s="16">
        <v>19</v>
      </c>
      <c r="E4600" s="17">
        <v>3548.67</v>
      </c>
      <c r="F4600" s="16">
        <v>0.01</v>
      </c>
      <c r="G4600" s="15" t="s">
        <v>32</v>
      </c>
      <c r="H4600" s="18">
        <v>1280.19</v>
      </c>
      <c r="I4600" s="19">
        <v>177.98</v>
      </c>
      <c r="J4600" s="19">
        <v>0.99</v>
      </c>
      <c r="K4600" s="19" t="s">
        <v>44</v>
      </c>
      <c r="L4600" s="19" t="s">
        <v>89</v>
      </c>
      <c r="M4600" s="15" t="s">
        <v>1932</v>
      </c>
      <c r="N4600" s="15" t="s">
        <v>36</v>
      </c>
      <c r="O4600" s="15" t="s">
        <v>176</v>
      </c>
      <c r="P4600" s="20" t="s">
        <v>2192</v>
      </c>
      <c r="Q4600" s="15" t="s">
        <v>83</v>
      </c>
      <c r="R4600" s="4"/>
      <c r="S4600" s="4"/>
    </row>
    <row r="4601" spans="1:19" ht="21" customHeight="1" x14ac:dyDescent="0.25">
      <c r="A4601" s="14">
        <f>DATE(2012,12,31)-1440</f>
        <v>39834</v>
      </c>
      <c r="B4601" s="15" t="s">
        <v>1456</v>
      </c>
      <c r="C4601" s="15" t="s">
        <v>43</v>
      </c>
      <c r="D4601" s="16">
        <v>33</v>
      </c>
      <c r="E4601" s="17">
        <v>11336.37</v>
      </c>
      <c r="F4601" s="16">
        <v>0.04</v>
      </c>
      <c r="G4601" s="15" t="s">
        <v>58</v>
      </c>
      <c r="H4601" s="18">
        <v>1161.75</v>
      </c>
      <c r="I4601" s="19">
        <v>355.98</v>
      </c>
      <c r="J4601" s="19">
        <v>58.92</v>
      </c>
      <c r="K4601" s="19" t="s">
        <v>44</v>
      </c>
      <c r="L4601" s="19" t="s">
        <v>45</v>
      </c>
      <c r="M4601" s="15" t="s">
        <v>2165</v>
      </c>
      <c r="N4601" s="15" t="s">
        <v>54</v>
      </c>
      <c r="O4601" s="15" t="s">
        <v>252</v>
      </c>
      <c r="P4601" s="20" t="s">
        <v>1466</v>
      </c>
      <c r="Q4601" s="15" t="s">
        <v>181</v>
      </c>
      <c r="R4601" s="4"/>
      <c r="S4601" s="4"/>
    </row>
    <row r="4602" spans="1:19" ht="21" customHeight="1" x14ac:dyDescent="0.25">
      <c r="A4602" s="14">
        <f>DATE(2012,12,31)-1440</f>
        <v>39834</v>
      </c>
      <c r="B4602" s="15" t="s">
        <v>1456</v>
      </c>
      <c r="C4602" s="15" t="s">
        <v>43</v>
      </c>
      <c r="D4602" s="16">
        <v>19</v>
      </c>
      <c r="E4602" s="17">
        <v>354.13</v>
      </c>
      <c r="F4602" s="16">
        <v>0.09</v>
      </c>
      <c r="G4602" s="15" t="s">
        <v>32</v>
      </c>
      <c r="H4602" s="18">
        <v>8.7899999999999991</v>
      </c>
      <c r="I4602" s="19">
        <v>19.98</v>
      </c>
      <c r="J4602" s="19">
        <v>8.68</v>
      </c>
      <c r="K4602" s="19" t="s">
        <v>44</v>
      </c>
      <c r="L4602" s="19" t="s">
        <v>89</v>
      </c>
      <c r="M4602" s="15" t="s">
        <v>1932</v>
      </c>
      <c r="N4602" s="15" t="s">
        <v>36</v>
      </c>
      <c r="O4602" s="15" t="s">
        <v>117</v>
      </c>
      <c r="P4602" s="20" t="s">
        <v>1274</v>
      </c>
      <c r="Q4602" s="15" t="s">
        <v>83</v>
      </c>
      <c r="R4602" s="4"/>
      <c r="S4602" s="4"/>
    </row>
    <row r="4603" spans="1:19" ht="21" customHeight="1" x14ac:dyDescent="0.25">
      <c r="A4603" s="14">
        <f>DATE(2012,12,31)-1440</f>
        <v>39834</v>
      </c>
      <c r="B4603" s="15" t="s">
        <v>1456</v>
      </c>
      <c r="C4603" s="15" t="s">
        <v>43</v>
      </c>
      <c r="D4603" s="16">
        <v>40</v>
      </c>
      <c r="E4603" s="17">
        <v>751.94</v>
      </c>
      <c r="F4603" s="16">
        <v>7.0000000000000007E-2</v>
      </c>
      <c r="G4603" s="15" t="s">
        <v>32</v>
      </c>
      <c r="H4603" s="18">
        <v>69.08</v>
      </c>
      <c r="I4603" s="19">
        <v>19.98</v>
      </c>
      <c r="J4603" s="19">
        <v>8.68</v>
      </c>
      <c r="K4603" s="19" t="s">
        <v>44</v>
      </c>
      <c r="L4603" s="19" t="s">
        <v>89</v>
      </c>
      <c r="M4603" s="15" t="s">
        <v>1932</v>
      </c>
      <c r="N4603" s="15" t="s">
        <v>36</v>
      </c>
      <c r="O4603" s="15" t="s">
        <v>117</v>
      </c>
      <c r="P4603" s="20" t="s">
        <v>1274</v>
      </c>
      <c r="Q4603" s="15" t="s">
        <v>83</v>
      </c>
      <c r="R4603" s="4"/>
      <c r="S4603" s="4"/>
    </row>
    <row r="4604" spans="1:19" ht="21" customHeight="1" x14ac:dyDescent="0.25">
      <c r="A4604" s="14">
        <f>DATE(2012,12,31)-381</f>
        <v>40893</v>
      </c>
      <c r="B4604" s="15" t="s">
        <v>777</v>
      </c>
      <c r="C4604" s="15" t="s">
        <v>85</v>
      </c>
      <c r="D4604" s="16">
        <v>49</v>
      </c>
      <c r="E4604" s="17">
        <v>371.95</v>
      </c>
      <c r="F4604" s="16">
        <v>0.08</v>
      </c>
      <c r="G4604" s="15" t="s">
        <v>101</v>
      </c>
      <c r="H4604" s="18">
        <v>-10.327</v>
      </c>
      <c r="I4604" s="19">
        <v>7.84</v>
      </c>
      <c r="J4604" s="19">
        <v>4.71</v>
      </c>
      <c r="K4604" s="19" t="s">
        <v>44</v>
      </c>
      <c r="L4604" s="19" t="s">
        <v>89</v>
      </c>
      <c r="M4604" s="15" t="s">
        <v>1932</v>
      </c>
      <c r="N4604" s="15" t="s">
        <v>36</v>
      </c>
      <c r="O4604" s="15" t="s">
        <v>170</v>
      </c>
      <c r="P4604" s="20" t="s">
        <v>776</v>
      </c>
      <c r="Q4604" s="15" t="s">
        <v>83</v>
      </c>
      <c r="R4604" s="4"/>
      <c r="S4604" s="4"/>
    </row>
    <row r="4605" spans="1:19" ht="21" customHeight="1" x14ac:dyDescent="0.25">
      <c r="A4605" s="14">
        <f>DATE(2012,12,31)-381</f>
        <v>40893</v>
      </c>
      <c r="B4605" s="15" t="s">
        <v>777</v>
      </c>
      <c r="C4605" s="15" t="s">
        <v>85</v>
      </c>
      <c r="D4605" s="16">
        <v>22</v>
      </c>
      <c r="E4605" s="17">
        <v>96.07</v>
      </c>
      <c r="F4605" s="16">
        <v>0.06</v>
      </c>
      <c r="G4605" s="15" t="s">
        <v>32</v>
      </c>
      <c r="H4605" s="18">
        <v>-4.3600000000000003</v>
      </c>
      <c r="I4605" s="19">
        <v>4.4800000000000004</v>
      </c>
      <c r="J4605" s="19">
        <v>2.5</v>
      </c>
      <c r="K4605" s="19" t="s">
        <v>44</v>
      </c>
      <c r="L4605" s="19" t="s">
        <v>89</v>
      </c>
      <c r="M4605" s="15" t="s">
        <v>1932</v>
      </c>
      <c r="N4605" s="15" t="s">
        <v>36</v>
      </c>
      <c r="O4605" s="15" t="s">
        <v>189</v>
      </c>
      <c r="P4605" s="20" t="s">
        <v>1610</v>
      </c>
      <c r="Q4605" s="15" t="s">
        <v>83</v>
      </c>
      <c r="R4605" s="4"/>
      <c r="S4605" s="4"/>
    </row>
    <row r="4606" spans="1:19" ht="21" customHeight="1" x14ac:dyDescent="0.25">
      <c r="A4606" s="14">
        <f>DATE(2012,12,31)-113</f>
        <v>41161</v>
      </c>
      <c r="B4606" s="15" t="s">
        <v>705</v>
      </c>
      <c r="C4606" s="15" t="s">
        <v>85</v>
      </c>
      <c r="D4606" s="16">
        <v>49</v>
      </c>
      <c r="E4606" s="17">
        <v>174.81</v>
      </c>
      <c r="F4606" s="16">
        <v>7.0000000000000007E-2</v>
      </c>
      <c r="G4606" s="15" t="s">
        <v>32</v>
      </c>
      <c r="H4606" s="18">
        <v>74.819999999999993</v>
      </c>
      <c r="I4606" s="19">
        <v>3.75</v>
      </c>
      <c r="J4606" s="19">
        <v>0.5</v>
      </c>
      <c r="K4606" s="19" t="s">
        <v>44</v>
      </c>
      <c r="L4606" s="19" t="s">
        <v>89</v>
      </c>
      <c r="M4606" s="15" t="s">
        <v>1932</v>
      </c>
      <c r="N4606" s="15" t="s">
        <v>36</v>
      </c>
      <c r="O4606" s="15" t="s">
        <v>114</v>
      </c>
      <c r="P4606" s="20" t="s">
        <v>982</v>
      </c>
      <c r="Q4606" s="15" t="s">
        <v>83</v>
      </c>
      <c r="R4606" s="4"/>
      <c r="S4606" s="4"/>
    </row>
    <row r="4607" spans="1:19" ht="21" customHeight="1" x14ac:dyDescent="0.25">
      <c r="A4607" s="14">
        <f>DATE(2012,12,31)-113</f>
        <v>41161</v>
      </c>
      <c r="B4607" s="15" t="s">
        <v>705</v>
      </c>
      <c r="C4607" s="15" t="s">
        <v>85</v>
      </c>
      <c r="D4607" s="16">
        <v>20</v>
      </c>
      <c r="E4607" s="17">
        <v>89.51</v>
      </c>
      <c r="F4607" s="16">
        <v>0.02</v>
      </c>
      <c r="G4607" s="15" t="s">
        <v>32</v>
      </c>
      <c r="H4607" s="18">
        <v>-61.984999999999999</v>
      </c>
      <c r="I4607" s="19">
        <v>3.98</v>
      </c>
      <c r="J4607" s="19">
        <v>5.26</v>
      </c>
      <c r="K4607" s="19" t="s">
        <v>44</v>
      </c>
      <c r="L4607" s="19" t="s">
        <v>89</v>
      </c>
      <c r="M4607" s="15" t="s">
        <v>1932</v>
      </c>
      <c r="N4607" s="15" t="s">
        <v>36</v>
      </c>
      <c r="O4607" s="15" t="s">
        <v>170</v>
      </c>
      <c r="P4607" s="20" t="s">
        <v>446</v>
      </c>
      <c r="Q4607" s="15" t="s">
        <v>83</v>
      </c>
      <c r="R4607" s="4"/>
      <c r="S4607" s="4"/>
    </row>
    <row r="4608" spans="1:19" ht="21" customHeight="1" x14ac:dyDescent="0.25">
      <c r="A4608" s="14">
        <f>DATE(2012,12,31)-559</f>
        <v>40715</v>
      </c>
      <c r="B4608" s="15" t="s">
        <v>704</v>
      </c>
      <c r="C4608" s="15" t="s">
        <v>85</v>
      </c>
      <c r="D4608" s="16">
        <v>8</v>
      </c>
      <c r="E4608" s="17">
        <v>178.78</v>
      </c>
      <c r="F4608" s="16">
        <v>0.02</v>
      </c>
      <c r="G4608" s="15" t="s">
        <v>32</v>
      </c>
      <c r="H4608" s="18">
        <v>-28.34</v>
      </c>
      <c r="I4608" s="19">
        <v>20.239999999999998</v>
      </c>
      <c r="J4608" s="19">
        <v>8.99</v>
      </c>
      <c r="K4608" s="19" t="s">
        <v>44</v>
      </c>
      <c r="L4608" s="19" t="s">
        <v>89</v>
      </c>
      <c r="M4608" s="15" t="s">
        <v>1932</v>
      </c>
      <c r="N4608" s="15" t="s">
        <v>54</v>
      </c>
      <c r="O4608" s="15" t="s">
        <v>55</v>
      </c>
      <c r="P4608" s="20" t="s">
        <v>2193</v>
      </c>
      <c r="Q4608" s="15" t="s">
        <v>49</v>
      </c>
      <c r="R4608" s="4"/>
      <c r="S4608" s="4"/>
    </row>
    <row r="4609" spans="1:19" ht="21" customHeight="1" x14ac:dyDescent="0.25">
      <c r="A4609" s="14">
        <f>DATE(2012,12,31)-559</f>
        <v>40715</v>
      </c>
      <c r="B4609" s="15" t="s">
        <v>705</v>
      </c>
      <c r="C4609" s="15" t="s">
        <v>51</v>
      </c>
      <c r="D4609" s="16">
        <v>48</v>
      </c>
      <c r="E4609" s="17">
        <v>175.99</v>
      </c>
      <c r="F4609" s="16">
        <v>0.1</v>
      </c>
      <c r="G4609" s="15" t="s">
        <v>101</v>
      </c>
      <c r="H4609" s="18">
        <v>77.3</v>
      </c>
      <c r="I4609" s="19">
        <v>3.69</v>
      </c>
      <c r="J4609" s="19">
        <v>0.5</v>
      </c>
      <c r="K4609" s="19" t="s">
        <v>44</v>
      </c>
      <c r="L4609" s="19" t="s">
        <v>80</v>
      </c>
      <c r="M4609" s="15" t="s">
        <v>2179</v>
      </c>
      <c r="N4609" s="15" t="s">
        <v>36</v>
      </c>
      <c r="O4609" s="15" t="s">
        <v>114</v>
      </c>
      <c r="P4609" s="20" t="s">
        <v>1169</v>
      </c>
      <c r="Q4609" s="15" t="s">
        <v>83</v>
      </c>
      <c r="R4609" s="4"/>
      <c r="S4609" s="4"/>
    </row>
    <row r="4610" spans="1:19" ht="21" customHeight="1" x14ac:dyDescent="0.25">
      <c r="A4610" s="14">
        <f>DATE(2012,12,31)-559</f>
        <v>40715</v>
      </c>
      <c r="B4610" s="15" t="s">
        <v>705</v>
      </c>
      <c r="C4610" s="15" t="s">
        <v>51</v>
      </c>
      <c r="D4610" s="16">
        <v>33</v>
      </c>
      <c r="E4610" s="17">
        <v>221.23</v>
      </c>
      <c r="F4610" s="16">
        <v>0.02</v>
      </c>
      <c r="G4610" s="15" t="s">
        <v>32</v>
      </c>
      <c r="H4610" s="18">
        <v>-45.29</v>
      </c>
      <c r="I4610" s="19">
        <v>6.68</v>
      </c>
      <c r="J4610" s="19">
        <v>5.2</v>
      </c>
      <c r="K4610" s="19" t="s">
        <v>44</v>
      </c>
      <c r="L4610" s="19" t="s">
        <v>120</v>
      </c>
      <c r="M4610" s="15" t="s">
        <v>2025</v>
      </c>
      <c r="N4610" s="15" t="s">
        <v>36</v>
      </c>
      <c r="O4610" s="15" t="s">
        <v>117</v>
      </c>
      <c r="P4610" s="20" t="s">
        <v>1307</v>
      </c>
      <c r="Q4610" s="15" t="s">
        <v>83</v>
      </c>
      <c r="R4610" s="4"/>
      <c r="S4610" s="4"/>
    </row>
    <row r="4611" spans="1:19" ht="21" customHeight="1" x14ac:dyDescent="0.25">
      <c r="A4611" s="14">
        <f>DATE(2012,12,31)-857</f>
        <v>40417</v>
      </c>
      <c r="B4611" s="15" t="s">
        <v>1740</v>
      </c>
      <c r="C4611" s="15" t="s">
        <v>85</v>
      </c>
      <c r="D4611" s="16">
        <v>39</v>
      </c>
      <c r="E4611" s="17">
        <v>3460.5625</v>
      </c>
      <c r="F4611" s="16">
        <v>0.1</v>
      </c>
      <c r="G4611" s="15" t="s">
        <v>32</v>
      </c>
      <c r="H4611" s="18">
        <v>573.05700000000002</v>
      </c>
      <c r="I4611" s="19">
        <v>115.99</v>
      </c>
      <c r="J4611" s="19">
        <v>5.92</v>
      </c>
      <c r="K4611" s="19" t="s">
        <v>44</v>
      </c>
      <c r="L4611" s="19" t="s">
        <v>89</v>
      </c>
      <c r="M4611" s="15" t="s">
        <v>1932</v>
      </c>
      <c r="N4611" s="15" t="s">
        <v>64</v>
      </c>
      <c r="O4611" s="15" t="s">
        <v>65</v>
      </c>
      <c r="P4611" s="20" t="s">
        <v>1053</v>
      </c>
      <c r="Q4611" s="15" t="s">
        <v>83</v>
      </c>
      <c r="R4611" s="4"/>
      <c r="S4611" s="4"/>
    </row>
    <row r="4612" spans="1:19" ht="21" customHeight="1" x14ac:dyDescent="0.25">
      <c r="A4612" s="14">
        <f>DATE(2012,12,31)-177</f>
        <v>41097</v>
      </c>
      <c r="B4612" s="15" t="s">
        <v>1438</v>
      </c>
      <c r="C4612" s="15" t="s">
        <v>85</v>
      </c>
      <c r="D4612" s="16">
        <v>15</v>
      </c>
      <c r="E4612" s="17">
        <v>572.4325</v>
      </c>
      <c r="F4612" s="16">
        <v>0.05</v>
      </c>
      <c r="G4612" s="15" t="s">
        <v>32</v>
      </c>
      <c r="H4612" s="18">
        <v>-19.437000000000001</v>
      </c>
      <c r="I4612" s="19">
        <v>45.99</v>
      </c>
      <c r="J4612" s="19">
        <v>4.99</v>
      </c>
      <c r="K4612" s="19" t="s">
        <v>44</v>
      </c>
      <c r="L4612" s="19" t="s">
        <v>80</v>
      </c>
      <c r="M4612" s="15" t="s">
        <v>2179</v>
      </c>
      <c r="N4612" s="15" t="s">
        <v>64</v>
      </c>
      <c r="O4612" s="15" t="s">
        <v>65</v>
      </c>
      <c r="P4612" s="20" t="s">
        <v>1057</v>
      </c>
      <c r="Q4612" s="15" t="s">
        <v>83</v>
      </c>
      <c r="R4612" s="4"/>
      <c r="S4612" s="4"/>
    </row>
    <row r="4613" spans="1:19" ht="21" customHeight="1" x14ac:dyDescent="0.25">
      <c r="A4613" s="14">
        <f>DATE(2012,12,31)-1444</f>
        <v>39830</v>
      </c>
      <c r="B4613" s="15" t="s">
        <v>1066</v>
      </c>
      <c r="C4613" s="15" t="s">
        <v>43</v>
      </c>
      <c r="D4613" s="16">
        <v>39</v>
      </c>
      <c r="E4613" s="17">
        <v>1101.28</v>
      </c>
      <c r="F4613" s="16">
        <v>0.05</v>
      </c>
      <c r="G4613" s="15" t="s">
        <v>32</v>
      </c>
      <c r="H4613" s="18">
        <v>200.53</v>
      </c>
      <c r="I4613" s="19">
        <v>28.15</v>
      </c>
      <c r="J4613" s="19">
        <v>6.17</v>
      </c>
      <c r="K4613" s="19" t="s">
        <v>44</v>
      </c>
      <c r="L4613" s="19" t="s">
        <v>45</v>
      </c>
      <c r="M4613" s="15" t="s">
        <v>2165</v>
      </c>
      <c r="N4613" s="15" t="s">
        <v>36</v>
      </c>
      <c r="O4613" s="15" t="s">
        <v>77</v>
      </c>
      <c r="P4613" s="20" t="s">
        <v>608</v>
      </c>
      <c r="Q4613" s="15" t="s">
        <v>49</v>
      </c>
      <c r="R4613" s="4"/>
      <c r="S4613" s="4"/>
    </row>
    <row r="4614" spans="1:19" ht="21" customHeight="1" x14ac:dyDescent="0.25">
      <c r="A4614" s="14">
        <f>DATE(2012,12,31)-1375</f>
        <v>39899</v>
      </c>
      <c r="B4614" s="15" t="s">
        <v>1396</v>
      </c>
      <c r="C4614" s="15" t="s">
        <v>85</v>
      </c>
      <c r="D4614" s="16">
        <v>41</v>
      </c>
      <c r="E4614" s="17">
        <v>322.02999999999997</v>
      </c>
      <c r="F4614" s="16">
        <v>0.06</v>
      </c>
      <c r="G4614" s="15" t="s">
        <v>32</v>
      </c>
      <c r="H4614" s="18">
        <v>-82.83</v>
      </c>
      <c r="I4614" s="19">
        <v>8.1199999999999992</v>
      </c>
      <c r="J4614" s="19">
        <v>2.83</v>
      </c>
      <c r="K4614" s="19" t="s">
        <v>124</v>
      </c>
      <c r="L4614" s="19" t="s">
        <v>125</v>
      </c>
      <c r="M4614" s="15" t="s">
        <v>2048</v>
      </c>
      <c r="N4614" s="15" t="s">
        <v>64</v>
      </c>
      <c r="O4614" s="15" t="s">
        <v>72</v>
      </c>
      <c r="P4614" s="20" t="s">
        <v>879</v>
      </c>
      <c r="Q4614" s="15" t="s">
        <v>49</v>
      </c>
      <c r="R4614" s="4"/>
      <c r="S4614" s="4"/>
    </row>
    <row r="4615" spans="1:19" ht="21" customHeight="1" x14ac:dyDescent="0.25">
      <c r="A4615" s="14">
        <f>DATE(2012,12,31)-1375</f>
        <v>39899</v>
      </c>
      <c r="B4615" s="15" t="s">
        <v>1396</v>
      </c>
      <c r="C4615" s="15" t="s">
        <v>85</v>
      </c>
      <c r="D4615" s="16">
        <v>49</v>
      </c>
      <c r="E4615" s="17">
        <v>2470.84</v>
      </c>
      <c r="F4615" s="16">
        <v>0.05</v>
      </c>
      <c r="G4615" s="15" t="s">
        <v>32</v>
      </c>
      <c r="H4615" s="18">
        <v>25.04</v>
      </c>
      <c r="I4615" s="19">
        <v>51.65</v>
      </c>
      <c r="J4615" s="19">
        <v>18.45</v>
      </c>
      <c r="K4615" s="19" t="s">
        <v>124</v>
      </c>
      <c r="L4615" s="19" t="s">
        <v>125</v>
      </c>
      <c r="M4615" s="15" t="s">
        <v>2048</v>
      </c>
      <c r="N4615" s="15" t="s">
        <v>54</v>
      </c>
      <c r="O4615" s="15" t="s">
        <v>55</v>
      </c>
      <c r="P4615" s="20" t="s">
        <v>1209</v>
      </c>
      <c r="Q4615" s="15" t="s">
        <v>57</v>
      </c>
      <c r="R4615" s="4"/>
      <c r="S4615" s="4"/>
    </row>
    <row r="4616" spans="1:19" ht="21" customHeight="1" x14ac:dyDescent="0.25">
      <c r="A4616" s="14">
        <f>DATE(2012,12,31)-1375</f>
        <v>39899</v>
      </c>
      <c r="B4616" s="15" t="s">
        <v>1396</v>
      </c>
      <c r="C4616" s="15" t="s">
        <v>85</v>
      </c>
      <c r="D4616" s="16">
        <v>2</v>
      </c>
      <c r="E4616" s="17">
        <v>15.26</v>
      </c>
      <c r="F4616" s="16">
        <v>0.01</v>
      </c>
      <c r="G4616" s="15" t="s">
        <v>32</v>
      </c>
      <c r="H4616" s="18">
        <v>-7.51</v>
      </c>
      <c r="I4616" s="19">
        <v>6.68</v>
      </c>
      <c r="J4616" s="19">
        <v>1.5</v>
      </c>
      <c r="K4616" s="19" t="s">
        <v>124</v>
      </c>
      <c r="L4616" s="19" t="s">
        <v>125</v>
      </c>
      <c r="M4616" s="15" t="s">
        <v>2048</v>
      </c>
      <c r="N4616" s="15" t="s">
        <v>36</v>
      </c>
      <c r="O4616" s="15" t="s">
        <v>77</v>
      </c>
      <c r="P4616" s="20" t="s">
        <v>857</v>
      </c>
      <c r="Q4616" s="15" t="s">
        <v>79</v>
      </c>
      <c r="R4616" s="4"/>
      <c r="S4616" s="4"/>
    </row>
    <row r="4617" spans="1:19" ht="21" customHeight="1" x14ac:dyDescent="0.25">
      <c r="A4617" s="14">
        <f>DATE(2012,12,31)-1375</f>
        <v>39899</v>
      </c>
      <c r="B4617" s="15" t="s">
        <v>1396</v>
      </c>
      <c r="C4617" s="15" t="s">
        <v>85</v>
      </c>
      <c r="D4617" s="16">
        <v>39</v>
      </c>
      <c r="E4617" s="17">
        <v>5250.6624999999995</v>
      </c>
      <c r="F4617" s="16">
        <v>0.1</v>
      </c>
      <c r="G4617" s="15" t="s">
        <v>32</v>
      </c>
      <c r="H4617" s="18">
        <v>930.98700000000008</v>
      </c>
      <c r="I4617" s="19">
        <v>175.99</v>
      </c>
      <c r="J4617" s="19">
        <v>8.99</v>
      </c>
      <c r="K4617" s="19" t="s">
        <v>33</v>
      </c>
      <c r="L4617" s="19" t="s">
        <v>93</v>
      </c>
      <c r="M4617" s="15" t="s">
        <v>94</v>
      </c>
      <c r="N4617" s="15" t="s">
        <v>64</v>
      </c>
      <c r="O4617" s="15" t="s">
        <v>65</v>
      </c>
      <c r="P4617" s="20" t="s">
        <v>1490</v>
      </c>
      <c r="Q4617" s="15" t="s">
        <v>83</v>
      </c>
      <c r="R4617" s="4"/>
      <c r="S4617" s="4"/>
    </row>
    <row r="4618" spans="1:19" ht="21" customHeight="1" x14ac:dyDescent="0.25">
      <c r="A4618" s="14">
        <f>DATE(2012,12,31)-66</f>
        <v>41208</v>
      </c>
      <c r="B4618" s="15" t="s">
        <v>1270</v>
      </c>
      <c r="C4618" s="15" t="s">
        <v>51</v>
      </c>
      <c r="D4618" s="16">
        <v>9</v>
      </c>
      <c r="E4618" s="17">
        <v>107.92</v>
      </c>
      <c r="F4618" s="16">
        <v>0.04</v>
      </c>
      <c r="G4618" s="15" t="s">
        <v>32</v>
      </c>
      <c r="H4618" s="18">
        <v>-57.65</v>
      </c>
      <c r="I4618" s="19">
        <v>10.97</v>
      </c>
      <c r="J4618" s="19">
        <v>6.5</v>
      </c>
      <c r="K4618" s="19" t="s">
        <v>33</v>
      </c>
      <c r="L4618" s="19" t="s">
        <v>93</v>
      </c>
      <c r="M4618" s="15" t="s">
        <v>94</v>
      </c>
      <c r="N4618" s="15" t="s">
        <v>64</v>
      </c>
      <c r="O4618" s="15" t="s">
        <v>72</v>
      </c>
      <c r="P4618" s="20" t="s">
        <v>354</v>
      </c>
      <c r="Q4618" s="15" t="s">
        <v>83</v>
      </c>
      <c r="R4618" s="4"/>
      <c r="S4618" s="4"/>
    </row>
    <row r="4619" spans="1:19" ht="21" customHeight="1" x14ac:dyDescent="0.25">
      <c r="A4619" s="14">
        <f>DATE(2012,12,31)-66</f>
        <v>41208</v>
      </c>
      <c r="B4619" s="15" t="s">
        <v>1270</v>
      </c>
      <c r="C4619" s="15" t="s">
        <v>51</v>
      </c>
      <c r="D4619" s="16">
        <v>14</v>
      </c>
      <c r="E4619" s="17">
        <v>2151.08</v>
      </c>
      <c r="F4619" s="16">
        <v>0.03</v>
      </c>
      <c r="G4619" s="15" t="s">
        <v>58</v>
      </c>
      <c r="H4619" s="18">
        <v>179.05</v>
      </c>
      <c r="I4619" s="19">
        <v>145.44999999999999</v>
      </c>
      <c r="J4619" s="19">
        <v>17.850000000000001</v>
      </c>
      <c r="K4619" s="19" t="s">
        <v>33</v>
      </c>
      <c r="L4619" s="19" t="s">
        <v>128</v>
      </c>
      <c r="M4619" s="15" t="s">
        <v>129</v>
      </c>
      <c r="N4619" s="15" t="s">
        <v>64</v>
      </c>
      <c r="O4619" s="15" t="s">
        <v>122</v>
      </c>
      <c r="P4619" s="20" t="s">
        <v>299</v>
      </c>
      <c r="Q4619" s="15" t="s">
        <v>181</v>
      </c>
      <c r="R4619" s="4"/>
      <c r="S4619" s="4"/>
    </row>
    <row r="4620" spans="1:19" ht="21" customHeight="1" x14ac:dyDescent="0.25">
      <c r="A4620" s="14">
        <f>DATE(2012,12,31)-66</f>
        <v>41208</v>
      </c>
      <c r="B4620" s="15" t="s">
        <v>1270</v>
      </c>
      <c r="C4620" s="15" t="s">
        <v>51</v>
      </c>
      <c r="D4620" s="16">
        <v>42</v>
      </c>
      <c r="E4620" s="17">
        <v>939.77</v>
      </c>
      <c r="F4620" s="16">
        <v>0</v>
      </c>
      <c r="G4620" s="15" t="s">
        <v>101</v>
      </c>
      <c r="H4620" s="18">
        <v>9.7200000000000006</v>
      </c>
      <c r="I4620" s="19">
        <v>20.97</v>
      </c>
      <c r="J4620" s="19">
        <v>4</v>
      </c>
      <c r="K4620" s="19" t="s">
        <v>33</v>
      </c>
      <c r="L4620" s="19" t="s">
        <v>93</v>
      </c>
      <c r="M4620" s="15" t="s">
        <v>94</v>
      </c>
      <c r="N4620" s="15" t="s">
        <v>64</v>
      </c>
      <c r="O4620" s="15" t="s">
        <v>72</v>
      </c>
      <c r="P4620" s="20" t="s">
        <v>393</v>
      </c>
      <c r="Q4620" s="15" t="s">
        <v>83</v>
      </c>
      <c r="R4620" s="4"/>
      <c r="S4620" s="4"/>
    </row>
    <row r="4621" spans="1:19" ht="21" customHeight="1" x14ac:dyDescent="0.25">
      <c r="A4621" s="14">
        <f>DATE(2012,12,31)-721</f>
        <v>40553</v>
      </c>
      <c r="B4621" s="15" t="s">
        <v>785</v>
      </c>
      <c r="C4621" s="15" t="s">
        <v>85</v>
      </c>
      <c r="D4621" s="16">
        <v>13</v>
      </c>
      <c r="E4621" s="17">
        <v>49.74</v>
      </c>
      <c r="F4621" s="16">
        <v>0</v>
      </c>
      <c r="G4621" s="15" t="s">
        <v>32</v>
      </c>
      <c r="H4621" s="18">
        <v>17.7</v>
      </c>
      <c r="I4621" s="19">
        <v>3.75</v>
      </c>
      <c r="J4621" s="19">
        <v>0.5</v>
      </c>
      <c r="K4621" s="19" t="s">
        <v>33</v>
      </c>
      <c r="L4621" s="19" t="s">
        <v>128</v>
      </c>
      <c r="M4621" s="15" t="s">
        <v>129</v>
      </c>
      <c r="N4621" s="15" t="s">
        <v>36</v>
      </c>
      <c r="O4621" s="15" t="s">
        <v>114</v>
      </c>
      <c r="P4621" s="20" t="s">
        <v>1666</v>
      </c>
      <c r="Q4621" s="15" t="s">
        <v>83</v>
      </c>
      <c r="R4621" s="4"/>
      <c r="S4621" s="4"/>
    </row>
    <row r="4622" spans="1:19" ht="21" customHeight="1" x14ac:dyDescent="0.25">
      <c r="A4622" s="14">
        <f>DATE(2012,12,31)-303</f>
        <v>40971</v>
      </c>
      <c r="B4622" s="15" t="s">
        <v>2194</v>
      </c>
      <c r="C4622" s="15" t="s">
        <v>51</v>
      </c>
      <c r="D4622" s="16">
        <v>34</v>
      </c>
      <c r="E4622" s="17">
        <v>145.47999999999999</v>
      </c>
      <c r="F4622" s="16">
        <v>0.03</v>
      </c>
      <c r="G4622" s="15" t="s">
        <v>101</v>
      </c>
      <c r="H4622" s="18">
        <v>32.43</v>
      </c>
      <c r="I4622" s="19">
        <v>4.26</v>
      </c>
      <c r="J4622" s="19">
        <v>1.2</v>
      </c>
      <c r="K4622" s="19" t="s">
        <v>33</v>
      </c>
      <c r="L4622" s="19" t="s">
        <v>93</v>
      </c>
      <c r="M4622" s="15" t="s">
        <v>94</v>
      </c>
      <c r="N4622" s="15" t="s">
        <v>36</v>
      </c>
      <c r="O4622" s="15" t="s">
        <v>77</v>
      </c>
      <c r="P4622" s="20" t="s">
        <v>317</v>
      </c>
      <c r="Q4622" s="15" t="s">
        <v>79</v>
      </c>
      <c r="R4622" s="4"/>
      <c r="S4622" s="4"/>
    </row>
    <row r="4623" spans="1:19" ht="21" customHeight="1" x14ac:dyDescent="0.25">
      <c r="A4623" s="14">
        <f>DATE(2012,12,31)-303</f>
        <v>40971</v>
      </c>
      <c r="B4623" s="15" t="s">
        <v>2194</v>
      </c>
      <c r="C4623" s="15" t="s">
        <v>51</v>
      </c>
      <c r="D4623" s="16">
        <v>23</v>
      </c>
      <c r="E4623" s="17">
        <v>1638.67</v>
      </c>
      <c r="F4623" s="16">
        <v>0.05</v>
      </c>
      <c r="G4623" s="15" t="s">
        <v>58</v>
      </c>
      <c r="H4623" s="18">
        <v>-527.83000000000004</v>
      </c>
      <c r="I4623" s="19">
        <v>68.81</v>
      </c>
      <c r="J4623" s="19">
        <v>60</v>
      </c>
      <c r="K4623" s="19" t="s">
        <v>33</v>
      </c>
      <c r="L4623" s="19" t="s">
        <v>128</v>
      </c>
      <c r="M4623" s="15" t="s">
        <v>129</v>
      </c>
      <c r="N4623" s="15" t="s">
        <v>36</v>
      </c>
      <c r="O4623" s="15" t="s">
        <v>176</v>
      </c>
      <c r="P4623" s="20" t="s">
        <v>363</v>
      </c>
      <c r="Q4623" s="15" t="s">
        <v>181</v>
      </c>
      <c r="R4623" s="4"/>
      <c r="S4623" s="4"/>
    </row>
    <row r="4624" spans="1:19" ht="21" customHeight="1" x14ac:dyDescent="0.25">
      <c r="A4624" s="14">
        <f>DATE(2012,12,31)-303</f>
        <v>40971</v>
      </c>
      <c r="B4624" s="15" t="s">
        <v>2194</v>
      </c>
      <c r="C4624" s="15" t="s">
        <v>51</v>
      </c>
      <c r="D4624" s="16">
        <v>8</v>
      </c>
      <c r="E4624" s="17">
        <v>64.099999999999994</v>
      </c>
      <c r="F4624" s="16">
        <v>0.03</v>
      </c>
      <c r="G4624" s="15" t="s">
        <v>32</v>
      </c>
      <c r="H4624" s="18">
        <v>-48.28</v>
      </c>
      <c r="I4624" s="19">
        <v>6.84</v>
      </c>
      <c r="J4624" s="19">
        <v>8.3699999999999992</v>
      </c>
      <c r="K4624" s="19" t="s">
        <v>33</v>
      </c>
      <c r="L4624" s="19" t="s">
        <v>128</v>
      </c>
      <c r="M4624" s="15" t="s">
        <v>129</v>
      </c>
      <c r="N4624" s="15" t="s">
        <v>36</v>
      </c>
      <c r="O4624" s="15" t="s">
        <v>47</v>
      </c>
      <c r="P4624" s="20" t="s">
        <v>1182</v>
      </c>
      <c r="Q4624" s="15" t="s">
        <v>49</v>
      </c>
      <c r="R4624" s="4"/>
      <c r="S4624" s="4"/>
    </row>
    <row r="4625" spans="1:19" ht="21" customHeight="1" x14ac:dyDescent="0.25">
      <c r="A4625" s="14">
        <f>DATE(2012,12,31)-158</f>
        <v>41116</v>
      </c>
      <c r="B4625" s="15" t="s">
        <v>1092</v>
      </c>
      <c r="C4625" s="15" t="s">
        <v>31</v>
      </c>
      <c r="D4625" s="16">
        <v>31</v>
      </c>
      <c r="E4625" s="17">
        <v>454.58</v>
      </c>
      <c r="F4625" s="16">
        <v>7.0000000000000007E-2</v>
      </c>
      <c r="G4625" s="15" t="s">
        <v>32</v>
      </c>
      <c r="H4625" s="18">
        <v>-118.75</v>
      </c>
      <c r="I4625" s="19">
        <v>15.31</v>
      </c>
      <c r="J4625" s="19">
        <v>8.7799999999999994</v>
      </c>
      <c r="K4625" s="19" t="s">
        <v>97</v>
      </c>
      <c r="L4625" s="19" t="s">
        <v>98</v>
      </c>
      <c r="M4625" s="15" t="s">
        <v>2161</v>
      </c>
      <c r="N4625" s="15" t="s">
        <v>36</v>
      </c>
      <c r="O4625" s="15" t="s">
        <v>37</v>
      </c>
      <c r="P4625" s="20" t="s">
        <v>1079</v>
      </c>
      <c r="Q4625" s="15" t="s">
        <v>83</v>
      </c>
      <c r="R4625" s="4"/>
      <c r="S4625" s="4"/>
    </row>
    <row r="4626" spans="1:19" ht="21" customHeight="1" x14ac:dyDescent="0.25">
      <c r="A4626" s="14">
        <f>DATE(2012,12,31)-609</f>
        <v>40665</v>
      </c>
      <c r="B4626" s="15" t="s">
        <v>489</v>
      </c>
      <c r="C4626" s="15" t="s">
        <v>31</v>
      </c>
      <c r="D4626" s="16">
        <v>8</v>
      </c>
      <c r="E4626" s="17">
        <v>44.56</v>
      </c>
      <c r="F4626" s="16">
        <v>0.05</v>
      </c>
      <c r="G4626" s="15" t="s">
        <v>32</v>
      </c>
      <c r="H4626" s="18">
        <v>4.8099999999999996</v>
      </c>
      <c r="I4626" s="19">
        <v>5.68</v>
      </c>
      <c r="J4626" s="19">
        <v>1.39</v>
      </c>
      <c r="K4626" s="19" t="s">
        <v>97</v>
      </c>
      <c r="L4626" s="19" t="s">
        <v>195</v>
      </c>
      <c r="M4626" s="15" t="s">
        <v>2138</v>
      </c>
      <c r="N4626" s="15" t="s">
        <v>36</v>
      </c>
      <c r="O4626" s="15" t="s">
        <v>189</v>
      </c>
      <c r="P4626" s="20" t="s">
        <v>202</v>
      </c>
      <c r="Q4626" s="15" t="s">
        <v>83</v>
      </c>
      <c r="R4626" s="4"/>
      <c r="S4626" s="4"/>
    </row>
    <row r="4627" spans="1:19" ht="21" customHeight="1" x14ac:dyDescent="0.25">
      <c r="A4627" s="14">
        <f>DATE(2012,12,31)-609</f>
        <v>40665</v>
      </c>
      <c r="B4627" s="15" t="s">
        <v>489</v>
      </c>
      <c r="C4627" s="15" t="s">
        <v>31</v>
      </c>
      <c r="D4627" s="16">
        <v>13</v>
      </c>
      <c r="E4627" s="17">
        <v>152.13999999999999</v>
      </c>
      <c r="F4627" s="16">
        <v>0.09</v>
      </c>
      <c r="G4627" s="15" t="s">
        <v>32</v>
      </c>
      <c r="H4627" s="18">
        <v>-26.87</v>
      </c>
      <c r="I4627" s="19">
        <v>12.21</v>
      </c>
      <c r="J4627" s="19">
        <v>4.8099999999999996</v>
      </c>
      <c r="K4627" s="19" t="s">
        <v>97</v>
      </c>
      <c r="L4627" s="19" t="s">
        <v>98</v>
      </c>
      <c r="M4627" s="15" t="s">
        <v>2161</v>
      </c>
      <c r="N4627" s="15" t="s">
        <v>36</v>
      </c>
      <c r="O4627" s="15" t="s">
        <v>37</v>
      </c>
      <c r="P4627" s="20" t="s">
        <v>1674</v>
      </c>
      <c r="Q4627" s="15" t="s">
        <v>83</v>
      </c>
      <c r="R4627" s="4"/>
      <c r="S4627" s="4"/>
    </row>
    <row r="4628" spans="1:19" ht="21" customHeight="1" x14ac:dyDescent="0.25">
      <c r="A4628" s="14">
        <f>DATE(2012,12,31)-1050</f>
        <v>40224</v>
      </c>
      <c r="B4628" s="15" t="s">
        <v>2127</v>
      </c>
      <c r="C4628" s="15" t="s">
        <v>31</v>
      </c>
      <c r="D4628" s="16">
        <v>31</v>
      </c>
      <c r="E4628" s="17">
        <v>86.1</v>
      </c>
      <c r="F4628" s="16">
        <v>0.06</v>
      </c>
      <c r="G4628" s="15" t="s">
        <v>32</v>
      </c>
      <c r="H4628" s="18">
        <v>32.700000000000003</v>
      </c>
      <c r="I4628" s="19">
        <v>2.88</v>
      </c>
      <c r="J4628" s="19">
        <v>0.5</v>
      </c>
      <c r="K4628" s="19" t="s">
        <v>97</v>
      </c>
      <c r="L4628" s="19" t="s">
        <v>98</v>
      </c>
      <c r="M4628" s="15" t="s">
        <v>2161</v>
      </c>
      <c r="N4628" s="15" t="s">
        <v>36</v>
      </c>
      <c r="O4628" s="15" t="s">
        <v>114</v>
      </c>
      <c r="P4628" s="20" t="s">
        <v>2195</v>
      </c>
      <c r="Q4628" s="15" t="s">
        <v>83</v>
      </c>
      <c r="R4628" s="4"/>
      <c r="S4628" s="4"/>
    </row>
    <row r="4629" spans="1:19" ht="21" customHeight="1" x14ac:dyDescent="0.25">
      <c r="A4629" s="14">
        <f>DATE(2012,12,31)-1050</f>
        <v>40224</v>
      </c>
      <c r="B4629" s="15" t="s">
        <v>2127</v>
      </c>
      <c r="C4629" s="15" t="s">
        <v>31</v>
      </c>
      <c r="D4629" s="16">
        <v>25</v>
      </c>
      <c r="E4629" s="17">
        <v>298.11</v>
      </c>
      <c r="F4629" s="16">
        <v>0.08</v>
      </c>
      <c r="G4629" s="15" t="s">
        <v>32</v>
      </c>
      <c r="H4629" s="18">
        <v>-60.79</v>
      </c>
      <c r="I4629" s="19">
        <v>12.44</v>
      </c>
      <c r="J4629" s="19">
        <v>6.27</v>
      </c>
      <c r="K4629" s="19" t="s">
        <v>124</v>
      </c>
      <c r="L4629" s="19" t="s">
        <v>164</v>
      </c>
      <c r="M4629" s="15" t="s">
        <v>2171</v>
      </c>
      <c r="N4629" s="15" t="s">
        <v>36</v>
      </c>
      <c r="O4629" s="15" t="s">
        <v>37</v>
      </c>
      <c r="P4629" s="20" t="s">
        <v>143</v>
      </c>
      <c r="Q4629" s="15" t="s">
        <v>57</v>
      </c>
      <c r="R4629" s="4"/>
      <c r="S4629" s="4"/>
    </row>
    <row r="4630" spans="1:19" ht="21" customHeight="1" x14ac:dyDescent="0.25">
      <c r="A4630" s="14">
        <f>DATE(2012,12,31)-1087</f>
        <v>40187</v>
      </c>
      <c r="B4630" s="15" t="s">
        <v>346</v>
      </c>
      <c r="C4630" s="15" t="s">
        <v>31</v>
      </c>
      <c r="D4630" s="16">
        <v>49</v>
      </c>
      <c r="E4630" s="17">
        <v>29884.6</v>
      </c>
      <c r="F4630" s="16">
        <v>0.05</v>
      </c>
      <c r="G4630" s="15" t="s">
        <v>32</v>
      </c>
      <c r="H4630" s="18">
        <v>12748.86</v>
      </c>
      <c r="I4630" s="19">
        <v>599.99</v>
      </c>
      <c r="J4630" s="19">
        <v>24.49</v>
      </c>
      <c r="K4630" s="19" t="s">
        <v>124</v>
      </c>
      <c r="L4630" s="19" t="s">
        <v>160</v>
      </c>
      <c r="M4630" s="15" t="s">
        <v>2181</v>
      </c>
      <c r="N4630" s="15" t="s">
        <v>64</v>
      </c>
      <c r="O4630" s="15" t="s">
        <v>460</v>
      </c>
      <c r="P4630" s="20" t="s">
        <v>1779</v>
      </c>
      <c r="Q4630" s="15" t="s">
        <v>39</v>
      </c>
      <c r="R4630" s="4"/>
      <c r="S4630" s="4"/>
    </row>
    <row r="4631" spans="1:19" ht="21" customHeight="1" x14ac:dyDescent="0.25">
      <c r="A4631" s="14">
        <f>DATE(2012,12,31)-676</f>
        <v>40598</v>
      </c>
      <c r="B4631" s="15" t="s">
        <v>950</v>
      </c>
      <c r="C4631" s="15" t="s">
        <v>51</v>
      </c>
      <c r="D4631" s="16">
        <v>2</v>
      </c>
      <c r="E4631" s="17">
        <v>11.15</v>
      </c>
      <c r="F4631" s="16">
        <v>0.04</v>
      </c>
      <c r="G4631" s="15" t="s">
        <v>32</v>
      </c>
      <c r="H4631" s="18">
        <v>-5.54</v>
      </c>
      <c r="I4631" s="19">
        <v>3.98</v>
      </c>
      <c r="J4631" s="19">
        <v>2.97</v>
      </c>
      <c r="K4631" s="19" t="s">
        <v>124</v>
      </c>
      <c r="L4631" s="19" t="s">
        <v>160</v>
      </c>
      <c r="M4631" s="15" t="s">
        <v>2181</v>
      </c>
      <c r="N4631" s="15" t="s">
        <v>36</v>
      </c>
      <c r="O4631" s="15" t="s">
        <v>117</v>
      </c>
      <c r="P4631" s="20" t="s">
        <v>1047</v>
      </c>
      <c r="Q4631" s="15" t="s">
        <v>79</v>
      </c>
      <c r="R4631" s="4"/>
      <c r="S4631" s="4"/>
    </row>
    <row r="4632" spans="1:19" ht="21" customHeight="1" x14ac:dyDescent="0.25">
      <c r="A4632" s="14">
        <f>DATE(2012,12,31)-676</f>
        <v>40598</v>
      </c>
      <c r="B4632" s="15" t="s">
        <v>950</v>
      </c>
      <c r="C4632" s="15" t="s">
        <v>51</v>
      </c>
      <c r="D4632" s="16">
        <v>25</v>
      </c>
      <c r="E4632" s="17">
        <v>2427.25</v>
      </c>
      <c r="F4632" s="16">
        <v>0.1</v>
      </c>
      <c r="G4632" s="15" t="s">
        <v>32</v>
      </c>
      <c r="H4632" s="18">
        <v>227.67</v>
      </c>
      <c r="I4632" s="19">
        <v>99.99</v>
      </c>
      <c r="J4632" s="19">
        <v>19.989999999999998</v>
      </c>
      <c r="K4632" s="19" t="s">
        <v>124</v>
      </c>
      <c r="L4632" s="19" t="s">
        <v>160</v>
      </c>
      <c r="M4632" s="15" t="s">
        <v>2181</v>
      </c>
      <c r="N4632" s="15" t="s">
        <v>64</v>
      </c>
      <c r="O4632" s="15" t="s">
        <v>72</v>
      </c>
      <c r="P4632" s="20" t="s">
        <v>496</v>
      </c>
      <c r="Q4632" s="15" t="s">
        <v>83</v>
      </c>
      <c r="R4632" s="4"/>
      <c r="S4632" s="4"/>
    </row>
    <row r="4633" spans="1:19" ht="21" customHeight="1" x14ac:dyDescent="0.25">
      <c r="A4633" s="14">
        <f>DATE(2012,12,31)-340</f>
        <v>40934</v>
      </c>
      <c r="B4633" s="15" t="s">
        <v>1418</v>
      </c>
      <c r="C4633" s="15" t="s">
        <v>31</v>
      </c>
      <c r="D4633" s="16">
        <v>4</v>
      </c>
      <c r="E4633" s="17">
        <v>1035.2</v>
      </c>
      <c r="F4633" s="16">
        <v>0.08</v>
      </c>
      <c r="G4633" s="15" t="s">
        <v>58</v>
      </c>
      <c r="H4633" s="18">
        <v>-668.0643</v>
      </c>
      <c r="I4633" s="19">
        <v>270.97000000000003</v>
      </c>
      <c r="J4633" s="19">
        <v>28.06</v>
      </c>
      <c r="K4633" s="19" t="s">
        <v>124</v>
      </c>
      <c r="L4633" s="19" t="s">
        <v>158</v>
      </c>
      <c r="M4633" s="15" t="s">
        <v>158</v>
      </c>
      <c r="N4633" s="15" t="s">
        <v>64</v>
      </c>
      <c r="O4633" s="15" t="s">
        <v>122</v>
      </c>
      <c r="P4633" s="20" t="s">
        <v>1865</v>
      </c>
      <c r="Q4633" s="15" t="s">
        <v>181</v>
      </c>
      <c r="R4633" s="4"/>
      <c r="S4633" s="4"/>
    </row>
    <row r="4634" spans="1:19" ht="21" customHeight="1" x14ac:dyDescent="0.25">
      <c r="A4634" s="14">
        <f>DATE(2012,12,31)-340</f>
        <v>40934</v>
      </c>
      <c r="B4634" s="15" t="s">
        <v>1418</v>
      </c>
      <c r="C4634" s="15" t="s">
        <v>31</v>
      </c>
      <c r="D4634" s="16">
        <v>43</v>
      </c>
      <c r="E4634" s="17">
        <v>74.17</v>
      </c>
      <c r="F4634" s="16">
        <v>0.01</v>
      </c>
      <c r="G4634" s="15" t="s">
        <v>32</v>
      </c>
      <c r="H4634" s="18">
        <v>-13.4</v>
      </c>
      <c r="I4634" s="19">
        <v>1.6</v>
      </c>
      <c r="J4634" s="19">
        <v>1.29</v>
      </c>
      <c r="K4634" s="19" t="s">
        <v>124</v>
      </c>
      <c r="L4634" s="19" t="s">
        <v>319</v>
      </c>
      <c r="M4634" s="15" t="s">
        <v>2146</v>
      </c>
      <c r="N4634" s="15" t="s">
        <v>36</v>
      </c>
      <c r="O4634" s="15" t="s">
        <v>77</v>
      </c>
      <c r="P4634" s="20" t="s">
        <v>2099</v>
      </c>
      <c r="Q4634" s="15" t="s">
        <v>79</v>
      </c>
      <c r="R4634" s="4"/>
      <c r="S4634" s="4"/>
    </row>
    <row r="4635" spans="1:19" ht="21" customHeight="1" x14ac:dyDescent="0.25">
      <c r="A4635" s="14">
        <f>DATE(2012,12,31)-106</f>
        <v>41168</v>
      </c>
      <c r="B4635" s="15" t="s">
        <v>932</v>
      </c>
      <c r="C4635" s="15" t="s">
        <v>85</v>
      </c>
      <c r="D4635" s="16">
        <v>34</v>
      </c>
      <c r="E4635" s="17">
        <v>226.41</v>
      </c>
      <c r="F4635" s="16">
        <v>0.05</v>
      </c>
      <c r="G4635" s="15" t="s">
        <v>32</v>
      </c>
      <c r="H4635" s="18">
        <v>-164.89</v>
      </c>
      <c r="I4635" s="19">
        <v>6.48</v>
      </c>
      <c r="J4635" s="19">
        <v>8.73</v>
      </c>
      <c r="K4635" s="19" t="s">
        <v>124</v>
      </c>
      <c r="L4635" s="19" t="s">
        <v>164</v>
      </c>
      <c r="M4635" s="15" t="s">
        <v>2171</v>
      </c>
      <c r="N4635" s="15" t="s">
        <v>36</v>
      </c>
      <c r="O4635" s="15" t="s">
        <v>117</v>
      </c>
      <c r="P4635" s="20" t="s">
        <v>880</v>
      </c>
      <c r="Q4635" s="15" t="s">
        <v>83</v>
      </c>
      <c r="R4635" s="4"/>
      <c r="S4635" s="4"/>
    </row>
    <row r="4636" spans="1:19" ht="21" customHeight="1" x14ac:dyDescent="0.25">
      <c r="A4636" s="14">
        <f>DATE(2012,12,31)-745</f>
        <v>40529</v>
      </c>
      <c r="B4636" s="15" t="s">
        <v>435</v>
      </c>
      <c r="C4636" s="15" t="s">
        <v>85</v>
      </c>
      <c r="D4636" s="16">
        <v>15</v>
      </c>
      <c r="E4636" s="17">
        <v>262.29000000000002</v>
      </c>
      <c r="F4636" s="16">
        <v>0.09</v>
      </c>
      <c r="G4636" s="15" t="s">
        <v>32</v>
      </c>
      <c r="H4636" s="18">
        <v>7.26</v>
      </c>
      <c r="I4636" s="19">
        <v>17.78</v>
      </c>
      <c r="J4636" s="19">
        <v>5.03</v>
      </c>
      <c r="K4636" s="19" t="s">
        <v>124</v>
      </c>
      <c r="L4636" s="19" t="s">
        <v>164</v>
      </c>
      <c r="M4636" s="15" t="s">
        <v>2171</v>
      </c>
      <c r="N4636" s="15" t="s">
        <v>54</v>
      </c>
      <c r="O4636" s="15" t="s">
        <v>55</v>
      </c>
      <c r="P4636" s="20" t="s">
        <v>1136</v>
      </c>
      <c r="Q4636" s="15" t="s">
        <v>83</v>
      </c>
      <c r="R4636" s="4"/>
      <c r="S4636" s="4"/>
    </row>
    <row r="4637" spans="1:19" ht="21" customHeight="1" x14ac:dyDescent="0.25">
      <c r="A4637" s="14">
        <f>DATE(2012,12,31)-745</f>
        <v>40529</v>
      </c>
      <c r="B4637" s="15" t="s">
        <v>435</v>
      </c>
      <c r="C4637" s="15" t="s">
        <v>85</v>
      </c>
      <c r="D4637" s="16">
        <v>2</v>
      </c>
      <c r="E4637" s="17">
        <v>116.31399999999999</v>
      </c>
      <c r="F4637" s="16">
        <v>0.04</v>
      </c>
      <c r="G4637" s="15" t="s">
        <v>32</v>
      </c>
      <c r="H4637" s="18">
        <v>-300.85000000000002</v>
      </c>
      <c r="I4637" s="19">
        <v>65.989999999999995</v>
      </c>
      <c r="J4637" s="19">
        <v>3.9</v>
      </c>
      <c r="K4637" s="19" t="s">
        <v>124</v>
      </c>
      <c r="L4637" s="19" t="s">
        <v>164</v>
      </c>
      <c r="M4637" s="15" t="s">
        <v>2171</v>
      </c>
      <c r="N4637" s="15" t="s">
        <v>64</v>
      </c>
      <c r="O4637" s="15" t="s">
        <v>65</v>
      </c>
      <c r="P4637" s="20" t="s">
        <v>1062</v>
      </c>
      <c r="Q4637" s="15" t="s">
        <v>83</v>
      </c>
      <c r="R4637" s="4"/>
      <c r="S4637" s="4"/>
    </row>
    <row r="4638" spans="1:19" ht="21" customHeight="1" x14ac:dyDescent="0.25">
      <c r="A4638" s="14">
        <f>DATE(2012,12,31)-824</f>
        <v>40450</v>
      </c>
      <c r="B4638" s="15" t="s">
        <v>1099</v>
      </c>
      <c r="C4638" s="15" t="s">
        <v>43</v>
      </c>
      <c r="D4638" s="16">
        <v>13</v>
      </c>
      <c r="E4638" s="17">
        <v>1663.83</v>
      </c>
      <c r="F4638" s="16">
        <v>0.1</v>
      </c>
      <c r="G4638" s="15" t="s">
        <v>58</v>
      </c>
      <c r="H4638" s="18">
        <v>-484.64</v>
      </c>
      <c r="I4638" s="19">
        <v>130.97999999999999</v>
      </c>
      <c r="J4638" s="19">
        <v>54.74</v>
      </c>
      <c r="K4638" s="19" t="s">
        <v>124</v>
      </c>
      <c r="L4638" s="19" t="s">
        <v>164</v>
      </c>
      <c r="M4638" s="15" t="s">
        <v>2171</v>
      </c>
      <c r="N4638" s="15" t="s">
        <v>54</v>
      </c>
      <c r="O4638" s="15" t="s">
        <v>134</v>
      </c>
      <c r="P4638" s="20" t="s">
        <v>135</v>
      </c>
      <c r="Q4638" s="15" t="s">
        <v>63</v>
      </c>
      <c r="R4638" s="4"/>
      <c r="S4638" s="4"/>
    </row>
    <row r="4639" spans="1:19" ht="21" customHeight="1" x14ac:dyDescent="0.25">
      <c r="A4639" s="14">
        <f>DATE(2012,12,31)-1357</f>
        <v>39917</v>
      </c>
      <c r="B4639" s="15" t="s">
        <v>1813</v>
      </c>
      <c r="C4639" s="15" t="s">
        <v>31</v>
      </c>
      <c r="D4639" s="16">
        <v>14</v>
      </c>
      <c r="E4639" s="17">
        <v>1386.65</v>
      </c>
      <c r="F4639" s="16">
        <v>0.09</v>
      </c>
      <c r="G4639" s="15" t="s">
        <v>58</v>
      </c>
      <c r="H4639" s="18">
        <v>-193.58</v>
      </c>
      <c r="I4639" s="19">
        <v>100.98</v>
      </c>
      <c r="J4639" s="19">
        <v>35.840000000000003</v>
      </c>
      <c r="K4639" s="19" t="s">
        <v>44</v>
      </c>
      <c r="L4639" s="19" t="s">
        <v>52</v>
      </c>
      <c r="M4639" s="15" t="s">
        <v>2183</v>
      </c>
      <c r="N4639" s="15" t="s">
        <v>54</v>
      </c>
      <c r="O4639" s="15" t="s">
        <v>134</v>
      </c>
      <c r="P4639" s="20" t="s">
        <v>440</v>
      </c>
      <c r="Q4639" s="15" t="s">
        <v>63</v>
      </c>
      <c r="R4639" s="4"/>
      <c r="S4639" s="4"/>
    </row>
    <row r="4640" spans="1:19" ht="21" customHeight="1" x14ac:dyDescent="0.25">
      <c r="A4640" s="14">
        <f>DATE(2012,12,31)-1437</f>
        <v>39837</v>
      </c>
      <c r="B4640" s="15" t="s">
        <v>1237</v>
      </c>
      <c r="C4640" s="15" t="s">
        <v>31</v>
      </c>
      <c r="D4640" s="16">
        <v>5</v>
      </c>
      <c r="E4640" s="17">
        <v>318.31</v>
      </c>
      <c r="F4640" s="16">
        <v>0.08</v>
      </c>
      <c r="G4640" s="15" t="s">
        <v>32</v>
      </c>
      <c r="H4640" s="18">
        <v>-19.059999999999999</v>
      </c>
      <c r="I4640" s="19">
        <v>67.84</v>
      </c>
      <c r="J4640" s="19">
        <v>0.99</v>
      </c>
      <c r="K4640" s="19" t="s">
        <v>33</v>
      </c>
      <c r="L4640" s="19" t="s">
        <v>59</v>
      </c>
      <c r="M4640" s="15" t="s">
        <v>2185</v>
      </c>
      <c r="N4640" s="15" t="s">
        <v>36</v>
      </c>
      <c r="O4640" s="15" t="s">
        <v>176</v>
      </c>
      <c r="P4640" s="20" t="s">
        <v>2021</v>
      </c>
      <c r="Q4640" s="15" t="s">
        <v>83</v>
      </c>
      <c r="R4640" s="4"/>
      <c r="S4640" s="4"/>
    </row>
    <row r="4641" spans="1:19" ht="21" customHeight="1" x14ac:dyDescent="0.25">
      <c r="A4641" s="14">
        <f>DATE(2012,12,31)-214</f>
        <v>41060</v>
      </c>
      <c r="B4641" s="15" t="s">
        <v>946</v>
      </c>
      <c r="C4641" s="15" t="s">
        <v>51</v>
      </c>
      <c r="D4641" s="16">
        <v>39</v>
      </c>
      <c r="E4641" s="17">
        <v>16028.26</v>
      </c>
      <c r="F4641" s="16">
        <v>0.02</v>
      </c>
      <c r="G4641" s="15" t="s">
        <v>58</v>
      </c>
      <c r="H4641" s="18">
        <v>-1008.7305800000001</v>
      </c>
      <c r="I4641" s="19">
        <v>417.4</v>
      </c>
      <c r="J4641" s="19">
        <v>75.23</v>
      </c>
      <c r="K4641" s="19" t="s">
        <v>124</v>
      </c>
      <c r="L4641" s="19" t="s">
        <v>319</v>
      </c>
      <c r="M4641" s="15" t="s">
        <v>2146</v>
      </c>
      <c r="N4641" s="15" t="s">
        <v>54</v>
      </c>
      <c r="O4641" s="15" t="s">
        <v>61</v>
      </c>
      <c r="P4641" s="20" t="s">
        <v>1983</v>
      </c>
      <c r="Q4641" s="15" t="s">
        <v>63</v>
      </c>
      <c r="R4641" s="4"/>
      <c r="S4641" s="4"/>
    </row>
    <row r="4642" spans="1:19" ht="21" customHeight="1" x14ac:dyDescent="0.25">
      <c r="A4642" s="14">
        <f>DATE(2012,12,31)-214</f>
        <v>41060</v>
      </c>
      <c r="B4642" s="15" t="s">
        <v>946</v>
      </c>
      <c r="C4642" s="15" t="s">
        <v>51</v>
      </c>
      <c r="D4642" s="16">
        <v>8</v>
      </c>
      <c r="E4642" s="17">
        <v>738.25049999999999</v>
      </c>
      <c r="F4642" s="16">
        <v>0.1</v>
      </c>
      <c r="G4642" s="15" t="s">
        <v>32</v>
      </c>
      <c r="H4642" s="18">
        <v>-286.363</v>
      </c>
      <c r="I4642" s="19">
        <v>115.99</v>
      </c>
      <c r="J4642" s="19">
        <v>2.5</v>
      </c>
      <c r="K4642" s="19" t="s">
        <v>44</v>
      </c>
      <c r="L4642" s="19" t="s">
        <v>52</v>
      </c>
      <c r="M4642" s="15" t="s">
        <v>2183</v>
      </c>
      <c r="N4642" s="15" t="s">
        <v>64</v>
      </c>
      <c r="O4642" s="15" t="s">
        <v>65</v>
      </c>
      <c r="P4642" s="20" t="s">
        <v>870</v>
      </c>
      <c r="Q4642" s="15" t="s">
        <v>83</v>
      </c>
      <c r="R4642" s="4"/>
      <c r="S4642" s="4"/>
    </row>
    <row r="4643" spans="1:19" ht="21" customHeight="1" x14ac:dyDescent="0.25">
      <c r="A4643" s="14">
        <f>DATE(2012,12,31)-129</f>
        <v>41145</v>
      </c>
      <c r="B4643" s="15" t="s">
        <v>233</v>
      </c>
      <c r="C4643" s="15" t="s">
        <v>51</v>
      </c>
      <c r="D4643" s="16">
        <v>24</v>
      </c>
      <c r="E4643" s="17">
        <v>550.67999999999995</v>
      </c>
      <c r="F4643" s="16">
        <v>0.08</v>
      </c>
      <c r="G4643" s="15" t="s">
        <v>58</v>
      </c>
      <c r="H4643" s="18">
        <v>-134.63</v>
      </c>
      <c r="I4643" s="19">
        <v>23.99</v>
      </c>
      <c r="J4643" s="19">
        <v>15.68</v>
      </c>
      <c r="K4643" s="19" t="s">
        <v>44</v>
      </c>
      <c r="L4643" s="19" t="s">
        <v>52</v>
      </c>
      <c r="M4643" s="15" t="s">
        <v>2183</v>
      </c>
      <c r="N4643" s="15" t="s">
        <v>54</v>
      </c>
      <c r="O4643" s="15" t="s">
        <v>55</v>
      </c>
      <c r="P4643" s="20" t="s">
        <v>1975</v>
      </c>
      <c r="Q4643" s="15" t="s">
        <v>181</v>
      </c>
      <c r="R4643" s="4"/>
      <c r="S4643" s="4"/>
    </row>
    <row r="4644" spans="1:19" ht="21" customHeight="1" x14ac:dyDescent="0.25">
      <c r="A4644" s="14">
        <f>DATE(2012,12,31)-129</f>
        <v>41145</v>
      </c>
      <c r="B4644" s="15" t="s">
        <v>233</v>
      </c>
      <c r="C4644" s="15" t="s">
        <v>51</v>
      </c>
      <c r="D4644" s="16">
        <v>18</v>
      </c>
      <c r="E4644" s="17">
        <v>120.96</v>
      </c>
      <c r="F4644" s="16">
        <v>0.02</v>
      </c>
      <c r="G4644" s="15" t="s">
        <v>32</v>
      </c>
      <c r="H4644" s="18">
        <v>-53.69</v>
      </c>
      <c r="I4644" s="19">
        <v>6.48</v>
      </c>
      <c r="J4644" s="19">
        <v>6.65</v>
      </c>
      <c r="K4644" s="19" t="s">
        <v>44</v>
      </c>
      <c r="L4644" s="19" t="s">
        <v>52</v>
      </c>
      <c r="M4644" s="15" t="s">
        <v>2183</v>
      </c>
      <c r="N4644" s="15" t="s">
        <v>36</v>
      </c>
      <c r="O4644" s="15" t="s">
        <v>117</v>
      </c>
      <c r="P4644" s="20" t="s">
        <v>1052</v>
      </c>
      <c r="Q4644" s="15" t="s">
        <v>83</v>
      </c>
      <c r="R4644" s="4"/>
      <c r="S4644" s="4"/>
    </row>
    <row r="4645" spans="1:19" ht="21" customHeight="1" x14ac:dyDescent="0.25">
      <c r="A4645" s="14">
        <f>DATE(2012,12,31)-1046</f>
        <v>40228</v>
      </c>
      <c r="B4645" s="15" t="s">
        <v>108</v>
      </c>
      <c r="C4645" s="15" t="s">
        <v>51</v>
      </c>
      <c r="D4645" s="16">
        <v>3</v>
      </c>
      <c r="E4645" s="17">
        <v>15.88</v>
      </c>
      <c r="F4645" s="16">
        <v>0.05</v>
      </c>
      <c r="G4645" s="15" t="s">
        <v>32</v>
      </c>
      <c r="H4645" s="18">
        <v>-11.04</v>
      </c>
      <c r="I4645" s="19">
        <v>3.74</v>
      </c>
      <c r="J4645" s="19">
        <v>4.6900000000000004</v>
      </c>
      <c r="K4645" s="19" t="s">
        <v>44</v>
      </c>
      <c r="L4645" s="19" t="s">
        <v>52</v>
      </c>
      <c r="M4645" s="15" t="s">
        <v>2183</v>
      </c>
      <c r="N4645" s="15" t="s">
        <v>36</v>
      </c>
      <c r="O4645" s="15" t="s">
        <v>170</v>
      </c>
      <c r="P4645" s="20" t="s">
        <v>1870</v>
      </c>
      <c r="Q4645" s="15" t="s">
        <v>83</v>
      </c>
      <c r="R4645" s="4"/>
      <c r="S4645" s="4"/>
    </row>
    <row r="4646" spans="1:19" ht="21" customHeight="1" x14ac:dyDescent="0.25">
      <c r="A4646" s="14">
        <f>DATE(2012,12,31)-535</f>
        <v>40739</v>
      </c>
      <c r="B4646" s="15" t="s">
        <v>512</v>
      </c>
      <c r="C4646" s="15" t="s">
        <v>51</v>
      </c>
      <c r="D4646" s="16">
        <v>48</v>
      </c>
      <c r="E4646" s="17">
        <v>5318.89</v>
      </c>
      <c r="F4646" s="16">
        <v>0.06</v>
      </c>
      <c r="G4646" s="15" t="s">
        <v>32</v>
      </c>
      <c r="H4646" s="18">
        <v>525.15</v>
      </c>
      <c r="I4646" s="19">
        <v>111.03</v>
      </c>
      <c r="J4646" s="19">
        <v>8.64</v>
      </c>
      <c r="K4646" s="19" t="s">
        <v>44</v>
      </c>
      <c r="L4646" s="19" t="s">
        <v>45</v>
      </c>
      <c r="M4646" s="15" t="s">
        <v>2165</v>
      </c>
      <c r="N4646" s="15" t="s">
        <v>36</v>
      </c>
      <c r="O4646" s="15" t="s">
        <v>37</v>
      </c>
      <c r="P4646" s="20" t="s">
        <v>1561</v>
      </c>
      <c r="Q4646" s="15" t="s">
        <v>83</v>
      </c>
      <c r="R4646" s="4"/>
      <c r="S4646" s="4"/>
    </row>
    <row r="4647" spans="1:19" ht="21" customHeight="1" x14ac:dyDescent="0.25">
      <c r="A4647" s="14">
        <f>DATE(2012,12,31)-1244</f>
        <v>40030</v>
      </c>
      <c r="B4647" s="15" t="s">
        <v>518</v>
      </c>
      <c r="C4647" s="15" t="s">
        <v>85</v>
      </c>
      <c r="D4647" s="16">
        <v>26</v>
      </c>
      <c r="E4647" s="17">
        <v>1033.93</v>
      </c>
      <c r="F4647" s="16">
        <v>0</v>
      </c>
      <c r="G4647" s="15" t="s">
        <v>32</v>
      </c>
      <c r="H4647" s="18">
        <v>63.41</v>
      </c>
      <c r="I4647" s="19">
        <v>37.76</v>
      </c>
      <c r="J4647" s="19">
        <v>12.9</v>
      </c>
      <c r="K4647" s="19" t="s">
        <v>44</v>
      </c>
      <c r="L4647" s="19" t="s">
        <v>52</v>
      </c>
      <c r="M4647" s="15" t="s">
        <v>2183</v>
      </c>
      <c r="N4647" s="15" t="s">
        <v>36</v>
      </c>
      <c r="O4647" s="15" t="s">
        <v>37</v>
      </c>
      <c r="P4647" s="20" t="s">
        <v>1427</v>
      </c>
      <c r="Q4647" s="15" t="s">
        <v>83</v>
      </c>
      <c r="R4647" s="4"/>
      <c r="S4647" s="4"/>
    </row>
    <row r="4648" spans="1:19" ht="21" customHeight="1" x14ac:dyDescent="0.25">
      <c r="A4648" s="14">
        <f>DATE(2012,12,31)-706</f>
        <v>40568</v>
      </c>
      <c r="B4648" s="15" t="s">
        <v>721</v>
      </c>
      <c r="C4648" s="15" t="s">
        <v>51</v>
      </c>
      <c r="D4648" s="16">
        <v>24</v>
      </c>
      <c r="E4648" s="17">
        <v>265.35000000000002</v>
      </c>
      <c r="F4648" s="16">
        <v>0.02</v>
      </c>
      <c r="G4648" s="15" t="s">
        <v>32</v>
      </c>
      <c r="H4648" s="18">
        <v>-128.69</v>
      </c>
      <c r="I4648" s="19">
        <v>9.99</v>
      </c>
      <c r="J4648" s="19">
        <v>11.59</v>
      </c>
      <c r="K4648" s="19" t="s">
        <v>44</v>
      </c>
      <c r="L4648" s="19" t="s">
        <v>52</v>
      </c>
      <c r="M4648" s="15" t="s">
        <v>2183</v>
      </c>
      <c r="N4648" s="15" t="s">
        <v>36</v>
      </c>
      <c r="O4648" s="15" t="s">
        <v>117</v>
      </c>
      <c r="P4648" s="20" t="s">
        <v>1390</v>
      </c>
      <c r="Q4648" s="15" t="s">
        <v>83</v>
      </c>
      <c r="R4648" s="4"/>
      <c r="S4648" s="4"/>
    </row>
    <row r="4649" spans="1:19" ht="21" customHeight="1" x14ac:dyDescent="0.25">
      <c r="A4649" s="14">
        <f>DATE(2012,12,31)-1415</f>
        <v>39859</v>
      </c>
      <c r="B4649" s="15" t="s">
        <v>2061</v>
      </c>
      <c r="C4649" s="15" t="s">
        <v>43</v>
      </c>
      <c r="D4649" s="16">
        <v>30</v>
      </c>
      <c r="E4649" s="17">
        <v>4846.74</v>
      </c>
      <c r="F4649" s="16">
        <v>0.01</v>
      </c>
      <c r="G4649" s="15" t="s">
        <v>32</v>
      </c>
      <c r="H4649" s="18">
        <v>1689.93</v>
      </c>
      <c r="I4649" s="19">
        <v>159.99</v>
      </c>
      <c r="J4649" s="19">
        <v>5.5</v>
      </c>
      <c r="K4649" s="19" t="s">
        <v>44</v>
      </c>
      <c r="L4649" s="19" t="s">
        <v>52</v>
      </c>
      <c r="M4649" s="15" t="s">
        <v>2183</v>
      </c>
      <c r="N4649" s="15" t="s">
        <v>64</v>
      </c>
      <c r="O4649" s="15" t="s">
        <v>72</v>
      </c>
      <c r="P4649" s="20" t="s">
        <v>1225</v>
      </c>
      <c r="Q4649" s="15" t="s">
        <v>83</v>
      </c>
      <c r="R4649" s="4"/>
      <c r="S4649" s="4"/>
    </row>
    <row r="4650" spans="1:19" ht="21" customHeight="1" x14ac:dyDescent="0.25">
      <c r="A4650" s="14">
        <f>DATE(2012,12,31)-1415</f>
        <v>39859</v>
      </c>
      <c r="B4650" s="15" t="s">
        <v>2061</v>
      </c>
      <c r="C4650" s="15" t="s">
        <v>43</v>
      </c>
      <c r="D4650" s="16">
        <v>34</v>
      </c>
      <c r="E4650" s="17">
        <v>2548.3000000000002</v>
      </c>
      <c r="F4650" s="16">
        <v>0.1</v>
      </c>
      <c r="G4650" s="15" t="s">
        <v>32</v>
      </c>
      <c r="H4650" s="18">
        <v>875.57</v>
      </c>
      <c r="I4650" s="19">
        <v>78.69</v>
      </c>
      <c r="J4650" s="19">
        <v>19.989999999999998</v>
      </c>
      <c r="K4650" s="19" t="s">
        <v>44</v>
      </c>
      <c r="L4650" s="19" t="s">
        <v>52</v>
      </c>
      <c r="M4650" s="15" t="s">
        <v>2183</v>
      </c>
      <c r="N4650" s="15" t="s">
        <v>54</v>
      </c>
      <c r="O4650" s="15" t="s">
        <v>55</v>
      </c>
      <c r="P4650" s="20" t="s">
        <v>1922</v>
      </c>
      <c r="Q4650" s="15" t="s">
        <v>83</v>
      </c>
      <c r="R4650" s="4"/>
      <c r="S4650" s="4"/>
    </row>
    <row r="4651" spans="1:19" ht="21" customHeight="1" x14ac:dyDescent="0.25">
      <c r="A4651" s="14">
        <f>DATE(2012,12,31)-926</f>
        <v>40348</v>
      </c>
      <c r="B4651" s="15" t="s">
        <v>1898</v>
      </c>
      <c r="C4651" s="15" t="s">
        <v>31</v>
      </c>
      <c r="D4651" s="16">
        <v>21</v>
      </c>
      <c r="E4651" s="17">
        <v>8468.6299999999992</v>
      </c>
      <c r="F4651" s="16">
        <v>0</v>
      </c>
      <c r="G4651" s="15" t="s">
        <v>58</v>
      </c>
      <c r="H4651" s="18">
        <v>2819.96</v>
      </c>
      <c r="I4651" s="19">
        <v>400.97</v>
      </c>
      <c r="J4651" s="19">
        <v>48.26</v>
      </c>
      <c r="K4651" s="19" t="s">
        <v>44</v>
      </c>
      <c r="L4651" s="19" t="s">
        <v>52</v>
      </c>
      <c r="M4651" s="15" t="s">
        <v>2183</v>
      </c>
      <c r="N4651" s="15" t="s">
        <v>64</v>
      </c>
      <c r="O4651" s="15" t="s">
        <v>122</v>
      </c>
      <c r="P4651" s="20" t="s">
        <v>1937</v>
      </c>
      <c r="Q4651" s="15" t="s">
        <v>63</v>
      </c>
      <c r="R4651" s="4"/>
      <c r="S4651" s="4"/>
    </row>
    <row r="4652" spans="1:19" ht="21" customHeight="1" x14ac:dyDescent="0.25">
      <c r="A4652" s="14">
        <f>DATE(2012,12,31)-768</f>
        <v>40506</v>
      </c>
      <c r="B4652" s="15" t="s">
        <v>820</v>
      </c>
      <c r="C4652" s="15" t="s">
        <v>85</v>
      </c>
      <c r="D4652" s="16">
        <v>41</v>
      </c>
      <c r="E4652" s="17">
        <v>6045.98</v>
      </c>
      <c r="F4652" s="16">
        <v>0.08</v>
      </c>
      <c r="G4652" s="15" t="s">
        <v>58</v>
      </c>
      <c r="H4652" s="18">
        <v>-996.67</v>
      </c>
      <c r="I4652" s="19">
        <v>150.97999999999999</v>
      </c>
      <c r="J4652" s="19">
        <v>66.27</v>
      </c>
      <c r="K4652" s="19" t="s">
        <v>44</v>
      </c>
      <c r="L4652" s="19" t="s">
        <v>52</v>
      </c>
      <c r="M4652" s="15" t="s">
        <v>2183</v>
      </c>
      <c r="N4652" s="15" t="s">
        <v>54</v>
      </c>
      <c r="O4652" s="15" t="s">
        <v>134</v>
      </c>
      <c r="P4652" s="20" t="s">
        <v>1113</v>
      </c>
      <c r="Q4652" s="15" t="s">
        <v>63</v>
      </c>
      <c r="R4652" s="4"/>
      <c r="S4652" s="4"/>
    </row>
    <row r="4653" spans="1:19" ht="21" customHeight="1" x14ac:dyDescent="0.25">
      <c r="A4653" s="14">
        <f>DATE(2012,12,31)-415</f>
        <v>40859</v>
      </c>
      <c r="B4653" s="15" t="s">
        <v>1528</v>
      </c>
      <c r="C4653" s="15" t="s">
        <v>85</v>
      </c>
      <c r="D4653" s="16">
        <v>46</v>
      </c>
      <c r="E4653" s="17">
        <v>5979.84</v>
      </c>
      <c r="F4653" s="16">
        <v>0.01</v>
      </c>
      <c r="G4653" s="15" t="s">
        <v>101</v>
      </c>
      <c r="H4653" s="18">
        <v>1779.01</v>
      </c>
      <c r="I4653" s="19">
        <v>128.24</v>
      </c>
      <c r="J4653" s="19">
        <v>12.65</v>
      </c>
      <c r="K4653" s="19" t="s">
        <v>44</v>
      </c>
      <c r="L4653" s="19" t="s">
        <v>52</v>
      </c>
      <c r="M4653" s="15" t="s">
        <v>2183</v>
      </c>
      <c r="N4653" s="15" t="s">
        <v>54</v>
      </c>
      <c r="O4653" s="15" t="s">
        <v>252</v>
      </c>
      <c r="P4653" s="20" t="s">
        <v>585</v>
      </c>
      <c r="Q4653" s="15" t="s">
        <v>57</v>
      </c>
      <c r="R4653" s="4"/>
      <c r="S4653" s="4"/>
    </row>
    <row r="4654" spans="1:19" ht="21" customHeight="1" x14ac:dyDescent="0.25">
      <c r="A4654" s="14">
        <f>DATE(2012,12,31)-415</f>
        <v>40859</v>
      </c>
      <c r="B4654" s="15" t="s">
        <v>1528</v>
      </c>
      <c r="C4654" s="15" t="s">
        <v>85</v>
      </c>
      <c r="D4654" s="16">
        <v>28</v>
      </c>
      <c r="E4654" s="17">
        <v>175.76</v>
      </c>
      <c r="F4654" s="16">
        <v>0.06</v>
      </c>
      <c r="G4654" s="15" t="s">
        <v>32</v>
      </c>
      <c r="H4654" s="18">
        <v>80.36</v>
      </c>
      <c r="I4654" s="19">
        <v>6.3</v>
      </c>
      <c r="J4654" s="19">
        <v>0.5</v>
      </c>
      <c r="K4654" s="19" t="s">
        <v>44</v>
      </c>
      <c r="L4654" s="19" t="s">
        <v>52</v>
      </c>
      <c r="M4654" s="15" t="s">
        <v>2183</v>
      </c>
      <c r="N4654" s="15" t="s">
        <v>36</v>
      </c>
      <c r="O4654" s="15" t="s">
        <v>114</v>
      </c>
      <c r="P4654" s="20" t="s">
        <v>916</v>
      </c>
      <c r="Q4654" s="15" t="s">
        <v>83</v>
      </c>
      <c r="R4654" s="4"/>
      <c r="S4654" s="4"/>
    </row>
    <row r="4655" spans="1:19" ht="21" customHeight="1" x14ac:dyDescent="0.25">
      <c r="A4655" s="14">
        <f>DATE(2012,12,31)-771</f>
        <v>40503</v>
      </c>
      <c r="B4655" s="15" t="s">
        <v>300</v>
      </c>
      <c r="C4655" s="15" t="s">
        <v>85</v>
      </c>
      <c r="D4655" s="16">
        <v>19</v>
      </c>
      <c r="E4655" s="17">
        <v>2569.6264999999999</v>
      </c>
      <c r="F4655" s="16">
        <v>0</v>
      </c>
      <c r="G4655" s="15" t="s">
        <v>32</v>
      </c>
      <c r="H4655" s="18">
        <v>398.00700000000001</v>
      </c>
      <c r="I4655" s="19">
        <v>155.99</v>
      </c>
      <c r="J4655" s="19">
        <v>8.99</v>
      </c>
      <c r="K4655" s="19" t="s">
        <v>44</v>
      </c>
      <c r="L4655" s="19" t="s">
        <v>52</v>
      </c>
      <c r="M4655" s="15" t="s">
        <v>2183</v>
      </c>
      <c r="N4655" s="15" t="s">
        <v>64</v>
      </c>
      <c r="O4655" s="15" t="s">
        <v>65</v>
      </c>
      <c r="P4655" s="20" t="s">
        <v>2092</v>
      </c>
      <c r="Q4655" s="15" t="s">
        <v>83</v>
      </c>
      <c r="R4655" s="4"/>
      <c r="S4655" s="4"/>
    </row>
    <row r="4656" spans="1:19" ht="21" customHeight="1" x14ac:dyDescent="0.25">
      <c r="A4656" s="14">
        <f>DATE(2012,12,31)-881</f>
        <v>40393</v>
      </c>
      <c r="B4656" s="15" t="s">
        <v>390</v>
      </c>
      <c r="C4656" s="15" t="s">
        <v>85</v>
      </c>
      <c r="D4656" s="16">
        <v>7</v>
      </c>
      <c r="E4656" s="17">
        <v>368.02449999999999</v>
      </c>
      <c r="F4656" s="16">
        <v>0.09</v>
      </c>
      <c r="G4656" s="15" t="s">
        <v>32</v>
      </c>
      <c r="H4656" s="18">
        <v>-218.81199999999998</v>
      </c>
      <c r="I4656" s="19">
        <v>65.989999999999995</v>
      </c>
      <c r="J4656" s="19">
        <v>4.2</v>
      </c>
      <c r="K4656" s="19" t="s">
        <v>44</v>
      </c>
      <c r="L4656" s="19" t="s">
        <v>52</v>
      </c>
      <c r="M4656" s="15" t="s">
        <v>2183</v>
      </c>
      <c r="N4656" s="15" t="s">
        <v>64</v>
      </c>
      <c r="O4656" s="15" t="s">
        <v>65</v>
      </c>
      <c r="P4656" s="20" t="s">
        <v>1774</v>
      </c>
      <c r="Q4656" s="15" t="s">
        <v>83</v>
      </c>
      <c r="R4656" s="4"/>
      <c r="S4656" s="4"/>
    </row>
    <row r="4657" spans="1:19" ht="21" customHeight="1" x14ac:dyDescent="0.25">
      <c r="A4657" s="14">
        <f>DATE(2012,12,31)-248</f>
        <v>41026</v>
      </c>
      <c r="B4657" s="15" t="s">
        <v>1961</v>
      </c>
      <c r="C4657" s="15" t="s">
        <v>85</v>
      </c>
      <c r="D4657" s="16">
        <v>3</v>
      </c>
      <c r="E4657" s="17">
        <v>56.695</v>
      </c>
      <c r="F4657" s="16">
        <v>0.01</v>
      </c>
      <c r="G4657" s="15" t="s">
        <v>32</v>
      </c>
      <c r="H4657" s="18">
        <v>-70.971999999999994</v>
      </c>
      <c r="I4657" s="19">
        <v>20.99</v>
      </c>
      <c r="J4657" s="19">
        <v>0.99</v>
      </c>
      <c r="K4657" s="19" t="s">
        <v>69</v>
      </c>
      <c r="L4657" s="19" t="s">
        <v>70</v>
      </c>
      <c r="M4657" s="15" t="s">
        <v>1895</v>
      </c>
      <c r="N4657" s="15" t="s">
        <v>64</v>
      </c>
      <c r="O4657" s="15" t="s">
        <v>65</v>
      </c>
      <c r="P4657" s="20" t="s">
        <v>1101</v>
      </c>
      <c r="Q4657" s="15" t="s">
        <v>79</v>
      </c>
      <c r="R4657" s="4"/>
      <c r="S4657" s="4"/>
    </row>
    <row r="4658" spans="1:19" ht="21" customHeight="1" x14ac:dyDescent="0.25">
      <c r="A4658" s="14">
        <f>DATE(2012,12,31)-322</f>
        <v>40952</v>
      </c>
      <c r="B4658" s="15" t="s">
        <v>1311</v>
      </c>
      <c r="C4658" s="15" t="s">
        <v>43</v>
      </c>
      <c r="D4658" s="16">
        <v>32</v>
      </c>
      <c r="E4658" s="17">
        <v>402.49</v>
      </c>
      <c r="F4658" s="16">
        <v>0</v>
      </c>
      <c r="G4658" s="15" t="s">
        <v>32</v>
      </c>
      <c r="H4658" s="18">
        <v>41.794499999999999</v>
      </c>
      <c r="I4658" s="19">
        <v>11.7</v>
      </c>
      <c r="J4658" s="19">
        <v>5.63</v>
      </c>
      <c r="K4658" s="19" t="s">
        <v>44</v>
      </c>
      <c r="L4658" s="19" t="s">
        <v>45</v>
      </c>
      <c r="M4658" s="15" t="s">
        <v>2165</v>
      </c>
      <c r="N4658" s="15" t="s">
        <v>36</v>
      </c>
      <c r="O4658" s="15" t="s">
        <v>170</v>
      </c>
      <c r="P4658" s="20" t="s">
        <v>323</v>
      </c>
      <c r="Q4658" s="15" t="s">
        <v>83</v>
      </c>
      <c r="R4658" s="4"/>
      <c r="S4658" s="4"/>
    </row>
    <row r="4659" spans="1:19" ht="21" customHeight="1" x14ac:dyDescent="0.25">
      <c r="A4659" s="14">
        <f>DATE(2012,12,31)-322</f>
        <v>40952</v>
      </c>
      <c r="B4659" s="15" t="s">
        <v>1311</v>
      </c>
      <c r="C4659" s="15" t="s">
        <v>43</v>
      </c>
      <c r="D4659" s="16">
        <v>1</v>
      </c>
      <c r="E4659" s="17">
        <v>1754.29</v>
      </c>
      <c r="F4659" s="16">
        <v>0.09</v>
      </c>
      <c r="G4659" s="15" t="s">
        <v>32</v>
      </c>
      <c r="H4659" s="18">
        <v>-961.50350000000003</v>
      </c>
      <c r="I4659" s="19">
        <v>1889.99</v>
      </c>
      <c r="J4659" s="19">
        <v>19.989999999999998</v>
      </c>
      <c r="K4659" s="19" t="s">
        <v>33</v>
      </c>
      <c r="L4659" s="19" t="s">
        <v>34</v>
      </c>
      <c r="M4659" s="15" t="s">
        <v>2043</v>
      </c>
      <c r="N4659" s="15" t="s">
        <v>36</v>
      </c>
      <c r="O4659" s="15" t="s">
        <v>170</v>
      </c>
      <c r="P4659" s="20" t="s">
        <v>2096</v>
      </c>
      <c r="Q4659" s="15" t="s">
        <v>83</v>
      </c>
      <c r="R4659" s="4"/>
      <c r="S4659" s="4"/>
    </row>
    <row r="4660" spans="1:19" ht="21" customHeight="1" x14ac:dyDescent="0.25">
      <c r="A4660" s="14">
        <f>DATE(2012,12,31)-125</f>
        <v>41149</v>
      </c>
      <c r="B4660" s="15" t="s">
        <v>1046</v>
      </c>
      <c r="C4660" s="15" t="s">
        <v>31</v>
      </c>
      <c r="D4660" s="16">
        <v>24</v>
      </c>
      <c r="E4660" s="17">
        <v>1350.5309999999999</v>
      </c>
      <c r="F4660" s="16">
        <v>0.01</v>
      </c>
      <c r="G4660" s="15" t="s">
        <v>32</v>
      </c>
      <c r="H4660" s="18">
        <v>221.184</v>
      </c>
      <c r="I4660" s="19">
        <v>65.989999999999995</v>
      </c>
      <c r="J4660" s="19">
        <v>5.26</v>
      </c>
      <c r="K4660" s="19" t="s">
        <v>69</v>
      </c>
      <c r="L4660" s="19" t="s">
        <v>70</v>
      </c>
      <c r="M4660" s="15" t="s">
        <v>1895</v>
      </c>
      <c r="N4660" s="15" t="s">
        <v>64</v>
      </c>
      <c r="O4660" s="15" t="s">
        <v>65</v>
      </c>
      <c r="P4660" s="20" t="s">
        <v>488</v>
      </c>
      <c r="Q4660" s="15" t="s">
        <v>83</v>
      </c>
      <c r="R4660" s="4"/>
      <c r="S4660" s="4"/>
    </row>
    <row r="4661" spans="1:19" ht="21" customHeight="1" x14ac:dyDescent="0.25">
      <c r="A4661" s="14">
        <f>DATE(2012,12,31)-1137</f>
        <v>40137</v>
      </c>
      <c r="B4661" s="15" t="s">
        <v>1273</v>
      </c>
      <c r="C4661" s="15" t="s">
        <v>31</v>
      </c>
      <c r="D4661" s="16">
        <v>3</v>
      </c>
      <c r="E4661" s="17">
        <v>87.21</v>
      </c>
      <c r="F4661" s="16">
        <v>0.02</v>
      </c>
      <c r="G4661" s="15" t="s">
        <v>32</v>
      </c>
      <c r="H4661" s="18">
        <v>-96.54</v>
      </c>
      <c r="I4661" s="19">
        <v>27.48</v>
      </c>
      <c r="J4661" s="19">
        <v>4</v>
      </c>
      <c r="K4661" s="19" t="s">
        <v>44</v>
      </c>
      <c r="L4661" s="19" t="s">
        <v>89</v>
      </c>
      <c r="M4661" s="15" t="s">
        <v>1932</v>
      </c>
      <c r="N4661" s="15" t="s">
        <v>64</v>
      </c>
      <c r="O4661" s="15" t="s">
        <v>72</v>
      </c>
      <c r="P4661" s="20" t="s">
        <v>1322</v>
      </c>
      <c r="Q4661" s="15" t="s">
        <v>83</v>
      </c>
      <c r="R4661" s="4"/>
      <c r="S4661" s="4"/>
    </row>
    <row r="4662" spans="1:19" ht="21" customHeight="1" x14ac:dyDescent="0.25">
      <c r="A4662" s="14">
        <f>DATE(2012,12,31)-1137</f>
        <v>40137</v>
      </c>
      <c r="B4662" s="15" t="s">
        <v>1273</v>
      </c>
      <c r="C4662" s="15" t="s">
        <v>31</v>
      </c>
      <c r="D4662" s="16">
        <v>5</v>
      </c>
      <c r="E4662" s="17">
        <v>50.19</v>
      </c>
      <c r="F4662" s="16">
        <v>0.08</v>
      </c>
      <c r="G4662" s="15" t="s">
        <v>32</v>
      </c>
      <c r="H4662" s="18">
        <v>0.14999999999999858</v>
      </c>
      <c r="I4662" s="19">
        <v>10.06</v>
      </c>
      <c r="J4662" s="19">
        <v>2.06</v>
      </c>
      <c r="K4662" s="19" t="s">
        <v>33</v>
      </c>
      <c r="L4662" s="19" t="s">
        <v>128</v>
      </c>
      <c r="M4662" s="15" t="s">
        <v>129</v>
      </c>
      <c r="N4662" s="15" t="s">
        <v>36</v>
      </c>
      <c r="O4662" s="15" t="s">
        <v>117</v>
      </c>
      <c r="P4662" s="20" t="s">
        <v>837</v>
      </c>
      <c r="Q4662" s="15" t="s">
        <v>79</v>
      </c>
      <c r="R4662" s="4"/>
      <c r="S4662" s="4"/>
    </row>
    <row r="4663" spans="1:19" ht="21" customHeight="1" x14ac:dyDescent="0.25">
      <c r="A4663" s="14">
        <f>DATE(2012,12,31)-1390</f>
        <v>39884</v>
      </c>
      <c r="B4663" s="15" t="s">
        <v>1077</v>
      </c>
      <c r="C4663" s="15" t="s">
        <v>51</v>
      </c>
      <c r="D4663" s="16">
        <v>20</v>
      </c>
      <c r="E4663" s="17">
        <v>1388.91</v>
      </c>
      <c r="F4663" s="16">
        <v>0.1</v>
      </c>
      <c r="G4663" s="15" t="s">
        <v>32</v>
      </c>
      <c r="H4663" s="18">
        <v>-229.87</v>
      </c>
      <c r="I4663" s="19">
        <v>73.98</v>
      </c>
      <c r="J4663" s="19">
        <v>4</v>
      </c>
      <c r="K4663" s="19" t="s">
        <v>124</v>
      </c>
      <c r="L4663" s="19" t="s">
        <v>160</v>
      </c>
      <c r="M4663" s="15" t="s">
        <v>2181</v>
      </c>
      <c r="N4663" s="15" t="s">
        <v>64</v>
      </c>
      <c r="O4663" s="15" t="s">
        <v>72</v>
      </c>
      <c r="P4663" s="20" t="s">
        <v>842</v>
      </c>
      <c r="Q4663" s="15" t="s">
        <v>83</v>
      </c>
      <c r="R4663" s="4"/>
      <c r="S4663" s="4"/>
    </row>
    <row r="4664" spans="1:19" ht="21" customHeight="1" x14ac:dyDescent="0.25">
      <c r="A4664" s="14">
        <f>DATE(2012,12,31)-1390</f>
        <v>39884</v>
      </c>
      <c r="B4664" s="15" t="s">
        <v>1077</v>
      </c>
      <c r="C4664" s="15" t="s">
        <v>51</v>
      </c>
      <c r="D4664" s="16">
        <v>34</v>
      </c>
      <c r="E4664" s="17">
        <v>1806.65</v>
      </c>
      <c r="F4664" s="16">
        <v>0.05</v>
      </c>
      <c r="G4664" s="15" t="s">
        <v>32</v>
      </c>
      <c r="H4664" s="18">
        <v>599.04</v>
      </c>
      <c r="I4664" s="19">
        <v>51.98</v>
      </c>
      <c r="J4664" s="19">
        <v>10.17</v>
      </c>
      <c r="K4664" s="19" t="s">
        <v>124</v>
      </c>
      <c r="L4664" s="19" t="s">
        <v>164</v>
      </c>
      <c r="M4664" s="15" t="s">
        <v>2171</v>
      </c>
      <c r="N4664" s="15" t="s">
        <v>64</v>
      </c>
      <c r="O4664" s="15" t="s">
        <v>122</v>
      </c>
      <c r="P4664" s="20" t="s">
        <v>1197</v>
      </c>
      <c r="Q4664" s="15" t="s">
        <v>57</v>
      </c>
      <c r="R4664" s="4"/>
      <c r="S4664" s="4"/>
    </row>
    <row r="4665" spans="1:19" ht="21" customHeight="1" x14ac:dyDescent="0.25">
      <c r="A4665" s="14">
        <f>DATE(2012,12,31)-1090</f>
        <v>40184</v>
      </c>
      <c r="B4665" s="15" t="s">
        <v>1250</v>
      </c>
      <c r="C4665" s="15" t="s">
        <v>43</v>
      </c>
      <c r="D4665" s="16">
        <v>25</v>
      </c>
      <c r="E4665" s="17">
        <v>113.8</v>
      </c>
      <c r="F4665" s="16">
        <v>7.0000000000000007E-2</v>
      </c>
      <c r="G4665" s="15" t="s">
        <v>32</v>
      </c>
      <c r="H4665" s="18">
        <v>-84.076499999999996</v>
      </c>
      <c r="I4665" s="19">
        <v>4.57</v>
      </c>
      <c r="J4665" s="19">
        <v>5.42</v>
      </c>
      <c r="K4665" s="19" t="s">
        <v>44</v>
      </c>
      <c r="L4665" s="19" t="s">
        <v>52</v>
      </c>
      <c r="M4665" s="15" t="s">
        <v>2183</v>
      </c>
      <c r="N4665" s="15" t="s">
        <v>36</v>
      </c>
      <c r="O4665" s="15" t="s">
        <v>170</v>
      </c>
      <c r="P4665" s="20" t="s">
        <v>543</v>
      </c>
      <c r="Q4665" s="15" t="s">
        <v>83</v>
      </c>
      <c r="R4665" s="4"/>
      <c r="S4665" s="4"/>
    </row>
    <row r="4666" spans="1:19" ht="21" customHeight="1" x14ac:dyDescent="0.25">
      <c r="A4666" s="14">
        <f>DATE(2012,12,31)-1090</f>
        <v>40184</v>
      </c>
      <c r="B4666" s="15" t="s">
        <v>1250</v>
      </c>
      <c r="C4666" s="15" t="s">
        <v>43</v>
      </c>
      <c r="D4666" s="16">
        <v>29</v>
      </c>
      <c r="E4666" s="17">
        <v>480.13</v>
      </c>
      <c r="F4666" s="16">
        <v>0.04</v>
      </c>
      <c r="G4666" s="15" t="s">
        <v>32</v>
      </c>
      <c r="H4666" s="18">
        <v>53.67</v>
      </c>
      <c r="I4666" s="19">
        <v>16.16</v>
      </c>
      <c r="J4666" s="19">
        <v>7.74</v>
      </c>
      <c r="K4666" s="19" t="s">
        <v>69</v>
      </c>
      <c r="L4666" s="19" t="s">
        <v>75</v>
      </c>
      <c r="M4666" s="15" t="s">
        <v>1980</v>
      </c>
      <c r="N4666" s="15" t="s">
        <v>54</v>
      </c>
      <c r="O4666" s="15" t="s">
        <v>55</v>
      </c>
      <c r="P4666" s="20" t="s">
        <v>2196</v>
      </c>
      <c r="Q4666" s="15" t="s">
        <v>83</v>
      </c>
      <c r="R4666" s="4"/>
      <c r="S4666" s="4"/>
    </row>
    <row r="4667" spans="1:19" ht="21" customHeight="1" x14ac:dyDescent="0.25">
      <c r="A4667" s="14">
        <f>DATE(2012,12,31)-387</f>
        <v>40887</v>
      </c>
      <c r="B4667" s="15" t="s">
        <v>290</v>
      </c>
      <c r="C4667" s="15" t="s">
        <v>51</v>
      </c>
      <c r="D4667" s="16">
        <v>32</v>
      </c>
      <c r="E4667" s="17">
        <v>7341.96</v>
      </c>
      <c r="F4667" s="16">
        <v>0</v>
      </c>
      <c r="G4667" s="15" t="s">
        <v>58</v>
      </c>
      <c r="H4667" s="18">
        <v>764.95</v>
      </c>
      <c r="I4667" s="19">
        <v>216.6</v>
      </c>
      <c r="J4667" s="19">
        <v>64.2</v>
      </c>
      <c r="K4667" s="19" t="s">
        <v>69</v>
      </c>
      <c r="L4667" s="19" t="s">
        <v>70</v>
      </c>
      <c r="M4667" s="15" t="s">
        <v>1895</v>
      </c>
      <c r="N4667" s="15" t="s">
        <v>54</v>
      </c>
      <c r="O4667" s="15" t="s">
        <v>252</v>
      </c>
      <c r="P4667" s="20" t="s">
        <v>855</v>
      </c>
      <c r="Q4667" s="15" t="s">
        <v>181</v>
      </c>
      <c r="R4667" s="4"/>
      <c r="S4667" s="4"/>
    </row>
    <row r="4668" spans="1:19" ht="21" customHeight="1" x14ac:dyDescent="0.25">
      <c r="A4668" s="14">
        <f>DATE(2012,12,31)-1356</f>
        <v>39918</v>
      </c>
      <c r="B4668" s="15" t="s">
        <v>1041</v>
      </c>
      <c r="C4668" s="15" t="s">
        <v>43</v>
      </c>
      <c r="D4668" s="16">
        <v>49</v>
      </c>
      <c r="E4668" s="17">
        <v>3291.13</v>
      </c>
      <c r="F4668" s="16">
        <v>0.09</v>
      </c>
      <c r="G4668" s="15" t="s">
        <v>32</v>
      </c>
      <c r="H4668" s="18">
        <v>925.95</v>
      </c>
      <c r="I4668" s="19">
        <v>70.97</v>
      </c>
      <c r="J4668" s="19">
        <v>3.5</v>
      </c>
      <c r="K4668" s="19" t="s">
        <v>69</v>
      </c>
      <c r="L4668" s="19" t="s">
        <v>75</v>
      </c>
      <c r="M4668" s="15" t="s">
        <v>1980</v>
      </c>
      <c r="N4668" s="15" t="s">
        <v>36</v>
      </c>
      <c r="O4668" s="15" t="s">
        <v>176</v>
      </c>
      <c r="P4668" s="20" t="s">
        <v>339</v>
      </c>
      <c r="Q4668" s="15" t="s">
        <v>83</v>
      </c>
      <c r="R4668" s="4"/>
      <c r="S4668" s="4"/>
    </row>
    <row r="4669" spans="1:19" ht="21" customHeight="1" x14ac:dyDescent="0.25">
      <c r="A4669" s="14">
        <f>DATE(2012,12,31)-1356</f>
        <v>39918</v>
      </c>
      <c r="B4669" s="15" t="s">
        <v>1041</v>
      </c>
      <c r="C4669" s="15" t="s">
        <v>43</v>
      </c>
      <c r="D4669" s="16">
        <v>40</v>
      </c>
      <c r="E4669" s="17">
        <v>736.96</v>
      </c>
      <c r="F4669" s="16">
        <v>0.1</v>
      </c>
      <c r="G4669" s="15" t="s">
        <v>32</v>
      </c>
      <c r="H4669" s="18">
        <v>-34.29</v>
      </c>
      <c r="I4669" s="19">
        <v>19.98</v>
      </c>
      <c r="J4669" s="19">
        <v>10.49</v>
      </c>
      <c r="K4669" s="19" t="s">
        <v>69</v>
      </c>
      <c r="L4669" s="19" t="s">
        <v>215</v>
      </c>
      <c r="M4669" s="15" t="s">
        <v>2197</v>
      </c>
      <c r="N4669" s="15" t="s">
        <v>54</v>
      </c>
      <c r="O4669" s="15" t="s">
        <v>55</v>
      </c>
      <c r="P4669" s="20" t="s">
        <v>889</v>
      </c>
      <c r="Q4669" s="15" t="s">
        <v>83</v>
      </c>
      <c r="R4669" s="4"/>
      <c r="S4669" s="4"/>
    </row>
    <row r="4670" spans="1:19" ht="21" customHeight="1" x14ac:dyDescent="0.25">
      <c r="A4670" s="14">
        <f>DATE(2012,12,31)-195</f>
        <v>41079</v>
      </c>
      <c r="B4670" s="15" t="s">
        <v>416</v>
      </c>
      <c r="C4670" s="15" t="s">
        <v>85</v>
      </c>
      <c r="D4670" s="16">
        <v>18</v>
      </c>
      <c r="E4670" s="17">
        <v>420.76</v>
      </c>
      <c r="F4670" s="16">
        <v>0.05</v>
      </c>
      <c r="G4670" s="15" t="s">
        <v>32</v>
      </c>
      <c r="H4670" s="18">
        <v>-56.212000000000003</v>
      </c>
      <c r="I4670" s="19">
        <v>22.38</v>
      </c>
      <c r="J4670" s="19">
        <v>15.1</v>
      </c>
      <c r="K4670" s="19" t="s">
        <v>111</v>
      </c>
      <c r="L4670" s="19" t="s">
        <v>112</v>
      </c>
      <c r="M4670" s="15" t="s">
        <v>2137</v>
      </c>
      <c r="N4670" s="15" t="s">
        <v>36</v>
      </c>
      <c r="O4670" s="15" t="s">
        <v>170</v>
      </c>
      <c r="P4670" s="20" t="s">
        <v>893</v>
      </c>
      <c r="Q4670" s="15" t="s">
        <v>83</v>
      </c>
      <c r="R4670" s="4"/>
      <c r="S4670" s="4"/>
    </row>
    <row r="4671" spans="1:19" ht="21" customHeight="1" x14ac:dyDescent="0.25">
      <c r="A4671" s="14">
        <f>DATE(2012,12,31)-195</f>
        <v>41079</v>
      </c>
      <c r="B4671" s="15" t="s">
        <v>416</v>
      </c>
      <c r="C4671" s="15" t="s">
        <v>85</v>
      </c>
      <c r="D4671" s="16">
        <v>30</v>
      </c>
      <c r="E4671" s="17">
        <v>1676.46</v>
      </c>
      <c r="F4671" s="16">
        <v>0.1</v>
      </c>
      <c r="G4671" s="15" t="s">
        <v>58</v>
      </c>
      <c r="H4671" s="18">
        <v>-626.08000000000004</v>
      </c>
      <c r="I4671" s="19">
        <v>60.98</v>
      </c>
      <c r="J4671" s="19">
        <v>30</v>
      </c>
      <c r="K4671" s="19" t="s">
        <v>44</v>
      </c>
      <c r="L4671" s="19" t="s">
        <v>45</v>
      </c>
      <c r="M4671" s="15" t="s">
        <v>2165</v>
      </c>
      <c r="N4671" s="15" t="s">
        <v>54</v>
      </c>
      <c r="O4671" s="15" t="s">
        <v>252</v>
      </c>
      <c r="P4671" s="20" t="s">
        <v>1547</v>
      </c>
      <c r="Q4671" s="15" t="s">
        <v>181</v>
      </c>
      <c r="R4671" s="4"/>
      <c r="S4671" s="4"/>
    </row>
    <row r="4672" spans="1:19" ht="21" customHeight="1" x14ac:dyDescent="0.25">
      <c r="A4672" s="14">
        <f>DATE(2012,12,31)-195</f>
        <v>41079</v>
      </c>
      <c r="B4672" s="15" t="s">
        <v>416</v>
      </c>
      <c r="C4672" s="15" t="s">
        <v>85</v>
      </c>
      <c r="D4672" s="16">
        <v>48</v>
      </c>
      <c r="E4672" s="17">
        <v>145.66</v>
      </c>
      <c r="F4672" s="16">
        <v>0.02</v>
      </c>
      <c r="G4672" s="15" t="s">
        <v>32</v>
      </c>
      <c r="H4672" s="18">
        <v>28.89</v>
      </c>
      <c r="I4672" s="19">
        <v>2.88</v>
      </c>
      <c r="J4672" s="19">
        <v>0.7</v>
      </c>
      <c r="K4672" s="19" t="s">
        <v>44</v>
      </c>
      <c r="L4672" s="19" t="s">
        <v>89</v>
      </c>
      <c r="M4672" s="15" t="s">
        <v>1932</v>
      </c>
      <c r="N4672" s="15" t="s">
        <v>36</v>
      </c>
      <c r="O4672" s="15" t="s">
        <v>77</v>
      </c>
      <c r="P4672" s="20" t="s">
        <v>482</v>
      </c>
      <c r="Q4672" s="15" t="s">
        <v>79</v>
      </c>
      <c r="R4672" s="4"/>
      <c r="S4672" s="4"/>
    </row>
    <row r="4673" spans="1:19" ht="21" customHeight="1" x14ac:dyDescent="0.25">
      <c r="A4673" s="14">
        <f>DATE(2012,12,31)-1285</f>
        <v>39989</v>
      </c>
      <c r="B4673" s="15" t="s">
        <v>1099</v>
      </c>
      <c r="C4673" s="15" t="s">
        <v>43</v>
      </c>
      <c r="D4673" s="16">
        <v>40</v>
      </c>
      <c r="E4673" s="17">
        <v>7381.19</v>
      </c>
      <c r="F4673" s="16">
        <v>0.04</v>
      </c>
      <c r="G4673" s="15" t="s">
        <v>32</v>
      </c>
      <c r="H4673" s="18">
        <v>2998.88</v>
      </c>
      <c r="I4673" s="19">
        <v>177.98</v>
      </c>
      <c r="J4673" s="19">
        <v>0.99</v>
      </c>
      <c r="K4673" s="19" t="s">
        <v>44</v>
      </c>
      <c r="L4673" s="19" t="s">
        <v>89</v>
      </c>
      <c r="M4673" s="15" t="s">
        <v>1932</v>
      </c>
      <c r="N4673" s="15" t="s">
        <v>36</v>
      </c>
      <c r="O4673" s="15" t="s">
        <v>176</v>
      </c>
      <c r="P4673" s="20" t="s">
        <v>2192</v>
      </c>
      <c r="Q4673" s="15" t="s">
        <v>83</v>
      </c>
      <c r="R4673" s="4"/>
      <c r="S4673" s="4"/>
    </row>
    <row r="4674" spans="1:19" ht="21" customHeight="1" x14ac:dyDescent="0.25">
      <c r="A4674" s="14">
        <f>DATE(2012,12,31)-397</f>
        <v>40877</v>
      </c>
      <c r="B4674" s="15" t="s">
        <v>555</v>
      </c>
      <c r="C4674" s="15" t="s">
        <v>43</v>
      </c>
      <c r="D4674" s="16">
        <v>6</v>
      </c>
      <c r="E4674" s="17">
        <v>24.2</v>
      </c>
      <c r="F4674" s="16">
        <v>0.08</v>
      </c>
      <c r="G4674" s="15" t="s">
        <v>32</v>
      </c>
      <c r="H4674" s="18">
        <v>-5.2</v>
      </c>
      <c r="I4674" s="19">
        <v>4.13</v>
      </c>
      <c r="J4674" s="19">
        <v>1.17</v>
      </c>
      <c r="K4674" s="19" t="s">
        <v>44</v>
      </c>
      <c r="L4674" s="19" t="s">
        <v>120</v>
      </c>
      <c r="M4674" s="15" t="s">
        <v>2025</v>
      </c>
      <c r="N4674" s="15" t="s">
        <v>36</v>
      </c>
      <c r="O4674" s="15" t="s">
        <v>77</v>
      </c>
      <c r="P4674" s="20" t="s">
        <v>1802</v>
      </c>
      <c r="Q4674" s="15" t="s">
        <v>79</v>
      </c>
      <c r="R4674" s="4"/>
      <c r="S4674" s="4"/>
    </row>
    <row r="4675" spans="1:19" ht="21" customHeight="1" x14ac:dyDescent="0.25">
      <c r="A4675" s="14">
        <f>DATE(2012,12,31)-397</f>
        <v>40877</v>
      </c>
      <c r="B4675" s="15" t="s">
        <v>555</v>
      </c>
      <c r="C4675" s="15" t="s">
        <v>43</v>
      </c>
      <c r="D4675" s="16">
        <v>17</v>
      </c>
      <c r="E4675" s="17">
        <v>524.21199999999999</v>
      </c>
      <c r="F4675" s="16">
        <v>0.04</v>
      </c>
      <c r="G4675" s="15" t="s">
        <v>32</v>
      </c>
      <c r="H4675" s="18">
        <v>127.854</v>
      </c>
      <c r="I4675" s="19">
        <v>35.99</v>
      </c>
      <c r="J4675" s="19">
        <v>3.3</v>
      </c>
      <c r="K4675" s="19" t="s">
        <v>33</v>
      </c>
      <c r="L4675" s="19" t="s">
        <v>128</v>
      </c>
      <c r="M4675" s="15" t="s">
        <v>129</v>
      </c>
      <c r="N4675" s="15" t="s">
        <v>64</v>
      </c>
      <c r="O4675" s="15" t="s">
        <v>65</v>
      </c>
      <c r="P4675" s="20" t="s">
        <v>1720</v>
      </c>
      <c r="Q4675" s="15" t="s">
        <v>49</v>
      </c>
      <c r="R4675" s="4"/>
      <c r="S4675" s="4"/>
    </row>
    <row r="4676" spans="1:19" ht="21" customHeight="1" x14ac:dyDescent="0.25">
      <c r="A4676" s="14">
        <f>DATE(2012,12,31)-424</f>
        <v>40850</v>
      </c>
      <c r="B4676" s="15" t="s">
        <v>108</v>
      </c>
      <c r="C4676" s="15" t="s">
        <v>43</v>
      </c>
      <c r="D4676" s="16">
        <v>11</v>
      </c>
      <c r="E4676" s="17">
        <v>466.35</v>
      </c>
      <c r="F4676" s="16">
        <v>0.01</v>
      </c>
      <c r="G4676" s="15" t="s">
        <v>32</v>
      </c>
      <c r="H4676" s="18">
        <v>159.25</v>
      </c>
      <c r="I4676" s="19">
        <v>39.979999999999997</v>
      </c>
      <c r="J4676" s="19">
        <v>9.1999999999999993</v>
      </c>
      <c r="K4676" s="19" t="s">
        <v>97</v>
      </c>
      <c r="L4676" s="19" t="s">
        <v>98</v>
      </c>
      <c r="M4676" s="15" t="s">
        <v>2161</v>
      </c>
      <c r="N4676" s="15" t="s">
        <v>54</v>
      </c>
      <c r="O4676" s="15" t="s">
        <v>55</v>
      </c>
      <c r="P4676" s="20" t="s">
        <v>1693</v>
      </c>
      <c r="Q4676" s="15" t="s">
        <v>79</v>
      </c>
      <c r="R4676" s="4"/>
      <c r="S4676" s="4"/>
    </row>
    <row r="4677" spans="1:19" ht="21" customHeight="1" x14ac:dyDescent="0.25">
      <c r="A4677" s="14">
        <f>DATE(2012,12,31)-921</f>
        <v>40353</v>
      </c>
      <c r="B4677" s="15" t="s">
        <v>1407</v>
      </c>
      <c r="C4677" s="15" t="s">
        <v>85</v>
      </c>
      <c r="D4677" s="16">
        <v>19</v>
      </c>
      <c r="E4677" s="17">
        <v>108.21</v>
      </c>
      <c r="F4677" s="16">
        <v>0.08</v>
      </c>
      <c r="G4677" s="15" t="s">
        <v>101</v>
      </c>
      <c r="H4677" s="18">
        <v>-50.02</v>
      </c>
      <c r="I4677" s="19">
        <v>5.28</v>
      </c>
      <c r="J4677" s="19">
        <v>5.66</v>
      </c>
      <c r="K4677" s="19" t="s">
        <v>69</v>
      </c>
      <c r="L4677" s="19" t="s">
        <v>75</v>
      </c>
      <c r="M4677" s="15" t="s">
        <v>1980</v>
      </c>
      <c r="N4677" s="15" t="s">
        <v>36</v>
      </c>
      <c r="O4677" s="15" t="s">
        <v>117</v>
      </c>
      <c r="P4677" s="20" t="s">
        <v>2153</v>
      </c>
      <c r="Q4677" s="15" t="s">
        <v>83</v>
      </c>
      <c r="R4677" s="4"/>
      <c r="S4677" s="4"/>
    </row>
    <row r="4678" spans="1:19" ht="21" customHeight="1" x14ac:dyDescent="0.25">
      <c r="A4678" s="14">
        <f>DATE(2012,12,31)-1017</f>
        <v>40257</v>
      </c>
      <c r="B4678" s="15" t="s">
        <v>1724</v>
      </c>
      <c r="C4678" s="15" t="s">
        <v>85</v>
      </c>
      <c r="D4678" s="16">
        <v>48</v>
      </c>
      <c r="E4678" s="17">
        <v>10462.540000000001</v>
      </c>
      <c r="F4678" s="16">
        <v>0.02</v>
      </c>
      <c r="G4678" s="15" t="s">
        <v>58</v>
      </c>
      <c r="H4678" s="18">
        <v>-1402.68</v>
      </c>
      <c r="I4678" s="19">
        <v>218.75</v>
      </c>
      <c r="J4678" s="19">
        <v>69.64</v>
      </c>
      <c r="K4678" s="19" t="s">
        <v>111</v>
      </c>
      <c r="L4678" s="19" t="s">
        <v>442</v>
      </c>
      <c r="M4678" s="15" t="s">
        <v>2010</v>
      </c>
      <c r="N4678" s="15" t="s">
        <v>54</v>
      </c>
      <c r="O4678" s="15" t="s">
        <v>61</v>
      </c>
      <c r="P4678" s="20" t="s">
        <v>425</v>
      </c>
      <c r="Q4678" s="15" t="s">
        <v>63</v>
      </c>
      <c r="R4678" s="4"/>
      <c r="S4678" s="4"/>
    </row>
    <row r="4679" spans="1:19" ht="21" customHeight="1" x14ac:dyDescent="0.25">
      <c r="A4679" s="14">
        <f>DATE(2012,12,31)-275</f>
        <v>40999</v>
      </c>
      <c r="B4679" s="15" t="s">
        <v>412</v>
      </c>
      <c r="C4679" s="15" t="s">
        <v>31</v>
      </c>
      <c r="D4679" s="16">
        <v>21</v>
      </c>
      <c r="E4679" s="17">
        <v>480.39</v>
      </c>
      <c r="F4679" s="16">
        <v>0.01</v>
      </c>
      <c r="G4679" s="15" t="s">
        <v>32</v>
      </c>
      <c r="H4679" s="18">
        <v>144.66</v>
      </c>
      <c r="I4679" s="19">
        <v>22.23</v>
      </c>
      <c r="J4679" s="19">
        <v>8.99</v>
      </c>
      <c r="K4679" s="19" t="s">
        <v>124</v>
      </c>
      <c r="L4679" s="19" t="s">
        <v>125</v>
      </c>
      <c r="M4679" s="15" t="s">
        <v>2048</v>
      </c>
      <c r="N4679" s="15" t="s">
        <v>54</v>
      </c>
      <c r="O4679" s="15" t="s">
        <v>55</v>
      </c>
      <c r="P4679" s="20" t="s">
        <v>757</v>
      </c>
      <c r="Q4679" s="15" t="s">
        <v>49</v>
      </c>
      <c r="R4679" s="4"/>
      <c r="S4679" s="4"/>
    </row>
    <row r="4680" spans="1:19" ht="21" customHeight="1" x14ac:dyDescent="0.25">
      <c r="A4680" s="14">
        <f>DATE(2012,12,31)-347</f>
        <v>40927</v>
      </c>
      <c r="B4680" s="15" t="s">
        <v>1680</v>
      </c>
      <c r="C4680" s="15" t="s">
        <v>51</v>
      </c>
      <c r="D4680" s="16">
        <v>5</v>
      </c>
      <c r="E4680" s="17">
        <v>66.92</v>
      </c>
      <c r="F4680" s="16">
        <v>0.01</v>
      </c>
      <c r="G4680" s="15" t="s">
        <v>32</v>
      </c>
      <c r="H4680" s="18">
        <v>-23.29</v>
      </c>
      <c r="I4680" s="19">
        <v>12.28</v>
      </c>
      <c r="J4680" s="19">
        <v>6.13</v>
      </c>
      <c r="K4680" s="19" t="s">
        <v>44</v>
      </c>
      <c r="L4680" s="19" t="s">
        <v>236</v>
      </c>
      <c r="M4680" s="15" t="s">
        <v>2175</v>
      </c>
      <c r="N4680" s="15" t="s">
        <v>36</v>
      </c>
      <c r="O4680" s="15" t="s">
        <v>37</v>
      </c>
      <c r="P4680" s="20" t="s">
        <v>1707</v>
      </c>
      <c r="Q4680" s="15" t="s">
        <v>83</v>
      </c>
      <c r="R4680" s="4"/>
      <c r="S4680" s="4"/>
    </row>
    <row r="4681" spans="1:19" ht="21" customHeight="1" x14ac:dyDescent="0.25">
      <c r="A4681" s="14">
        <f>DATE(2012,12,31)-619</f>
        <v>40655</v>
      </c>
      <c r="B4681" s="15" t="s">
        <v>361</v>
      </c>
      <c r="C4681" s="15" t="s">
        <v>85</v>
      </c>
      <c r="D4681" s="16">
        <v>44</v>
      </c>
      <c r="E4681" s="17">
        <v>11904.55</v>
      </c>
      <c r="F4681" s="16">
        <v>0</v>
      </c>
      <c r="G4681" s="15" t="s">
        <v>58</v>
      </c>
      <c r="H4681" s="18">
        <v>3909.33</v>
      </c>
      <c r="I4681" s="19">
        <v>270.97000000000003</v>
      </c>
      <c r="J4681" s="19">
        <v>28.06</v>
      </c>
      <c r="K4681" s="19" t="s">
        <v>44</v>
      </c>
      <c r="L4681" s="19" t="s">
        <v>52</v>
      </c>
      <c r="M4681" s="15" t="s">
        <v>2183</v>
      </c>
      <c r="N4681" s="15" t="s">
        <v>64</v>
      </c>
      <c r="O4681" s="15" t="s">
        <v>122</v>
      </c>
      <c r="P4681" s="20" t="s">
        <v>1865</v>
      </c>
      <c r="Q4681" s="15" t="s">
        <v>181</v>
      </c>
      <c r="R4681" s="4"/>
      <c r="S4681" s="4"/>
    </row>
    <row r="4682" spans="1:19" ht="21" customHeight="1" x14ac:dyDescent="0.25">
      <c r="A4682" s="14">
        <f>DATE(2012,12,31)-1330</f>
        <v>39944</v>
      </c>
      <c r="B4682" s="15" t="s">
        <v>690</v>
      </c>
      <c r="C4682" s="15" t="s">
        <v>51</v>
      </c>
      <c r="D4682" s="16">
        <v>35</v>
      </c>
      <c r="E4682" s="17">
        <v>203.35</v>
      </c>
      <c r="F4682" s="16">
        <v>0.08</v>
      </c>
      <c r="G4682" s="15" t="s">
        <v>32</v>
      </c>
      <c r="H4682" s="18">
        <v>-1605.73</v>
      </c>
      <c r="I4682" s="19">
        <v>4.4800000000000004</v>
      </c>
      <c r="J4682" s="19">
        <v>49</v>
      </c>
      <c r="K4682" s="19" t="s">
        <v>44</v>
      </c>
      <c r="L4682" s="19" t="s">
        <v>52</v>
      </c>
      <c r="M4682" s="15" t="s">
        <v>2183</v>
      </c>
      <c r="N4682" s="15" t="s">
        <v>36</v>
      </c>
      <c r="O4682" s="15" t="s">
        <v>176</v>
      </c>
      <c r="P4682" s="20" t="s">
        <v>314</v>
      </c>
      <c r="Q4682" s="15" t="s">
        <v>39</v>
      </c>
      <c r="R4682" s="4"/>
      <c r="S4682" s="4"/>
    </row>
    <row r="4683" spans="1:19" ht="21" customHeight="1" x14ac:dyDescent="0.25">
      <c r="A4683" s="14">
        <f>DATE(2012,12,31)-1330</f>
        <v>39944</v>
      </c>
      <c r="B4683" s="15" t="s">
        <v>690</v>
      </c>
      <c r="C4683" s="15" t="s">
        <v>51</v>
      </c>
      <c r="D4683" s="16">
        <v>18</v>
      </c>
      <c r="E4683" s="17">
        <v>44.52</v>
      </c>
      <c r="F4683" s="16">
        <v>0.03</v>
      </c>
      <c r="G4683" s="15" t="s">
        <v>32</v>
      </c>
      <c r="H4683" s="18">
        <v>-90.585499999999996</v>
      </c>
      <c r="I4683" s="19">
        <v>2.16</v>
      </c>
      <c r="J4683" s="19">
        <v>6.05</v>
      </c>
      <c r="K4683" s="19" t="s">
        <v>69</v>
      </c>
      <c r="L4683" s="19" t="s">
        <v>70</v>
      </c>
      <c r="M4683" s="15" t="s">
        <v>1895</v>
      </c>
      <c r="N4683" s="15" t="s">
        <v>36</v>
      </c>
      <c r="O4683" s="15" t="s">
        <v>170</v>
      </c>
      <c r="P4683" s="20" t="s">
        <v>475</v>
      </c>
      <c r="Q4683" s="15" t="s">
        <v>83</v>
      </c>
      <c r="R4683" s="4"/>
      <c r="S4683" s="4"/>
    </row>
    <row r="4684" spans="1:19" ht="21" customHeight="1" x14ac:dyDescent="0.25">
      <c r="A4684" s="14">
        <f>DATE(2012,12,31)-1330</f>
        <v>39944</v>
      </c>
      <c r="B4684" s="15" t="s">
        <v>690</v>
      </c>
      <c r="C4684" s="15" t="s">
        <v>51</v>
      </c>
      <c r="D4684" s="16">
        <v>5</v>
      </c>
      <c r="E4684" s="17">
        <v>58.9</v>
      </c>
      <c r="F4684" s="16">
        <v>0.03</v>
      </c>
      <c r="G4684" s="15" t="s">
        <v>32</v>
      </c>
      <c r="H4684" s="18">
        <v>-36.9</v>
      </c>
      <c r="I4684" s="19">
        <v>9.7100000000000009</v>
      </c>
      <c r="J4684" s="19">
        <v>9.4499999999999993</v>
      </c>
      <c r="K4684" s="19" t="s">
        <v>69</v>
      </c>
      <c r="L4684" s="19" t="s">
        <v>70</v>
      </c>
      <c r="M4684" s="15" t="s">
        <v>1895</v>
      </c>
      <c r="N4684" s="15" t="s">
        <v>36</v>
      </c>
      <c r="O4684" s="15" t="s">
        <v>37</v>
      </c>
      <c r="P4684" s="20" t="s">
        <v>130</v>
      </c>
      <c r="Q4684" s="15" t="s">
        <v>83</v>
      </c>
      <c r="R4684" s="4"/>
      <c r="S4684" s="4"/>
    </row>
    <row r="4685" spans="1:19" ht="21" customHeight="1" x14ac:dyDescent="0.25">
      <c r="A4685" s="14">
        <f>DATE(2012,12,31)-1330</f>
        <v>39944</v>
      </c>
      <c r="B4685" s="15" t="s">
        <v>690</v>
      </c>
      <c r="C4685" s="15" t="s">
        <v>51</v>
      </c>
      <c r="D4685" s="16">
        <v>13</v>
      </c>
      <c r="E4685" s="17">
        <v>602.42049999999995</v>
      </c>
      <c r="F4685" s="16">
        <v>0.09</v>
      </c>
      <c r="G4685" s="15" t="s">
        <v>32</v>
      </c>
      <c r="H4685" s="18">
        <v>10.979999999999945</v>
      </c>
      <c r="I4685" s="19">
        <v>55.99</v>
      </c>
      <c r="J4685" s="19">
        <v>1.25</v>
      </c>
      <c r="K4685" s="19" t="s">
        <v>111</v>
      </c>
      <c r="L4685" s="19" t="s">
        <v>112</v>
      </c>
      <c r="M4685" s="15" t="s">
        <v>2198</v>
      </c>
      <c r="N4685" s="15" t="s">
        <v>64</v>
      </c>
      <c r="O4685" s="15" t="s">
        <v>65</v>
      </c>
      <c r="P4685" s="20" t="s">
        <v>1027</v>
      </c>
      <c r="Q4685" s="15" t="s">
        <v>49</v>
      </c>
      <c r="R4685" s="4"/>
      <c r="S4685" s="4"/>
    </row>
    <row r="4686" spans="1:19" ht="21" customHeight="1" x14ac:dyDescent="0.25">
      <c r="A4686" s="14">
        <f>DATE(2012,12,31)-1375</f>
        <v>39899</v>
      </c>
      <c r="B4686" s="15" t="s">
        <v>423</v>
      </c>
      <c r="C4686" s="15" t="s">
        <v>43</v>
      </c>
      <c r="D4686" s="16">
        <v>11</v>
      </c>
      <c r="E4686" s="17">
        <v>1736.26</v>
      </c>
      <c r="F4686" s="16">
        <v>0.01</v>
      </c>
      <c r="G4686" s="15" t="s">
        <v>58</v>
      </c>
      <c r="H4686" s="18">
        <v>-505.76</v>
      </c>
      <c r="I4686" s="19">
        <v>150.88999999999999</v>
      </c>
      <c r="J4686" s="19">
        <v>60.2</v>
      </c>
      <c r="K4686" s="19" t="s">
        <v>44</v>
      </c>
      <c r="L4686" s="19" t="s">
        <v>120</v>
      </c>
      <c r="M4686" s="15" t="s">
        <v>2025</v>
      </c>
      <c r="N4686" s="15" t="s">
        <v>54</v>
      </c>
      <c r="O4686" s="15" t="s">
        <v>252</v>
      </c>
      <c r="P4686" s="20" t="s">
        <v>255</v>
      </c>
      <c r="Q4686" s="15" t="s">
        <v>181</v>
      </c>
      <c r="R4686" s="4"/>
      <c r="S4686" s="4"/>
    </row>
    <row r="4687" spans="1:19" ht="21" customHeight="1" x14ac:dyDescent="0.25">
      <c r="A4687" s="14">
        <f>DATE(2012,12,31)-1259</f>
        <v>40015</v>
      </c>
      <c r="B4687" s="15" t="s">
        <v>939</v>
      </c>
      <c r="C4687" s="15" t="s">
        <v>43</v>
      </c>
      <c r="D4687" s="16">
        <v>1</v>
      </c>
      <c r="E4687" s="17">
        <v>1786.04</v>
      </c>
      <c r="F4687" s="16">
        <v>0.1</v>
      </c>
      <c r="G4687" s="15" t="s">
        <v>32</v>
      </c>
      <c r="H4687" s="18">
        <v>-924.99099999999999</v>
      </c>
      <c r="I4687" s="19">
        <v>1889.99</v>
      </c>
      <c r="J4687" s="19">
        <v>19.989999999999998</v>
      </c>
      <c r="K4687" s="19" t="s">
        <v>44</v>
      </c>
      <c r="L4687" s="19" t="s">
        <v>89</v>
      </c>
      <c r="M4687" s="15" t="s">
        <v>1932</v>
      </c>
      <c r="N4687" s="15" t="s">
        <v>36</v>
      </c>
      <c r="O4687" s="15" t="s">
        <v>170</v>
      </c>
      <c r="P4687" s="20" t="s">
        <v>2096</v>
      </c>
      <c r="Q4687" s="15" t="s">
        <v>83</v>
      </c>
      <c r="R4687" s="4"/>
      <c r="S4687" s="4"/>
    </row>
    <row r="4688" spans="1:19" ht="21" customHeight="1" x14ac:dyDescent="0.25">
      <c r="A4688" s="14">
        <f>DATE(2012,12,31)-519</f>
        <v>40755</v>
      </c>
      <c r="B4688" s="15" t="s">
        <v>1058</v>
      </c>
      <c r="C4688" s="15" t="s">
        <v>51</v>
      </c>
      <c r="D4688" s="16">
        <v>20</v>
      </c>
      <c r="E4688" s="17">
        <v>100.4</v>
      </c>
      <c r="F4688" s="16">
        <v>0.06</v>
      </c>
      <c r="G4688" s="15" t="s">
        <v>32</v>
      </c>
      <c r="H4688" s="18">
        <v>11.94</v>
      </c>
      <c r="I4688" s="19">
        <v>5.18</v>
      </c>
      <c r="J4688" s="19">
        <v>2.04</v>
      </c>
      <c r="K4688" s="19" t="s">
        <v>33</v>
      </c>
      <c r="L4688" s="19" t="s">
        <v>128</v>
      </c>
      <c r="M4688" s="15" t="s">
        <v>129</v>
      </c>
      <c r="N4688" s="15" t="s">
        <v>36</v>
      </c>
      <c r="O4688" s="15" t="s">
        <v>117</v>
      </c>
      <c r="P4688" s="20" t="s">
        <v>1443</v>
      </c>
      <c r="Q4688" s="15" t="s">
        <v>79</v>
      </c>
      <c r="R4688" s="4"/>
      <c r="S4688" s="4"/>
    </row>
    <row r="4689" spans="1:19" ht="21" customHeight="1" x14ac:dyDescent="0.25">
      <c r="A4689" s="14">
        <f>DATE(2012,12,31)-519</f>
        <v>40755</v>
      </c>
      <c r="B4689" s="15" t="s">
        <v>1058</v>
      </c>
      <c r="C4689" s="15" t="s">
        <v>51</v>
      </c>
      <c r="D4689" s="16">
        <v>19</v>
      </c>
      <c r="E4689" s="17">
        <v>327.14999999999998</v>
      </c>
      <c r="F4689" s="16">
        <v>0.04</v>
      </c>
      <c r="G4689" s="15" t="s">
        <v>32</v>
      </c>
      <c r="H4689" s="18">
        <v>47.3</v>
      </c>
      <c r="I4689" s="19">
        <v>17.239999999999998</v>
      </c>
      <c r="J4689" s="19">
        <v>3.26</v>
      </c>
      <c r="K4689" s="19" t="s">
        <v>33</v>
      </c>
      <c r="L4689" s="19" t="s">
        <v>93</v>
      </c>
      <c r="M4689" s="15" t="s">
        <v>94</v>
      </c>
      <c r="N4689" s="15" t="s">
        <v>36</v>
      </c>
      <c r="O4689" s="15" t="s">
        <v>47</v>
      </c>
      <c r="P4689" s="20" t="s">
        <v>2199</v>
      </c>
      <c r="Q4689" s="15" t="s">
        <v>49</v>
      </c>
      <c r="R4689" s="4"/>
      <c r="S4689" s="4"/>
    </row>
    <row r="4690" spans="1:19" ht="21" customHeight="1" x14ac:dyDescent="0.25">
      <c r="A4690" s="14">
        <f>DATE(2012,12,31)-248</f>
        <v>41026</v>
      </c>
      <c r="B4690" s="15" t="s">
        <v>1364</v>
      </c>
      <c r="C4690" s="15" t="s">
        <v>51</v>
      </c>
      <c r="D4690" s="16">
        <v>25</v>
      </c>
      <c r="E4690" s="17">
        <v>945.36</v>
      </c>
      <c r="F4690" s="16">
        <v>0.1</v>
      </c>
      <c r="G4690" s="15" t="s">
        <v>32</v>
      </c>
      <c r="H4690" s="18">
        <v>219.85</v>
      </c>
      <c r="I4690" s="19">
        <v>39.979999999999997</v>
      </c>
      <c r="J4690" s="19">
        <v>9.83</v>
      </c>
      <c r="K4690" s="19" t="s">
        <v>124</v>
      </c>
      <c r="L4690" s="19" t="s">
        <v>160</v>
      </c>
      <c r="M4690" s="15" t="s">
        <v>2181</v>
      </c>
      <c r="N4690" s="15" t="s">
        <v>36</v>
      </c>
      <c r="O4690" s="15" t="s">
        <v>189</v>
      </c>
      <c r="P4690" s="20" t="s">
        <v>1614</v>
      </c>
      <c r="Q4690" s="15" t="s">
        <v>83</v>
      </c>
      <c r="R4690" s="4"/>
      <c r="S4690" s="4"/>
    </row>
    <row r="4691" spans="1:19" ht="21" customHeight="1" x14ac:dyDescent="0.25">
      <c r="A4691" s="14">
        <f>DATE(2012,12,31)-325</f>
        <v>40949</v>
      </c>
      <c r="B4691" s="15" t="s">
        <v>355</v>
      </c>
      <c r="C4691" s="15" t="s">
        <v>43</v>
      </c>
      <c r="D4691" s="16">
        <v>9</v>
      </c>
      <c r="E4691" s="17">
        <v>37.22</v>
      </c>
      <c r="F4691" s="16">
        <v>0.03</v>
      </c>
      <c r="G4691" s="15" t="s">
        <v>32</v>
      </c>
      <c r="H4691" s="18">
        <v>-2.76</v>
      </c>
      <c r="I4691" s="19">
        <v>4.13</v>
      </c>
      <c r="J4691" s="19">
        <v>1.17</v>
      </c>
      <c r="K4691" s="19" t="s">
        <v>33</v>
      </c>
      <c r="L4691" s="19" t="s">
        <v>145</v>
      </c>
      <c r="M4691" s="15" t="s">
        <v>2140</v>
      </c>
      <c r="N4691" s="15" t="s">
        <v>36</v>
      </c>
      <c r="O4691" s="15" t="s">
        <v>77</v>
      </c>
      <c r="P4691" s="20" t="s">
        <v>1802</v>
      </c>
      <c r="Q4691" s="15" t="s">
        <v>79</v>
      </c>
      <c r="R4691" s="4"/>
      <c r="S4691" s="4"/>
    </row>
    <row r="4692" spans="1:19" ht="21" customHeight="1" x14ac:dyDescent="0.25">
      <c r="A4692" s="14">
        <f>DATE(2012,12,31)-86</f>
        <v>41188</v>
      </c>
      <c r="B4692" s="15" t="s">
        <v>655</v>
      </c>
      <c r="C4692" s="15" t="s">
        <v>85</v>
      </c>
      <c r="D4692" s="16">
        <v>11</v>
      </c>
      <c r="E4692" s="17">
        <v>30.51</v>
      </c>
      <c r="F4692" s="16">
        <v>0.09</v>
      </c>
      <c r="G4692" s="15" t="s">
        <v>32</v>
      </c>
      <c r="H4692" s="18">
        <v>-17.68</v>
      </c>
      <c r="I4692" s="19">
        <v>2.6</v>
      </c>
      <c r="J4692" s="19">
        <v>2.4</v>
      </c>
      <c r="K4692" s="19" t="s">
        <v>33</v>
      </c>
      <c r="L4692" s="19" t="s">
        <v>145</v>
      </c>
      <c r="M4692" s="15" t="s">
        <v>2140</v>
      </c>
      <c r="N4692" s="15" t="s">
        <v>36</v>
      </c>
      <c r="O4692" s="15" t="s">
        <v>77</v>
      </c>
      <c r="P4692" s="20" t="s">
        <v>1783</v>
      </c>
      <c r="Q4692" s="15" t="s">
        <v>79</v>
      </c>
      <c r="R4692" s="4"/>
      <c r="S4692" s="4"/>
    </row>
    <row r="4693" spans="1:19" ht="21" customHeight="1" x14ac:dyDescent="0.25">
      <c r="A4693" s="14">
        <f>DATE(2012,12,31)-86</f>
        <v>41188</v>
      </c>
      <c r="B4693" s="15" t="s">
        <v>655</v>
      </c>
      <c r="C4693" s="15" t="s">
        <v>85</v>
      </c>
      <c r="D4693" s="16">
        <v>8</v>
      </c>
      <c r="E4693" s="17">
        <v>127.8</v>
      </c>
      <c r="F4693" s="16">
        <v>7.0000000000000007E-2</v>
      </c>
      <c r="G4693" s="15" t="s">
        <v>32</v>
      </c>
      <c r="H4693" s="18">
        <v>-30.48</v>
      </c>
      <c r="I4693" s="19">
        <v>14.97</v>
      </c>
      <c r="J4693" s="19">
        <v>7.51</v>
      </c>
      <c r="K4693" s="19" t="s">
        <v>33</v>
      </c>
      <c r="L4693" s="19" t="s">
        <v>59</v>
      </c>
      <c r="M4693" s="15" t="s">
        <v>2185</v>
      </c>
      <c r="N4693" s="15" t="s">
        <v>36</v>
      </c>
      <c r="O4693" s="15" t="s">
        <v>37</v>
      </c>
      <c r="P4693" s="20" t="s">
        <v>1640</v>
      </c>
      <c r="Q4693" s="15" t="s">
        <v>83</v>
      </c>
      <c r="R4693" s="4"/>
      <c r="S4693" s="4"/>
    </row>
    <row r="4694" spans="1:19" ht="21" customHeight="1" x14ac:dyDescent="0.25">
      <c r="A4694" s="14">
        <f>DATE(2012,12,31)-151</f>
        <v>41123</v>
      </c>
      <c r="B4694" s="15" t="s">
        <v>2057</v>
      </c>
      <c r="C4694" s="15" t="s">
        <v>31</v>
      </c>
      <c r="D4694" s="16">
        <v>18</v>
      </c>
      <c r="E4694" s="17">
        <v>1776.96</v>
      </c>
      <c r="F4694" s="16">
        <v>7.0000000000000007E-2</v>
      </c>
      <c r="G4694" s="15" t="s">
        <v>58</v>
      </c>
      <c r="H4694" s="18">
        <v>-197.06</v>
      </c>
      <c r="I4694" s="19">
        <v>100.98</v>
      </c>
      <c r="J4694" s="19">
        <v>35.840000000000003</v>
      </c>
      <c r="K4694" s="19" t="s">
        <v>33</v>
      </c>
      <c r="L4694" s="19" t="s">
        <v>34</v>
      </c>
      <c r="M4694" s="15" t="s">
        <v>2043</v>
      </c>
      <c r="N4694" s="15" t="s">
        <v>54</v>
      </c>
      <c r="O4694" s="15" t="s">
        <v>134</v>
      </c>
      <c r="P4694" s="20" t="s">
        <v>440</v>
      </c>
      <c r="Q4694" s="15" t="s">
        <v>63</v>
      </c>
      <c r="R4694" s="4"/>
      <c r="S4694" s="4"/>
    </row>
    <row r="4695" spans="1:19" ht="21" customHeight="1" x14ac:dyDescent="0.25">
      <c r="A4695" s="14">
        <f>DATE(2012,12,31)-151</f>
        <v>41123</v>
      </c>
      <c r="B4695" s="15" t="s">
        <v>2057</v>
      </c>
      <c r="C4695" s="15" t="s">
        <v>31</v>
      </c>
      <c r="D4695" s="16">
        <v>49</v>
      </c>
      <c r="E4695" s="17">
        <v>3642.14</v>
      </c>
      <c r="F4695" s="16">
        <v>0.01</v>
      </c>
      <c r="G4695" s="15" t="s">
        <v>58</v>
      </c>
      <c r="H4695" s="18">
        <v>103.11</v>
      </c>
      <c r="I4695" s="19">
        <v>70.98</v>
      </c>
      <c r="J4695" s="19">
        <v>26.74</v>
      </c>
      <c r="K4695" s="19" t="s">
        <v>33</v>
      </c>
      <c r="L4695" s="19" t="s">
        <v>145</v>
      </c>
      <c r="M4695" s="15" t="s">
        <v>2140</v>
      </c>
      <c r="N4695" s="15" t="s">
        <v>54</v>
      </c>
      <c r="O4695" s="15" t="s">
        <v>134</v>
      </c>
      <c r="P4695" s="20" t="s">
        <v>1236</v>
      </c>
      <c r="Q4695" s="15" t="s">
        <v>63</v>
      </c>
      <c r="R4695" s="4"/>
      <c r="S4695" s="4"/>
    </row>
    <row r="4696" spans="1:19" ht="21" customHeight="1" x14ac:dyDescent="0.25">
      <c r="A4696" s="14">
        <f>DATE(2012,12,31)-151</f>
        <v>41123</v>
      </c>
      <c r="B4696" s="15" t="s">
        <v>2057</v>
      </c>
      <c r="C4696" s="15" t="s">
        <v>31</v>
      </c>
      <c r="D4696" s="16">
        <v>16</v>
      </c>
      <c r="E4696" s="17">
        <v>2982.5</v>
      </c>
      <c r="F4696" s="16">
        <v>0.05</v>
      </c>
      <c r="G4696" s="15" t="s">
        <v>32</v>
      </c>
      <c r="H4696" s="18">
        <v>-589.58000000000004</v>
      </c>
      <c r="I4696" s="19">
        <v>182.55</v>
      </c>
      <c r="J4696" s="19">
        <v>69</v>
      </c>
      <c r="K4696" s="19" t="s">
        <v>33</v>
      </c>
      <c r="L4696" s="19" t="s">
        <v>59</v>
      </c>
      <c r="M4696" s="15" t="s">
        <v>2185</v>
      </c>
      <c r="N4696" s="15" t="s">
        <v>54</v>
      </c>
      <c r="O4696" s="15" t="s">
        <v>61</v>
      </c>
      <c r="P4696" s="20" t="s">
        <v>2200</v>
      </c>
      <c r="Q4696" s="15" t="s">
        <v>39</v>
      </c>
      <c r="R4696" s="4"/>
      <c r="S4696" s="4"/>
    </row>
    <row r="4697" spans="1:19" ht="21" customHeight="1" x14ac:dyDescent="0.25">
      <c r="A4697" s="14">
        <f>DATE(2012,12,31)-727</f>
        <v>40547</v>
      </c>
      <c r="B4697" s="15" t="s">
        <v>1276</v>
      </c>
      <c r="C4697" s="15" t="s">
        <v>31</v>
      </c>
      <c r="D4697" s="16">
        <v>50</v>
      </c>
      <c r="E4697" s="17">
        <v>600.22</v>
      </c>
      <c r="F4697" s="16">
        <v>0.08</v>
      </c>
      <c r="G4697" s="15" t="s">
        <v>32</v>
      </c>
      <c r="H4697" s="18">
        <v>27.86</v>
      </c>
      <c r="I4697" s="19">
        <v>12.98</v>
      </c>
      <c r="J4697" s="19">
        <v>3.14</v>
      </c>
      <c r="K4697" s="19" t="s">
        <v>33</v>
      </c>
      <c r="L4697" s="19" t="s">
        <v>34</v>
      </c>
      <c r="M4697" s="15" t="s">
        <v>2043</v>
      </c>
      <c r="N4697" s="15" t="s">
        <v>36</v>
      </c>
      <c r="O4697" s="15" t="s">
        <v>47</v>
      </c>
      <c r="P4697" s="20" t="s">
        <v>152</v>
      </c>
      <c r="Q4697" s="15" t="s">
        <v>49</v>
      </c>
      <c r="R4697" s="4"/>
      <c r="S4697" s="4"/>
    </row>
    <row r="4698" spans="1:19" ht="21" customHeight="1" x14ac:dyDescent="0.25">
      <c r="A4698" s="14">
        <f>DATE(2012,12,31)-73</f>
        <v>41201</v>
      </c>
      <c r="B4698" s="15" t="s">
        <v>290</v>
      </c>
      <c r="C4698" s="15" t="s">
        <v>51</v>
      </c>
      <c r="D4698" s="16">
        <v>28</v>
      </c>
      <c r="E4698" s="17">
        <v>269.27999999999997</v>
      </c>
      <c r="F4698" s="16">
        <v>0.08</v>
      </c>
      <c r="G4698" s="15" t="s">
        <v>32</v>
      </c>
      <c r="H4698" s="18">
        <v>113.63</v>
      </c>
      <c r="I4698" s="19">
        <v>10.35</v>
      </c>
      <c r="J4698" s="19">
        <v>0.99</v>
      </c>
      <c r="K4698" s="19" t="s">
        <v>33</v>
      </c>
      <c r="L4698" s="19" t="s">
        <v>145</v>
      </c>
      <c r="M4698" s="15" t="s">
        <v>2140</v>
      </c>
      <c r="N4698" s="15" t="s">
        <v>36</v>
      </c>
      <c r="O4698" s="15" t="s">
        <v>114</v>
      </c>
      <c r="P4698" s="20" t="s">
        <v>1367</v>
      </c>
      <c r="Q4698" s="15" t="s">
        <v>83</v>
      </c>
      <c r="R4698" s="4"/>
      <c r="S4698" s="4"/>
    </row>
    <row r="4699" spans="1:19" ht="21" customHeight="1" x14ac:dyDescent="0.25">
      <c r="A4699" s="14">
        <f>DATE(2012,12,31)-931</f>
        <v>40343</v>
      </c>
      <c r="B4699" s="15" t="s">
        <v>2201</v>
      </c>
      <c r="C4699" s="15" t="s">
        <v>51</v>
      </c>
      <c r="D4699" s="16">
        <v>21</v>
      </c>
      <c r="E4699" s="17">
        <v>125.9</v>
      </c>
      <c r="F4699" s="16">
        <v>0.04</v>
      </c>
      <c r="G4699" s="15" t="s">
        <v>101</v>
      </c>
      <c r="H4699" s="18">
        <v>5.85</v>
      </c>
      <c r="I4699" s="19">
        <v>5.88</v>
      </c>
      <c r="J4699" s="19">
        <v>3.04</v>
      </c>
      <c r="K4699" s="19" t="s">
        <v>33</v>
      </c>
      <c r="L4699" s="19" t="s">
        <v>145</v>
      </c>
      <c r="M4699" s="15" t="s">
        <v>2140</v>
      </c>
      <c r="N4699" s="15" t="s">
        <v>36</v>
      </c>
      <c r="O4699" s="15" t="s">
        <v>117</v>
      </c>
      <c r="P4699" s="20" t="s">
        <v>986</v>
      </c>
      <c r="Q4699" s="15" t="s">
        <v>79</v>
      </c>
      <c r="R4699" s="4"/>
      <c r="S4699" s="4"/>
    </row>
    <row r="4700" spans="1:19" ht="21" customHeight="1" x14ac:dyDescent="0.25">
      <c r="A4700" s="14">
        <f>DATE(2012,12,31)-104</f>
        <v>41170</v>
      </c>
      <c r="B4700" s="15" t="s">
        <v>151</v>
      </c>
      <c r="C4700" s="15" t="s">
        <v>85</v>
      </c>
      <c r="D4700" s="16">
        <v>50</v>
      </c>
      <c r="E4700" s="17">
        <v>762.2</v>
      </c>
      <c r="F4700" s="16">
        <v>7.0000000000000007E-2</v>
      </c>
      <c r="G4700" s="15" t="s">
        <v>32</v>
      </c>
      <c r="H4700" s="18">
        <v>16.566499999999998</v>
      </c>
      <c r="I4700" s="19">
        <v>15.01</v>
      </c>
      <c r="J4700" s="19">
        <v>8.4</v>
      </c>
      <c r="K4700" s="19" t="s">
        <v>69</v>
      </c>
      <c r="L4700" s="19" t="s">
        <v>75</v>
      </c>
      <c r="M4700" s="15" t="s">
        <v>1980</v>
      </c>
      <c r="N4700" s="15" t="s">
        <v>36</v>
      </c>
      <c r="O4700" s="15" t="s">
        <v>170</v>
      </c>
      <c r="P4700" s="20" t="s">
        <v>1304</v>
      </c>
      <c r="Q4700" s="15" t="s">
        <v>83</v>
      </c>
      <c r="R4700" s="4"/>
      <c r="S4700" s="4"/>
    </row>
    <row r="4701" spans="1:19" ht="21" customHeight="1" x14ac:dyDescent="0.25">
      <c r="A4701" s="14">
        <f>DATE(2012,12,31)-104</f>
        <v>41170</v>
      </c>
      <c r="B4701" s="15" t="s">
        <v>151</v>
      </c>
      <c r="C4701" s="15" t="s">
        <v>85</v>
      </c>
      <c r="D4701" s="16">
        <v>27</v>
      </c>
      <c r="E4701" s="17">
        <v>235.45</v>
      </c>
      <c r="F4701" s="16">
        <v>0.06</v>
      </c>
      <c r="G4701" s="15" t="s">
        <v>32</v>
      </c>
      <c r="H4701" s="18">
        <v>-8.82</v>
      </c>
      <c r="I4701" s="19">
        <v>8.56</v>
      </c>
      <c r="J4701" s="19">
        <v>5.16</v>
      </c>
      <c r="K4701" s="19" t="s">
        <v>69</v>
      </c>
      <c r="L4701" s="19" t="s">
        <v>75</v>
      </c>
      <c r="M4701" s="15" t="s">
        <v>1980</v>
      </c>
      <c r="N4701" s="15" t="s">
        <v>36</v>
      </c>
      <c r="O4701" s="15" t="s">
        <v>117</v>
      </c>
      <c r="P4701" s="20" t="s">
        <v>1918</v>
      </c>
      <c r="Q4701" s="15" t="s">
        <v>79</v>
      </c>
      <c r="R4701" s="4"/>
      <c r="S4701" s="4"/>
    </row>
    <row r="4702" spans="1:19" ht="21" customHeight="1" x14ac:dyDescent="0.25">
      <c r="A4702" s="14">
        <f>DATE(2012,12,31)-104</f>
        <v>41170</v>
      </c>
      <c r="B4702" s="15" t="s">
        <v>151</v>
      </c>
      <c r="C4702" s="15" t="s">
        <v>85</v>
      </c>
      <c r="D4702" s="16">
        <v>24</v>
      </c>
      <c r="E4702" s="17">
        <v>161.87</v>
      </c>
      <c r="F4702" s="16">
        <v>0.04</v>
      </c>
      <c r="G4702" s="15" t="s">
        <v>32</v>
      </c>
      <c r="H4702" s="18">
        <v>-31.27</v>
      </c>
      <c r="I4702" s="19">
        <v>6.48</v>
      </c>
      <c r="J4702" s="19">
        <v>5.1100000000000003</v>
      </c>
      <c r="K4702" s="19" t="s">
        <v>69</v>
      </c>
      <c r="L4702" s="19" t="s">
        <v>75</v>
      </c>
      <c r="M4702" s="15" t="s">
        <v>1980</v>
      </c>
      <c r="N4702" s="15" t="s">
        <v>36</v>
      </c>
      <c r="O4702" s="15" t="s">
        <v>117</v>
      </c>
      <c r="P4702" s="20" t="s">
        <v>1659</v>
      </c>
      <c r="Q4702" s="15" t="s">
        <v>83</v>
      </c>
      <c r="R4702" s="4"/>
      <c r="S4702" s="4"/>
    </row>
    <row r="4703" spans="1:19" ht="21" customHeight="1" x14ac:dyDescent="0.25">
      <c r="A4703" s="14">
        <f>DATE(2012,12,31)-828</f>
        <v>40446</v>
      </c>
      <c r="B4703" s="15" t="s">
        <v>598</v>
      </c>
      <c r="C4703" s="15" t="s">
        <v>31</v>
      </c>
      <c r="D4703" s="16">
        <v>32</v>
      </c>
      <c r="E4703" s="17">
        <v>117.78</v>
      </c>
      <c r="F4703" s="16">
        <v>0.09</v>
      </c>
      <c r="G4703" s="15" t="s">
        <v>32</v>
      </c>
      <c r="H4703" s="18">
        <v>20.82</v>
      </c>
      <c r="I4703" s="19">
        <v>4</v>
      </c>
      <c r="J4703" s="19">
        <v>1.3</v>
      </c>
      <c r="K4703" s="19" t="s">
        <v>69</v>
      </c>
      <c r="L4703" s="19" t="s">
        <v>70</v>
      </c>
      <c r="M4703" s="15" t="s">
        <v>1895</v>
      </c>
      <c r="N4703" s="15" t="s">
        <v>36</v>
      </c>
      <c r="O4703" s="15" t="s">
        <v>117</v>
      </c>
      <c r="P4703" s="20" t="s">
        <v>958</v>
      </c>
      <c r="Q4703" s="15" t="s">
        <v>79</v>
      </c>
      <c r="R4703" s="4"/>
      <c r="S4703" s="4"/>
    </row>
    <row r="4704" spans="1:19" ht="21" customHeight="1" x14ac:dyDescent="0.25">
      <c r="A4704" s="14">
        <f>DATE(2012,12,31)-828</f>
        <v>40446</v>
      </c>
      <c r="B4704" s="15" t="s">
        <v>598</v>
      </c>
      <c r="C4704" s="15" t="s">
        <v>31</v>
      </c>
      <c r="D4704" s="16">
        <v>35</v>
      </c>
      <c r="E4704" s="17">
        <v>2463.2404999999999</v>
      </c>
      <c r="F4704" s="16">
        <v>7.0000000000000007E-2</v>
      </c>
      <c r="G4704" s="15" t="s">
        <v>101</v>
      </c>
      <c r="H4704" s="18">
        <v>310.572</v>
      </c>
      <c r="I4704" s="19">
        <v>85.99</v>
      </c>
      <c r="J4704" s="19">
        <v>10.78</v>
      </c>
      <c r="K4704" s="19" t="s">
        <v>69</v>
      </c>
      <c r="L4704" s="19" t="s">
        <v>70</v>
      </c>
      <c r="M4704" s="15" t="s">
        <v>1895</v>
      </c>
      <c r="N4704" s="15" t="s">
        <v>64</v>
      </c>
      <c r="O4704" s="15" t="s">
        <v>65</v>
      </c>
      <c r="P4704" s="20" t="s">
        <v>1156</v>
      </c>
      <c r="Q4704" s="15" t="s">
        <v>83</v>
      </c>
      <c r="R4704" s="4"/>
      <c r="S4704" s="4"/>
    </row>
    <row r="4705" spans="1:19" ht="21" customHeight="1" x14ac:dyDescent="0.25">
      <c r="A4705" s="14">
        <f>DATE(2012,12,31)-395</f>
        <v>40879</v>
      </c>
      <c r="B4705" s="15" t="s">
        <v>1658</v>
      </c>
      <c r="C4705" s="15" t="s">
        <v>51</v>
      </c>
      <c r="D4705" s="16">
        <v>42</v>
      </c>
      <c r="E4705" s="17">
        <v>267.06</v>
      </c>
      <c r="F4705" s="16">
        <v>0.03</v>
      </c>
      <c r="G4705" s="15" t="s">
        <v>32</v>
      </c>
      <c r="H4705" s="18">
        <v>-96.95</v>
      </c>
      <c r="I4705" s="19">
        <v>6.24</v>
      </c>
      <c r="J4705" s="19">
        <v>5.22</v>
      </c>
      <c r="K4705" s="19" t="s">
        <v>69</v>
      </c>
      <c r="L4705" s="19" t="s">
        <v>75</v>
      </c>
      <c r="M4705" s="15" t="s">
        <v>2202</v>
      </c>
      <c r="N4705" s="15" t="s">
        <v>54</v>
      </c>
      <c r="O4705" s="15" t="s">
        <v>55</v>
      </c>
      <c r="P4705" s="20" t="s">
        <v>341</v>
      </c>
      <c r="Q4705" s="15" t="s">
        <v>83</v>
      </c>
      <c r="R4705" s="4"/>
      <c r="S4705" s="4"/>
    </row>
    <row r="4706" spans="1:19" ht="21" customHeight="1" x14ac:dyDescent="0.25">
      <c r="A4706" s="14">
        <f>DATE(2012,12,31)-395</f>
        <v>40879</v>
      </c>
      <c r="B4706" s="15" t="s">
        <v>1658</v>
      </c>
      <c r="C4706" s="15" t="s">
        <v>51</v>
      </c>
      <c r="D4706" s="16">
        <v>11</v>
      </c>
      <c r="E4706" s="17">
        <v>449.79</v>
      </c>
      <c r="F4706" s="16">
        <v>0.06</v>
      </c>
      <c r="G4706" s="15" t="s">
        <v>32</v>
      </c>
      <c r="H4706" s="18">
        <v>13.21</v>
      </c>
      <c r="I4706" s="19">
        <v>40.99</v>
      </c>
      <c r="J4706" s="19">
        <v>17.48</v>
      </c>
      <c r="K4706" s="19" t="s">
        <v>69</v>
      </c>
      <c r="L4706" s="19" t="s">
        <v>75</v>
      </c>
      <c r="M4706" s="15" t="s">
        <v>2202</v>
      </c>
      <c r="N4706" s="15" t="s">
        <v>36</v>
      </c>
      <c r="O4706" s="15" t="s">
        <v>117</v>
      </c>
      <c r="P4706" s="20" t="s">
        <v>583</v>
      </c>
      <c r="Q4706" s="15" t="s">
        <v>83</v>
      </c>
      <c r="R4706" s="4"/>
      <c r="S4706" s="4"/>
    </row>
    <row r="4707" spans="1:19" ht="21" customHeight="1" x14ac:dyDescent="0.25">
      <c r="A4707" s="14">
        <f>DATE(2012,12,31)-871</f>
        <v>40403</v>
      </c>
      <c r="B4707" s="15" t="s">
        <v>818</v>
      </c>
      <c r="C4707" s="15" t="s">
        <v>85</v>
      </c>
      <c r="D4707" s="16">
        <v>26</v>
      </c>
      <c r="E4707" s="17">
        <v>45.38</v>
      </c>
      <c r="F4707" s="16">
        <v>7.0000000000000007E-2</v>
      </c>
      <c r="G4707" s="15" t="s">
        <v>32</v>
      </c>
      <c r="H4707" s="18">
        <v>-1.97</v>
      </c>
      <c r="I4707" s="19">
        <v>1.76</v>
      </c>
      <c r="J4707" s="19">
        <v>0.7</v>
      </c>
      <c r="K4707" s="19" t="s">
        <v>69</v>
      </c>
      <c r="L4707" s="19" t="s">
        <v>70</v>
      </c>
      <c r="M4707" s="15" t="s">
        <v>1895</v>
      </c>
      <c r="N4707" s="15" t="s">
        <v>36</v>
      </c>
      <c r="O4707" s="15" t="s">
        <v>77</v>
      </c>
      <c r="P4707" s="20" t="s">
        <v>526</v>
      </c>
      <c r="Q4707" s="15" t="s">
        <v>79</v>
      </c>
      <c r="R4707" s="4"/>
      <c r="S4707" s="4"/>
    </row>
    <row r="4708" spans="1:19" ht="21" customHeight="1" x14ac:dyDescent="0.25">
      <c r="A4708" s="14">
        <f>DATE(2012,12,31)-871</f>
        <v>40403</v>
      </c>
      <c r="B4708" s="15" t="s">
        <v>818</v>
      </c>
      <c r="C4708" s="15" t="s">
        <v>85</v>
      </c>
      <c r="D4708" s="16">
        <v>9</v>
      </c>
      <c r="E4708" s="17">
        <v>163.31049999999999</v>
      </c>
      <c r="F4708" s="16">
        <v>0.02</v>
      </c>
      <c r="G4708" s="15" t="s">
        <v>32</v>
      </c>
      <c r="H4708" s="18">
        <v>-105.09400000000001</v>
      </c>
      <c r="I4708" s="19">
        <v>20.99</v>
      </c>
      <c r="J4708" s="19">
        <v>3.3</v>
      </c>
      <c r="K4708" s="19" t="s">
        <v>69</v>
      </c>
      <c r="L4708" s="19" t="s">
        <v>75</v>
      </c>
      <c r="M4708" s="15" t="s">
        <v>2202</v>
      </c>
      <c r="N4708" s="15" t="s">
        <v>64</v>
      </c>
      <c r="O4708" s="15" t="s">
        <v>65</v>
      </c>
      <c r="P4708" s="20" t="s">
        <v>769</v>
      </c>
      <c r="Q4708" s="15" t="s">
        <v>49</v>
      </c>
      <c r="R4708" s="4"/>
      <c r="S4708" s="4"/>
    </row>
    <row r="4709" spans="1:19" ht="21" customHeight="1" x14ac:dyDescent="0.25">
      <c r="A4709" s="14">
        <f>DATE(2012,12,31)-574</f>
        <v>40700</v>
      </c>
      <c r="B4709" s="15" t="s">
        <v>468</v>
      </c>
      <c r="C4709" s="15" t="s">
        <v>31</v>
      </c>
      <c r="D4709" s="16">
        <v>21</v>
      </c>
      <c r="E4709" s="17">
        <v>190.99</v>
      </c>
      <c r="F4709" s="16">
        <v>0.1</v>
      </c>
      <c r="G4709" s="15" t="s">
        <v>32</v>
      </c>
      <c r="H4709" s="18">
        <v>-27.15</v>
      </c>
      <c r="I4709" s="19">
        <v>9.85</v>
      </c>
      <c r="J4709" s="19">
        <v>4.82</v>
      </c>
      <c r="K4709" s="19" t="s">
        <v>69</v>
      </c>
      <c r="L4709" s="19" t="s">
        <v>70</v>
      </c>
      <c r="M4709" s="15" t="s">
        <v>1895</v>
      </c>
      <c r="N4709" s="15" t="s">
        <v>36</v>
      </c>
      <c r="O4709" s="15" t="s">
        <v>77</v>
      </c>
      <c r="P4709" s="20" t="s">
        <v>2079</v>
      </c>
      <c r="Q4709" s="15" t="s">
        <v>79</v>
      </c>
      <c r="R4709" s="4"/>
      <c r="S4709" s="4"/>
    </row>
    <row r="4710" spans="1:19" ht="21" customHeight="1" x14ac:dyDescent="0.25">
      <c r="A4710" s="14">
        <f>DATE(2012,12,31)-195</f>
        <v>41079</v>
      </c>
      <c r="B4710" s="15" t="s">
        <v>500</v>
      </c>
      <c r="C4710" s="15" t="s">
        <v>85</v>
      </c>
      <c r="D4710" s="16">
        <v>43</v>
      </c>
      <c r="E4710" s="17">
        <v>512.78</v>
      </c>
      <c r="F4710" s="16">
        <v>0.08</v>
      </c>
      <c r="G4710" s="15" t="s">
        <v>32</v>
      </c>
      <c r="H4710" s="18">
        <v>16.14</v>
      </c>
      <c r="I4710" s="19">
        <v>12.2</v>
      </c>
      <c r="J4710" s="19">
        <v>6.02</v>
      </c>
      <c r="K4710" s="19" t="s">
        <v>69</v>
      </c>
      <c r="L4710" s="19" t="s">
        <v>70</v>
      </c>
      <c r="M4710" s="15" t="s">
        <v>1895</v>
      </c>
      <c r="N4710" s="15" t="s">
        <v>54</v>
      </c>
      <c r="O4710" s="15" t="s">
        <v>55</v>
      </c>
      <c r="P4710" s="20" t="s">
        <v>1384</v>
      </c>
      <c r="Q4710" s="15" t="s">
        <v>49</v>
      </c>
      <c r="R4710" s="4"/>
      <c r="S4710" s="4"/>
    </row>
    <row r="4711" spans="1:19" ht="21" customHeight="1" x14ac:dyDescent="0.25">
      <c r="A4711" s="14">
        <f>DATE(2012,12,31)-163</f>
        <v>41111</v>
      </c>
      <c r="B4711" s="15" t="s">
        <v>311</v>
      </c>
      <c r="C4711" s="15" t="s">
        <v>85</v>
      </c>
      <c r="D4711" s="16">
        <v>10</v>
      </c>
      <c r="E4711" s="17">
        <v>628.73</v>
      </c>
      <c r="F4711" s="16">
        <v>0.02</v>
      </c>
      <c r="G4711" s="15" t="s">
        <v>32</v>
      </c>
      <c r="H4711" s="18">
        <v>-181.87</v>
      </c>
      <c r="I4711" s="19">
        <v>55.5</v>
      </c>
      <c r="J4711" s="19">
        <v>52.2</v>
      </c>
      <c r="K4711" s="19" t="s">
        <v>69</v>
      </c>
      <c r="L4711" s="19" t="s">
        <v>75</v>
      </c>
      <c r="M4711" s="15" t="s">
        <v>2202</v>
      </c>
      <c r="N4711" s="15" t="s">
        <v>54</v>
      </c>
      <c r="O4711" s="15" t="s">
        <v>55</v>
      </c>
      <c r="P4711" s="20" t="s">
        <v>1884</v>
      </c>
      <c r="Q4711" s="15" t="s">
        <v>57</v>
      </c>
      <c r="R4711" s="4"/>
      <c r="S4711" s="4"/>
    </row>
    <row r="4712" spans="1:19" ht="21" customHeight="1" x14ac:dyDescent="0.25">
      <c r="A4712" s="14">
        <f>DATE(2012,12,31)-163</f>
        <v>41111</v>
      </c>
      <c r="B4712" s="15" t="s">
        <v>311</v>
      </c>
      <c r="C4712" s="15" t="s">
        <v>85</v>
      </c>
      <c r="D4712" s="16">
        <v>23</v>
      </c>
      <c r="E4712" s="17">
        <v>385.81</v>
      </c>
      <c r="F4712" s="16">
        <v>0.01</v>
      </c>
      <c r="G4712" s="15" t="s">
        <v>101</v>
      </c>
      <c r="H4712" s="18">
        <v>7.35</v>
      </c>
      <c r="I4712" s="19">
        <v>15.51</v>
      </c>
      <c r="J4712" s="19">
        <v>5.8</v>
      </c>
      <c r="K4712" s="19" t="s">
        <v>69</v>
      </c>
      <c r="L4712" s="19" t="s">
        <v>70</v>
      </c>
      <c r="M4712" s="15" t="s">
        <v>1895</v>
      </c>
      <c r="N4712" s="15" t="s">
        <v>36</v>
      </c>
      <c r="O4712" s="15" t="s">
        <v>37</v>
      </c>
      <c r="P4712" s="20" t="s">
        <v>2203</v>
      </c>
      <c r="Q4712" s="15" t="s">
        <v>83</v>
      </c>
      <c r="R4712" s="4"/>
      <c r="S4712" s="4"/>
    </row>
    <row r="4713" spans="1:19" ht="21" customHeight="1" x14ac:dyDescent="0.25">
      <c r="A4713" s="14">
        <f>DATE(2012,12,31)-1221</f>
        <v>40053</v>
      </c>
      <c r="B4713" s="15" t="s">
        <v>1899</v>
      </c>
      <c r="C4713" s="15" t="s">
        <v>31</v>
      </c>
      <c r="D4713" s="16">
        <v>9</v>
      </c>
      <c r="E4713" s="17">
        <v>123.92</v>
      </c>
      <c r="F4713" s="16">
        <v>0.09</v>
      </c>
      <c r="G4713" s="15" t="s">
        <v>32</v>
      </c>
      <c r="H4713" s="18">
        <v>45.83</v>
      </c>
      <c r="I4713" s="19">
        <v>14.2</v>
      </c>
      <c r="J4713" s="19">
        <v>5.3</v>
      </c>
      <c r="K4713" s="19" t="s">
        <v>69</v>
      </c>
      <c r="L4713" s="19" t="s">
        <v>75</v>
      </c>
      <c r="M4713" s="15" t="s">
        <v>2202</v>
      </c>
      <c r="N4713" s="15" t="s">
        <v>54</v>
      </c>
      <c r="O4713" s="15" t="s">
        <v>55</v>
      </c>
      <c r="P4713" s="20" t="s">
        <v>930</v>
      </c>
      <c r="Q4713" s="15" t="s">
        <v>79</v>
      </c>
      <c r="R4713" s="4"/>
      <c r="S4713" s="4"/>
    </row>
    <row r="4714" spans="1:19" ht="21" customHeight="1" x14ac:dyDescent="0.25">
      <c r="A4714" s="14">
        <f>DATE(2012,12,31)-15</f>
        <v>41259</v>
      </c>
      <c r="B4714" s="15" t="s">
        <v>831</v>
      </c>
      <c r="C4714" s="15" t="s">
        <v>43</v>
      </c>
      <c r="D4714" s="16">
        <v>46</v>
      </c>
      <c r="E4714" s="17">
        <v>265.88</v>
      </c>
      <c r="F4714" s="16">
        <v>0.05</v>
      </c>
      <c r="G4714" s="15" t="s">
        <v>32</v>
      </c>
      <c r="H4714" s="18">
        <v>-90.896000000000001</v>
      </c>
      <c r="I4714" s="19">
        <v>5.74</v>
      </c>
      <c r="J4714" s="19">
        <v>5.01</v>
      </c>
      <c r="K4714" s="19" t="s">
        <v>69</v>
      </c>
      <c r="L4714" s="19" t="s">
        <v>215</v>
      </c>
      <c r="M4714" s="15" t="s">
        <v>2197</v>
      </c>
      <c r="N4714" s="15" t="s">
        <v>36</v>
      </c>
      <c r="O4714" s="15" t="s">
        <v>170</v>
      </c>
      <c r="P4714" s="20" t="s">
        <v>834</v>
      </c>
      <c r="Q4714" s="15" t="s">
        <v>83</v>
      </c>
      <c r="R4714" s="4"/>
      <c r="S4714" s="4"/>
    </row>
    <row r="4715" spans="1:19" ht="21" customHeight="1" x14ac:dyDescent="0.25">
      <c r="A4715" s="14">
        <f>DATE(2012,12,31)-15</f>
        <v>41259</v>
      </c>
      <c r="B4715" s="15" t="s">
        <v>831</v>
      </c>
      <c r="C4715" s="15" t="s">
        <v>43</v>
      </c>
      <c r="D4715" s="16">
        <v>1</v>
      </c>
      <c r="E4715" s="17">
        <v>1500.82</v>
      </c>
      <c r="F4715" s="16">
        <v>0.01</v>
      </c>
      <c r="G4715" s="15" t="s">
        <v>58</v>
      </c>
      <c r="H4715" s="18">
        <v>-3381.9857999999999</v>
      </c>
      <c r="I4715" s="19">
        <v>1500.97</v>
      </c>
      <c r="J4715" s="19">
        <v>29.7</v>
      </c>
      <c r="K4715" s="19" t="s">
        <v>111</v>
      </c>
      <c r="L4715" s="19" t="s">
        <v>442</v>
      </c>
      <c r="M4715" s="15" t="s">
        <v>2010</v>
      </c>
      <c r="N4715" s="15" t="s">
        <v>64</v>
      </c>
      <c r="O4715" s="15" t="s">
        <v>122</v>
      </c>
      <c r="P4715" s="20" t="s">
        <v>1332</v>
      </c>
      <c r="Q4715" s="15" t="s">
        <v>181</v>
      </c>
      <c r="R4715" s="4"/>
      <c r="S4715" s="4"/>
    </row>
    <row r="4716" spans="1:19" ht="21" customHeight="1" x14ac:dyDescent="0.25">
      <c r="A4716" s="14">
        <f>DATE(2012,12,31)-15</f>
        <v>41259</v>
      </c>
      <c r="B4716" s="15" t="s">
        <v>831</v>
      </c>
      <c r="C4716" s="15" t="s">
        <v>43</v>
      </c>
      <c r="D4716" s="16">
        <v>19</v>
      </c>
      <c r="E4716" s="17">
        <v>3093.864</v>
      </c>
      <c r="F4716" s="16">
        <v>7.0000000000000007E-2</v>
      </c>
      <c r="G4716" s="15" t="s">
        <v>32</v>
      </c>
      <c r="H4716" s="18">
        <v>286.39800000000002</v>
      </c>
      <c r="I4716" s="19">
        <v>205.99</v>
      </c>
      <c r="J4716" s="19">
        <v>5.26</v>
      </c>
      <c r="K4716" s="19" t="s">
        <v>44</v>
      </c>
      <c r="L4716" s="19" t="s">
        <v>120</v>
      </c>
      <c r="M4716" s="15" t="s">
        <v>2025</v>
      </c>
      <c r="N4716" s="15" t="s">
        <v>64</v>
      </c>
      <c r="O4716" s="15" t="s">
        <v>65</v>
      </c>
      <c r="P4716" s="20" t="s">
        <v>650</v>
      </c>
      <c r="Q4716" s="15" t="s">
        <v>83</v>
      </c>
      <c r="R4716" s="4"/>
      <c r="S4716" s="4"/>
    </row>
    <row r="4717" spans="1:19" ht="21" customHeight="1" x14ac:dyDescent="0.25">
      <c r="A4717" s="14">
        <f>DATE(2012,12,31)-447</f>
        <v>40827</v>
      </c>
      <c r="B4717" s="15" t="s">
        <v>850</v>
      </c>
      <c r="C4717" s="15" t="s">
        <v>85</v>
      </c>
      <c r="D4717" s="16">
        <v>1</v>
      </c>
      <c r="E4717" s="17">
        <v>7.15</v>
      </c>
      <c r="F4717" s="16">
        <v>0.03</v>
      </c>
      <c r="G4717" s="15" t="s">
        <v>32</v>
      </c>
      <c r="H4717" s="18">
        <v>-2.5499999999999998</v>
      </c>
      <c r="I4717" s="19">
        <v>5.08</v>
      </c>
      <c r="J4717" s="19">
        <v>2.0299999999999998</v>
      </c>
      <c r="K4717" s="19" t="s">
        <v>44</v>
      </c>
      <c r="L4717" s="19" t="s">
        <v>120</v>
      </c>
      <c r="M4717" s="15" t="s">
        <v>2025</v>
      </c>
      <c r="N4717" s="15" t="s">
        <v>54</v>
      </c>
      <c r="O4717" s="15" t="s">
        <v>55</v>
      </c>
      <c r="P4717" s="20" t="s">
        <v>1126</v>
      </c>
      <c r="Q4717" s="15" t="s">
        <v>79</v>
      </c>
      <c r="R4717" s="4"/>
      <c r="S4717" s="4"/>
    </row>
    <row r="4718" spans="1:19" ht="21" customHeight="1" x14ac:dyDescent="0.25">
      <c r="A4718" s="14">
        <f>DATE(2012,12,31)-819</f>
        <v>40455</v>
      </c>
      <c r="B4718" s="15" t="s">
        <v>1778</v>
      </c>
      <c r="C4718" s="15" t="s">
        <v>85</v>
      </c>
      <c r="D4718" s="16">
        <v>15</v>
      </c>
      <c r="E4718" s="17">
        <v>2272.56</v>
      </c>
      <c r="F4718" s="16">
        <v>0.06</v>
      </c>
      <c r="G4718" s="15" t="s">
        <v>58</v>
      </c>
      <c r="H4718" s="18">
        <v>111.0474</v>
      </c>
      <c r="I4718" s="19">
        <v>150.97999999999999</v>
      </c>
      <c r="J4718" s="19">
        <v>16.010000000000002</v>
      </c>
      <c r="K4718" s="19" t="s">
        <v>44</v>
      </c>
      <c r="L4718" s="19" t="s">
        <v>89</v>
      </c>
      <c r="M4718" s="15" t="s">
        <v>1932</v>
      </c>
      <c r="N4718" s="15" t="s">
        <v>54</v>
      </c>
      <c r="O4718" s="15" t="s">
        <v>61</v>
      </c>
      <c r="P4718" s="20" t="s">
        <v>941</v>
      </c>
      <c r="Q4718" s="15" t="s">
        <v>63</v>
      </c>
      <c r="R4718" s="4"/>
      <c r="S4718" s="4"/>
    </row>
    <row r="4719" spans="1:19" ht="21" customHeight="1" x14ac:dyDescent="0.25">
      <c r="A4719" s="14">
        <f>DATE(2012,12,31)-817</f>
        <v>40457</v>
      </c>
      <c r="B4719" s="15" t="s">
        <v>183</v>
      </c>
      <c r="C4719" s="15" t="s">
        <v>31</v>
      </c>
      <c r="D4719" s="16">
        <v>42</v>
      </c>
      <c r="E4719" s="17">
        <v>187.28</v>
      </c>
      <c r="F4719" s="16">
        <v>0.06</v>
      </c>
      <c r="G4719" s="15" t="s">
        <v>32</v>
      </c>
      <c r="H4719" s="18">
        <v>-94.36</v>
      </c>
      <c r="I4719" s="19">
        <v>4.28</v>
      </c>
      <c r="J4719" s="19">
        <v>4.79</v>
      </c>
      <c r="K4719" s="19" t="s">
        <v>44</v>
      </c>
      <c r="L4719" s="19" t="s">
        <v>45</v>
      </c>
      <c r="M4719" s="15" t="s">
        <v>2165</v>
      </c>
      <c r="N4719" s="15" t="s">
        <v>36</v>
      </c>
      <c r="O4719" s="15" t="s">
        <v>117</v>
      </c>
      <c r="P4719" s="20" t="s">
        <v>1436</v>
      </c>
      <c r="Q4719" s="15" t="s">
        <v>83</v>
      </c>
      <c r="R4719" s="4"/>
      <c r="S4719" s="4"/>
    </row>
    <row r="4720" spans="1:19" ht="21" customHeight="1" x14ac:dyDescent="0.25">
      <c r="A4720" s="14">
        <f>DATE(2012,12,31)-501</f>
        <v>40773</v>
      </c>
      <c r="B4720" s="15" t="s">
        <v>1512</v>
      </c>
      <c r="C4720" s="15" t="s">
        <v>51</v>
      </c>
      <c r="D4720" s="16">
        <v>10</v>
      </c>
      <c r="E4720" s="17">
        <v>59.62</v>
      </c>
      <c r="F4720" s="16">
        <v>0.04</v>
      </c>
      <c r="G4720" s="15" t="s">
        <v>32</v>
      </c>
      <c r="H4720" s="18">
        <v>-56.304000000000002</v>
      </c>
      <c r="I4720" s="19">
        <v>5.4</v>
      </c>
      <c r="J4720" s="19">
        <v>7.78</v>
      </c>
      <c r="K4720" s="19" t="s">
        <v>44</v>
      </c>
      <c r="L4720" s="19" t="s">
        <v>89</v>
      </c>
      <c r="M4720" s="15" t="s">
        <v>1932</v>
      </c>
      <c r="N4720" s="15" t="s">
        <v>36</v>
      </c>
      <c r="O4720" s="15" t="s">
        <v>170</v>
      </c>
      <c r="P4720" s="20" t="s">
        <v>186</v>
      </c>
      <c r="Q4720" s="15" t="s">
        <v>83</v>
      </c>
      <c r="R4720" s="4"/>
      <c r="S4720" s="4"/>
    </row>
    <row r="4721" spans="1:19" ht="21" customHeight="1" x14ac:dyDescent="0.25">
      <c r="A4721" s="14">
        <f>DATE(2012,12,31)-272</f>
        <v>41002</v>
      </c>
      <c r="B4721" s="15" t="s">
        <v>1781</v>
      </c>
      <c r="C4721" s="15" t="s">
        <v>85</v>
      </c>
      <c r="D4721" s="16">
        <v>42</v>
      </c>
      <c r="E4721" s="17">
        <v>153.01</v>
      </c>
      <c r="F4721" s="16">
        <v>0.04</v>
      </c>
      <c r="G4721" s="15" t="s">
        <v>32</v>
      </c>
      <c r="H4721" s="18">
        <v>-218.53450000000001</v>
      </c>
      <c r="I4721" s="19">
        <v>3.52</v>
      </c>
      <c r="J4721" s="19">
        <v>6.83</v>
      </c>
      <c r="K4721" s="19" t="s">
        <v>44</v>
      </c>
      <c r="L4721" s="19" t="s">
        <v>80</v>
      </c>
      <c r="M4721" s="15" t="s">
        <v>2179</v>
      </c>
      <c r="N4721" s="15" t="s">
        <v>36</v>
      </c>
      <c r="O4721" s="15" t="s">
        <v>170</v>
      </c>
      <c r="P4721" s="20" t="s">
        <v>1859</v>
      </c>
      <c r="Q4721" s="15" t="s">
        <v>83</v>
      </c>
      <c r="R4721" s="4"/>
      <c r="S4721" s="4"/>
    </row>
    <row r="4722" spans="1:19" ht="21" customHeight="1" x14ac:dyDescent="0.25">
      <c r="A4722" s="14">
        <f>DATE(2012,12,31)-305</f>
        <v>40969</v>
      </c>
      <c r="B4722" s="15" t="s">
        <v>1080</v>
      </c>
      <c r="C4722" s="15" t="s">
        <v>51</v>
      </c>
      <c r="D4722" s="16">
        <v>46</v>
      </c>
      <c r="E4722" s="17">
        <v>410.03</v>
      </c>
      <c r="F4722" s="16">
        <v>0.05</v>
      </c>
      <c r="G4722" s="15" t="s">
        <v>32</v>
      </c>
      <c r="H4722" s="18">
        <v>-138.38999999999999</v>
      </c>
      <c r="I4722" s="19">
        <v>8.75</v>
      </c>
      <c r="J4722" s="19">
        <v>8.5399999999999991</v>
      </c>
      <c r="K4722" s="19" t="s">
        <v>44</v>
      </c>
      <c r="L4722" s="19" t="s">
        <v>120</v>
      </c>
      <c r="M4722" s="15" t="s">
        <v>2025</v>
      </c>
      <c r="N4722" s="15" t="s">
        <v>54</v>
      </c>
      <c r="O4722" s="15" t="s">
        <v>55</v>
      </c>
      <c r="P4722" s="20" t="s">
        <v>988</v>
      </c>
      <c r="Q4722" s="15" t="s">
        <v>49</v>
      </c>
      <c r="R4722" s="4"/>
      <c r="S4722" s="4"/>
    </row>
    <row r="4723" spans="1:19" ht="21" customHeight="1" x14ac:dyDescent="0.25">
      <c r="A4723" s="14">
        <f>DATE(2012,12,31)-1024</f>
        <v>40250</v>
      </c>
      <c r="B4723" s="15" t="s">
        <v>533</v>
      </c>
      <c r="C4723" s="15" t="s">
        <v>85</v>
      </c>
      <c r="D4723" s="16">
        <v>8</v>
      </c>
      <c r="E4723" s="17">
        <v>763.6484999999999</v>
      </c>
      <c r="F4723" s="16">
        <v>0.06</v>
      </c>
      <c r="G4723" s="15" t="s">
        <v>32</v>
      </c>
      <c r="H4723" s="18">
        <v>-277.78300000000002</v>
      </c>
      <c r="I4723" s="19">
        <v>115.99</v>
      </c>
      <c r="J4723" s="19">
        <v>5.26</v>
      </c>
      <c r="K4723" s="19" t="s">
        <v>44</v>
      </c>
      <c r="L4723" s="19" t="s">
        <v>45</v>
      </c>
      <c r="M4723" s="15" t="s">
        <v>2165</v>
      </c>
      <c r="N4723" s="15" t="s">
        <v>64</v>
      </c>
      <c r="O4723" s="15" t="s">
        <v>65</v>
      </c>
      <c r="P4723" s="20" t="s">
        <v>246</v>
      </c>
      <c r="Q4723" s="15" t="s">
        <v>83</v>
      </c>
      <c r="R4723" s="4"/>
      <c r="S4723" s="4"/>
    </row>
    <row r="4724" spans="1:19" ht="21" customHeight="1" x14ac:dyDescent="0.25">
      <c r="A4724" s="14">
        <f>DATE(2012,12,31)-853</f>
        <v>40421</v>
      </c>
      <c r="B4724" s="15" t="s">
        <v>1193</v>
      </c>
      <c r="C4724" s="15" t="s">
        <v>43</v>
      </c>
      <c r="D4724" s="16">
        <v>40</v>
      </c>
      <c r="E4724" s="17">
        <v>271.33999999999997</v>
      </c>
      <c r="F4724" s="16">
        <v>0.05</v>
      </c>
      <c r="G4724" s="15" t="s">
        <v>32</v>
      </c>
      <c r="H4724" s="18">
        <v>-151.91999999999999</v>
      </c>
      <c r="I4724" s="19">
        <v>6.48</v>
      </c>
      <c r="J4724" s="19">
        <v>7.86</v>
      </c>
      <c r="K4724" s="19" t="s">
        <v>44</v>
      </c>
      <c r="L4724" s="19" t="s">
        <v>89</v>
      </c>
      <c r="M4724" s="15" t="s">
        <v>1932</v>
      </c>
      <c r="N4724" s="15" t="s">
        <v>36</v>
      </c>
      <c r="O4724" s="15" t="s">
        <v>117</v>
      </c>
      <c r="P4724" s="20" t="s">
        <v>912</v>
      </c>
      <c r="Q4724" s="15" t="s">
        <v>83</v>
      </c>
      <c r="R4724" s="4"/>
      <c r="S4724" s="4"/>
    </row>
    <row r="4725" spans="1:19" ht="21" customHeight="1" x14ac:dyDescent="0.25">
      <c r="A4725" s="14">
        <f>DATE(2012,12,31)-1268</f>
        <v>40006</v>
      </c>
      <c r="B4725" s="15" t="s">
        <v>243</v>
      </c>
      <c r="C4725" s="15" t="s">
        <v>51</v>
      </c>
      <c r="D4725" s="16">
        <v>5</v>
      </c>
      <c r="E4725" s="17">
        <v>477.76</v>
      </c>
      <c r="F4725" s="16">
        <v>0.04</v>
      </c>
      <c r="G4725" s="15" t="s">
        <v>58</v>
      </c>
      <c r="H4725" s="18">
        <v>-173.09520000000001</v>
      </c>
      <c r="I4725" s="19">
        <v>90.97</v>
      </c>
      <c r="J4725" s="19">
        <v>28</v>
      </c>
      <c r="K4725" s="19" t="s">
        <v>44</v>
      </c>
      <c r="L4725" s="19" t="s">
        <v>89</v>
      </c>
      <c r="M4725" s="15" t="s">
        <v>1932</v>
      </c>
      <c r="N4725" s="15" t="s">
        <v>64</v>
      </c>
      <c r="O4725" s="15" t="s">
        <v>122</v>
      </c>
      <c r="P4725" s="20" t="s">
        <v>1440</v>
      </c>
      <c r="Q4725" s="15" t="s">
        <v>181</v>
      </c>
      <c r="R4725" s="4"/>
      <c r="S4725" s="4"/>
    </row>
    <row r="4726" spans="1:19" ht="21" customHeight="1" x14ac:dyDescent="0.25">
      <c r="A4726" s="14">
        <f>DATE(2012,12,31)-1268</f>
        <v>40006</v>
      </c>
      <c r="B4726" s="15" t="s">
        <v>243</v>
      </c>
      <c r="C4726" s="15" t="s">
        <v>51</v>
      </c>
      <c r="D4726" s="16">
        <v>4</v>
      </c>
      <c r="E4726" s="17">
        <v>112.18</v>
      </c>
      <c r="F4726" s="16">
        <v>7.0000000000000007E-2</v>
      </c>
      <c r="G4726" s="15" t="s">
        <v>32</v>
      </c>
      <c r="H4726" s="18">
        <v>-96.16</v>
      </c>
      <c r="I4726" s="19">
        <v>20.34</v>
      </c>
      <c r="J4726" s="19">
        <v>35</v>
      </c>
      <c r="K4726" s="19" t="s">
        <v>44</v>
      </c>
      <c r="L4726" s="19" t="s">
        <v>89</v>
      </c>
      <c r="M4726" s="15" t="s">
        <v>1932</v>
      </c>
      <c r="N4726" s="15" t="s">
        <v>36</v>
      </c>
      <c r="O4726" s="15" t="s">
        <v>37</v>
      </c>
      <c r="P4726" s="20" t="s">
        <v>1690</v>
      </c>
      <c r="Q4726" s="15" t="s">
        <v>39</v>
      </c>
      <c r="R4726" s="4"/>
      <c r="S4726" s="4"/>
    </row>
    <row r="4727" spans="1:19" ht="21" customHeight="1" x14ac:dyDescent="0.25">
      <c r="A4727" s="14">
        <f>DATE(2012,12,31)-37</f>
        <v>41237</v>
      </c>
      <c r="B4727" s="15" t="s">
        <v>1680</v>
      </c>
      <c r="C4727" s="15" t="s">
        <v>31</v>
      </c>
      <c r="D4727" s="16">
        <v>35</v>
      </c>
      <c r="E4727" s="17">
        <v>192.21</v>
      </c>
      <c r="F4727" s="16">
        <v>7.0000000000000007E-2</v>
      </c>
      <c r="G4727" s="15" t="s">
        <v>32</v>
      </c>
      <c r="H4727" s="18">
        <v>-61.36</v>
      </c>
      <c r="I4727" s="19">
        <v>5.47</v>
      </c>
      <c r="J4727" s="19">
        <v>5.26</v>
      </c>
      <c r="K4727" s="19" t="s">
        <v>44</v>
      </c>
      <c r="L4727" s="19" t="s">
        <v>45</v>
      </c>
      <c r="M4727" s="15" t="s">
        <v>2165</v>
      </c>
      <c r="N4727" s="15" t="s">
        <v>54</v>
      </c>
      <c r="O4727" s="15" t="s">
        <v>55</v>
      </c>
      <c r="P4727" s="20" t="s">
        <v>669</v>
      </c>
      <c r="Q4727" s="15" t="s">
        <v>49</v>
      </c>
      <c r="R4727" s="4"/>
      <c r="S4727" s="4"/>
    </row>
    <row r="4728" spans="1:19" ht="21" customHeight="1" x14ac:dyDescent="0.25">
      <c r="A4728" s="14">
        <f>DATE(2012,12,31)-586</f>
        <v>40688</v>
      </c>
      <c r="B4728" s="15" t="s">
        <v>808</v>
      </c>
      <c r="C4728" s="15" t="s">
        <v>31</v>
      </c>
      <c r="D4728" s="16">
        <v>45</v>
      </c>
      <c r="E4728" s="17">
        <v>12457.63</v>
      </c>
      <c r="F4728" s="16">
        <v>0.08</v>
      </c>
      <c r="G4728" s="15" t="s">
        <v>58</v>
      </c>
      <c r="H4728" s="18">
        <v>1063.46</v>
      </c>
      <c r="I4728" s="19">
        <v>284.98</v>
      </c>
      <c r="J4728" s="19">
        <v>69.55</v>
      </c>
      <c r="K4728" s="19" t="s">
        <v>44</v>
      </c>
      <c r="L4728" s="19" t="s">
        <v>120</v>
      </c>
      <c r="M4728" s="15" t="s">
        <v>2025</v>
      </c>
      <c r="N4728" s="15" t="s">
        <v>54</v>
      </c>
      <c r="O4728" s="15" t="s">
        <v>252</v>
      </c>
      <c r="P4728" s="20" t="s">
        <v>1647</v>
      </c>
      <c r="Q4728" s="15" t="s">
        <v>181</v>
      </c>
      <c r="R4728" s="4"/>
      <c r="S4728" s="4"/>
    </row>
    <row r="4729" spans="1:19" ht="21" customHeight="1" x14ac:dyDescent="0.25">
      <c r="A4729" s="14">
        <f>DATE(2012,12,31)-168</f>
        <v>41106</v>
      </c>
      <c r="B4729" s="15" t="s">
        <v>710</v>
      </c>
      <c r="C4729" s="15" t="s">
        <v>43</v>
      </c>
      <c r="D4729" s="16">
        <v>17</v>
      </c>
      <c r="E4729" s="17">
        <v>3801.27</v>
      </c>
      <c r="F4729" s="16">
        <v>0.02</v>
      </c>
      <c r="G4729" s="15" t="s">
        <v>32</v>
      </c>
      <c r="H4729" s="18">
        <v>-861.30330000000004</v>
      </c>
      <c r="I4729" s="19">
        <v>209.37</v>
      </c>
      <c r="J4729" s="19">
        <v>69</v>
      </c>
      <c r="K4729" s="19" t="s">
        <v>44</v>
      </c>
      <c r="L4729" s="19" t="s">
        <v>120</v>
      </c>
      <c r="M4729" s="15" t="s">
        <v>2025</v>
      </c>
      <c r="N4729" s="15" t="s">
        <v>54</v>
      </c>
      <c r="O4729" s="15" t="s">
        <v>61</v>
      </c>
      <c r="P4729" s="20" t="s">
        <v>1131</v>
      </c>
      <c r="Q4729" s="15" t="s">
        <v>39</v>
      </c>
      <c r="R4729" s="4"/>
      <c r="S4729" s="4"/>
    </row>
    <row r="4730" spans="1:19" ht="21" customHeight="1" x14ac:dyDescent="0.25">
      <c r="A4730" s="14">
        <f>DATE(2012,12,31)-248</f>
        <v>41026</v>
      </c>
      <c r="B4730" s="15" t="s">
        <v>818</v>
      </c>
      <c r="C4730" s="15" t="s">
        <v>51</v>
      </c>
      <c r="D4730" s="16">
        <v>50</v>
      </c>
      <c r="E4730" s="17">
        <v>207.54</v>
      </c>
      <c r="F4730" s="16">
        <v>0.03</v>
      </c>
      <c r="G4730" s="15" t="s">
        <v>32</v>
      </c>
      <c r="H4730" s="18">
        <v>24.21</v>
      </c>
      <c r="I4730" s="19">
        <v>4.13</v>
      </c>
      <c r="J4730" s="19">
        <v>1.23</v>
      </c>
      <c r="K4730" s="19" t="s">
        <v>44</v>
      </c>
      <c r="L4730" s="19" t="s">
        <v>89</v>
      </c>
      <c r="M4730" s="15" t="s">
        <v>1932</v>
      </c>
      <c r="N4730" s="15" t="s">
        <v>36</v>
      </c>
      <c r="O4730" s="15" t="s">
        <v>77</v>
      </c>
      <c r="P4730" s="20" t="s">
        <v>2204</v>
      </c>
      <c r="Q4730" s="15" t="s">
        <v>79</v>
      </c>
      <c r="R4730" s="4"/>
      <c r="S4730" s="4"/>
    </row>
    <row r="4731" spans="1:19" ht="21" customHeight="1" x14ac:dyDescent="0.25">
      <c r="A4731" s="14">
        <f>DATE(2012,12,31)-248</f>
        <v>41026</v>
      </c>
      <c r="B4731" s="15" t="s">
        <v>818</v>
      </c>
      <c r="C4731" s="15" t="s">
        <v>51</v>
      </c>
      <c r="D4731" s="16">
        <v>4</v>
      </c>
      <c r="E4731" s="17">
        <v>17.329999999999998</v>
      </c>
      <c r="F4731" s="16">
        <v>0.06</v>
      </c>
      <c r="G4731" s="15" t="s">
        <v>32</v>
      </c>
      <c r="H4731" s="18">
        <v>-16.579999999999998</v>
      </c>
      <c r="I4731" s="19">
        <v>3.28</v>
      </c>
      <c r="J4731" s="19">
        <v>5</v>
      </c>
      <c r="K4731" s="19" t="s">
        <v>44</v>
      </c>
      <c r="L4731" s="19" t="s">
        <v>120</v>
      </c>
      <c r="M4731" s="15" t="s">
        <v>2025</v>
      </c>
      <c r="N4731" s="15" t="s">
        <v>36</v>
      </c>
      <c r="O4731" s="15" t="s">
        <v>77</v>
      </c>
      <c r="P4731" s="20" t="s">
        <v>863</v>
      </c>
      <c r="Q4731" s="15" t="s">
        <v>79</v>
      </c>
      <c r="R4731" s="4"/>
      <c r="S4731" s="4"/>
    </row>
    <row r="4732" spans="1:19" ht="21" customHeight="1" x14ac:dyDescent="0.25">
      <c r="A4732" s="14">
        <f>DATE(2012,12,31)-1334</f>
        <v>39940</v>
      </c>
      <c r="B4732" s="15" t="s">
        <v>770</v>
      </c>
      <c r="C4732" s="15" t="s">
        <v>51</v>
      </c>
      <c r="D4732" s="16">
        <v>2</v>
      </c>
      <c r="E4732" s="17">
        <v>57.73</v>
      </c>
      <c r="F4732" s="16">
        <v>0.06</v>
      </c>
      <c r="G4732" s="15" t="s">
        <v>32</v>
      </c>
      <c r="H4732" s="18">
        <v>-101.41</v>
      </c>
      <c r="I4732" s="19">
        <v>27.48</v>
      </c>
      <c r="J4732" s="19">
        <v>4</v>
      </c>
      <c r="K4732" s="19" t="s">
        <v>44</v>
      </c>
      <c r="L4732" s="19" t="s">
        <v>89</v>
      </c>
      <c r="M4732" s="15" t="s">
        <v>1932</v>
      </c>
      <c r="N4732" s="15" t="s">
        <v>64</v>
      </c>
      <c r="O4732" s="15" t="s">
        <v>72</v>
      </c>
      <c r="P4732" s="20" t="s">
        <v>1322</v>
      </c>
      <c r="Q4732" s="15" t="s">
        <v>83</v>
      </c>
      <c r="R4732" s="4"/>
      <c r="S4732" s="4"/>
    </row>
    <row r="4733" spans="1:19" ht="21" customHeight="1" x14ac:dyDescent="0.25">
      <c r="A4733" s="14">
        <f>DATE(2012,12,31)-1254</f>
        <v>40020</v>
      </c>
      <c r="B4733" s="15" t="s">
        <v>1637</v>
      </c>
      <c r="C4733" s="15" t="s">
        <v>31</v>
      </c>
      <c r="D4733" s="16">
        <v>18</v>
      </c>
      <c r="E4733" s="17">
        <v>290.07</v>
      </c>
      <c r="F4733" s="16">
        <v>7.0000000000000007E-2</v>
      </c>
      <c r="G4733" s="15" t="s">
        <v>32</v>
      </c>
      <c r="H4733" s="18">
        <v>-114.2</v>
      </c>
      <c r="I4733" s="19">
        <v>16.739999999999998</v>
      </c>
      <c r="J4733" s="19">
        <v>7.04</v>
      </c>
      <c r="K4733" s="19" t="s">
        <v>44</v>
      </c>
      <c r="L4733" s="19" t="s">
        <v>120</v>
      </c>
      <c r="M4733" s="15" t="s">
        <v>2025</v>
      </c>
      <c r="N4733" s="15" t="s">
        <v>36</v>
      </c>
      <c r="O4733" s="15" t="s">
        <v>37</v>
      </c>
      <c r="P4733" s="20" t="s">
        <v>1598</v>
      </c>
      <c r="Q4733" s="15" t="s">
        <v>83</v>
      </c>
      <c r="R4733" s="4"/>
      <c r="S4733" s="4"/>
    </row>
    <row r="4734" spans="1:19" ht="21" customHeight="1" x14ac:dyDescent="0.25">
      <c r="A4734" s="14">
        <f>DATE(2012,12,31)-1254</f>
        <v>40020</v>
      </c>
      <c r="B4734" s="15" t="s">
        <v>1637</v>
      </c>
      <c r="C4734" s="15" t="s">
        <v>31</v>
      </c>
      <c r="D4734" s="16">
        <v>13</v>
      </c>
      <c r="E4734" s="17">
        <v>1619.51</v>
      </c>
      <c r="F4734" s="16">
        <v>0.05</v>
      </c>
      <c r="G4734" s="15" t="s">
        <v>58</v>
      </c>
      <c r="H4734" s="18">
        <v>-722.23</v>
      </c>
      <c r="I4734" s="19">
        <v>122.99</v>
      </c>
      <c r="J4734" s="19">
        <v>70.2</v>
      </c>
      <c r="K4734" s="19" t="s">
        <v>44</v>
      </c>
      <c r="L4734" s="19" t="s">
        <v>120</v>
      </c>
      <c r="M4734" s="15" t="s">
        <v>2025</v>
      </c>
      <c r="N4734" s="15" t="s">
        <v>54</v>
      </c>
      <c r="O4734" s="15" t="s">
        <v>252</v>
      </c>
      <c r="P4734" s="20" t="s">
        <v>819</v>
      </c>
      <c r="Q4734" s="15" t="s">
        <v>181</v>
      </c>
      <c r="R4734" s="4"/>
      <c r="S4734" s="4"/>
    </row>
    <row r="4735" spans="1:19" ht="21" customHeight="1" x14ac:dyDescent="0.25">
      <c r="A4735" s="14">
        <f>DATE(2012,12,31)-1254</f>
        <v>40020</v>
      </c>
      <c r="B4735" s="15" t="s">
        <v>1637</v>
      </c>
      <c r="C4735" s="15" t="s">
        <v>31</v>
      </c>
      <c r="D4735" s="16">
        <v>31</v>
      </c>
      <c r="E4735" s="17">
        <v>196.81</v>
      </c>
      <c r="F4735" s="16">
        <v>0.06</v>
      </c>
      <c r="G4735" s="15" t="s">
        <v>32</v>
      </c>
      <c r="H4735" s="18">
        <v>70.39</v>
      </c>
      <c r="I4735" s="19">
        <v>6.45</v>
      </c>
      <c r="J4735" s="19">
        <v>1.34</v>
      </c>
      <c r="K4735" s="19" t="s">
        <v>124</v>
      </c>
      <c r="L4735" s="19" t="s">
        <v>125</v>
      </c>
      <c r="M4735" s="15" t="s">
        <v>2048</v>
      </c>
      <c r="N4735" s="15" t="s">
        <v>36</v>
      </c>
      <c r="O4735" s="15" t="s">
        <v>117</v>
      </c>
      <c r="P4735" s="20" t="s">
        <v>1880</v>
      </c>
      <c r="Q4735" s="15" t="s">
        <v>79</v>
      </c>
      <c r="R4735" s="4"/>
      <c r="S4735" s="4"/>
    </row>
    <row r="4736" spans="1:19" ht="21" customHeight="1" x14ac:dyDescent="0.25">
      <c r="A4736" s="14">
        <f>DATE(2012,12,31)-634</f>
        <v>40640</v>
      </c>
      <c r="B4736" s="15" t="s">
        <v>1199</v>
      </c>
      <c r="C4736" s="15" t="s">
        <v>31</v>
      </c>
      <c r="D4736" s="16">
        <v>36</v>
      </c>
      <c r="E4736" s="17">
        <v>260.13</v>
      </c>
      <c r="F4736" s="16">
        <v>0</v>
      </c>
      <c r="G4736" s="15" t="s">
        <v>32</v>
      </c>
      <c r="H4736" s="18">
        <v>-133.97999999999999</v>
      </c>
      <c r="I4736" s="19">
        <v>6.48</v>
      </c>
      <c r="J4736" s="19">
        <v>8.19</v>
      </c>
      <c r="K4736" s="19" t="s">
        <v>124</v>
      </c>
      <c r="L4736" s="19" t="s">
        <v>160</v>
      </c>
      <c r="M4736" s="15" t="s">
        <v>2181</v>
      </c>
      <c r="N4736" s="15" t="s">
        <v>36</v>
      </c>
      <c r="O4736" s="15" t="s">
        <v>117</v>
      </c>
      <c r="P4736" s="20" t="s">
        <v>118</v>
      </c>
      <c r="Q4736" s="15" t="s">
        <v>83</v>
      </c>
      <c r="R4736" s="4"/>
      <c r="S4736" s="4"/>
    </row>
    <row r="4737" spans="1:19" ht="21" customHeight="1" x14ac:dyDescent="0.25">
      <c r="A4737" s="14">
        <f>DATE(2012,12,31)-1187</f>
        <v>40087</v>
      </c>
      <c r="B4737" s="15" t="s">
        <v>1041</v>
      </c>
      <c r="C4737" s="15" t="s">
        <v>85</v>
      </c>
      <c r="D4737" s="16">
        <v>35</v>
      </c>
      <c r="E4737" s="17">
        <v>2333.06</v>
      </c>
      <c r="F4737" s="16">
        <v>0.08</v>
      </c>
      <c r="G4737" s="15" t="s">
        <v>101</v>
      </c>
      <c r="H4737" s="18">
        <v>473.39049999999997</v>
      </c>
      <c r="I4737" s="19">
        <v>67.28</v>
      </c>
      <c r="J4737" s="19">
        <v>19.989999999999998</v>
      </c>
      <c r="K4737" s="19" t="s">
        <v>33</v>
      </c>
      <c r="L4737" s="19" t="s">
        <v>93</v>
      </c>
      <c r="M4737" s="15" t="s">
        <v>94</v>
      </c>
      <c r="N4737" s="15" t="s">
        <v>36</v>
      </c>
      <c r="O4737" s="15" t="s">
        <v>170</v>
      </c>
      <c r="P4737" s="20" t="s">
        <v>821</v>
      </c>
      <c r="Q4737" s="15" t="s">
        <v>83</v>
      </c>
      <c r="R4737" s="4"/>
      <c r="S4737" s="4"/>
    </row>
    <row r="4738" spans="1:19" ht="21" customHeight="1" x14ac:dyDescent="0.25">
      <c r="A4738" s="14">
        <f>DATE(2012,12,31)-120</f>
        <v>41154</v>
      </c>
      <c r="B4738" s="15" t="s">
        <v>643</v>
      </c>
      <c r="C4738" s="15" t="s">
        <v>43</v>
      </c>
      <c r="D4738" s="16">
        <v>14</v>
      </c>
      <c r="E4738" s="17">
        <v>56.26</v>
      </c>
      <c r="F4738" s="16">
        <v>0</v>
      </c>
      <c r="G4738" s="15" t="s">
        <v>101</v>
      </c>
      <c r="H4738" s="18">
        <v>28.11</v>
      </c>
      <c r="I4738" s="19">
        <v>2.89</v>
      </c>
      <c r="J4738" s="19">
        <v>0.5</v>
      </c>
      <c r="K4738" s="19" t="s">
        <v>33</v>
      </c>
      <c r="L4738" s="19" t="s">
        <v>128</v>
      </c>
      <c r="M4738" s="15" t="s">
        <v>129</v>
      </c>
      <c r="N4738" s="15" t="s">
        <v>36</v>
      </c>
      <c r="O4738" s="15" t="s">
        <v>114</v>
      </c>
      <c r="P4738" s="20" t="s">
        <v>115</v>
      </c>
      <c r="Q4738" s="15" t="s">
        <v>83</v>
      </c>
      <c r="R4738" s="4"/>
      <c r="S4738" s="4"/>
    </row>
    <row r="4739" spans="1:19" ht="21" customHeight="1" x14ac:dyDescent="0.25">
      <c r="A4739" s="14">
        <f>DATE(2012,12,31)-1059</f>
        <v>40215</v>
      </c>
      <c r="B4739" s="15" t="s">
        <v>478</v>
      </c>
      <c r="C4739" s="15" t="s">
        <v>43</v>
      </c>
      <c r="D4739" s="16">
        <v>4</v>
      </c>
      <c r="E4739" s="17">
        <v>242.36</v>
      </c>
      <c r="F4739" s="16">
        <v>0.08</v>
      </c>
      <c r="G4739" s="15" t="s">
        <v>32</v>
      </c>
      <c r="H4739" s="18">
        <v>-131.47999999999999</v>
      </c>
      <c r="I4739" s="19">
        <v>60.98</v>
      </c>
      <c r="J4739" s="19">
        <v>1.99</v>
      </c>
      <c r="K4739" s="19" t="s">
        <v>33</v>
      </c>
      <c r="L4739" s="19" t="s">
        <v>128</v>
      </c>
      <c r="M4739" s="15" t="s">
        <v>129</v>
      </c>
      <c r="N4739" s="15" t="s">
        <v>64</v>
      </c>
      <c r="O4739" s="15" t="s">
        <v>72</v>
      </c>
      <c r="P4739" s="20" t="s">
        <v>1883</v>
      </c>
      <c r="Q4739" s="15" t="s">
        <v>49</v>
      </c>
      <c r="R4739" s="4"/>
      <c r="S4739" s="4"/>
    </row>
    <row r="4740" spans="1:19" ht="21" customHeight="1" x14ac:dyDescent="0.25">
      <c r="A4740" s="14">
        <f>DATE(2012,12,31)-1059</f>
        <v>40215</v>
      </c>
      <c r="B4740" s="15" t="s">
        <v>478</v>
      </c>
      <c r="C4740" s="15" t="s">
        <v>43</v>
      </c>
      <c r="D4740" s="16">
        <v>25</v>
      </c>
      <c r="E4740" s="17">
        <v>802.19</v>
      </c>
      <c r="F4740" s="16">
        <v>0</v>
      </c>
      <c r="G4740" s="15" t="s">
        <v>32</v>
      </c>
      <c r="H4740" s="18">
        <v>56.26</v>
      </c>
      <c r="I4740" s="19">
        <v>29.74</v>
      </c>
      <c r="J4740" s="19">
        <v>6.64</v>
      </c>
      <c r="K4740" s="19" t="s">
        <v>33</v>
      </c>
      <c r="L4740" s="19" t="s">
        <v>93</v>
      </c>
      <c r="M4740" s="15" t="s">
        <v>94</v>
      </c>
      <c r="N4740" s="15" t="s">
        <v>36</v>
      </c>
      <c r="O4740" s="15" t="s">
        <v>37</v>
      </c>
      <c r="P4740" s="20" t="s">
        <v>1372</v>
      </c>
      <c r="Q4740" s="15" t="s">
        <v>83</v>
      </c>
      <c r="R4740" s="4"/>
      <c r="S4740" s="4"/>
    </row>
    <row r="4741" spans="1:19" ht="21" customHeight="1" x14ac:dyDescent="0.25">
      <c r="A4741" s="14">
        <f>DATE(2012,12,31)-1059</f>
        <v>40215</v>
      </c>
      <c r="B4741" s="15" t="s">
        <v>478</v>
      </c>
      <c r="C4741" s="15" t="s">
        <v>43</v>
      </c>
      <c r="D4741" s="16">
        <v>4</v>
      </c>
      <c r="E4741" s="17">
        <v>63.52</v>
      </c>
      <c r="F4741" s="16">
        <v>0.08</v>
      </c>
      <c r="G4741" s="15" t="s">
        <v>101</v>
      </c>
      <c r="H4741" s="18">
        <v>-8.4700000000000006</v>
      </c>
      <c r="I4741" s="19">
        <v>12.21</v>
      </c>
      <c r="J4741" s="19">
        <v>4.8099999999999996</v>
      </c>
      <c r="K4741" s="19" t="s">
        <v>97</v>
      </c>
      <c r="L4741" s="19" t="s">
        <v>283</v>
      </c>
      <c r="M4741" s="15" t="s">
        <v>1901</v>
      </c>
      <c r="N4741" s="15" t="s">
        <v>36</v>
      </c>
      <c r="O4741" s="15" t="s">
        <v>37</v>
      </c>
      <c r="P4741" s="20" t="s">
        <v>1674</v>
      </c>
      <c r="Q4741" s="15" t="s">
        <v>83</v>
      </c>
      <c r="R4741" s="4"/>
      <c r="S4741" s="4"/>
    </row>
    <row r="4742" spans="1:19" ht="21" customHeight="1" x14ac:dyDescent="0.25">
      <c r="A4742" s="14">
        <f>DATE(2012,12,31)-103</f>
        <v>41171</v>
      </c>
      <c r="B4742" s="15" t="s">
        <v>1648</v>
      </c>
      <c r="C4742" s="15" t="s">
        <v>43</v>
      </c>
      <c r="D4742" s="16">
        <v>26</v>
      </c>
      <c r="E4742" s="17">
        <v>6995.56</v>
      </c>
      <c r="F4742" s="16">
        <v>7.0000000000000007E-2</v>
      </c>
      <c r="G4742" s="15" t="s">
        <v>32</v>
      </c>
      <c r="H4742" s="18">
        <v>-286.58</v>
      </c>
      <c r="I4742" s="19">
        <v>279.48</v>
      </c>
      <c r="J4742" s="19">
        <v>35</v>
      </c>
      <c r="K4742" s="19" t="s">
        <v>97</v>
      </c>
      <c r="L4742" s="19" t="s">
        <v>283</v>
      </c>
      <c r="M4742" s="15" t="s">
        <v>1901</v>
      </c>
      <c r="N4742" s="15" t="s">
        <v>36</v>
      </c>
      <c r="O4742" s="15" t="s">
        <v>37</v>
      </c>
      <c r="P4742" s="20" t="s">
        <v>905</v>
      </c>
      <c r="Q4742" s="15" t="s">
        <v>39</v>
      </c>
      <c r="R4742" s="4"/>
      <c r="S4742" s="4"/>
    </row>
    <row r="4743" spans="1:19" ht="21" customHeight="1" x14ac:dyDescent="0.25">
      <c r="A4743" s="14">
        <f>DATE(2012,12,31)-84</f>
        <v>41190</v>
      </c>
      <c r="B4743" s="15" t="s">
        <v>96</v>
      </c>
      <c r="C4743" s="15" t="s">
        <v>51</v>
      </c>
      <c r="D4743" s="16">
        <v>27</v>
      </c>
      <c r="E4743" s="17">
        <v>8213.3700000000008</v>
      </c>
      <c r="F4743" s="16">
        <v>0.02</v>
      </c>
      <c r="G4743" s="15" t="s">
        <v>58</v>
      </c>
      <c r="H4743" s="18">
        <v>1148.8800000000001</v>
      </c>
      <c r="I4743" s="19">
        <v>284.98</v>
      </c>
      <c r="J4743" s="19">
        <v>69.55</v>
      </c>
      <c r="K4743" s="19" t="s">
        <v>97</v>
      </c>
      <c r="L4743" s="19" t="s">
        <v>132</v>
      </c>
      <c r="M4743" s="15" t="s">
        <v>133</v>
      </c>
      <c r="N4743" s="15" t="s">
        <v>54</v>
      </c>
      <c r="O4743" s="15" t="s">
        <v>252</v>
      </c>
      <c r="P4743" s="20" t="s">
        <v>1647</v>
      </c>
      <c r="Q4743" s="15" t="s">
        <v>181</v>
      </c>
      <c r="R4743" s="4"/>
      <c r="S4743" s="4"/>
    </row>
    <row r="4744" spans="1:19" ht="21" customHeight="1" x14ac:dyDescent="0.25">
      <c r="A4744" s="14">
        <f>DATE(2012,12,31)-84</f>
        <v>41190</v>
      </c>
      <c r="B4744" s="15" t="s">
        <v>96</v>
      </c>
      <c r="C4744" s="15" t="s">
        <v>51</v>
      </c>
      <c r="D4744" s="16">
        <v>32</v>
      </c>
      <c r="E4744" s="17">
        <v>109.01</v>
      </c>
      <c r="F4744" s="16">
        <v>0.09</v>
      </c>
      <c r="G4744" s="15" t="s">
        <v>32</v>
      </c>
      <c r="H4744" s="18">
        <v>8.4499999999999993</v>
      </c>
      <c r="I4744" s="19">
        <v>3.58</v>
      </c>
      <c r="J4744" s="19">
        <v>1.63</v>
      </c>
      <c r="K4744" s="19" t="s">
        <v>97</v>
      </c>
      <c r="L4744" s="19" t="s">
        <v>98</v>
      </c>
      <c r="M4744" s="15" t="s">
        <v>2161</v>
      </c>
      <c r="N4744" s="15" t="s">
        <v>36</v>
      </c>
      <c r="O4744" s="15" t="s">
        <v>105</v>
      </c>
      <c r="P4744" s="20" t="s">
        <v>374</v>
      </c>
      <c r="Q4744" s="15" t="s">
        <v>79</v>
      </c>
      <c r="R4744" s="4"/>
      <c r="S4744" s="4"/>
    </row>
    <row r="4745" spans="1:19" ht="21" customHeight="1" x14ac:dyDescent="0.25">
      <c r="A4745" s="14">
        <f>DATE(2012,12,31)-84</f>
        <v>41190</v>
      </c>
      <c r="B4745" s="15" t="s">
        <v>96</v>
      </c>
      <c r="C4745" s="15" t="s">
        <v>51</v>
      </c>
      <c r="D4745" s="16">
        <v>12</v>
      </c>
      <c r="E4745" s="17">
        <v>138.88</v>
      </c>
      <c r="F4745" s="16">
        <v>0.05</v>
      </c>
      <c r="G4745" s="15" t="s">
        <v>32</v>
      </c>
      <c r="H4745" s="18">
        <v>-23.99</v>
      </c>
      <c r="I4745" s="19">
        <v>11.29</v>
      </c>
      <c r="J4745" s="19">
        <v>5.03</v>
      </c>
      <c r="K4745" s="19" t="s">
        <v>97</v>
      </c>
      <c r="L4745" s="19" t="s">
        <v>283</v>
      </c>
      <c r="M4745" s="15" t="s">
        <v>2205</v>
      </c>
      <c r="N4745" s="15" t="s">
        <v>36</v>
      </c>
      <c r="O4745" s="15" t="s">
        <v>37</v>
      </c>
      <c r="P4745" s="20" t="s">
        <v>1085</v>
      </c>
      <c r="Q4745" s="15" t="s">
        <v>83</v>
      </c>
      <c r="R4745" s="4"/>
      <c r="S4745" s="4"/>
    </row>
    <row r="4746" spans="1:19" ht="21" customHeight="1" x14ac:dyDescent="0.25">
      <c r="A4746" s="14">
        <f>DATE(2012,12,31)-1221</f>
        <v>40053</v>
      </c>
      <c r="B4746" s="15" t="s">
        <v>2103</v>
      </c>
      <c r="C4746" s="15" t="s">
        <v>43</v>
      </c>
      <c r="D4746" s="16">
        <v>33</v>
      </c>
      <c r="E4746" s="17">
        <v>332.95</v>
      </c>
      <c r="F4746" s="16">
        <v>0.05</v>
      </c>
      <c r="G4746" s="15" t="s">
        <v>32</v>
      </c>
      <c r="H4746" s="18">
        <v>-28.16</v>
      </c>
      <c r="I4746" s="19">
        <v>9.65</v>
      </c>
      <c r="J4746" s="19">
        <v>6.22</v>
      </c>
      <c r="K4746" s="19" t="s">
        <v>97</v>
      </c>
      <c r="L4746" s="19" t="s">
        <v>195</v>
      </c>
      <c r="M4746" s="15" t="s">
        <v>2138</v>
      </c>
      <c r="N4746" s="15" t="s">
        <v>54</v>
      </c>
      <c r="O4746" s="15" t="s">
        <v>55</v>
      </c>
      <c r="P4746" s="20" t="s">
        <v>490</v>
      </c>
      <c r="Q4746" s="15" t="s">
        <v>83</v>
      </c>
      <c r="R4746" s="4"/>
      <c r="S4746" s="4"/>
    </row>
    <row r="4747" spans="1:19" ht="21" customHeight="1" x14ac:dyDescent="0.25">
      <c r="A4747" s="14">
        <f>DATE(2012,12,31)-441</f>
        <v>40833</v>
      </c>
      <c r="B4747" s="15" t="s">
        <v>1534</v>
      </c>
      <c r="C4747" s="15" t="s">
        <v>43</v>
      </c>
      <c r="D4747" s="16">
        <v>13</v>
      </c>
      <c r="E4747" s="17">
        <v>371.94</v>
      </c>
      <c r="F4747" s="16">
        <v>0.05</v>
      </c>
      <c r="G4747" s="15" t="s">
        <v>32</v>
      </c>
      <c r="H4747" s="18">
        <v>106.53</v>
      </c>
      <c r="I4747" s="19">
        <v>29.14</v>
      </c>
      <c r="J4747" s="19">
        <v>4.8600000000000003</v>
      </c>
      <c r="K4747" s="19" t="s">
        <v>97</v>
      </c>
      <c r="L4747" s="19" t="s">
        <v>195</v>
      </c>
      <c r="M4747" s="15" t="s">
        <v>2138</v>
      </c>
      <c r="N4747" s="15" t="s">
        <v>36</v>
      </c>
      <c r="O4747" s="15" t="s">
        <v>117</v>
      </c>
      <c r="P4747" s="20" t="s">
        <v>2014</v>
      </c>
      <c r="Q4747" s="15" t="s">
        <v>79</v>
      </c>
      <c r="R4747" s="4"/>
      <c r="S4747" s="4"/>
    </row>
    <row r="4748" spans="1:19" ht="21" customHeight="1" x14ac:dyDescent="0.25">
      <c r="A4748" s="14">
        <f>DATE(2012,12,31)-149</f>
        <v>41125</v>
      </c>
      <c r="B4748" s="15" t="s">
        <v>1709</v>
      </c>
      <c r="C4748" s="15" t="s">
        <v>51</v>
      </c>
      <c r="D4748" s="16">
        <v>45</v>
      </c>
      <c r="E4748" s="17">
        <v>463.93</v>
      </c>
      <c r="F4748" s="16">
        <v>0.06</v>
      </c>
      <c r="G4748" s="15" t="s">
        <v>32</v>
      </c>
      <c r="H4748" s="18">
        <v>29.96</v>
      </c>
      <c r="I4748" s="19">
        <v>10.48</v>
      </c>
      <c r="J4748" s="19">
        <v>2.89</v>
      </c>
      <c r="K4748" s="19" t="s">
        <v>97</v>
      </c>
      <c r="L4748" s="19" t="s">
        <v>195</v>
      </c>
      <c r="M4748" s="15" t="s">
        <v>2138</v>
      </c>
      <c r="N4748" s="15" t="s">
        <v>36</v>
      </c>
      <c r="O4748" s="15" t="s">
        <v>77</v>
      </c>
      <c r="P4748" s="20" t="s">
        <v>1753</v>
      </c>
      <c r="Q4748" s="15" t="s">
        <v>49</v>
      </c>
      <c r="R4748" s="4"/>
      <c r="S4748" s="4"/>
    </row>
    <row r="4749" spans="1:19" ht="21" customHeight="1" x14ac:dyDescent="0.25">
      <c r="A4749" s="14">
        <f>DATE(2012,12,31)-830</f>
        <v>40444</v>
      </c>
      <c r="B4749" s="15" t="s">
        <v>1500</v>
      </c>
      <c r="C4749" s="15" t="s">
        <v>43</v>
      </c>
      <c r="D4749" s="16">
        <v>23</v>
      </c>
      <c r="E4749" s="17">
        <v>10791.38</v>
      </c>
      <c r="F4749" s="16">
        <v>0.08</v>
      </c>
      <c r="G4749" s="15" t="s">
        <v>32</v>
      </c>
      <c r="H4749" s="18">
        <v>-234.79</v>
      </c>
      <c r="I4749" s="19">
        <v>499.99</v>
      </c>
      <c r="J4749" s="19">
        <v>24.49</v>
      </c>
      <c r="K4749" s="19" t="s">
        <v>124</v>
      </c>
      <c r="L4749" s="19" t="s">
        <v>493</v>
      </c>
      <c r="M4749" s="15" t="s">
        <v>2134</v>
      </c>
      <c r="N4749" s="15" t="s">
        <v>64</v>
      </c>
      <c r="O4749" s="15" t="s">
        <v>460</v>
      </c>
      <c r="P4749" s="20" t="s">
        <v>1118</v>
      </c>
      <c r="Q4749" s="15" t="s">
        <v>39</v>
      </c>
      <c r="R4749" s="4"/>
      <c r="S4749" s="4"/>
    </row>
    <row r="4750" spans="1:19" ht="21" customHeight="1" x14ac:dyDescent="0.25">
      <c r="A4750" s="14">
        <f>DATE(2012,12,31)-690</f>
        <v>40584</v>
      </c>
      <c r="B4750" s="15" t="s">
        <v>233</v>
      </c>
      <c r="C4750" s="15" t="s">
        <v>85</v>
      </c>
      <c r="D4750" s="16">
        <v>31</v>
      </c>
      <c r="E4750" s="17">
        <v>226.15</v>
      </c>
      <c r="F4750" s="16">
        <v>0.01</v>
      </c>
      <c r="G4750" s="15" t="s">
        <v>32</v>
      </c>
      <c r="H4750" s="18">
        <v>35.979999999999997</v>
      </c>
      <c r="I4750" s="19">
        <v>7.08</v>
      </c>
      <c r="J4750" s="19">
        <v>2.35</v>
      </c>
      <c r="K4750" s="19" t="s">
        <v>124</v>
      </c>
      <c r="L4750" s="19" t="s">
        <v>160</v>
      </c>
      <c r="M4750" s="15" t="s">
        <v>2181</v>
      </c>
      <c r="N4750" s="15" t="s">
        <v>36</v>
      </c>
      <c r="O4750" s="15" t="s">
        <v>77</v>
      </c>
      <c r="P4750" s="20" t="s">
        <v>1833</v>
      </c>
      <c r="Q4750" s="15" t="s">
        <v>79</v>
      </c>
      <c r="R4750" s="4"/>
      <c r="S4750" s="4"/>
    </row>
    <row r="4751" spans="1:19" ht="21" customHeight="1" x14ac:dyDescent="0.25">
      <c r="A4751" s="14">
        <f>DATE(2012,12,31)-690</f>
        <v>40584</v>
      </c>
      <c r="B4751" s="15" t="s">
        <v>233</v>
      </c>
      <c r="C4751" s="15" t="s">
        <v>85</v>
      </c>
      <c r="D4751" s="16">
        <v>4</v>
      </c>
      <c r="E4751" s="17">
        <v>539.82000000000005</v>
      </c>
      <c r="F4751" s="16">
        <v>0</v>
      </c>
      <c r="G4751" s="15" t="s">
        <v>32</v>
      </c>
      <c r="H4751" s="18">
        <v>-64.78</v>
      </c>
      <c r="I4751" s="19">
        <v>120.33</v>
      </c>
      <c r="J4751" s="19">
        <v>19.989999999999998</v>
      </c>
      <c r="K4751" s="19" t="s">
        <v>124</v>
      </c>
      <c r="L4751" s="19" t="s">
        <v>493</v>
      </c>
      <c r="M4751" s="15" t="s">
        <v>2206</v>
      </c>
      <c r="N4751" s="15" t="s">
        <v>36</v>
      </c>
      <c r="O4751" s="15" t="s">
        <v>37</v>
      </c>
      <c r="P4751" s="20" t="s">
        <v>626</v>
      </c>
      <c r="Q4751" s="15" t="s">
        <v>83</v>
      </c>
      <c r="R4751" s="4"/>
      <c r="S4751" s="4"/>
    </row>
    <row r="4752" spans="1:19" ht="21" customHeight="1" x14ac:dyDescent="0.25">
      <c r="A4752" s="14">
        <f>DATE(2012,12,31)-690</f>
        <v>40584</v>
      </c>
      <c r="B4752" s="15" t="s">
        <v>233</v>
      </c>
      <c r="C4752" s="15" t="s">
        <v>85</v>
      </c>
      <c r="D4752" s="16">
        <v>6</v>
      </c>
      <c r="E4752" s="17">
        <v>1029.8855000000001</v>
      </c>
      <c r="F4752" s="16">
        <v>0.06</v>
      </c>
      <c r="G4752" s="15" t="s">
        <v>101</v>
      </c>
      <c r="H4752" s="18">
        <v>-620.82899999999995</v>
      </c>
      <c r="I4752" s="19">
        <v>205.99</v>
      </c>
      <c r="J4752" s="19">
        <v>8.99</v>
      </c>
      <c r="K4752" s="19" t="s">
        <v>124</v>
      </c>
      <c r="L4752" s="19" t="s">
        <v>160</v>
      </c>
      <c r="M4752" s="15" t="s">
        <v>2181</v>
      </c>
      <c r="N4752" s="15" t="s">
        <v>64</v>
      </c>
      <c r="O4752" s="15" t="s">
        <v>65</v>
      </c>
      <c r="P4752" s="20" t="s">
        <v>1464</v>
      </c>
      <c r="Q4752" s="15" t="s">
        <v>83</v>
      </c>
      <c r="R4752" s="4"/>
      <c r="S4752" s="4"/>
    </row>
    <row r="4753" spans="1:19" ht="21" customHeight="1" x14ac:dyDescent="0.25">
      <c r="A4753" s="14">
        <f>DATE(2012,12,31)-187</f>
        <v>41087</v>
      </c>
      <c r="B4753" s="15" t="s">
        <v>1645</v>
      </c>
      <c r="C4753" s="15" t="s">
        <v>85</v>
      </c>
      <c r="D4753" s="16">
        <v>17</v>
      </c>
      <c r="E4753" s="17">
        <v>267.58</v>
      </c>
      <c r="F4753" s="16">
        <v>0.03</v>
      </c>
      <c r="G4753" s="15" t="s">
        <v>32</v>
      </c>
      <c r="H4753" s="18">
        <v>-137.74700000000001</v>
      </c>
      <c r="I4753" s="19">
        <v>15.16</v>
      </c>
      <c r="J4753" s="19">
        <v>15.09</v>
      </c>
      <c r="K4753" s="19" t="s">
        <v>124</v>
      </c>
      <c r="L4753" s="19" t="s">
        <v>160</v>
      </c>
      <c r="M4753" s="15" t="s">
        <v>2181</v>
      </c>
      <c r="N4753" s="15" t="s">
        <v>36</v>
      </c>
      <c r="O4753" s="15" t="s">
        <v>170</v>
      </c>
      <c r="P4753" s="20" t="s">
        <v>1947</v>
      </c>
      <c r="Q4753" s="15" t="s">
        <v>83</v>
      </c>
      <c r="R4753" s="4"/>
      <c r="S4753" s="4"/>
    </row>
    <row r="4754" spans="1:19" ht="21" customHeight="1" x14ac:dyDescent="0.25">
      <c r="A4754" s="14">
        <f>DATE(2012,12,31)-678</f>
        <v>40596</v>
      </c>
      <c r="B4754" s="15" t="s">
        <v>956</v>
      </c>
      <c r="C4754" s="15" t="s">
        <v>85</v>
      </c>
      <c r="D4754" s="16">
        <v>18</v>
      </c>
      <c r="E4754" s="17">
        <v>92.77</v>
      </c>
      <c r="F4754" s="16">
        <v>0.06</v>
      </c>
      <c r="G4754" s="15" t="s">
        <v>32</v>
      </c>
      <c r="H4754" s="18">
        <v>-17.91</v>
      </c>
      <c r="I4754" s="19">
        <v>4.91</v>
      </c>
      <c r="J4754" s="19">
        <v>3.05</v>
      </c>
      <c r="K4754" s="19" t="s">
        <v>124</v>
      </c>
      <c r="L4754" s="19" t="s">
        <v>160</v>
      </c>
      <c r="M4754" s="15" t="s">
        <v>2181</v>
      </c>
      <c r="N4754" s="15" t="s">
        <v>54</v>
      </c>
      <c r="O4754" s="15" t="s">
        <v>55</v>
      </c>
      <c r="P4754" s="20" t="s">
        <v>2080</v>
      </c>
      <c r="Q4754" s="15" t="s">
        <v>49</v>
      </c>
      <c r="R4754" s="4"/>
      <c r="S4754" s="4"/>
    </row>
    <row r="4755" spans="1:19" ht="21" customHeight="1" x14ac:dyDescent="0.25">
      <c r="A4755" s="14">
        <f>DATE(2012,12,31)-1450</f>
        <v>39824</v>
      </c>
      <c r="B4755" s="15" t="s">
        <v>770</v>
      </c>
      <c r="C4755" s="15" t="s">
        <v>43</v>
      </c>
      <c r="D4755" s="16">
        <v>20</v>
      </c>
      <c r="E4755" s="17">
        <v>4531.34</v>
      </c>
      <c r="F4755" s="16">
        <v>0.08</v>
      </c>
      <c r="G4755" s="15" t="s">
        <v>58</v>
      </c>
      <c r="H4755" s="18">
        <v>653.67999999999995</v>
      </c>
      <c r="I4755" s="19">
        <v>297.64</v>
      </c>
      <c r="J4755" s="19">
        <v>14.7</v>
      </c>
      <c r="K4755" s="19" t="s">
        <v>124</v>
      </c>
      <c r="L4755" s="19" t="s">
        <v>164</v>
      </c>
      <c r="M4755" s="15" t="s">
        <v>2171</v>
      </c>
      <c r="N4755" s="15" t="s">
        <v>64</v>
      </c>
      <c r="O4755" s="15" t="s">
        <v>122</v>
      </c>
      <c r="P4755" s="20" t="s">
        <v>1942</v>
      </c>
      <c r="Q4755" s="15" t="s">
        <v>181</v>
      </c>
      <c r="R4755" s="4"/>
      <c r="S4755" s="4"/>
    </row>
    <row r="4756" spans="1:19" ht="21" customHeight="1" x14ac:dyDescent="0.25">
      <c r="A4756" s="14">
        <f>DATE(2012,12,31)-1450</f>
        <v>39824</v>
      </c>
      <c r="B4756" s="15" t="s">
        <v>770</v>
      </c>
      <c r="C4756" s="15" t="s">
        <v>43</v>
      </c>
      <c r="D4756" s="16">
        <v>44</v>
      </c>
      <c r="E4756" s="17">
        <v>574.5</v>
      </c>
      <c r="F4756" s="16">
        <v>0.02</v>
      </c>
      <c r="G4756" s="15" t="s">
        <v>32</v>
      </c>
      <c r="H4756" s="18">
        <v>-449.04</v>
      </c>
      <c r="I4756" s="19">
        <v>12.99</v>
      </c>
      <c r="J4756" s="19">
        <v>14.37</v>
      </c>
      <c r="K4756" s="19" t="s">
        <v>124</v>
      </c>
      <c r="L4756" s="19" t="s">
        <v>125</v>
      </c>
      <c r="M4756" s="15" t="s">
        <v>2048</v>
      </c>
      <c r="N4756" s="15" t="s">
        <v>54</v>
      </c>
      <c r="O4756" s="15" t="s">
        <v>55</v>
      </c>
      <c r="P4756" s="20" t="s">
        <v>1696</v>
      </c>
      <c r="Q4756" s="15" t="s">
        <v>39</v>
      </c>
      <c r="R4756" s="4"/>
      <c r="S4756" s="4"/>
    </row>
    <row r="4757" spans="1:19" ht="21" customHeight="1" x14ac:dyDescent="0.25">
      <c r="A4757" s="14">
        <f>DATE(2012,12,31)-1450</f>
        <v>39824</v>
      </c>
      <c r="B4757" s="15" t="s">
        <v>770</v>
      </c>
      <c r="C4757" s="15" t="s">
        <v>43</v>
      </c>
      <c r="D4757" s="16">
        <v>18</v>
      </c>
      <c r="E4757" s="17">
        <v>262.94</v>
      </c>
      <c r="F4757" s="16">
        <v>0.06</v>
      </c>
      <c r="G4757" s="15" t="s">
        <v>32</v>
      </c>
      <c r="H4757" s="18">
        <v>-22.37</v>
      </c>
      <c r="I4757" s="19">
        <v>14.42</v>
      </c>
      <c r="J4757" s="19">
        <v>6.75</v>
      </c>
      <c r="K4757" s="19" t="s">
        <v>124</v>
      </c>
      <c r="L4757" s="19" t="s">
        <v>164</v>
      </c>
      <c r="M4757" s="15" t="s">
        <v>2171</v>
      </c>
      <c r="N4757" s="15" t="s">
        <v>36</v>
      </c>
      <c r="O4757" s="15" t="s">
        <v>176</v>
      </c>
      <c r="P4757" s="20" t="s">
        <v>411</v>
      </c>
      <c r="Q4757" s="15" t="s">
        <v>57</v>
      </c>
      <c r="R4757" s="4"/>
      <c r="S4757" s="4"/>
    </row>
    <row r="4758" spans="1:19" ht="21" customHeight="1" x14ac:dyDescent="0.25">
      <c r="A4758" s="14">
        <f>DATE(2012,12,31)-1450</f>
        <v>39824</v>
      </c>
      <c r="B4758" s="15" t="s">
        <v>770</v>
      </c>
      <c r="C4758" s="15" t="s">
        <v>43</v>
      </c>
      <c r="D4758" s="16">
        <v>29</v>
      </c>
      <c r="E4758" s="17">
        <v>138.16999999999999</v>
      </c>
      <c r="F4758" s="16">
        <v>0.05</v>
      </c>
      <c r="G4758" s="15" t="s">
        <v>101</v>
      </c>
      <c r="H4758" s="18">
        <v>-103.78</v>
      </c>
      <c r="I4758" s="19">
        <v>4.1399999999999997</v>
      </c>
      <c r="J4758" s="19">
        <v>6.6</v>
      </c>
      <c r="K4758" s="19" t="s">
        <v>124</v>
      </c>
      <c r="L4758" s="19" t="s">
        <v>168</v>
      </c>
      <c r="M4758" s="15" t="s">
        <v>2065</v>
      </c>
      <c r="N4758" s="15" t="s">
        <v>54</v>
      </c>
      <c r="O4758" s="15" t="s">
        <v>55</v>
      </c>
      <c r="P4758" s="20" t="s">
        <v>1673</v>
      </c>
      <c r="Q4758" s="15" t="s">
        <v>83</v>
      </c>
      <c r="R4758" s="4"/>
      <c r="S4758" s="4"/>
    </row>
    <row r="4759" spans="1:19" ht="21" customHeight="1" x14ac:dyDescent="0.25">
      <c r="A4759" s="14">
        <f>DATE(2012,12,31)-1450</f>
        <v>39824</v>
      </c>
      <c r="B4759" s="15" t="s">
        <v>770</v>
      </c>
      <c r="C4759" s="15" t="s">
        <v>43</v>
      </c>
      <c r="D4759" s="16">
        <v>18</v>
      </c>
      <c r="E4759" s="17">
        <v>216.87</v>
      </c>
      <c r="F4759" s="16">
        <v>0.03</v>
      </c>
      <c r="G4759" s="15" t="s">
        <v>32</v>
      </c>
      <c r="H4759" s="18">
        <v>30.53</v>
      </c>
      <c r="I4759" s="19">
        <v>11.34</v>
      </c>
      <c r="J4759" s="19">
        <v>5.01</v>
      </c>
      <c r="K4759" s="19" t="s">
        <v>124</v>
      </c>
      <c r="L4759" s="19" t="s">
        <v>168</v>
      </c>
      <c r="M4759" s="15" t="s">
        <v>2207</v>
      </c>
      <c r="N4759" s="15" t="s">
        <v>36</v>
      </c>
      <c r="O4759" s="15" t="s">
        <v>117</v>
      </c>
      <c r="P4759" s="20" t="s">
        <v>1425</v>
      </c>
      <c r="Q4759" s="15" t="s">
        <v>83</v>
      </c>
      <c r="R4759" s="4"/>
      <c r="S4759" s="4"/>
    </row>
    <row r="4760" spans="1:19" ht="21" customHeight="1" x14ac:dyDescent="0.25">
      <c r="A4760" s="14">
        <f>DATE(2012,12,31)-670</f>
        <v>40604</v>
      </c>
      <c r="B4760" s="15" t="s">
        <v>311</v>
      </c>
      <c r="C4760" s="15" t="s">
        <v>85</v>
      </c>
      <c r="D4760" s="16">
        <v>19</v>
      </c>
      <c r="E4760" s="17">
        <v>50.99</v>
      </c>
      <c r="F4760" s="16">
        <v>0.06</v>
      </c>
      <c r="G4760" s="15" t="s">
        <v>32</v>
      </c>
      <c r="H4760" s="18">
        <v>-3.8</v>
      </c>
      <c r="I4760" s="19">
        <v>2.78</v>
      </c>
      <c r="J4760" s="19">
        <v>1.34</v>
      </c>
      <c r="K4760" s="19" t="s">
        <v>124</v>
      </c>
      <c r="L4760" s="19" t="s">
        <v>164</v>
      </c>
      <c r="M4760" s="15" t="s">
        <v>2171</v>
      </c>
      <c r="N4760" s="15" t="s">
        <v>36</v>
      </c>
      <c r="O4760" s="15" t="s">
        <v>77</v>
      </c>
      <c r="P4760" s="20" t="s">
        <v>422</v>
      </c>
      <c r="Q4760" s="15" t="s">
        <v>79</v>
      </c>
      <c r="R4760" s="4"/>
      <c r="S4760" s="4"/>
    </row>
    <row r="4761" spans="1:19" ht="21" customHeight="1" x14ac:dyDescent="0.25">
      <c r="A4761" s="14">
        <f>DATE(2012,12,31)-743</f>
        <v>40531</v>
      </c>
      <c r="B4761" s="15" t="s">
        <v>1059</v>
      </c>
      <c r="C4761" s="15" t="s">
        <v>31</v>
      </c>
      <c r="D4761" s="16">
        <v>13</v>
      </c>
      <c r="E4761" s="17">
        <v>185.83</v>
      </c>
      <c r="F4761" s="16">
        <v>0.03</v>
      </c>
      <c r="G4761" s="15" t="s">
        <v>32</v>
      </c>
      <c r="H4761" s="18">
        <v>58.16</v>
      </c>
      <c r="I4761" s="19">
        <v>14.34</v>
      </c>
      <c r="J4761" s="19">
        <v>5</v>
      </c>
      <c r="K4761" s="19" t="s">
        <v>124</v>
      </c>
      <c r="L4761" s="19" t="s">
        <v>158</v>
      </c>
      <c r="M4761" s="15" t="s">
        <v>158</v>
      </c>
      <c r="N4761" s="15" t="s">
        <v>54</v>
      </c>
      <c r="O4761" s="15" t="s">
        <v>55</v>
      </c>
      <c r="P4761" s="20" t="s">
        <v>277</v>
      </c>
      <c r="Q4761" s="15" t="s">
        <v>49</v>
      </c>
      <c r="R4761" s="4"/>
      <c r="S4761" s="4"/>
    </row>
    <row r="4762" spans="1:19" ht="21" customHeight="1" x14ac:dyDescent="0.25">
      <c r="A4762" s="14">
        <f>DATE(2012,12,31)-977</f>
        <v>40297</v>
      </c>
      <c r="B4762" s="15" t="s">
        <v>681</v>
      </c>
      <c r="C4762" s="15" t="s">
        <v>85</v>
      </c>
      <c r="D4762" s="16">
        <v>18</v>
      </c>
      <c r="E4762" s="17">
        <v>130.16</v>
      </c>
      <c r="F4762" s="16">
        <v>0</v>
      </c>
      <c r="G4762" s="15" t="s">
        <v>32</v>
      </c>
      <c r="H4762" s="18">
        <v>28.87</v>
      </c>
      <c r="I4762" s="19">
        <v>7.04</v>
      </c>
      <c r="J4762" s="19">
        <v>2.17</v>
      </c>
      <c r="K4762" s="19" t="s">
        <v>44</v>
      </c>
      <c r="L4762" s="19" t="s">
        <v>52</v>
      </c>
      <c r="M4762" s="15" t="s">
        <v>2183</v>
      </c>
      <c r="N4762" s="15" t="s">
        <v>36</v>
      </c>
      <c r="O4762" s="15" t="s">
        <v>117</v>
      </c>
      <c r="P4762" s="20" t="s">
        <v>1816</v>
      </c>
      <c r="Q4762" s="15" t="s">
        <v>79</v>
      </c>
      <c r="R4762" s="4"/>
      <c r="S4762" s="4"/>
    </row>
    <row r="4763" spans="1:19" ht="21" customHeight="1" x14ac:dyDescent="0.25">
      <c r="A4763" s="14">
        <f>DATE(2012,12,31)-923</f>
        <v>40351</v>
      </c>
      <c r="B4763" s="15" t="s">
        <v>640</v>
      </c>
      <c r="C4763" s="15" t="s">
        <v>43</v>
      </c>
      <c r="D4763" s="16">
        <v>22</v>
      </c>
      <c r="E4763" s="17">
        <v>125.57</v>
      </c>
      <c r="F4763" s="16">
        <v>0.03</v>
      </c>
      <c r="G4763" s="15" t="s">
        <v>32</v>
      </c>
      <c r="H4763" s="18">
        <v>-45.16</v>
      </c>
      <c r="I4763" s="19">
        <v>5.58</v>
      </c>
      <c r="J4763" s="19">
        <v>5.3</v>
      </c>
      <c r="K4763" s="19" t="s">
        <v>124</v>
      </c>
      <c r="L4763" s="19" t="s">
        <v>160</v>
      </c>
      <c r="M4763" s="15" t="s">
        <v>2181</v>
      </c>
      <c r="N4763" s="15" t="s">
        <v>36</v>
      </c>
      <c r="O4763" s="15" t="s">
        <v>189</v>
      </c>
      <c r="P4763" s="20" t="s">
        <v>849</v>
      </c>
      <c r="Q4763" s="15" t="s">
        <v>83</v>
      </c>
      <c r="R4763" s="4"/>
      <c r="S4763" s="4"/>
    </row>
    <row r="4764" spans="1:19" ht="21" customHeight="1" x14ac:dyDescent="0.25">
      <c r="A4764" s="14">
        <f>DATE(2012,12,31)-1229</f>
        <v>40045</v>
      </c>
      <c r="B4764" s="15" t="s">
        <v>1990</v>
      </c>
      <c r="C4764" s="15" t="s">
        <v>43</v>
      </c>
      <c r="D4764" s="16">
        <v>31</v>
      </c>
      <c r="E4764" s="17">
        <v>349.43</v>
      </c>
      <c r="F4764" s="16">
        <v>0.04</v>
      </c>
      <c r="G4764" s="15" t="s">
        <v>32</v>
      </c>
      <c r="H4764" s="18">
        <v>-44.919000000000004</v>
      </c>
      <c r="I4764" s="19">
        <v>11.5</v>
      </c>
      <c r="J4764" s="19">
        <v>7.19</v>
      </c>
      <c r="K4764" s="19" t="s">
        <v>44</v>
      </c>
      <c r="L4764" s="19" t="s">
        <v>52</v>
      </c>
      <c r="M4764" s="15" t="s">
        <v>2183</v>
      </c>
      <c r="N4764" s="15" t="s">
        <v>36</v>
      </c>
      <c r="O4764" s="15" t="s">
        <v>170</v>
      </c>
      <c r="P4764" s="20" t="s">
        <v>596</v>
      </c>
      <c r="Q4764" s="15" t="s">
        <v>83</v>
      </c>
      <c r="R4764" s="4"/>
      <c r="S4764" s="4"/>
    </row>
    <row r="4765" spans="1:19" ht="21" customHeight="1" x14ac:dyDescent="0.25">
      <c r="A4765" s="14">
        <f>DATE(2012,12,31)-1229</f>
        <v>40045</v>
      </c>
      <c r="B4765" s="15" t="s">
        <v>1990</v>
      </c>
      <c r="C4765" s="15" t="s">
        <v>43</v>
      </c>
      <c r="D4765" s="16">
        <v>3</v>
      </c>
      <c r="E4765" s="17">
        <v>58.33</v>
      </c>
      <c r="F4765" s="16">
        <v>0.02</v>
      </c>
      <c r="G4765" s="15" t="s">
        <v>32</v>
      </c>
      <c r="H4765" s="18">
        <v>-35.08</v>
      </c>
      <c r="I4765" s="19">
        <v>15.7</v>
      </c>
      <c r="J4765" s="19">
        <v>11.25</v>
      </c>
      <c r="K4765" s="19" t="s">
        <v>44</v>
      </c>
      <c r="L4765" s="19" t="s">
        <v>52</v>
      </c>
      <c r="M4765" s="15" t="s">
        <v>2183</v>
      </c>
      <c r="N4765" s="15" t="s">
        <v>36</v>
      </c>
      <c r="O4765" s="15" t="s">
        <v>37</v>
      </c>
      <c r="P4765" s="20" t="s">
        <v>242</v>
      </c>
      <c r="Q4765" s="15" t="s">
        <v>83</v>
      </c>
      <c r="R4765" s="4"/>
      <c r="S4765" s="4"/>
    </row>
    <row r="4766" spans="1:19" ht="21" customHeight="1" x14ac:dyDescent="0.25">
      <c r="A4766" s="14">
        <f>DATE(2012,12,31)-1229</f>
        <v>40045</v>
      </c>
      <c r="B4766" s="15" t="s">
        <v>1990</v>
      </c>
      <c r="C4766" s="15" t="s">
        <v>43</v>
      </c>
      <c r="D4766" s="16">
        <v>47</v>
      </c>
      <c r="E4766" s="17">
        <v>10377.219999999999</v>
      </c>
      <c r="F4766" s="16">
        <v>0.05</v>
      </c>
      <c r="G4766" s="15" t="s">
        <v>58</v>
      </c>
      <c r="H4766" s="18">
        <v>965.48</v>
      </c>
      <c r="I4766" s="19">
        <v>225.02</v>
      </c>
      <c r="J4766" s="19">
        <v>28.66</v>
      </c>
      <c r="K4766" s="19" t="s">
        <v>44</v>
      </c>
      <c r="L4766" s="19" t="s">
        <v>52</v>
      </c>
      <c r="M4766" s="15" t="s">
        <v>2183</v>
      </c>
      <c r="N4766" s="15" t="s">
        <v>36</v>
      </c>
      <c r="O4766" s="15" t="s">
        <v>37</v>
      </c>
      <c r="P4766" s="20" t="s">
        <v>722</v>
      </c>
      <c r="Q4766" s="15" t="s">
        <v>181</v>
      </c>
      <c r="R4766" s="4"/>
      <c r="S4766" s="4"/>
    </row>
    <row r="4767" spans="1:19" ht="21" customHeight="1" x14ac:dyDescent="0.25">
      <c r="A4767" s="14">
        <f>DATE(2012,12,31)-786</f>
        <v>40488</v>
      </c>
      <c r="B4767" s="15" t="s">
        <v>794</v>
      </c>
      <c r="C4767" s="15" t="s">
        <v>31</v>
      </c>
      <c r="D4767" s="16">
        <v>46</v>
      </c>
      <c r="E4767" s="17">
        <v>9046.33</v>
      </c>
      <c r="F4767" s="16">
        <v>0</v>
      </c>
      <c r="G4767" s="15" t="s">
        <v>58</v>
      </c>
      <c r="H4767" s="18">
        <v>1398.03</v>
      </c>
      <c r="I4767" s="19">
        <v>180.98</v>
      </c>
      <c r="J4767" s="19">
        <v>55.24</v>
      </c>
      <c r="K4767" s="19" t="s">
        <v>44</v>
      </c>
      <c r="L4767" s="19" t="s">
        <v>52</v>
      </c>
      <c r="M4767" s="15" t="s">
        <v>2183</v>
      </c>
      <c r="N4767" s="15" t="s">
        <v>36</v>
      </c>
      <c r="O4767" s="15" t="s">
        <v>176</v>
      </c>
      <c r="P4767" s="20" t="s">
        <v>1420</v>
      </c>
      <c r="Q4767" s="15" t="s">
        <v>181</v>
      </c>
      <c r="R4767" s="4"/>
      <c r="S4767" s="4"/>
    </row>
    <row r="4768" spans="1:19" ht="21" customHeight="1" x14ac:dyDescent="0.25">
      <c r="A4768" s="14">
        <f>DATE(2012,12,31)-786</f>
        <v>40488</v>
      </c>
      <c r="B4768" s="15" t="s">
        <v>794</v>
      </c>
      <c r="C4768" s="15" t="s">
        <v>31</v>
      </c>
      <c r="D4768" s="16">
        <v>43</v>
      </c>
      <c r="E4768" s="17">
        <v>367.96</v>
      </c>
      <c r="F4768" s="16">
        <v>0.06</v>
      </c>
      <c r="G4768" s="15" t="s">
        <v>32</v>
      </c>
      <c r="H4768" s="18">
        <v>-16.11</v>
      </c>
      <c r="I4768" s="19">
        <v>8.67</v>
      </c>
      <c r="J4768" s="19">
        <v>3.5</v>
      </c>
      <c r="K4768" s="19" t="s">
        <v>44</v>
      </c>
      <c r="L4768" s="19" t="s">
        <v>52</v>
      </c>
      <c r="M4768" s="15" t="s">
        <v>2183</v>
      </c>
      <c r="N4768" s="15" t="s">
        <v>36</v>
      </c>
      <c r="O4768" s="15" t="s">
        <v>176</v>
      </c>
      <c r="P4768" s="20" t="s">
        <v>841</v>
      </c>
      <c r="Q4768" s="15" t="s">
        <v>83</v>
      </c>
      <c r="R4768" s="4"/>
      <c r="S4768" s="4"/>
    </row>
    <row r="4769" spans="1:19" ht="21" customHeight="1" x14ac:dyDescent="0.25">
      <c r="A4769" s="14">
        <f>DATE(2012,12,31)-786</f>
        <v>40488</v>
      </c>
      <c r="B4769" s="15" t="s">
        <v>794</v>
      </c>
      <c r="C4769" s="15" t="s">
        <v>31</v>
      </c>
      <c r="D4769" s="16">
        <v>27</v>
      </c>
      <c r="E4769" s="17">
        <v>159.05000000000001</v>
      </c>
      <c r="F4769" s="16">
        <v>0.04</v>
      </c>
      <c r="G4769" s="15" t="s">
        <v>32</v>
      </c>
      <c r="H4769" s="18">
        <v>21.46</v>
      </c>
      <c r="I4769" s="19">
        <v>5.98</v>
      </c>
      <c r="J4769" s="19">
        <v>2.5</v>
      </c>
      <c r="K4769" s="19" t="s">
        <v>44</v>
      </c>
      <c r="L4769" s="19" t="s">
        <v>52</v>
      </c>
      <c r="M4769" s="15" t="s">
        <v>2183</v>
      </c>
      <c r="N4769" s="15" t="s">
        <v>36</v>
      </c>
      <c r="O4769" s="15" t="s">
        <v>189</v>
      </c>
      <c r="P4769" s="20" t="s">
        <v>513</v>
      </c>
      <c r="Q4769" s="15" t="s">
        <v>83</v>
      </c>
      <c r="R4769" s="4"/>
      <c r="S4769" s="4"/>
    </row>
    <row r="4770" spans="1:19" ht="21" customHeight="1" x14ac:dyDescent="0.25">
      <c r="A4770" s="14">
        <f>DATE(2012,12,31)-786</f>
        <v>40488</v>
      </c>
      <c r="B4770" s="15" t="s">
        <v>794</v>
      </c>
      <c r="C4770" s="15" t="s">
        <v>31</v>
      </c>
      <c r="D4770" s="16">
        <v>39</v>
      </c>
      <c r="E4770" s="17">
        <v>116.14</v>
      </c>
      <c r="F4770" s="16">
        <v>0.01</v>
      </c>
      <c r="G4770" s="15" t="s">
        <v>32</v>
      </c>
      <c r="H4770" s="18">
        <v>50.44</v>
      </c>
      <c r="I4770" s="19">
        <v>2.88</v>
      </c>
      <c r="J4770" s="19">
        <v>0.5</v>
      </c>
      <c r="K4770" s="19" t="s">
        <v>44</v>
      </c>
      <c r="L4770" s="19" t="s">
        <v>52</v>
      </c>
      <c r="M4770" s="15" t="s">
        <v>2183</v>
      </c>
      <c r="N4770" s="15" t="s">
        <v>36</v>
      </c>
      <c r="O4770" s="15" t="s">
        <v>114</v>
      </c>
      <c r="P4770" s="20" t="s">
        <v>922</v>
      </c>
      <c r="Q4770" s="15" t="s">
        <v>83</v>
      </c>
      <c r="R4770" s="4"/>
      <c r="S4770" s="4"/>
    </row>
    <row r="4771" spans="1:19" ht="21" customHeight="1" x14ac:dyDescent="0.25">
      <c r="A4771" s="14">
        <f>DATE(2012,12,31)-102</f>
        <v>41172</v>
      </c>
      <c r="B4771" s="15" t="s">
        <v>294</v>
      </c>
      <c r="C4771" s="15" t="s">
        <v>43</v>
      </c>
      <c r="D4771" s="16">
        <v>6</v>
      </c>
      <c r="E4771" s="17">
        <v>232.21</v>
      </c>
      <c r="F4771" s="16">
        <v>0</v>
      </c>
      <c r="G4771" s="15" t="s">
        <v>32</v>
      </c>
      <c r="H4771" s="18">
        <v>-14.03</v>
      </c>
      <c r="I4771" s="19">
        <v>35.89</v>
      </c>
      <c r="J4771" s="19">
        <v>14.72</v>
      </c>
      <c r="K4771" s="19" t="s">
        <v>44</v>
      </c>
      <c r="L4771" s="19" t="s">
        <v>45</v>
      </c>
      <c r="M4771" s="15" t="s">
        <v>2165</v>
      </c>
      <c r="N4771" s="15" t="s">
        <v>36</v>
      </c>
      <c r="O4771" s="15" t="s">
        <v>189</v>
      </c>
      <c r="P4771" s="20" t="s">
        <v>1677</v>
      </c>
      <c r="Q4771" s="15" t="s">
        <v>83</v>
      </c>
      <c r="R4771" s="4"/>
      <c r="S4771" s="4"/>
    </row>
    <row r="4772" spans="1:19" ht="21" customHeight="1" x14ac:dyDescent="0.25">
      <c r="A4772" s="14">
        <f>DATE(2012,12,31)-102</f>
        <v>41172</v>
      </c>
      <c r="B4772" s="15" t="s">
        <v>294</v>
      </c>
      <c r="C4772" s="15" t="s">
        <v>43</v>
      </c>
      <c r="D4772" s="16">
        <v>16</v>
      </c>
      <c r="E4772" s="17">
        <v>88.3</v>
      </c>
      <c r="F4772" s="16">
        <v>0.09</v>
      </c>
      <c r="G4772" s="15" t="s">
        <v>32</v>
      </c>
      <c r="H4772" s="18">
        <v>-12.14</v>
      </c>
      <c r="I4772" s="19">
        <v>5.85</v>
      </c>
      <c r="J4772" s="19">
        <v>2.27</v>
      </c>
      <c r="K4772" s="19" t="s">
        <v>44</v>
      </c>
      <c r="L4772" s="19" t="s">
        <v>52</v>
      </c>
      <c r="M4772" s="15" t="s">
        <v>2183</v>
      </c>
      <c r="N4772" s="15" t="s">
        <v>36</v>
      </c>
      <c r="O4772" s="15" t="s">
        <v>77</v>
      </c>
      <c r="P4772" s="20" t="s">
        <v>793</v>
      </c>
      <c r="Q4772" s="15" t="s">
        <v>79</v>
      </c>
      <c r="R4772" s="4"/>
      <c r="S4772" s="4"/>
    </row>
    <row r="4773" spans="1:19" ht="21" customHeight="1" x14ac:dyDescent="0.25">
      <c r="A4773" s="14">
        <f>DATE(2012,12,31)-931</f>
        <v>40343</v>
      </c>
      <c r="B4773" s="15" t="s">
        <v>1509</v>
      </c>
      <c r="C4773" s="15" t="s">
        <v>85</v>
      </c>
      <c r="D4773" s="16">
        <v>14</v>
      </c>
      <c r="E4773" s="17">
        <v>140.66</v>
      </c>
      <c r="F4773" s="16">
        <v>0</v>
      </c>
      <c r="G4773" s="15" t="s">
        <v>32</v>
      </c>
      <c r="H4773" s="18">
        <v>11.34</v>
      </c>
      <c r="I4773" s="19">
        <v>9.27</v>
      </c>
      <c r="J4773" s="19">
        <v>4.3899999999999997</v>
      </c>
      <c r="K4773" s="19" t="s">
        <v>44</v>
      </c>
      <c r="L4773" s="19" t="s">
        <v>52</v>
      </c>
      <c r="M4773" s="15" t="s">
        <v>2183</v>
      </c>
      <c r="N4773" s="15" t="s">
        <v>36</v>
      </c>
      <c r="O4773" s="15" t="s">
        <v>117</v>
      </c>
      <c r="P4773" s="20" t="s">
        <v>434</v>
      </c>
      <c r="Q4773" s="15" t="s">
        <v>79</v>
      </c>
      <c r="R4773" s="4"/>
      <c r="S4773" s="4"/>
    </row>
    <row r="4774" spans="1:19" ht="21" customHeight="1" x14ac:dyDescent="0.25">
      <c r="A4774" s="14">
        <f>DATE(2012,12,31)-931</f>
        <v>40343</v>
      </c>
      <c r="B4774" s="15" t="s">
        <v>1509</v>
      </c>
      <c r="C4774" s="15" t="s">
        <v>85</v>
      </c>
      <c r="D4774" s="16">
        <v>5</v>
      </c>
      <c r="E4774" s="17">
        <v>42.89</v>
      </c>
      <c r="F4774" s="16">
        <v>0.02</v>
      </c>
      <c r="G4774" s="15" t="s">
        <v>32</v>
      </c>
      <c r="H4774" s="18">
        <v>-32.479999999999997</v>
      </c>
      <c r="I4774" s="19">
        <v>6.84</v>
      </c>
      <c r="J4774" s="19">
        <v>8.3699999999999992</v>
      </c>
      <c r="K4774" s="19" t="s">
        <v>44</v>
      </c>
      <c r="L4774" s="19" t="s">
        <v>52</v>
      </c>
      <c r="M4774" s="15" t="s">
        <v>2183</v>
      </c>
      <c r="N4774" s="15" t="s">
        <v>36</v>
      </c>
      <c r="O4774" s="15" t="s">
        <v>47</v>
      </c>
      <c r="P4774" s="20" t="s">
        <v>1182</v>
      </c>
      <c r="Q4774" s="15" t="s">
        <v>49</v>
      </c>
      <c r="R4774" s="4"/>
      <c r="S4774" s="4"/>
    </row>
    <row r="4775" spans="1:19" ht="21" customHeight="1" x14ac:dyDescent="0.25">
      <c r="A4775" s="14">
        <f>DATE(2012,12,31)-931</f>
        <v>40343</v>
      </c>
      <c r="B4775" s="15" t="s">
        <v>1509</v>
      </c>
      <c r="C4775" s="15" t="s">
        <v>85</v>
      </c>
      <c r="D4775" s="16">
        <v>48</v>
      </c>
      <c r="E4775" s="17">
        <v>226.5</v>
      </c>
      <c r="F4775" s="16">
        <v>0.09</v>
      </c>
      <c r="G4775" s="15" t="s">
        <v>32</v>
      </c>
      <c r="H4775" s="18">
        <v>-173.15</v>
      </c>
      <c r="I4775" s="19">
        <v>4.9800000000000004</v>
      </c>
      <c r="J4775" s="19">
        <v>4.62</v>
      </c>
      <c r="K4775" s="19" t="s">
        <v>44</v>
      </c>
      <c r="L4775" s="19" t="s">
        <v>52</v>
      </c>
      <c r="M4775" s="15" t="s">
        <v>2183</v>
      </c>
      <c r="N4775" s="15" t="s">
        <v>64</v>
      </c>
      <c r="O4775" s="15" t="s">
        <v>72</v>
      </c>
      <c r="P4775" s="20" t="s">
        <v>139</v>
      </c>
      <c r="Q4775" s="15" t="s">
        <v>49</v>
      </c>
      <c r="R4775" s="4"/>
      <c r="S4775" s="4"/>
    </row>
    <row r="4776" spans="1:19" ht="21" customHeight="1" x14ac:dyDescent="0.25">
      <c r="A4776" s="14">
        <f>DATE(2012,12,31)-931</f>
        <v>40343</v>
      </c>
      <c r="B4776" s="15" t="s">
        <v>1509</v>
      </c>
      <c r="C4776" s="15" t="s">
        <v>85</v>
      </c>
      <c r="D4776" s="16">
        <v>13</v>
      </c>
      <c r="E4776" s="17">
        <v>438.93</v>
      </c>
      <c r="F4776" s="16">
        <v>0.04</v>
      </c>
      <c r="G4776" s="15" t="s">
        <v>101</v>
      </c>
      <c r="H4776" s="18">
        <v>-119.02</v>
      </c>
      <c r="I4776" s="19">
        <v>32.979999999999997</v>
      </c>
      <c r="J4776" s="19">
        <v>5.5</v>
      </c>
      <c r="K4776" s="19" t="s">
        <v>44</v>
      </c>
      <c r="L4776" s="19" t="s">
        <v>52</v>
      </c>
      <c r="M4776" s="15" t="s">
        <v>2183</v>
      </c>
      <c r="N4776" s="15" t="s">
        <v>64</v>
      </c>
      <c r="O4776" s="15" t="s">
        <v>72</v>
      </c>
      <c r="P4776" s="20" t="s">
        <v>993</v>
      </c>
      <c r="Q4776" s="15" t="s">
        <v>83</v>
      </c>
      <c r="R4776" s="4"/>
      <c r="S4776" s="4"/>
    </row>
    <row r="4777" spans="1:19" ht="21" customHeight="1" x14ac:dyDescent="0.25">
      <c r="A4777" s="14">
        <f>DATE(2012,12,31)-1007</f>
        <v>40267</v>
      </c>
      <c r="B4777" s="15" t="s">
        <v>1092</v>
      </c>
      <c r="C4777" s="15" t="s">
        <v>31</v>
      </c>
      <c r="D4777" s="16">
        <v>35</v>
      </c>
      <c r="E4777" s="17">
        <v>1794.03</v>
      </c>
      <c r="F4777" s="16">
        <v>0.05</v>
      </c>
      <c r="G4777" s="15" t="s">
        <v>58</v>
      </c>
      <c r="H4777" s="18">
        <v>196.21</v>
      </c>
      <c r="I4777" s="19">
        <v>50.98</v>
      </c>
      <c r="J4777" s="19">
        <v>14.19</v>
      </c>
      <c r="K4777" s="19" t="s">
        <v>44</v>
      </c>
      <c r="L4777" s="19" t="s">
        <v>52</v>
      </c>
      <c r="M4777" s="15" t="s">
        <v>2183</v>
      </c>
      <c r="N4777" s="15" t="s">
        <v>54</v>
      </c>
      <c r="O4777" s="15" t="s">
        <v>252</v>
      </c>
      <c r="P4777" s="20" t="s">
        <v>1117</v>
      </c>
      <c r="Q4777" s="15" t="s">
        <v>181</v>
      </c>
      <c r="R4777" s="4"/>
      <c r="S4777" s="4"/>
    </row>
    <row r="4778" spans="1:19" ht="21" customHeight="1" x14ac:dyDescent="0.25">
      <c r="A4778" s="14">
        <f>DATE(2012,12,31)-1038</f>
        <v>40236</v>
      </c>
      <c r="B4778" s="15" t="s">
        <v>336</v>
      </c>
      <c r="C4778" s="15" t="s">
        <v>43</v>
      </c>
      <c r="D4778" s="16">
        <v>31</v>
      </c>
      <c r="E4778" s="17">
        <v>15251.5</v>
      </c>
      <c r="F4778" s="16">
        <v>0.06</v>
      </c>
      <c r="G4778" s="15" t="s">
        <v>58</v>
      </c>
      <c r="H4778" s="18">
        <v>5353.19</v>
      </c>
      <c r="I4778" s="19">
        <v>500.97</v>
      </c>
      <c r="J4778" s="19">
        <v>69.3</v>
      </c>
      <c r="K4778" s="19" t="s">
        <v>44</v>
      </c>
      <c r="L4778" s="19" t="s">
        <v>52</v>
      </c>
      <c r="M4778" s="15" t="s">
        <v>2183</v>
      </c>
      <c r="N4778" s="15" t="s">
        <v>64</v>
      </c>
      <c r="O4778" s="15" t="s">
        <v>122</v>
      </c>
      <c r="P4778" s="20" t="s">
        <v>1603</v>
      </c>
      <c r="Q4778" s="15" t="s">
        <v>181</v>
      </c>
      <c r="R4778" s="4"/>
      <c r="S4778" s="4"/>
    </row>
    <row r="4779" spans="1:19" ht="21" customHeight="1" x14ac:dyDescent="0.25">
      <c r="A4779" s="14">
        <f>DATE(2012,12,31)-1454</f>
        <v>39820</v>
      </c>
      <c r="B4779" s="15" t="s">
        <v>548</v>
      </c>
      <c r="C4779" s="15" t="s">
        <v>31</v>
      </c>
      <c r="D4779" s="16">
        <v>34</v>
      </c>
      <c r="E4779" s="17">
        <v>1961.7914999999998</v>
      </c>
      <c r="F4779" s="16">
        <v>0.05</v>
      </c>
      <c r="G4779" s="15" t="s">
        <v>32</v>
      </c>
      <c r="H4779" s="18">
        <v>425.75400000000002</v>
      </c>
      <c r="I4779" s="19">
        <v>65.989999999999995</v>
      </c>
      <c r="J4779" s="19">
        <v>5.99</v>
      </c>
      <c r="K4779" s="19" t="s">
        <v>44</v>
      </c>
      <c r="L4779" s="19" t="s">
        <v>52</v>
      </c>
      <c r="M4779" s="15" t="s">
        <v>2183</v>
      </c>
      <c r="N4779" s="15" t="s">
        <v>64</v>
      </c>
      <c r="O4779" s="15" t="s">
        <v>65</v>
      </c>
      <c r="P4779" s="20" t="s">
        <v>1573</v>
      </c>
      <c r="Q4779" s="15" t="s">
        <v>83</v>
      </c>
      <c r="R4779" s="4"/>
      <c r="S4779" s="4"/>
    </row>
    <row r="4780" spans="1:19" ht="21" customHeight="1" x14ac:dyDescent="0.25">
      <c r="A4780" s="14">
        <f>DATE(2012,12,31)-74</f>
        <v>41200</v>
      </c>
      <c r="B4780" s="15" t="s">
        <v>1619</v>
      </c>
      <c r="C4780" s="15" t="s">
        <v>43</v>
      </c>
      <c r="D4780" s="16">
        <v>12</v>
      </c>
      <c r="E4780" s="17">
        <v>6168.07</v>
      </c>
      <c r="F4780" s="16">
        <v>0.05</v>
      </c>
      <c r="G4780" s="15" t="s">
        <v>58</v>
      </c>
      <c r="H4780" s="18">
        <v>1542</v>
      </c>
      <c r="I4780" s="19">
        <v>500.98</v>
      </c>
      <c r="J4780" s="19">
        <v>28.14</v>
      </c>
      <c r="K4780" s="19" t="s">
        <v>44</v>
      </c>
      <c r="L4780" s="19" t="s">
        <v>52</v>
      </c>
      <c r="M4780" s="15" t="s">
        <v>2183</v>
      </c>
      <c r="N4780" s="15" t="s">
        <v>64</v>
      </c>
      <c r="O4780" s="15" t="s">
        <v>122</v>
      </c>
      <c r="P4780" s="20" t="s">
        <v>231</v>
      </c>
      <c r="Q4780" s="15" t="s">
        <v>181</v>
      </c>
      <c r="R4780" s="4"/>
      <c r="S4780" s="4"/>
    </row>
    <row r="4781" spans="1:19" ht="21" customHeight="1" x14ac:dyDescent="0.25">
      <c r="A4781" s="14">
        <f>DATE(2012,12,31)-608</f>
        <v>40666</v>
      </c>
      <c r="B4781" s="15" t="s">
        <v>2016</v>
      </c>
      <c r="C4781" s="15" t="s">
        <v>31</v>
      </c>
      <c r="D4781" s="16">
        <v>47</v>
      </c>
      <c r="E4781" s="17">
        <v>1488.86</v>
      </c>
      <c r="F4781" s="16">
        <v>0.03</v>
      </c>
      <c r="G4781" s="15" t="s">
        <v>32</v>
      </c>
      <c r="H4781" s="18">
        <v>-95.05</v>
      </c>
      <c r="I4781" s="19">
        <v>30.98</v>
      </c>
      <c r="J4781" s="19">
        <v>19.989999999999998</v>
      </c>
      <c r="K4781" s="19" t="s">
        <v>44</v>
      </c>
      <c r="L4781" s="19" t="s">
        <v>52</v>
      </c>
      <c r="M4781" s="15" t="s">
        <v>2183</v>
      </c>
      <c r="N4781" s="15" t="s">
        <v>36</v>
      </c>
      <c r="O4781" s="15" t="s">
        <v>117</v>
      </c>
      <c r="P4781" s="20" t="s">
        <v>2015</v>
      </c>
      <c r="Q4781" s="15" t="s">
        <v>83</v>
      </c>
      <c r="R4781" s="4"/>
      <c r="S4781" s="4"/>
    </row>
    <row r="4782" spans="1:19" ht="21" customHeight="1" x14ac:dyDescent="0.25">
      <c r="A4782" s="14">
        <f>DATE(2012,12,31)-347</f>
        <v>40927</v>
      </c>
      <c r="B4782" s="15" t="s">
        <v>404</v>
      </c>
      <c r="C4782" s="15" t="s">
        <v>31</v>
      </c>
      <c r="D4782" s="16">
        <v>13</v>
      </c>
      <c r="E4782" s="17">
        <v>109.58</v>
      </c>
      <c r="F4782" s="16">
        <v>0</v>
      </c>
      <c r="G4782" s="15" t="s">
        <v>32</v>
      </c>
      <c r="H4782" s="18">
        <v>31.32</v>
      </c>
      <c r="I4782" s="19">
        <v>7.59</v>
      </c>
      <c r="J4782" s="19">
        <v>4</v>
      </c>
      <c r="K4782" s="19" t="s">
        <v>44</v>
      </c>
      <c r="L4782" s="19" t="s">
        <v>52</v>
      </c>
      <c r="M4782" s="15" t="s">
        <v>2183</v>
      </c>
      <c r="N4782" s="15" t="s">
        <v>54</v>
      </c>
      <c r="O4782" s="15" t="s">
        <v>55</v>
      </c>
      <c r="P4782" s="20" t="s">
        <v>951</v>
      </c>
      <c r="Q4782" s="15" t="s">
        <v>79</v>
      </c>
      <c r="R4782" s="4"/>
      <c r="S4782" s="4"/>
    </row>
    <row r="4783" spans="1:19" ht="21" customHeight="1" x14ac:dyDescent="0.25">
      <c r="A4783" s="14">
        <f>DATE(2012,12,31)-698</f>
        <v>40576</v>
      </c>
      <c r="B4783" s="15" t="s">
        <v>1024</v>
      </c>
      <c r="C4783" s="15" t="s">
        <v>85</v>
      </c>
      <c r="D4783" s="16">
        <v>27</v>
      </c>
      <c r="E4783" s="17">
        <v>462.36600000000004</v>
      </c>
      <c r="F4783" s="16">
        <v>0.1</v>
      </c>
      <c r="G4783" s="15" t="s">
        <v>32</v>
      </c>
      <c r="H4783" s="18">
        <v>-120.054</v>
      </c>
      <c r="I4783" s="19">
        <v>20.99</v>
      </c>
      <c r="J4783" s="19">
        <v>3.3</v>
      </c>
      <c r="K4783" s="19" t="s">
        <v>44</v>
      </c>
      <c r="L4783" s="19" t="s">
        <v>52</v>
      </c>
      <c r="M4783" s="15" t="s">
        <v>2183</v>
      </c>
      <c r="N4783" s="15" t="s">
        <v>64</v>
      </c>
      <c r="O4783" s="15" t="s">
        <v>65</v>
      </c>
      <c r="P4783" s="20" t="s">
        <v>769</v>
      </c>
      <c r="Q4783" s="15" t="s">
        <v>49</v>
      </c>
      <c r="R4783" s="4"/>
      <c r="S4783" s="4"/>
    </row>
    <row r="4784" spans="1:19" ht="21" customHeight="1" x14ac:dyDescent="0.25">
      <c r="A4784" s="14">
        <f>DATE(2012,12,31)-698</f>
        <v>40576</v>
      </c>
      <c r="B4784" s="15" t="s">
        <v>1024</v>
      </c>
      <c r="C4784" s="15" t="s">
        <v>85</v>
      </c>
      <c r="D4784" s="16">
        <v>14</v>
      </c>
      <c r="E4784" s="17">
        <v>336.48</v>
      </c>
      <c r="F4784" s="16">
        <v>0.09</v>
      </c>
      <c r="G4784" s="15" t="s">
        <v>32</v>
      </c>
      <c r="H4784" s="18">
        <v>5.56</v>
      </c>
      <c r="I4784" s="19">
        <v>25.99</v>
      </c>
      <c r="J4784" s="19">
        <v>5.37</v>
      </c>
      <c r="K4784" s="19" t="s">
        <v>69</v>
      </c>
      <c r="L4784" s="19" t="s">
        <v>215</v>
      </c>
      <c r="M4784" s="15" t="s">
        <v>2197</v>
      </c>
      <c r="N4784" s="15" t="s">
        <v>36</v>
      </c>
      <c r="O4784" s="15" t="s">
        <v>77</v>
      </c>
      <c r="P4784" s="20" t="s">
        <v>1853</v>
      </c>
      <c r="Q4784" s="15" t="s">
        <v>83</v>
      </c>
      <c r="R4784" s="4"/>
      <c r="S4784" s="4"/>
    </row>
    <row r="4785" spans="1:19" ht="21" customHeight="1" x14ac:dyDescent="0.25">
      <c r="A4785" s="14">
        <f>DATE(2012,12,31)-1249</f>
        <v>40025</v>
      </c>
      <c r="B4785" s="15" t="s">
        <v>787</v>
      </c>
      <c r="C4785" s="15" t="s">
        <v>85</v>
      </c>
      <c r="D4785" s="16">
        <v>23</v>
      </c>
      <c r="E4785" s="17">
        <v>367.53</v>
      </c>
      <c r="F4785" s="16">
        <v>0.03</v>
      </c>
      <c r="G4785" s="15" t="s">
        <v>58</v>
      </c>
      <c r="H4785" s="18">
        <v>11.650950000000002</v>
      </c>
      <c r="I4785" s="19">
        <v>15.23</v>
      </c>
      <c r="J4785" s="19">
        <v>27.75</v>
      </c>
      <c r="K4785" s="19" t="s">
        <v>44</v>
      </c>
      <c r="L4785" s="19" t="s">
        <v>80</v>
      </c>
      <c r="M4785" s="15" t="s">
        <v>2179</v>
      </c>
      <c r="N4785" s="15" t="s">
        <v>54</v>
      </c>
      <c r="O4785" s="15" t="s">
        <v>61</v>
      </c>
      <c r="P4785" s="20" t="s">
        <v>1635</v>
      </c>
      <c r="Q4785" s="15" t="s">
        <v>63</v>
      </c>
      <c r="R4785" s="4"/>
      <c r="S4785" s="4"/>
    </row>
    <row r="4786" spans="1:19" ht="21" customHeight="1" x14ac:dyDescent="0.25">
      <c r="A4786" s="14">
        <f>DATE(2012,12,31)-433</f>
        <v>40841</v>
      </c>
      <c r="B4786" s="15" t="s">
        <v>635</v>
      </c>
      <c r="C4786" s="15" t="s">
        <v>51</v>
      </c>
      <c r="D4786" s="16">
        <v>19</v>
      </c>
      <c r="E4786" s="17">
        <v>1616.87</v>
      </c>
      <c r="F4786" s="16">
        <v>0.1</v>
      </c>
      <c r="G4786" s="15" t="s">
        <v>58</v>
      </c>
      <c r="H4786" s="18">
        <v>-189.55</v>
      </c>
      <c r="I4786" s="19">
        <v>90.98</v>
      </c>
      <c r="J4786" s="19">
        <v>30</v>
      </c>
      <c r="K4786" s="19" t="s">
        <v>33</v>
      </c>
      <c r="L4786" s="19" t="s">
        <v>93</v>
      </c>
      <c r="M4786" s="15" t="s">
        <v>94</v>
      </c>
      <c r="N4786" s="15" t="s">
        <v>54</v>
      </c>
      <c r="O4786" s="15" t="s">
        <v>252</v>
      </c>
      <c r="P4786" s="20" t="s">
        <v>621</v>
      </c>
      <c r="Q4786" s="15" t="s">
        <v>181</v>
      </c>
      <c r="R4786" s="4"/>
      <c r="S4786" s="4"/>
    </row>
    <row r="4787" spans="1:19" ht="21" customHeight="1" x14ac:dyDescent="0.25">
      <c r="A4787" s="14">
        <f>DATE(2012,12,31)-433</f>
        <v>40841</v>
      </c>
      <c r="B4787" s="15" t="s">
        <v>635</v>
      </c>
      <c r="C4787" s="15" t="s">
        <v>51</v>
      </c>
      <c r="D4787" s="16">
        <v>27</v>
      </c>
      <c r="E4787" s="17">
        <v>1521.1344999999999</v>
      </c>
      <c r="F4787" s="16">
        <v>7.0000000000000007E-2</v>
      </c>
      <c r="G4787" s="15" t="s">
        <v>32</v>
      </c>
      <c r="H4787" s="18">
        <v>270.60300000000001</v>
      </c>
      <c r="I4787" s="19">
        <v>65.989999999999995</v>
      </c>
      <c r="J4787" s="19">
        <v>3.99</v>
      </c>
      <c r="K4787" s="19" t="s">
        <v>44</v>
      </c>
      <c r="L4787" s="19" t="s">
        <v>52</v>
      </c>
      <c r="M4787" s="15" t="s">
        <v>2183</v>
      </c>
      <c r="N4787" s="15" t="s">
        <v>64</v>
      </c>
      <c r="O4787" s="15" t="s">
        <v>65</v>
      </c>
      <c r="P4787" s="20" t="s">
        <v>689</v>
      </c>
      <c r="Q4787" s="15" t="s">
        <v>83</v>
      </c>
      <c r="R4787" s="4"/>
      <c r="S4787" s="4"/>
    </row>
    <row r="4788" spans="1:19" ht="21" customHeight="1" x14ac:dyDescent="0.25">
      <c r="A4788" s="14">
        <f>DATE(2012,12,31)-1451</f>
        <v>39823</v>
      </c>
      <c r="B4788" s="15" t="s">
        <v>620</v>
      </c>
      <c r="C4788" s="15" t="s">
        <v>85</v>
      </c>
      <c r="D4788" s="16">
        <v>30</v>
      </c>
      <c r="E4788" s="17">
        <v>164.78</v>
      </c>
      <c r="F4788" s="16">
        <v>0</v>
      </c>
      <c r="G4788" s="15" t="s">
        <v>32</v>
      </c>
      <c r="H4788" s="18">
        <v>-128.47</v>
      </c>
      <c r="I4788" s="19">
        <v>5.0199999999999996</v>
      </c>
      <c r="J4788" s="19">
        <v>5.14</v>
      </c>
      <c r="K4788" s="19" t="s">
        <v>44</v>
      </c>
      <c r="L4788" s="19" t="s">
        <v>236</v>
      </c>
      <c r="M4788" s="15" t="s">
        <v>2175</v>
      </c>
      <c r="N4788" s="15" t="s">
        <v>64</v>
      </c>
      <c r="O4788" s="15" t="s">
        <v>72</v>
      </c>
      <c r="P4788" s="20" t="s">
        <v>563</v>
      </c>
      <c r="Q4788" s="15" t="s">
        <v>49</v>
      </c>
      <c r="R4788" s="4"/>
      <c r="S4788" s="4"/>
    </row>
    <row r="4789" spans="1:19" ht="21" customHeight="1" x14ac:dyDescent="0.25">
      <c r="A4789" s="14">
        <f>DATE(2012,12,31)-1379</f>
        <v>39895</v>
      </c>
      <c r="B4789" s="15" t="s">
        <v>761</v>
      </c>
      <c r="C4789" s="15" t="s">
        <v>51</v>
      </c>
      <c r="D4789" s="16">
        <v>20</v>
      </c>
      <c r="E4789" s="17">
        <v>103.39</v>
      </c>
      <c r="F4789" s="16">
        <v>0.05</v>
      </c>
      <c r="G4789" s="15" t="s">
        <v>101</v>
      </c>
      <c r="H4789" s="18">
        <v>29.17</v>
      </c>
      <c r="I4789" s="19">
        <v>4.84</v>
      </c>
      <c r="J4789" s="19">
        <v>0.71</v>
      </c>
      <c r="K4789" s="19" t="s">
        <v>69</v>
      </c>
      <c r="L4789" s="19" t="s">
        <v>70</v>
      </c>
      <c r="M4789" s="15" t="s">
        <v>1895</v>
      </c>
      <c r="N4789" s="15" t="s">
        <v>36</v>
      </c>
      <c r="O4789" s="15" t="s">
        <v>77</v>
      </c>
      <c r="P4789" s="20" t="s">
        <v>901</v>
      </c>
      <c r="Q4789" s="15" t="s">
        <v>79</v>
      </c>
      <c r="R4789" s="4"/>
      <c r="S4789" s="4"/>
    </row>
    <row r="4790" spans="1:19" ht="21" customHeight="1" x14ac:dyDescent="0.25">
      <c r="A4790" s="14">
        <f>DATE(2012,12,31)-1379</f>
        <v>39895</v>
      </c>
      <c r="B4790" s="15" t="s">
        <v>761</v>
      </c>
      <c r="C4790" s="15" t="s">
        <v>51</v>
      </c>
      <c r="D4790" s="16">
        <v>28</v>
      </c>
      <c r="E4790" s="17">
        <v>435.39</v>
      </c>
      <c r="F4790" s="16">
        <v>0.01</v>
      </c>
      <c r="G4790" s="15" t="s">
        <v>32</v>
      </c>
      <c r="H4790" s="18">
        <v>-48.97</v>
      </c>
      <c r="I4790" s="19">
        <v>14.98</v>
      </c>
      <c r="J4790" s="19">
        <v>7.69</v>
      </c>
      <c r="K4790" s="19" t="s">
        <v>69</v>
      </c>
      <c r="L4790" s="19" t="s">
        <v>75</v>
      </c>
      <c r="M4790" s="15" t="s">
        <v>2202</v>
      </c>
      <c r="N4790" s="15" t="s">
        <v>36</v>
      </c>
      <c r="O4790" s="15" t="s">
        <v>37</v>
      </c>
      <c r="P4790" s="20" t="s">
        <v>1089</v>
      </c>
      <c r="Q4790" s="15" t="s">
        <v>83</v>
      </c>
      <c r="R4790" s="4"/>
      <c r="S4790" s="4"/>
    </row>
    <row r="4791" spans="1:19" ht="21" customHeight="1" x14ac:dyDescent="0.25">
      <c r="A4791" s="14">
        <f>DATE(2012,12,31)-58</f>
        <v>41216</v>
      </c>
      <c r="B4791" s="15" t="s">
        <v>1336</v>
      </c>
      <c r="C4791" s="15" t="s">
        <v>43</v>
      </c>
      <c r="D4791" s="16">
        <v>6</v>
      </c>
      <c r="E4791" s="17">
        <v>43.9</v>
      </c>
      <c r="F4791" s="16">
        <v>0.06</v>
      </c>
      <c r="G4791" s="15" t="s">
        <v>32</v>
      </c>
      <c r="H4791" s="18">
        <v>12.74</v>
      </c>
      <c r="I4791" s="19">
        <v>6.64</v>
      </c>
      <c r="J4791" s="19">
        <v>4.95</v>
      </c>
      <c r="K4791" s="19" t="s">
        <v>44</v>
      </c>
      <c r="L4791" s="19" t="s">
        <v>89</v>
      </c>
      <c r="M4791" s="15" t="s">
        <v>1932</v>
      </c>
      <c r="N4791" s="15" t="s">
        <v>54</v>
      </c>
      <c r="O4791" s="15" t="s">
        <v>55</v>
      </c>
      <c r="P4791" s="20" t="s">
        <v>260</v>
      </c>
      <c r="Q4791" s="15" t="s">
        <v>49</v>
      </c>
      <c r="R4791" s="4"/>
      <c r="S4791" s="4"/>
    </row>
    <row r="4792" spans="1:19" ht="21" customHeight="1" x14ac:dyDescent="0.25">
      <c r="A4792" s="14">
        <f>DATE(2012,12,31)-58</f>
        <v>41216</v>
      </c>
      <c r="B4792" s="15" t="s">
        <v>1336</v>
      </c>
      <c r="C4792" s="15" t="s">
        <v>43</v>
      </c>
      <c r="D4792" s="16">
        <v>50</v>
      </c>
      <c r="E4792" s="17">
        <v>236.28</v>
      </c>
      <c r="F4792" s="16">
        <v>0.05</v>
      </c>
      <c r="G4792" s="15" t="s">
        <v>32</v>
      </c>
      <c r="H4792" s="18">
        <v>-34.06</v>
      </c>
      <c r="I4792" s="19">
        <v>4.91</v>
      </c>
      <c r="J4792" s="19">
        <v>3.05</v>
      </c>
      <c r="K4792" s="19" t="s">
        <v>44</v>
      </c>
      <c r="L4792" s="19" t="s">
        <v>89</v>
      </c>
      <c r="M4792" s="15" t="s">
        <v>1932</v>
      </c>
      <c r="N4792" s="15" t="s">
        <v>54</v>
      </c>
      <c r="O4792" s="15" t="s">
        <v>55</v>
      </c>
      <c r="P4792" s="20" t="s">
        <v>2080</v>
      </c>
      <c r="Q4792" s="15" t="s">
        <v>49</v>
      </c>
      <c r="R4792" s="4"/>
      <c r="S4792" s="4"/>
    </row>
    <row r="4793" spans="1:19" ht="21" customHeight="1" x14ac:dyDescent="0.25">
      <c r="A4793" s="14">
        <f>DATE(2012,12,31)-644</f>
        <v>40630</v>
      </c>
      <c r="B4793" s="15" t="s">
        <v>1396</v>
      </c>
      <c r="C4793" s="15" t="s">
        <v>31</v>
      </c>
      <c r="D4793" s="16">
        <v>1</v>
      </c>
      <c r="E4793" s="17">
        <v>26.68</v>
      </c>
      <c r="F4793" s="16">
        <v>0.04</v>
      </c>
      <c r="G4793" s="15" t="s">
        <v>32</v>
      </c>
      <c r="H4793" s="18">
        <v>-10.74</v>
      </c>
      <c r="I4793" s="19">
        <v>22.23</v>
      </c>
      <c r="J4793" s="19">
        <v>3.63</v>
      </c>
      <c r="K4793" s="19" t="s">
        <v>33</v>
      </c>
      <c r="L4793" s="19" t="s">
        <v>128</v>
      </c>
      <c r="M4793" s="15" t="s">
        <v>129</v>
      </c>
      <c r="N4793" s="15" t="s">
        <v>54</v>
      </c>
      <c r="O4793" s="15" t="s">
        <v>55</v>
      </c>
      <c r="P4793" s="20" t="s">
        <v>1739</v>
      </c>
      <c r="Q4793" s="15" t="s">
        <v>49</v>
      </c>
      <c r="R4793" s="4"/>
      <c r="S4793" s="4"/>
    </row>
    <row r="4794" spans="1:19" ht="21" customHeight="1" x14ac:dyDescent="0.25">
      <c r="A4794" s="14">
        <f>DATE(2012,12,31)-430</f>
        <v>40844</v>
      </c>
      <c r="B4794" s="15" t="s">
        <v>1633</v>
      </c>
      <c r="C4794" s="15" t="s">
        <v>43</v>
      </c>
      <c r="D4794" s="16">
        <v>19</v>
      </c>
      <c r="E4794" s="17">
        <v>2536.1799999999998</v>
      </c>
      <c r="F4794" s="16">
        <v>0.1</v>
      </c>
      <c r="G4794" s="15" t="s">
        <v>32</v>
      </c>
      <c r="H4794" s="18">
        <v>350.62</v>
      </c>
      <c r="I4794" s="19">
        <v>142.86000000000001</v>
      </c>
      <c r="J4794" s="19">
        <v>19.989999999999998</v>
      </c>
      <c r="K4794" s="19" t="s">
        <v>97</v>
      </c>
      <c r="L4794" s="19" t="s">
        <v>98</v>
      </c>
      <c r="M4794" s="15" t="s">
        <v>2161</v>
      </c>
      <c r="N4794" s="15" t="s">
        <v>36</v>
      </c>
      <c r="O4794" s="15" t="s">
        <v>37</v>
      </c>
      <c r="P4794" s="20" t="s">
        <v>1019</v>
      </c>
      <c r="Q4794" s="15" t="s">
        <v>83</v>
      </c>
      <c r="R4794" s="4"/>
      <c r="S4794" s="4"/>
    </row>
    <row r="4795" spans="1:19" ht="21" customHeight="1" x14ac:dyDescent="0.25">
      <c r="A4795" s="14">
        <f>DATE(2012,12,31)-430</f>
        <v>40844</v>
      </c>
      <c r="B4795" s="15" t="s">
        <v>1633</v>
      </c>
      <c r="C4795" s="15" t="s">
        <v>43</v>
      </c>
      <c r="D4795" s="16">
        <v>20</v>
      </c>
      <c r="E4795" s="17">
        <v>38.56</v>
      </c>
      <c r="F4795" s="16">
        <v>7.0000000000000007E-2</v>
      </c>
      <c r="G4795" s="15" t="s">
        <v>32</v>
      </c>
      <c r="H4795" s="18">
        <v>-10.246500000000001</v>
      </c>
      <c r="I4795" s="19">
        <v>1.88</v>
      </c>
      <c r="J4795" s="19">
        <v>1.49</v>
      </c>
      <c r="K4795" s="19" t="s">
        <v>124</v>
      </c>
      <c r="L4795" s="19" t="s">
        <v>160</v>
      </c>
      <c r="M4795" s="15" t="s">
        <v>2181</v>
      </c>
      <c r="N4795" s="15" t="s">
        <v>36</v>
      </c>
      <c r="O4795" s="15" t="s">
        <v>170</v>
      </c>
      <c r="P4795" s="20" t="s">
        <v>1353</v>
      </c>
      <c r="Q4795" s="15" t="s">
        <v>83</v>
      </c>
      <c r="R4795" s="4"/>
      <c r="S4795" s="4"/>
    </row>
    <row r="4796" spans="1:19" ht="21" customHeight="1" x14ac:dyDescent="0.25">
      <c r="A4796" s="14">
        <f>DATE(2012,12,31)-430</f>
        <v>40844</v>
      </c>
      <c r="B4796" s="15" t="s">
        <v>1633</v>
      </c>
      <c r="C4796" s="15" t="s">
        <v>43</v>
      </c>
      <c r="D4796" s="16">
        <v>35</v>
      </c>
      <c r="E4796" s="17">
        <v>764.32</v>
      </c>
      <c r="F4796" s="16">
        <v>0.02</v>
      </c>
      <c r="G4796" s="15" t="s">
        <v>32</v>
      </c>
      <c r="H4796" s="18">
        <v>-34.590000000000003</v>
      </c>
      <c r="I4796" s="19">
        <v>21.38</v>
      </c>
      <c r="J4796" s="19">
        <v>8.99</v>
      </c>
      <c r="K4796" s="19" t="s">
        <v>124</v>
      </c>
      <c r="L4796" s="19" t="s">
        <v>493</v>
      </c>
      <c r="M4796" s="15" t="s">
        <v>2206</v>
      </c>
      <c r="N4796" s="15" t="s">
        <v>36</v>
      </c>
      <c r="O4796" s="15" t="s">
        <v>77</v>
      </c>
      <c r="P4796" s="20" t="s">
        <v>948</v>
      </c>
      <c r="Q4796" s="15" t="s">
        <v>49</v>
      </c>
      <c r="R4796" s="4"/>
      <c r="S4796" s="4"/>
    </row>
    <row r="4797" spans="1:19" ht="21" customHeight="1" x14ac:dyDescent="0.25">
      <c r="A4797" s="14">
        <f>DATE(2012,12,31)-330</f>
        <v>40944</v>
      </c>
      <c r="B4797" s="15" t="s">
        <v>1812</v>
      </c>
      <c r="C4797" s="15" t="s">
        <v>43</v>
      </c>
      <c r="D4797" s="16">
        <v>29</v>
      </c>
      <c r="E4797" s="17">
        <v>1415.1480000000001</v>
      </c>
      <c r="F4797" s="16">
        <v>0.02</v>
      </c>
      <c r="G4797" s="15" t="s">
        <v>101</v>
      </c>
      <c r="H4797" s="18">
        <v>-64.944000000000003</v>
      </c>
      <c r="I4797" s="19">
        <v>55.99</v>
      </c>
      <c r="J4797" s="19">
        <v>5</v>
      </c>
      <c r="K4797" s="19" t="s">
        <v>44</v>
      </c>
      <c r="L4797" s="19" t="s">
        <v>52</v>
      </c>
      <c r="M4797" s="15" t="s">
        <v>2183</v>
      </c>
      <c r="N4797" s="15" t="s">
        <v>64</v>
      </c>
      <c r="O4797" s="15" t="s">
        <v>65</v>
      </c>
      <c r="P4797" s="20" t="s">
        <v>975</v>
      </c>
      <c r="Q4797" s="15" t="s">
        <v>49</v>
      </c>
      <c r="R4797" s="4"/>
      <c r="S4797" s="4"/>
    </row>
    <row r="4798" spans="1:19" ht="21" customHeight="1" x14ac:dyDescent="0.25">
      <c r="A4798" s="14">
        <f>DATE(2012,12,31)-246</f>
        <v>41028</v>
      </c>
      <c r="B4798" s="15" t="s">
        <v>1106</v>
      </c>
      <c r="C4798" s="15" t="s">
        <v>51</v>
      </c>
      <c r="D4798" s="16">
        <v>41</v>
      </c>
      <c r="E4798" s="17">
        <v>2251.9135000000001</v>
      </c>
      <c r="F4798" s="16">
        <v>0.04</v>
      </c>
      <c r="G4798" s="15" t="s">
        <v>32</v>
      </c>
      <c r="H4798" s="18">
        <v>655.91099999999994</v>
      </c>
      <c r="I4798" s="19">
        <v>65.989999999999995</v>
      </c>
      <c r="J4798" s="19">
        <v>2.5</v>
      </c>
      <c r="K4798" s="19" t="s">
        <v>33</v>
      </c>
      <c r="L4798" s="19" t="s">
        <v>145</v>
      </c>
      <c r="M4798" s="15" t="s">
        <v>2140</v>
      </c>
      <c r="N4798" s="15" t="s">
        <v>64</v>
      </c>
      <c r="O4798" s="15" t="s">
        <v>65</v>
      </c>
      <c r="P4798" s="20" t="s">
        <v>272</v>
      </c>
      <c r="Q4798" s="15" t="s">
        <v>83</v>
      </c>
      <c r="R4798" s="4"/>
      <c r="S4798" s="4"/>
    </row>
    <row r="4799" spans="1:19" ht="21" customHeight="1" x14ac:dyDescent="0.25">
      <c r="A4799" s="14">
        <f>DATE(2012,12,31)-1256</f>
        <v>40018</v>
      </c>
      <c r="B4799" s="15" t="s">
        <v>1924</v>
      </c>
      <c r="C4799" s="15" t="s">
        <v>31</v>
      </c>
      <c r="D4799" s="16">
        <v>31</v>
      </c>
      <c r="E4799" s="17">
        <v>3077.7310000000002</v>
      </c>
      <c r="F4799" s="16">
        <v>0.05</v>
      </c>
      <c r="G4799" s="15" t="s">
        <v>32</v>
      </c>
      <c r="H4799" s="18">
        <v>745.47899999999993</v>
      </c>
      <c r="I4799" s="19">
        <v>115.99</v>
      </c>
      <c r="J4799" s="19">
        <v>5.26</v>
      </c>
      <c r="K4799" s="19" t="s">
        <v>33</v>
      </c>
      <c r="L4799" s="19" t="s">
        <v>145</v>
      </c>
      <c r="M4799" s="15" t="s">
        <v>2140</v>
      </c>
      <c r="N4799" s="15" t="s">
        <v>64</v>
      </c>
      <c r="O4799" s="15" t="s">
        <v>65</v>
      </c>
      <c r="P4799" s="20" t="s">
        <v>246</v>
      </c>
      <c r="Q4799" s="15" t="s">
        <v>83</v>
      </c>
      <c r="R4799" s="4"/>
      <c r="S4799" s="4"/>
    </row>
    <row r="4800" spans="1:19" ht="21" customHeight="1" x14ac:dyDescent="0.25">
      <c r="A4800" s="14">
        <f>DATE(2012,12,31)-487</f>
        <v>40787</v>
      </c>
      <c r="B4800" s="15" t="s">
        <v>1311</v>
      </c>
      <c r="C4800" s="15" t="s">
        <v>85</v>
      </c>
      <c r="D4800" s="16">
        <v>13</v>
      </c>
      <c r="E4800" s="17">
        <v>315.79199999999997</v>
      </c>
      <c r="F4800" s="16">
        <v>0.1</v>
      </c>
      <c r="G4800" s="15" t="s">
        <v>32</v>
      </c>
      <c r="H4800" s="18">
        <v>-105.765</v>
      </c>
      <c r="I4800" s="19">
        <v>28.99</v>
      </c>
      <c r="J4800" s="19">
        <v>8.59</v>
      </c>
      <c r="K4800" s="19" t="s">
        <v>33</v>
      </c>
      <c r="L4800" s="19" t="s">
        <v>145</v>
      </c>
      <c r="M4800" s="15" t="s">
        <v>2140</v>
      </c>
      <c r="N4800" s="15" t="s">
        <v>64</v>
      </c>
      <c r="O4800" s="15" t="s">
        <v>65</v>
      </c>
      <c r="P4800" s="20" t="s">
        <v>1604</v>
      </c>
      <c r="Q4800" s="15" t="s">
        <v>57</v>
      </c>
      <c r="R4800" s="4"/>
      <c r="S4800" s="4"/>
    </row>
    <row r="4801" spans="1:19" ht="21" customHeight="1" x14ac:dyDescent="0.25">
      <c r="A4801" s="14">
        <f>DATE(2012,12,31)-328</f>
        <v>40946</v>
      </c>
      <c r="B4801" s="15" t="s">
        <v>233</v>
      </c>
      <c r="C4801" s="15" t="s">
        <v>51</v>
      </c>
      <c r="D4801" s="16">
        <v>45</v>
      </c>
      <c r="E4801" s="17">
        <v>299.94</v>
      </c>
      <c r="F4801" s="16">
        <v>0.06</v>
      </c>
      <c r="G4801" s="15" t="s">
        <v>32</v>
      </c>
      <c r="H4801" s="18">
        <v>38.742999999999995</v>
      </c>
      <c r="I4801" s="19">
        <v>6.75</v>
      </c>
      <c r="J4801" s="19">
        <v>2.99</v>
      </c>
      <c r="K4801" s="19" t="s">
        <v>44</v>
      </c>
      <c r="L4801" s="19" t="s">
        <v>89</v>
      </c>
      <c r="M4801" s="15" t="s">
        <v>1932</v>
      </c>
      <c r="N4801" s="15" t="s">
        <v>36</v>
      </c>
      <c r="O4801" s="15" t="s">
        <v>170</v>
      </c>
      <c r="P4801" s="20" t="s">
        <v>1453</v>
      </c>
      <c r="Q4801" s="15" t="s">
        <v>83</v>
      </c>
      <c r="R4801" s="4"/>
      <c r="S4801" s="4"/>
    </row>
    <row r="4802" spans="1:19" ht="21" customHeight="1" x14ac:dyDescent="0.25">
      <c r="A4802" s="14">
        <f>DATE(2012,12,31)-132</f>
        <v>41142</v>
      </c>
      <c r="B4802" s="15" t="s">
        <v>1080</v>
      </c>
      <c r="C4802" s="15" t="s">
        <v>85</v>
      </c>
      <c r="D4802" s="16">
        <v>33</v>
      </c>
      <c r="E4802" s="17">
        <v>136.79</v>
      </c>
      <c r="F4802" s="16">
        <v>0.06</v>
      </c>
      <c r="G4802" s="15" t="s">
        <v>32</v>
      </c>
      <c r="H4802" s="18">
        <v>42.71</v>
      </c>
      <c r="I4802" s="19">
        <v>4.13</v>
      </c>
      <c r="J4802" s="19">
        <v>0.99</v>
      </c>
      <c r="K4802" s="19" t="s">
        <v>44</v>
      </c>
      <c r="L4802" s="19" t="s">
        <v>45</v>
      </c>
      <c r="M4802" s="15" t="s">
        <v>2165</v>
      </c>
      <c r="N4802" s="15" t="s">
        <v>36</v>
      </c>
      <c r="O4802" s="15" t="s">
        <v>114</v>
      </c>
      <c r="P4802" s="20" t="s">
        <v>926</v>
      </c>
      <c r="Q4802" s="15" t="s">
        <v>83</v>
      </c>
      <c r="R4802" s="4"/>
      <c r="S4802" s="4"/>
    </row>
    <row r="4803" spans="1:19" ht="21" customHeight="1" x14ac:dyDescent="0.25">
      <c r="A4803" s="14">
        <f>DATE(2012,12,31)-479</f>
        <v>40795</v>
      </c>
      <c r="B4803" s="15" t="s">
        <v>110</v>
      </c>
      <c r="C4803" s="15" t="s">
        <v>43</v>
      </c>
      <c r="D4803" s="16">
        <v>26</v>
      </c>
      <c r="E4803" s="17">
        <v>4097.1445000000003</v>
      </c>
      <c r="F4803" s="16">
        <v>0.1</v>
      </c>
      <c r="G4803" s="15" t="s">
        <v>32</v>
      </c>
      <c r="H4803" s="18">
        <v>501.54300000000001</v>
      </c>
      <c r="I4803" s="19">
        <v>205.99</v>
      </c>
      <c r="J4803" s="19">
        <v>8.99</v>
      </c>
      <c r="K4803" s="19" t="s">
        <v>44</v>
      </c>
      <c r="L4803" s="19" t="s">
        <v>45</v>
      </c>
      <c r="M4803" s="15" t="s">
        <v>2165</v>
      </c>
      <c r="N4803" s="15" t="s">
        <v>64</v>
      </c>
      <c r="O4803" s="15" t="s">
        <v>65</v>
      </c>
      <c r="P4803" s="20" t="s">
        <v>1464</v>
      </c>
      <c r="Q4803" s="15" t="s">
        <v>83</v>
      </c>
      <c r="R4803" s="4"/>
      <c r="S4803" s="4"/>
    </row>
    <row r="4804" spans="1:19" ht="21" customHeight="1" x14ac:dyDescent="0.25">
      <c r="A4804" s="14">
        <f>DATE(2012,12,31)-1234</f>
        <v>40040</v>
      </c>
      <c r="B4804" s="15" t="s">
        <v>2208</v>
      </c>
      <c r="C4804" s="15" t="s">
        <v>51</v>
      </c>
      <c r="D4804" s="16">
        <v>13</v>
      </c>
      <c r="E4804" s="17">
        <v>34.42</v>
      </c>
      <c r="F4804" s="16">
        <v>0.02</v>
      </c>
      <c r="G4804" s="15" t="s">
        <v>32</v>
      </c>
      <c r="H4804" s="18">
        <v>9.4700000000000006</v>
      </c>
      <c r="I4804" s="19">
        <v>2.61</v>
      </c>
      <c r="J4804" s="19">
        <v>0.5</v>
      </c>
      <c r="K4804" s="19" t="s">
        <v>97</v>
      </c>
      <c r="L4804" s="19" t="s">
        <v>98</v>
      </c>
      <c r="M4804" s="15" t="s">
        <v>2161</v>
      </c>
      <c r="N4804" s="15" t="s">
        <v>36</v>
      </c>
      <c r="O4804" s="15" t="s">
        <v>114</v>
      </c>
      <c r="P4804" s="20" t="s">
        <v>593</v>
      </c>
      <c r="Q4804" s="15" t="s">
        <v>83</v>
      </c>
      <c r="R4804" s="4"/>
      <c r="S4804" s="4"/>
    </row>
    <row r="4805" spans="1:19" ht="21" customHeight="1" x14ac:dyDescent="0.25">
      <c r="A4805" s="14">
        <f>DATE(2012,12,31)-1234</f>
        <v>40040</v>
      </c>
      <c r="B4805" s="15" t="s">
        <v>2208</v>
      </c>
      <c r="C4805" s="15" t="s">
        <v>51</v>
      </c>
      <c r="D4805" s="16">
        <v>26</v>
      </c>
      <c r="E4805" s="17">
        <v>172.76</v>
      </c>
      <c r="F4805" s="16">
        <v>0.1</v>
      </c>
      <c r="G4805" s="15" t="s">
        <v>32</v>
      </c>
      <c r="H4805" s="18">
        <v>73.180000000000007</v>
      </c>
      <c r="I4805" s="19">
        <v>7.31</v>
      </c>
      <c r="J4805" s="19">
        <v>0.49</v>
      </c>
      <c r="K4805" s="19" t="s">
        <v>44</v>
      </c>
      <c r="L4805" s="19" t="s">
        <v>52</v>
      </c>
      <c r="M4805" s="15" t="s">
        <v>2183</v>
      </c>
      <c r="N4805" s="15" t="s">
        <v>36</v>
      </c>
      <c r="O4805" s="15" t="s">
        <v>114</v>
      </c>
      <c r="P4805" s="20" t="s">
        <v>656</v>
      </c>
      <c r="Q4805" s="15" t="s">
        <v>83</v>
      </c>
      <c r="R4805" s="4"/>
      <c r="S4805" s="4"/>
    </row>
    <row r="4806" spans="1:19" ht="21" customHeight="1" x14ac:dyDescent="0.25">
      <c r="A4806" s="14">
        <f>DATE(2012,12,31)-1234</f>
        <v>40040</v>
      </c>
      <c r="B4806" s="15" t="s">
        <v>2208</v>
      </c>
      <c r="C4806" s="15" t="s">
        <v>51</v>
      </c>
      <c r="D4806" s="16">
        <v>50</v>
      </c>
      <c r="E4806" s="17">
        <v>853.16200000000003</v>
      </c>
      <c r="F4806" s="16">
        <v>0.1</v>
      </c>
      <c r="G4806" s="15" t="s">
        <v>32</v>
      </c>
      <c r="H4806" s="18">
        <v>-83.951999999999998</v>
      </c>
      <c r="I4806" s="19">
        <v>20.99</v>
      </c>
      <c r="J4806" s="19">
        <v>2.5</v>
      </c>
      <c r="K4806" s="19" t="s">
        <v>44</v>
      </c>
      <c r="L4806" s="19" t="s">
        <v>52</v>
      </c>
      <c r="M4806" s="15" t="s">
        <v>2183</v>
      </c>
      <c r="N4806" s="15" t="s">
        <v>64</v>
      </c>
      <c r="O4806" s="15" t="s">
        <v>65</v>
      </c>
      <c r="P4806" s="20" t="s">
        <v>445</v>
      </c>
      <c r="Q4806" s="15" t="s">
        <v>79</v>
      </c>
      <c r="R4806" s="4"/>
      <c r="S4806" s="4"/>
    </row>
    <row r="4807" spans="1:19" ht="21" customHeight="1" x14ac:dyDescent="0.25">
      <c r="A4807" s="14">
        <f>DATE(2012,12,31)-425</f>
        <v>40849</v>
      </c>
      <c r="B4807" s="15" t="s">
        <v>1597</v>
      </c>
      <c r="C4807" s="15" t="s">
        <v>43</v>
      </c>
      <c r="D4807" s="16">
        <v>21</v>
      </c>
      <c r="E4807" s="17">
        <v>293.27</v>
      </c>
      <c r="F4807" s="16">
        <v>7.0000000000000007E-2</v>
      </c>
      <c r="G4807" s="15" t="s">
        <v>32</v>
      </c>
      <c r="H4807" s="18">
        <v>44.56</v>
      </c>
      <c r="I4807" s="19">
        <v>14.48</v>
      </c>
      <c r="J4807" s="19">
        <v>1.99</v>
      </c>
      <c r="K4807" s="19" t="s">
        <v>44</v>
      </c>
      <c r="L4807" s="19" t="s">
        <v>89</v>
      </c>
      <c r="M4807" s="15" t="s">
        <v>1932</v>
      </c>
      <c r="N4807" s="15" t="s">
        <v>64</v>
      </c>
      <c r="O4807" s="15" t="s">
        <v>72</v>
      </c>
      <c r="P4807" s="20" t="s">
        <v>658</v>
      </c>
      <c r="Q4807" s="15" t="s">
        <v>49</v>
      </c>
      <c r="R4807" s="4"/>
      <c r="S4807" s="4"/>
    </row>
    <row r="4808" spans="1:19" ht="21" customHeight="1" x14ac:dyDescent="0.25">
      <c r="A4808" s="14">
        <f>DATE(2012,12,31)-485</f>
        <v>40789</v>
      </c>
      <c r="B4808" s="15" t="s">
        <v>1334</v>
      </c>
      <c r="C4808" s="15" t="s">
        <v>51</v>
      </c>
      <c r="D4808" s="16">
        <v>2</v>
      </c>
      <c r="E4808" s="17">
        <v>27</v>
      </c>
      <c r="F4808" s="16">
        <v>0.02</v>
      </c>
      <c r="G4808" s="15" t="s">
        <v>101</v>
      </c>
      <c r="H4808" s="18">
        <v>-4.9000000000000004</v>
      </c>
      <c r="I4808" s="19">
        <v>5.78</v>
      </c>
      <c r="J4808" s="19">
        <v>8.09</v>
      </c>
      <c r="K4808" s="19" t="s">
        <v>33</v>
      </c>
      <c r="L4808" s="19" t="s">
        <v>128</v>
      </c>
      <c r="M4808" s="15" t="s">
        <v>129</v>
      </c>
      <c r="N4808" s="15" t="s">
        <v>36</v>
      </c>
      <c r="O4808" s="15" t="s">
        <v>117</v>
      </c>
      <c r="P4808" s="20" t="s">
        <v>605</v>
      </c>
      <c r="Q4808" s="15" t="s">
        <v>83</v>
      </c>
      <c r="R4808" s="4"/>
      <c r="S4808" s="4"/>
    </row>
    <row r="4809" spans="1:19" ht="21" customHeight="1" x14ac:dyDescent="0.25">
      <c r="A4809" s="14">
        <f>DATE(2012,12,31)-75</f>
        <v>41199</v>
      </c>
      <c r="B4809" s="15" t="s">
        <v>157</v>
      </c>
      <c r="C4809" s="15" t="s">
        <v>85</v>
      </c>
      <c r="D4809" s="16">
        <v>31</v>
      </c>
      <c r="E4809" s="17">
        <v>336.34</v>
      </c>
      <c r="F4809" s="16">
        <v>0.05</v>
      </c>
      <c r="G4809" s="15" t="s">
        <v>32</v>
      </c>
      <c r="H4809" s="18">
        <v>-89.9</v>
      </c>
      <c r="I4809" s="19">
        <v>10.52</v>
      </c>
      <c r="J4809" s="19">
        <v>7.94</v>
      </c>
      <c r="K4809" s="19" t="s">
        <v>97</v>
      </c>
      <c r="L4809" s="19" t="s">
        <v>98</v>
      </c>
      <c r="M4809" s="15" t="s">
        <v>2161</v>
      </c>
      <c r="N4809" s="15" t="s">
        <v>54</v>
      </c>
      <c r="O4809" s="15" t="s">
        <v>55</v>
      </c>
      <c r="P4809" s="20" t="s">
        <v>1953</v>
      </c>
      <c r="Q4809" s="15" t="s">
        <v>49</v>
      </c>
      <c r="R4809" s="4"/>
      <c r="S4809" s="4"/>
    </row>
    <row r="4810" spans="1:19" ht="21" customHeight="1" x14ac:dyDescent="0.25">
      <c r="A4810" s="14">
        <f>DATE(2012,12,31)-860</f>
        <v>40414</v>
      </c>
      <c r="B4810" s="15" t="s">
        <v>439</v>
      </c>
      <c r="C4810" s="15" t="s">
        <v>51</v>
      </c>
      <c r="D4810" s="16">
        <v>48</v>
      </c>
      <c r="E4810" s="17">
        <v>705.44</v>
      </c>
      <c r="F4810" s="16">
        <v>0.04</v>
      </c>
      <c r="G4810" s="15" t="s">
        <v>32</v>
      </c>
      <c r="H4810" s="18">
        <v>165.9</v>
      </c>
      <c r="I4810" s="19">
        <v>14.2</v>
      </c>
      <c r="J4810" s="19">
        <v>5.3</v>
      </c>
      <c r="K4810" s="19" t="s">
        <v>33</v>
      </c>
      <c r="L4810" s="19" t="s">
        <v>59</v>
      </c>
      <c r="M4810" s="15" t="s">
        <v>2185</v>
      </c>
      <c r="N4810" s="15" t="s">
        <v>54</v>
      </c>
      <c r="O4810" s="15" t="s">
        <v>55</v>
      </c>
      <c r="P4810" s="20" t="s">
        <v>930</v>
      </c>
      <c r="Q4810" s="15" t="s">
        <v>79</v>
      </c>
      <c r="R4810" s="4"/>
      <c r="S4810" s="4"/>
    </row>
    <row r="4811" spans="1:19" ht="21" customHeight="1" x14ac:dyDescent="0.25">
      <c r="A4811" s="14">
        <f>DATE(2012,12,31)-860</f>
        <v>40414</v>
      </c>
      <c r="B4811" s="15" t="s">
        <v>439</v>
      </c>
      <c r="C4811" s="15" t="s">
        <v>51</v>
      </c>
      <c r="D4811" s="16">
        <v>29</v>
      </c>
      <c r="E4811" s="17">
        <v>1041.72</v>
      </c>
      <c r="F4811" s="16">
        <v>0.03</v>
      </c>
      <c r="G4811" s="15" t="s">
        <v>32</v>
      </c>
      <c r="H4811" s="18">
        <v>437.61</v>
      </c>
      <c r="I4811" s="19">
        <v>35.44</v>
      </c>
      <c r="J4811" s="19">
        <v>4.92</v>
      </c>
      <c r="K4811" s="19" t="s">
        <v>33</v>
      </c>
      <c r="L4811" s="19" t="s">
        <v>145</v>
      </c>
      <c r="M4811" s="15" t="s">
        <v>2140</v>
      </c>
      <c r="N4811" s="15" t="s">
        <v>36</v>
      </c>
      <c r="O4811" s="15" t="s">
        <v>117</v>
      </c>
      <c r="P4811" s="20" t="s">
        <v>1851</v>
      </c>
      <c r="Q4811" s="15" t="s">
        <v>83</v>
      </c>
      <c r="R4811" s="4"/>
      <c r="S4811" s="4"/>
    </row>
    <row r="4812" spans="1:19" ht="21" customHeight="1" x14ac:dyDescent="0.25">
      <c r="A4812" s="14">
        <f>DATE(2012,12,31)-322</f>
        <v>40952</v>
      </c>
      <c r="B4812" s="15" t="s">
        <v>564</v>
      </c>
      <c r="C4812" s="15" t="s">
        <v>43</v>
      </c>
      <c r="D4812" s="16">
        <v>15</v>
      </c>
      <c r="E4812" s="17">
        <v>136.49</v>
      </c>
      <c r="F4812" s="16">
        <v>0.1</v>
      </c>
      <c r="G4812" s="15" t="s">
        <v>32</v>
      </c>
      <c r="H4812" s="18">
        <v>36.229999999999997</v>
      </c>
      <c r="I4812" s="19">
        <v>9.93</v>
      </c>
      <c r="J4812" s="19">
        <v>1.0900000000000001</v>
      </c>
      <c r="K4812" s="19" t="s">
        <v>33</v>
      </c>
      <c r="L4812" s="19" t="s">
        <v>59</v>
      </c>
      <c r="M4812" s="15" t="s">
        <v>2185</v>
      </c>
      <c r="N4812" s="15" t="s">
        <v>36</v>
      </c>
      <c r="O4812" s="15" t="s">
        <v>77</v>
      </c>
      <c r="P4812" s="20" t="s">
        <v>366</v>
      </c>
      <c r="Q4812" s="15" t="s">
        <v>79</v>
      </c>
      <c r="R4812" s="4"/>
      <c r="S4812" s="4"/>
    </row>
    <row r="4813" spans="1:19" ht="21" customHeight="1" x14ac:dyDescent="0.25">
      <c r="A4813" s="14">
        <f>DATE(2012,12,31)-597</f>
        <v>40677</v>
      </c>
      <c r="B4813" s="15" t="s">
        <v>1945</v>
      </c>
      <c r="C4813" s="15" t="s">
        <v>51</v>
      </c>
      <c r="D4813" s="16">
        <v>6</v>
      </c>
      <c r="E4813" s="17">
        <v>35.65</v>
      </c>
      <c r="F4813" s="16">
        <v>0.02</v>
      </c>
      <c r="G4813" s="15" t="s">
        <v>32</v>
      </c>
      <c r="H4813" s="18">
        <v>-5.9225000000000003</v>
      </c>
      <c r="I4813" s="19">
        <v>5.34</v>
      </c>
      <c r="J4813" s="19">
        <v>2.99</v>
      </c>
      <c r="K4813" s="19" t="s">
        <v>69</v>
      </c>
      <c r="L4813" s="19" t="s">
        <v>70</v>
      </c>
      <c r="M4813" s="15" t="s">
        <v>1895</v>
      </c>
      <c r="N4813" s="15" t="s">
        <v>36</v>
      </c>
      <c r="O4813" s="15" t="s">
        <v>170</v>
      </c>
      <c r="P4813" s="20" t="s">
        <v>388</v>
      </c>
      <c r="Q4813" s="15" t="s">
        <v>83</v>
      </c>
      <c r="R4813" s="4"/>
      <c r="S4813" s="4"/>
    </row>
    <row r="4814" spans="1:19" ht="21" customHeight="1" x14ac:dyDescent="0.25">
      <c r="A4814" s="14">
        <f>DATE(2012,12,31)-84</f>
        <v>41190</v>
      </c>
      <c r="B4814" s="15" t="s">
        <v>194</v>
      </c>
      <c r="C4814" s="15" t="s">
        <v>31</v>
      </c>
      <c r="D4814" s="16">
        <v>4</v>
      </c>
      <c r="E4814" s="17">
        <v>207.55</v>
      </c>
      <c r="F4814" s="16">
        <v>0.08</v>
      </c>
      <c r="G4814" s="15" t="s">
        <v>32</v>
      </c>
      <c r="H4814" s="18">
        <v>16.23</v>
      </c>
      <c r="I4814" s="19">
        <v>52.71</v>
      </c>
      <c r="J4814" s="19">
        <v>2.5</v>
      </c>
      <c r="K4814" s="19" t="s">
        <v>111</v>
      </c>
      <c r="L4814" s="19" t="s">
        <v>112</v>
      </c>
      <c r="M4814" s="15" t="s">
        <v>2198</v>
      </c>
      <c r="N4814" s="15" t="s">
        <v>36</v>
      </c>
      <c r="O4814" s="15" t="s">
        <v>189</v>
      </c>
      <c r="P4814" s="20" t="s">
        <v>2209</v>
      </c>
      <c r="Q4814" s="15" t="s">
        <v>83</v>
      </c>
      <c r="R4814" s="4"/>
      <c r="S4814" s="4"/>
    </row>
    <row r="4815" spans="1:19" ht="21" customHeight="1" x14ac:dyDescent="0.25">
      <c r="A4815" s="14">
        <f>DATE(2012,12,31)-689</f>
        <v>40585</v>
      </c>
      <c r="B4815" s="15" t="s">
        <v>1995</v>
      </c>
      <c r="C4815" s="15" t="s">
        <v>51</v>
      </c>
      <c r="D4815" s="16">
        <v>10</v>
      </c>
      <c r="E4815" s="17">
        <v>89.04</v>
      </c>
      <c r="F4815" s="16">
        <v>0.08</v>
      </c>
      <c r="G4815" s="15" t="s">
        <v>32</v>
      </c>
      <c r="H4815" s="18">
        <v>-16.489999999999998</v>
      </c>
      <c r="I4815" s="19">
        <v>8.75</v>
      </c>
      <c r="J4815" s="19">
        <v>8.5399999999999991</v>
      </c>
      <c r="K4815" s="19" t="s">
        <v>44</v>
      </c>
      <c r="L4815" s="19" t="s">
        <v>89</v>
      </c>
      <c r="M4815" s="15" t="s">
        <v>1932</v>
      </c>
      <c r="N4815" s="15" t="s">
        <v>54</v>
      </c>
      <c r="O4815" s="15" t="s">
        <v>55</v>
      </c>
      <c r="P4815" s="20" t="s">
        <v>988</v>
      </c>
      <c r="Q4815" s="15" t="s">
        <v>49</v>
      </c>
      <c r="R4815" s="4"/>
      <c r="S4815" s="4"/>
    </row>
    <row r="4816" spans="1:19" ht="21" customHeight="1" x14ac:dyDescent="0.25">
      <c r="A4816" s="14">
        <f>DATE(2012,12,31)-689</f>
        <v>40585</v>
      </c>
      <c r="B4816" s="15" t="s">
        <v>1995</v>
      </c>
      <c r="C4816" s="15" t="s">
        <v>51</v>
      </c>
      <c r="D4816" s="16">
        <v>40</v>
      </c>
      <c r="E4816" s="17">
        <v>297.33999999999997</v>
      </c>
      <c r="F4816" s="16">
        <v>0.04</v>
      </c>
      <c r="G4816" s="15" t="s">
        <v>101</v>
      </c>
      <c r="H4816" s="18">
        <v>-270.95999999999998</v>
      </c>
      <c r="I4816" s="19">
        <v>7.28</v>
      </c>
      <c r="J4816" s="19">
        <v>11.15</v>
      </c>
      <c r="K4816" s="19" t="s">
        <v>44</v>
      </c>
      <c r="L4816" s="19" t="s">
        <v>120</v>
      </c>
      <c r="M4816" s="15" t="s">
        <v>2025</v>
      </c>
      <c r="N4816" s="15" t="s">
        <v>36</v>
      </c>
      <c r="O4816" s="15" t="s">
        <v>117</v>
      </c>
      <c r="P4816" s="20" t="s">
        <v>1324</v>
      </c>
      <c r="Q4816" s="15" t="s">
        <v>83</v>
      </c>
      <c r="R4816" s="4"/>
      <c r="S4816" s="4"/>
    </row>
    <row r="4817" spans="1:19" ht="21" customHeight="1" x14ac:dyDescent="0.25">
      <c r="A4817" s="14">
        <f>DATE(2012,12,31)-689</f>
        <v>40585</v>
      </c>
      <c r="B4817" s="15" t="s">
        <v>1995</v>
      </c>
      <c r="C4817" s="15" t="s">
        <v>51</v>
      </c>
      <c r="D4817" s="16">
        <v>35</v>
      </c>
      <c r="E4817" s="17">
        <v>1264.1300000000001</v>
      </c>
      <c r="F4817" s="16">
        <v>0.02</v>
      </c>
      <c r="G4817" s="15" t="s">
        <v>32</v>
      </c>
      <c r="H4817" s="18">
        <v>-1087.3599999999999</v>
      </c>
      <c r="I4817" s="19">
        <v>35.479999999999997</v>
      </c>
      <c r="J4817" s="19">
        <v>35</v>
      </c>
      <c r="K4817" s="19" t="s">
        <v>44</v>
      </c>
      <c r="L4817" s="19" t="s">
        <v>89</v>
      </c>
      <c r="M4817" s="15" t="s">
        <v>1932</v>
      </c>
      <c r="N4817" s="15" t="s">
        <v>36</v>
      </c>
      <c r="O4817" s="15" t="s">
        <v>37</v>
      </c>
      <c r="P4817" s="20" t="s">
        <v>495</v>
      </c>
      <c r="Q4817" s="15" t="s">
        <v>39</v>
      </c>
      <c r="R4817" s="4"/>
      <c r="S4817" s="4"/>
    </row>
    <row r="4818" spans="1:19" ht="21" customHeight="1" x14ac:dyDescent="0.25">
      <c r="A4818" s="14">
        <f>DATE(2012,12,31)-824</f>
        <v>40450</v>
      </c>
      <c r="B4818" s="15" t="s">
        <v>290</v>
      </c>
      <c r="C4818" s="15" t="s">
        <v>31</v>
      </c>
      <c r="D4818" s="16">
        <v>25</v>
      </c>
      <c r="E4818" s="17">
        <v>205.3</v>
      </c>
      <c r="F4818" s="16">
        <v>0</v>
      </c>
      <c r="G4818" s="15" t="s">
        <v>101</v>
      </c>
      <c r="H4818" s="18">
        <v>-89.56</v>
      </c>
      <c r="I4818" s="19">
        <v>7.37</v>
      </c>
      <c r="J4818" s="19">
        <v>5.53</v>
      </c>
      <c r="K4818" s="19" t="s">
        <v>44</v>
      </c>
      <c r="L4818" s="19" t="s">
        <v>89</v>
      </c>
      <c r="M4818" s="15" t="s">
        <v>1932</v>
      </c>
      <c r="N4818" s="15" t="s">
        <v>64</v>
      </c>
      <c r="O4818" s="15" t="s">
        <v>72</v>
      </c>
      <c r="P4818" s="20" t="s">
        <v>1069</v>
      </c>
      <c r="Q4818" s="15" t="s">
        <v>49</v>
      </c>
      <c r="R4818" s="4"/>
      <c r="S4818" s="4"/>
    </row>
    <row r="4819" spans="1:19" ht="21" customHeight="1" x14ac:dyDescent="0.25">
      <c r="A4819" s="14">
        <f>DATE(2012,12,31)-824</f>
        <v>40450</v>
      </c>
      <c r="B4819" s="15" t="s">
        <v>290</v>
      </c>
      <c r="C4819" s="15" t="s">
        <v>31</v>
      </c>
      <c r="D4819" s="16">
        <v>4</v>
      </c>
      <c r="E4819" s="17">
        <v>125.7</v>
      </c>
      <c r="F4819" s="16">
        <v>0.04</v>
      </c>
      <c r="G4819" s="15" t="s">
        <v>32</v>
      </c>
      <c r="H4819" s="18">
        <v>-62.77</v>
      </c>
      <c r="I4819" s="19">
        <v>31.78</v>
      </c>
      <c r="J4819" s="19">
        <v>1.99</v>
      </c>
      <c r="K4819" s="19" t="s">
        <v>33</v>
      </c>
      <c r="L4819" s="19" t="s">
        <v>93</v>
      </c>
      <c r="M4819" s="15" t="s">
        <v>94</v>
      </c>
      <c r="N4819" s="15" t="s">
        <v>64</v>
      </c>
      <c r="O4819" s="15" t="s">
        <v>72</v>
      </c>
      <c r="P4819" s="20" t="s">
        <v>421</v>
      </c>
      <c r="Q4819" s="15" t="s">
        <v>49</v>
      </c>
      <c r="R4819" s="4"/>
      <c r="S4819" s="4"/>
    </row>
    <row r="4820" spans="1:19" ht="21" customHeight="1" x14ac:dyDescent="0.25">
      <c r="A4820" s="14">
        <f>DATE(2012,12,31)-1058</f>
        <v>40216</v>
      </c>
      <c r="B4820" s="15" t="s">
        <v>1629</v>
      </c>
      <c r="C4820" s="15" t="s">
        <v>85</v>
      </c>
      <c r="D4820" s="16">
        <v>42</v>
      </c>
      <c r="E4820" s="17">
        <v>189.22</v>
      </c>
      <c r="F4820" s="16">
        <v>0.05</v>
      </c>
      <c r="G4820" s="15" t="s">
        <v>32</v>
      </c>
      <c r="H4820" s="18">
        <v>-92.42</v>
      </c>
      <c r="I4820" s="19">
        <v>4.28</v>
      </c>
      <c r="J4820" s="19">
        <v>4.79</v>
      </c>
      <c r="K4820" s="19" t="s">
        <v>33</v>
      </c>
      <c r="L4820" s="19" t="s">
        <v>93</v>
      </c>
      <c r="M4820" s="15" t="s">
        <v>94</v>
      </c>
      <c r="N4820" s="15" t="s">
        <v>36</v>
      </c>
      <c r="O4820" s="15" t="s">
        <v>117</v>
      </c>
      <c r="P4820" s="20" t="s">
        <v>1436</v>
      </c>
      <c r="Q4820" s="15" t="s">
        <v>83</v>
      </c>
      <c r="R4820" s="4"/>
      <c r="S4820" s="4"/>
    </row>
    <row r="4821" spans="1:19" ht="21" customHeight="1" x14ac:dyDescent="0.25">
      <c r="A4821" s="14">
        <f>DATE(2012,12,31)-816</f>
        <v>40458</v>
      </c>
      <c r="B4821" s="15" t="s">
        <v>1815</v>
      </c>
      <c r="C4821" s="15" t="s">
        <v>85</v>
      </c>
      <c r="D4821" s="16">
        <v>49</v>
      </c>
      <c r="E4821" s="17">
        <v>199.86</v>
      </c>
      <c r="F4821" s="16">
        <v>0.03</v>
      </c>
      <c r="G4821" s="15" t="s">
        <v>32</v>
      </c>
      <c r="H4821" s="18">
        <v>-257.11</v>
      </c>
      <c r="I4821" s="19">
        <v>4.0599999999999996</v>
      </c>
      <c r="J4821" s="19">
        <v>6.89</v>
      </c>
      <c r="K4821" s="19" t="s">
        <v>124</v>
      </c>
      <c r="L4821" s="19" t="s">
        <v>160</v>
      </c>
      <c r="M4821" s="15" t="s">
        <v>2181</v>
      </c>
      <c r="N4821" s="15" t="s">
        <v>36</v>
      </c>
      <c r="O4821" s="15" t="s">
        <v>176</v>
      </c>
      <c r="P4821" s="20" t="s">
        <v>1222</v>
      </c>
      <c r="Q4821" s="15" t="s">
        <v>83</v>
      </c>
      <c r="R4821" s="4"/>
      <c r="S4821" s="4"/>
    </row>
    <row r="4822" spans="1:19" ht="21" customHeight="1" x14ac:dyDescent="0.25">
      <c r="A4822" s="14">
        <f>DATE(2012,12,31)-816</f>
        <v>40458</v>
      </c>
      <c r="B4822" s="15" t="s">
        <v>1815</v>
      </c>
      <c r="C4822" s="15" t="s">
        <v>85</v>
      </c>
      <c r="D4822" s="16">
        <v>18</v>
      </c>
      <c r="E4822" s="17">
        <v>1888.02</v>
      </c>
      <c r="F4822" s="16">
        <v>0.03</v>
      </c>
      <c r="G4822" s="15" t="s">
        <v>32</v>
      </c>
      <c r="H4822" s="18">
        <v>192.33</v>
      </c>
      <c r="I4822" s="19">
        <v>99.99</v>
      </c>
      <c r="J4822" s="19">
        <v>19.989999999999998</v>
      </c>
      <c r="K4822" s="19" t="s">
        <v>124</v>
      </c>
      <c r="L4822" s="19" t="s">
        <v>160</v>
      </c>
      <c r="M4822" s="15" t="s">
        <v>2181</v>
      </c>
      <c r="N4822" s="15" t="s">
        <v>64</v>
      </c>
      <c r="O4822" s="15" t="s">
        <v>122</v>
      </c>
      <c r="P4822" s="20" t="s">
        <v>1309</v>
      </c>
      <c r="Q4822" s="15" t="s">
        <v>83</v>
      </c>
      <c r="R4822" s="4"/>
      <c r="S4822" s="4"/>
    </row>
    <row r="4823" spans="1:19" ht="21" customHeight="1" x14ac:dyDescent="0.25">
      <c r="A4823" s="14">
        <f>DATE(2012,12,31)-816</f>
        <v>40458</v>
      </c>
      <c r="B4823" s="15" t="s">
        <v>1815</v>
      </c>
      <c r="C4823" s="15" t="s">
        <v>85</v>
      </c>
      <c r="D4823" s="16">
        <v>27</v>
      </c>
      <c r="E4823" s="17">
        <v>322.69</v>
      </c>
      <c r="F4823" s="16">
        <v>0.01</v>
      </c>
      <c r="G4823" s="15" t="s">
        <v>32</v>
      </c>
      <c r="H4823" s="18">
        <v>1.91</v>
      </c>
      <c r="I4823" s="19">
        <v>11.58</v>
      </c>
      <c r="J4823" s="19">
        <v>6.97</v>
      </c>
      <c r="K4823" s="19" t="s">
        <v>124</v>
      </c>
      <c r="L4823" s="19" t="s">
        <v>158</v>
      </c>
      <c r="M4823" s="15" t="s">
        <v>158</v>
      </c>
      <c r="N4823" s="15" t="s">
        <v>36</v>
      </c>
      <c r="O4823" s="15" t="s">
        <v>189</v>
      </c>
      <c r="P4823" s="20" t="s">
        <v>977</v>
      </c>
      <c r="Q4823" s="15" t="s">
        <v>83</v>
      </c>
      <c r="R4823" s="4"/>
      <c r="S4823" s="4"/>
    </row>
    <row r="4824" spans="1:19" ht="21" customHeight="1" x14ac:dyDescent="0.25">
      <c r="A4824" s="14">
        <f>DATE(2012,12,31)-1279</f>
        <v>39995</v>
      </c>
      <c r="B4824" s="15" t="s">
        <v>1671</v>
      </c>
      <c r="C4824" s="15" t="s">
        <v>31</v>
      </c>
      <c r="D4824" s="16">
        <v>27</v>
      </c>
      <c r="E4824" s="17">
        <v>123.46</v>
      </c>
      <c r="F4824" s="16">
        <v>7.0000000000000007E-2</v>
      </c>
      <c r="G4824" s="15" t="s">
        <v>32</v>
      </c>
      <c r="H4824" s="18">
        <v>26.66</v>
      </c>
      <c r="I4824" s="19">
        <v>4.84</v>
      </c>
      <c r="J4824" s="19">
        <v>0.71</v>
      </c>
      <c r="K4824" s="19" t="s">
        <v>124</v>
      </c>
      <c r="L4824" s="19" t="s">
        <v>164</v>
      </c>
      <c r="M4824" s="15" t="s">
        <v>2171</v>
      </c>
      <c r="N4824" s="15" t="s">
        <v>36</v>
      </c>
      <c r="O4824" s="15" t="s">
        <v>77</v>
      </c>
      <c r="P4824" s="20" t="s">
        <v>901</v>
      </c>
      <c r="Q4824" s="15" t="s">
        <v>79</v>
      </c>
      <c r="R4824" s="4"/>
      <c r="S4824" s="4"/>
    </row>
    <row r="4825" spans="1:19" ht="21" customHeight="1" x14ac:dyDescent="0.25">
      <c r="A4825" s="14">
        <f>DATE(2012,12,31)-1279</f>
        <v>39995</v>
      </c>
      <c r="B4825" s="15" t="s">
        <v>1671</v>
      </c>
      <c r="C4825" s="15" t="s">
        <v>31</v>
      </c>
      <c r="D4825" s="16">
        <v>3</v>
      </c>
      <c r="E4825" s="17">
        <v>6041.01</v>
      </c>
      <c r="F4825" s="16">
        <v>0.04</v>
      </c>
      <c r="G4825" s="15" t="s">
        <v>58</v>
      </c>
      <c r="H4825" s="18">
        <v>-4793.0039999999999</v>
      </c>
      <c r="I4825" s="19">
        <v>2036.48</v>
      </c>
      <c r="J4825" s="19">
        <v>14.7</v>
      </c>
      <c r="K4825" s="19" t="s">
        <v>33</v>
      </c>
      <c r="L4825" s="19" t="s">
        <v>59</v>
      </c>
      <c r="M4825" s="15" t="s">
        <v>2185</v>
      </c>
      <c r="N4825" s="15" t="s">
        <v>64</v>
      </c>
      <c r="O4825" s="15" t="s">
        <v>122</v>
      </c>
      <c r="P4825" s="20" t="s">
        <v>642</v>
      </c>
      <c r="Q4825" s="15" t="s">
        <v>181</v>
      </c>
      <c r="R4825" s="4"/>
      <c r="S4825" s="4"/>
    </row>
    <row r="4826" spans="1:19" ht="21" customHeight="1" x14ac:dyDescent="0.25">
      <c r="A4826" s="14">
        <f>DATE(2012,12,31)-278</f>
        <v>40996</v>
      </c>
      <c r="B4826" s="15" t="s">
        <v>1520</v>
      </c>
      <c r="C4826" s="15" t="s">
        <v>43</v>
      </c>
      <c r="D4826" s="16">
        <v>3</v>
      </c>
      <c r="E4826" s="17">
        <v>840.55200000000013</v>
      </c>
      <c r="F4826" s="16">
        <v>0.1</v>
      </c>
      <c r="G4826" s="15" t="s">
        <v>58</v>
      </c>
      <c r="H4826" s="18">
        <v>7.5500000000000114</v>
      </c>
      <c r="I4826" s="19">
        <v>349.45</v>
      </c>
      <c r="J4826" s="19">
        <v>60</v>
      </c>
      <c r="K4826" s="19" t="s">
        <v>44</v>
      </c>
      <c r="L4826" s="19" t="s">
        <v>52</v>
      </c>
      <c r="M4826" s="15" t="s">
        <v>2183</v>
      </c>
      <c r="N4826" s="15" t="s">
        <v>54</v>
      </c>
      <c r="O4826" s="15" t="s">
        <v>61</v>
      </c>
      <c r="P4826" s="20" t="s">
        <v>1031</v>
      </c>
      <c r="Q4826" s="15" t="s">
        <v>181</v>
      </c>
      <c r="R4826" s="4"/>
      <c r="S4826" s="4"/>
    </row>
    <row r="4827" spans="1:19" ht="21" customHeight="1" x14ac:dyDescent="0.25">
      <c r="A4827" s="14">
        <f>DATE(2012,12,31)-116</f>
        <v>41158</v>
      </c>
      <c r="B4827" s="15" t="s">
        <v>1356</v>
      </c>
      <c r="C4827" s="15" t="s">
        <v>51</v>
      </c>
      <c r="D4827" s="16">
        <v>16</v>
      </c>
      <c r="E4827" s="17">
        <v>75.77</v>
      </c>
      <c r="F4827" s="16">
        <v>0</v>
      </c>
      <c r="G4827" s="15" t="s">
        <v>32</v>
      </c>
      <c r="H4827" s="18">
        <v>-56.62</v>
      </c>
      <c r="I4827" s="19">
        <v>4.37</v>
      </c>
      <c r="J4827" s="19">
        <v>5.15</v>
      </c>
      <c r="K4827" s="19" t="s">
        <v>44</v>
      </c>
      <c r="L4827" s="19" t="s">
        <v>52</v>
      </c>
      <c r="M4827" s="15" t="s">
        <v>2183</v>
      </c>
      <c r="N4827" s="15" t="s">
        <v>36</v>
      </c>
      <c r="O4827" s="15" t="s">
        <v>176</v>
      </c>
      <c r="P4827" s="20" t="s">
        <v>1179</v>
      </c>
      <c r="Q4827" s="15" t="s">
        <v>83</v>
      </c>
      <c r="R4827" s="4"/>
      <c r="S4827" s="4"/>
    </row>
    <row r="4828" spans="1:19" ht="21" customHeight="1" x14ac:dyDescent="0.25">
      <c r="A4828" s="14">
        <f>DATE(2012,12,31)-1213</f>
        <v>40061</v>
      </c>
      <c r="B4828" s="15" t="s">
        <v>2073</v>
      </c>
      <c r="C4828" s="15" t="s">
        <v>51</v>
      </c>
      <c r="D4828" s="16">
        <v>39</v>
      </c>
      <c r="E4828" s="17">
        <v>132.79</v>
      </c>
      <c r="F4828" s="16">
        <v>0.05</v>
      </c>
      <c r="G4828" s="15" t="s">
        <v>32</v>
      </c>
      <c r="H4828" s="18">
        <v>-100.24</v>
      </c>
      <c r="I4828" s="19">
        <v>3.28</v>
      </c>
      <c r="J4828" s="19">
        <v>3.97</v>
      </c>
      <c r="K4828" s="19" t="s">
        <v>44</v>
      </c>
      <c r="L4828" s="19" t="s">
        <v>52</v>
      </c>
      <c r="M4828" s="15" t="s">
        <v>2183</v>
      </c>
      <c r="N4828" s="15" t="s">
        <v>36</v>
      </c>
      <c r="O4828" s="15" t="s">
        <v>77</v>
      </c>
      <c r="P4828" s="20" t="s">
        <v>1663</v>
      </c>
      <c r="Q4828" s="15" t="s">
        <v>79</v>
      </c>
      <c r="R4828" s="4"/>
      <c r="S4828" s="4"/>
    </row>
    <row r="4829" spans="1:19" ht="21" customHeight="1" x14ac:dyDescent="0.25">
      <c r="A4829" s="14">
        <f>DATE(2012,12,31)-1213</f>
        <v>40061</v>
      </c>
      <c r="B4829" s="15" t="s">
        <v>2073</v>
      </c>
      <c r="C4829" s="15" t="s">
        <v>51</v>
      </c>
      <c r="D4829" s="16">
        <v>32</v>
      </c>
      <c r="E4829" s="17">
        <v>232.85</v>
      </c>
      <c r="F4829" s="16">
        <v>0.03</v>
      </c>
      <c r="G4829" s="15" t="s">
        <v>32</v>
      </c>
      <c r="H4829" s="18">
        <v>-262.62</v>
      </c>
      <c r="I4829" s="19">
        <v>6.98</v>
      </c>
      <c r="J4829" s="19">
        <v>9.69</v>
      </c>
      <c r="K4829" s="19" t="s">
        <v>44</v>
      </c>
      <c r="L4829" s="19" t="s">
        <v>52</v>
      </c>
      <c r="M4829" s="15" t="s">
        <v>2183</v>
      </c>
      <c r="N4829" s="15" t="s">
        <v>36</v>
      </c>
      <c r="O4829" s="15" t="s">
        <v>37</v>
      </c>
      <c r="P4829" s="20" t="s">
        <v>1855</v>
      </c>
      <c r="Q4829" s="15" t="s">
        <v>83</v>
      </c>
      <c r="R4829" s="4"/>
      <c r="S4829" s="4"/>
    </row>
    <row r="4830" spans="1:19" ht="21" customHeight="1" x14ac:dyDescent="0.25">
      <c r="A4830" s="14">
        <f>DATE(2012,12,31)-962</f>
        <v>40312</v>
      </c>
      <c r="B4830" s="15" t="s">
        <v>286</v>
      </c>
      <c r="C4830" s="15" t="s">
        <v>85</v>
      </c>
      <c r="D4830" s="16">
        <v>36</v>
      </c>
      <c r="E4830" s="17">
        <v>3610.85</v>
      </c>
      <c r="F4830" s="16">
        <v>0.04</v>
      </c>
      <c r="G4830" s="15" t="s">
        <v>101</v>
      </c>
      <c r="H4830" s="18">
        <v>2235.37</v>
      </c>
      <c r="I4830" s="19">
        <v>99.23</v>
      </c>
      <c r="J4830" s="19">
        <v>8.99</v>
      </c>
      <c r="K4830" s="19" t="s">
        <v>33</v>
      </c>
      <c r="L4830" s="19" t="s">
        <v>93</v>
      </c>
      <c r="M4830" s="15" t="s">
        <v>94</v>
      </c>
      <c r="N4830" s="15" t="s">
        <v>54</v>
      </c>
      <c r="O4830" s="15" t="s">
        <v>55</v>
      </c>
      <c r="P4830" s="20" t="s">
        <v>1406</v>
      </c>
      <c r="Q4830" s="15" t="s">
        <v>49</v>
      </c>
      <c r="R4830" s="4"/>
      <c r="S4830" s="4"/>
    </row>
    <row r="4831" spans="1:19" ht="21" customHeight="1" x14ac:dyDescent="0.25">
      <c r="A4831" s="14">
        <f>DATE(2012,12,31)-915</f>
        <v>40359</v>
      </c>
      <c r="B4831" s="15" t="s">
        <v>221</v>
      </c>
      <c r="C4831" s="15" t="s">
        <v>31</v>
      </c>
      <c r="D4831" s="16">
        <v>26</v>
      </c>
      <c r="E4831" s="17">
        <v>1050.1600000000001</v>
      </c>
      <c r="F4831" s="16">
        <v>0.04</v>
      </c>
      <c r="G4831" s="15" t="s">
        <v>101</v>
      </c>
      <c r="H4831" s="18">
        <v>265.08999999999997</v>
      </c>
      <c r="I4831" s="19">
        <v>38.76</v>
      </c>
      <c r="J4831" s="19">
        <v>13.26</v>
      </c>
      <c r="K4831" s="19" t="s">
        <v>33</v>
      </c>
      <c r="L4831" s="19" t="s">
        <v>59</v>
      </c>
      <c r="M4831" s="15" t="s">
        <v>2185</v>
      </c>
      <c r="N4831" s="15" t="s">
        <v>36</v>
      </c>
      <c r="O4831" s="15" t="s">
        <v>117</v>
      </c>
      <c r="P4831" s="20" t="s">
        <v>720</v>
      </c>
      <c r="Q4831" s="15" t="s">
        <v>83</v>
      </c>
      <c r="R4831" s="4"/>
      <c r="S4831" s="4"/>
    </row>
    <row r="4832" spans="1:19" ht="21" customHeight="1" x14ac:dyDescent="0.25">
      <c r="A4832" s="14">
        <f>DATE(2012,12,31)-1005</f>
        <v>40269</v>
      </c>
      <c r="B4832" s="15" t="s">
        <v>946</v>
      </c>
      <c r="C4832" s="15" t="s">
        <v>85</v>
      </c>
      <c r="D4832" s="16">
        <v>18</v>
      </c>
      <c r="E4832" s="17">
        <v>8334.0300000000007</v>
      </c>
      <c r="F4832" s="16">
        <v>0.05</v>
      </c>
      <c r="G4832" s="15" t="s">
        <v>58</v>
      </c>
      <c r="H4832" s="18">
        <v>1886.66</v>
      </c>
      <c r="I4832" s="19">
        <v>510.14</v>
      </c>
      <c r="J4832" s="19">
        <v>14.7</v>
      </c>
      <c r="K4832" s="19" t="s">
        <v>33</v>
      </c>
      <c r="L4832" s="19" t="s">
        <v>59</v>
      </c>
      <c r="M4832" s="15" t="s">
        <v>2185</v>
      </c>
      <c r="N4832" s="15" t="s">
        <v>64</v>
      </c>
      <c r="O4832" s="15" t="s">
        <v>122</v>
      </c>
      <c r="P4832" s="20" t="s">
        <v>1330</v>
      </c>
      <c r="Q4832" s="15" t="s">
        <v>181</v>
      </c>
      <c r="R4832" s="4"/>
      <c r="S4832" s="4"/>
    </row>
    <row r="4833" spans="1:19" ht="21" customHeight="1" x14ac:dyDescent="0.25">
      <c r="A4833" s="14">
        <f>DATE(2012,12,31)-1280</f>
        <v>39994</v>
      </c>
      <c r="B4833" s="15" t="s">
        <v>311</v>
      </c>
      <c r="C4833" s="15" t="s">
        <v>31</v>
      </c>
      <c r="D4833" s="16">
        <v>42</v>
      </c>
      <c r="E4833" s="17">
        <v>344.57</v>
      </c>
      <c r="F4833" s="16">
        <v>0.04</v>
      </c>
      <c r="G4833" s="15" t="s">
        <v>32</v>
      </c>
      <c r="H4833" s="18">
        <v>37.409999999999997</v>
      </c>
      <c r="I4833" s="19">
        <v>8.33</v>
      </c>
      <c r="J4833" s="19">
        <v>1.99</v>
      </c>
      <c r="K4833" s="19" t="s">
        <v>33</v>
      </c>
      <c r="L4833" s="19" t="s">
        <v>59</v>
      </c>
      <c r="M4833" s="15" t="s">
        <v>2185</v>
      </c>
      <c r="N4833" s="15" t="s">
        <v>64</v>
      </c>
      <c r="O4833" s="15" t="s">
        <v>72</v>
      </c>
      <c r="P4833" s="20" t="s">
        <v>966</v>
      </c>
      <c r="Q4833" s="15" t="s">
        <v>49</v>
      </c>
      <c r="R4833" s="4"/>
      <c r="S4833" s="4"/>
    </row>
    <row r="4834" spans="1:19" ht="21" customHeight="1" x14ac:dyDescent="0.25">
      <c r="A4834" s="14">
        <f>DATE(2012,12,31)-7</f>
        <v>41267</v>
      </c>
      <c r="B4834" s="15" t="s">
        <v>2143</v>
      </c>
      <c r="C4834" s="15" t="s">
        <v>31</v>
      </c>
      <c r="D4834" s="16">
        <v>25</v>
      </c>
      <c r="E4834" s="17">
        <v>92.53</v>
      </c>
      <c r="F4834" s="16">
        <v>0.01</v>
      </c>
      <c r="G4834" s="15" t="s">
        <v>32</v>
      </c>
      <c r="H4834" s="18">
        <v>-71.52</v>
      </c>
      <c r="I4834" s="19">
        <v>3.57</v>
      </c>
      <c r="J4834" s="19">
        <v>4.17</v>
      </c>
      <c r="K4834" s="19" t="s">
        <v>33</v>
      </c>
      <c r="L4834" s="19" t="s">
        <v>34</v>
      </c>
      <c r="M4834" s="15" t="s">
        <v>2043</v>
      </c>
      <c r="N4834" s="15" t="s">
        <v>36</v>
      </c>
      <c r="O4834" s="15" t="s">
        <v>77</v>
      </c>
      <c r="P4834" s="20" t="s">
        <v>604</v>
      </c>
      <c r="Q4834" s="15" t="s">
        <v>49</v>
      </c>
      <c r="R4834" s="4"/>
      <c r="S4834" s="4"/>
    </row>
    <row r="4835" spans="1:19" ht="21" customHeight="1" x14ac:dyDescent="0.25">
      <c r="A4835" s="14">
        <f>DATE(2012,12,31)-7</f>
        <v>41267</v>
      </c>
      <c r="B4835" s="15" t="s">
        <v>2143</v>
      </c>
      <c r="C4835" s="15" t="s">
        <v>31</v>
      </c>
      <c r="D4835" s="16">
        <v>17</v>
      </c>
      <c r="E4835" s="17">
        <v>988.6434999999999</v>
      </c>
      <c r="F4835" s="16">
        <v>0.04</v>
      </c>
      <c r="G4835" s="15" t="s">
        <v>32</v>
      </c>
      <c r="H4835" s="18">
        <v>89.891999999999996</v>
      </c>
      <c r="I4835" s="19">
        <v>65.989999999999995</v>
      </c>
      <c r="J4835" s="19">
        <v>4.2</v>
      </c>
      <c r="K4835" s="19" t="s">
        <v>33</v>
      </c>
      <c r="L4835" s="19" t="s">
        <v>145</v>
      </c>
      <c r="M4835" s="15" t="s">
        <v>2140</v>
      </c>
      <c r="N4835" s="15" t="s">
        <v>64</v>
      </c>
      <c r="O4835" s="15" t="s">
        <v>65</v>
      </c>
      <c r="P4835" s="20" t="s">
        <v>1774</v>
      </c>
      <c r="Q4835" s="15" t="s">
        <v>83</v>
      </c>
      <c r="R4835" s="4"/>
      <c r="S4835" s="4"/>
    </row>
    <row r="4836" spans="1:19" ht="21" customHeight="1" x14ac:dyDescent="0.25">
      <c r="A4836" s="14">
        <f>DATE(2012,12,31)-974</f>
        <v>40300</v>
      </c>
      <c r="B4836" s="15" t="s">
        <v>429</v>
      </c>
      <c r="C4836" s="15" t="s">
        <v>51</v>
      </c>
      <c r="D4836" s="16">
        <v>38</v>
      </c>
      <c r="E4836" s="17">
        <v>3016.85</v>
      </c>
      <c r="F4836" s="16">
        <v>0.05</v>
      </c>
      <c r="G4836" s="15" t="s">
        <v>32</v>
      </c>
      <c r="H4836" s="18">
        <v>-967.67</v>
      </c>
      <c r="I4836" s="19">
        <v>80.98</v>
      </c>
      <c r="J4836" s="19">
        <v>35</v>
      </c>
      <c r="K4836" s="19" t="s">
        <v>33</v>
      </c>
      <c r="L4836" s="19" t="s">
        <v>59</v>
      </c>
      <c r="M4836" s="15" t="s">
        <v>2185</v>
      </c>
      <c r="N4836" s="15" t="s">
        <v>36</v>
      </c>
      <c r="O4836" s="15" t="s">
        <v>37</v>
      </c>
      <c r="P4836" s="20" t="s">
        <v>1383</v>
      </c>
      <c r="Q4836" s="15" t="s">
        <v>39</v>
      </c>
      <c r="R4836" s="4"/>
      <c r="S4836" s="4"/>
    </row>
    <row r="4837" spans="1:19" ht="21" customHeight="1" x14ac:dyDescent="0.25">
      <c r="A4837" s="14">
        <f>DATE(2012,12,31)-974</f>
        <v>40300</v>
      </c>
      <c r="B4837" s="15" t="s">
        <v>429</v>
      </c>
      <c r="C4837" s="15" t="s">
        <v>51</v>
      </c>
      <c r="D4837" s="16">
        <v>11</v>
      </c>
      <c r="E4837" s="17">
        <v>48.5</v>
      </c>
      <c r="F4837" s="16">
        <v>7.0000000000000007E-2</v>
      </c>
      <c r="G4837" s="15" t="s">
        <v>101</v>
      </c>
      <c r="H4837" s="18">
        <v>23.88</v>
      </c>
      <c r="I4837" s="19">
        <v>3.15</v>
      </c>
      <c r="J4837" s="19">
        <v>0.5</v>
      </c>
      <c r="K4837" s="19" t="s">
        <v>33</v>
      </c>
      <c r="L4837" s="19" t="s">
        <v>59</v>
      </c>
      <c r="M4837" s="15" t="s">
        <v>2185</v>
      </c>
      <c r="N4837" s="15" t="s">
        <v>36</v>
      </c>
      <c r="O4837" s="15" t="s">
        <v>114</v>
      </c>
      <c r="P4837" s="20" t="s">
        <v>1718</v>
      </c>
      <c r="Q4837" s="15" t="s">
        <v>83</v>
      </c>
      <c r="R4837" s="4"/>
      <c r="S4837" s="4"/>
    </row>
    <row r="4838" spans="1:19" ht="21" customHeight="1" x14ac:dyDescent="0.25">
      <c r="A4838" s="14">
        <f>DATE(2012,12,31)-94</f>
        <v>41180</v>
      </c>
      <c r="B4838" s="15" t="s">
        <v>1121</v>
      </c>
      <c r="C4838" s="15" t="s">
        <v>85</v>
      </c>
      <c r="D4838" s="16">
        <v>29</v>
      </c>
      <c r="E4838" s="17">
        <v>142.59</v>
      </c>
      <c r="F4838" s="16">
        <v>0.02</v>
      </c>
      <c r="G4838" s="15" t="s">
        <v>32</v>
      </c>
      <c r="H4838" s="18">
        <v>-3.23</v>
      </c>
      <c r="I4838" s="19">
        <v>4.71</v>
      </c>
      <c r="J4838" s="19">
        <v>0.7</v>
      </c>
      <c r="K4838" s="19" t="s">
        <v>33</v>
      </c>
      <c r="L4838" s="19" t="s">
        <v>59</v>
      </c>
      <c r="M4838" s="15" t="s">
        <v>2185</v>
      </c>
      <c r="N4838" s="15" t="s">
        <v>36</v>
      </c>
      <c r="O4838" s="15" t="s">
        <v>105</v>
      </c>
      <c r="P4838" s="20" t="s">
        <v>778</v>
      </c>
      <c r="Q4838" s="15" t="s">
        <v>79</v>
      </c>
      <c r="R4838" s="4"/>
      <c r="S4838" s="4"/>
    </row>
    <row r="4839" spans="1:19" ht="21" customHeight="1" x14ac:dyDescent="0.25">
      <c r="A4839" s="14">
        <f>DATE(2012,12,31)-884</f>
        <v>40390</v>
      </c>
      <c r="B4839" s="15" t="s">
        <v>2133</v>
      </c>
      <c r="C4839" s="15" t="s">
        <v>31</v>
      </c>
      <c r="D4839" s="16">
        <v>41</v>
      </c>
      <c r="E4839" s="17">
        <v>1484.89</v>
      </c>
      <c r="F4839" s="16">
        <v>0.03</v>
      </c>
      <c r="G4839" s="15" t="s">
        <v>32</v>
      </c>
      <c r="H4839" s="18">
        <v>220.99</v>
      </c>
      <c r="I4839" s="19">
        <v>35.89</v>
      </c>
      <c r="J4839" s="19">
        <v>14.72</v>
      </c>
      <c r="K4839" s="19" t="s">
        <v>33</v>
      </c>
      <c r="L4839" s="19" t="s">
        <v>34</v>
      </c>
      <c r="M4839" s="15" t="s">
        <v>2043</v>
      </c>
      <c r="N4839" s="15" t="s">
        <v>36</v>
      </c>
      <c r="O4839" s="15" t="s">
        <v>189</v>
      </c>
      <c r="P4839" s="20" t="s">
        <v>1677</v>
      </c>
      <c r="Q4839" s="15" t="s">
        <v>83</v>
      </c>
      <c r="R4839" s="4"/>
      <c r="S4839" s="4"/>
    </row>
    <row r="4840" spans="1:19" ht="21" customHeight="1" x14ac:dyDescent="0.25">
      <c r="A4840" s="14">
        <f>DATE(2012,12,31)-1364</f>
        <v>39910</v>
      </c>
      <c r="B4840" s="15" t="s">
        <v>1894</v>
      </c>
      <c r="C4840" s="15" t="s">
        <v>43</v>
      </c>
      <c r="D4840" s="16">
        <v>20</v>
      </c>
      <c r="E4840" s="17">
        <v>244.39</v>
      </c>
      <c r="F4840" s="16">
        <v>0.08</v>
      </c>
      <c r="G4840" s="15" t="s">
        <v>32</v>
      </c>
      <c r="H4840" s="18">
        <v>114.1</v>
      </c>
      <c r="I4840" s="19">
        <v>12.53</v>
      </c>
      <c r="J4840" s="19">
        <v>0.5</v>
      </c>
      <c r="K4840" s="19" t="s">
        <v>33</v>
      </c>
      <c r="L4840" s="19" t="s">
        <v>59</v>
      </c>
      <c r="M4840" s="15" t="s">
        <v>2185</v>
      </c>
      <c r="N4840" s="15" t="s">
        <v>36</v>
      </c>
      <c r="O4840" s="15" t="s">
        <v>114</v>
      </c>
      <c r="P4840" s="20" t="s">
        <v>1896</v>
      </c>
      <c r="Q4840" s="15" t="s">
        <v>83</v>
      </c>
      <c r="R4840" s="4"/>
      <c r="S4840" s="4"/>
    </row>
    <row r="4841" spans="1:19" ht="21" customHeight="1" x14ac:dyDescent="0.25">
      <c r="A4841" s="14">
        <f>DATE(2012,12,31)-1364</f>
        <v>39910</v>
      </c>
      <c r="B4841" s="15" t="s">
        <v>1894</v>
      </c>
      <c r="C4841" s="15" t="s">
        <v>43</v>
      </c>
      <c r="D4841" s="16">
        <v>3</v>
      </c>
      <c r="E4841" s="17">
        <v>581.41999999999996</v>
      </c>
      <c r="F4841" s="16">
        <v>0.02</v>
      </c>
      <c r="G4841" s="15" t="s">
        <v>32</v>
      </c>
      <c r="H4841" s="18">
        <v>-129.97</v>
      </c>
      <c r="I4841" s="19">
        <v>178.47</v>
      </c>
      <c r="J4841" s="19">
        <v>19.989999999999998</v>
      </c>
      <c r="K4841" s="19" t="s">
        <v>33</v>
      </c>
      <c r="L4841" s="19" t="s">
        <v>145</v>
      </c>
      <c r="M4841" s="15" t="s">
        <v>2140</v>
      </c>
      <c r="N4841" s="15" t="s">
        <v>36</v>
      </c>
      <c r="O4841" s="15" t="s">
        <v>37</v>
      </c>
      <c r="P4841" s="20" t="s">
        <v>232</v>
      </c>
      <c r="Q4841" s="15" t="s">
        <v>83</v>
      </c>
      <c r="R4841" s="4"/>
      <c r="S4841" s="4"/>
    </row>
    <row r="4842" spans="1:19" ht="21" customHeight="1" x14ac:dyDescent="0.25">
      <c r="A4842" s="14">
        <f>DATE(2012,12,31)-602</f>
        <v>40672</v>
      </c>
      <c r="B4842" s="15" t="s">
        <v>1360</v>
      </c>
      <c r="C4842" s="15" t="s">
        <v>43</v>
      </c>
      <c r="D4842" s="16">
        <v>16</v>
      </c>
      <c r="E4842" s="17">
        <v>32.35</v>
      </c>
      <c r="F4842" s="16">
        <v>0.08</v>
      </c>
      <c r="G4842" s="15" t="s">
        <v>32</v>
      </c>
      <c r="H4842" s="18">
        <v>-63.192500000000003</v>
      </c>
      <c r="I4842" s="19">
        <v>1.8</v>
      </c>
      <c r="J4842" s="19">
        <v>4.79</v>
      </c>
      <c r="K4842" s="19" t="s">
        <v>33</v>
      </c>
      <c r="L4842" s="19" t="s">
        <v>128</v>
      </c>
      <c r="M4842" s="15" t="s">
        <v>129</v>
      </c>
      <c r="N4842" s="15" t="s">
        <v>36</v>
      </c>
      <c r="O4842" s="15" t="s">
        <v>170</v>
      </c>
      <c r="P4842" s="20" t="s">
        <v>2157</v>
      </c>
      <c r="Q4842" s="15" t="s">
        <v>83</v>
      </c>
      <c r="R4842" s="4"/>
      <c r="S4842" s="4"/>
    </row>
    <row r="4843" spans="1:19" ht="21" customHeight="1" x14ac:dyDescent="0.25">
      <c r="A4843" s="14">
        <f>DATE(2012,12,31)-602</f>
        <v>40672</v>
      </c>
      <c r="B4843" s="15" t="s">
        <v>1360</v>
      </c>
      <c r="C4843" s="15" t="s">
        <v>43</v>
      </c>
      <c r="D4843" s="16">
        <v>23</v>
      </c>
      <c r="E4843" s="17">
        <v>116.56</v>
      </c>
      <c r="F4843" s="16">
        <v>0.04</v>
      </c>
      <c r="G4843" s="15" t="s">
        <v>32</v>
      </c>
      <c r="H4843" s="18">
        <v>50.66</v>
      </c>
      <c r="I4843" s="19">
        <v>4.9800000000000004</v>
      </c>
      <c r="J4843" s="19">
        <v>0.49</v>
      </c>
      <c r="K4843" s="19" t="s">
        <v>69</v>
      </c>
      <c r="L4843" s="19" t="s">
        <v>70</v>
      </c>
      <c r="M4843" s="15" t="s">
        <v>1895</v>
      </c>
      <c r="N4843" s="15" t="s">
        <v>36</v>
      </c>
      <c r="O4843" s="15" t="s">
        <v>114</v>
      </c>
      <c r="P4843" s="20" t="s">
        <v>304</v>
      </c>
      <c r="Q4843" s="15" t="s">
        <v>83</v>
      </c>
      <c r="R4843" s="4"/>
      <c r="S4843" s="4"/>
    </row>
    <row r="4844" spans="1:19" ht="21" customHeight="1" x14ac:dyDescent="0.25">
      <c r="A4844" s="14">
        <f>DATE(2012,12,31)-1244</f>
        <v>40030</v>
      </c>
      <c r="B4844" s="15" t="s">
        <v>142</v>
      </c>
      <c r="C4844" s="15" t="s">
        <v>31</v>
      </c>
      <c r="D4844" s="16">
        <v>42</v>
      </c>
      <c r="E4844" s="17">
        <v>447.36</v>
      </c>
      <c r="F4844" s="16">
        <v>0.01</v>
      </c>
      <c r="G4844" s="15" t="s">
        <v>32</v>
      </c>
      <c r="H4844" s="18">
        <v>40.92</v>
      </c>
      <c r="I4844" s="19">
        <v>10.48</v>
      </c>
      <c r="J4844" s="19">
        <v>2.89</v>
      </c>
      <c r="K4844" s="19" t="s">
        <v>69</v>
      </c>
      <c r="L4844" s="19" t="s">
        <v>70</v>
      </c>
      <c r="M4844" s="15" t="s">
        <v>1895</v>
      </c>
      <c r="N4844" s="15" t="s">
        <v>36</v>
      </c>
      <c r="O4844" s="15" t="s">
        <v>77</v>
      </c>
      <c r="P4844" s="20" t="s">
        <v>1753</v>
      </c>
      <c r="Q4844" s="15" t="s">
        <v>49</v>
      </c>
      <c r="R4844" s="4"/>
      <c r="S4844" s="4"/>
    </row>
    <row r="4845" spans="1:19" ht="21" customHeight="1" x14ac:dyDescent="0.25">
      <c r="A4845" s="14">
        <f>DATE(2012,12,31)-751</f>
        <v>40523</v>
      </c>
      <c r="B4845" s="15" t="s">
        <v>288</v>
      </c>
      <c r="C4845" s="15" t="s">
        <v>51</v>
      </c>
      <c r="D4845" s="16">
        <v>28</v>
      </c>
      <c r="E4845" s="17">
        <v>588.54</v>
      </c>
      <c r="F4845" s="16">
        <v>0.04</v>
      </c>
      <c r="G4845" s="15" t="s">
        <v>32</v>
      </c>
      <c r="H4845" s="18">
        <v>-30.72</v>
      </c>
      <c r="I4845" s="19">
        <v>20.149999999999999</v>
      </c>
      <c r="J4845" s="19">
        <v>8.99</v>
      </c>
      <c r="K4845" s="19" t="s">
        <v>69</v>
      </c>
      <c r="L4845" s="19" t="s">
        <v>70</v>
      </c>
      <c r="M4845" s="15" t="s">
        <v>1895</v>
      </c>
      <c r="N4845" s="15" t="s">
        <v>36</v>
      </c>
      <c r="O4845" s="15" t="s">
        <v>77</v>
      </c>
      <c r="P4845" s="20" t="s">
        <v>897</v>
      </c>
      <c r="Q4845" s="15" t="s">
        <v>49</v>
      </c>
      <c r="R4845" s="4"/>
      <c r="S4845" s="4"/>
    </row>
    <row r="4846" spans="1:19" ht="21" customHeight="1" x14ac:dyDescent="0.25">
      <c r="A4846" s="14">
        <f>DATE(2012,12,31)-334</f>
        <v>40940</v>
      </c>
      <c r="B4846" s="15" t="s">
        <v>2182</v>
      </c>
      <c r="C4846" s="15" t="s">
        <v>85</v>
      </c>
      <c r="D4846" s="16">
        <v>31</v>
      </c>
      <c r="E4846" s="17">
        <v>2966.13</v>
      </c>
      <c r="F4846" s="16">
        <v>0.08</v>
      </c>
      <c r="G4846" s="15" t="s">
        <v>58</v>
      </c>
      <c r="H4846" s="18">
        <v>-1456.31</v>
      </c>
      <c r="I4846" s="19">
        <v>100.98</v>
      </c>
      <c r="J4846" s="19">
        <v>57.38</v>
      </c>
      <c r="K4846" s="19" t="s">
        <v>69</v>
      </c>
      <c r="L4846" s="19" t="s">
        <v>70</v>
      </c>
      <c r="M4846" s="15" t="s">
        <v>1895</v>
      </c>
      <c r="N4846" s="15" t="s">
        <v>54</v>
      </c>
      <c r="O4846" s="15" t="s">
        <v>134</v>
      </c>
      <c r="P4846" s="20" t="s">
        <v>624</v>
      </c>
      <c r="Q4846" s="15" t="s">
        <v>63</v>
      </c>
      <c r="R4846" s="4"/>
      <c r="S4846" s="4"/>
    </row>
    <row r="4847" spans="1:19" ht="21" customHeight="1" x14ac:dyDescent="0.25">
      <c r="A4847" s="14">
        <f>DATE(2012,12,31)-1392</f>
        <v>39882</v>
      </c>
      <c r="B4847" s="15" t="s">
        <v>1378</v>
      </c>
      <c r="C4847" s="15" t="s">
        <v>85</v>
      </c>
      <c r="D4847" s="16">
        <v>36</v>
      </c>
      <c r="E4847" s="17">
        <v>175.35</v>
      </c>
      <c r="F4847" s="16">
        <v>0.1</v>
      </c>
      <c r="G4847" s="15" t="s">
        <v>32</v>
      </c>
      <c r="H4847" s="18">
        <v>-174.18</v>
      </c>
      <c r="I4847" s="19">
        <v>4.9800000000000004</v>
      </c>
      <c r="J4847" s="19">
        <v>7.54</v>
      </c>
      <c r="K4847" s="19" t="s">
        <v>69</v>
      </c>
      <c r="L4847" s="19" t="s">
        <v>70</v>
      </c>
      <c r="M4847" s="15" t="s">
        <v>1895</v>
      </c>
      <c r="N4847" s="15" t="s">
        <v>36</v>
      </c>
      <c r="O4847" s="15" t="s">
        <v>117</v>
      </c>
      <c r="P4847" s="20" t="s">
        <v>2107</v>
      </c>
      <c r="Q4847" s="15" t="s">
        <v>83</v>
      </c>
      <c r="R4847" s="4"/>
      <c r="S4847" s="4"/>
    </row>
    <row r="4848" spans="1:19" ht="21" customHeight="1" x14ac:dyDescent="0.25">
      <c r="A4848" s="14">
        <f>DATE(2012,12,31)-1392</f>
        <v>39882</v>
      </c>
      <c r="B4848" s="15" t="s">
        <v>1378</v>
      </c>
      <c r="C4848" s="15" t="s">
        <v>85</v>
      </c>
      <c r="D4848" s="16">
        <v>25</v>
      </c>
      <c r="E4848" s="17">
        <v>590.6</v>
      </c>
      <c r="F4848" s="16">
        <v>0</v>
      </c>
      <c r="G4848" s="15" t="s">
        <v>32</v>
      </c>
      <c r="H4848" s="18">
        <v>117.73</v>
      </c>
      <c r="I4848" s="19">
        <v>22.84</v>
      </c>
      <c r="J4848" s="19">
        <v>8.18</v>
      </c>
      <c r="K4848" s="19" t="s">
        <v>69</v>
      </c>
      <c r="L4848" s="19" t="s">
        <v>75</v>
      </c>
      <c r="M4848" s="15" t="s">
        <v>2202</v>
      </c>
      <c r="N4848" s="15" t="s">
        <v>36</v>
      </c>
      <c r="O4848" s="15" t="s">
        <v>117</v>
      </c>
      <c r="P4848" s="20" t="s">
        <v>1489</v>
      </c>
      <c r="Q4848" s="15" t="s">
        <v>83</v>
      </c>
      <c r="R4848" s="4"/>
      <c r="S4848" s="4"/>
    </row>
    <row r="4849" spans="1:19" ht="21" customHeight="1" x14ac:dyDescent="0.25">
      <c r="A4849" s="14">
        <f>DATE(2012,12,31)-1415</f>
        <v>39859</v>
      </c>
      <c r="B4849" s="15" t="s">
        <v>1129</v>
      </c>
      <c r="C4849" s="15" t="s">
        <v>31</v>
      </c>
      <c r="D4849" s="16">
        <v>4</v>
      </c>
      <c r="E4849" s="17">
        <v>47.12</v>
      </c>
      <c r="F4849" s="16">
        <v>0.09</v>
      </c>
      <c r="G4849" s="15" t="s">
        <v>101</v>
      </c>
      <c r="H4849" s="18">
        <v>10.8</v>
      </c>
      <c r="I4849" s="19">
        <v>8.74</v>
      </c>
      <c r="J4849" s="19">
        <v>1.39</v>
      </c>
      <c r="K4849" s="19" t="s">
        <v>69</v>
      </c>
      <c r="L4849" s="19" t="s">
        <v>75</v>
      </c>
      <c r="M4849" s="15" t="s">
        <v>2202</v>
      </c>
      <c r="N4849" s="15" t="s">
        <v>36</v>
      </c>
      <c r="O4849" s="15" t="s">
        <v>189</v>
      </c>
      <c r="P4849" s="20" t="s">
        <v>581</v>
      </c>
      <c r="Q4849" s="15" t="s">
        <v>83</v>
      </c>
      <c r="R4849" s="4"/>
      <c r="S4849" s="4"/>
    </row>
    <row r="4850" spans="1:19" ht="21" customHeight="1" x14ac:dyDescent="0.25">
      <c r="A4850" s="14">
        <f>DATE(2012,12,31)-1415</f>
        <v>39859</v>
      </c>
      <c r="B4850" s="15" t="s">
        <v>1129</v>
      </c>
      <c r="C4850" s="15" t="s">
        <v>31</v>
      </c>
      <c r="D4850" s="16">
        <v>3</v>
      </c>
      <c r="E4850" s="17">
        <v>62.89</v>
      </c>
      <c r="F4850" s="16">
        <v>0.09</v>
      </c>
      <c r="G4850" s="15" t="s">
        <v>32</v>
      </c>
      <c r="H4850" s="18">
        <v>-23.2</v>
      </c>
      <c r="I4850" s="19">
        <v>18.97</v>
      </c>
      <c r="J4850" s="19">
        <v>9.0299999999999994</v>
      </c>
      <c r="K4850" s="19" t="s">
        <v>69</v>
      </c>
      <c r="L4850" s="19" t="s">
        <v>70</v>
      </c>
      <c r="M4850" s="15" t="s">
        <v>1895</v>
      </c>
      <c r="N4850" s="15" t="s">
        <v>36</v>
      </c>
      <c r="O4850" s="15" t="s">
        <v>117</v>
      </c>
      <c r="P4850" s="20" t="s">
        <v>127</v>
      </c>
      <c r="Q4850" s="15" t="s">
        <v>83</v>
      </c>
      <c r="R4850" s="4"/>
      <c r="S4850" s="4"/>
    </row>
    <row r="4851" spans="1:19" ht="21" customHeight="1" x14ac:dyDescent="0.25">
      <c r="A4851" s="14">
        <f>DATE(2012,12,31)-897</f>
        <v>40377</v>
      </c>
      <c r="B4851" s="15" t="s">
        <v>1645</v>
      </c>
      <c r="C4851" s="15" t="s">
        <v>85</v>
      </c>
      <c r="D4851" s="16">
        <v>2</v>
      </c>
      <c r="E4851" s="17">
        <v>555.67999999999995</v>
      </c>
      <c r="F4851" s="16">
        <v>0.01</v>
      </c>
      <c r="G4851" s="15" t="s">
        <v>58</v>
      </c>
      <c r="H4851" s="18">
        <v>-336.3</v>
      </c>
      <c r="I4851" s="19">
        <v>243.98</v>
      </c>
      <c r="J4851" s="19">
        <v>62.94</v>
      </c>
      <c r="K4851" s="19" t="s">
        <v>69</v>
      </c>
      <c r="L4851" s="19" t="s">
        <v>70</v>
      </c>
      <c r="M4851" s="15" t="s">
        <v>1895</v>
      </c>
      <c r="N4851" s="15" t="s">
        <v>54</v>
      </c>
      <c r="O4851" s="15" t="s">
        <v>252</v>
      </c>
      <c r="P4851" s="20" t="s">
        <v>1316</v>
      </c>
      <c r="Q4851" s="15" t="s">
        <v>181</v>
      </c>
      <c r="R4851" s="4"/>
      <c r="S4851" s="4"/>
    </row>
    <row r="4852" spans="1:19" ht="21" customHeight="1" x14ac:dyDescent="0.25">
      <c r="A4852" s="14">
        <f>DATE(2012,12,31)-854</f>
        <v>40420</v>
      </c>
      <c r="B4852" s="15" t="s">
        <v>1700</v>
      </c>
      <c r="C4852" s="15" t="s">
        <v>31</v>
      </c>
      <c r="D4852" s="16">
        <v>22</v>
      </c>
      <c r="E4852" s="17">
        <v>1516.13</v>
      </c>
      <c r="F4852" s="16">
        <v>0.06</v>
      </c>
      <c r="G4852" s="15" t="s">
        <v>101</v>
      </c>
      <c r="H4852" s="18">
        <v>493.03</v>
      </c>
      <c r="I4852" s="19">
        <v>67.84</v>
      </c>
      <c r="J4852" s="19">
        <v>0.99</v>
      </c>
      <c r="K4852" s="19" t="s">
        <v>69</v>
      </c>
      <c r="L4852" s="19" t="s">
        <v>70</v>
      </c>
      <c r="M4852" s="15" t="s">
        <v>1895</v>
      </c>
      <c r="N4852" s="15" t="s">
        <v>36</v>
      </c>
      <c r="O4852" s="15" t="s">
        <v>176</v>
      </c>
      <c r="P4852" s="20" t="s">
        <v>2021</v>
      </c>
      <c r="Q4852" s="15" t="s">
        <v>83</v>
      </c>
      <c r="R4852" s="4"/>
      <c r="S4852" s="4"/>
    </row>
    <row r="4853" spans="1:19" ht="21" customHeight="1" x14ac:dyDescent="0.25">
      <c r="A4853" s="14">
        <f>DATE(2012,12,31)-854</f>
        <v>40420</v>
      </c>
      <c r="B4853" s="15" t="s">
        <v>1700</v>
      </c>
      <c r="C4853" s="15" t="s">
        <v>31</v>
      </c>
      <c r="D4853" s="16">
        <v>38</v>
      </c>
      <c r="E4853" s="17">
        <v>612.49</v>
      </c>
      <c r="F4853" s="16">
        <v>0.09</v>
      </c>
      <c r="G4853" s="15" t="s">
        <v>32</v>
      </c>
      <c r="H4853" s="18">
        <v>168.04</v>
      </c>
      <c r="I4853" s="19">
        <v>17.48</v>
      </c>
      <c r="J4853" s="19">
        <v>1.99</v>
      </c>
      <c r="K4853" s="19" t="s">
        <v>69</v>
      </c>
      <c r="L4853" s="19" t="s">
        <v>75</v>
      </c>
      <c r="M4853" s="15" t="s">
        <v>2202</v>
      </c>
      <c r="N4853" s="15" t="s">
        <v>64</v>
      </c>
      <c r="O4853" s="15" t="s">
        <v>72</v>
      </c>
      <c r="P4853" s="20" t="s">
        <v>1262</v>
      </c>
      <c r="Q4853" s="15" t="s">
        <v>49</v>
      </c>
      <c r="R4853" s="4"/>
      <c r="S4853" s="4"/>
    </row>
    <row r="4854" spans="1:19" ht="21" customHeight="1" x14ac:dyDescent="0.25">
      <c r="A4854" s="14">
        <f>DATE(2012,12,31)-854</f>
        <v>40420</v>
      </c>
      <c r="B4854" s="15" t="s">
        <v>1700</v>
      </c>
      <c r="C4854" s="15" t="s">
        <v>31</v>
      </c>
      <c r="D4854" s="16">
        <v>7</v>
      </c>
      <c r="E4854" s="17">
        <v>1092.42</v>
      </c>
      <c r="F4854" s="16">
        <v>0.03</v>
      </c>
      <c r="G4854" s="15" t="s">
        <v>58</v>
      </c>
      <c r="H4854" s="18">
        <v>-364.87336600000009</v>
      </c>
      <c r="I4854" s="19">
        <v>150.97999999999999</v>
      </c>
      <c r="J4854" s="19">
        <v>16.010000000000002</v>
      </c>
      <c r="K4854" s="19" t="s">
        <v>69</v>
      </c>
      <c r="L4854" s="19" t="s">
        <v>70</v>
      </c>
      <c r="M4854" s="15" t="s">
        <v>1895</v>
      </c>
      <c r="N4854" s="15" t="s">
        <v>54</v>
      </c>
      <c r="O4854" s="15" t="s">
        <v>61</v>
      </c>
      <c r="P4854" s="20" t="s">
        <v>941</v>
      </c>
      <c r="Q4854" s="15" t="s">
        <v>63</v>
      </c>
      <c r="R4854" s="4"/>
      <c r="S4854" s="4"/>
    </row>
    <row r="4855" spans="1:19" ht="21" customHeight="1" x14ac:dyDescent="0.25">
      <c r="A4855" s="14">
        <f>DATE(2012,12,31)-20</f>
        <v>41254</v>
      </c>
      <c r="B4855" s="15" t="s">
        <v>455</v>
      </c>
      <c r="C4855" s="15" t="s">
        <v>31</v>
      </c>
      <c r="D4855" s="16">
        <v>41</v>
      </c>
      <c r="E4855" s="17">
        <v>1234.3599999999999</v>
      </c>
      <c r="F4855" s="16">
        <v>0.04</v>
      </c>
      <c r="G4855" s="15" t="s">
        <v>101</v>
      </c>
      <c r="H4855" s="18">
        <v>-84.77</v>
      </c>
      <c r="I4855" s="19">
        <v>30.98</v>
      </c>
      <c r="J4855" s="19">
        <v>19.510000000000002</v>
      </c>
      <c r="K4855" s="19" t="s">
        <v>69</v>
      </c>
      <c r="L4855" s="19" t="s">
        <v>70</v>
      </c>
      <c r="M4855" s="15" t="s">
        <v>1895</v>
      </c>
      <c r="N4855" s="15" t="s">
        <v>36</v>
      </c>
      <c r="O4855" s="15" t="s">
        <v>189</v>
      </c>
      <c r="P4855" s="20" t="s">
        <v>1315</v>
      </c>
      <c r="Q4855" s="15" t="s">
        <v>83</v>
      </c>
      <c r="R4855" s="4"/>
      <c r="S4855" s="4"/>
    </row>
    <row r="4856" spans="1:19" ht="21" customHeight="1" x14ac:dyDescent="0.25">
      <c r="A4856" s="14">
        <f>DATE(2012,12,31)-860</f>
        <v>40414</v>
      </c>
      <c r="B4856" s="15" t="s">
        <v>500</v>
      </c>
      <c r="C4856" s="15" t="s">
        <v>31</v>
      </c>
      <c r="D4856" s="16">
        <v>22</v>
      </c>
      <c r="E4856" s="17">
        <v>561.91999999999996</v>
      </c>
      <c r="F4856" s="16">
        <v>0.1</v>
      </c>
      <c r="G4856" s="15" t="s">
        <v>32</v>
      </c>
      <c r="H4856" s="18">
        <v>57.82</v>
      </c>
      <c r="I4856" s="19">
        <v>28.38</v>
      </c>
      <c r="J4856" s="19">
        <v>1.99</v>
      </c>
      <c r="K4856" s="19" t="s">
        <v>69</v>
      </c>
      <c r="L4856" s="19" t="s">
        <v>70</v>
      </c>
      <c r="M4856" s="15" t="s">
        <v>1895</v>
      </c>
      <c r="N4856" s="15" t="s">
        <v>64</v>
      </c>
      <c r="O4856" s="15" t="s">
        <v>72</v>
      </c>
      <c r="P4856" s="20" t="s">
        <v>2144</v>
      </c>
      <c r="Q4856" s="15" t="s">
        <v>49</v>
      </c>
      <c r="R4856" s="4"/>
      <c r="S4856" s="4"/>
    </row>
    <row r="4857" spans="1:19" ht="21" customHeight="1" x14ac:dyDescent="0.25">
      <c r="A4857" s="14">
        <f>DATE(2012,12,31)-860</f>
        <v>40414</v>
      </c>
      <c r="B4857" s="15" t="s">
        <v>500</v>
      </c>
      <c r="C4857" s="15" t="s">
        <v>31</v>
      </c>
      <c r="D4857" s="16">
        <v>19</v>
      </c>
      <c r="E4857" s="17">
        <v>365.64</v>
      </c>
      <c r="F4857" s="16">
        <v>0.03</v>
      </c>
      <c r="G4857" s="15" t="s">
        <v>32</v>
      </c>
      <c r="H4857" s="18">
        <v>22.77</v>
      </c>
      <c r="I4857" s="19">
        <v>18.97</v>
      </c>
      <c r="J4857" s="19">
        <v>9.0299999999999994</v>
      </c>
      <c r="K4857" s="19" t="s">
        <v>69</v>
      </c>
      <c r="L4857" s="19" t="s">
        <v>70</v>
      </c>
      <c r="M4857" s="15" t="s">
        <v>1895</v>
      </c>
      <c r="N4857" s="15" t="s">
        <v>36</v>
      </c>
      <c r="O4857" s="15" t="s">
        <v>117</v>
      </c>
      <c r="P4857" s="20" t="s">
        <v>127</v>
      </c>
      <c r="Q4857" s="15" t="s">
        <v>83</v>
      </c>
      <c r="R4857" s="4"/>
      <c r="S4857" s="4"/>
    </row>
    <row r="4858" spans="1:19" ht="21" customHeight="1" x14ac:dyDescent="0.25">
      <c r="A4858" s="14">
        <f>DATE(2012,12,31)-1267</f>
        <v>40007</v>
      </c>
      <c r="B4858" s="15" t="s">
        <v>140</v>
      </c>
      <c r="C4858" s="15" t="s">
        <v>85</v>
      </c>
      <c r="D4858" s="16">
        <v>47</v>
      </c>
      <c r="E4858" s="17">
        <v>4815.8620000000001</v>
      </c>
      <c r="F4858" s="16">
        <v>0.08</v>
      </c>
      <c r="G4858" s="15" t="s">
        <v>32</v>
      </c>
      <c r="H4858" s="18">
        <v>1316.79</v>
      </c>
      <c r="I4858" s="19">
        <v>125.99</v>
      </c>
      <c r="J4858" s="19">
        <v>4.2</v>
      </c>
      <c r="K4858" s="19" t="s">
        <v>69</v>
      </c>
      <c r="L4858" s="19" t="s">
        <v>215</v>
      </c>
      <c r="M4858" s="15" t="s">
        <v>2197</v>
      </c>
      <c r="N4858" s="15" t="s">
        <v>64</v>
      </c>
      <c r="O4858" s="15" t="s">
        <v>65</v>
      </c>
      <c r="P4858" s="20" t="s">
        <v>1382</v>
      </c>
      <c r="Q4858" s="15" t="s">
        <v>83</v>
      </c>
      <c r="R4858" s="4"/>
      <c r="S4858" s="4"/>
    </row>
    <row r="4859" spans="1:19" ht="21" customHeight="1" x14ac:dyDescent="0.25">
      <c r="A4859" s="14">
        <f>DATE(2012,12,31)-1345</f>
        <v>39929</v>
      </c>
      <c r="B4859" s="15" t="s">
        <v>2005</v>
      </c>
      <c r="C4859" s="15" t="s">
        <v>31</v>
      </c>
      <c r="D4859" s="16">
        <v>18</v>
      </c>
      <c r="E4859" s="17">
        <v>3344.11</v>
      </c>
      <c r="F4859" s="16">
        <v>0.03</v>
      </c>
      <c r="G4859" s="15" t="s">
        <v>58</v>
      </c>
      <c r="H4859" s="18">
        <v>588.54</v>
      </c>
      <c r="I4859" s="19">
        <v>180.98</v>
      </c>
      <c r="J4859" s="19">
        <v>26.2</v>
      </c>
      <c r="K4859" s="19" t="s">
        <v>69</v>
      </c>
      <c r="L4859" s="19" t="s">
        <v>215</v>
      </c>
      <c r="M4859" s="15" t="s">
        <v>2197</v>
      </c>
      <c r="N4859" s="15" t="s">
        <v>54</v>
      </c>
      <c r="O4859" s="15" t="s">
        <v>252</v>
      </c>
      <c r="P4859" s="20" t="s">
        <v>1499</v>
      </c>
      <c r="Q4859" s="15" t="s">
        <v>181</v>
      </c>
      <c r="R4859" s="4"/>
      <c r="S4859" s="4"/>
    </row>
    <row r="4860" spans="1:19" ht="21" customHeight="1" x14ac:dyDescent="0.25">
      <c r="A4860" s="14">
        <f>DATE(2012,12,31)-165</f>
        <v>41109</v>
      </c>
      <c r="B4860" s="15" t="s">
        <v>340</v>
      </c>
      <c r="C4860" s="15" t="s">
        <v>85</v>
      </c>
      <c r="D4860" s="16">
        <v>12</v>
      </c>
      <c r="E4860" s="17">
        <v>488.65</v>
      </c>
      <c r="F4860" s="16">
        <v>7.0000000000000007E-2</v>
      </c>
      <c r="G4860" s="15" t="s">
        <v>32</v>
      </c>
      <c r="H4860" s="18">
        <v>19.829999999999998</v>
      </c>
      <c r="I4860" s="19">
        <v>40.99</v>
      </c>
      <c r="J4860" s="19">
        <v>17.48</v>
      </c>
      <c r="K4860" s="19" t="s">
        <v>69</v>
      </c>
      <c r="L4860" s="19" t="s">
        <v>215</v>
      </c>
      <c r="M4860" s="15" t="s">
        <v>2197</v>
      </c>
      <c r="N4860" s="15" t="s">
        <v>36</v>
      </c>
      <c r="O4860" s="15" t="s">
        <v>117</v>
      </c>
      <c r="P4860" s="20" t="s">
        <v>583</v>
      </c>
      <c r="Q4860" s="15" t="s">
        <v>83</v>
      </c>
      <c r="R4860" s="4"/>
      <c r="S4860" s="4"/>
    </row>
    <row r="4861" spans="1:19" ht="21" customHeight="1" x14ac:dyDescent="0.25">
      <c r="A4861" s="14">
        <f>DATE(2012,12,31)-488</f>
        <v>40786</v>
      </c>
      <c r="B4861" s="15" t="s">
        <v>572</v>
      </c>
      <c r="C4861" s="15" t="s">
        <v>85</v>
      </c>
      <c r="D4861" s="16">
        <v>39</v>
      </c>
      <c r="E4861" s="17">
        <v>302.08999999999997</v>
      </c>
      <c r="F4861" s="16">
        <v>0.05</v>
      </c>
      <c r="G4861" s="15" t="s">
        <v>32</v>
      </c>
      <c r="H4861" s="18">
        <v>-67.091000000000008</v>
      </c>
      <c r="I4861" s="19">
        <v>7.68</v>
      </c>
      <c r="J4861" s="19">
        <v>6.16</v>
      </c>
      <c r="K4861" s="19" t="s">
        <v>69</v>
      </c>
      <c r="L4861" s="19" t="s">
        <v>215</v>
      </c>
      <c r="M4861" s="15" t="s">
        <v>2197</v>
      </c>
      <c r="N4861" s="15" t="s">
        <v>36</v>
      </c>
      <c r="O4861" s="15" t="s">
        <v>170</v>
      </c>
      <c r="P4861" s="20" t="s">
        <v>1201</v>
      </c>
      <c r="Q4861" s="15" t="s">
        <v>83</v>
      </c>
      <c r="R4861" s="4"/>
      <c r="S4861" s="4"/>
    </row>
    <row r="4862" spans="1:19" ht="21" customHeight="1" x14ac:dyDescent="0.25">
      <c r="A4862" s="14">
        <f>DATE(2012,12,31)-746</f>
        <v>40528</v>
      </c>
      <c r="B4862" s="15" t="s">
        <v>149</v>
      </c>
      <c r="C4862" s="15" t="s">
        <v>85</v>
      </c>
      <c r="D4862" s="16">
        <v>8</v>
      </c>
      <c r="E4862" s="17">
        <v>849.33699999999999</v>
      </c>
      <c r="F4862" s="16">
        <v>7.0000000000000007E-2</v>
      </c>
      <c r="G4862" s="15" t="s">
        <v>101</v>
      </c>
      <c r="H4862" s="18">
        <v>-258.85199999999998</v>
      </c>
      <c r="I4862" s="19">
        <v>125.99</v>
      </c>
      <c r="J4862" s="19">
        <v>2.5</v>
      </c>
      <c r="K4862" s="19" t="s">
        <v>111</v>
      </c>
      <c r="L4862" s="19" t="s">
        <v>258</v>
      </c>
      <c r="M4862" s="15" t="s">
        <v>259</v>
      </c>
      <c r="N4862" s="15" t="s">
        <v>64</v>
      </c>
      <c r="O4862" s="15" t="s">
        <v>65</v>
      </c>
      <c r="P4862" s="20" t="s">
        <v>1835</v>
      </c>
      <c r="Q4862" s="15" t="s">
        <v>83</v>
      </c>
      <c r="R4862" s="4"/>
      <c r="S4862" s="4"/>
    </row>
    <row r="4863" spans="1:19" ht="21" customHeight="1" x14ac:dyDescent="0.25">
      <c r="A4863" s="14">
        <f>DATE(2012,12,31)-1034</f>
        <v>40240</v>
      </c>
      <c r="B4863" s="15" t="s">
        <v>1023</v>
      </c>
      <c r="C4863" s="15" t="s">
        <v>31</v>
      </c>
      <c r="D4863" s="16">
        <v>26</v>
      </c>
      <c r="E4863" s="17">
        <v>191.55</v>
      </c>
      <c r="F4863" s="16">
        <v>0.08</v>
      </c>
      <c r="G4863" s="15" t="s">
        <v>32</v>
      </c>
      <c r="H4863" s="18">
        <v>7.17</v>
      </c>
      <c r="I4863" s="19">
        <v>7.7</v>
      </c>
      <c r="J4863" s="19">
        <v>3.68</v>
      </c>
      <c r="K4863" s="19" t="s">
        <v>111</v>
      </c>
      <c r="L4863" s="19" t="s">
        <v>442</v>
      </c>
      <c r="M4863" s="15" t="s">
        <v>2010</v>
      </c>
      <c r="N4863" s="15" t="s">
        <v>54</v>
      </c>
      <c r="O4863" s="15" t="s">
        <v>55</v>
      </c>
      <c r="P4863" s="20" t="s">
        <v>978</v>
      </c>
      <c r="Q4863" s="15" t="s">
        <v>79</v>
      </c>
      <c r="R4863" s="4"/>
      <c r="S4863" s="4"/>
    </row>
    <row r="4864" spans="1:19" ht="21" customHeight="1" x14ac:dyDescent="0.25">
      <c r="A4864" s="14">
        <f>DATE(2012,12,31)-1034</f>
        <v>40240</v>
      </c>
      <c r="B4864" s="15" t="s">
        <v>1023</v>
      </c>
      <c r="C4864" s="15" t="s">
        <v>31</v>
      </c>
      <c r="D4864" s="16">
        <v>29</v>
      </c>
      <c r="E4864" s="17">
        <v>938.86</v>
      </c>
      <c r="F4864" s="16">
        <v>0.05</v>
      </c>
      <c r="G4864" s="15" t="s">
        <v>32</v>
      </c>
      <c r="H4864" s="18">
        <v>22.21</v>
      </c>
      <c r="I4864" s="19">
        <v>30.98</v>
      </c>
      <c r="J4864" s="19">
        <v>17.079999999999998</v>
      </c>
      <c r="K4864" s="19" t="s">
        <v>111</v>
      </c>
      <c r="L4864" s="19" t="s">
        <v>407</v>
      </c>
      <c r="M4864" s="15" t="s">
        <v>407</v>
      </c>
      <c r="N4864" s="15" t="s">
        <v>36</v>
      </c>
      <c r="O4864" s="15" t="s">
        <v>117</v>
      </c>
      <c r="P4864" s="20" t="s">
        <v>1867</v>
      </c>
      <c r="Q4864" s="15" t="s">
        <v>83</v>
      </c>
      <c r="R4864" s="4"/>
      <c r="S4864" s="4"/>
    </row>
    <row r="4865" spans="1:19" ht="21" customHeight="1" x14ac:dyDescent="0.25">
      <c r="A4865" s="14">
        <f>DATE(2012,12,31)-1165</f>
        <v>40109</v>
      </c>
      <c r="B4865" s="15" t="s">
        <v>1593</v>
      </c>
      <c r="C4865" s="15" t="s">
        <v>43</v>
      </c>
      <c r="D4865" s="16">
        <v>5</v>
      </c>
      <c r="E4865" s="17">
        <v>22.06</v>
      </c>
      <c r="F4865" s="16">
        <v>0.06</v>
      </c>
      <c r="G4865" s="15" t="s">
        <v>32</v>
      </c>
      <c r="H4865" s="18">
        <v>-22.275500000000001</v>
      </c>
      <c r="I4865" s="19">
        <v>3.36</v>
      </c>
      <c r="J4865" s="19">
        <v>6.27</v>
      </c>
      <c r="K4865" s="19" t="s">
        <v>111</v>
      </c>
      <c r="L4865" s="19" t="s">
        <v>112</v>
      </c>
      <c r="M4865" s="15" t="s">
        <v>2198</v>
      </c>
      <c r="N4865" s="15" t="s">
        <v>36</v>
      </c>
      <c r="O4865" s="15" t="s">
        <v>170</v>
      </c>
      <c r="P4865" s="20" t="s">
        <v>652</v>
      </c>
      <c r="Q4865" s="15" t="s">
        <v>83</v>
      </c>
      <c r="R4865" s="4"/>
      <c r="S4865" s="4"/>
    </row>
    <row r="4866" spans="1:19" ht="21" customHeight="1" x14ac:dyDescent="0.25">
      <c r="A4866" s="14">
        <f>DATE(2012,12,31)-1165</f>
        <v>40109</v>
      </c>
      <c r="B4866" s="15" t="s">
        <v>1593</v>
      </c>
      <c r="C4866" s="15" t="s">
        <v>43</v>
      </c>
      <c r="D4866" s="16">
        <v>19</v>
      </c>
      <c r="E4866" s="17">
        <v>12616.2</v>
      </c>
      <c r="F4866" s="16">
        <v>7.0000000000000007E-2</v>
      </c>
      <c r="G4866" s="15" t="s">
        <v>32</v>
      </c>
      <c r="H4866" s="18">
        <v>2808.2190000000001</v>
      </c>
      <c r="I4866" s="19">
        <v>699.99</v>
      </c>
      <c r="J4866" s="19">
        <v>24.49</v>
      </c>
      <c r="K4866" s="19" t="s">
        <v>44</v>
      </c>
      <c r="L4866" s="19" t="s">
        <v>89</v>
      </c>
      <c r="M4866" s="15" t="s">
        <v>1932</v>
      </c>
      <c r="N4866" s="15" t="s">
        <v>64</v>
      </c>
      <c r="O4866" s="15" t="s">
        <v>460</v>
      </c>
      <c r="P4866" s="20" t="s">
        <v>461</v>
      </c>
      <c r="Q4866" s="15" t="s">
        <v>39</v>
      </c>
      <c r="R4866" s="4"/>
      <c r="S4866" s="4"/>
    </row>
    <row r="4867" spans="1:19" ht="21" customHeight="1" x14ac:dyDescent="0.25">
      <c r="A4867" s="14">
        <f>DATE(2012,12,31)-971</f>
        <v>40303</v>
      </c>
      <c r="B4867" s="15" t="s">
        <v>1065</v>
      </c>
      <c r="C4867" s="15" t="s">
        <v>31</v>
      </c>
      <c r="D4867" s="16">
        <v>46</v>
      </c>
      <c r="E4867" s="17">
        <v>1396.75</v>
      </c>
      <c r="F4867" s="16">
        <v>0.04</v>
      </c>
      <c r="G4867" s="15" t="s">
        <v>101</v>
      </c>
      <c r="H4867" s="18">
        <v>-75.7</v>
      </c>
      <c r="I4867" s="19">
        <v>30.98</v>
      </c>
      <c r="J4867" s="19">
        <v>19.510000000000002</v>
      </c>
      <c r="K4867" s="19" t="s">
        <v>44</v>
      </c>
      <c r="L4867" s="19" t="s">
        <v>45</v>
      </c>
      <c r="M4867" s="15" t="s">
        <v>2165</v>
      </c>
      <c r="N4867" s="15" t="s">
        <v>36</v>
      </c>
      <c r="O4867" s="15" t="s">
        <v>189</v>
      </c>
      <c r="P4867" s="20" t="s">
        <v>1315</v>
      </c>
      <c r="Q4867" s="15" t="s">
        <v>83</v>
      </c>
      <c r="R4867" s="4"/>
      <c r="S4867" s="4"/>
    </row>
    <row r="4868" spans="1:19" ht="21" customHeight="1" x14ac:dyDescent="0.25">
      <c r="A4868" s="14">
        <f>DATE(2012,12,31)-774</f>
        <v>40500</v>
      </c>
      <c r="B4868" s="15" t="s">
        <v>564</v>
      </c>
      <c r="C4868" s="15" t="s">
        <v>85</v>
      </c>
      <c r="D4868" s="16">
        <v>33</v>
      </c>
      <c r="E4868" s="17">
        <v>2701.69</v>
      </c>
      <c r="F4868" s="16">
        <v>0.05</v>
      </c>
      <c r="G4868" s="15" t="s">
        <v>58</v>
      </c>
      <c r="H4868" s="18">
        <v>-926.33</v>
      </c>
      <c r="I4868" s="19">
        <v>81.94</v>
      </c>
      <c r="J4868" s="19">
        <v>55.81</v>
      </c>
      <c r="K4868" s="19" t="s">
        <v>44</v>
      </c>
      <c r="L4868" s="19" t="s">
        <v>80</v>
      </c>
      <c r="M4868" s="15" t="s">
        <v>2179</v>
      </c>
      <c r="N4868" s="15" t="s">
        <v>54</v>
      </c>
      <c r="O4868" s="15" t="s">
        <v>134</v>
      </c>
      <c r="P4868" s="20" t="s">
        <v>1288</v>
      </c>
      <c r="Q4868" s="15" t="s">
        <v>63</v>
      </c>
      <c r="R4868" s="4"/>
      <c r="S4868" s="4"/>
    </row>
    <row r="4869" spans="1:19" ht="21" customHeight="1" x14ac:dyDescent="0.25">
      <c r="A4869" s="14">
        <f>DATE(2012,12,31)-42</f>
        <v>41232</v>
      </c>
      <c r="B4869" s="15" t="s">
        <v>659</v>
      </c>
      <c r="C4869" s="15" t="s">
        <v>51</v>
      </c>
      <c r="D4869" s="16">
        <v>42</v>
      </c>
      <c r="E4869" s="17">
        <v>259.43</v>
      </c>
      <c r="F4869" s="16">
        <v>0</v>
      </c>
      <c r="G4869" s="15" t="s">
        <v>32</v>
      </c>
      <c r="H4869" s="18">
        <v>-52.520499999999998</v>
      </c>
      <c r="I4869" s="19">
        <v>5.77</v>
      </c>
      <c r="J4869" s="19">
        <v>4.97</v>
      </c>
      <c r="K4869" s="19" t="s">
        <v>44</v>
      </c>
      <c r="L4869" s="19" t="s">
        <v>89</v>
      </c>
      <c r="M4869" s="15" t="s">
        <v>1932</v>
      </c>
      <c r="N4869" s="15" t="s">
        <v>36</v>
      </c>
      <c r="O4869" s="15" t="s">
        <v>170</v>
      </c>
      <c r="P4869" s="20" t="s">
        <v>2210</v>
      </c>
      <c r="Q4869" s="15" t="s">
        <v>83</v>
      </c>
      <c r="R4869" s="4"/>
      <c r="S4869" s="4"/>
    </row>
    <row r="4870" spans="1:19" ht="21" customHeight="1" x14ac:dyDescent="0.25">
      <c r="A4870" s="14">
        <f>DATE(2012,12,31)-485</f>
        <v>40789</v>
      </c>
      <c r="B4870" s="15" t="s">
        <v>1769</v>
      </c>
      <c r="C4870" s="15" t="s">
        <v>43</v>
      </c>
      <c r="D4870" s="16">
        <v>4</v>
      </c>
      <c r="E4870" s="17">
        <v>24.77</v>
      </c>
      <c r="F4870" s="16">
        <v>0.1</v>
      </c>
      <c r="G4870" s="15" t="s">
        <v>32</v>
      </c>
      <c r="H4870" s="18">
        <v>-17.065999999999999</v>
      </c>
      <c r="I4870" s="19">
        <v>4.91</v>
      </c>
      <c r="J4870" s="19">
        <v>5.68</v>
      </c>
      <c r="K4870" s="19" t="s">
        <v>44</v>
      </c>
      <c r="L4870" s="19" t="s">
        <v>45</v>
      </c>
      <c r="M4870" s="15" t="s">
        <v>2165</v>
      </c>
      <c r="N4870" s="15" t="s">
        <v>36</v>
      </c>
      <c r="O4870" s="15" t="s">
        <v>170</v>
      </c>
      <c r="P4870" s="20" t="s">
        <v>1284</v>
      </c>
      <c r="Q4870" s="15" t="s">
        <v>83</v>
      </c>
      <c r="R4870" s="4"/>
      <c r="S4870" s="4"/>
    </row>
    <row r="4871" spans="1:19" ht="21" customHeight="1" x14ac:dyDescent="0.25">
      <c r="A4871" s="14">
        <f>DATE(2012,12,31)-485</f>
        <v>40789</v>
      </c>
      <c r="B4871" s="15" t="s">
        <v>1769</v>
      </c>
      <c r="C4871" s="15" t="s">
        <v>43</v>
      </c>
      <c r="D4871" s="16">
        <v>36</v>
      </c>
      <c r="E4871" s="17">
        <v>3832.37</v>
      </c>
      <c r="F4871" s="16">
        <v>0.01</v>
      </c>
      <c r="G4871" s="15" t="s">
        <v>32</v>
      </c>
      <c r="H4871" s="18">
        <v>1322.07</v>
      </c>
      <c r="I4871" s="19">
        <v>107.53</v>
      </c>
      <c r="J4871" s="19">
        <v>5.81</v>
      </c>
      <c r="K4871" s="19" t="s">
        <v>44</v>
      </c>
      <c r="L4871" s="19" t="s">
        <v>45</v>
      </c>
      <c r="M4871" s="15" t="s">
        <v>2165</v>
      </c>
      <c r="N4871" s="15" t="s">
        <v>54</v>
      </c>
      <c r="O4871" s="15" t="s">
        <v>55</v>
      </c>
      <c r="P4871" s="20" t="s">
        <v>56</v>
      </c>
      <c r="Q4871" s="15" t="s">
        <v>57</v>
      </c>
      <c r="R4871" s="4"/>
      <c r="S4871" s="4"/>
    </row>
    <row r="4872" spans="1:19" ht="21" customHeight="1" x14ac:dyDescent="0.25">
      <c r="A4872" s="14">
        <f>DATE(2012,12,31)-1076</f>
        <v>40198</v>
      </c>
      <c r="B4872" s="15" t="s">
        <v>1166</v>
      </c>
      <c r="C4872" s="15" t="s">
        <v>85</v>
      </c>
      <c r="D4872" s="16">
        <v>26</v>
      </c>
      <c r="E4872" s="17">
        <v>864.16</v>
      </c>
      <c r="F4872" s="16">
        <v>0.09</v>
      </c>
      <c r="G4872" s="15" t="s">
        <v>32</v>
      </c>
      <c r="H4872" s="18">
        <v>-175.47</v>
      </c>
      <c r="I4872" s="19">
        <v>33.979999999999997</v>
      </c>
      <c r="J4872" s="19">
        <v>19.989999999999998</v>
      </c>
      <c r="K4872" s="19" t="s">
        <v>44</v>
      </c>
      <c r="L4872" s="19" t="s">
        <v>89</v>
      </c>
      <c r="M4872" s="15" t="s">
        <v>1932</v>
      </c>
      <c r="N4872" s="15" t="s">
        <v>54</v>
      </c>
      <c r="O4872" s="15" t="s">
        <v>55</v>
      </c>
      <c r="P4872" s="20" t="s">
        <v>1238</v>
      </c>
      <c r="Q4872" s="15" t="s">
        <v>83</v>
      </c>
      <c r="R4872" s="4"/>
      <c r="S4872" s="4"/>
    </row>
    <row r="4873" spans="1:19" ht="21" customHeight="1" x14ac:dyDescent="0.25">
      <c r="A4873" s="14">
        <f>DATE(2012,12,31)-356</f>
        <v>40918</v>
      </c>
      <c r="B4873" s="15" t="s">
        <v>1792</v>
      </c>
      <c r="C4873" s="15" t="s">
        <v>85</v>
      </c>
      <c r="D4873" s="16">
        <v>35</v>
      </c>
      <c r="E4873" s="17">
        <v>12741.81</v>
      </c>
      <c r="F4873" s="16">
        <v>0.09</v>
      </c>
      <c r="G4873" s="15" t="s">
        <v>58</v>
      </c>
      <c r="H4873" s="18">
        <v>95.059999999999945</v>
      </c>
      <c r="I4873" s="19">
        <v>370.98</v>
      </c>
      <c r="J4873" s="19">
        <v>99</v>
      </c>
      <c r="K4873" s="19" t="s">
        <v>44</v>
      </c>
      <c r="L4873" s="19" t="s">
        <v>45</v>
      </c>
      <c r="M4873" s="15" t="s">
        <v>2165</v>
      </c>
      <c r="N4873" s="15" t="s">
        <v>36</v>
      </c>
      <c r="O4873" s="15" t="s">
        <v>37</v>
      </c>
      <c r="P4873" s="20" t="s">
        <v>532</v>
      </c>
      <c r="Q4873" s="15" t="s">
        <v>181</v>
      </c>
      <c r="R4873" s="4"/>
      <c r="S4873" s="4"/>
    </row>
    <row r="4874" spans="1:19" ht="21" customHeight="1" x14ac:dyDescent="0.25">
      <c r="A4874" s="14">
        <f>DATE(2012,12,31)-544</f>
        <v>40730</v>
      </c>
      <c r="B4874" s="15" t="s">
        <v>1890</v>
      </c>
      <c r="C4874" s="15" t="s">
        <v>43</v>
      </c>
      <c r="D4874" s="16">
        <v>38</v>
      </c>
      <c r="E4874" s="17">
        <v>29186.49</v>
      </c>
      <c r="F4874" s="16">
        <v>0.05</v>
      </c>
      <c r="G4874" s="15" t="s">
        <v>58</v>
      </c>
      <c r="H4874" s="18">
        <v>11562.08</v>
      </c>
      <c r="I4874" s="19">
        <v>808.49</v>
      </c>
      <c r="J4874" s="19">
        <v>55.3</v>
      </c>
      <c r="K4874" s="19" t="s">
        <v>44</v>
      </c>
      <c r="L4874" s="19" t="s">
        <v>120</v>
      </c>
      <c r="M4874" s="15" t="s">
        <v>2025</v>
      </c>
      <c r="N4874" s="15" t="s">
        <v>64</v>
      </c>
      <c r="O4874" s="15" t="s">
        <v>122</v>
      </c>
      <c r="P4874" s="20" t="s">
        <v>2035</v>
      </c>
      <c r="Q4874" s="15" t="s">
        <v>181</v>
      </c>
      <c r="R4874" s="4"/>
      <c r="S4874" s="4"/>
    </row>
    <row r="4875" spans="1:19" ht="21" customHeight="1" x14ac:dyDescent="0.25">
      <c r="A4875" s="14">
        <f>DATE(2012,12,31)-1134</f>
        <v>40140</v>
      </c>
      <c r="B4875" s="15" t="s">
        <v>149</v>
      </c>
      <c r="C4875" s="15" t="s">
        <v>31</v>
      </c>
      <c r="D4875" s="16">
        <v>36</v>
      </c>
      <c r="E4875" s="17">
        <v>572.4</v>
      </c>
      <c r="F4875" s="16">
        <v>7.0000000000000007E-2</v>
      </c>
      <c r="G4875" s="15" t="s">
        <v>32</v>
      </c>
      <c r="H4875" s="18">
        <v>-39.5</v>
      </c>
      <c r="I4875" s="19">
        <v>16.91</v>
      </c>
      <c r="J4875" s="19">
        <v>6.25</v>
      </c>
      <c r="K4875" s="19" t="s">
        <v>44</v>
      </c>
      <c r="L4875" s="19" t="s">
        <v>80</v>
      </c>
      <c r="M4875" s="15" t="s">
        <v>2179</v>
      </c>
      <c r="N4875" s="15" t="s">
        <v>36</v>
      </c>
      <c r="O4875" s="15" t="s">
        <v>37</v>
      </c>
      <c r="P4875" s="20" t="s">
        <v>1586</v>
      </c>
      <c r="Q4875" s="15" t="s">
        <v>83</v>
      </c>
      <c r="R4875" s="4"/>
      <c r="S4875" s="4"/>
    </row>
    <row r="4876" spans="1:19" ht="21" customHeight="1" x14ac:dyDescent="0.25">
      <c r="A4876" s="14">
        <f>DATE(2012,12,31)-1447</f>
        <v>39827</v>
      </c>
      <c r="B4876" s="15" t="s">
        <v>970</v>
      </c>
      <c r="C4876" s="15" t="s">
        <v>85</v>
      </c>
      <c r="D4876" s="16">
        <v>27</v>
      </c>
      <c r="E4876" s="17">
        <v>217.68</v>
      </c>
      <c r="F4876" s="16">
        <v>0.08</v>
      </c>
      <c r="G4876" s="15" t="s">
        <v>32</v>
      </c>
      <c r="H4876" s="18">
        <v>-168.75</v>
      </c>
      <c r="I4876" s="19">
        <v>7.77</v>
      </c>
      <c r="J4876" s="19">
        <v>9.23</v>
      </c>
      <c r="K4876" s="19" t="s">
        <v>44</v>
      </c>
      <c r="L4876" s="19" t="s">
        <v>89</v>
      </c>
      <c r="M4876" s="15" t="s">
        <v>1932</v>
      </c>
      <c r="N4876" s="15" t="s">
        <v>36</v>
      </c>
      <c r="O4876" s="15" t="s">
        <v>176</v>
      </c>
      <c r="P4876" s="20" t="s">
        <v>1365</v>
      </c>
      <c r="Q4876" s="15" t="s">
        <v>83</v>
      </c>
      <c r="R4876" s="4"/>
      <c r="S4876" s="4"/>
    </row>
    <row r="4877" spans="1:19" ht="21" customHeight="1" x14ac:dyDescent="0.25">
      <c r="A4877" s="14">
        <f>DATE(2012,12,31)-1447</f>
        <v>39827</v>
      </c>
      <c r="B4877" s="15" t="s">
        <v>970</v>
      </c>
      <c r="C4877" s="15" t="s">
        <v>85</v>
      </c>
      <c r="D4877" s="16">
        <v>23</v>
      </c>
      <c r="E4877" s="17">
        <v>7202.94</v>
      </c>
      <c r="F4877" s="16">
        <v>0.02</v>
      </c>
      <c r="G4877" s="15" t="s">
        <v>58</v>
      </c>
      <c r="H4877" s="18">
        <v>1425.11</v>
      </c>
      <c r="I4877" s="19">
        <v>306.14</v>
      </c>
      <c r="J4877" s="19">
        <v>26.53</v>
      </c>
      <c r="K4877" s="19" t="s">
        <v>44</v>
      </c>
      <c r="L4877" s="19" t="s">
        <v>80</v>
      </c>
      <c r="M4877" s="15" t="s">
        <v>2179</v>
      </c>
      <c r="N4877" s="15" t="s">
        <v>64</v>
      </c>
      <c r="O4877" s="15" t="s">
        <v>122</v>
      </c>
      <c r="P4877" s="20" t="s">
        <v>1405</v>
      </c>
      <c r="Q4877" s="15" t="s">
        <v>181</v>
      </c>
      <c r="R4877" s="4"/>
      <c r="S4877" s="4"/>
    </row>
    <row r="4878" spans="1:19" ht="21" customHeight="1" x14ac:dyDescent="0.25">
      <c r="A4878" s="14">
        <f>DATE(2012,12,31)-1447</f>
        <v>39827</v>
      </c>
      <c r="B4878" s="15" t="s">
        <v>970</v>
      </c>
      <c r="C4878" s="15" t="s">
        <v>85</v>
      </c>
      <c r="D4878" s="16">
        <v>13</v>
      </c>
      <c r="E4878" s="17">
        <v>245.82</v>
      </c>
      <c r="F4878" s="16">
        <v>0.1</v>
      </c>
      <c r="G4878" s="15" t="s">
        <v>101</v>
      </c>
      <c r="H4878" s="18">
        <v>-7.39</v>
      </c>
      <c r="I4878" s="19">
        <v>18.97</v>
      </c>
      <c r="J4878" s="19">
        <v>9.5399999999999991</v>
      </c>
      <c r="K4878" s="19" t="s">
        <v>44</v>
      </c>
      <c r="L4878" s="19" t="s">
        <v>89</v>
      </c>
      <c r="M4878" s="15" t="s">
        <v>1932</v>
      </c>
      <c r="N4878" s="15" t="s">
        <v>36</v>
      </c>
      <c r="O4878" s="15" t="s">
        <v>117</v>
      </c>
      <c r="P4878" s="20" t="s">
        <v>281</v>
      </c>
      <c r="Q4878" s="15" t="s">
        <v>83</v>
      </c>
      <c r="R4878" s="4"/>
      <c r="S4878" s="4"/>
    </row>
    <row r="4879" spans="1:19" ht="21" customHeight="1" x14ac:dyDescent="0.25">
      <c r="A4879" s="14">
        <f>DATE(2012,12,31)-613</f>
        <v>40661</v>
      </c>
      <c r="B4879" s="15" t="s">
        <v>30</v>
      </c>
      <c r="C4879" s="15" t="s">
        <v>31</v>
      </c>
      <c r="D4879" s="16">
        <v>11</v>
      </c>
      <c r="E4879" s="17">
        <v>55.49</v>
      </c>
      <c r="F4879" s="16">
        <v>0.04</v>
      </c>
      <c r="G4879" s="15" t="s">
        <v>32</v>
      </c>
      <c r="H4879" s="18">
        <v>-37.32</v>
      </c>
      <c r="I4879" s="19">
        <v>4.4800000000000004</v>
      </c>
      <c r="J4879" s="19">
        <v>7.24</v>
      </c>
      <c r="K4879" s="19" t="s">
        <v>44</v>
      </c>
      <c r="L4879" s="19" t="s">
        <v>45</v>
      </c>
      <c r="M4879" s="15" t="s">
        <v>2165</v>
      </c>
      <c r="N4879" s="15" t="s">
        <v>54</v>
      </c>
      <c r="O4879" s="15" t="s">
        <v>55</v>
      </c>
      <c r="P4879" s="20" t="s">
        <v>1504</v>
      </c>
      <c r="Q4879" s="15" t="s">
        <v>83</v>
      </c>
      <c r="R4879" s="4"/>
      <c r="S4879" s="4"/>
    </row>
    <row r="4880" spans="1:19" ht="21" customHeight="1" x14ac:dyDescent="0.25">
      <c r="A4880" s="14">
        <f>DATE(2012,12,31)-791</f>
        <v>40483</v>
      </c>
      <c r="B4880" s="15" t="s">
        <v>2211</v>
      </c>
      <c r="C4880" s="15" t="s">
        <v>43</v>
      </c>
      <c r="D4880" s="16">
        <v>46</v>
      </c>
      <c r="E4880" s="17">
        <v>503.17</v>
      </c>
      <c r="F4880" s="16">
        <v>0.01</v>
      </c>
      <c r="G4880" s="15" t="s">
        <v>32</v>
      </c>
      <c r="H4880" s="18">
        <v>-10.210000000000001</v>
      </c>
      <c r="I4880" s="19">
        <v>10.23</v>
      </c>
      <c r="J4880" s="19">
        <v>4.68</v>
      </c>
      <c r="K4880" s="19" t="s">
        <v>44</v>
      </c>
      <c r="L4880" s="19" t="s">
        <v>45</v>
      </c>
      <c r="M4880" s="15" t="s">
        <v>2165</v>
      </c>
      <c r="N4880" s="15" t="s">
        <v>36</v>
      </c>
      <c r="O4880" s="15" t="s">
        <v>47</v>
      </c>
      <c r="P4880" s="20" t="s">
        <v>1167</v>
      </c>
      <c r="Q4880" s="15" t="s">
        <v>49</v>
      </c>
      <c r="R4880" s="4"/>
      <c r="S4880" s="4"/>
    </row>
    <row r="4881" spans="1:19" ht="21" customHeight="1" x14ac:dyDescent="0.25">
      <c r="A4881" s="14">
        <f>DATE(2012,12,31)-22</f>
        <v>41252</v>
      </c>
      <c r="B4881" s="15" t="s">
        <v>2212</v>
      </c>
      <c r="C4881" s="15" t="s">
        <v>85</v>
      </c>
      <c r="D4881" s="16">
        <v>4</v>
      </c>
      <c r="E4881" s="17">
        <v>6095.14</v>
      </c>
      <c r="F4881" s="16">
        <v>0.06</v>
      </c>
      <c r="G4881" s="15" t="s">
        <v>58</v>
      </c>
      <c r="H4881" s="18">
        <v>-3001.2824999999998</v>
      </c>
      <c r="I4881" s="19">
        <v>1500.97</v>
      </c>
      <c r="J4881" s="19">
        <v>29.7</v>
      </c>
      <c r="K4881" s="19" t="s">
        <v>44</v>
      </c>
      <c r="L4881" s="19" t="s">
        <v>89</v>
      </c>
      <c r="M4881" s="15" t="s">
        <v>1932</v>
      </c>
      <c r="N4881" s="15" t="s">
        <v>64</v>
      </c>
      <c r="O4881" s="15" t="s">
        <v>122</v>
      </c>
      <c r="P4881" s="20" t="s">
        <v>1332</v>
      </c>
      <c r="Q4881" s="15" t="s">
        <v>181</v>
      </c>
      <c r="R4881" s="4"/>
      <c r="S4881" s="4"/>
    </row>
    <row r="4882" spans="1:19" ht="21" customHeight="1" x14ac:dyDescent="0.25">
      <c r="A4882" s="14">
        <f>DATE(2012,12,31)-22</f>
        <v>41252</v>
      </c>
      <c r="B4882" s="15" t="s">
        <v>2212</v>
      </c>
      <c r="C4882" s="15" t="s">
        <v>85</v>
      </c>
      <c r="D4882" s="16">
        <v>46</v>
      </c>
      <c r="E4882" s="17">
        <v>3776.28</v>
      </c>
      <c r="F4882" s="16">
        <v>0.06</v>
      </c>
      <c r="G4882" s="15" t="s">
        <v>58</v>
      </c>
      <c r="H4882" s="18">
        <v>579.79</v>
      </c>
      <c r="I4882" s="19">
        <v>80.97</v>
      </c>
      <c r="J4882" s="19">
        <v>30.06</v>
      </c>
      <c r="K4882" s="19" t="s">
        <v>44</v>
      </c>
      <c r="L4882" s="19" t="s">
        <v>89</v>
      </c>
      <c r="M4882" s="15" t="s">
        <v>1932</v>
      </c>
      <c r="N4882" s="15" t="s">
        <v>64</v>
      </c>
      <c r="O4882" s="15" t="s">
        <v>122</v>
      </c>
      <c r="P4882" s="20" t="s">
        <v>1545</v>
      </c>
      <c r="Q4882" s="15" t="s">
        <v>63</v>
      </c>
      <c r="R4882" s="4"/>
      <c r="S4882" s="4"/>
    </row>
    <row r="4883" spans="1:19" ht="21" customHeight="1" x14ac:dyDescent="0.25">
      <c r="A4883" s="14">
        <f>DATE(2012,12,31)-22</f>
        <v>41252</v>
      </c>
      <c r="B4883" s="15" t="s">
        <v>2212</v>
      </c>
      <c r="C4883" s="15" t="s">
        <v>85</v>
      </c>
      <c r="D4883" s="16">
        <v>29</v>
      </c>
      <c r="E4883" s="17">
        <v>1487.8995</v>
      </c>
      <c r="F4883" s="16">
        <v>0.09</v>
      </c>
      <c r="G4883" s="15" t="s">
        <v>32</v>
      </c>
      <c r="H4883" s="18">
        <v>79.316999999999993</v>
      </c>
      <c r="I4883" s="19">
        <v>65.989999999999995</v>
      </c>
      <c r="J4883" s="19">
        <v>8.99</v>
      </c>
      <c r="K4883" s="19" t="s">
        <v>44</v>
      </c>
      <c r="L4883" s="19" t="s">
        <v>80</v>
      </c>
      <c r="M4883" s="15" t="s">
        <v>2179</v>
      </c>
      <c r="N4883" s="15" t="s">
        <v>64</v>
      </c>
      <c r="O4883" s="15" t="s">
        <v>65</v>
      </c>
      <c r="P4883" s="20" t="s">
        <v>692</v>
      </c>
      <c r="Q4883" s="15" t="s">
        <v>83</v>
      </c>
      <c r="R4883" s="4"/>
      <c r="S4883" s="4"/>
    </row>
    <row r="4884" spans="1:19" ht="21" customHeight="1" x14ac:dyDescent="0.25">
      <c r="A4884" s="14">
        <f>DATE(2012,12,31)-523</f>
        <v>40751</v>
      </c>
      <c r="B4884" s="15" t="s">
        <v>1356</v>
      </c>
      <c r="C4884" s="15" t="s">
        <v>31</v>
      </c>
      <c r="D4884" s="16">
        <v>14</v>
      </c>
      <c r="E4884" s="17">
        <v>1885.41</v>
      </c>
      <c r="F4884" s="16">
        <v>0.08</v>
      </c>
      <c r="G4884" s="15" t="s">
        <v>32</v>
      </c>
      <c r="H4884" s="18">
        <v>-524.74</v>
      </c>
      <c r="I4884" s="19">
        <v>138.13999999999999</v>
      </c>
      <c r="J4884" s="19">
        <v>35</v>
      </c>
      <c r="K4884" s="19" t="s">
        <v>44</v>
      </c>
      <c r="L4884" s="19" t="s">
        <v>45</v>
      </c>
      <c r="M4884" s="15" t="s">
        <v>2165</v>
      </c>
      <c r="N4884" s="15" t="s">
        <v>36</v>
      </c>
      <c r="O4884" s="15" t="s">
        <v>37</v>
      </c>
      <c r="P4884" s="20" t="s">
        <v>285</v>
      </c>
      <c r="Q4884" s="15" t="s">
        <v>39</v>
      </c>
      <c r="R4884" s="4"/>
      <c r="S4884" s="4"/>
    </row>
    <row r="4885" spans="1:19" ht="21" customHeight="1" x14ac:dyDescent="0.25">
      <c r="A4885" s="14">
        <f>DATE(2012,12,31)-659</f>
        <v>40615</v>
      </c>
      <c r="B4885" s="15" t="s">
        <v>187</v>
      </c>
      <c r="C4885" s="15" t="s">
        <v>31</v>
      </c>
      <c r="D4885" s="16">
        <v>20</v>
      </c>
      <c r="E4885" s="17">
        <v>159.71</v>
      </c>
      <c r="F4885" s="16">
        <v>0.1</v>
      </c>
      <c r="G4885" s="15" t="s">
        <v>101</v>
      </c>
      <c r="H4885" s="18">
        <v>-114.4135</v>
      </c>
      <c r="I4885" s="19">
        <v>8.0399999999999991</v>
      </c>
      <c r="J4885" s="19">
        <v>8.94</v>
      </c>
      <c r="K4885" s="19" t="s">
        <v>44</v>
      </c>
      <c r="L4885" s="19" t="s">
        <v>89</v>
      </c>
      <c r="M4885" s="15" t="s">
        <v>1932</v>
      </c>
      <c r="N4885" s="15" t="s">
        <v>36</v>
      </c>
      <c r="O4885" s="15" t="s">
        <v>170</v>
      </c>
      <c r="P4885" s="20" t="s">
        <v>995</v>
      </c>
      <c r="Q4885" s="15" t="s">
        <v>83</v>
      </c>
      <c r="R4885" s="4"/>
      <c r="S4885" s="4"/>
    </row>
    <row r="4886" spans="1:19" ht="21" customHeight="1" x14ac:dyDescent="0.25">
      <c r="A4886" s="14">
        <f>DATE(2012,12,31)-1078</f>
        <v>40196</v>
      </c>
      <c r="B4886" s="15" t="s">
        <v>1360</v>
      </c>
      <c r="C4886" s="15" t="s">
        <v>43</v>
      </c>
      <c r="D4886" s="16">
        <v>7</v>
      </c>
      <c r="E4886" s="17">
        <v>117.062</v>
      </c>
      <c r="F4886" s="16">
        <v>0.09</v>
      </c>
      <c r="G4886" s="15" t="s">
        <v>32</v>
      </c>
      <c r="H4886" s="18">
        <v>-63.700999999999993</v>
      </c>
      <c r="I4886" s="19">
        <v>20.99</v>
      </c>
      <c r="J4886" s="19">
        <v>0.99</v>
      </c>
      <c r="K4886" s="19" t="s">
        <v>44</v>
      </c>
      <c r="L4886" s="19" t="s">
        <v>120</v>
      </c>
      <c r="M4886" s="15" t="s">
        <v>2025</v>
      </c>
      <c r="N4886" s="15" t="s">
        <v>64</v>
      </c>
      <c r="O4886" s="15" t="s">
        <v>65</v>
      </c>
      <c r="P4886" s="20" t="s">
        <v>1616</v>
      </c>
      <c r="Q4886" s="15" t="s">
        <v>79</v>
      </c>
      <c r="R4886" s="4"/>
      <c r="S4886" s="4"/>
    </row>
    <row r="4887" spans="1:19" ht="21" customHeight="1" x14ac:dyDescent="0.25">
      <c r="A4887" s="14">
        <f>DATE(2012,12,31)-210</f>
        <v>41064</v>
      </c>
      <c r="B4887" s="15" t="s">
        <v>823</v>
      </c>
      <c r="C4887" s="15" t="s">
        <v>85</v>
      </c>
      <c r="D4887" s="16">
        <v>16</v>
      </c>
      <c r="E4887" s="17">
        <v>623.35</v>
      </c>
      <c r="F4887" s="16">
        <v>0.03</v>
      </c>
      <c r="G4887" s="15" t="s">
        <v>32</v>
      </c>
      <c r="H4887" s="18">
        <v>235.51</v>
      </c>
      <c r="I4887" s="19">
        <v>37.94</v>
      </c>
      <c r="J4887" s="19">
        <v>5.08</v>
      </c>
      <c r="K4887" s="19" t="s">
        <v>44</v>
      </c>
      <c r="L4887" s="19" t="s">
        <v>45</v>
      </c>
      <c r="M4887" s="15" t="s">
        <v>2165</v>
      </c>
      <c r="N4887" s="15" t="s">
        <v>36</v>
      </c>
      <c r="O4887" s="15" t="s">
        <v>117</v>
      </c>
      <c r="P4887" s="20" t="s">
        <v>902</v>
      </c>
      <c r="Q4887" s="15" t="s">
        <v>79</v>
      </c>
      <c r="R4887" s="4"/>
      <c r="S4887" s="4"/>
    </row>
    <row r="4888" spans="1:19" ht="21" customHeight="1" x14ac:dyDescent="0.25">
      <c r="A4888" s="14">
        <f>DATE(2012,12,31)-217</f>
        <v>41057</v>
      </c>
      <c r="B4888" s="15" t="s">
        <v>2212</v>
      </c>
      <c r="C4888" s="15" t="s">
        <v>51</v>
      </c>
      <c r="D4888" s="16">
        <v>40</v>
      </c>
      <c r="E4888" s="17">
        <v>250.6</v>
      </c>
      <c r="F4888" s="16">
        <v>0.1</v>
      </c>
      <c r="G4888" s="15" t="s">
        <v>101</v>
      </c>
      <c r="H4888" s="18">
        <v>-107.06</v>
      </c>
      <c r="I4888" s="19">
        <v>6.48</v>
      </c>
      <c r="J4888" s="19">
        <v>6.22</v>
      </c>
      <c r="K4888" s="19" t="s">
        <v>44</v>
      </c>
      <c r="L4888" s="19" t="s">
        <v>89</v>
      </c>
      <c r="M4888" s="15" t="s">
        <v>1932</v>
      </c>
      <c r="N4888" s="15" t="s">
        <v>36</v>
      </c>
      <c r="O4888" s="15" t="s">
        <v>117</v>
      </c>
      <c r="P4888" s="20" t="s">
        <v>1323</v>
      </c>
      <c r="Q4888" s="15" t="s">
        <v>83</v>
      </c>
      <c r="R4888" s="4"/>
      <c r="S4888" s="4"/>
    </row>
    <row r="4889" spans="1:19" ht="21" customHeight="1" x14ac:dyDescent="0.25">
      <c r="A4889" s="14">
        <f>DATE(2012,12,31)-1071</f>
        <v>40203</v>
      </c>
      <c r="B4889" s="15" t="s">
        <v>1924</v>
      </c>
      <c r="C4889" s="15" t="s">
        <v>85</v>
      </c>
      <c r="D4889" s="16">
        <v>45</v>
      </c>
      <c r="E4889" s="17">
        <v>15468.216</v>
      </c>
      <c r="F4889" s="16">
        <v>0.01</v>
      </c>
      <c r="G4889" s="15" t="s">
        <v>58</v>
      </c>
      <c r="H4889" s="18">
        <v>-969.0483660000001</v>
      </c>
      <c r="I4889" s="19">
        <v>400.98</v>
      </c>
      <c r="J4889" s="19">
        <v>42.52</v>
      </c>
      <c r="K4889" s="19" t="s">
        <v>44</v>
      </c>
      <c r="L4889" s="19" t="s">
        <v>89</v>
      </c>
      <c r="M4889" s="15" t="s">
        <v>1932</v>
      </c>
      <c r="N4889" s="15" t="s">
        <v>54</v>
      </c>
      <c r="O4889" s="15" t="s">
        <v>61</v>
      </c>
      <c r="P4889" s="20" t="s">
        <v>1001</v>
      </c>
      <c r="Q4889" s="15" t="s">
        <v>63</v>
      </c>
      <c r="R4889" s="4"/>
      <c r="S4889" s="4"/>
    </row>
    <row r="4890" spans="1:19" ht="21" customHeight="1" x14ac:dyDescent="0.25">
      <c r="A4890" s="14">
        <f>DATE(2012,12,31)-1037</f>
        <v>40237</v>
      </c>
      <c r="B4890" s="15" t="s">
        <v>1021</v>
      </c>
      <c r="C4890" s="15" t="s">
        <v>31</v>
      </c>
      <c r="D4890" s="16">
        <v>14</v>
      </c>
      <c r="E4890" s="17">
        <v>453.99</v>
      </c>
      <c r="F4890" s="16">
        <v>0.05</v>
      </c>
      <c r="G4890" s="15" t="s">
        <v>32</v>
      </c>
      <c r="H4890" s="18">
        <v>14.61</v>
      </c>
      <c r="I4890" s="19">
        <v>30.98</v>
      </c>
      <c r="J4890" s="19">
        <v>8.99</v>
      </c>
      <c r="K4890" s="19" t="s">
        <v>44</v>
      </c>
      <c r="L4890" s="19" t="s">
        <v>89</v>
      </c>
      <c r="M4890" s="15" t="s">
        <v>1932</v>
      </c>
      <c r="N4890" s="15" t="s">
        <v>36</v>
      </c>
      <c r="O4890" s="15" t="s">
        <v>77</v>
      </c>
      <c r="P4890" s="20" t="s">
        <v>497</v>
      </c>
      <c r="Q4890" s="15" t="s">
        <v>49</v>
      </c>
      <c r="R4890" s="4"/>
      <c r="S4890" s="4"/>
    </row>
    <row r="4891" spans="1:19" ht="21" customHeight="1" x14ac:dyDescent="0.25">
      <c r="A4891" s="14">
        <f>DATE(2012,12,31)-1148</f>
        <v>40126</v>
      </c>
      <c r="B4891" s="15" t="s">
        <v>564</v>
      </c>
      <c r="C4891" s="15" t="s">
        <v>51</v>
      </c>
      <c r="D4891" s="16">
        <v>4</v>
      </c>
      <c r="E4891" s="17">
        <v>30.47</v>
      </c>
      <c r="F4891" s="16">
        <v>0.02</v>
      </c>
      <c r="G4891" s="15" t="s">
        <v>32</v>
      </c>
      <c r="H4891" s="18">
        <v>-10.7</v>
      </c>
      <c r="I4891" s="19">
        <v>5.98</v>
      </c>
      <c r="J4891" s="19">
        <v>5.15</v>
      </c>
      <c r="K4891" s="19" t="s">
        <v>44</v>
      </c>
      <c r="L4891" s="19" t="s">
        <v>120</v>
      </c>
      <c r="M4891" s="15" t="s">
        <v>2025</v>
      </c>
      <c r="N4891" s="15" t="s">
        <v>36</v>
      </c>
      <c r="O4891" s="15" t="s">
        <v>117</v>
      </c>
      <c r="P4891" s="20" t="s">
        <v>155</v>
      </c>
      <c r="Q4891" s="15" t="s">
        <v>83</v>
      </c>
      <c r="R4891" s="4"/>
      <c r="S4891" s="4"/>
    </row>
    <row r="4892" spans="1:19" ht="21" customHeight="1" x14ac:dyDescent="0.25">
      <c r="A4892" s="14">
        <f>DATE(2012,12,31)-604</f>
        <v>40670</v>
      </c>
      <c r="B4892" s="15" t="s">
        <v>2213</v>
      </c>
      <c r="C4892" s="15" t="s">
        <v>85</v>
      </c>
      <c r="D4892" s="16">
        <v>37</v>
      </c>
      <c r="E4892" s="17">
        <v>284.58</v>
      </c>
      <c r="F4892" s="16">
        <v>0.03</v>
      </c>
      <c r="G4892" s="15" t="s">
        <v>32</v>
      </c>
      <c r="H4892" s="18">
        <v>33.81</v>
      </c>
      <c r="I4892" s="19">
        <v>7.59</v>
      </c>
      <c r="J4892" s="19">
        <v>4</v>
      </c>
      <c r="K4892" s="19" t="s">
        <v>124</v>
      </c>
      <c r="L4892" s="19" t="s">
        <v>160</v>
      </c>
      <c r="M4892" s="15" t="s">
        <v>2181</v>
      </c>
      <c r="N4892" s="15" t="s">
        <v>54</v>
      </c>
      <c r="O4892" s="15" t="s">
        <v>55</v>
      </c>
      <c r="P4892" s="20" t="s">
        <v>951</v>
      </c>
      <c r="Q4892" s="15" t="s">
        <v>79</v>
      </c>
      <c r="R4892" s="4"/>
      <c r="S4892" s="4"/>
    </row>
    <row r="4893" spans="1:19" ht="21" customHeight="1" x14ac:dyDescent="0.25">
      <c r="A4893" s="14">
        <f>DATE(2012,12,31)-604</f>
        <v>40670</v>
      </c>
      <c r="B4893" s="15" t="s">
        <v>2213</v>
      </c>
      <c r="C4893" s="15" t="s">
        <v>85</v>
      </c>
      <c r="D4893" s="16">
        <v>9</v>
      </c>
      <c r="E4893" s="17">
        <v>1010.26</v>
      </c>
      <c r="F4893" s="16">
        <v>0.01</v>
      </c>
      <c r="G4893" s="15" t="s">
        <v>32</v>
      </c>
      <c r="H4893" s="18">
        <v>271.5</v>
      </c>
      <c r="I4893" s="19">
        <v>104.85</v>
      </c>
      <c r="J4893" s="19">
        <v>19.989999999999998</v>
      </c>
      <c r="K4893" s="19" t="s">
        <v>124</v>
      </c>
      <c r="L4893" s="19" t="s">
        <v>125</v>
      </c>
      <c r="M4893" s="15" t="s">
        <v>2048</v>
      </c>
      <c r="N4893" s="15" t="s">
        <v>36</v>
      </c>
      <c r="O4893" s="15" t="s">
        <v>117</v>
      </c>
      <c r="P4893" s="20" t="s">
        <v>2139</v>
      </c>
      <c r="Q4893" s="15" t="s">
        <v>83</v>
      </c>
      <c r="R4893" s="4"/>
      <c r="S4893" s="4"/>
    </row>
    <row r="4894" spans="1:19" ht="21" customHeight="1" x14ac:dyDescent="0.25">
      <c r="A4894" s="14">
        <f>DATE(2012,12,31)-787</f>
        <v>40487</v>
      </c>
      <c r="B4894" s="15" t="s">
        <v>1458</v>
      </c>
      <c r="C4894" s="15" t="s">
        <v>43</v>
      </c>
      <c r="D4894" s="16">
        <v>29</v>
      </c>
      <c r="E4894" s="17">
        <v>1158.45</v>
      </c>
      <c r="F4894" s="16">
        <v>0.1</v>
      </c>
      <c r="G4894" s="15" t="s">
        <v>32</v>
      </c>
      <c r="H4894" s="18">
        <v>267.16000000000003</v>
      </c>
      <c r="I4894" s="19">
        <v>41.71</v>
      </c>
      <c r="J4894" s="19">
        <v>4.5</v>
      </c>
      <c r="K4894" s="19" t="s">
        <v>33</v>
      </c>
      <c r="L4894" s="19" t="s">
        <v>93</v>
      </c>
      <c r="M4894" s="15" t="s">
        <v>94</v>
      </c>
      <c r="N4894" s="15" t="s">
        <v>36</v>
      </c>
      <c r="O4894" s="15" t="s">
        <v>176</v>
      </c>
      <c r="P4894" s="20" t="s">
        <v>2163</v>
      </c>
      <c r="Q4894" s="15" t="s">
        <v>83</v>
      </c>
      <c r="R4894" s="4"/>
      <c r="S4894" s="4"/>
    </row>
    <row r="4895" spans="1:19" ht="21" customHeight="1" x14ac:dyDescent="0.25">
      <c r="A4895" s="14">
        <f>DATE(2012,12,31)-787</f>
        <v>40487</v>
      </c>
      <c r="B4895" s="15" t="s">
        <v>1458</v>
      </c>
      <c r="C4895" s="15" t="s">
        <v>43</v>
      </c>
      <c r="D4895" s="16">
        <v>43</v>
      </c>
      <c r="E4895" s="17">
        <v>2568.71</v>
      </c>
      <c r="F4895" s="16">
        <v>0.1</v>
      </c>
      <c r="G4895" s="15" t="s">
        <v>32</v>
      </c>
      <c r="H4895" s="18">
        <v>590.77</v>
      </c>
      <c r="I4895" s="19">
        <v>60.98</v>
      </c>
      <c r="J4895" s="19">
        <v>19.989999999999998</v>
      </c>
      <c r="K4895" s="19" t="s">
        <v>33</v>
      </c>
      <c r="L4895" s="19" t="s">
        <v>128</v>
      </c>
      <c r="M4895" s="15" t="s">
        <v>129</v>
      </c>
      <c r="N4895" s="15" t="s">
        <v>36</v>
      </c>
      <c r="O4895" s="15" t="s">
        <v>189</v>
      </c>
      <c r="P4895" s="20" t="s">
        <v>1251</v>
      </c>
      <c r="Q4895" s="15" t="s">
        <v>83</v>
      </c>
      <c r="R4895" s="4"/>
      <c r="S4895" s="4"/>
    </row>
    <row r="4896" spans="1:19" ht="21" customHeight="1" x14ac:dyDescent="0.25">
      <c r="A4896" s="14">
        <f>DATE(2012,12,31)-174</f>
        <v>41100</v>
      </c>
      <c r="B4896" s="15" t="s">
        <v>678</v>
      </c>
      <c r="C4896" s="15" t="s">
        <v>43</v>
      </c>
      <c r="D4896" s="16">
        <v>23</v>
      </c>
      <c r="E4896" s="17">
        <v>990.5</v>
      </c>
      <c r="F4896" s="16">
        <v>0.04</v>
      </c>
      <c r="G4896" s="15" t="s">
        <v>32</v>
      </c>
      <c r="H4896" s="18">
        <v>323.73</v>
      </c>
      <c r="I4896" s="19">
        <v>43.98</v>
      </c>
      <c r="J4896" s="19">
        <v>1.99</v>
      </c>
      <c r="K4896" s="19" t="s">
        <v>33</v>
      </c>
      <c r="L4896" s="19" t="s">
        <v>93</v>
      </c>
      <c r="M4896" s="15" t="s">
        <v>94</v>
      </c>
      <c r="N4896" s="15" t="s">
        <v>64</v>
      </c>
      <c r="O4896" s="15" t="s">
        <v>72</v>
      </c>
      <c r="P4896" s="20" t="s">
        <v>1702</v>
      </c>
      <c r="Q4896" s="15" t="s">
        <v>49</v>
      </c>
      <c r="R4896" s="4"/>
      <c r="S4896" s="4"/>
    </row>
    <row r="4897" spans="1:19" ht="21" customHeight="1" x14ac:dyDescent="0.25">
      <c r="A4897" s="14">
        <f>DATE(2012,12,31)-811</f>
        <v>40463</v>
      </c>
      <c r="B4897" s="15" t="s">
        <v>705</v>
      </c>
      <c r="C4897" s="15" t="s">
        <v>85</v>
      </c>
      <c r="D4897" s="16">
        <v>3</v>
      </c>
      <c r="E4897" s="17">
        <v>11.76</v>
      </c>
      <c r="F4897" s="16">
        <v>0.1</v>
      </c>
      <c r="G4897" s="15" t="s">
        <v>32</v>
      </c>
      <c r="H4897" s="18">
        <v>-2.83</v>
      </c>
      <c r="I4897" s="19">
        <v>4.13</v>
      </c>
      <c r="J4897" s="19">
        <v>0.5</v>
      </c>
      <c r="K4897" s="19" t="s">
        <v>97</v>
      </c>
      <c r="L4897" s="19" t="s">
        <v>98</v>
      </c>
      <c r="M4897" s="15" t="s">
        <v>2161</v>
      </c>
      <c r="N4897" s="15" t="s">
        <v>36</v>
      </c>
      <c r="O4897" s="15" t="s">
        <v>114</v>
      </c>
      <c r="P4897" s="20" t="s">
        <v>653</v>
      </c>
      <c r="Q4897" s="15" t="s">
        <v>83</v>
      </c>
      <c r="R4897" s="4"/>
      <c r="S4897" s="4"/>
    </row>
    <row r="4898" spans="1:19" ht="21" customHeight="1" x14ac:dyDescent="0.25">
      <c r="A4898" s="14">
        <f>DATE(2012,12,31)-811</f>
        <v>40463</v>
      </c>
      <c r="B4898" s="15" t="s">
        <v>705</v>
      </c>
      <c r="C4898" s="15" t="s">
        <v>85</v>
      </c>
      <c r="D4898" s="16">
        <v>22</v>
      </c>
      <c r="E4898" s="17">
        <v>100.13</v>
      </c>
      <c r="F4898" s="16">
        <v>0.08</v>
      </c>
      <c r="G4898" s="15" t="s">
        <v>32</v>
      </c>
      <c r="H4898" s="18">
        <v>19.77</v>
      </c>
      <c r="I4898" s="19">
        <v>4.7300000000000004</v>
      </c>
      <c r="J4898" s="19">
        <v>1.52</v>
      </c>
      <c r="K4898" s="19" t="s">
        <v>97</v>
      </c>
      <c r="L4898" s="19" t="s">
        <v>98</v>
      </c>
      <c r="M4898" s="15" t="s">
        <v>2161</v>
      </c>
      <c r="N4898" s="15" t="s">
        <v>36</v>
      </c>
      <c r="O4898" s="15" t="s">
        <v>117</v>
      </c>
      <c r="P4898" s="20" t="s">
        <v>675</v>
      </c>
      <c r="Q4898" s="15" t="s">
        <v>79</v>
      </c>
      <c r="R4898" s="4"/>
      <c r="S4898" s="4"/>
    </row>
    <row r="4899" spans="1:19" ht="21" customHeight="1" x14ac:dyDescent="0.25">
      <c r="A4899" s="14">
        <f>DATE(2012,12,31)-811</f>
        <v>40463</v>
      </c>
      <c r="B4899" s="15" t="s">
        <v>705</v>
      </c>
      <c r="C4899" s="15" t="s">
        <v>85</v>
      </c>
      <c r="D4899" s="16">
        <v>3</v>
      </c>
      <c r="E4899" s="17">
        <v>1192.93</v>
      </c>
      <c r="F4899" s="16">
        <v>7.0000000000000007E-2</v>
      </c>
      <c r="G4899" s="15" t="s">
        <v>32</v>
      </c>
      <c r="H4899" s="18">
        <v>-434.81</v>
      </c>
      <c r="I4899" s="19">
        <v>419.19</v>
      </c>
      <c r="J4899" s="19">
        <v>19.989999999999998</v>
      </c>
      <c r="K4899" s="19" t="s">
        <v>97</v>
      </c>
      <c r="L4899" s="19" t="s">
        <v>98</v>
      </c>
      <c r="M4899" s="15" t="s">
        <v>2161</v>
      </c>
      <c r="N4899" s="15" t="s">
        <v>36</v>
      </c>
      <c r="O4899" s="15" t="s">
        <v>37</v>
      </c>
      <c r="P4899" s="20" t="s">
        <v>1168</v>
      </c>
      <c r="Q4899" s="15" t="s">
        <v>83</v>
      </c>
      <c r="R4899" s="4"/>
      <c r="S4899" s="4"/>
    </row>
    <row r="4900" spans="1:19" ht="21" customHeight="1" x14ac:dyDescent="0.25">
      <c r="A4900" s="14">
        <f>DATE(2012,12,31)-117</f>
        <v>41157</v>
      </c>
      <c r="B4900" s="15" t="s">
        <v>1018</v>
      </c>
      <c r="C4900" s="15" t="s">
        <v>31</v>
      </c>
      <c r="D4900" s="16">
        <v>26</v>
      </c>
      <c r="E4900" s="17">
        <v>53.93</v>
      </c>
      <c r="F4900" s="16">
        <v>0.04</v>
      </c>
      <c r="G4900" s="15" t="s">
        <v>32</v>
      </c>
      <c r="H4900" s="18">
        <v>-10.948</v>
      </c>
      <c r="I4900" s="19">
        <v>2.08</v>
      </c>
      <c r="J4900" s="19">
        <v>1.49</v>
      </c>
      <c r="K4900" s="19" t="s">
        <v>97</v>
      </c>
      <c r="L4900" s="19" t="s">
        <v>567</v>
      </c>
      <c r="M4900" s="15" t="s">
        <v>568</v>
      </c>
      <c r="N4900" s="15" t="s">
        <v>36</v>
      </c>
      <c r="O4900" s="15" t="s">
        <v>170</v>
      </c>
      <c r="P4900" s="20" t="s">
        <v>1907</v>
      </c>
      <c r="Q4900" s="15" t="s">
        <v>83</v>
      </c>
      <c r="R4900" s="4"/>
      <c r="S4900" s="4"/>
    </row>
    <row r="4901" spans="1:19" ht="21" customHeight="1" x14ac:dyDescent="0.25">
      <c r="A4901" s="14">
        <f>DATE(2012,12,31)-459</f>
        <v>40815</v>
      </c>
      <c r="B4901" s="15" t="s">
        <v>167</v>
      </c>
      <c r="C4901" s="15" t="s">
        <v>85</v>
      </c>
      <c r="D4901" s="16">
        <v>49</v>
      </c>
      <c r="E4901" s="17">
        <v>651.9</v>
      </c>
      <c r="F4901" s="16">
        <v>0.16</v>
      </c>
      <c r="G4901" s="15" t="s">
        <v>32</v>
      </c>
      <c r="H4901" s="18">
        <v>-74.510000000000005</v>
      </c>
      <c r="I4901" s="19">
        <v>13.73</v>
      </c>
      <c r="J4901" s="19">
        <v>6.85</v>
      </c>
      <c r="K4901" s="19" t="s">
        <v>97</v>
      </c>
      <c r="L4901" s="19" t="s">
        <v>283</v>
      </c>
      <c r="M4901" s="15" t="s">
        <v>2205</v>
      </c>
      <c r="N4901" s="15" t="s">
        <v>54</v>
      </c>
      <c r="O4901" s="15" t="s">
        <v>55</v>
      </c>
      <c r="P4901" s="20" t="s">
        <v>360</v>
      </c>
      <c r="Q4901" s="15" t="s">
        <v>79</v>
      </c>
      <c r="R4901" s="4"/>
      <c r="S4901" s="4"/>
    </row>
    <row r="4902" spans="1:19" ht="21" customHeight="1" x14ac:dyDescent="0.25">
      <c r="A4902" s="14">
        <f>DATE(2012,12,31)-1202</f>
        <v>40072</v>
      </c>
      <c r="B4902" s="15" t="s">
        <v>696</v>
      </c>
      <c r="C4902" s="15" t="s">
        <v>51</v>
      </c>
      <c r="D4902" s="16">
        <v>44</v>
      </c>
      <c r="E4902" s="17">
        <v>284.38</v>
      </c>
      <c r="F4902" s="16">
        <v>0.04</v>
      </c>
      <c r="G4902" s="15" t="s">
        <v>32</v>
      </c>
      <c r="H4902" s="18">
        <v>-62.43</v>
      </c>
      <c r="I4902" s="19">
        <v>6.48</v>
      </c>
      <c r="J4902" s="19">
        <v>5.19</v>
      </c>
      <c r="K4902" s="19" t="s">
        <v>97</v>
      </c>
      <c r="L4902" s="19" t="s">
        <v>98</v>
      </c>
      <c r="M4902" s="15" t="s">
        <v>2161</v>
      </c>
      <c r="N4902" s="15" t="s">
        <v>36</v>
      </c>
      <c r="O4902" s="15" t="s">
        <v>117</v>
      </c>
      <c r="P4902" s="20" t="s">
        <v>2054</v>
      </c>
      <c r="Q4902" s="15" t="s">
        <v>83</v>
      </c>
      <c r="R4902" s="4"/>
      <c r="S4902" s="4"/>
    </row>
    <row r="4903" spans="1:19" ht="21" customHeight="1" x14ac:dyDescent="0.25">
      <c r="A4903" s="14">
        <f>DATE(2012,12,31)-693</f>
        <v>40581</v>
      </c>
      <c r="B4903" s="15" t="s">
        <v>300</v>
      </c>
      <c r="C4903" s="15" t="s">
        <v>85</v>
      </c>
      <c r="D4903" s="16">
        <v>37</v>
      </c>
      <c r="E4903" s="17">
        <v>187.37</v>
      </c>
      <c r="F4903" s="16">
        <v>0.01</v>
      </c>
      <c r="G4903" s="15" t="s">
        <v>32</v>
      </c>
      <c r="H4903" s="18">
        <v>-85.007999999999996</v>
      </c>
      <c r="I4903" s="19">
        <v>4.9800000000000004</v>
      </c>
      <c r="J4903" s="19">
        <v>4.95</v>
      </c>
      <c r="K4903" s="19" t="s">
        <v>124</v>
      </c>
      <c r="L4903" s="19" t="s">
        <v>160</v>
      </c>
      <c r="M4903" s="15" t="s">
        <v>2181</v>
      </c>
      <c r="N4903" s="15" t="s">
        <v>36</v>
      </c>
      <c r="O4903" s="15" t="s">
        <v>170</v>
      </c>
      <c r="P4903" s="20" t="s">
        <v>1570</v>
      </c>
      <c r="Q4903" s="15" t="s">
        <v>83</v>
      </c>
      <c r="R4903" s="4"/>
      <c r="S4903" s="4"/>
    </row>
    <row r="4904" spans="1:19" ht="21" customHeight="1" x14ac:dyDescent="0.25">
      <c r="A4904" s="14">
        <f>DATE(2012,12,31)-1256</f>
        <v>40018</v>
      </c>
      <c r="B4904" s="15" t="s">
        <v>1944</v>
      </c>
      <c r="C4904" s="15" t="s">
        <v>85</v>
      </c>
      <c r="D4904" s="16">
        <v>43</v>
      </c>
      <c r="E4904" s="17">
        <v>84.61</v>
      </c>
      <c r="F4904" s="16">
        <v>0.03</v>
      </c>
      <c r="G4904" s="15" t="s">
        <v>32</v>
      </c>
      <c r="H4904" s="18">
        <v>-15.099500000000001</v>
      </c>
      <c r="I4904" s="19">
        <v>1.88</v>
      </c>
      <c r="J4904" s="19">
        <v>1.49</v>
      </c>
      <c r="K4904" s="19" t="s">
        <v>124</v>
      </c>
      <c r="L4904" s="19" t="s">
        <v>160</v>
      </c>
      <c r="M4904" s="15" t="s">
        <v>2181</v>
      </c>
      <c r="N4904" s="15" t="s">
        <v>36</v>
      </c>
      <c r="O4904" s="15" t="s">
        <v>170</v>
      </c>
      <c r="P4904" s="20" t="s">
        <v>1353</v>
      </c>
      <c r="Q4904" s="15" t="s">
        <v>83</v>
      </c>
      <c r="R4904" s="4"/>
      <c r="S4904" s="4"/>
    </row>
    <row r="4905" spans="1:19" ht="21" customHeight="1" x14ac:dyDescent="0.25">
      <c r="A4905" s="14">
        <f>DATE(2012,12,31)-1153</f>
        <v>40121</v>
      </c>
      <c r="B4905" s="15" t="s">
        <v>1028</v>
      </c>
      <c r="C4905" s="15" t="s">
        <v>85</v>
      </c>
      <c r="D4905" s="16">
        <v>31</v>
      </c>
      <c r="E4905" s="17">
        <v>906.01499999999999</v>
      </c>
      <c r="F4905" s="16">
        <v>0.05</v>
      </c>
      <c r="G4905" s="15" t="s">
        <v>32</v>
      </c>
      <c r="H4905" s="18">
        <v>248.67</v>
      </c>
      <c r="I4905" s="19">
        <v>35.99</v>
      </c>
      <c r="J4905" s="19">
        <v>5.99</v>
      </c>
      <c r="K4905" s="19" t="s">
        <v>124</v>
      </c>
      <c r="L4905" s="19" t="s">
        <v>160</v>
      </c>
      <c r="M4905" s="15" t="s">
        <v>2181</v>
      </c>
      <c r="N4905" s="15" t="s">
        <v>64</v>
      </c>
      <c r="O4905" s="15" t="s">
        <v>65</v>
      </c>
      <c r="P4905" s="20" t="s">
        <v>1577</v>
      </c>
      <c r="Q4905" s="15" t="s">
        <v>79</v>
      </c>
      <c r="R4905" s="4"/>
      <c r="S4905" s="4"/>
    </row>
    <row r="4906" spans="1:19" ht="21" customHeight="1" x14ac:dyDescent="0.25">
      <c r="A4906" s="14">
        <f>DATE(2012,12,31)-405</f>
        <v>40869</v>
      </c>
      <c r="B4906" s="15" t="s">
        <v>282</v>
      </c>
      <c r="C4906" s="15" t="s">
        <v>85</v>
      </c>
      <c r="D4906" s="16">
        <v>15</v>
      </c>
      <c r="E4906" s="17">
        <v>107.63</v>
      </c>
      <c r="F4906" s="16">
        <v>0</v>
      </c>
      <c r="G4906" s="15" t="s">
        <v>32</v>
      </c>
      <c r="H4906" s="18">
        <v>-29.888499999999997</v>
      </c>
      <c r="I4906" s="19">
        <v>6.81</v>
      </c>
      <c r="J4906" s="19">
        <v>5.48</v>
      </c>
      <c r="K4906" s="19" t="s">
        <v>124</v>
      </c>
      <c r="L4906" s="19" t="s">
        <v>160</v>
      </c>
      <c r="M4906" s="15" t="s">
        <v>2181</v>
      </c>
      <c r="N4906" s="15" t="s">
        <v>36</v>
      </c>
      <c r="O4906" s="15" t="s">
        <v>170</v>
      </c>
      <c r="P4906" s="20" t="s">
        <v>1533</v>
      </c>
      <c r="Q4906" s="15" t="s">
        <v>83</v>
      </c>
      <c r="R4906" s="4"/>
      <c r="S4906" s="4"/>
    </row>
    <row r="4907" spans="1:19" ht="21" customHeight="1" x14ac:dyDescent="0.25">
      <c r="A4907" s="14">
        <f>DATE(2012,12,31)-875</f>
        <v>40399</v>
      </c>
      <c r="B4907" s="15" t="s">
        <v>1080</v>
      </c>
      <c r="C4907" s="15" t="s">
        <v>51</v>
      </c>
      <c r="D4907" s="16">
        <v>3</v>
      </c>
      <c r="E4907" s="17">
        <v>24.36</v>
      </c>
      <c r="F4907" s="16">
        <v>0.08</v>
      </c>
      <c r="G4907" s="15" t="s">
        <v>101</v>
      </c>
      <c r="H4907" s="18">
        <v>10.039999999999999</v>
      </c>
      <c r="I4907" s="19">
        <v>4.82</v>
      </c>
      <c r="J4907" s="19">
        <v>5.72</v>
      </c>
      <c r="K4907" s="19" t="s">
        <v>124</v>
      </c>
      <c r="L4907" s="19" t="s">
        <v>160</v>
      </c>
      <c r="M4907" s="15" t="s">
        <v>2181</v>
      </c>
      <c r="N4907" s="15" t="s">
        <v>54</v>
      </c>
      <c r="O4907" s="15" t="s">
        <v>55</v>
      </c>
      <c r="P4907" s="20" t="s">
        <v>1562</v>
      </c>
      <c r="Q4907" s="15" t="s">
        <v>49</v>
      </c>
      <c r="R4907" s="4"/>
      <c r="S4907" s="4"/>
    </row>
    <row r="4908" spans="1:19" ht="21" customHeight="1" x14ac:dyDescent="0.25">
      <c r="A4908" s="14">
        <f>DATE(2012,12,31)-1165</f>
        <v>40109</v>
      </c>
      <c r="B4908" s="15" t="s">
        <v>1926</v>
      </c>
      <c r="C4908" s="15" t="s">
        <v>85</v>
      </c>
      <c r="D4908" s="16">
        <v>12</v>
      </c>
      <c r="E4908" s="17">
        <v>2230.9699999999998</v>
      </c>
      <c r="F4908" s="16">
        <v>0.06</v>
      </c>
      <c r="G4908" s="15" t="s">
        <v>58</v>
      </c>
      <c r="H4908" s="18">
        <v>273.27</v>
      </c>
      <c r="I4908" s="19">
        <v>180.98</v>
      </c>
      <c r="J4908" s="19">
        <v>26.2</v>
      </c>
      <c r="K4908" s="19" t="s">
        <v>124</v>
      </c>
      <c r="L4908" s="19" t="s">
        <v>160</v>
      </c>
      <c r="M4908" s="15" t="s">
        <v>2181</v>
      </c>
      <c r="N4908" s="15" t="s">
        <v>54</v>
      </c>
      <c r="O4908" s="15" t="s">
        <v>252</v>
      </c>
      <c r="P4908" s="20" t="s">
        <v>1499</v>
      </c>
      <c r="Q4908" s="15" t="s">
        <v>181</v>
      </c>
      <c r="R4908" s="4"/>
      <c r="S4908" s="4"/>
    </row>
    <row r="4909" spans="1:19" ht="21" customHeight="1" x14ac:dyDescent="0.25">
      <c r="A4909" s="14">
        <f>DATE(2012,12,31)-1165</f>
        <v>40109</v>
      </c>
      <c r="B4909" s="15" t="s">
        <v>1926</v>
      </c>
      <c r="C4909" s="15" t="s">
        <v>85</v>
      </c>
      <c r="D4909" s="16">
        <v>25</v>
      </c>
      <c r="E4909" s="17">
        <v>200.77</v>
      </c>
      <c r="F4909" s="16">
        <v>0.01</v>
      </c>
      <c r="G4909" s="15" t="s">
        <v>32</v>
      </c>
      <c r="H4909" s="18">
        <v>-60.61</v>
      </c>
      <c r="I4909" s="19">
        <v>7.28</v>
      </c>
      <c r="J4909" s="19">
        <v>7.98</v>
      </c>
      <c r="K4909" s="19" t="s">
        <v>124</v>
      </c>
      <c r="L4909" s="19" t="s">
        <v>493</v>
      </c>
      <c r="M4909" s="15" t="s">
        <v>2206</v>
      </c>
      <c r="N4909" s="15" t="s">
        <v>54</v>
      </c>
      <c r="O4909" s="15" t="s">
        <v>55</v>
      </c>
      <c r="P4909" s="20" t="s">
        <v>147</v>
      </c>
      <c r="Q4909" s="15" t="s">
        <v>79</v>
      </c>
      <c r="R4909" s="4"/>
      <c r="S4909" s="4"/>
    </row>
    <row r="4910" spans="1:19" ht="21" customHeight="1" x14ac:dyDescent="0.25">
      <c r="A4910" s="14">
        <f>DATE(2012,12,31)-1084</f>
        <v>40190</v>
      </c>
      <c r="B4910" s="15" t="s">
        <v>2016</v>
      </c>
      <c r="C4910" s="15" t="s">
        <v>85</v>
      </c>
      <c r="D4910" s="16">
        <v>15</v>
      </c>
      <c r="E4910" s="17">
        <v>1057.06</v>
      </c>
      <c r="F4910" s="16">
        <v>0.08</v>
      </c>
      <c r="G4910" s="15" t="s">
        <v>58</v>
      </c>
      <c r="H4910" s="18">
        <v>-403.74</v>
      </c>
      <c r="I4910" s="19">
        <v>68.81</v>
      </c>
      <c r="J4910" s="19">
        <v>60</v>
      </c>
      <c r="K4910" s="19" t="s">
        <v>124</v>
      </c>
      <c r="L4910" s="19" t="s">
        <v>160</v>
      </c>
      <c r="M4910" s="15" t="s">
        <v>2181</v>
      </c>
      <c r="N4910" s="15" t="s">
        <v>36</v>
      </c>
      <c r="O4910" s="15" t="s">
        <v>176</v>
      </c>
      <c r="P4910" s="20" t="s">
        <v>363</v>
      </c>
      <c r="Q4910" s="15" t="s">
        <v>181</v>
      </c>
      <c r="R4910" s="4"/>
      <c r="S4910" s="4"/>
    </row>
    <row r="4911" spans="1:19" ht="21" customHeight="1" x14ac:dyDescent="0.25">
      <c r="A4911" s="14">
        <f>DATE(2012,12,31)-37</f>
        <v>41237</v>
      </c>
      <c r="B4911" s="15" t="s">
        <v>1026</v>
      </c>
      <c r="C4911" s="15" t="s">
        <v>85</v>
      </c>
      <c r="D4911" s="16">
        <v>45</v>
      </c>
      <c r="E4911" s="17">
        <v>4475</v>
      </c>
      <c r="F4911" s="16">
        <v>0.02</v>
      </c>
      <c r="G4911" s="15" t="s">
        <v>58</v>
      </c>
      <c r="H4911" s="18">
        <v>-1523.77</v>
      </c>
      <c r="I4911" s="19">
        <v>95.95</v>
      </c>
      <c r="J4911" s="19">
        <v>74.349999999999994</v>
      </c>
      <c r="K4911" s="19" t="s">
        <v>124</v>
      </c>
      <c r="L4911" s="19" t="s">
        <v>158</v>
      </c>
      <c r="M4911" s="15" t="s">
        <v>158</v>
      </c>
      <c r="N4911" s="15" t="s">
        <v>54</v>
      </c>
      <c r="O4911" s="15" t="s">
        <v>252</v>
      </c>
      <c r="P4911" s="20" t="s">
        <v>540</v>
      </c>
      <c r="Q4911" s="15" t="s">
        <v>181</v>
      </c>
      <c r="R4911" s="4"/>
      <c r="S4911" s="4"/>
    </row>
    <row r="4912" spans="1:19" ht="21" customHeight="1" x14ac:dyDescent="0.25">
      <c r="A4912" s="14">
        <f>DATE(2012,12,31)-37</f>
        <v>41237</v>
      </c>
      <c r="B4912" s="15" t="s">
        <v>1026</v>
      </c>
      <c r="C4912" s="15" t="s">
        <v>85</v>
      </c>
      <c r="D4912" s="16">
        <v>29</v>
      </c>
      <c r="E4912" s="17">
        <v>168.2</v>
      </c>
      <c r="F4912" s="16">
        <v>0.08</v>
      </c>
      <c r="G4912" s="15" t="s">
        <v>32</v>
      </c>
      <c r="H4912" s="18">
        <v>-64.53</v>
      </c>
      <c r="I4912" s="19">
        <v>5.98</v>
      </c>
      <c r="J4912" s="19">
        <v>5.46</v>
      </c>
      <c r="K4912" s="19" t="s">
        <v>124</v>
      </c>
      <c r="L4912" s="19" t="s">
        <v>319</v>
      </c>
      <c r="M4912" s="15" t="s">
        <v>2214</v>
      </c>
      <c r="N4912" s="15" t="s">
        <v>36</v>
      </c>
      <c r="O4912" s="15" t="s">
        <v>117</v>
      </c>
      <c r="P4912" s="20" t="s">
        <v>1879</v>
      </c>
      <c r="Q4912" s="15" t="s">
        <v>83</v>
      </c>
      <c r="R4912" s="4"/>
      <c r="S4912" s="4"/>
    </row>
    <row r="4913" spans="1:19" ht="21" customHeight="1" x14ac:dyDescent="0.25">
      <c r="A4913" s="14">
        <f>DATE(2012,12,31)-696</f>
        <v>40578</v>
      </c>
      <c r="B4913" s="15" t="s">
        <v>256</v>
      </c>
      <c r="C4913" s="15" t="s">
        <v>51</v>
      </c>
      <c r="D4913" s="16">
        <v>49</v>
      </c>
      <c r="E4913" s="17">
        <v>165.51</v>
      </c>
      <c r="F4913" s="16">
        <v>0.08</v>
      </c>
      <c r="G4913" s="15" t="s">
        <v>32</v>
      </c>
      <c r="H4913" s="18">
        <v>-269.90499999999997</v>
      </c>
      <c r="I4913" s="19">
        <v>3.52</v>
      </c>
      <c r="J4913" s="19">
        <v>6.83</v>
      </c>
      <c r="K4913" s="19" t="s">
        <v>124</v>
      </c>
      <c r="L4913" s="19" t="s">
        <v>164</v>
      </c>
      <c r="M4913" s="15" t="s">
        <v>2171</v>
      </c>
      <c r="N4913" s="15" t="s">
        <v>36</v>
      </c>
      <c r="O4913" s="15" t="s">
        <v>170</v>
      </c>
      <c r="P4913" s="20" t="s">
        <v>1859</v>
      </c>
      <c r="Q4913" s="15" t="s">
        <v>83</v>
      </c>
      <c r="R4913" s="4"/>
      <c r="S4913" s="4"/>
    </row>
    <row r="4914" spans="1:19" ht="21" customHeight="1" x14ac:dyDescent="0.25">
      <c r="A4914" s="14">
        <f>DATE(2012,12,31)-825</f>
        <v>40449</v>
      </c>
      <c r="B4914" s="15" t="s">
        <v>648</v>
      </c>
      <c r="C4914" s="15" t="s">
        <v>85</v>
      </c>
      <c r="D4914" s="16">
        <v>15</v>
      </c>
      <c r="E4914" s="17">
        <v>609.97</v>
      </c>
      <c r="F4914" s="16">
        <v>0</v>
      </c>
      <c r="G4914" s="15" t="s">
        <v>32</v>
      </c>
      <c r="H4914" s="18">
        <v>62.93</v>
      </c>
      <c r="I4914" s="19">
        <v>39.479999999999997</v>
      </c>
      <c r="J4914" s="19">
        <v>1.99</v>
      </c>
      <c r="K4914" s="19" t="s">
        <v>124</v>
      </c>
      <c r="L4914" s="19" t="s">
        <v>158</v>
      </c>
      <c r="M4914" s="15" t="s">
        <v>158</v>
      </c>
      <c r="N4914" s="15" t="s">
        <v>64</v>
      </c>
      <c r="O4914" s="15" t="s">
        <v>72</v>
      </c>
      <c r="P4914" s="20" t="s">
        <v>218</v>
      </c>
      <c r="Q4914" s="15" t="s">
        <v>49</v>
      </c>
      <c r="R4914" s="4"/>
      <c r="S4914" s="4"/>
    </row>
    <row r="4915" spans="1:19" ht="21" customHeight="1" x14ac:dyDescent="0.25">
      <c r="A4915" s="14">
        <f>DATE(2012,12,31)-882</f>
        <v>40392</v>
      </c>
      <c r="B4915" s="15" t="s">
        <v>942</v>
      </c>
      <c r="C4915" s="15" t="s">
        <v>43</v>
      </c>
      <c r="D4915" s="16">
        <v>7</v>
      </c>
      <c r="E4915" s="17">
        <v>140.77000000000001</v>
      </c>
      <c r="F4915" s="16">
        <v>0.01</v>
      </c>
      <c r="G4915" s="15" t="s">
        <v>32</v>
      </c>
      <c r="H4915" s="18">
        <v>100.77</v>
      </c>
      <c r="I4915" s="19">
        <v>18.649999999999999</v>
      </c>
      <c r="J4915" s="19">
        <v>3.77</v>
      </c>
      <c r="K4915" s="19" t="s">
        <v>44</v>
      </c>
      <c r="L4915" s="19" t="s">
        <v>52</v>
      </c>
      <c r="M4915" s="15" t="s">
        <v>2183</v>
      </c>
      <c r="N4915" s="15" t="s">
        <v>54</v>
      </c>
      <c r="O4915" s="15" t="s">
        <v>55</v>
      </c>
      <c r="P4915" s="20" t="s">
        <v>1764</v>
      </c>
      <c r="Q4915" s="15" t="s">
        <v>49</v>
      </c>
      <c r="R4915" s="4"/>
      <c r="S4915" s="4"/>
    </row>
    <row r="4916" spans="1:19" ht="21" customHeight="1" x14ac:dyDescent="0.25">
      <c r="A4916" s="14">
        <f>DATE(2012,12,31)-882</f>
        <v>40392</v>
      </c>
      <c r="B4916" s="15" t="s">
        <v>942</v>
      </c>
      <c r="C4916" s="15" t="s">
        <v>43</v>
      </c>
      <c r="D4916" s="16">
        <v>25</v>
      </c>
      <c r="E4916" s="17">
        <v>848.19</v>
      </c>
      <c r="F4916" s="16">
        <v>0.06</v>
      </c>
      <c r="G4916" s="15" t="s">
        <v>101</v>
      </c>
      <c r="H4916" s="18">
        <v>120.02</v>
      </c>
      <c r="I4916" s="19">
        <v>34.76</v>
      </c>
      <c r="J4916" s="19">
        <v>5.49</v>
      </c>
      <c r="K4916" s="19" t="s">
        <v>44</v>
      </c>
      <c r="L4916" s="19" t="s">
        <v>52</v>
      </c>
      <c r="M4916" s="15" t="s">
        <v>2183</v>
      </c>
      <c r="N4916" s="15" t="s">
        <v>36</v>
      </c>
      <c r="O4916" s="15" t="s">
        <v>37</v>
      </c>
      <c r="P4916" s="20" t="s">
        <v>906</v>
      </c>
      <c r="Q4916" s="15" t="s">
        <v>83</v>
      </c>
      <c r="R4916" s="4"/>
      <c r="S4916" s="4"/>
    </row>
    <row r="4917" spans="1:19" ht="21" customHeight="1" x14ac:dyDescent="0.25">
      <c r="A4917" s="14">
        <f>DATE(2012,12,31)-882</f>
        <v>40392</v>
      </c>
      <c r="B4917" s="15" t="s">
        <v>942</v>
      </c>
      <c r="C4917" s="15" t="s">
        <v>43</v>
      </c>
      <c r="D4917" s="16">
        <v>12</v>
      </c>
      <c r="E4917" s="17">
        <v>562.15</v>
      </c>
      <c r="F4917" s="16">
        <v>0.01</v>
      </c>
      <c r="G4917" s="15" t="s">
        <v>32</v>
      </c>
      <c r="H4917" s="18">
        <v>148.34</v>
      </c>
      <c r="I4917" s="19">
        <v>46.89</v>
      </c>
      <c r="J4917" s="19">
        <v>5.0999999999999996</v>
      </c>
      <c r="K4917" s="19" t="s">
        <v>124</v>
      </c>
      <c r="L4917" s="19" t="s">
        <v>319</v>
      </c>
      <c r="M4917" s="15" t="s">
        <v>2214</v>
      </c>
      <c r="N4917" s="15" t="s">
        <v>36</v>
      </c>
      <c r="O4917" s="15" t="s">
        <v>176</v>
      </c>
      <c r="P4917" s="20" t="s">
        <v>1451</v>
      </c>
      <c r="Q4917" s="15" t="s">
        <v>57</v>
      </c>
      <c r="R4917" s="4"/>
      <c r="S4917" s="4"/>
    </row>
    <row r="4918" spans="1:19" ht="21" customHeight="1" x14ac:dyDescent="0.25">
      <c r="A4918" s="14">
        <f>DATE(2012,12,31)-21</f>
        <v>41253</v>
      </c>
      <c r="B4918" s="15" t="s">
        <v>1954</v>
      </c>
      <c r="C4918" s="15" t="s">
        <v>43</v>
      </c>
      <c r="D4918" s="16">
        <v>14</v>
      </c>
      <c r="E4918" s="17">
        <v>154.44999999999999</v>
      </c>
      <c r="F4918" s="16">
        <v>0.09</v>
      </c>
      <c r="G4918" s="15" t="s">
        <v>32</v>
      </c>
      <c r="H4918" s="18">
        <v>-2.31</v>
      </c>
      <c r="I4918" s="19">
        <v>10.98</v>
      </c>
      <c r="J4918" s="19">
        <v>3.37</v>
      </c>
      <c r="K4918" s="19" t="s">
        <v>124</v>
      </c>
      <c r="L4918" s="19" t="s">
        <v>319</v>
      </c>
      <c r="M4918" s="15" t="s">
        <v>2214</v>
      </c>
      <c r="N4918" s="15" t="s">
        <v>36</v>
      </c>
      <c r="O4918" s="15" t="s">
        <v>47</v>
      </c>
      <c r="P4918" s="20" t="s">
        <v>1698</v>
      </c>
      <c r="Q4918" s="15" t="s">
        <v>49</v>
      </c>
      <c r="R4918" s="4"/>
      <c r="S4918" s="4"/>
    </row>
    <row r="4919" spans="1:19" ht="21" customHeight="1" x14ac:dyDescent="0.25">
      <c r="A4919" s="14">
        <f>DATE(2012,12,31)-206</f>
        <v>41068</v>
      </c>
      <c r="B4919" s="15" t="s">
        <v>303</v>
      </c>
      <c r="C4919" s="15" t="s">
        <v>85</v>
      </c>
      <c r="D4919" s="16">
        <v>10</v>
      </c>
      <c r="E4919" s="17">
        <v>126.79</v>
      </c>
      <c r="F4919" s="16">
        <v>0.04</v>
      </c>
      <c r="G4919" s="15" t="s">
        <v>32</v>
      </c>
      <c r="H4919" s="18">
        <v>-16.38</v>
      </c>
      <c r="I4919" s="19">
        <v>11.97</v>
      </c>
      <c r="J4919" s="19">
        <v>4.9800000000000004</v>
      </c>
      <c r="K4919" s="19" t="s">
        <v>44</v>
      </c>
      <c r="L4919" s="19" t="s">
        <v>52</v>
      </c>
      <c r="M4919" s="15" t="s">
        <v>2183</v>
      </c>
      <c r="N4919" s="15" t="s">
        <v>36</v>
      </c>
      <c r="O4919" s="15" t="s">
        <v>176</v>
      </c>
      <c r="P4919" s="20" t="s">
        <v>1735</v>
      </c>
      <c r="Q4919" s="15" t="s">
        <v>83</v>
      </c>
      <c r="R4919" s="4"/>
      <c r="S4919" s="4"/>
    </row>
    <row r="4920" spans="1:19" ht="21" customHeight="1" x14ac:dyDescent="0.25">
      <c r="A4920" s="14">
        <f>DATE(2012,12,31)-206</f>
        <v>41068</v>
      </c>
      <c r="B4920" s="15" t="s">
        <v>303</v>
      </c>
      <c r="C4920" s="15" t="s">
        <v>85</v>
      </c>
      <c r="D4920" s="16">
        <v>11</v>
      </c>
      <c r="E4920" s="17">
        <v>1770.2015000000001</v>
      </c>
      <c r="F4920" s="16">
        <v>0.08</v>
      </c>
      <c r="G4920" s="15" t="s">
        <v>32</v>
      </c>
      <c r="H4920" s="18">
        <v>-165.94600000000003</v>
      </c>
      <c r="I4920" s="19">
        <v>195.99</v>
      </c>
      <c r="J4920" s="19">
        <v>4.2</v>
      </c>
      <c r="K4920" s="19" t="s">
        <v>44</v>
      </c>
      <c r="L4920" s="19" t="s">
        <v>52</v>
      </c>
      <c r="M4920" s="15" t="s">
        <v>2183</v>
      </c>
      <c r="N4920" s="15" t="s">
        <v>64</v>
      </c>
      <c r="O4920" s="15" t="s">
        <v>65</v>
      </c>
      <c r="P4920" s="20" t="s">
        <v>1216</v>
      </c>
      <c r="Q4920" s="15" t="s">
        <v>83</v>
      </c>
      <c r="R4920" s="4"/>
      <c r="S4920" s="4"/>
    </row>
    <row r="4921" spans="1:19" ht="21" customHeight="1" x14ac:dyDescent="0.25">
      <c r="A4921" s="14">
        <f>DATE(2012,12,31)-257</f>
        <v>41017</v>
      </c>
      <c r="B4921" s="15" t="s">
        <v>595</v>
      </c>
      <c r="C4921" s="15" t="s">
        <v>43</v>
      </c>
      <c r="D4921" s="16">
        <v>44</v>
      </c>
      <c r="E4921" s="17">
        <v>486.63</v>
      </c>
      <c r="F4921" s="16">
        <v>0.03</v>
      </c>
      <c r="G4921" s="15" t="s">
        <v>32</v>
      </c>
      <c r="H4921" s="18">
        <v>-146.37</v>
      </c>
      <c r="I4921" s="19">
        <v>10.9</v>
      </c>
      <c r="J4921" s="19">
        <v>7.46</v>
      </c>
      <c r="K4921" s="19" t="s">
        <v>44</v>
      </c>
      <c r="L4921" s="19" t="s">
        <v>52</v>
      </c>
      <c r="M4921" s="15" t="s">
        <v>2183</v>
      </c>
      <c r="N4921" s="15" t="s">
        <v>36</v>
      </c>
      <c r="O4921" s="15" t="s">
        <v>37</v>
      </c>
      <c r="P4921" s="20" t="s">
        <v>940</v>
      </c>
      <c r="Q4921" s="15" t="s">
        <v>83</v>
      </c>
      <c r="R4921" s="4"/>
      <c r="S4921" s="4"/>
    </row>
    <row r="4922" spans="1:19" ht="21" customHeight="1" x14ac:dyDescent="0.25">
      <c r="A4922" s="14">
        <f>DATE(2012,12,31)-1356</f>
        <v>39918</v>
      </c>
      <c r="B4922" s="15" t="s">
        <v>747</v>
      </c>
      <c r="C4922" s="15" t="s">
        <v>43</v>
      </c>
      <c r="D4922" s="16">
        <v>28</v>
      </c>
      <c r="E4922" s="17">
        <v>443.73</v>
      </c>
      <c r="F4922" s="16">
        <v>0.01</v>
      </c>
      <c r="G4922" s="15" t="s">
        <v>32</v>
      </c>
      <c r="H4922" s="18">
        <v>-200.85899999999998</v>
      </c>
      <c r="I4922" s="19">
        <v>15.16</v>
      </c>
      <c r="J4922" s="19">
        <v>15.09</v>
      </c>
      <c r="K4922" s="19" t="s">
        <v>44</v>
      </c>
      <c r="L4922" s="19" t="s">
        <v>52</v>
      </c>
      <c r="M4922" s="15" t="s">
        <v>2183</v>
      </c>
      <c r="N4922" s="15" t="s">
        <v>36</v>
      </c>
      <c r="O4922" s="15" t="s">
        <v>170</v>
      </c>
      <c r="P4922" s="20" t="s">
        <v>1947</v>
      </c>
      <c r="Q4922" s="15" t="s">
        <v>83</v>
      </c>
      <c r="R4922" s="4"/>
      <c r="S4922" s="4"/>
    </row>
    <row r="4923" spans="1:19" ht="21" customHeight="1" x14ac:dyDescent="0.25">
      <c r="A4923" s="14">
        <f>DATE(2012,12,31)-760</f>
        <v>40514</v>
      </c>
      <c r="B4923" s="15" t="s">
        <v>136</v>
      </c>
      <c r="C4923" s="15" t="s">
        <v>43</v>
      </c>
      <c r="D4923" s="16">
        <v>23</v>
      </c>
      <c r="E4923" s="17">
        <v>1196.8599999999999</v>
      </c>
      <c r="F4923" s="16">
        <v>0.06</v>
      </c>
      <c r="G4923" s="15" t="s">
        <v>32</v>
      </c>
      <c r="H4923" s="18">
        <v>-12.51</v>
      </c>
      <c r="I4923" s="19">
        <v>50.98</v>
      </c>
      <c r="J4923" s="19">
        <v>6.5</v>
      </c>
      <c r="K4923" s="19" t="s">
        <v>44</v>
      </c>
      <c r="L4923" s="19" t="s">
        <v>52</v>
      </c>
      <c r="M4923" s="15" t="s">
        <v>2183</v>
      </c>
      <c r="N4923" s="15" t="s">
        <v>64</v>
      </c>
      <c r="O4923" s="15" t="s">
        <v>72</v>
      </c>
      <c r="P4923" s="20" t="s">
        <v>1422</v>
      </c>
      <c r="Q4923" s="15" t="s">
        <v>83</v>
      </c>
      <c r="R4923" s="4"/>
      <c r="S4923" s="4"/>
    </row>
    <row r="4924" spans="1:19" ht="21" customHeight="1" x14ac:dyDescent="0.25">
      <c r="A4924" s="14">
        <f>DATE(2012,12,31)-896</f>
        <v>40378</v>
      </c>
      <c r="B4924" s="15" t="s">
        <v>1929</v>
      </c>
      <c r="C4924" s="15" t="s">
        <v>43</v>
      </c>
      <c r="D4924" s="16">
        <v>45</v>
      </c>
      <c r="E4924" s="17">
        <v>125.21</v>
      </c>
      <c r="F4924" s="16">
        <v>0.01</v>
      </c>
      <c r="G4924" s="15" t="s">
        <v>101</v>
      </c>
      <c r="H4924" s="18">
        <v>37.99</v>
      </c>
      <c r="I4924" s="19">
        <v>2.62</v>
      </c>
      <c r="J4924" s="19">
        <v>0.8</v>
      </c>
      <c r="K4924" s="19" t="s">
        <v>44</v>
      </c>
      <c r="L4924" s="19" t="s">
        <v>52</v>
      </c>
      <c r="M4924" s="15" t="s">
        <v>2183</v>
      </c>
      <c r="N4924" s="15" t="s">
        <v>36</v>
      </c>
      <c r="O4924" s="15" t="s">
        <v>105</v>
      </c>
      <c r="P4924" s="20" t="s">
        <v>915</v>
      </c>
      <c r="Q4924" s="15" t="s">
        <v>79</v>
      </c>
      <c r="R4924" s="4"/>
      <c r="S4924" s="4"/>
    </row>
    <row r="4925" spans="1:19" ht="21" customHeight="1" x14ac:dyDescent="0.25">
      <c r="A4925" s="14">
        <f>DATE(2012,12,31)-896</f>
        <v>40378</v>
      </c>
      <c r="B4925" s="15" t="s">
        <v>1929</v>
      </c>
      <c r="C4925" s="15" t="s">
        <v>43</v>
      </c>
      <c r="D4925" s="16">
        <v>9</v>
      </c>
      <c r="E4925" s="17">
        <v>924.11149999999998</v>
      </c>
      <c r="F4925" s="16">
        <v>0.06</v>
      </c>
      <c r="G4925" s="15" t="s">
        <v>32</v>
      </c>
      <c r="H4925" s="18">
        <v>-287.99099999999999</v>
      </c>
      <c r="I4925" s="19">
        <v>125.99</v>
      </c>
      <c r="J4925" s="19">
        <v>8.08</v>
      </c>
      <c r="K4925" s="19" t="s">
        <v>44</v>
      </c>
      <c r="L4925" s="19" t="s">
        <v>52</v>
      </c>
      <c r="M4925" s="15" t="s">
        <v>2183</v>
      </c>
      <c r="N4925" s="15" t="s">
        <v>64</v>
      </c>
      <c r="O4925" s="15" t="s">
        <v>65</v>
      </c>
      <c r="P4925" s="20" t="s">
        <v>535</v>
      </c>
      <c r="Q4925" s="15" t="s">
        <v>83</v>
      </c>
      <c r="R4925" s="4"/>
      <c r="S4925" s="4"/>
    </row>
    <row r="4926" spans="1:19" ht="21" customHeight="1" x14ac:dyDescent="0.25">
      <c r="A4926" s="14">
        <f>DATE(2012,12,31)-273</f>
        <v>41001</v>
      </c>
      <c r="B4926" s="15" t="s">
        <v>243</v>
      </c>
      <c r="C4926" s="15" t="s">
        <v>85</v>
      </c>
      <c r="D4926" s="16">
        <v>44</v>
      </c>
      <c r="E4926" s="17">
        <v>565.01</v>
      </c>
      <c r="F4926" s="16">
        <v>0.1</v>
      </c>
      <c r="G4926" s="15" t="s">
        <v>32</v>
      </c>
      <c r="H4926" s="18">
        <v>-10.33</v>
      </c>
      <c r="I4926" s="19">
        <v>13.48</v>
      </c>
      <c r="J4926" s="19">
        <v>4.51</v>
      </c>
      <c r="K4926" s="19" t="s">
        <v>44</v>
      </c>
      <c r="L4926" s="19" t="s">
        <v>52</v>
      </c>
      <c r="M4926" s="15" t="s">
        <v>2183</v>
      </c>
      <c r="N4926" s="15" t="s">
        <v>36</v>
      </c>
      <c r="O4926" s="15" t="s">
        <v>37</v>
      </c>
      <c r="P4926" s="20" t="s">
        <v>515</v>
      </c>
      <c r="Q4926" s="15" t="s">
        <v>83</v>
      </c>
      <c r="R4926" s="4"/>
      <c r="S4926" s="4"/>
    </row>
    <row r="4927" spans="1:19" ht="21" customHeight="1" x14ac:dyDescent="0.25">
      <c r="A4927" s="14">
        <f>DATE(2012,12,31)-891</f>
        <v>40383</v>
      </c>
      <c r="B4927" s="15" t="s">
        <v>219</v>
      </c>
      <c r="C4927" s="15" t="s">
        <v>85</v>
      </c>
      <c r="D4927" s="16">
        <v>21</v>
      </c>
      <c r="E4927" s="17">
        <v>151.86000000000001</v>
      </c>
      <c r="F4927" s="16">
        <v>0.1</v>
      </c>
      <c r="G4927" s="15" t="s">
        <v>101</v>
      </c>
      <c r="H4927" s="18">
        <v>-54.670999999999999</v>
      </c>
      <c r="I4927" s="19">
        <v>7.1</v>
      </c>
      <c r="J4927" s="19">
        <v>6.05</v>
      </c>
      <c r="K4927" s="19" t="s">
        <v>44</v>
      </c>
      <c r="L4927" s="19" t="s">
        <v>52</v>
      </c>
      <c r="M4927" s="15" t="s">
        <v>2183</v>
      </c>
      <c r="N4927" s="15" t="s">
        <v>36</v>
      </c>
      <c r="O4927" s="15" t="s">
        <v>170</v>
      </c>
      <c r="P4927" s="20" t="s">
        <v>913</v>
      </c>
      <c r="Q4927" s="15" t="s">
        <v>83</v>
      </c>
      <c r="R4927" s="4"/>
      <c r="S4927" s="4"/>
    </row>
    <row r="4928" spans="1:19" ht="21" customHeight="1" x14ac:dyDescent="0.25">
      <c r="A4928" s="14">
        <f>DATE(2012,12,31)-891</f>
        <v>40383</v>
      </c>
      <c r="B4928" s="15" t="s">
        <v>219</v>
      </c>
      <c r="C4928" s="15" t="s">
        <v>85</v>
      </c>
      <c r="D4928" s="16">
        <v>13</v>
      </c>
      <c r="E4928" s="17">
        <v>3583.87</v>
      </c>
      <c r="F4928" s="16">
        <v>7.0000000000000007E-2</v>
      </c>
      <c r="G4928" s="15" t="s">
        <v>58</v>
      </c>
      <c r="H4928" s="18">
        <v>-113.08</v>
      </c>
      <c r="I4928" s="19">
        <v>284.98</v>
      </c>
      <c r="J4928" s="19">
        <v>69.55</v>
      </c>
      <c r="K4928" s="19" t="s">
        <v>44</v>
      </c>
      <c r="L4928" s="19" t="s">
        <v>52</v>
      </c>
      <c r="M4928" s="15" t="s">
        <v>2183</v>
      </c>
      <c r="N4928" s="15" t="s">
        <v>54</v>
      </c>
      <c r="O4928" s="15" t="s">
        <v>252</v>
      </c>
      <c r="P4928" s="20" t="s">
        <v>1647</v>
      </c>
      <c r="Q4928" s="15" t="s">
        <v>181</v>
      </c>
      <c r="R4928" s="4"/>
      <c r="S4928" s="4"/>
    </row>
    <row r="4929" spans="1:19" ht="21" customHeight="1" x14ac:dyDescent="0.25">
      <c r="A4929" s="14">
        <f>DATE(2012,12,31)-891</f>
        <v>40383</v>
      </c>
      <c r="B4929" s="15" t="s">
        <v>219</v>
      </c>
      <c r="C4929" s="15" t="s">
        <v>85</v>
      </c>
      <c r="D4929" s="16">
        <v>45</v>
      </c>
      <c r="E4929" s="17">
        <v>4951.3599999999997</v>
      </c>
      <c r="F4929" s="16">
        <v>0.03</v>
      </c>
      <c r="G4929" s="15" t="s">
        <v>101</v>
      </c>
      <c r="H4929" s="18">
        <v>1759.72</v>
      </c>
      <c r="I4929" s="19">
        <v>107.53</v>
      </c>
      <c r="J4929" s="19">
        <v>5.81</v>
      </c>
      <c r="K4929" s="19" t="s">
        <v>44</v>
      </c>
      <c r="L4929" s="19" t="s">
        <v>52</v>
      </c>
      <c r="M4929" s="15" t="s">
        <v>2183</v>
      </c>
      <c r="N4929" s="15" t="s">
        <v>54</v>
      </c>
      <c r="O4929" s="15" t="s">
        <v>55</v>
      </c>
      <c r="P4929" s="20" t="s">
        <v>56</v>
      </c>
      <c r="Q4929" s="15" t="s">
        <v>57</v>
      </c>
      <c r="R4929" s="4"/>
      <c r="S4929" s="4"/>
    </row>
    <row r="4930" spans="1:19" ht="21" customHeight="1" x14ac:dyDescent="0.25">
      <c r="A4930" s="14">
        <f>DATE(2012,12,31)-936</f>
        <v>40338</v>
      </c>
      <c r="B4930" s="15" t="s">
        <v>2105</v>
      </c>
      <c r="C4930" s="15" t="s">
        <v>85</v>
      </c>
      <c r="D4930" s="16">
        <v>31</v>
      </c>
      <c r="E4930" s="17">
        <v>148.16999999999999</v>
      </c>
      <c r="F4930" s="16">
        <v>0</v>
      </c>
      <c r="G4930" s="15" t="s">
        <v>32</v>
      </c>
      <c r="H4930" s="18">
        <v>-7.06</v>
      </c>
      <c r="I4930" s="19">
        <v>4.71</v>
      </c>
      <c r="J4930" s="19">
        <v>0.7</v>
      </c>
      <c r="K4930" s="19" t="s">
        <v>44</v>
      </c>
      <c r="L4930" s="19" t="s">
        <v>52</v>
      </c>
      <c r="M4930" s="15" t="s">
        <v>2183</v>
      </c>
      <c r="N4930" s="15" t="s">
        <v>36</v>
      </c>
      <c r="O4930" s="15" t="s">
        <v>105</v>
      </c>
      <c r="P4930" s="20" t="s">
        <v>778</v>
      </c>
      <c r="Q4930" s="15" t="s">
        <v>79</v>
      </c>
      <c r="R4930" s="4"/>
      <c r="S4930" s="4"/>
    </row>
    <row r="4931" spans="1:19" ht="21" customHeight="1" x14ac:dyDescent="0.25">
      <c r="A4931" s="14">
        <f>DATE(2012,12,31)-451</f>
        <v>40823</v>
      </c>
      <c r="B4931" s="15" t="s">
        <v>136</v>
      </c>
      <c r="C4931" s="15" t="s">
        <v>51</v>
      </c>
      <c r="D4931" s="16">
        <v>29</v>
      </c>
      <c r="E4931" s="17">
        <v>81.099999999999994</v>
      </c>
      <c r="F4931" s="16">
        <v>0.06</v>
      </c>
      <c r="G4931" s="15" t="s">
        <v>32</v>
      </c>
      <c r="H4931" s="18">
        <v>-2.0699999999999998</v>
      </c>
      <c r="I4931" s="19">
        <v>2.94</v>
      </c>
      <c r="J4931" s="19">
        <v>0.96</v>
      </c>
      <c r="K4931" s="19" t="s">
        <v>44</v>
      </c>
      <c r="L4931" s="19" t="s">
        <v>52</v>
      </c>
      <c r="M4931" s="15" t="s">
        <v>2183</v>
      </c>
      <c r="N4931" s="15" t="s">
        <v>36</v>
      </c>
      <c r="O4931" s="15" t="s">
        <v>77</v>
      </c>
      <c r="P4931" s="20" t="s">
        <v>830</v>
      </c>
      <c r="Q4931" s="15" t="s">
        <v>79</v>
      </c>
      <c r="R4931" s="4"/>
      <c r="S4931" s="4"/>
    </row>
    <row r="4932" spans="1:19" ht="21" customHeight="1" x14ac:dyDescent="0.25">
      <c r="A4932" s="14">
        <f>DATE(2012,12,31)-870</f>
        <v>40404</v>
      </c>
      <c r="B4932" s="15" t="s">
        <v>1282</v>
      </c>
      <c r="C4932" s="15" t="s">
        <v>51</v>
      </c>
      <c r="D4932" s="16">
        <v>13</v>
      </c>
      <c r="E4932" s="17">
        <v>71.569999999999993</v>
      </c>
      <c r="F4932" s="16">
        <v>0.02</v>
      </c>
      <c r="G4932" s="15" t="s">
        <v>32</v>
      </c>
      <c r="H4932" s="18">
        <v>-30.6935</v>
      </c>
      <c r="I4932" s="19">
        <v>4.9800000000000004</v>
      </c>
      <c r="J4932" s="19">
        <v>4.95</v>
      </c>
      <c r="K4932" s="19" t="s">
        <v>44</v>
      </c>
      <c r="L4932" s="19" t="s">
        <v>80</v>
      </c>
      <c r="M4932" s="15" t="s">
        <v>2179</v>
      </c>
      <c r="N4932" s="15" t="s">
        <v>54</v>
      </c>
      <c r="O4932" s="15" t="s">
        <v>134</v>
      </c>
      <c r="P4932" s="20" t="s">
        <v>1113</v>
      </c>
      <c r="Q4932" s="15" t="s">
        <v>63</v>
      </c>
      <c r="R4932" s="4"/>
      <c r="S4932" s="4"/>
    </row>
    <row r="4933" spans="1:19" ht="21" customHeight="1" x14ac:dyDescent="0.25">
      <c r="A4933" s="14">
        <f>DATE(2012,12,31)-870</f>
        <v>40404</v>
      </c>
      <c r="B4933" s="15" t="s">
        <v>1282</v>
      </c>
      <c r="C4933" s="15" t="s">
        <v>51</v>
      </c>
      <c r="D4933" s="16">
        <v>32</v>
      </c>
      <c r="E4933" s="17">
        <v>2062.75</v>
      </c>
      <c r="F4933" s="16">
        <v>0.01</v>
      </c>
      <c r="G4933" s="15" t="s">
        <v>101</v>
      </c>
      <c r="H4933" s="18">
        <v>559.59</v>
      </c>
      <c r="I4933" s="19">
        <v>60.98</v>
      </c>
      <c r="J4933" s="19">
        <v>19.989999999999998</v>
      </c>
      <c r="K4933" s="19" t="s">
        <v>44</v>
      </c>
      <c r="L4933" s="19" t="s">
        <v>52</v>
      </c>
      <c r="M4933" s="15" t="s">
        <v>2183</v>
      </c>
      <c r="N4933" s="15" t="s">
        <v>54</v>
      </c>
      <c r="O4933" s="15" t="s">
        <v>61</v>
      </c>
      <c r="P4933" s="20" t="s">
        <v>1736</v>
      </c>
      <c r="Q4933" s="15" t="s">
        <v>39</v>
      </c>
      <c r="R4933" s="4"/>
      <c r="S4933" s="4"/>
    </row>
    <row r="4934" spans="1:19" ht="21" customHeight="1" x14ac:dyDescent="0.25">
      <c r="A4934" s="14">
        <f>DATE(2012,12,31)-253</f>
        <v>41021</v>
      </c>
      <c r="B4934" s="15" t="s">
        <v>1589</v>
      </c>
      <c r="C4934" s="15" t="s">
        <v>51</v>
      </c>
      <c r="D4934" s="16">
        <v>1</v>
      </c>
      <c r="E4934" s="17">
        <v>36.31</v>
      </c>
      <c r="F4934" s="16">
        <v>0.04</v>
      </c>
      <c r="G4934" s="15" t="s">
        <v>32</v>
      </c>
      <c r="H4934" s="18">
        <v>-74.45</v>
      </c>
      <c r="I4934" s="19">
        <v>29.99</v>
      </c>
      <c r="J4934" s="19">
        <v>5.5</v>
      </c>
      <c r="K4934" s="19" t="s">
        <v>44</v>
      </c>
      <c r="L4934" s="19" t="s">
        <v>52</v>
      </c>
      <c r="M4934" s="15" t="s">
        <v>2183</v>
      </c>
      <c r="N4934" s="15" t="s">
        <v>64</v>
      </c>
      <c r="O4934" s="15" t="s">
        <v>72</v>
      </c>
      <c r="P4934" s="20" t="s">
        <v>894</v>
      </c>
      <c r="Q4934" s="15" t="s">
        <v>83</v>
      </c>
      <c r="R4934" s="4"/>
      <c r="S4934" s="4"/>
    </row>
    <row r="4935" spans="1:19" ht="21" customHeight="1" x14ac:dyDescent="0.25">
      <c r="A4935" s="14">
        <f>DATE(2012,12,31)-253</f>
        <v>41021</v>
      </c>
      <c r="B4935" s="15" t="s">
        <v>1589</v>
      </c>
      <c r="C4935" s="15" t="s">
        <v>51</v>
      </c>
      <c r="D4935" s="16">
        <v>18</v>
      </c>
      <c r="E4935" s="17">
        <v>388.15</v>
      </c>
      <c r="F4935" s="16">
        <v>0</v>
      </c>
      <c r="G4935" s="15" t="s">
        <v>32</v>
      </c>
      <c r="H4935" s="18">
        <v>-44.21</v>
      </c>
      <c r="I4935" s="19">
        <v>19.940000000000001</v>
      </c>
      <c r="J4935" s="19">
        <v>14.87</v>
      </c>
      <c r="K4935" s="19" t="s">
        <v>44</v>
      </c>
      <c r="L4935" s="19" t="s">
        <v>52</v>
      </c>
      <c r="M4935" s="15" t="s">
        <v>2183</v>
      </c>
      <c r="N4935" s="15" t="s">
        <v>54</v>
      </c>
      <c r="O4935" s="15" t="s">
        <v>55</v>
      </c>
      <c r="P4935" s="20" t="s">
        <v>2064</v>
      </c>
      <c r="Q4935" s="15" t="s">
        <v>39</v>
      </c>
      <c r="R4935" s="4"/>
      <c r="S4935" s="4"/>
    </row>
    <row r="4936" spans="1:19" ht="21" customHeight="1" x14ac:dyDescent="0.25">
      <c r="A4936" s="14">
        <f>DATE(2012,12,31)-440</f>
        <v>40834</v>
      </c>
      <c r="B4936" s="15" t="s">
        <v>2028</v>
      </c>
      <c r="C4936" s="15" t="s">
        <v>51</v>
      </c>
      <c r="D4936" s="16">
        <v>14</v>
      </c>
      <c r="E4936" s="17">
        <v>12805.25</v>
      </c>
      <c r="F4936" s="16">
        <v>0.01</v>
      </c>
      <c r="G4936" s="15" t="s">
        <v>32</v>
      </c>
      <c r="H4936" s="18">
        <v>5065.5069999999996</v>
      </c>
      <c r="I4936" s="19">
        <v>896.99</v>
      </c>
      <c r="J4936" s="19">
        <v>19.989999999999998</v>
      </c>
      <c r="K4936" s="19" t="s">
        <v>44</v>
      </c>
      <c r="L4936" s="19" t="s">
        <v>52</v>
      </c>
      <c r="M4936" s="15" t="s">
        <v>2183</v>
      </c>
      <c r="N4936" s="15" t="s">
        <v>36</v>
      </c>
      <c r="O4936" s="15" t="s">
        <v>170</v>
      </c>
      <c r="P4936" s="20" t="s">
        <v>414</v>
      </c>
      <c r="Q4936" s="15" t="s">
        <v>83</v>
      </c>
      <c r="R4936" s="4"/>
      <c r="S4936" s="4"/>
    </row>
    <row r="4937" spans="1:19" ht="21" customHeight="1" x14ac:dyDescent="0.25">
      <c r="A4937" s="14">
        <f>DATE(2012,12,31)-440</f>
        <v>40834</v>
      </c>
      <c r="B4937" s="15" t="s">
        <v>2028</v>
      </c>
      <c r="C4937" s="15" t="s">
        <v>51</v>
      </c>
      <c r="D4937" s="16">
        <v>49</v>
      </c>
      <c r="E4937" s="17">
        <v>1435.32</v>
      </c>
      <c r="F4937" s="16">
        <v>0.02</v>
      </c>
      <c r="G4937" s="15" t="s">
        <v>32</v>
      </c>
      <c r="H4937" s="18">
        <v>485.95</v>
      </c>
      <c r="I4937" s="19">
        <v>29.89</v>
      </c>
      <c r="J4937" s="19">
        <v>1.99</v>
      </c>
      <c r="K4937" s="19" t="s">
        <v>44</v>
      </c>
      <c r="L4937" s="19" t="s">
        <v>52</v>
      </c>
      <c r="M4937" s="15" t="s">
        <v>2183</v>
      </c>
      <c r="N4937" s="15" t="s">
        <v>64</v>
      </c>
      <c r="O4937" s="15" t="s">
        <v>72</v>
      </c>
      <c r="P4937" s="20" t="s">
        <v>825</v>
      </c>
      <c r="Q4937" s="15" t="s">
        <v>49</v>
      </c>
      <c r="R4937" s="4"/>
      <c r="S4937" s="4"/>
    </row>
    <row r="4938" spans="1:19" ht="21" customHeight="1" x14ac:dyDescent="0.25">
      <c r="A4938" s="14">
        <f>DATE(2012,12,31)-940</f>
        <v>40334</v>
      </c>
      <c r="B4938" s="15" t="s">
        <v>539</v>
      </c>
      <c r="C4938" s="15" t="s">
        <v>85</v>
      </c>
      <c r="D4938" s="16">
        <v>39</v>
      </c>
      <c r="E4938" s="17">
        <v>893.29</v>
      </c>
      <c r="F4938" s="16">
        <v>0.08</v>
      </c>
      <c r="G4938" s="15" t="s">
        <v>32</v>
      </c>
      <c r="H4938" s="18">
        <v>256.16000000000003</v>
      </c>
      <c r="I4938" s="19">
        <v>23.99</v>
      </c>
      <c r="J4938" s="19">
        <v>6.71</v>
      </c>
      <c r="K4938" s="19" t="s">
        <v>44</v>
      </c>
      <c r="L4938" s="19" t="s">
        <v>80</v>
      </c>
      <c r="M4938" s="15" t="s">
        <v>2179</v>
      </c>
      <c r="N4938" s="15" t="s">
        <v>36</v>
      </c>
      <c r="O4938" s="15" t="s">
        <v>189</v>
      </c>
      <c r="P4938" s="20" t="s">
        <v>1556</v>
      </c>
      <c r="Q4938" s="15" t="s">
        <v>83</v>
      </c>
      <c r="R4938" s="4"/>
      <c r="S4938" s="4"/>
    </row>
    <row r="4939" spans="1:19" ht="21" customHeight="1" x14ac:dyDescent="0.25">
      <c r="A4939" s="14">
        <f>DATE(2012,12,31)-1180</f>
        <v>40094</v>
      </c>
      <c r="B4939" s="15" t="s">
        <v>163</v>
      </c>
      <c r="C4939" s="15" t="s">
        <v>85</v>
      </c>
      <c r="D4939" s="16">
        <v>23</v>
      </c>
      <c r="E4939" s="17">
        <v>68.73</v>
      </c>
      <c r="F4939" s="16">
        <v>7.0000000000000007E-2</v>
      </c>
      <c r="G4939" s="15" t="s">
        <v>32</v>
      </c>
      <c r="H4939" s="18">
        <v>17.170000000000002</v>
      </c>
      <c r="I4939" s="19">
        <v>2.94</v>
      </c>
      <c r="J4939" s="19">
        <v>0.81</v>
      </c>
      <c r="K4939" s="19" t="s">
        <v>44</v>
      </c>
      <c r="L4939" s="19" t="s">
        <v>52</v>
      </c>
      <c r="M4939" s="15" t="s">
        <v>2183</v>
      </c>
      <c r="N4939" s="15" t="s">
        <v>36</v>
      </c>
      <c r="O4939" s="15" t="s">
        <v>77</v>
      </c>
      <c r="P4939" s="20" t="s">
        <v>1584</v>
      </c>
      <c r="Q4939" s="15" t="s">
        <v>79</v>
      </c>
      <c r="R4939" s="4"/>
      <c r="S4939" s="4"/>
    </row>
    <row r="4940" spans="1:19" ht="21" customHeight="1" x14ac:dyDescent="0.25">
      <c r="A4940" s="14">
        <f>DATE(2012,12,31)-898</f>
        <v>40376</v>
      </c>
      <c r="B4940" s="15" t="s">
        <v>267</v>
      </c>
      <c r="C4940" s="15" t="s">
        <v>51</v>
      </c>
      <c r="D4940" s="16">
        <v>41</v>
      </c>
      <c r="E4940" s="17">
        <v>225.06</v>
      </c>
      <c r="F4940" s="16">
        <v>0.05</v>
      </c>
      <c r="G4940" s="15" t="s">
        <v>101</v>
      </c>
      <c r="H4940" s="18">
        <v>7.3014999999999999</v>
      </c>
      <c r="I4940" s="19">
        <v>5.34</v>
      </c>
      <c r="J4940" s="19">
        <v>2.99</v>
      </c>
      <c r="K4940" s="19" t="s">
        <v>44</v>
      </c>
      <c r="L4940" s="19" t="s">
        <v>45</v>
      </c>
      <c r="M4940" s="15" t="s">
        <v>2165</v>
      </c>
      <c r="N4940" s="15" t="s">
        <v>36</v>
      </c>
      <c r="O4940" s="15" t="s">
        <v>170</v>
      </c>
      <c r="P4940" s="20" t="s">
        <v>388</v>
      </c>
      <c r="Q4940" s="15" t="s">
        <v>83</v>
      </c>
      <c r="R4940" s="4"/>
      <c r="S4940" s="4"/>
    </row>
    <row r="4941" spans="1:19" ht="21" customHeight="1" x14ac:dyDescent="0.25">
      <c r="A4941" s="14">
        <f>DATE(2012,12,31)-898</f>
        <v>40376</v>
      </c>
      <c r="B4941" s="15" t="s">
        <v>267</v>
      </c>
      <c r="C4941" s="15" t="s">
        <v>51</v>
      </c>
      <c r="D4941" s="16">
        <v>47</v>
      </c>
      <c r="E4941" s="17">
        <v>1041.78</v>
      </c>
      <c r="F4941" s="16">
        <v>0.1</v>
      </c>
      <c r="G4941" s="15" t="s">
        <v>32</v>
      </c>
      <c r="H4941" s="18">
        <v>283.79000000000002</v>
      </c>
      <c r="I4941" s="19">
        <v>23.99</v>
      </c>
      <c r="J4941" s="19">
        <v>6.71</v>
      </c>
      <c r="K4941" s="19" t="s">
        <v>44</v>
      </c>
      <c r="L4941" s="19" t="s">
        <v>52</v>
      </c>
      <c r="M4941" s="15" t="s">
        <v>2183</v>
      </c>
      <c r="N4941" s="15" t="s">
        <v>36</v>
      </c>
      <c r="O4941" s="15" t="s">
        <v>189</v>
      </c>
      <c r="P4941" s="20" t="s">
        <v>1556</v>
      </c>
      <c r="Q4941" s="15" t="s">
        <v>83</v>
      </c>
      <c r="R4941" s="4"/>
      <c r="S4941" s="4"/>
    </row>
    <row r="4942" spans="1:19" ht="21" customHeight="1" x14ac:dyDescent="0.25">
      <c r="A4942" s="14">
        <f>DATE(2012,12,31)-1078</f>
        <v>40196</v>
      </c>
      <c r="B4942" s="15" t="s">
        <v>1026</v>
      </c>
      <c r="C4942" s="15" t="s">
        <v>51</v>
      </c>
      <c r="D4942" s="16">
        <v>29</v>
      </c>
      <c r="E4942" s="17">
        <v>264.77999999999997</v>
      </c>
      <c r="F4942" s="16">
        <v>0.02</v>
      </c>
      <c r="G4942" s="15" t="s">
        <v>32</v>
      </c>
      <c r="H4942" s="18">
        <v>53.048499999999997</v>
      </c>
      <c r="I4942" s="19">
        <v>8.69</v>
      </c>
      <c r="J4942" s="19">
        <v>2.99</v>
      </c>
      <c r="K4942" s="19" t="s">
        <v>44</v>
      </c>
      <c r="L4942" s="19" t="s">
        <v>236</v>
      </c>
      <c r="M4942" s="15" t="s">
        <v>2175</v>
      </c>
      <c r="N4942" s="15" t="s">
        <v>36</v>
      </c>
      <c r="O4942" s="15" t="s">
        <v>170</v>
      </c>
      <c r="P4942" s="20" t="s">
        <v>193</v>
      </c>
      <c r="Q4942" s="15" t="s">
        <v>83</v>
      </c>
      <c r="R4942" s="4"/>
      <c r="S4942" s="4"/>
    </row>
    <row r="4943" spans="1:19" ht="21" customHeight="1" x14ac:dyDescent="0.25">
      <c r="A4943" s="14">
        <f>DATE(2012,12,31)-1078</f>
        <v>40196</v>
      </c>
      <c r="B4943" s="15" t="s">
        <v>1026</v>
      </c>
      <c r="C4943" s="15" t="s">
        <v>51</v>
      </c>
      <c r="D4943" s="16">
        <v>3</v>
      </c>
      <c r="E4943" s="17">
        <v>10380.34</v>
      </c>
      <c r="F4943" s="16">
        <v>0.05</v>
      </c>
      <c r="G4943" s="15" t="s">
        <v>58</v>
      </c>
      <c r="H4943" s="18">
        <v>-8389.4709000000003</v>
      </c>
      <c r="I4943" s="19">
        <v>3502.14</v>
      </c>
      <c r="J4943" s="19">
        <v>8.73</v>
      </c>
      <c r="K4943" s="19" t="s">
        <v>44</v>
      </c>
      <c r="L4943" s="19" t="s">
        <v>52</v>
      </c>
      <c r="M4943" s="15" t="s">
        <v>2183</v>
      </c>
      <c r="N4943" s="15" t="s">
        <v>64</v>
      </c>
      <c r="O4943" s="15" t="s">
        <v>122</v>
      </c>
      <c r="P4943" s="20" t="s">
        <v>613</v>
      </c>
      <c r="Q4943" s="15" t="s">
        <v>63</v>
      </c>
      <c r="R4943" s="4"/>
      <c r="S4943" s="4"/>
    </row>
    <row r="4944" spans="1:19" ht="21" customHeight="1" x14ac:dyDescent="0.25">
      <c r="A4944" s="14">
        <f>DATE(2012,12,31)-1078</f>
        <v>40196</v>
      </c>
      <c r="B4944" s="15" t="s">
        <v>1026</v>
      </c>
      <c r="C4944" s="15" t="s">
        <v>51</v>
      </c>
      <c r="D4944" s="16">
        <v>25</v>
      </c>
      <c r="E4944" s="17">
        <v>854.9</v>
      </c>
      <c r="F4944" s="16">
        <v>0.05</v>
      </c>
      <c r="G4944" s="15" t="s">
        <v>32</v>
      </c>
      <c r="H4944" s="18">
        <v>76.87</v>
      </c>
      <c r="I4944" s="19">
        <v>34.58</v>
      </c>
      <c r="J4944" s="19">
        <v>8.99</v>
      </c>
      <c r="K4944" s="19" t="s">
        <v>44</v>
      </c>
      <c r="L4944" s="19" t="s">
        <v>52</v>
      </c>
      <c r="M4944" s="15" t="s">
        <v>2183</v>
      </c>
      <c r="N4944" s="15" t="s">
        <v>36</v>
      </c>
      <c r="O4944" s="15" t="s">
        <v>77</v>
      </c>
      <c r="P4944" s="20" t="s">
        <v>241</v>
      </c>
      <c r="Q4944" s="15" t="s">
        <v>49</v>
      </c>
      <c r="R4944" s="4"/>
      <c r="S4944" s="4"/>
    </row>
    <row r="4945" spans="1:19" ht="21" customHeight="1" x14ac:dyDescent="0.25">
      <c r="A4945" s="14">
        <f>DATE(2012,12,31)-1078</f>
        <v>40196</v>
      </c>
      <c r="B4945" s="15" t="s">
        <v>1026</v>
      </c>
      <c r="C4945" s="15" t="s">
        <v>51</v>
      </c>
      <c r="D4945" s="16">
        <v>32</v>
      </c>
      <c r="E4945" s="17">
        <v>389.98</v>
      </c>
      <c r="F4945" s="16">
        <v>7.0000000000000007E-2</v>
      </c>
      <c r="G4945" s="15" t="s">
        <v>32</v>
      </c>
      <c r="H4945" s="18">
        <v>-14.98</v>
      </c>
      <c r="I4945" s="19">
        <v>12.21</v>
      </c>
      <c r="J4945" s="19">
        <v>4.8099999999999996</v>
      </c>
      <c r="K4945" s="19" t="s">
        <v>44</v>
      </c>
      <c r="L4945" s="19" t="s">
        <v>52</v>
      </c>
      <c r="M4945" s="15" t="s">
        <v>2183</v>
      </c>
      <c r="N4945" s="15" t="s">
        <v>36</v>
      </c>
      <c r="O4945" s="15" t="s">
        <v>37</v>
      </c>
      <c r="P4945" s="20" t="s">
        <v>1674</v>
      </c>
      <c r="Q4945" s="15" t="s">
        <v>83</v>
      </c>
      <c r="R4945" s="4"/>
      <c r="S4945" s="4"/>
    </row>
    <row r="4946" spans="1:19" ht="21" customHeight="1" x14ac:dyDescent="0.25">
      <c r="A4946" s="14">
        <f>DATE(2012,12,31)-842</f>
        <v>40432</v>
      </c>
      <c r="B4946" s="15" t="s">
        <v>633</v>
      </c>
      <c r="C4946" s="15" t="s">
        <v>85</v>
      </c>
      <c r="D4946" s="16">
        <v>29</v>
      </c>
      <c r="E4946" s="17">
        <v>2046.81</v>
      </c>
      <c r="F4946" s="16">
        <v>0.02</v>
      </c>
      <c r="G4946" s="15" t="s">
        <v>32</v>
      </c>
      <c r="H4946" s="18">
        <v>469.27650000000006</v>
      </c>
      <c r="I4946" s="19">
        <v>67.28</v>
      </c>
      <c r="J4946" s="19">
        <v>19.989999999999998</v>
      </c>
      <c r="K4946" s="19" t="s">
        <v>44</v>
      </c>
      <c r="L4946" s="19" t="s">
        <v>52</v>
      </c>
      <c r="M4946" s="15" t="s">
        <v>2183</v>
      </c>
      <c r="N4946" s="15" t="s">
        <v>36</v>
      </c>
      <c r="O4946" s="15" t="s">
        <v>170</v>
      </c>
      <c r="P4946" s="20" t="s">
        <v>821</v>
      </c>
      <c r="Q4946" s="15" t="s">
        <v>83</v>
      </c>
      <c r="R4946" s="4"/>
      <c r="S4946" s="4"/>
    </row>
    <row r="4947" spans="1:19" ht="21" customHeight="1" x14ac:dyDescent="0.25">
      <c r="A4947" s="14">
        <f>DATE(2012,12,31)-984</f>
        <v>40290</v>
      </c>
      <c r="B4947" s="15" t="s">
        <v>2215</v>
      </c>
      <c r="C4947" s="15" t="s">
        <v>31</v>
      </c>
      <c r="D4947" s="16">
        <v>11</v>
      </c>
      <c r="E4947" s="17">
        <v>231.27</v>
      </c>
      <c r="F4947" s="16">
        <v>0.03</v>
      </c>
      <c r="G4947" s="15" t="s">
        <v>32</v>
      </c>
      <c r="H4947" s="18">
        <v>89.29</v>
      </c>
      <c r="I4947" s="19">
        <v>20.239999999999998</v>
      </c>
      <c r="J4947" s="19">
        <v>6.67</v>
      </c>
      <c r="K4947" s="19" t="s">
        <v>44</v>
      </c>
      <c r="L4947" s="19" t="s">
        <v>52</v>
      </c>
      <c r="M4947" s="15" t="s">
        <v>2183</v>
      </c>
      <c r="N4947" s="15" t="s">
        <v>54</v>
      </c>
      <c r="O4947" s="15" t="s">
        <v>55</v>
      </c>
      <c r="P4947" s="20" t="s">
        <v>960</v>
      </c>
      <c r="Q4947" s="15" t="s">
        <v>49</v>
      </c>
      <c r="R4947" s="4"/>
      <c r="S4947" s="4"/>
    </row>
    <row r="4948" spans="1:19" ht="21" customHeight="1" x14ac:dyDescent="0.25">
      <c r="A4948" s="14">
        <f>DATE(2012,12,31)-293</f>
        <v>40981</v>
      </c>
      <c r="B4948" s="15" t="s">
        <v>2073</v>
      </c>
      <c r="C4948" s="15" t="s">
        <v>43</v>
      </c>
      <c r="D4948" s="16">
        <v>29</v>
      </c>
      <c r="E4948" s="17">
        <v>6483.26</v>
      </c>
      <c r="F4948" s="16">
        <v>0.09</v>
      </c>
      <c r="G4948" s="15" t="s">
        <v>58</v>
      </c>
      <c r="H4948" s="18">
        <v>341.98</v>
      </c>
      <c r="I4948" s="19">
        <v>240.98</v>
      </c>
      <c r="J4948" s="19">
        <v>60.2</v>
      </c>
      <c r="K4948" s="19" t="s">
        <v>44</v>
      </c>
      <c r="L4948" s="19" t="s">
        <v>52</v>
      </c>
      <c r="M4948" s="15" t="s">
        <v>2183</v>
      </c>
      <c r="N4948" s="15" t="s">
        <v>54</v>
      </c>
      <c r="O4948" s="15" t="s">
        <v>134</v>
      </c>
      <c r="P4948" s="20" t="s">
        <v>1552</v>
      </c>
      <c r="Q4948" s="15" t="s">
        <v>63</v>
      </c>
      <c r="R4948" s="4"/>
      <c r="S4948" s="4"/>
    </row>
    <row r="4949" spans="1:19" ht="21" customHeight="1" x14ac:dyDescent="0.25">
      <c r="A4949" s="14">
        <f>DATE(2012,12,31)-293</f>
        <v>40981</v>
      </c>
      <c r="B4949" s="15" t="s">
        <v>2073</v>
      </c>
      <c r="C4949" s="15" t="s">
        <v>43</v>
      </c>
      <c r="D4949" s="16">
        <v>13</v>
      </c>
      <c r="E4949" s="17">
        <v>1446.2070000000001</v>
      </c>
      <c r="F4949" s="16">
        <v>0.02</v>
      </c>
      <c r="G4949" s="15" t="s">
        <v>32</v>
      </c>
      <c r="H4949" s="18">
        <v>29.556000000000004</v>
      </c>
      <c r="I4949" s="19">
        <v>125.99</v>
      </c>
      <c r="J4949" s="19">
        <v>8.08</v>
      </c>
      <c r="K4949" s="19" t="s">
        <v>44</v>
      </c>
      <c r="L4949" s="19" t="s">
        <v>52</v>
      </c>
      <c r="M4949" s="15" t="s">
        <v>2183</v>
      </c>
      <c r="N4949" s="15" t="s">
        <v>64</v>
      </c>
      <c r="O4949" s="15" t="s">
        <v>65</v>
      </c>
      <c r="P4949" s="20" t="s">
        <v>174</v>
      </c>
      <c r="Q4949" s="15" t="s">
        <v>83</v>
      </c>
      <c r="R4949" s="4"/>
      <c r="S4949" s="4"/>
    </row>
    <row r="4950" spans="1:19" ht="21" customHeight="1" x14ac:dyDescent="0.25">
      <c r="A4950" s="14">
        <f>DATE(2012,12,31)-1425</f>
        <v>39849</v>
      </c>
      <c r="B4950" s="15" t="s">
        <v>214</v>
      </c>
      <c r="C4950" s="15" t="s">
        <v>85</v>
      </c>
      <c r="D4950" s="16">
        <v>15</v>
      </c>
      <c r="E4950" s="17">
        <v>150.24</v>
      </c>
      <c r="F4950" s="16">
        <v>0.08</v>
      </c>
      <c r="G4950" s="15" t="s">
        <v>32</v>
      </c>
      <c r="H4950" s="18">
        <v>-102.93</v>
      </c>
      <c r="I4950" s="19">
        <v>9.98</v>
      </c>
      <c r="J4950" s="19">
        <v>12.52</v>
      </c>
      <c r="K4950" s="19" t="s">
        <v>33</v>
      </c>
      <c r="L4950" s="19" t="s">
        <v>34</v>
      </c>
      <c r="M4950" s="15" t="s">
        <v>2043</v>
      </c>
      <c r="N4950" s="15" t="s">
        <v>54</v>
      </c>
      <c r="O4950" s="15" t="s">
        <v>55</v>
      </c>
      <c r="P4950" s="20" t="s">
        <v>1999</v>
      </c>
      <c r="Q4950" s="15" t="s">
        <v>83</v>
      </c>
      <c r="R4950" s="4"/>
      <c r="S4950" s="4"/>
    </row>
    <row r="4951" spans="1:19" ht="21" customHeight="1" x14ac:dyDescent="0.25">
      <c r="A4951" s="14">
        <f>DATE(2012,12,31)-941</f>
        <v>40333</v>
      </c>
      <c r="B4951" s="15" t="s">
        <v>149</v>
      </c>
      <c r="C4951" s="15" t="s">
        <v>31</v>
      </c>
      <c r="D4951" s="16">
        <v>18</v>
      </c>
      <c r="E4951" s="17">
        <v>211.44</v>
      </c>
      <c r="F4951" s="16">
        <v>0.03</v>
      </c>
      <c r="G4951" s="15" t="s">
        <v>32</v>
      </c>
      <c r="H4951" s="18">
        <v>-75.81</v>
      </c>
      <c r="I4951" s="19">
        <v>10.97</v>
      </c>
      <c r="J4951" s="19">
        <v>6.5</v>
      </c>
      <c r="K4951" s="19" t="s">
        <v>33</v>
      </c>
      <c r="L4951" s="19" t="s">
        <v>59</v>
      </c>
      <c r="M4951" s="15" t="s">
        <v>2185</v>
      </c>
      <c r="N4951" s="15" t="s">
        <v>64</v>
      </c>
      <c r="O4951" s="15" t="s">
        <v>72</v>
      </c>
      <c r="P4951" s="20" t="s">
        <v>354</v>
      </c>
      <c r="Q4951" s="15" t="s">
        <v>83</v>
      </c>
      <c r="R4951" s="4"/>
      <c r="S4951" s="4"/>
    </row>
    <row r="4952" spans="1:19" ht="21" customHeight="1" x14ac:dyDescent="0.25">
      <c r="A4952" s="14">
        <f>DATE(2012,12,31)-613</f>
        <v>40661</v>
      </c>
      <c r="B4952" s="15" t="s">
        <v>595</v>
      </c>
      <c r="C4952" s="15" t="s">
        <v>31</v>
      </c>
      <c r="D4952" s="16">
        <v>27</v>
      </c>
      <c r="E4952" s="17">
        <v>1403.0269999999998</v>
      </c>
      <c r="F4952" s="16">
        <v>0.1</v>
      </c>
      <c r="G4952" s="15" t="s">
        <v>101</v>
      </c>
      <c r="H4952" s="18">
        <v>153.80099999999999</v>
      </c>
      <c r="I4952" s="19">
        <v>65.989999999999995</v>
      </c>
      <c r="J4952" s="19">
        <v>5.63</v>
      </c>
      <c r="K4952" s="19" t="s">
        <v>33</v>
      </c>
      <c r="L4952" s="19" t="s">
        <v>93</v>
      </c>
      <c r="M4952" s="15" t="s">
        <v>94</v>
      </c>
      <c r="N4952" s="15" t="s">
        <v>64</v>
      </c>
      <c r="O4952" s="15" t="s">
        <v>65</v>
      </c>
      <c r="P4952" s="20" t="s">
        <v>695</v>
      </c>
      <c r="Q4952" s="15" t="s">
        <v>83</v>
      </c>
      <c r="R4952" s="4"/>
      <c r="S4952" s="4"/>
    </row>
    <row r="4953" spans="1:19" ht="21" customHeight="1" x14ac:dyDescent="0.25">
      <c r="A4953" s="14">
        <f>DATE(2012,12,31)-415</f>
        <v>40859</v>
      </c>
      <c r="B4953" s="15" t="s">
        <v>1812</v>
      </c>
      <c r="C4953" s="15" t="s">
        <v>85</v>
      </c>
      <c r="D4953" s="16">
        <v>21</v>
      </c>
      <c r="E4953" s="17">
        <v>109.29</v>
      </c>
      <c r="F4953" s="16">
        <v>0.08</v>
      </c>
      <c r="G4953" s="15" t="s">
        <v>32</v>
      </c>
      <c r="H4953" s="18">
        <v>-77.08</v>
      </c>
      <c r="I4953" s="19">
        <v>5.28</v>
      </c>
      <c r="J4953" s="19">
        <v>6.26</v>
      </c>
      <c r="K4953" s="19" t="s">
        <v>69</v>
      </c>
      <c r="L4953" s="19" t="s">
        <v>70</v>
      </c>
      <c r="M4953" s="15" t="s">
        <v>1895</v>
      </c>
      <c r="N4953" s="15" t="s">
        <v>36</v>
      </c>
      <c r="O4953" s="15" t="s">
        <v>117</v>
      </c>
      <c r="P4953" s="20" t="s">
        <v>271</v>
      </c>
      <c r="Q4953" s="15" t="s">
        <v>83</v>
      </c>
      <c r="R4953" s="4"/>
      <c r="S4953" s="4"/>
    </row>
    <row r="4954" spans="1:19" ht="21" customHeight="1" x14ac:dyDescent="0.25">
      <c r="A4954" s="14">
        <f>DATE(2012,12,31)-415</f>
        <v>40859</v>
      </c>
      <c r="B4954" s="15" t="s">
        <v>1812</v>
      </c>
      <c r="C4954" s="15" t="s">
        <v>85</v>
      </c>
      <c r="D4954" s="16">
        <v>38</v>
      </c>
      <c r="E4954" s="17">
        <v>2257.88</v>
      </c>
      <c r="F4954" s="16">
        <v>0.01</v>
      </c>
      <c r="G4954" s="15" t="s">
        <v>32</v>
      </c>
      <c r="H4954" s="18">
        <v>474.98</v>
      </c>
      <c r="I4954" s="19">
        <v>59.76</v>
      </c>
      <c r="J4954" s="19">
        <v>9.7100000000000009</v>
      </c>
      <c r="K4954" s="19" t="s">
        <v>33</v>
      </c>
      <c r="L4954" s="19" t="s">
        <v>128</v>
      </c>
      <c r="M4954" s="15" t="s">
        <v>129</v>
      </c>
      <c r="N4954" s="15" t="s">
        <v>36</v>
      </c>
      <c r="O4954" s="15" t="s">
        <v>37</v>
      </c>
      <c r="P4954" s="20" t="s">
        <v>1654</v>
      </c>
      <c r="Q4954" s="15" t="s">
        <v>83</v>
      </c>
      <c r="R4954" s="4"/>
      <c r="S4954" s="4"/>
    </row>
    <row r="4955" spans="1:19" ht="21" customHeight="1" x14ac:dyDescent="0.25">
      <c r="A4955" s="14">
        <f>DATE(2012,12,31)-763</f>
        <v>40511</v>
      </c>
      <c r="B4955" s="15" t="s">
        <v>175</v>
      </c>
      <c r="C4955" s="15" t="s">
        <v>43</v>
      </c>
      <c r="D4955" s="16">
        <v>4</v>
      </c>
      <c r="E4955" s="17">
        <v>125.78</v>
      </c>
      <c r="F4955" s="16">
        <v>0.02</v>
      </c>
      <c r="G4955" s="15" t="s">
        <v>32</v>
      </c>
      <c r="H4955" s="18">
        <v>8.4320000000000039</v>
      </c>
      <c r="I4955" s="19">
        <v>30.56</v>
      </c>
      <c r="J4955" s="19">
        <v>2.99</v>
      </c>
      <c r="K4955" s="19" t="s">
        <v>33</v>
      </c>
      <c r="L4955" s="19" t="s">
        <v>128</v>
      </c>
      <c r="M4955" s="15" t="s">
        <v>129</v>
      </c>
      <c r="N4955" s="15" t="s">
        <v>36</v>
      </c>
      <c r="O4955" s="15" t="s">
        <v>170</v>
      </c>
      <c r="P4955" s="20" t="s">
        <v>1381</v>
      </c>
      <c r="Q4955" s="15" t="s">
        <v>83</v>
      </c>
      <c r="R4955" s="4"/>
      <c r="S4955" s="4"/>
    </row>
    <row r="4956" spans="1:19" ht="21" customHeight="1" x14ac:dyDescent="0.25">
      <c r="A4956" s="14">
        <f>DATE(2012,12,31)-763</f>
        <v>40511</v>
      </c>
      <c r="B4956" s="15" t="s">
        <v>175</v>
      </c>
      <c r="C4956" s="15" t="s">
        <v>43</v>
      </c>
      <c r="D4956" s="16">
        <v>16</v>
      </c>
      <c r="E4956" s="17">
        <v>577</v>
      </c>
      <c r="F4956" s="16">
        <v>0.04</v>
      </c>
      <c r="G4956" s="15" t="s">
        <v>58</v>
      </c>
      <c r="H4956" s="18">
        <v>-112.88</v>
      </c>
      <c r="I4956" s="19">
        <v>33.94</v>
      </c>
      <c r="J4956" s="19">
        <v>19.190000000000001</v>
      </c>
      <c r="K4956" s="19" t="s">
        <v>124</v>
      </c>
      <c r="L4956" s="19" t="s">
        <v>160</v>
      </c>
      <c r="M4956" s="15" t="s">
        <v>2181</v>
      </c>
      <c r="N4956" s="15" t="s">
        <v>54</v>
      </c>
      <c r="O4956" s="15" t="s">
        <v>252</v>
      </c>
      <c r="P4956" s="20" t="s">
        <v>2045</v>
      </c>
      <c r="Q4956" s="15" t="s">
        <v>181</v>
      </c>
      <c r="R4956" s="4"/>
      <c r="S4956" s="4"/>
    </row>
    <row r="4957" spans="1:19" ht="21" customHeight="1" x14ac:dyDescent="0.25">
      <c r="A4957" s="14">
        <f>DATE(2012,12,31)-763</f>
        <v>40511</v>
      </c>
      <c r="B4957" s="15" t="s">
        <v>175</v>
      </c>
      <c r="C4957" s="15" t="s">
        <v>43</v>
      </c>
      <c r="D4957" s="16">
        <v>2</v>
      </c>
      <c r="E4957" s="17">
        <v>24.53</v>
      </c>
      <c r="F4957" s="16">
        <v>0.04</v>
      </c>
      <c r="G4957" s="15" t="s">
        <v>32</v>
      </c>
      <c r="H4957" s="18">
        <v>-28.144500000000001</v>
      </c>
      <c r="I4957" s="19">
        <v>9.49</v>
      </c>
      <c r="J4957" s="19">
        <v>5.76</v>
      </c>
      <c r="K4957" s="19" t="s">
        <v>33</v>
      </c>
      <c r="L4957" s="19" t="s">
        <v>145</v>
      </c>
      <c r="M4957" s="15" t="s">
        <v>2140</v>
      </c>
      <c r="N4957" s="15" t="s">
        <v>64</v>
      </c>
      <c r="O4957" s="15" t="s">
        <v>122</v>
      </c>
      <c r="P4957" s="20" t="s">
        <v>1981</v>
      </c>
      <c r="Q4957" s="15" t="s">
        <v>57</v>
      </c>
      <c r="R4957" s="4"/>
      <c r="S4957" s="4"/>
    </row>
    <row r="4958" spans="1:19" ht="21" customHeight="1" x14ac:dyDescent="0.25">
      <c r="A4958" s="14">
        <f>DATE(2012,12,31)-721</f>
        <v>40553</v>
      </c>
      <c r="B4958" s="15" t="s">
        <v>1058</v>
      </c>
      <c r="C4958" s="15" t="s">
        <v>43</v>
      </c>
      <c r="D4958" s="16">
        <v>39</v>
      </c>
      <c r="E4958" s="17">
        <v>217.25</v>
      </c>
      <c r="F4958" s="16">
        <v>7.0000000000000007E-2</v>
      </c>
      <c r="G4958" s="15" t="s">
        <v>32</v>
      </c>
      <c r="H4958" s="18">
        <v>33.5</v>
      </c>
      <c r="I4958" s="19">
        <v>5.84</v>
      </c>
      <c r="J4958" s="19">
        <v>1.2</v>
      </c>
      <c r="K4958" s="19" t="s">
        <v>69</v>
      </c>
      <c r="L4958" s="19" t="s">
        <v>70</v>
      </c>
      <c r="M4958" s="15" t="s">
        <v>1895</v>
      </c>
      <c r="N4958" s="15" t="s">
        <v>36</v>
      </c>
      <c r="O4958" s="15" t="s">
        <v>77</v>
      </c>
      <c r="P4958" s="20" t="s">
        <v>1400</v>
      </c>
      <c r="Q4958" s="15" t="s">
        <v>79</v>
      </c>
      <c r="R4958" s="4"/>
      <c r="S4958" s="4"/>
    </row>
    <row r="4959" spans="1:19" ht="21" customHeight="1" x14ac:dyDescent="0.25">
      <c r="A4959" s="14">
        <f>DATE(2012,12,31)-721</f>
        <v>40553</v>
      </c>
      <c r="B4959" s="15" t="s">
        <v>1058</v>
      </c>
      <c r="C4959" s="15" t="s">
        <v>43</v>
      </c>
      <c r="D4959" s="16">
        <v>28</v>
      </c>
      <c r="E4959" s="17">
        <v>5993.74</v>
      </c>
      <c r="F4959" s="16">
        <v>7.0000000000000007E-2</v>
      </c>
      <c r="G4959" s="15" t="s">
        <v>58</v>
      </c>
      <c r="H4959" s="18">
        <v>-998.93700000000013</v>
      </c>
      <c r="I4959" s="19">
        <v>218.75</v>
      </c>
      <c r="J4959" s="19">
        <v>69.64</v>
      </c>
      <c r="K4959" s="19" t="s">
        <v>69</v>
      </c>
      <c r="L4959" s="19" t="s">
        <v>70</v>
      </c>
      <c r="M4959" s="15" t="s">
        <v>2216</v>
      </c>
      <c r="N4959" s="15" t="s">
        <v>54</v>
      </c>
      <c r="O4959" s="15" t="s">
        <v>61</v>
      </c>
      <c r="P4959" s="20" t="s">
        <v>425</v>
      </c>
      <c r="Q4959" s="15" t="s">
        <v>63</v>
      </c>
      <c r="R4959" s="4"/>
      <c r="S4959" s="4"/>
    </row>
    <row r="4960" spans="1:19" ht="21" customHeight="1" x14ac:dyDescent="0.25">
      <c r="A4960" s="14">
        <f>DATE(2012,12,31)-889</f>
        <v>40385</v>
      </c>
      <c r="B4960" s="15" t="s">
        <v>210</v>
      </c>
      <c r="C4960" s="15" t="s">
        <v>51</v>
      </c>
      <c r="D4960" s="16">
        <v>19</v>
      </c>
      <c r="E4960" s="17">
        <v>1083.4014999999999</v>
      </c>
      <c r="F4960" s="16">
        <v>0.02</v>
      </c>
      <c r="G4960" s="15" t="s">
        <v>32</v>
      </c>
      <c r="H4960" s="18">
        <v>64.53</v>
      </c>
      <c r="I4960" s="19">
        <v>65.989999999999995</v>
      </c>
      <c r="J4960" s="19">
        <v>8.99</v>
      </c>
      <c r="K4960" s="19" t="s">
        <v>69</v>
      </c>
      <c r="L4960" s="19" t="s">
        <v>70</v>
      </c>
      <c r="M4960" s="15" t="s">
        <v>2216</v>
      </c>
      <c r="N4960" s="15" t="s">
        <v>64</v>
      </c>
      <c r="O4960" s="15" t="s">
        <v>65</v>
      </c>
      <c r="P4960" s="20" t="s">
        <v>692</v>
      </c>
      <c r="Q4960" s="15" t="s">
        <v>83</v>
      </c>
      <c r="R4960" s="4"/>
      <c r="S4960" s="4"/>
    </row>
    <row r="4961" spans="1:19" ht="21" customHeight="1" x14ac:dyDescent="0.25">
      <c r="A4961" s="14">
        <f>DATE(2012,12,31)-651</f>
        <v>40623</v>
      </c>
      <c r="B4961" s="15" t="s">
        <v>861</v>
      </c>
      <c r="C4961" s="15" t="s">
        <v>31</v>
      </c>
      <c r="D4961" s="16">
        <v>7</v>
      </c>
      <c r="E4961" s="17">
        <v>407.8725</v>
      </c>
      <c r="F4961" s="16">
        <v>0.02</v>
      </c>
      <c r="G4961" s="15" t="s">
        <v>32</v>
      </c>
      <c r="H4961" s="18">
        <v>-165.62699999999998</v>
      </c>
      <c r="I4961" s="19">
        <v>65.989999999999995</v>
      </c>
      <c r="J4961" s="19">
        <v>3.99</v>
      </c>
      <c r="K4961" s="19" t="s">
        <v>69</v>
      </c>
      <c r="L4961" s="19" t="s">
        <v>215</v>
      </c>
      <c r="M4961" s="15" t="s">
        <v>2197</v>
      </c>
      <c r="N4961" s="15" t="s">
        <v>64</v>
      </c>
      <c r="O4961" s="15" t="s">
        <v>65</v>
      </c>
      <c r="P4961" s="20" t="s">
        <v>689</v>
      </c>
      <c r="Q4961" s="15" t="s">
        <v>83</v>
      </c>
      <c r="R4961" s="4"/>
      <c r="S4961" s="4"/>
    </row>
    <row r="4962" spans="1:19" ht="21" customHeight="1" x14ac:dyDescent="0.25">
      <c r="A4962" s="14">
        <f>DATE(2012,12,31)-143</f>
        <v>41131</v>
      </c>
      <c r="B4962" s="15" t="s">
        <v>1020</v>
      </c>
      <c r="C4962" s="15" t="s">
        <v>43</v>
      </c>
      <c r="D4962" s="16">
        <v>41</v>
      </c>
      <c r="E4962" s="17">
        <v>4359</v>
      </c>
      <c r="F4962" s="16">
        <v>0.02</v>
      </c>
      <c r="G4962" s="15" t="s">
        <v>32</v>
      </c>
      <c r="H4962" s="18">
        <v>907.67</v>
      </c>
      <c r="I4962" s="19">
        <v>99.99</v>
      </c>
      <c r="J4962" s="19">
        <v>19.989999999999998</v>
      </c>
      <c r="K4962" s="19" t="s">
        <v>69</v>
      </c>
      <c r="L4962" s="19" t="s">
        <v>215</v>
      </c>
      <c r="M4962" s="15" t="s">
        <v>2197</v>
      </c>
      <c r="N4962" s="15" t="s">
        <v>64</v>
      </c>
      <c r="O4962" s="15" t="s">
        <v>72</v>
      </c>
      <c r="P4962" s="20" t="s">
        <v>496</v>
      </c>
      <c r="Q4962" s="15" t="s">
        <v>83</v>
      </c>
      <c r="R4962" s="4"/>
      <c r="S4962" s="4"/>
    </row>
    <row r="4963" spans="1:19" ht="21" customHeight="1" x14ac:dyDescent="0.25">
      <c r="A4963" s="14">
        <f>DATE(2012,12,31)-1035</f>
        <v>40239</v>
      </c>
      <c r="B4963" s="15" t="s">
        <v>1729</v>
      </c>
      <c r="C4963" s="15" t="s">
        <v>85</v>
      </c>
      <c r="D4963" s="16">
        <v>10</v>
      </c>
      <c r="E4963" s="17">
        <v>28.81</v>
      </c>
      <c r="F4963" s="16">
        <v>0.02</v>
      </c>
      <c r="G4963" s="15" t="s">
        <v>32</v>
      </c>
      <c r="H4963" s="18">
        <v>7.15</v>
      </c>
      <c r="I4963" s="19">
        <v>2.89</v>
      </c>
      <c r="J4963" s="19">
        <v>0.49</v>
      </c>
      <c r="K4963" s="19" t="s">
        <v>44</v>
      </c>
      <c r="L4963" s="19" t="s">
        <v>89</v>
      </c>
      <c r="M4963" s="15" t="s">
        <v>1932</v>
      </c>
      <c r="N4963" s="15" t="s">
        <v>36</v>
      </c>
      <c r="O4963" s="15" t="s">
        <v>114</v>
      </c>
      <c r="P4963" s="20" t="s">
        <v>881</v>
      </c>
      <c r="Q4963" s="15" t="s">
        <v>83</v>
      </c>
      <c r="R4963" s="4"/>
      <c r="S4963" s="4"/>
    </row>
    <row r="4964" spans="1:19" ht="21" customHeight="1" x14ac:dyDescent="0.25">
      <c r="A4964" s="14">
        <f>DATE(2012,12,31)-1035</f>
        <v>40239</v>
      </c>
      <c r="B4964" s="15" t="s">
        <v>1729</v>
      </c>
      <c r="C4964" s="15" t="s">
        <v>85</v>
      </c>
      <c r="D4964" s="16">
        <v>35</v>
      </c>
      <c r="E4964" s="17">
        <v>1445.6</v>
      </c>
      <c r="F4964" s="16">
        <v>0.08</v>
      </c>
      <c r="G4964" s="15" t="s">
        <v>32</v>
      </c>
      <c r="H4964" s="18">
        <v>126.03</v>
      </c>
      <c r="I4964" s="19">
        <v>41.32</v>
      </c>
      <c r="J4964" s="19">
        <v>8.66</v>
      </c>
      <c r="K4964" s="19" t="s">
        <v>44</v>
      </c>
      <c r="L4964" s="19" t="s">
        <v>89</v>
      </c>
      <c r="M4964" s="15" t="s">
        <v>1932</v>
      </c>
      <c r="N4964" s="15" t="s">
        <v>54</v>
      </c>
      <c r="O4964" s="15" t="s">
        <v>55</v>
      </c>
      <c r="P4964" s="20" t="s">
        <v>298</v>
      </c>
      <c r="Q4964" s="15" t="s">
        <v>57</v>
      </c>
      <c r="R4964" s="4"/>
      <c r="S4964" s="4"/>
    </row>
    <row r="4965" spans="1:19" ht="21" customHeight="1" x14ac:dyDescent="0.25">
      <c r="A4965" s="14">
        <f>DATE(2012,12,31)-1035</f>
        <v>40239</v>
      </c>
      <c r="B4965" s="15" t="s">
        <v>1729</v>
      </c>
      <c r="C4965" s="15" t="s">
        <v>85</v>
      </c>
      <c r="D4965" s="16">
        <v>13</v>
      </c>
      <c r="E4965" s="17">
        <v>119.03</v>
      </c>
      <c r="F4965" s="16">
        <v>0.06</v>
      </c>
      <c r="G4965" s="15" t="s">
        <v>32</v>
      </c>
      <c r="H4965" s="18">
        <v>29.62</v>
      </c>
      <c r="I4965" s="19">
        <v>8.9499999999999993</v>
      </c>
      <c r="J4965" s="19">
        <v>2.0099999999999998</v>
      </c>
      <c r="K4965" s="19" t="s">
        <v>44</v>
      </c>
      <c r="L4965" s="19" t="s">
        <v>120</v>
      </c>
      <c r="M4965" s="15" t="s">
        <v>2025</v>
      </c>
      <c r="N4965" s="15" t="s">
        <v>36</v>
      </c>
      <c r="O4965" s="15" t="s">
        <v>117</v>
      </c>
      <c r="P4965" s="20" t="s">
        <v>1955</v>
      </c>
      <c r="Q4965" s="15" t="s">
        <v>79</v>
      </c>
      <c r="R4965" s="4"/>
      <c r="S4965" s="4"/>
    </row>
    <row r="4966" spans="1:19" ht="21" customHeight="1" x14ac:dyDescent="0.25">
      <c r="A4966" s="14">
        <f>DATE(2012,12,31)-938</f>
        <v>40336</v>
      </c>
      <c r="B4966" s="15" t="s">
        <v>1077</v>
      </c>
      <c r="C4966" s="15" t="s">
        <v>85</v>
      </c>
      <c r="D4966" s="16">
        <v>6</v>
      </c>
      <c r="E4966" s="17">
        <v>188.44</v>
      </c>
      <c r="F4966" s="16">
        <v>0.09</v>
      </c>
      <c r="G4966" s="15" t="s">
        <v>32</v>
      </c>
      <c r="H4966" s="18">
        <v>17.57</v>
      </c>
      <c r="I4966" s="19">
        <v>30.98</v>
      </c>
      <c r="J4966" s="19">
        <v>5.76</v>
      </c>
      <c r="K4966" s="19" t="s">
        <v>44</v>
      </c>
      <c r="L4966" s="19" t="s">
        <v>45</v>
      </c>
      <c r="M4966" s="15" t="s">
        <v>2165</v>
      </c>
      <c r="N4966" s="15" t="s">
        <v>36</v>
      </c>
      <c r="O4966" s="15" t="s">
        <v>117</v>
      </c>
      <c r="P4966" s="20" t="s">
        <v>713</v>
      </c>
      <c r="Q4966" s="15" t="s">
        <v>83</v>
      </c>
      <c r="R4966" s="4"/>
      <c r="S4966" s="4"/>
    </row>
    <row r="4967" spans="1:19" ht="21" customHeight="1" x14ac:dyDescent="0.25">
      <c r="A4967" s="14">
        <f>DATE(2012,12,31)-938</f>
        <v>40336</v>
      </c>
      <c r="B4967" s="15" t="s">
        <v>1077</v>
      </c>
      <c r="C4967" s="15" t="s">
        <v>85</v>
      </c>
      <c r="D4967" s="16">
        <v>13</v>
      </c>
      <c r="E4967" s="17">
        <v>1265.4969999999998</v>
      </c>
      <c r="F4967" s="16">
        <v>0.1</v>
      </c>
      <c r="G4967" s="15" t="s">
        <v>32</v>
      </c>
      <c r="H4967" s="18">
        <v>-228.184</v>
      </c>
      <c r="I4967" s="19">
        <v>125.99</v>
      </c>
      <c r="J4967" s="19">
        <v>7.69</v>
      </c>
      <c r="K4967" s="19" t="s">
        <v>33</v>
      </c>
      <c r="L4967" s="19" t="s">
        <v>128</v>
      </c>
      <c r="M4967" s="15" t="s">
        <v>129</v>
      </c>
      <c r="N4967" s="15" t="s">
        <v>64</v>
      </c>
      <c r="O4967" s="15" t="s">
        <v>65</v>
      </c>
      <c r="P4967" s="20" t="s">
        <v>954</v>
      </c>
      <c r="Q4967" s="15" t="s">
        <v>83</v>
      </c>
      <c r="R4967" s="4"/>
      <c r="S4967" s="4"/>
    </row>
    <row r="4968" spans="1:19" ht="21" customHeight="1" x14ac:dyDescent="0.25">
      <c r="A4968" s="14">
        <f>DATE(2012,12,31)-623</f>
        <v>40651</v>
      </c>
      <c r="B4968" s="15" t="s">
        <v>1512</v>
      </c>
      <c r="C4968" s="15" t="s">
        <v>85</v>
      </c>
      <c r="D4968" s="16">
        <v>4</v>
      </c>
      <c r="E4968" s="17">
        <v>41.06</v>
      </c>
      <c r="F4968" s="16">
        <v>0.04</v>
      </c>
      <c r="G4968" s="15" t="s">
        <v>32</v>
      </c>
      <c r="H4968" s="18">
        <v>-16.387499999999999</v>
      </c>
      <c r="I4968" s="19">
        <v>8.8800000000000008</v>
      </c>
      <c r="J4968" s="19">
        <v>6.28</v>
      </c>
      <c r="K4968" s="19" t="s">
        <v>97</v>
      </c>
      <c r="L4968" s="19" t="s">
        <v>195</v>
      </c>
      <c r="M4968" s="15" t="s">
        <v>2138</v>
      </c>
      <c r="N4968" s="15" t="s">
        <v>36</v>
      </c>
      <c r="O4968" s="15" t="s">
        <v>170</v>
      </c>
      <c r="P4968" s="20" t="s">
        <v>852</v>
      </c>
      <c r="Q4968" s="15" t="s">
        <v>83</v>
      </c>
      <c r="R4968" s="4"/>
      <c r="S4968" s="4"/>
    </row>
    <row r="4969" spans="1:19" ht="21" customHeight="1" x14ac:dyDescent="0.25">
      <c r="A4969" s="14">
        <f>DATE(2012,12,31)-1365</f>
        <v>39909</v>
      </c>
      <c r="B4969" s="15" t="s">
        <v>2194</v>
      </c>
      <c r="C4969" s="15" t="s">
        <v>85</v>
      </c>
      <c r="D4969" s="16">
        <v>40</v>
      </c>
      <c r="E4969" s="17">
        <v>746.93</v>
      </c>
      <c r="F4969" s="16">
        <v>0.09</v>
      </c>
      <c r="G4969" s="15" t="s">
        <v>101</v>
      </c>
      <c r="H4969" s="18">
        <v>67.03</v>
      </c>
      <c r="I4969" s="19">
        <v>18.97</v>
      </c>
      <c r="J4969" s="19">
        <v>9.0299999999999994</v>
      </c>
      <c r="K4969" s="19" t="s">
        <v>97</v>
      </c>
      <c r="L4969" s="19" t="s">
        <v>98</v>
      </c>
      <c r="M4969" s="15" t="s">
        <v>2217</v>
      </c>
      <c r="N4969" s="15" t="s">
        <v>36</v>
      </c>
      <c r="O4969" s="15" t="s">
        <v>117</v>
      </c>
      <c r="P4969" s="20" t="s">
        <v>127</v>
      </c>
      <c r="Q4969" s="15" t="s">
        <v>83</v>
      </c>
      <c r="R4969" s="4"/>
      <c r="S4969" s="4"/>
    </row>
    <row r="4970" spans="1:19" ht="21" customHeight="1" x14ac:dyDescent="0.25">
      <c r="A4970" s="14">
        <f>DATE(2012,12,31)-1365</f>
        <v>39909</v>
      </c>
      <c r="B4970" s="15" t="s">
        <v>2194</v>
      </c>
      <c r="C4970" s="15" t="s">
        <v>85</v>
      </c>
      <c r="D4970" s="16">
        <v>37</v>
      </c>
      <c r="E4970" s="17">
        <v>313.39999999999998</v>
      </c>
      <c r="F4970" s="16">
        <v>0</v>
      </c>
      <c r="G4970" s="15" t="s">
        <v>32</v>
      </c>
      <c r="H4970" s="18">
        <v>-5.05</v>
      </c>
      <c r="I4970" s="19">
        <v>8.34</v>
      </c>
      <c r="J4970" s="19">
        <v>4.82</v>
      </c>
      <c r="K4970" s="19" t="s">
        <v>124</v>
      </c>
      <c r="L4970" s="19" t="s">
        <v>493</v>
      </c>
      <c r="M4970" s="15" t="s">
        <v>2206</v>
      </c>
      <c r="N4970" s="15" t="s">
        <v>36</v>
      </c>
      <c r="O4970" s="15" t="s">
        <v>117</v>
      </c>
      <c r="P4970" s="20" t="s">
        <v>514</v>
      </c>
      <c r="Q4970" s="15" t="s">
        <v>83</v>
      </c>
      <c r="R4970" s="4"/>
      <c r="S4970" s="4"/>
    </row>
    <row r="4971" spans="1:19" ht="21" customHeight="1" x14ac:dyDescent="0.25">
      <c r="A4971" s="14">
        <f>DATE(2012,12,31)-1115</f>
        <v>40159</v>
      </c>
      <c r="B4971" s="15" t="s">
        <v>808</v>
      </c>
      <c r="C4971" s="15" t="s">
        <v>85</v>
      </c>
      <c r="D4971" s="16">
        <v>16</v>
      </c>
      <c r="E4971" s="17">
        <v>72.08</v>
      </c>
      <c r="F4971" s="16">
        <v>0.04</v>
      </c>
      <c r="G4971" s="15" t="s">
        <v>32</v>
      </c>
      <c r="H4971" s="18">
        <v>-54.75</v>
      </c>
      <c r="I4971" s="19">
        <v>4.28</v>
      </c>
      <c r="J4971" s="19">
        <v>5.68</v>
      </c>
      <c r="K4971" s="19" t="s">
        <v>124</v>
      </c>
      <c r="L4971" s="19" t="s">
        <v>164</v>
      </c>
      <c r="M4971" s="15" t="s">
        <v>2171</v>
      </c>
      <c r="N4971" s="15" t="s">
        <v>36</v>
      </c>
      <c r="O4971" s="15" t="s">
        <v>117</v>
      </c>
      <c r="P4971" s="20" t="s">
        <v>1530</v>
      </c>
      <c r="Q4971" s="15" t="s">
        <v>83</v>
      </c>
      <c r="R4971" s="4"/>
      <c r="S4971" s="4"/>
    </row>
    <row r="4972" spans="1:19" ht="21" customHeight="1" x14ac:dyDescent="0.25">
      <c r="A4972" s="14">
        <f>DATE(2012,12,31)-1115</f>
        <v>40159</v>
      </c>
      <c r="B4972" s="15" t="s">
        <v>808</v>
      </c>
      <c r="C4972" s="15" t="s">
        <v>85</v>
      </c>
      <c r="D4972" s="16">
        <v>29</v>
      </c>
      <c r="E4972" s="17">
        <v>10338.93</v>
      </c>
      <c r="F4972" s="16">
        <v>0.06</v>
      </c>
      <c r="G4972" s="15" t="s">
        <v>58</v>
      </c>
      <c r="H4972" s="18">
        <v>-871.51499999999999</v>
      </c>
      <c r="I4972" s="19">
        <v>376.13</v>
      </c>
      <c r="J4972" s="19">
        <v>85.63</v>
      </c>
      <c r="K4972" s="19" t="s">
        <v>124</v>
      </c>
      <c r="L4972" s="19" t="s">
        <v>319</v>
      </c>
      <c r="M4972" s="15" t="s">
        <v>2214</v>
      </c>
      <c r="N4972" s="15" t="s">
        <v>54</v>
      </c>
      <c r="O4972" s="15" t="s">
        <v>61</v>
      </c>
      <c r="P4972" s="20" t="s">
        <v>1159</v>
      </c>
      <c r="Q4972" s="15" t="s">
        <v>63</v>
      </c>
      <c r="R4972" s="4"/>
      <c r="S4972" s="4"/>
    </row>
    <row r="4973" spans="1:19" ht="21" customHeight="1" x14ac:dyDescent="0.25">
      <c r="A4973" s="14">
        <f>DATE(2012,12,31)-1115</f>
        <v>40159</v>
      </c>
      <c r="B4973" s="15" t="s">
        <v>808</v>
      </c>
      <c r="C4973" s="15" t="s">
        <v>85</v>
      </c>
      <c r="D4973" s="16">
        <v>37</v>
      </c>
      <c r="E4973" s="17">
        <v>15897.01</v>
      </c>
      <c r="F4973" s="16">
        <v>0.06</v>
      </c>
      <c r="G4973" s="15" t="s">
        <v>58</v>
      </c>
      <c r="H4973" s="18">
        <v>455.02</v>
      </c>
      <c r="I4973" s="19">
        <v>424.21</v>
      </c>
      <c r="J4973" s="19">
        <v>110.2</v>
      </c>
      <c r="K4973" s="19" t="s">
        <v>44</v>
      </c>
      <c r="L4973" s="19" t="s">
        <v>52</v>
      </c>
      <c r="M4973" s="15" t="s">
        <v>2183</v>
      </c>
      <c r="N4973" s="15" t="s">
        <v>54</v>
      </c>
      <c r="O4973" s="15" t="s">
        <v>61</v>
      </c>
      <c r="P4973" s="20" t="s">
        <v>2106</v>
      </c>
      <c r="Q4973" s="15" t="s">
        <v>63</v>
      </c>
      <c r="R4973" s="4"/>
      <c r="S4973" s="4"/>
    </row>
    <row r="4974" spans="1:19" ht="21" customHeight="1" x14ac:dyDescent="0.25">
      <c r="A4974" s="14">
        <f>DATE(2012,12,31)-1115</f>
        <v>40159</v>
      </c>
      <c r="B4974" s="15" t="s">
        <v>808</v>
      </c>
      <c r="C4974" s="15" t="s">
        <v>85</v>
      </c>
      <c r="D4974" s="16">
        <v>8</v>
      </c>
      <c r="E4974" s="17">
        <v>1265.2929999999999</v>
      </c>
      <c r="F4974" s="16">
        <v>0.06</v>
      </c>
      <c r="G4974" s="15" t="s">
        <v>32</v>
      </c>
      <c r="H4974" s="18">
        <v>-554.44400000000007</v>
      </c>
      <c r="I4974" s="19">
        <v>195.99</v>
      </c>
      <c r="J4974" s="19">
        <v>8.99</v>
      </c>
      <c r="K4974" s="19" t="s">
        <v>44</v>
      </c>
      <c r="L4974" s="19" t="s">
        <v>52</v>
      </c>
      <c r="M4974" s="15" t="s">
        <v>2183</v>
      </c>
      <c r="N4974" s="15" t="s">
        <v>64</v>
      </c>
      <c r="O4974" s="15" t="s">
        <v>65</v>
      </c>
      <c r="P4974" s="20" t="s">
        <v>387</v>
      </c>
      <c r="Q4974" s="15" t="s">
        <v>83</v>
      </c>
      <c r="R4974" s="4"/>
      <c r="S4974" s="4"/>
    </row>
    <row r="4975" spans="1:19" ht="21" customHeight="1" x14ac:dyDescent="0.25">
      <c r="A4975" s="14">
        <f>DATE(2012,12,31)-538</f>
        <v>40736</v>
      </c>
      <c r="B4975" s="15" t="s">
        <v>782</v>
      </c>
      <c r="C4975" s="15" t="s">
        <v>31</v>
      </c>
      <c r="D4975" s="16">
        <v>23</v>
      </c>
      <c r="E4975" s="17">
        <v>149.31</v>
      </c>
      <c r="F4975" s="16">
        <v>0.06</v>
      </c>
      <c r="G4975" s="15" t="s">
        <v>32</v>
      </c>
      <c r="H4975" s="18">
        <v>-98.42</v>
      </c>
      <c r="I4975" s="19">
        <v>6.48</v>
      </c>
      <c r="J4975" s="19">
        <v>7.81</v>
      </c>
      <c r="K4975" s="19" t="s">
        <v>44</v>
      </c>
      <c r="L4975" s="19" t="s">
        <v>52</v>
      </c>
      <c r="M4975" s="15" t="s">
        <v>2183</v>
      </c>
      <c r="N4975" s="15" t="s">
        <v>36</v>
      </c>
      <c r="O4975" s="15" t="s">
        <v>117</v>
      </c>
      <c r="P4975" s="20" t="s">
        <v>2218</v>
      </c>
      <c r="Q4975" s="15" t="s">
        <v>83</v>
      </c>
      <c r="R4975" s="4"/>
      <c r="S4975" s="4"/>
    </row>
    <row r="4976" spans="1:19" ht="21" customHeight="1" x14ac:dyDescent="0.25">
      <c r="A4976" s="14">
        <f>DATE(2012,12,31)-312</f>
        <v>40962</v>
      </c>
      <c r="B4976" s="15" t="s">
        <v>1824</v>
      </c>
      <c r="C4976" s="15" t="s">
        <v>51</v>
      </c>
      <c r="D4976" s="16">
        <v>9</v>
      </c>
      <c r="E4976" s="17">
        <v>70.88</v>
      </c>
      <c r="F4976" s="16">
        <v>0.01</v>
      </c>
      <c r="G4976" s="15" t="s">
        <v>32</v>
      </c>
      <c r="H4976" s="18">
        <v>-50.2</v>
      </c>
      <c r="I4976" s="19">
        <v>6.48</v>
      </c>
      <c r="J4976" s="19">
        <v>9.68</v>
      </c>
      <c r="K4976" s="19" t="s">
        <v>44</v>
      </c>
      <c r="L4976" s="19" t="s">
        <v>52</v>
      </c>
      <c r="M4976" s="15" t="s">
        <v>2183</v>
      </c>
      <c r="N4976" s="15" t="s">
        <v>36</v>
      </c>
      <c r="O4976" s="15" t="s">
        <v>117</v>
      </c>
      <c r="P4976" s="20" t="s">
        <v>1803</v>
      </c>
      <c r="Q4976" s="15" t="s">
        <v>83</v>
      </c>
      <c r="R4976" s="4"/>
      <c r="S4976" s="4"/>
    </row>
    <row r="4977" spans="1:19" ht="21" customHeight="1" x14ac:dyDescent="0.25">
      <c r="A4977" s="14">
        <f>DATE(2012,12,31)-710</f>
        <v>40564</v>
      </c>
      <c r="B4977" s="15" t="s">
        <v>2219</v>
      </c>
      <c r="C4977" s="15" t="s">
        <v>31</v>
      </c>
      <c r="D4977" s="16">
        <v>38</v>
      </c>
      <c r="E4977" s="17">
        <v>188.38</v>
      </c>
      <c r="F4977" s="16">
        <v>0.04</v>
      </c>
      <c r="G4977" s="15" t="s">
        <v>32</v>
      </c>
      <c r="H4977" s="18">
        <v>-120.11750000000001</v>
      </c>
      <c r="I4977" s="19">
        <v>4.91</v>
      </c>
      <c r="J4977" s="19">
        <v>5.68</v>
      </c>
      <c r="K4977" s="19" t="s">
        <v>111</v>
      </c>
      <c r="L4977" s="19" t="s">
        <v>258</v>
      </c>
      <c r="M4977" s="15" t="s">
        <v>259</v>
      </c>
      <c r="N4977" s="15" t="s">
        <v>36</v>
      </c>
      <c r="O4977" s="15" t="s">
        <v>170</v>
      </c>
      <c r="P4977" s="20" t="s">
        <v>1284</v>
      </c>
      <c r="Q4977" s="15" t="s">
        <v>83</v>
      </c>
      <c r="R4977" s="4"/>
      <c r="S4977" s="4"/>
    </row>
    <row r="4978" spans="1:19" ht="21" customHeight="1" x14ac:dyDescent="0.25">
      <c r="A4978" s="14">
        <f>DATE(2012,12,31)-1009</f>
        <v>40265</v>
      </c>
      <c r="B4978" s="15" t="s">
        <v>1769</v>
      </c>
      <c r="C4978" s="15" t="s">
        <v>43</v>
      </c>
      <c r="D4978" s="16">
        <v>25</v>
      </c>
      <c r="E4978" s="17">
        <v>100.34</v>
      </c>
      <c r="F4978" s="16">
        <v>0</v>
      </c>
      <c r="G4978" s="15" t="s">
        <v>32</v>
      </c>
      <c r="H4978" s="18">
        <v>-88.1935</v>
      </c>
      <c r="I4978" s="19">
        <v>3.58</v>
      </c>
      <c r="J4978" s="19">
        <v>5.47</v>
      </c>
      <c r="K4978" s="19" t="s">
        <v>44</v>
      </c>
      <c r="L4978" s="19" t="s">
        <v>120</v>
      </c>
      <c r="M4978" s="15" t="s">
        <v>2025</v>
      </c>
      <c r="N4978" s="15" t="s">
        <v>36</v>
      </c>
      <c r="O4978" s="15" t="s">
        <v>170</v>
      </c>
      <c r="P4978" s="20" t="s">
        <v>297</v>
      </c>
      <c r="Q4978" s="15" t="s">
        <v>83</v>
      </c>
      <c r="R4978" s="4"/>
      <c r="S4978" s="4"/>
    </row>
    <row r="4979" spans="1:19" ht="21" customHeight="1" x14ac:dyDescent="0.25">
      <c r="A4979" s="14">
        <f>DATE(2012,12,31)-1009</f>
        <v>40265</v>
      </c>
      <c r="B4979" s="15" t="s">
        <v>1769</v>
      </c>
      <c r="C4979" s="15" t="s">
        <v>43</v>
      </c>
      <c r="D4979" s="16">
        <v>45</v>
      </c>
      <c r="E4979" s="17">
        <v>75.680000000000007</v>
      </c>
      <c r="F4979" s="16">
        <v>0.08</v>
      </c>
      <c r="G4979" s="15" t="s">
        <v>32</v>
      </c>
      <c r="H4979" s="18">
        <v>-4.04</v>
      </c>
      <c r="I4979" s="19">
        <v>1.81</v>
      </c>
      <c r="J4979" s="19">
        <v>0.75</v>
      </c>
      <c r="K4979" s="19" t="s">
        <v>44</v>
      </c>
      <c r="L4979" s="19" t="s">
        <v>52</v>
      </c>
      <c r="M4979" s="15" t="s">
        <v>2183</v>
      </c>
      <c r="N4979" s="15" t="s">
        <v>36</v>
      </c>
      <c r="O4979" s="15" t="s">
        <v>105</v>
      </c>
      <c r="P4979" s="20" t="s">
        <v>1195</v>
      </c>
      <c r="Q4979" s="15" t="s">
        <v>79</v>
      </c>
      <c r="R4979" s="4"/>
      <c r="S4979" s="4"/>
    </row>
    <row r="4980" spans="1:19" ht="21" customHeight="1" x14ac:dyDescent="0.25">
      <c r="A4980" s="14">
        <f>DATE(2012,12,31)-820</f>
        <v>40454</v>
      </c>
      <c r="B4980" s="15" t="s">
        <v>355</v>
      </c>
      <c r="C4980" s="15" t="s">
        <v>51</v>
      </c>
      <c r="D4980" s="16">
        <v>5</v>
      </c>
      <c r="E4980" s="17">
        <v>53.01</v>
      </c>
      <c r="F4980" s="16">
        <v>0.08</v>
      </c>
      <c r="G4980" s="15" t="s">
        <v>32</v>
      </c>
      <c r="H4980" s="18">
        <v>3.85</v>
      </c>
      <c r="I4980" s="19">
        <v>10.31</v>
      </c>
      <c r="J4980" s="19">
        <v>1.79</v>
      </c>
      <c r="K4980" s="19" t="s">
        <v>33</v>
      </c>
      <c r="L4980" s="19" t="s">
        <v>93</v>
      </c>
      <c r="M4980" s="15" t="s">
        <v>94</v>
      </c>
      <c r="N4980" s="15" t="s">
        <v>36</v>
      </c>
      <c r="O4980" s="15" t="s">
        <v>117</v>
      </c>
      <c r="P4980" s="20" t="s">
        <v>1011</v>
      </c>
      <c r="Q4980" s="15" t="s">
        <v>79</v>
      </c>
      <c r="R4980" s="4"/>
      <c r="S4980" s="4"/>
    </row>
    <row r="4981" spans="1:19" ht="21" customHeight="1" x14ac:dyDescent="0.25">
      <c r="A4981" s="14">
        <f>DATE(2012,12,31)-1012</f>
        <v>40262</v>
      </c>
      <c r="B4981" s="15" t="s">
        <v>178</v>
      </c>
      <c r="C4981" s="15" t="s">
        <v>31</v>
      </c>
      <c r="D4981" s="16">
        <v>16</v>
      </c>
      <c r="E4981" s="17">
        <v>1835.84</v>
      </c>
      <c r="F4981" s="16">
        <v>0.05</v>
      </c>
      <c r="G4981" s="15" t="s">
        <v>32</v>
      </c>
      <c r="H4981" s="18">
        <v>608.74</v>
      </c>
      <c r="I4981" s="19">
        <v>110.98</v>
      </c>
      <c r="J4981" s="19">
        <v>13.99</v>
      </c>
      <c r="K4981" s="19" t="s">
        <v>33</v>
      </c>
      <c r="L4981" s="19" t="s">
        <v>93</v>
      </c>
      <c r="M4981" s="15" t="s">
        <v>94</v>
      </c>
      <c r="N4981" s="15" t="s">
        <v>54</v>
      </c>
      <c r="O4981" s="15" t="s">
        <v>55</v>
      </c>
      <c r="P4981" s="20" t="s">
        <v>395</v>
      </c>
      <c r="Q4981" s="15" t="s">
        <v>57</v>
      </c>
      <c r="R4981" s="4"/>
      <c r="S4981" s="4"/>
    </row>
    <row r="4982" spans="1:19" ht="21" customHeight="1" x14ac:dyDescent="0.25">
      <c r="A4982" s="14">
        <f>DATE(2012,12,31)-1012</f>
        <v>40262</v>
      </c>
      <c r="B4982" s="15" t="s">
        <v>178</v>
      </c>
      <c r="C4982" s="15" t="s">
        <v>31</v>
      </c>
      <c r="D4982" s="16">
        <v>48</v>
      </c>
      <c r="E4982" s="17">
        <v>133.43</v>
      </c>
      <c r="F4982" s="16">
        <v>0.1</v>
      </c>
      <c r="G4982" s="15" t="s">
        <v>32</v>
      </c>
      <c r="H4982" s="18">
        <v>9.5</v>
      </c>
      <c r="I4982" s="19">
        <v>2.84</v>
      </c>
      <c r="J4982" s="19">
        <v>0.93</v>
      </c>
      <c r="K4982" s="19" t="s">
        <v>33</v>
      </c>
      <c r="L4982" s="19" t="s">
        <v>59</v>
      </c>
      <c r="M4982" s="15" t="s">
        <v>2185</v>
      </c>
      <c r="N4982" s="15" t="s">
        <v>36</v>
      </c>
      <c r="O4982" s="15" t="s">
        <v>77</v>
      </c>
      <c r="P4982" s="20" t="s">
        <v>510</v>
      </c>
      <c r="Q4982" s="15" t="s">
        <v>79</v>
      </c>
      <c r="R4982" s="4"/>
      <c r="S4982" s="4"/>
    </row>
    <row r="4983" spans="1:19" ht="21" customHeight="1" x14ac:dyDescent="0.25">
      <c r="A4983" s="14">
        <f>DATE(2012,12,31)-1012</f>
        <v>40262</v>
      </c>
      <c r="B4983" s="15" t="s">
        <v>178</v>
      </c>
      <c r="C4983" s="15" t="s">
        <v>31</v>
      </c>
      <c r="D4983" s="16">
        <v>31</v>
      </c>
      <c r="E4983" s="17">
        <v>1655.3664999999999</v>
      </c>
      <c r="F4983" s="16">
        <v>0.08</v>
      </c>
      <c r="G4983" s="15" t="s">
        <v>32</v>
      </c>
      <c r="H4983" s="18">
        <v>173.934</v>
      </c>
      <c r="I4983" s="19">
        <v>65.989999999999995</v>
      </c>
      <c r="J4983" s="19">
        <v>8.99</v>
      </c>
      <c r="K4983" s="19" t="s">
        <v>33</v>
      </c>
      <c r="L4983" s="19" t="s">
        <v>59</v>
      </c>
      <c r="M4983" s="15" t="s">
        <v>2185</v>
      </c>
      <c r="N4983" s="15" t="s">
        <v>64</v>
      </c>
      <c r="O4983" s="15" t="s">
        <v>65</v>
      </c>
      <c r="P4983" s="20" t="s">
        <v>692</v>
      </c>
      <c r="Q4983" s="15" t="s">
        <v>83</v>
      </c>
      <c r="R4983" s="4"/>
      <c r="S4983" s="4"/>
    </row>
    <row r="4984" spans="1:19" ht="21" customHeight="1" x14ac:dyDescent="0.25">
      <c r="A4984" s="14">
        <f>DATE(2012,12,31)-60</f>
        <v>41214</v>
      </c>
      <c r="B4984" s="15" t="s">
        <v>659</v>
      </c>
      <c r="C4984" s="15" t="s">
        <v>85</v>
      </c>
      <c r="D4984" s="16">
        <v>37</v>
      </c>
      <c r="E4984" s="17">
        <v>46.37</v>
      </c>
      <c r="F4984" s="16">
        <v>0.03</v>
      </c>
      <c r="G4984" s="15" t="s">
        <v>32</v>
      </c>
      <c r="H4984" s="18">
        <v>-19.809999999999999</v>
      </c>
      <c r="I4984" s="19">
        <v>1.26</v>
      </c>
      <c r="J4984" s="19">
        <v>0.7</v>
      </c>
      <c r="K4984" s="19" t="s">
        <v>33</v>
      </c>
      <c r="L4984" s="19" t="s">
        <v>145</v>
      </c>
      <c r="M4984" s="15" t="s">
        <v>2140</v>
      </c>
      <c r="N4984" s="15" t="s">
        <v>36</v>
      </c>
      <c r="O4984" s="15" t="s">
        <v>105</v>
      </c>
      <c r="P4984" s="20" t="s">
        <v>316</v>
      </c>
      <c r="Q4984" s="15" t="s">
        <v>79</v>
      </c>
      <c r="R4984" s="4"/>
      <c r="S4984" s="4"/>
    </row>
    <row r="4985" spans="1:19" ht="21" customHeight="1" x14ac:dyDescent="0.25">
      <c r="A4985" s="14">
        <f>DATE(2012,12,31)-1120</f>
        <v>40154</v>
      </c>
      <c r="B4985" s="15" t="s">
        <v>1219</v>
      </c>
      <c r="C4985" s="15" t="s">
        <v>31</v>
      </c>
      <c r="D4985" s="16">
        <v>45</v>
      </c>
      <c r="E4985" s="17">
        <v>3286.27</v>
      </c>
      <c r="F4985" s="16">
        <v>0.02</v>
      </c>
      <c r="G4985" s="15" t="s">
        <v>32</v>
      </c>
      <c r="H4985" s="18">
        <v>1102.58</v>
      </c>
      <c r="I4985" s="19">
        <v>70.97</v>
      </c>
      <c r="J4985" s="19">
        <v>3.5</v>
      </c>
      <c r="K4985" s="19" t="s">
        <v>33</v>
      </c>
      <c r="L4985" s="19" t="s">
        <v>145</v>
      </c>
      <c r="M4985" s="15" t="s">
        <v>2140</v>
      </c>
      <c r="N4985" s="15" t="s">
        <v>36</v>
      </c>
      <c r="O4985" s="15" t="s">
        <v>176</v>
      </c>
      <c r="P4985" s="20" t="s">
        <v>339</v>
      </c>
      <c r="Q4985" s="15" t="s">
        <v>83</v>
      </c>
      <c r="R4985" s="4"/>
      <c r="S4985" s="4"/>
    </row>
    <row r="4986" spans="1:19" ht="21" customHeight="1" x14ac:dyDescent="0.25">
      <c r="A4986" s="14">
        <f>DATE(2012,12,31)-1309</f>
        <v>39965</v>
      </c>
      <c r="B4986" s="15" t="s">
        <v>2220</v>
      </c>
      <c r="C4986" s="15" t="s">
        <v>85</v>
      </c>
      <c r="D4986" s="16">
        <v>11</v>
      </c>
      <c r="E4986" s="17">
        <v>48.75</v>
      </c>
      <c r="F4986" s="16">
        <v>0.08</v>
      </c>
      <c r="G4986" s="15" t="s">
        <v>32</v>
      </c>
      <c r="H4986" s="18">
        <v>3.5020000000000002</v>
      </c>
      <c r="I4986" s="19">
        <v>4.49</v>
      </c>
      <c r="J4986" s="19">
        <v>1.49</v>
      </c>
      <c r="K4986" s="19" t="s">
        <v>33</v>
      </c>
      <c r="L4986" s="19" t="s">
        <v>145</v>
      </c>
      <c r="M4986" s="15" t="s">
        <v>2140</v>
      </c>
      <c r="N4986" s="15" t="s">
        <v>36</v>
      </c>
      <c r="O4986" s="15" t="s">
        <v>170</v>
      </c>
      <c r="P4986" s="20" t="s">
        <v>2221</v>
      </c>
      <c r="Q4986" s="15" t="s">
        <v>83</v>
      </c>
      <c r="R4986" s="4"/>
      <c r="S4986" s="4"/>
    </row>
    <row r="4987" spans="1:19" ht="21" customHeight="1" x14ac:dyDescent="0.25">
      <c r="A4987" s="14">
        <f>DATE(2012,12,31)-1309</f>
        <v>39965</v>
      </c>
      <c r="B4987" s="15" t="s">
        <v>2220</v>
      </c>
      <c r="C4987" s="15" t="s">
        <v>85</v>
      </c>
      <c r="D4987" s="16">
        <v>30</v>
      </c>
      <c r="E4987" s="17">
        <v>112.6</v>
      </c>
      <c r="F4987" s="16">
        <v>0.04</v>
      </c>
      <c r="G4987" s="15" t="s">
        <v>32</v>
      </c>
      <c r="H4987" s="18">
        <v>-25.99</v>
      </c>
      <c r="I4987" s="19">
        <v>3.68</v>
      </c>
      <c r="J4987" s="19">
        <v>1.32</v>
      </c>
      <c r="K4987" s="19" t="s">
        <v>33</v>
      </c>
      <c r="L4987" s="19" t="s">
        <v>93</v>
      </c>
      <c r="M4987" s="15" t="s">
        <v>94</v>
      </c>
      <c r="N4987" s="15" t="s">
        <v>36</v>
      </c>
      <c r="O4987" s="15" t="s">
        <v>47</v>
      </c>
      <c r="P4987" s="20" t="s">
        <v>1013</v>
      </c>
      <c r="Q4987" s="15" t="s">
        <v>79</v>
      </c>
      <c r="R4987" s="4"/>
      <c r="S4987" s="4"/>
    </row>
    <row r="4988" spans="1:19" ht="21" customHeight="1" x14ac:dyDescent="0.25">
      <c r="A4988" s="14">
        <f>DATE(2012,12,31)-755</f>
        <v>40519</v>
      </c>
      <c r="B4988" s="15" t="s">
        <v>2057</v>
      </c>
      <c r="C4988" s="15" t="s">
        <v>51</v>
      </c>
      <c r="D4988" s="16">
        <v>7</v>
      </c>
      <c r="E4988" s="17">
        <v>44.64</v>
      </c>
      <c r="F4988" s="16">
        <v>0.03</v>
      </c>
      <c r="G4988" s="15" t="s">
        <v>101</v>
      </c>
      <c r="H4988" s="18">
        <v>2.08</v>
      </c>
      <c r="I4988" s="19">
        <v>5.84</v>
      </c>
      <c r="J4988" s="19">
        <v>1.2</v>
      </c>
      <c r="K4988" s="19" t="s">
        <v>33</v>
      </c>
      <c r="L4988" s="19" t="s">
        <v>145</v>
      </c>
      <c r="M4988" s="15" t="s">
        <v>2140</v>
      </c>
      <c r="N4988" s="15" t="s">
        <v>36</v>
      </c>
      <c r="O4988" s="15" t="s">
        <v>77</v>
      </c>
      <c r="P4988" s="20" t="s">
        <v>1400</v>
      </c>
      <c r="Q4988" s="15" t="s">
        <v>79</v>
      </c>
      <c r="R4988" s="4"/>
      <c r="S4988" s="4"/>
    </row>
    <row r="4989" spans="1:19" ht="21" customHeight="1" x14ac:dyDescent="0.25">
      <c r="A4989" s="14">
        <f>DATE(2012,12,31)-755</f>
        <v>40519</v>
      </c>
      <c r="B4989" s="15" t="s">
        <v>2057</v>
      </c>
      <c r="C4989" s="15" t="s">
        <v>51</v>
      </c>
      <c r="D4989" s="16">
        <v>41</v>
      </c>
      <c r="E4989" s="17">
        <v>1289.6199999999999</v>
      </c>
      <c r="F4989" s="16">
        <v>0.03</v>
      </c>
      <c r="G4989" s="15" t="s">
        <v>32</v>
      </c>
      <c r="H4989" s="18">
        <v>432.52199999999999</v>
      </c>
      <c r="I4989" s="19">
        <v>35.99</v>
      </c>
      <c r="J4989" s="19">
        <v>1.1000000000000001</v>
      </c>
      <c r="K4989" s="19" t="s">
        <v>33</v>
      </c>
      <c r="L4989" s="19" t="s">
        <v>145</v>
      </c>
      <c r="M4989" s="15" t="s">
        <v>2140</v>
      </c>
      <c r="N4989" s="15" t="s">
        <v>64</v>
      </c>
      <c r="O4989" s="15" t="s">
        <v>65</v>
      </c>
      <c r="P4989" s="20" t="s">
        <v>501</v>
      </c>
      <c r="Q4989" s="15" t="s">
        <v>83</v>
      </c>
      <c r="R4989" s="4"/>
      <c r="S4989" s="4"/>
    </row>
    <row r="4990" spans="1:19" ht="21" customHeight="1" x14ac:dyDescent="0.25">
      <c r="A4990" s="14">
        <f>DATE(2012,12,31)-325</f>
        <v>40949</v>
      </c>
      <c r="B4990" s="15" t="s">
        <v>1854</v>
      </c>
      <c r="C4990" s="15" t="s">
        <v>85</v>
      </c>
      <c r="D4990" s="16">
        <v>36</v>
      </c>
      <c r="E4990" s="17">
        <v>455.93</v>
      </c>
      <c r="F4990" s="16">
        <v>0.02</v>
      </c>
      <c r="G4990" s="15" t="s">
        <v>101</v>
      </c>
      <c r="H4990" s="18">
        <v>83.51</v>
      </c>
      <c r="I4990" s="19">
        <v>12.64</v>
      </c>
      <c r="J4990" s="19">
        <v>4.9800000000000004</v>
      </c>
      <c r="K4990" s="19" t="s">
        <v>33</v>
      </c>
      <c r="L4990" s="19" t="s">
        <v>145</v>
      </c>
      <c r="M4990" s="15" t="s">
        <v>2140</v>
      </c>
      <c r="N4990" s="15" t="s">
        <v>54</v>
      </c>
      <c r="O4990" s="15" t="s">
        <v>55</v>
      </c>
      <c r="P4990" s="20" t="s">
        <v>166</v>
      </c>
      <c r="Q4990" s="15" t="s">
        <v>49</v>
      </c>
      <c r="R4990" s="4"/>
      <c r="S4990" s="4"/>
    </row>
    <row r="4991" spans="1:19" ht="21" customHeight="1" x14ac:dyDescent="0.25">
      <c r="A4991" s="14">
        <f>DATE(2012,12,31)-686</f>
        <v>40588</v>
      </c>
      <c r="B4991" s="15" t="s">
        <v>1520</v>
      </c>
      <c r="C4991" s="15" t="s">
        <v>85</v>
      </c>
      <c r="D4991" s="16">
        <v>18</v>
      </c>
      <c r="E4991" s="17">
        <v>1731.1040000000003</v>
      </c>
      <c r="F4991" s="16">
        <v>0.01</v>
      </c>
      <c r="G4991" s="15" t="s">
        <v>32</v>
      </c>
      <c r="H4991" s="18">
        <v>-270.57373200000001</v>
      </c>
      <c r="I4991" s="19">
        <v>111.96</v>
      </c>
      <c r="J4991" s="19">
        <v>69</v>
      </c>
      <c r="K4991" s="19" t="s">
        <v>33</v>
      </c>
      <c r="L4991" s="19" t="s">
        <v>59</v>
      </c>
      <c r="M4991" s="15" t="s">
        <v>2185</v>
      </c>
      <c r="N4991" s="15" t="s">
        <v>54</v>
      </c>
      <c r="O4991" s="15" t="s">
        <v>61</v>
      </c>
      <c r="P4991" s="20" t="s">
        <v>1736</v>
      </c>
      <c r="Q4991" s="15" t="s">
        <v>39</v>
      </c>
      <c r="R4991" s="4"/>
      <c r="S4991" s="4"/>
    </row>
    <row r="4992" spans="1:19" ht="21" customHeight="1" x14ac:dyDescent="0.25">
      <c r="A4992" s="14">
        <f>DATE(2012,12,31)-798</f>
        <v>40476</v>
      </c>
      <c r="B4992" s="15" t="s">
        <v>791</v>
      </c>
      <c r="C4992" s="15" t="s">
        <v>31</v>
      </c>
      <c r="D4992" s="16">
        <v>27</v>
      </c>
      <c r="E4992" s="17">
        <v>2575.0100000000002</v>
      </c>
      <c r="F4992" s="16">
        <v>0.09</v>
      </c>
      <c r="G4992" s="15" t="s">
        <v>32</v>
      </c>
      <c r="H4992" s="18">
        <v>231.46</v>
      </c>
      <c r="I4992" s="19">
        <v>99.99</v>
      </c>
      <c r="J4992" s="19">
        <v>19.989999999999998</v>
      </c>
      <c r="K4992" s="19" t="s">
        <v>33</v>
      </c>
      <c r="L4992" s="19" t="s">
        <v>34</v>
      </c>
      <c r="M4992" s="15" t="s">
        <v>2043</v>
      </c>
      <c r="N4992" s="15" t="s">
        <v>64</v>
      </c>
      <c r="O4992" s="15" t="s">
        <v>72</v>
      </c>
      <c r="P4992" s="20" t="s">
        <v>496</v>
      </c>
      <c r="Q4992" s="15" t="s">
        <v>83</v>
      </c>
      <c r="R4992" s="4"/>
      <c r="S4992" s="4"/>
    </row>
    <row r="4993" spans="1:19" ht="21" customHeight="1" x14ac:dyDescent="0.25">
      <c r="A4993" s="14">
        <f>DATE(2012,12,31)-98</f>
        <v>41176</v>
      </c>
      <c r="B4993" s="15" t="s">
        <v>1282</v>
      </c>
      <c r="C4993" s="15" t="s">
        <v>43</v>
      </c>
      <c r="D4993" s="16">
        <v>34</v>
      </c>
      <c r="E4993" s="17">
        <v>4581.54</v>
      </c>
      <c r="F4993" s="16">
        <v>0.05</v>
      </c>
      <c r="G4993" s="15" t="s">
        <v>58</v>
      </c>
      <c r="H4993" s="18">
        <v>-614.37</v>
      </c>
      <c r="I4993" s="19">
        <v>130.97999999999999</v>
      </c>
      <c r="J4993" s="19">
        <v>54.74</v>
      </c>
      <c r="K4993" s="19" t="s">
        <v>33</v>
      </c>
      <c r="L4993" s="19" t="s">
        <v>93</v>
      </c>
      <c r="M4993" s="15" t="s">
        <v>94</v>
      </c>
      <c r="N4993" s="15" t="s">
        <v>54</v>
      </c>
      <c r="O4993" s="15" t="s">
        <v>134</v>
      </c>
      <c r="P4993" s="20" t="s">
        <v>135</v>
      </c>
      <c r="Q4993" s="15" t="s">
        <v>63</v>
      </c>
      <c r="R4993" s="4"/>
      <c r="S4993" s="4"/>
    </row>
    <row r="4994" spans="1:19" ht="21" customHeight="1" x14ac:dyDescent="0.25">
      <c r="A4994" s="14">
        <f>DATE(2012,12,31)-668</f>
        <v>40606</v>
      </c>
      <c r="B4994" s="15" t="s">
        <v>777</v>
      </c>
      <c r="C4994" s="15" t="s">
        <v>85</v>
      </c>
      <c r="D4994" s="16">
        <v>50</v>
      </c>
      <c r="E4994" s="17">
        <v>11266.4</v>
      </c>
      <c r="F4994" s="16">
        <v>0.08</v>
      </c>
      <c r="G4994" s="15" t="s">
        <v>58</v>
      </c>
      <c r="H4994" s="18">
        <v>1902.99</v>
      </c>
      <c r="I4994" s="19">
        <v>243.98</v>
      </c>
      <c r="J4994" s="19">
        <v>43.32</v>
      </c>
      <c r="K4994" s="19" t="s">
        <v>33</v>
      </c>
      <c r="L4994" s="19" t="s">
        <v>59</v>
      </c>
      <c r="M4994" s="15" t="s">
        <v>2185</v>
      </c>
      <c r="N4994" s="15" t="s">
        <v>54</v>
      </c>
      <c r="O4994" s="15" t="s">
        <v>252</v>
      </c>
      <c r="P4994" s="20" t="s">
        <v>666</v>
      </c>
      <c r="Q4994" s="15" t="s">
        <v>181</v>
      </c>
      <c r="R4994" s="4"/>
      <c r="S4994" s="4"/>
    </row>
    <row r="4995" spans="1:19" ht="21" customHeight="1" x14ac:dyDescent="0.25">
      <c r="A4995" s="14">
        <f>DATE(2012,12,31)-668</f>
        <v>40606</v>
      </c>
      <c r="B4995" s="15" t="s">
        <v>777</v>
      </c>
      <c r="C4995" s="15" t="s">
        <v>85</v>
      </c>
      <c r="D4995" s="16">
        <v>15</v>
      </c>
      <c r="E4995" s="17">
        <v>71.61</v>
      </c>
      <c r="F4995" s="16">
        <v>0.1</v>
      </c>
      <c r="G4995" s="15" t="s">
        <v>32</v>
      </c>
      <c r="H4995" s="18">
        <v>-70.31</v>
      </c>
      <c r="I4995" s="19">
        <v>4.8899999999999997</v>
      </c>
      <c r="J4995" s="19">
        <v>4.93</v>
      </c>
      <c r="K4995" s="19" t="s">
        <v>69</v>
      </c>
      <c r="L4995" s="19" t="s">
        <v>70</v>
      </c>
      <c r="M4995" s="15" t="s">
        <v>2216</v>
      </c>
      <c r="N4995" s="15" t="s">
        <v>64</v>
      </c>
      <c r="O4995" s="15" t="s">
        <v>72</v>
      </c>
      <c r="P4995" s="20" t="s">
        <v>480</v>
      </c>
      <c r="Q4995" s="15" t="s">
        <v>49</v>
      </c>
      <c r="R4995" s="4"/>
      <c r="S4995" s="4"/>
    </row>
    <row r="4996" spans="1:19" ht="21" customHeight="1" x14ac:dyDescent="0.25">
      <c r="A4996" s="14">
        <f>DATE(2012,12,31)-668</f>
        <v>40606</v>
      </c>
      <c r="B4996" s="15" t="s">
        <v>777</v>
      </c>
      <c r="C4996" s="15" t="s">
        <v>85</v>
      </c>
      <c r="D4996" s="16">
        <v>2</v>
      </c>
      <c r="E4996" s="17">
        <v>10.43</v>
      </c>
      <c r="F4996" s="16">
        <v>7.0000000000000007E-2</v>
      </c>
      <c r="G4996" s="15" t="s">
        <v>32</v>
      </c>
      <c r="H4996" s="18">
        <v>-4.72</v>
      </c>
      <c r="I4996" s="19">
        <v>4.9800000000000004</v>
      </c>
      <c r="J4996" s="19">
        <v>0.8</v>
      </c>
      <c r="K4996" s="19" t="s">
        <v>69</v>
      </c>
      <c r="L4996" s="19" t="s">
        <v>75</v>
      </c>
      <c r="M4996" s="15" t="s">
        <v>2202</v>
      </c>
      <c r="N4996" s="15" t="s">
        <v>36</v>
      </c>
      <c r="O4996" s="15" t="s">
        <v>117</v>
      </c>
      <c r="P4996" s="20" t="s">
        <v>487</v>
      </c>
      <c r="Q4996" s="15" t="s">
        <v>79</v>
      </c>
      <c r="R4996" s="4"/>
      <c r="S4996" s="4"/>
    </row>
    <row r="4997" spans="1:19" ht="21" customHeight="1" x14ac:dyDescent="0.25">
      <c r="A4997" s="14">
        <f>DATE(2012,12,31)-1203</f>
        <v>40071</v>
      </c>
      <c r="B4997" s="15" t="s">
        <v>256</v>
      </c>
      <c r="C4997" s="15" t="s">
        <v>85</v>
      </c>
      <c r="D4997" s="16">
        <v>2</v>
      </c>
      <c r="E4997" s="17">
        <v>34.880000000000003</v>
      </c>
      <c r="F4997" s="16">
        <v>0.09</v>
      </c>
      <c r="G4997" s="15" t="s">
        <v>32</v>
      </c>
      <c r="H4997" s="18">
        <v>-22.12</v>
      </c>
      <c r="I4997" s="19">
        <v>13.79</v>
      </c>
      <c r="J4997" s="19">
        <v>8.7799999999999994</v>
      </c>
      <c r="K4997" s="19" t="s">
        <v>69</v>
      </c>
      <c r="L4997" s="19" t="s">
        <v>70</v>
      </c>
      <c r="M4997" s="15" t="s">
        <v>2216</v>
      </c>
      <c r="N4997" s="15" t="s">
        <v>54</v>
      </c>
      <c r="O4997" s="15" t="s">
        <v>55</v>
      </c>
      <c r="P4997" s="20" t="s">
        <v>1463</v>
      </c>
      <c r="Q4997" s="15" t="s">
        <v>83</v>
      </c>
      <c r="R4997" s="4"/>
      <c r="S4997" s="4"/>
    </row>
    <row r="4998" spans="1:19" ht="21" customHeight="1" x14ac:dyDescent="0.25">
      <c r="A4998" s="14">
        <f>DATE(2012,12,31)-608</f>
        <v>40666</v>
      </c>
      <c r="B4998" s="15" t="s">
        <v>2215</v>
      </c>
      <c r="C4998" s="15" t="s">
        <v>85</v>
      </c>
      <c r="D4998" s="16">
        <v>15</v>
      </c>
      <c r="E4998" s="17">
        <v>150.33000000000001</v>
      </c>
      <c r="F4998" s="16">
        <v>0.08</v>
      </c>
      <c r="G4998" s="15" t="s">
        <v>101</v>
      </c>
      <c r="H4998" s="18">
        <v>-98.23</v>
      </c>
      <c r="I4998" s="19">
        <v>9.7100000000000009</v>
      </c>
      <c r="J4998" s="19">
        <v>9.4499999999999993</v>
      </c>
      <c r="K4998" s="19" t="s">
        <v>69</v>
      </c>
      <c r="L4998" s="19" t="s">
        <v>70</v>
      </c>
      <c r="M4998" s="15" t="s">
        <v>2216</v>
      </c>
      <c r="N4998" s="15" t="s">
        <v>36</v>
      </c>
      <c r="O4998" s="15" t="s">
        <v>37</v>
      </c>
      <c r="P4998" s="20" t="s">
        <v>130</v>
      </c>
      <c r="Q4998" s="15" t="s">
        <v>83</v>
      </c>
      <c r="R4998" s="4"/>
      <c r="S4998" s="4"/>
    </row>
    <row r="4999" spans="1:19" ht="21" customHeight="1" x14ac:dyDescent="0.25">
      <c r="A4999" s="14">
        <f>DATE(2012,12,31)-417</f>
        <v>40857</v>
      </c>
      <c r="B4999" s="15" t="s">
        <v>1386</v>
      </c>
      <c r="C4999" s="15" t="s">
        <v>85</v>
      </c>
      <c r="D4999" s="16">
        <v>43</v>
      </c>
      <c r="E4999" s="17">
        <v>208.77</v>
      </c>
      <c r="F4999" s="16">
        <v>0.03</v>
      </c>
      <c r="G4999" s="15" t="s">
        <v>32</v>
      </c>
      <c r="H4999" s="18">
        <v>-144.24</v>
      </c>
      <c r="I4999" s="19">
        <v>4.82</v>
      </c>
      <c r="J4999" s="19">
        <v>5.72</v>
      </c>
      <c r="K4999" s="19" t="s">
        <v>69</v>
      </c>
      <c r="L4999" s="19" t="s">
        <v>70</v>
      </c>
      <c r="M4999" s="15" t="s">
        <v>2216</v>
      </c>
      <c r="N4999" s="15" t="s">
        <v>54</v>
      </c>
      <c r="O4999" s="15" t="s">
        <v>55</v>
      </c>
      <c r="P4999" s="20" t="s">
        <v>1562</v>
      </c>
      <c r="Q4999" s="15" t="s">
        <v>49</v>
      </c>
      <c r="R4999" s="4"/>
      <c r="S4999" s="4"/>
    </row>
    <row r="5000" spans="1:19" ht="21" customHeight="1" x14ac:dyDescent="0.25">
      <c r="A5000" s="14">
        <f>DATE(2012,12,31)-932</f>
        <v>40342</v>
      </c>
      <c r="B5000" s="15" t="s">
        <v>1643</v>
      </c>
      <c r="C5000" s="15" t="s">
        <v>31</v>
      </c>
      <c r="D5000" s="16">
        <v>32</v>
      </c>
      <c r="E5000" s="17">
        <v>1727.79</v>
      </c>
      <c r="F5000" s="16">
        <v>0.1</v>
      </c>
      <c r="G5000" s="15" t="s">
        <v>58</v>
      </c>
      <c r="H5000" s="18">
        <v>-694.9</v>
      </c>
      <c r="I5000" s="19">
        <v>58.14</v>
      </c>
      <c r="J5000" s="19">
        <v>36.61</v>
      </c>
      <c r="K5000" s="19" t="s">
        <v>69</v>
      </c>
      <c r="L5000" s="19" t="s">
        <v>70</v>
      </c>
      <c r="M5000" s="15" t="s">
        <v>2216</v>
      </c>
      <c r="N5000" s="15" t="s">
        <v>54</v>
      </c>
      <c r="O5000" s="15" t="s">
        <v>134</v>
      </c>
      <c r="P5000" s="20" t="s">
        <v>1299</v>
      </c>
      <c r="Q5000" s="15" t="s">
        <v>63</v>
      </c>
      <c r="R5000" s="4"/>
      <c r="S5000" s="4"/>
    </row>
    <row r="5001" spans="1:19" ht="21" customHeight="1" x14ac:dyDescent="0.25">
      <c r="A5001" s="14">
        <f>DATE(2012,12,31)-29</f>
        <v>41245</v>
      </c>
      <c r="B5001" s="15" t="s">
        <v>956</v>
      </c>
      <c r="C5001" s="15" t="s">
        <v>85</v>
      </c>
      <c r="D5001" s="16">
        <v>4</v>
      </c>
      <c r="E5001" s="17">
        <v>423.95</v>
      </c>
      <c r="F5001" s="16">
        <v>0</v>
      </c>
      <c r="G5001" s="15" t="s">
        <v>32</v>
      </c>
      <c r="H5001" s="18">
        <v>-263.95</v>
      </c>
      <c r="I5001" s="19">
        <v>99.99</v>
      </c>
      <c r="J5001" s="19">
        <v>19.989999999999998</v>
      </c>
      <c r="K5001" s="19" t="s">
        <v>69</v>
      </c>
      <c r="L5001" s="19" t="s">
        <v>70</v>
      </c>
      <c r="M5001" s="15" t="s">
        <v>2216</v>
      </c>
      <c r="N5001" s="15" t="s">
        <v>64</v>
      </c>
      <c r="O5001" s="15" t="s">
        <v>72</v>
      </c>
      <c r="P5001" s="20" t="s">
        <v>496</v>
      </c>
      <c r="Q5001" s="15" t="s">
        <v>83</v>
      </c>
      <c r="R5001" s="4"/>
      <c r="S5001" s="4"/>
    </row>
    <row r="5002" spans="1:19" ht="21" customHeight="1" x14ac:dyDescent="0.25">
      <c r="A5002" s="14">
        <f>DATE(2012,12,31)-449</f>
        <v>40825</v>
      </c>
      <c r="B5002" s="15" t="s">
        <v>142</v>
      </c>
      <c r="C5002" s="15" t="s">
        <v>85</v>
      </c>
      <c r="D5002" s="16">
        <v>9</v>
      </c>
      <c r="E5002" s="17">
        <v>43.26</v>
      </c>
      <c r="F5002" s="16">
        <v>0.1</v>
      </c>
      <c r="G5002" s="15" t="s">
        <v>32</v>
      </c>
      <c r="H5002" s="18">
        <v>3.9015</v>
      </c>
      <c r="I5002" s="19">
        <v>4.82</v>
      </c>
      <c r="J5002" s="19">
        <v>1.49</v>
      </c>
      <c r="K5002" s="19" t="s">
        <v>69</v>
      </c>
      <c r="L5002" s="19" t="s">
        <v>75</v>
      </c>
      <c r="M5002" s="15" t="s">
        <v>2202</v>
      </c>
      <c r="N5002" s="15" t="s">
        <v>36</v>
      </c>
      <c r="O5002" s="15" t="s">
        <v>170</v>
      </c>
      <c r="P5002" s="20" t="s">
        <v>1789</v>
      </c>
      <c r="Q5002" s="15" t="s">
        <v>83</v>
      </c>
      <c r="R5002" s="4"/>
      <c r="S5002" s="4"/>
    </row>
    <row r="5003" spans="1:19" ht="21" customHeight="1" x14ac:dyDescent="0.25">
      <c r="A5003" s="14">
        <f>DATE(2012,12,31)-449</f>
        <v>40825</v>
      </c>
      <c r="B5003" s="15" t="s">
        <v>142</v>
      </c>
      <c r="C5003" s="15" t="s">
        <v>85</v>
      </c>
      <c r="D5003" s="16">
        <v>25</v>
      </c>
      <c r="E5003" s="17">
        <v>174.03</v>
      </c>
      <c r="F5003" s="16">
        <v>0.02</v>
      </c>
      <c r="G5003" s="15" t="s">
        <v>32</v>
      </c>
      <c r="H5003" s="18">
        <v>-42.37</v>
      </c>
      <c r="I5003" s="19">
        <v>6.48</v>
      </c>
      <c r="J5003" s="19">
        <v>5.74</v>
      </c>
      <c r="K5003" s="19" t="s">
        <v>69</v>
      </c>
      <c r="L5003" s="19" t="s">
        <v>70</v>
      </c>
      <c r="M5003" s="15" t="s">
        <v>2216</v>
      </c>
      <c r="N5003" s="15" t="s">
        <v>36</v>
      </c>
      <c r="O5003" s="15" t="s">
        <v>117</v>
      </c>
      <c r="P5003" s="20" t="s">
        <v>1559</v>
      </c>
      <c r="Q5003" s="15" t="s">
        <v>83</v>
      </c>
      <c r="R5003" s="4"/>
      <c r="S5003" s="4"/>
    </row>
    <row r="5004" spans="1:19" ht="21" customHeight="1" x14ac:dyDescent="0.25">
      <c r="A5004" s="14">
        <f>DATE(2012,12,31)-832</f>
        <v>40442</v>
      </c>
      <c r="B5004" s="15" t="s">
        <v>491</v>
      </c>
      <c r="C5004" s="15" t="s">
        <v>31</v>
      </c>
      <c r="D5004" s="16">
        <v>21</v>
      </c>
      <c r="E5004" s="17">
        <v>2251.56</v>
      </c>
      <c r="F5004" s="16">
        <v>0.01</v>
      </c>
      <c r="G5004" s="15" t="s">
        <v>58</v>
      </c>
      <c r="H5004" s="18">
        <v>226.63</v>
      </c>
      <c r="I5004" s="19">
        <v>100.98</v>
      </c>
      <c r="J5004" s="19">
        <v>26.22</v>
      </c>
      <c r="K5004" s="19" t="s">
        <v>69</v>
      </c>
      <c r="L5004" s="19" t="s">
        <v>70</v>
      </c>
      <c r="M5004" s="15" t="s">
        <v>2216</v>
      </c>
      <c r="N5004" s="15" t="s">
        <v>54</v>
      </c>
      <c r="O5004" s="15" t="s">
        <v>134</v>
      </c>
      <c r="P5004" s="20" t="s">
        <v>397</v>
      </c>
      <c r="Q5004" s="15" t="s">
        <v>63</v>
      </c>
      <c r="R5004" s="4"/>
      <c r="S5004" s="4"/>
    </row>
    <row r="5005" spans="1:19" ht="21" customHeight="1" x14ac:dyDescent="0.25">
      <c r="A5005" s="14">
        <f>DATE(2012,12,31)-516</f>
        <v>40758</v>
      </c>
      <c r="B5005" s="15" t="s">
        <v>219</v>
      </c>
      <c r="C5005" s="15" t="s">
        <v>31</v>
      </c>
      <c r="D5005" s="16">
        <v>10</v>
      </c>
      <c r="E5005" s="17">
        <v>910.98</v>
      </c>
      <c r="F5005" s="16">
        <v>7.0000000000000007E-2</v>
      </c>
      <c r="G5005" s="15" t="s">
        <v>32</v>
      </c>
      <c r="H5005" s="18">
        <v>18.77</v>
      </c>
      <c r="I5005" s="19">
        <v>96.45</v>
      </c>
      <c r="J5005" s="19">
        <v>13.99</v>
      </c>
      <c r="K5005" s="19" t="s">
        <v>69</v>
      </c>
      <c r="L5005" s="19" t="s">
        <v>70</v>
      </c>
      <c r="M5005" s="15" t="s">
        <v>2216</v>
      </c>
      <c r="N5005" s="15" t="s">
        <v>64</v>
      </c>
      <c r="O5005" s="15" t="s">
        <v>122</v>
      </c>
      <c r="P5005" s="20" t="s">
        <v>2032</v>
      </c>
      <c r="Q5005" s="15" t="s">
        <v>57</v>
      </c>
      <c r="R5005" s="4"/>
      <c r="S5005" s="4"/>
    </row>
    <row r="5006" spans="1:19" ht="21" customHeight="1" x14ac:dyDescent="0.25">
      <c r="A5006" s="14">
        <f>DATE(2012,12,31)-821</f>
        <v>40453</v>
      </c>
      <c r="B5006" s="15" t="s">
        <v>1444</v>
      </c>
      <c r="C5006" s="15" t="s">
        <v>51</v>
      </c>
      <c r="D5006" s="16">
        <v>48</v>
      </c>
      <c r="E5006" s="17">
        <v>313.52</v>
      </c>
      <c r="F5006" s="16">
        <v>0.05</v>
      </c>
      <c r="G5006" s="15" t="s">
        <v>32</v>
      </c>
      <c r="H5006" s="18">
        <v>-254.68</v>
      </c>
      <c r="I5006" s="19">
        <v>6.48</v>
      </c>
      <c r="J5006" s="19">
        <v>9.17</v>
      </c>
      <c r="K5006" s="19" t="s">
        <v>69</v>
      </c>
      <c r="L5006" s="19" t="s">
        <v>215</v>
      </c>
      <c r="M5006" s="15" t="s">
        <v>2197</v>
      </c>
      <c r="N5006" s="15" t="s">
        <v>36</v>
      </c>
      <c r="O5006" s="15" t="s">
        <v>117</v>
      </c>
      <c r="P5006" s="20" t="s">
        <v>1517</v>
      </c>
      <c r="Q5006" s="15" t="s">
        <v>83</v>
      </c>
      <c r="R5006" s="4"/>
      <c r="S5006" s="4"/>
    </row>
    <row r="5007" spans="1:19" ht="21" customHeight="1" x14ac:dyDescent="0.25">
      <c r="A5007" s="14">
        <f>DATE(2012,12,31)-409</f>
        <v>40865</v>
      </c>
      <c r="B5007" s="15" t="s">
        <v>1338</v>
      </c>
      <c r="C5007" s="15" t="s">
        <v>43</v>
      </c>
      <c r="D5007" s="16">
        <v>48</v>
      </c>
      <c r="E5007" s="17">
        <v>620.23</v>
      </c>
      <c r="F5007" s="16">
        <v>0.06</v>
      </c>
      <c r="G5007" s="15" t="s">
        <v>101</v>
      </c>
      <c r="H5007" s="18">
        <v>115.24</v>
      </c>
      <c r="I5007" s="19">
        <v>12.64</v>
      </c>
      <c r="J5007" s="19">
        <v>4.9800000000000004</v>
      </c>
      <c r="K5007" s="19" t="s">
        <v>69</v>
      </c>
      <c r="L5007" s="19" t="s">
        <v>215</v>
      </c>
      <c r="M5007" s="15" t="s">
        <v>2197</v>
      </c>
      <c r="N5007" s="15" t="s">
        <v>54</v>
      </c>
      <c r="O5007" s="15" t="s">
        <v>55</v>
      </c>
      <c r="P5007" s="20" t="s">
        <v>166</v>
      </c>
      <c r="Q5007" s="15" t="s">
        <v>49</v>
      </c>
      <c r="R5007" s="4"/>
      <c r="S5007" s="4"/>
    </row>
    <row r="5008" spans="1:19" ht="21" customHeight="1" x14ac:dyDescent="0.25">
      <c r="A5008" s="14">
        <f>DATE(2012,12,31)-69</f>
        <v>41205</v>
      </c>
      <c r="B5008" s="15" t="s">
        <v>812</v>
      </c>
      <c r="C5008" s="15" t="s">
        <v>51</v>
      </c>
      <c r="D5008" s="16">
        <v>42</v>
      </c>
      <c r="E5008" s="17">
        <v>3931.17</v>
      </c>
      <c r="F5008" s="16">
        <v>0.1</v>
      </c>
      <c r="G5008" s="15" t="s">
        <v>32</v>
      </c>
      <c r="H5008" s="18">
        <v>1174.02</v>
      </c>
      <c r="I5008" s="19">
        <v>100.97</v>
      </c>
      <c r="J5008" s="19">
        <v>7.18</v>
      </c>
      <c r="K5008" s="19" t="s">
        <v>69</v>
      </c>
      <c r="L5008" s="19" t="s">
        <v>75</v>
      </c>
      <c r="M5008" s="15" t="s">
        <v>2202</v>
      </c>
      <c r="N5008" s="15" t="s">
        <v>64</v>
      </c>
      <c r="O5008" s="15" t="s">
        <v>72</v>
      </c>
      <c r="P5008" s="20" t="s">
        <v>2047</v>
      </c>
      <c r="Q5008" s="15" t="s">
        <v>83</v>
      </c>
      <c r="R5008" s="4"/>
      <c r="S5008" s="4"/>
    </row>
    <row r="5009" spans="1:19" ht="21" customHeight="1" x14ac:dyDescent="0.25">
      <c r="A5009" s="14">
        <f>DATE(2012,12,31)-69</f>
        <v>41205</v>
      </c>
      <c r="B5009" s="15" t="s">
        <v>812</v>
      </c>
      <c r="C5009" s="15" t="s">
        <v>51</v>
      </c>
      <c r="D5009" s="16">
        <v>24</v>
      </c>
      <c r="E5009" s="17">
        <v>134.88</v>
      </c>
      <c r="F5009" s="16">
        <v>0</v>
      </c>
      <c r="G5009" s="15" t="s">
        <v>32</v>
      </c>
      <c r="H5009" s="18">
        <v>-122.21</v>
      </c>
      <c r="I5009" s="19">
        <v>5.28</v>
      </c>
      <c r="J5009" s="19">
        <v>8.16</v>
      </c>
      <c r="K5009" s="19" t="s">
        <v>69</v>
      </c>
      <c r="L5009" s="19" t="s">
        <v>215</v>
      </c>
      <c r="M5009" s="15" t="s">
        <v>2197</v>
      </c>
      <c r="N5009" s="15" t="s">
        <v>36</v>
      </c>
      <c r="O5009" s="15" t="s">
        <v>117</v>
      </c>
      <c r="P5009" s="20" t="s">
        <v>1965</v>
      </c>
      <c r="Q5009" s="15" t="s">
        <v>83</v>
      </c>
      <c r="R5009" s="4"/>
      <c r="S5009" s="4"/>
    </row>
    <row r="5010" spans="1:19" ht="21" customHeight="1" x14ac:dyDescent="0.25">
      <c r="A5010" s="14">
        <f>DATE(2012,12,31)-75</f>
        <v>41199</v>
      </c>
      <c r="B5010" s="15" t="s">
        <v>1210</v>
      </c>
      <c r="C5010" s="15" t="s">
        <v>85</v>
      </c>
      <c r="D5010" s="16">
        <v>49</v>
      </c>
      <c r="E5010" s="17">
        <v>1355.47</v>
      </c>
      <c r="F5010" s="16">
        <v>0.04</v>
      </c>
      <c r="G5010" s="15" t="s">
        <v>32</v>
      </c>
      <c r="H5010" s="18">
        <v>590.04449999999997</v>
      </c>
      <c r="I5010" s="19">
        <v>28.53</v>
      </c>
      <c r="J5010" s="19">
        <v>1.49</v>
      </c>
      <c r="K5010" s="19" t="s">
        <v>111</v>
      </c>
      <c r="L5010" s="19" t="s">
        <v>112</v>
      </c>
      <c r="M5010" s="15" t="s">
        <v>2198</v>
      </c>
      <c r="N5010" s="15" t="s">
        <v>36</v>
      </c>
      <c r="O5010" s="15" t="s">
        <v>170</v>
      </c>
      <c r="P5010" s="20" t="s">
        <v>1566</v>
      </c>
      <c r="Q5010" s="15" t="s">
        <v>83</v>
      </c>
      <c r="R5010" s="4"/>
      <c r="S5010" s="4"/>
    </row>
    <row r="5011" spans="1:19" ht="21" customHeight="1" x14ac:dyDescent="0.25">
      <c r="A5011" s="14">
        <f>DATE(2012,12,31)-1381</f>
        <v>39893</v>
      </c>
      <c r="B5011" s="15" t="s">
        <v>932</v>
      </c>
      <c r="C5011" s="15" t="s">
        <v>43</v>
      </c>
      <c r="D5011" s="16">
        <v>44</v>
      </c>
      <c r="E5011" s="17">
        <v>2587.5300000000002</v>
      </c>
      <c r="F5011" s="16">
        <v>0.02</v>
      </c>
      <c r="G5011" s="15" t="s">
        <v>32</v>
      </c>
      <c r="H5011" s="18">
        <v>401.85</v>
      </c>
      <c r="I5011" s="19">
        <v>55.94</v>
      </c>
      <c r="J5011" s="19">
        <v>6.55</v>
      </c>
      <c r="K5011" s="19" t="s">
        <v>111</v>
      </c>
      <c r="L5011" s="19" t="s">
        <v>112</v>
      </c>
      <c r="M5011" s="15" t="s">
        <v>2198</v>
      </c>
      <c r="N5011" s="15" t="s">
        <v>64</v>
      </c>
      <c r="O5011" s="15" t="s">
        <v>72</v>
      </c>
      <c r="P5011" s="20" t="s">
        <v>702</v>
      </c>
      <c r="Q5011" s="15" t="s">
        <v>83</v>
      </c>
      <c r="R5011" s="4"/>
      <c r="S5011" s="4"/>
    </row>
    <row r="5012" spans="1:19" ht="21" customHeight="1" x14ac:dyDescent="0.25">
      <c r="A5012" s="14">
        <f>DATE(2012,12,31)-1426</f>
        <v>39848</v>
      </c>
      <c r="B5012" s="15" t="s">
        <v>1455</v>
      </c>
      <c r="C5012" s="15" t="s">
        <v>85</v>
      </c>
      <c r="D5012" s="16">
        <v>9</v>
      </c>
      <c r="E5012" s="17">
        <v>118.66</v>
      </c>
      <c r="F5012" s="16">
        <v>0.05</v>
      </c>
      <c r="G5012" s="15" t="s">
        <v>32</v>
      </c>
      <c r="H5012" s="18">
        <v>32.682499999999997</v>
      </c>
      <c r="I5012" s="19">
        <v>12.97</v>
      </c>
      <c r="J5012" s="19">
        <v>1.49</v>
      </c>
      <c r="K5012" s="19" t="s">
        <v>111</v>
      </c>
      <c r="L5012" s="19" t="s">
        <v>112</v>
      </c>
      <c r="M5012" s="15" t="s">
        <v>2198</v>
      </c>
      <c r="N5012" s="15" t="s">
        <v>36</v>
      </c>
      <c r="O5012" s="15" t="s">
        <v>170</v>
      </c>
      <c r="P5012" s="20" t="s">
        <v>873</v>
      </c>
      <c r="Q5012" s="15" t="s">
        <v>83</v>
      </c>
      <c r="R5012" s="4"/>
      <c r="S5012" s="4"/>
    </row>
    <row r="5013" spans="1:19" ht="21" customHeight="1" x14ac:dyDescent="0.25">
      <c r="A5013" s="14">
        <f>DATE(2012,12,31)-1426</f>
        <v>39848</v>
      </c>
      <c r="B5013" s="15" t="s">
        <v>1455</v>
      </c>
      <c r="C5013" s="15" t="s">
        <v>85</v>
      </c>
      <c r="D5013" s="16">
        <v>36</v>
      </c>
      <c r="E5013" s="17">
        <v>213.74</v>
      </c>
      <c r="F5013" s="16">
        <v>0.06</v>
      </c>
      <c r="G5013" s="15" t="s">
        <v>32</v>
      </c>
      <c r="H5013" s="18">
        <v>-32.15</v>
      </c>
      <c r="I5013" s="19">
        <v>5.81</v>
      </c>
      <c r="J5013" s="19">
        <v>3.37</v>
      </c>
      <c r="K5013" s="19" t="s">
        <v>111</v>
      </c>
      <c r="L5013" s="19" t="s">
        <v>442</v>
      </c>
      <c r="M5013" s="15" t="s">
        <v>2222</v>
      </c>
      <c r="N5013" s="15" t="s">
        <v>36</v>
      </c>
      <c r="O5013" s="15" t="s">
        <v>105</v>
      </c>
      <c r="P5013" s="20" t="s">
        <v>209</v>
      </c>
      <c r="Q5013" s="15" t="s">
        <v>79</v>
      </c>
      <c r="R5013" s="4"/>
      <c r="S5013" s="4"/>
    </row>
    <row r="5014" spans="1:19" ht="21" customHeight="1" x14ac:dyDescent="0.25">
      <c r="A5014" s="14">
        <f>DATE(2012,12,31)-845</f>
        <v>40429</v>
      </c>
      <c r="B5014" s="15" t="s">
        <v>1211</v>
      </c>
      <c r="C5014" s="15" t="s">
        <v>85</v>
      </c>
      <c r="D5014" s="16">
        <v>35</v>
      </c>
      <c r="E5014" s="17">
        <v>136.72</v>
      </c>
      <c r="F5014" s="16">
        <v>0.09</v>
      </c>
      <c r="G5014" s="15" t="s">
        <v>32</v>
      </c>
      <c r="H5014" s="18">
        <v>5.91</v>
      </c>
      <c r="I5014" s="19">
        <v>4.13</v>
      </c>
      <c r="J5014" s="19">
        <v>1.23</v>
      </c>
      <c r="K5014" s="19" t="s">
        <v>44</v>
      </c>
      <c r="L5014" s="19" t="s">
        <v>89</v>
      </c>
      <c r="M5014" s="15" t="s">
        <v>1932</v>
      </c>
      <c r="N5014" s="15" t="s">
        <v>36</v>
      </c>
      <c r="O5014" s="15" t="s">
        <v>77</v>
      </c>
      <c r="P5014" s="20" t="s">
        <v>2204</v>
      </c>
      <c r="Q5014" s="15" t="s">
        <v>79</v>
      </c>
      <c r="R5014" s="4"/>
      <c r="S5014" s="4"/>
    </row>
    <row r="5015" spans="1:19" ht="21" customHeight="1" x14ac:dyDescent="0.25">
      <c r="A5015" s="14">
        <f>DATE(2012,12,31)-714</f>
        <v>40560</v>
      </c>
      <c r="B5015" s="15" t="s">
        <v>2078</v>
      </c>
      <c r="C5015" s="15" t="s">
        <v>85</v>
      </c>
      <c r="D5015" s="16">
        <v>6</v>
      </c>
      <c r="E5015" s="17">
        <v>28.55</v>
      </c>
      <c r="F5015" s="16">
        <v>0.01</v>
      </c>
      <c r="G5015" s="15" t="s">
        <v>32</v>
      </c>
      <c r="H5015" s="18">
        <v>-4.5</v>
      </c>
      <c r="I5015" s="19">
        <v>4.28</v>
      </c>
      <c r="J5015" s="19">
        <v>1.6</v>
      </c>
      <c r="K5015" s="19" t="s">
        <v>44</v>
      </c>
      <c r="L5015" s="19" t="s">
        <v>89</v>
      </c>
      <c r="M5015" s="15" t="s">
        <v>1932</v>
      </c>
      <c r="N5015" s="15" t="s">
        <v>36</v>
      </c>
      <c r="O5015" s="15" t="s">
        <v>77</v>
      </c>
      <c r="P5015" s="20" t="s">
        <v>1333</v>
      </c>
      <c r="Q5015" s="15" t="s">
        <v>79</v>
      </c>
      <c r="R5015" s="4"/>
      <c r="S5015" s="4"/>
    </row>
    <row r="5016" spans="1:19" ht="21" customHeight="1" x14ac:dyDescent="0.25">
      <c r="A5016" s="14">
        <f>DATE(2012,12,31)-514</f>
        <v>40760</v>
      </c>
      <c r="B5016" s="15" t="s">
        <v>2220</v>
      </c>
      <c r="C5016" s="15" t="s">
        <v>31</v>
      </c>
      <c r="D5016" s="16">
        <v>42</v>
      </c>
      <c r="E5016" s="17">
        <v>6427.18</v>
      </c>
      <c r="F5016" s="16">
        <v>0.09</v>
      </c>
      <c r="G5016" s="15" t="s">
        <v>32</v>
      </c>
      <c r="H5016" s="18">
        <v>2097.1030000000001</v>
      </c>
      <c r="I5016" s="19">
        <v>165.98</v>
      </c>
      <c r="J5016" s="19">
        <v>19.989999999999998</v>
      </c>
      <c r="K5016" s="19" t="s">
        <v>44</v>
      </c>
      <c r="L5016" s="19" t="s">
        <v>45</v>
      </c>
      <c r="M5016" s="15" t="s">
        <v>2165</v>
      </c>
      <c r="N5016" s="15" t="s">
        <v>36</v>
      </c>
      <c r="O5016" s="15" t="s">
        <v>170</v>
      </c>
      <c r="P5016" s="20" t="s">
        <v>945</v>
      </c>
      <c r="Q5016" s="15" t="s">
        <v>83</v>
      </c>
      <c r="R5016" s="4"/>
      <c r="S5016" s="4"/>
    </row>
    <row r="5017" spans="1:19" ht="21" customHeight="1" x14ac:dyDescent="0.25">
      <c r="A5017" s="14">
        <f>DATE(2012,12,31)-514</f>
        <v>40760</v>
      </c>
      <c r="B5017" s="15" t="s">
        <v>2220</v>
      </c>
      <c r="C5017" s="15" t="s">
        <v>31</v>
      </c>
      <c r="D5017" s="16">
        <v>13</v>
      </c>
      <c r="E5017" s="17">
        <v>1330.73</v>
      </c>
      <c r="F5017" s="16">
        <v>0.06</v>
      </c>
      <c r="G5017" s="15" t="s">
        <v>58</v>
      </c>
      <c r="H5017" s="18">
        <v>-450.1</v>
      </c>
      <c r="I5017" s="19">
        <v>105.49</v>
      </c>
      <c r="J5017" s="19">
        <v>41.64</v>
      </c>
      <c r="K5017" s="19" t="s">
        <v>44</v>
      </c>
      <c r="L5017" s="19" t="s">
        <v>45</v>
      </c>
      <c r="M5017" s="15" t="s">
        <v>2165</v>
      </c>
      <c r="N5017" s="15" t="s">
        <v>54</v>
      </c>
      <c r="O5017" s="15" t="s">
        <v>61</v>
      </c>
      <c r="P5017" s="20" t="s">
        <v>456</v>
      </c>
      <c r="Q5017" s="15" t="s">
        <v>63</v>
      </c>
      <c r="R5017" s="4"/>
      <c r="S5017" s="4"/>
    </row>
    <row r="5018" spans="1:19" ht="21" customHeight="1" x14ac:dyDescent="0.25">
      <c r="A5018" s="14">
        <f>DATE(2012,12,31)-363</f>
        <v>40911</v>
      </c>
      <c r="B5018" s="15" t="s">
        <v>1199</v>
      </c>
      <c r="C5018" s="15" t="s">
        <v>85</v>
      </c>
      <c r="D5018" s="16">
        <v>49</v>
      </c>
      <c r="E5018" s="17">
        <v>741.57</v>
      </c>
      <c r="F5018" s="16">
        <v>0.1</v>
      </c>
      <c r="G5018" s="15" t="s">
        <v>32</v>
      </c>
      <c r="H5018" s="18">
        <v>352.41</v>
      </c>
      <c r="I5018" s="19">
        <v>15.57</v>
      </c>
      <c r="J5018" s="19">
        <v>1.39</v>
      </c>
      <c r="K5018" s="19" t="s">
        <v>44</v>
      </c>
      <c r="L5018" s="19" t="s">
        <v>45</v>
      </c>
      <c r="M5018" s="15" t="s">
        <v>2165</v>
      </c>
      <c r="N5018" s="15" t="s">
        <v>36</v>
      </c>
      <c r="O5018" s="15" t="s">
        <v>189</v>
      </c>
      <c r="P5018" s="20" t="s">
        <v>802</v>
      </c>
      <c r="Q5018" s="15" t="s">
        <v>83</v>
      </c>
      <c r="R5018" s="4"/>
      <c r="S5018" s="4"/>
    </row>
    <row r="5019" spans="1:19" ht="21" customHeight="1" x14ac:dyDescent="0.25">
      <c r="A5019" s="14">
        <f>DATE(2012,12,31)-363</f>
        <v>40911</v>
      </c>
      <c r="B5019" s="15" t="s">
        <v>1199</v>
      </c>
      <c r="C5019" s="15" t="s">
        <v>85</v>
      </c>
      <c r="D5019" s="16">
        <v>6</v>
      </c>
      <c r="E5019" s="17">
        <v>10.39</v>
      </c>
      <c r="F5019" s="16">
        <v>0.1</v>
      </c>
      <c r="G5019" s="15" t="s">
        <v>32</v>
      </c>
      <c r="H5019" s="18">
        <v>-3.24</v>
      </c>
      <c r="I5019" s="19">
        <v>1.76</v>
      </c>
      <c r="J5019" s="19">
        <v>0.7</v>
      </c>
      <c r="K5019" s="19" t="s">
        <v>44</v>
      </c>
      <c r="L5019" s="19" t="s">
        <v>89</v>
      </c>
      <c r="M5019" s="15" t="s">
        <v>1932</v>
      </c>
      <c r="N5019" s="15" t="s">
        <v>36</v>
      </c>
      <c r="O5019" s="15" t="s">
        <v>77</v>
      </c>
      <c r="P5019" s="20" t="s">
        <v>526</v>
      </c>
      <c r="Q5019" s="15" t="s">
        <v>79</v>
      </c>
      <c r="R5019" s="4"/>
      <c r="S5019" s="4"/>
    </row>
    <row r="5020" spans="1:19" ht="21" customHeight="1" x14ac:dyDescent="0.25">
      <c r="A5020" s="14">
        <f>DATE(2012,12,31)-1074</f>
        <v>40200</v>
      </c>
      <c r="B5020" s="15" t="s">
        <v>1360</v>
      </c>
      <c r="C5020" s="15" t="s">
        <v>85</v>
      </c>
      <c r="D5020" s="16">
        <v>24</v>
      </c>
      <c r="E5020" s="17">
        <v>2722.85</v>
      </c>
      <c r="F5020" s="16">
        <v>0.08</v>
      </c>
      <c r="G5020" s="15" t="s">
        <v>58</v>
      </c>
      <c r="H5020" s="18">
        <v>-112.62</v>
      </c>
      <c r="I5020" s="19">
        <v>113.98</v>
      </c>
      <c r="J5020" s="19">
        <v>30</v>
      </c>
      <c r="K5020" s="19" t="s">
        <v>44</v>
      </c>
      <c r="L5020" s="19" t="s">
        <v>120</v>
      </c>
      <c r="M5020" s="15" t="s">
        <v>2025</v>
      </c>
      <c r="N5020" s="15" t="s">
        <v>54</v>
      </c>
      <c r="O5020" s="15" t="s">
        <v>252</v>
      </c>
      <c r="P5020" s="20" t="s">
        <v>521</v>
      </c>
      <c r="Q5020" s="15" t="s">
        <v>181</v>
      </c>
      <c r="R5020" s="4"/>
      <c r="S5020" s="4"/>
    </row>
    <row r="5021" spans="1:19" ht="21" customHeight="1" x14ac:dyDescent="0.25">
      <c r="A5021" s="14">
        <f>DATE(2012,12,31)-1074</f>
        <v>40200</v>
      </c>
      <c r="B5021" s="15" t="s">
        <v>1360</v>
      </c>
      <c r="C5021" s="15" t="s">
        <v>85</v>
      </c>
      <c r="D5021" s="16">
        <v>2</v>
      </c>
      <c r="E5021" s="17">
        <v>59.93</v>
      </c>
      <c r="F5021" s="16">
        <v>0.09</v>
      </c>
      <c r="G5021" s="15" t="s">
        <v>32</v>
      </c>
      <c r="H5021" s="18">
        <v>-147.81</v>
      </c>
      <c r="I5021" s="19">
        <v>30.73</v>
      </c>
      <c r="J5021" s="19">
        <v>4</v>
      </c>
      <c r="K5021" s="19" t="s">
        <v>44</v>
      </c>
      <c r="L5021" s="19" t="s">
        <v>236</v>
      </c>
      <c r="M5021" s="15" t="s">
        <v>2175</v>
      </c>
      <c r="N5021" s="15" t="s">
        <v>64</v>
      </c>
      <c r="O5021" s="15" t="s">
        <v>72</v>
      </c>
      <c r="P5021" s="20" t="s">
        <v>971</v>
      </c>
      <c r="Q5021" s="15" t="s">
        <v>83</v>
      </c>
      <c r="R5021" s="4"/>
      <c r="S5021" s="4"/>
    </row>
    <row r="5022" spans="1:19" ht="21" customHeight="1" x14ac:dyDescent="0.25">
      <c r="A5022" s="14">
        <f>DATE(2012,12,31)-1074</f>
        <v>40200</v>
      </c>
      <c r="B5022" s="15" t="s">
        <v>1360</v>
      </c>
      <c r="C5022" s="15" t="s">
        <v>85</v>
      </c>
      <c r="D5022" s="16">
        <v>19</v>
      </c>
      <c r="E5022" s="17">
        <v>851.52</v>
      </c>
      <c r="F5022" s="16">
        <v>0.08</v>
      </c>
      <c r="G5022" s="15" t="s">
        <v>32</v>
      </c>
      <c r="H5022" s="18">
        <v>307.64</v>
      </c>
      <c r="I5022" s="19">
        <v>47.9</v>
      </c>
      <c r="J5022" s="19">
        <v>5.86</v>
      </c>
      <c r="K5022" s="19" t="s">
        <v>44</v>
      </c>
      <c r="L5022" s="19" t="s">
        <v>120</v>
      </c>
      <c r="M5022" s="15" t="s">
        <v>2025</v>
      </c>
      <c r="N5022" s="15" t="s">
        <v>36</v>
      </c>
      <c r="O5022" s="15" t="s">
        <v>117</v>
      </c>
      <c r="P5022" s="20" t="s">
        <v>698</v>
      </c>
      <c r="Q5022" s="15" t="s">
        <v>83</v>
      </c>
      <c r="R5022" s="4"/>
      <c r="S5022" s="4"/>
    </row>
    <row r="5023" spans="1:19" ht="21" customHeight="1" x14ac:dyDescent="0.25">
      <c r="A5023" s="14">
        <f>DATE(2012,12,31)-1350</f>
        <v>39924</v>
      </c>
      <c r="B5023" s="15" t="s">
        <v>1766</v>
      </c>
      <c r="C5023" s="15" t="s">
        <v>85</v>
      </c>
      <c r="D5023" s="16">
        <v>21</v>
      </c>
      <c r="E5023" s="17">
        <v>7841.57</v>
      </c>
      <c r="F5023" s="16">
        <v>0.05</v>
      </c>
      <c r="G5023" s="15" t="s">
        <v>101</v>
      </c>
      <c r="H5023" s="18">
        <v>2347.1799999999998</v>
      </c>
      <c r="I5023" s="19">
        <v>363.25</v>
      </c>
      <c r="J5023" s="19">
        <v>19.989999999999998</v>
      </c>
      <c r="K5023" s="19" t="s">
        <v>44</v>
      </c>
      <c r="L5023" s="19" t="s">
        <v>45</v>
      </c>
      <c r="M5023" s="15" t="s">
        <v>2165</v>
      </c>
      <c r="N5023" s="15" t="s">
        <v>36</v>
      </c>
      <c r="O5023" s="15" t="s">
        <v>176</v>
      </c>
      <c r="P5023" s="20" t="s">
        <v>177</v>
      </c>
      <c r="Q5023" s="15" t="s">
        <v>83</v>
      </c>
      <c r="R5023" s="4"/>
      <c r="S5023" s="4"/>
    </row>
    <row r="5024" spans="1:19" ht="21" customHeight="1" x14ac:dyDescent="0.25">
      <c r="A5024" s="14">
        <f>DATE(2012,12,31)-1350</f>
        <v>39924</v>
      </c>
      <c r="B5024" s="15" t="s">
        <v>1766</v>
      </c>
      <c r="C5024" s="15" t="s">
        <v>85</v>
      </c>
      <c r="D5024" s="16">
        <v>21</v>
      </c>
      <c r="E5024" s="17">
        <v>156.31</v>
      </c>
      <c r="F5024" s="16">
        <v>0.06</v>
      </c>
      <c r="G5024" s="15" t="s">
        <v>101</v>
      </c>
      <c r="H5024" s="18">
        <v>-9.81</v>
      </c>
      <c r="I5024" s="19">
        <v>7.59</v>
      </c>
      <c r="J5024" s="19">
        <v>4</v>
      </c>
      <c r="K5024" s="19" t="s">
        <v>44</v>
      </c>
      <c r="L5024" s="19" t="s">
        <v>120</v>
      </c>
      <c r="M5024" s="15" t="s">
        <v>2025</v>
      </c>
      <c r="N5024" s="15" t="s">
        <v>54</v>
      </c>
      <c r="O5024" s="15" t="s">
        <v>55</v>
      </c>
      <c r="P5024" s="20" t="s">
        <v>951</v>
      </c>
      <c r="Q5024" s="15" t="s">
        <v>79</v>
      </c>
      <c r="R5024" s="4"/>
      <c r="S5024" s="4"/>
    </row>
    <row r="5025" spans="1:19" ht="21" customHeight="1" x14ac:dyDescent="0.25">
      <c r="A5025" s="14">
        <f>DATE(2012,12,31)-279</f>
        <v>40995</v>
      </c>
      <c r="B5025" s="15" t="s">
        <v>346</v>
      </c>
      <c r="C5025" s="15" t="s">
        <v>51</v>
      </c>
      <c r="D5025" s="16">
        <v>11</v>
      </c>
      <c r="E5025" s="17">
        <v>324.52</v>
      </c>
      <c r="F5025" s="16">
        <v>0.08</v>
      </c>
      <c r="G5025" s="15" t="s">
        <v>32</v>
      </c>
      <c r="H5025" s="18">
        <v>154.02000000000001</v>
      </c>
      <c r="I5025" s="19">
        <v>29.18</v>
      </c>
      <c r="J5025" s="19">
        <v>8.5500000000000007</v>
      </c>
      <c r="K5025" s="19" t="s">
        <v>44</v>
      </c>
      <c r="L5025" s="19" t="s">
        <v>120</v>
      </c>
      <c r="M5025" s="15" t="s">
        <v>2025</v>
      </c>
      <c r="N5025" s="15" t="s">
        <v>54</v>
      </c>
      <c r="O5025" s="15" t="s">
        <v>55</v>
      </c>
      <c r="P5025" s="20" t="s">
        <v>868</v>
      </c>
      <c r="Q5025" s="15" t="s">
        <v>83</v>
      </c>
      <c r="R5025" s="4"/>
      <c r="S5025" s="4"/>
    </row>
    <row r="5026" spans="1:19" ht="21" customHeight="1" x14ac:dyDescent="0.25">
      <c r="A5026" s="14">
        <f>DATE(2012,12,31)-947</f>
        <v>40327</v>
      </c>
      <c r="B5026" s="15" t="s">
        <v>1059</v>
      </c>
      <c r="C5026" s="15" t="s">
        <v>51</v>
      </c>
      <c r="D5026" s="16">
        <v>36</v>
      </c>
      <c r="E5026" s="17">
        <v>173.08</v>
      </c>
      <c r="F5026" s="16">
        <v>0.04</v>
      </c>
      <c r="G5026" s="15" t="s">
        <v>32</v>
      </c>
      <c r="H5026" s="18">
        <v>81.63</v>
      </c>
      <c r="I5026" s="19">
        <v>4.91</v>
      </c>
      <c r="J5026" s="19">
        <v>0.5</v>
      </c>
      <c r="K5026" s="19" t="s">
        <v>44</v>
      </c>
      <c r="L5026" s="19" t="s">
        <v>89</v>
      </c>
      <c r="M5026" s="15" t="s">
        <v>1932</v>
      </c>
      <c r="N5026" s="15" t="s">
        <v>36</v>
      </c>
      <c r="O5026" s="15" t="s">
        <v>114</v>
      </c>
      <c r="P5026" s="20" t="s">
        <v>786</v>
      </c>
      <c r="Q5026" s="15" t="s">
        <v>83</v>
      </c>
      <c r="R5026" s="4"/>
      <c r="S5026" s="4"/>
    </row>
    <row r="5027" spans="1:19" ht="21" customHeight="1" x14ac:dyDescent="0.25">
      <c r="A5027" s="14">
        <f>DATE(2012,12,31)-947</f>
        <v>40327</v>
      </c>
      <c r="B5027" s="15" t="s">
        <v>1059</v>
      </c>
      <c r="C5027" s="15" t="s">
        <v>51</v>
      </c>
      <c r="D5027" s="16">
        <v>49</v>
      </c>
      <c r="E5027" s="17">
        <v>3492.6585</v>
      </c>
      <c r="F5027" s="16">
        <v>0.08</v>
      </c>
      <c r="G5027" s="15" t="s">
        <v>32</v>
      </c>
      <c r="H5027" s="18">
        <v>1181.808</v>
      </c>
      <c r="I5027" s="19">
        <v>85.99</v>
      </c>
      <c r="J5027" s="19">
        <v>0.99</v>
      </c>
      <c r="K5027" s="19" t="s">
        <v>44</v>
      </c>
      <c r="L5027" s="19" t="s">
        <v>89</v>
      </c>
      <c r="M5027" s="15" t="s">
        <v>1932</v>
      </c>
      <c r="N5027" s="15" t="s">
        <v>64</v>
      </c>
      <c r="O5027" s="15" t="s">
        <v>65</v>
      </c>
      <c r="P5027" s="20" t="s">
        <v>1595</v>
      </c>
      <c r="Q5027" s="15" t="s">
        <v>79</v>
      </c>
      <c r="R5027" s="4"/>
      <c r="S5027" s="4"/>
    </row>
    <row r="5028" spans="1:19" ht="21" customHeight="1" x14ac:dyDescent="0.25">
      <c r="A5028" s="14">
        <f>DATE(2012,12,31)-603</f>
        <v>40671</v>
      </c>
      <c r="B5028" s="15" t="s">
        <v>1142</v>
      </c>
      <c r="C5028" s="15" t="s">
        <v>85</v>
      </c>
      <c r="D5028" s="16">
        <v>23</v>
      </c>
      <c r="E5028" s="17">
        <v>230.41</v>
      </c>
      <c r="F5028" s="16">
        <v>0.06</v>
      </c>
      <c r="G5028" s="15" t="s">
        <v>32</v>
      </c>
      <c r="H5028" s="18">
        <v>94.39</v>
      </c>
      <c r="I5028" s="19">
        <v>9.9</v>
      </c>
      <c r="J5028" s="19">
        <v>1.39</v>
      </c>
      <c r="K5028" s="19" t="s">
        <v>124</v>
      </c>
      <c r="L5028" s="19" t="s">
        <v>160</v>
      </c>
      <c r="M5028" s="15" t="s">
        <v>2181</v>
      </c>
      <c r="N5028" s="15" t="s">
        <v>36</v>
      </c>
      <c r="O5028" s="15" t="s">
        <v>189</v>
      </c>
      <c r="P5028" s="20" t="s">
        <v>190</v>
      </c>
      <c r="Q5028" s="15" t="s">
        <v>83</v>
      </c>
      <c r="R5028" s="4"/>
      <c r="S5028" s="4"/>
    </row>
    <row r="5029" spans="1:19" ht="21" customHeight="1" x14ac:dyDescent="0.25">
      <c r="A5029" s="14">
        <f>DATE(2012,12,31)-603</f>
        <v>40671</v>
      </c>
      <c r="B5029" s="15" t="s">
        <v>1142</v>
      </c>
      <c r="C5029" s="15" t="s">
        <v>85</v>
      </c>
      <c r="D5029" s="16">
        <v>48</v>
      </c>
      <c r="E5029" s="17">
        <v>5163.0105000000003</v>
      </c>
      <c r="F5029" s="16">
        <v>7.0000000000000007E-2</v>
      </c>
      <c r="G5029" s="15" t="s">
        <v>32</v>
      </c>
      <c r="H5029" s="18">
        <v>1448.325</v>
      </c>
      <c r="I5029" s="19">
        <v>125.99</v>
      </c>
      <c r="J5029" s="19">
        <v>8.08</v>
      </c>
      <c r="K5029" s="19" t="s">
        <v>124</v>
      </c>
      <c r="L5029" s="19" t="s">
        <v>125</v>
      </c>
      <c r="M5029" s="15" t="s">
        <v>2223</v>
      </c>
      <c r="N5029" s="15" t="s">
        <v>64</v>
      </c>
      <c r="O5029" s="15" t="s">
        <v>65</v>
      </c>
      <c r="P5029" s="20" t="s">
        <v>535</v>
      </c>
      <c r="Q5029" s="15" t="s">
        <v>83</v>
      </c>
      <c r="R5029" s="4"/>
      <c r="S5029" s="4"/>
    </row>
    <row r="5030" spans="1:19" ht="21" customHeight="1" x14ac:dyDescent="0.25">
      <c r="A5030" s="14">
        <f>DATE(2012,12,31)-221</f>
        <v>41053</v>
      </c>
      <c r="B5030" s="15" t="s">
        <v>1514</v>
      </c>
      <c r="C5030" s="15" t="s">
        <v>51</v>
      </c>
      <c r="D5030" s="16">
        <v>18</v>
      </c>
      <c r="E5030" s="17">
        <v>53.79</v>
      </c>
      <c r="F5030" s="16">
        <v>0.03</v>
      </c>
      <c r="G5030" s="15" t="s">
        <v>32</v>
      </c>
      <c r="H5030" s="18">
        <v>11.55</v>
      </c>
      <c r="I5030" s="19">
        <v>2.88</v>
      </c>
      <c r="J5030" s="19">
        <v>0.99</v>
      </c>
      <c r="K5030" s="19" t="s">
        <v>33</v>
      </c>
      <c r="L5030" s="19" t="s">
        <v>128</v>
      </c>
      <c r="M5030" s="15" t="s">
        <v>129</v>
      </c>
      <c r="N5030" s="15" t="s">
        <v>36</v>
      </c>
      <c r="O5030" s="15" t="s">
        <v>114</v>
      </c>
      <c r="P5030" s="20" t="s">
        <v>1153</v>
      </c>
      <c r="Q5030" s="15" t="s">
        <v>83</v>
      </c>
      <c r="R5030" s="4"/>
      <c r="S5030" s="4"/>
    </row>
    <row r="5031" spans="1:19" ht="21" customHeight="1" x14ac:dyDescent="0.25">
      <c r="A5031" s="14">
        <f>DATE(2012,12,31)-725</f>
        <v>40549</v>
      </c>
      <c r="B5031" s="15" t="s">
        <v>2028</v>
      </c>
      <c r="C5031" s="15" t="s">
        <v>51</v>
      </c>
      <c r="D5031" s="16">
        <v>15</v>
      </c>
      <c r="E5031" s="17">
        <v>5713.48</v>
      </c>
      <c r="F5031" s="16">
        <v>0.05</v>
      </c>
      <c r="G5031" s="15" t="s">
        <v>58</v>
      </c>
      <c r="H5031" s="18">
        <v>-712.52610000000004</v>
      </c>
      <c r="I5031" s="19">
        <v>376.13</v>
      </c>
      <c r="J5031" s="19">
        <v>85.63</v>
      </c>
      <c r="K5031" s="19" t="s">
        <v>33</v>
      </c>
      <c r="L5031" s="19" t="s">
        <v>128</v>
      </c>
      <c r="M5031" s="15" t="s">
        <v>129</v>
      </c>
      <c r="N5031" s="15" t="s">
        <v>54</v>
      </c>
      <c r="O5031" s="15" t="s">
        <v>61</v>
      </c>
      <c r="P5031" s="20" t="s">
        <v>1159</v>
      </c>
      <c r="Q5031" s="15" t="s">
        <v>63</v>
      </c>
      <c r="R5031" s="4"/>
      <c r="S5031" s="4"/>
    </row>
    <row r="5032" spans="1:19" ht="21" customHeight="1" x14ac:dyDescent="0.25">
      <c r="A5032" s="14">
        <f>DATE(2012,12,31)-1431</f>
        <v>39843</v>
      </c>
      <c r="B5032" s="15" t="s">
        <v>710</v>
      </c>
      <c r="C5032" s="15" t="s">
        <v>85</v>
      </c>
      <c r="D5032" s="16">
        <v>23</v>
      </c>
      <c r="E5032" s="17">
        <v>361.65</v>
      </c>
      <c r="F5032" s="16">
        <v>0.08</v>
      </c>
      <c r="G5032" s="15" t="s">
        <v>101</v>
      </c>
      <c r="H5032" s="18">
        <v>-144.27000000000001</v>
      </c>
      <c r="I5032" s="19">
        <v>15.98</v>
      </c>
      <c r="J5032" s="19">
        <v>8.99</v>
      </c>
      <c r="K5032" s="19" t="s">
        <v>33</v>
      </c>
      <c r="L5032" s="19" t="s">
        <v>128</v>
      </c>
      <c r="M5032" s="15" t="s">
        <v>129</v>
      </c>
      <c r="N5032" s="15" t="s">
        <v>64</v>
      </c>
      <c r="O5032" s="15" t="s">
        <v>72</v>
      </c>
      <c r="P5032" s="20" t="s">
        <v>1198</v>
      </c>
      <c r="Q5032" s="15" t="s">
        <v>49</v>
      </c>
      <c r="R5032" s="4"/>
      <c r="S5032" s="4"/>
    </row>
    <row r="5033" spans="1:19" ht="21" customHeight="1" x14ac:dyDescent="0.25">
      <c r="A5033" s="14">
        <f>DATE(2012,12,31)-566</f>
        <v>40708</v>
      </c>
      <c r="B5033" s="15" t="s">
        <v>1558</v>
      </c>
      <c r="C5033" s="15" t="s">
        <v>51</v>
      </c>
      <c r="D5033" s="16">
        <v>31</v>
      </c>
      <c r="E5033" s="17">
        <v>348.92</v>
      </c>
      <c r="F5033" s="16">
        <v>0.06</v>
      </c>
      <c r="G5033" s="15" t="s">
        <v>32</v>
      </c>
      <c r="H5033" s="18">
        <v>28.47</v>
      </c>
      <c r="I5033" s="19">
        <v>10.98</v>
      </c>
      <c r="J5033" s="19">
        <v>3.37</v>
      </c>
      <c r="K5033" s="19" t="s">
        <v>33</v>
      </c>
      <c r="L5033" s="19" t="s">
        <v>93</v>
      </c>
      <c r="M5033" s="15" t="s">
        <v>94</v>
      </c>
      <c r="N5033" s="15" t="s">
        <v>36</v>
      </c>
      <c r="O5033" s="15" t="s">
        <v>47</v>
      </c>
      <c r="P5033" s="20" t="s">
        <v>1698</v>
      </c>
      <c r="Q5033" s="15" t="s">
        <v>49</v>
      </c>
      <c r="R5033" s="4"/>
      <c r="S5033" s="4"/>
    </row>
    <row r="5034" spans="1:19" ht="21" customHeight="1" x14ac:dyDescent="0.25">
      <c r="A5034" s="14">
        <f>DATE(2012,12,31)-951</f>
        <v>40323</v>
      </c>
      <c r="B5034" s="15" t="s">
        <v>172</v>
      </c>
      <c r="C5034" s="15" t="s">
        <v>51</v>
      </c>
      <c r="D5034" s="16">
        <v>30</v>
      </c>
      <c r="E5034" s="17">
        <v>129.71</v>
      </c>
      <c r="F5034" s="16">
        <v>0.08</v>
      </c>
      <c r="G5034" s="15" t="s">
        <v>32</v>
      </c>
      <c r="H5034" s="18">
        <v>-100.61</v>
      </c>
      <c r="I5034" s="19">
        <v>4.28</v>
      </c>
      <c r="J5034" s="19">
        <v>5.68</v>
      </c>
      <c r="K5034" s="19" t="s">
        <v>33</v>
      </c>
      <c r="L5034" s="19" t="s">
        <v>93</v>
      </c>
      <c r="M5034" s="15" t="s">
        <v>94</v>
      </c>
      <c r="N5034" s="15" t="s">
        <v>36</v>
      </c>
      <c r="O5034" s="15" t="s">
        <v>117</v>
      </c>
      <c r="P5034" s="20" t="s">
        <v>1530</v>
      </c>
      <c r="Q5034" s="15" t="s">
        <v>83</v>
      </c>
      <c r="R5034" s="4"/>
      <c r="S5034" s="4"/>
    </row>
    <row r="5035" spans="1:19" ht="21" customHeight="1" x14ac:dyDescent="0.25">
      <c r="A5035" s="14">
        <f>DATE(2012,12,31)-871</f>
        <v>40403</v>
      </c>
      <c r="B5035" s="15" t="s">
        <v>1834</v>
      </c>
      <c r="C5035" s="15" t="s">
        <v>85</v>
      </c>
      <c r="D5035" s="16">
        <v>11</v>
      </c>
      <c r="E5035" s="17">
        <v>485.46</v>
      </c>
      <c r="F5035" s="16">
        <v>0.03</v>
      </c>
      <c r="G5035" s="15" t="s">
        <v>32</v>
      </c>
      <c r="H5035" s="18">
        <v>48.88</v>
      </c>
      <c r="I5035" s="19">
        <v>40.99</v>
      </c>
      <c r="J5035" s="19">
        <v>17.48</v>
      </c>
      <c r="K5035" s="19" t="s">
        <v>33</v>
      </c>
      <c r="L5035" s="19" t="s">
        <v>93</v>
      </c>
      <c r="M5035" s="15" t="s">
        <v>94</v>
      </c>
      <c r="N5035" s="15" t="s">
        <v>36</v>
      </c>
      <c r="O5035" s="15" t="s">
        <v>117</v>
      </c>
      <c r="P5035" s="20" t="s">
        <v>583</v>
      </c>
      <c r="Q5035" s="15" t="s">
        <v>83</v>
      </c>
      <c r="R5035" s="4"/>
      <c r="S5035" s="4"/>
    </row>
    <row r="5036" spans="1:19" ht="21" customHeight="1" x14ac:dyDescent="0.25">
      <c r="A5036" s="14">
        <f>DATE(2012,12,31)-871</f>
        <v>40403</v>
      </c>
      <c r="B5036" s="15" t="s">
        <v>1834</v>
      </c>
      <c r="C5036" s="15" t="s">
        <v>85</v>
      </c>
      <c r="D5036" s="16">
        <v>45</v>
      </c>
      <c r="E5036" s="17">
        <v>161.66999999999999</v>
      </c>
      <c r="F5036" s="16">
        <v>0.08</v>
      </c>
      <c r="G5036" s="15" t="s">
        <v>32</v>
      </c>
      <c r="H5036" s="18">
        <v>-7.71</v>
      </c>
      <c r="I5036" s="19">
        <v>3.6</v>
      </c>
      <c r="J5036" s="19">
        <v>2.2000000000000002</v>
      </c>
      <c r="K5036" s="19" t="s">
        <v>33</v>
      </c>
      <c r="L5036" s="19" t="s">
        <v>93</v>
      </c>
      <c r="M5036" s="15" t="s">
        <v>94</v>
      </c>
      <c r="N5036" s="15" t="s">
        <v>36</v>
      </c>
      <c r="O5036" s="15" t="s">
        <v>117</v>
      </c>
      <c r="P5036" s="20" t="s">
        <v>1925</v>
      </c>
      <c r="Q5036" s="15" t="s">
        <v>79</v>
      </c>
      <c r="R5036" s="4"/>
      <c r="S5036" s="4"/>
    </row>
    <row r="5037" spans="1:19" ht="21" customHeight="1" x14ac:dyDescent="0.25">
      <c r="A5037" s="14">
        <f>DATE(2012,12,31)-316</f>
        <v>40958</v>
      </c>
      <c r="B5037" s="15" t="s">
        <v>518</v>
      </c>
      <c r="C5037" s="15" t="s">
        <v>31</v>
      </c>
      <c r="D5037" s="16">
        <v>20</v>
      </c>
      <c r="E5037" s="17">
        <v>37.4</v>
      </c>
      <c r="F5037" s="16">
        <v>0.09</v>
      </c>
      <c r="G5037" s="15" t="s">
        <v>101</v>
      </c>
      <c r="H5037" s="18">
        <v>-17.18</v>
      </c>
      <c r="I5037" s="19">
        <v>1.68</v>
      </c>
      <c r="J5037" s="19">
        <v>1.57</v>
      </c>
      <c r="K5037" s="19" t="s">
        <v>33</v>
      </c>
      <c r="L5037" s="19" t="s">
        <v>128</v>
      </c>
      <c r="M5037" s="15" t="s">
        <v>129</v>
      </c>
      <c r="N5037" s="15" t="s">
        <v>36</v>
      </c>
      <c r="O5037" s="15" t="s">
        <v>77</v>
      </c>
      <c r="P5037" s="20" t="s">
        <v>838</v>
      </c>
      <c r="Q5037" s="15" t="s">
        <v>79</v>
      </c>
      <c r="R5037" s="4"/>
      <c r="S5037" s="4"/>
    </row>
    <row r="5038" spans="1:19" ht="21" customHeight="1" x14ac:dyDescent="0.25">
      <c r="A5038" s="14">
        <f>DATE(2012,12,31)-750</f>
        <v>40524</v>
      </c>
      <c r="B5038" s="15" t="s">
        <v>775</v>
      </c>
      <c r="C5038" s="15" t="s">
        <v>43</v>
      </c>
      <c r="D5038" s="16">
        <v>40</v>
      </c>
      <c r="E5038" s="17">
        <v>240.18</v>
      </c>
      <c r="F5038" s="16">
        <v>0.06</v>
      </c>
      <c r="G5038" s="15" t="s">
        <v>32</v>
      </c>
      <c r="H5038" s="18">
        <v>-160.21</v>
      </c>
      <c r="I5038" s="19">
        <v>5.78</v>
      </c>
      <c r="J5038" s="19">
        <v>7.64</v>
      </c>
      <c r="K5038" s="19" t="s">
        <v>97</v>
      </c>
      <c r="L5038" s="19" t="s">
        <v>98</v>
      </c>
      <c r="M5038" s="15" t="s">
        <v>2217</v>
      </c>
      <c r="N5038" s="15" t="s">
        <v>36</v>
      </c>
      <c r="O5038" s="15" t="s">
        <v>117</v>
      </c>
      <c r="P5038" s="20" t="s">
        <v>1056</v>
      </c>
      <c r="Q5038" s="15" t="s">
        <v>83</v>
      </c>
      <c r="R5038" s="4"/>
      <c r="S5038" s="4"/>
    </row>
    <row r="5039" spans="1:19" ht="21" customHeight="1" x14ac:dyDescent="0.25">
      <c r="A5039" s="14">
        <f>DATE(2012,12,31)-750</f>
        <v>40524</v>
      </c>
      <c r="B5039" s="15" t="s">
        <v>775</v>
      </c>
      <c r="C5039" s="15" t="s">
        <v>43</v>
      </c>
      <c r="D5039" s="16">
        <v>45</v>
      </c>
      <c r="E5039" s="17">
        <v>529.28</v>
      </c>
      <c r="F5039" s="16">
        <v>0.1</v>
      </c>
      <c r="G5039" s="15" t="s">
        <v>101</v>
      </c>
      <c r="H5039" s="18">
        <v>-30.27</v>
      </c>
      <c r="I5039" s="19">
        <v>12.21</v>
      </c>
      <c r="J5039" s="19">
        <v>4.8099999999999996</v>
      </c>
      <c r="K5039" s="19" t="s">
        <v>97</v>
      </c>
      <c r="L5039" s="19" t="s">
        <v>132</v>
      </c>
      <c r="M5039" s="15" t="s">
        <v>133</v>
      </c>
      <c r="N5039" s="15" t="s">
        <v>36</v>
      </c>
      <c r="O5039" s="15" t="s">
        <v>37</v>
      </c>
      <c r="P5039" s="20" t="s">
        <v>1674</v>
      </c>
      <c r="Q5039" s="15" t="s">
        <v>83</v>
      </c>
      <c r="R5039" s="4"/>
      <c r="S5039" s="4"/>
    </row>
    <row r="5040" spans="1:19" ht="21" customHeight="1" x14ac:dyDescent="0.25">
      <c r="A5040" s="14">
        <f>DATE(2012,12,31)-768</f>
        <v>40506</v>
      </c>
      <c r="B5040" s="15" t="s">
        <v>2224</v>
      </c>
      <c r="C5040" s="15" t="s">
        <v>51</v>
      </c>
      <c r="D5040" s="16">
        <v>28</v>
      </c>
      <c r="E5040" s="17">
        <v>881.50099999999998</v>
      </c>
      <c r="F5040" s="16">
        <v>0.02</v>
      </c>
      <c r="G5040" s="15" t="s">
        <v>101</v>
      </c>
      <c r="H5040" s="18">
        <v>334.53</v>
      </c>
      <c r="I5040" s="19">
        <v>35.99</v>
      </c>
      <c r="J5040" s="19">
        <v>3.3</v>
      </c>
      <c r="K5040" s="19" t="s">
        <v>97</v>
      </c>
      <c r="L5040" s="19" t="s">
        <v>98</v>
      </c>
      <c r="M5040" s="15" t="s">
        <v>2217</v>
      </c>
      <c r="N5040" s="15" t="s">
        <v>64</v>
      </c>
      <c r="O5040" s="15" t="s">
        <v>65</v>
      </c>
      <c r="P5040" s="20" t="s">
        <v>1720</v>
      </c>
      <c r="Q5040" s="15" t="s">
        <v>49</v>
      </c>
      <c r="R5040" s="4"/>
      <c r="S5040" s="4"/>
    </row>
    <row r="5041" spans="1:19" ht="21" customHeight="1" x14ac:dyDescent="0.25">
      <c r="A5041" s="14">
        <f>DATE(2012,12,31)-768</f>
        <v>40506</v>
      </c>
      <c r="B5041" s="15" t="s">
        <v>2224</v>
      </c>
      <c r="C5041" s="15" t="s">
        <v>51</v>
      </c>
      <c r="D5041" s="16">
        <v>25</v>
      </c>
      <c r="E5041" s="17">
        <v>161.72</v>
      </c>
      <c r="F5041" s="16">
        <v>0.09</v>
      </c>
      <c r="G5041" s="15" t="s">
        <v>32</v>
      </c>
      <c r="H5041" s="18">
        <v>-121.18</v>
      </c>
      <c r="I5041" s="19">
        <v>6.48</v>
      </c>
      <c r="J5041" s="19">
        <v>8.4</v>
      </c>
      <c r="K5041" s="19" t="s">
        <v>97</v>
      </c>
      <c r="L5041" s="19" t="s">
        <v>195</v>
      </c>
      <c r="M5041" s="15" t="s">
        <v>2138</v>
      </c>
      <c r="N5041" s="15" t="s">
        <v>36</v>
      </c>
      <c r="O5041" s="15" t="s">
        <v>117</v>
      </c>
      <c r="P5041" s="20" t="s">
        <v>729</v>
      </c>
      <c r="Q5041" s="15" t="s">
        <v>83</v>
      </c>
      <c r="R5041" s="4"/>
      <c r="S5041" s="4"/>
    </row>
    <row r="5042" spans="1:19" ht="21" customHeight="1" x14ac:dyDescent="0.25">
      <c r="A5042" s="14">
        <f>DATE(2012,12,31)-768</f>
        <v>40506</v>
      </c>
      <c r="B5042" s="15" t="s">
        <v>2224</v>
      </c>
      <c r="C5042" s="15" t="s">
        <v>51</v>
      </c>
      <c r="D5042" s="16">
        <v>36</v>
      </c>
      <c r="E5042" s="17">
        <v>660.05899999999997</v>
      </c>
      <c r="F5042" s="16">
        <v>0.05</v>
      </c>
      <c r="G5042" s="15" t="s">
        <v>32</v>
      </c>
      <c r="H5042" s="18">
        <v>-0.64900000000000002</v>
      </c>
      <c r="I5042" s="19">
        <v>20.99</v>
      </c>
      <c r="J5042" s="19">
        <v>1.25</v>
      </c>
      <c r="K5042" s="19" t="s">
        <v>97</v>
      </c>
      <c r="L5042" s="19" t="s">
        <v>98</v>
      </c>
      <c r="M5042" s="15" t="s">
        <v>2217</v>
      </c>
      <c r="N5042" s="15" t="s">
        <v>64</v>
      </c>
      <c r="O5042" s="15" t="s">
        <v>65</v>
      </c>
      <c r="P5042" s="20" t="s">
        <v>1261</v>
      </c>
      <c r="Q5042" s="15" t="s">
        <v>49</v>
      </c>
      <c r="R5042" s="4"/>
      <c r="S5042" s="4"/>
    </row>
    <row r="5043" spans="1:19" ht="21" customHeight="1" x14ac:dyDescent="0.25">
      <c r="A5043" s="14">
        <f>DATE(2012,12,31)-1440</f>
        <v>39834</v>
      </c>
      <c r="B5043" s="15" t="s">
        <v>537</v>
      </c>
      <c r="C5043" s="15" t="s">
        <v>85</v>
      </c>
      <c r="D5043" s="16">
        <v>41</v>
      </c>
      <c r="E5043" s="17">
        <v>312.26</v>
      </c>
      <c r="F5043" s="16">
        <v>0.08</v>
      </c>
      <c r="G5043" s="15" t="s">
        <v>32</v>
      </c>
      <c r="H5043" s="18">
        <v>-10.384499999999999</v>
      </c>
      <c r="I5043" s="19">
        <v>7.84</v>
      </c>
      <c r="J5043" s="19">
        <v>4.71</v>
      </c>
      <c r="K5043" s="19" t="s">
        <v>97</v>
      </c>
      <c r="L5043" s="19" t="s">
        <v>98</v>
      </c>
      <c r="M5043" s="15" t="s">
        <v>2217</v>
      </c>
      <c r="N5043" s="15" t="s">
        <v>36</v>
      </c>
      <c r="O5043" s="15" t="s">
        <v>170</v>
      </c>
      <c r="P5043" s="20" t="s">
        <v>776</v>
      </c>
      <c r="Q5043" s="15" t="s">
        <v>83</v>
      </c>
      <c r="R5043" s="4"/>
      <c r="S5043" s="4"/>
    </row>
    <row r="5044" spans="1:19" ht="21" customHeight="1" x14ac:dyDescent="0.25">
      <c r="A5044" s="14">
        <f>DATE(2012,12,31)-1440</f>
        <v>39834</v>
      </c>
      <c r="B5044" s="15" t="s">
        <v>537</v>
      </c>
      <c r="C5044" s="15" t="s">
        <v>85</v>
      </c>
      <c r="D5044" s="16">
        <v>40</v>
      </c>
      <c r="E5044" s="17">
        <v>4152.55</v>
      </c>
      <c r="F5044" s="16">
        <v>0.03</v>
      </c>
      <c r="G5044" s="15" t="s">
        <v>32</v>
      </c>
      <c r="H5044" s="18">
        <v>813.33</v>
      </c>
      <c r="I5044" s="19">
        <v>105.34</v>
      </c>
      <c r="J5044" s="19">
        <v>24.49</v>
      </c>
      <c r="K5044" s="19" t="s">
        <v>97</v>
      </c>
      <c r="L5044" s="19" t="s">
        <v>195</v>
      </c>
      <c r="M5044" s="15" t="s">
        <v>2138</v>
      </c>
      <c r="N5044" s="15" t="s">
        <v>54</v>
      </c>
      <c r="O5044" s="15" t="s">
        <v>55</v>
      </c>
      <c r="P5044" s="20" t="s">
        <v>1366</v>
      </c>
      <c r="Q5044" s="15" t="s">
        <v>39</v>
      </c>
      <c r="R5044" s="4"/>
      <c r="S5044" s="4"/>
    </row>
    <row r="5045" spans="1:19" ht="21" customHeight="1" x14ac:dyDescent="0.25">
      <c r="A5045" s="14">
        <f>DATE(2012,12,31)-44</f>
        <v>41230</v>
      </c>
      <c r="B5045" s="15" t="s">
        <v>153</v>
      </c>
      <c r="C5045" s="15" t="s">
        <v>43</v>
      </c>
      <c r="D5045" s="16">
        <v>6</v>
      </c>
      <c r="E5045" s="17">
        <v>1770.7</v>
      </c>
      <c r="F5045" s="16">
        <v>0.05</v>
      </c>
      <c r="G5045" s="15" t="s">
        <v>58</v>
      </c>
      <c r="H5045" s="18">
        <v>-448.25</v>
      </c>
      <c r="I5045" s="19">
        <v>280.98</v>
      </c>
      <c r="J5045" s="19">
        <v>57</v>
      </c>
      <c r="K5045" s="19" t="s">
        <v>97</v>
      </c>
      <c r="L5045" s="19" t="s">
        <v>283</v>
      </c>
      <c r="M5045" s="15" t="s">
        <v>2205</v>
      </c>
      <c r="N5045" s="15" t="s">
        <v>54</v>
      </c>
      <c r="O5045" s="15" t="s">
        <v>252</v>
      </c>
      <c r="P5045" s="20" t="s">
        <v>1220</v>
      </c>
      <c r="Q5045" s="15" t="s">
        <v>181</v>
      </c>
      <c r="R5045" s="4"/>
      <c r="S5045" s="4"/>
    </row>
    <row r="5046" spans="1:19" ht="21" customHeight="1" x14ac:dyDescent="0.25">
      <c r="A5046" s="14">
        <f>DATE(2012,12,31)-44</f>
        <v>41230</v>
      </c>
      <c r="B5046" s="15" t="s">
        <v>153</v>
      </c>
      <c r="C5046" s="15" t="s">
        <v>43</v>
      </c>
      <c r="D5046" s="16">
        <v>48</v>
      </c>
      <c r="E5046" s="17">
        <v>628.33000000000004</v>
      </c>
      <c r="F5046" s="16">
        <v>0.09</v>
      </c>
      <c r="G5046" s="15" t="s">
        <v>32</v>
      </c>
      <c r="H5046" s="18">
        <v>-226.62</v>
      </c>
      <c r="I5046" s="19">
        <v>14.03</v>
      </c>
      <c r="J5046" s="19">
        <v>9.3699999999999992</v>
      </c>
      <c r="K5046" s="19" t="s">
        <v>124</v>
      </c>
      <c r="L5046" s="19" t="s">
        <v>160</v>
      </c>
      <c r="M5046" s="15" t="s">
        <v>2181</v>
      </c>
      <c r="N5046" s="15" t="s">
        <v>36</v>
      </c>
      <c r="O5046" s="15" t="s">
        <v>37</v>
      </c>
      <c r="P5046" s="20" t="s">
        <v>969</v>
      </c>
      <c r="Q5046" s="15" t="s">
        <v>83</v>
      </c>
      <c r="R5046" s="4"/>
      <c r="S5046" s="4"/>
    </row>
    <row r="5047" spans="1:19" ht="21" customHeight="1" x14ac:dyDescent="0.25">
      <c r="A5047" s="14">
        <f>DATE(2012,12,31)-949</f>
        <v>40325</v>
      </c>
      <c r="B5047" s="15" t="s">
        <v>572</v>
      </c>
      <c r="C5047" s="15" t="s">
        <v>85</v>
      </c>
      <c r="D5047" s="16">
        <v>47</v>
      </c>
      <c r="E5047" s="17">
        <v>136.63</v>
      </c>
      <c r="F5047" s="16">
        <v>0.03</v>
      </c>
      <c r="G5047" s="15" t="s">
        <v>32</v>
      </c>
      <c r="H5047" s="18">
        <v>-162.61000000000001</v>
      </c>
      <c r="I5047" s="19">
        <v>2.88</v>
      </c>
      <c r="J5047" s="19">
        <v>5.33</v>
      </c>
      <c r="K5047" s="19" t="s">
        <v>124</v>
      </c>
      <c r="L5047" s="19" t="s">
        <v>160</v>
      </c>
      <c r="M5047" s="15" t="s">
        <v>2181</v>
      </c>
      <c r="N5047" s="15" t="s">
        <v>36</v>
      </c>
      <c r="O5047" s="15" t="s">
        <v>114</v>
      </c>
      <c r="P5047" s="20" t="s">
        <v>2122</v>
      </c>
      <c r="Q5047" s="15" t="s">
        <v>83</v>
      </c>
      <c r="R5047" s="4"/>
      <c r="S5047" s="4"/>
    </row>
    <row r="5048" spans="1:19" ht="21" customHeight="1" x14ac:dyDescent="0.25">
      <c r="A5048" s="14">
        <f>DATE(2012,12,31)-303</f>
        <v>40971</v>
      </c>
      <c r="B5048" s="15" t="s">
        <v>1137</v>
      </c>
      <c r="C5048" s="15" t="s">
        <v>43</v>
      </c>
      <c r="D5048" s="16">
        <v>21</v>
      </c>
      <c r="E5048" s="17">
        <v>141.19999999999999</v>
      </c>
      <c r="F5048" s="16">
        <v>0.05</v>
      </c>
      <c r="G5048" s="15" t="s">
        <v>32</v>
      </c>
      <c r="H5048" s="18">
        <v>-74.43950000000001</v>
      </c>
      <c r="I5048" s="19">
        <v>6.23</v>
      </c>
      <c r="J5048" s="19">
        <v>6.97</v>
      </c>
      <c r="K5048" s="19" t="s">
        <v>124</v>
      </c>
      <c r="L5048" s="19" t="s">
        <v>160</v>
      </c>
      <c r="M5048" s="15" t="s">
        <v>2181</v>
      </c>
      <c r="N5048" s="15" t="s">
        <v>36</v>
      </c>
      <c r="O5048" s="15" t="s">
        <v>170</v>
      </c>
      <c r="P5048" s="20" t="s">
        <v>2131</v>
      </c>
      <c r="Q5048" s="15" t="s">
        <v>83</v>
      </c>
      <c r="R5048" s="4"/>
      <c r="S5048" s="4"/>
    </row>
    <row r="5049" spans="1:19" ht="21" customHeight="1" x14ac:dyDescent="0.25">
      <c r="A5049" s="14">
        <f>DATE(2012,12,31)-644</f>
        <v>40630</v>
      </c>
      <c r="B5049" s="15" t="s">
        <v>1074</v>
      </c>
      <c r="C5049" s="15" t="s">
        <v>31</v>
      </c>
      <c r="D5049" s="16">
        <v>45</v>
      </c>
      <c r="E5049" s="17">
        <v>1038.82</v>
      </c>
      <c r="F5049" s="16">
        <v>0.05</v>
      </c>
      <c r="G5049" s="15" t="s">
        <v>32</v>
      </c>
      <c r="H5049" s="18">
        <v>-78.361000000000004</v>
      </c>
      <c r="I5049" s="19">
        <v>22.38</v>
      </c>
      <c r="J5049" s="19">
        <v>15.1</v>
      </c>
      <c r="K5049" s="19" t="s">
        <v>124</v>
      </c>
      <c r="L5049" s="19" t="s">
        <v>160</v>
      </c>
      <c r="M5049" s="15" t="s">
        <v>2181</v>
      </c>
      <c r="N5049" s="15" t="s">
        <v>36</v>
      </c>
      <c r="O5049" s="15" t="s">
        <v>170</v>
      </c>
      <c r="P5049" s="20" t="s">
        <v>893</v>
      </c>
      <c r="Q5049" s="15" t="s">
        <v>83</v>
      </c>
      <c r="R5049" s="4"/>
      <c r="S5049" s="4"/>
    </row>
    <row r="5050" spans="1:19" ht="21" customHeight="1" x14ac:dyDescent="0.25">
      <c r="A5050" s="14">
        <f>DATE(2012,12,31)-644</f>
        <v>40630</v>
      </c>
      <c r="B5050" s="15" t="s">
        <v>1074</v>
      </c>
      <c r="C5050" s="15" t="s">
        <v>31</v>
      </c>
      <c r="D5050" s="16">
        <v>47</v>
      </c>
      <c r="E5050" s="17">
        <v>564.39</v>
      </c>
      <c r="F5050" s="16">
        <v>0.09</v>
      </c>
      <c r="G5050" s="15" t="s">
        <v>32</v>
      </c>
      <c r="H5050" s="18">
        <v>51.8245</v>
      </c>
      <c r="I5050" s="19">
        <v>12.95</v>
      </c>
      <c r="J5050" s="19">
        <v>4.9800000000000004</v>
      </c>
      <c r="K5050" s="19" t="s">
        <v>124</v>
      </c>
      <c r="L5050" s="19" t="s">
        <v>493</v>
      </c>
      <c r="M5050" s="15" t="s">
        <v>2206</v>
      </c>
      <c r="N5050" s="15" t="s">
        <v>36</v>
      </c>
      <c r="O5050" s="15" t="s">
        <v>170</v>
      </c>
      <c r="P5050" s="20" t="s">
        <v>289</v>
      </c>
      <c r="Q5050" s="15" t="s">
        <v>83</v>
      </c>
      <c r="R5050" s="4"/>
      <c r="S5050" s="4"/>
    </row>
    <row r="5051" spans="1:19" ht="21" customHeight="1" x14ac:dyDescent="0.25">
      <c r="A5051" s="14">
        <f>DATE(2012,12,31)-792</f>
        <v>40482</v>
      </c>
      <c r="B5051" s="15" t="s">
        <v>292</v>
      </c>
      <c r="C5051" s="15" t="s">
        <v>85</v>
      </c>
      <c r="D5051" s="16">
        <v>40</v>
      </c>
      <c r="E5051" s="17">
        <v>207.42</v>
      </c>
      <c r="F5051" s="16">
        <v>0.04</v>
      </c>
      <c r="G5051" s="15" t="s">
        <v>32</v>
      </c>
      <c r="H5051" s="18">
        <v>-115.345</v>
      </c>
      <c r="I5051" s="19">
        <v>4.91</v>
      </c>
      <c r="J5051" s="19">
        <v>5.68</v>
      </c>
      <c r="K5051" s="19" t="s">
        <v>124</v>
      </c>
      <c r="L5051" s="19" t="s">
        <v>160</v>
      </c>
      <c r="M5051" s="15" t="s">
        <v>2181</v>
      </c>
      <c r="N5051" s="15" t="s">
        <v>36</v>
      </c>
      <c r="O5051" s="15" t="s">
        <v>170</v>
      </c>
      <c r="P5051" s="20" t="s">
        <v>1284</v>
      </c>
      <c r="Q5051" s="15" t="s">
        <v>83</v>
      </c>
      <c r="R5051" s="4"/>
      <c r="S5051" s="4"/>
    </row>
    <row r="5052" spans="1:19" ht="21" customHeight="1" x14ac:dyDescent="0.25">
      <c r="A5052" s="14">
        <f>DATE(2012,12,31)-792</f>
        <v>40482</v>
      </c>
      <c r="B5052" s="15" t="s">
        <v>292</v>
      </c>
      <c r="C5052" s="15" t="s">
        <v>85</v>
      </c>
      <c r="D5052" s="16">
        <v>48</v>
      </c>
      <c r="E5052" s="17">
        <v>1031.18</v>
      </c>
      <c r="F5052" s="16">
        <v>0.01</v>
      </c>
      <c r="G5052" s="15" t="s">
        <v>32</v>
      </c>
      <c r="H5052" s="18">
        <v>349.82</v>
      </c>
      <c r="I5052" s="19">
        <v>19.98</v>
      </c>
      <c r="J5052" s="19">
        <v>5.77</v>
      </c>
      <c r="K5052" s="19" t="s">
        <v>124</v>
      </c>
      <c r="L5052" s="19" t="s">
        <v>160</v>
      </c>
      <c r="M5052" s="15" t="s">
        <v>2181</v>
      </c>
      <c r="N5052" s="15" t="s">
        <v>36</v>
      </c>
      <c r="O5052" s="15" t="s">
        <v>117</v>
      </c>
      <c r="P5052" s="20" t="s">
        <v>1535</v>
      </c>
      <c r="Q5052" s="15" t="s">
        <v>83</v>
      </c>
      <c r="R5052" s="4"/>
      <c r="S5052" s="4"/>
    </row>
    <row r="5053" spans="1:19" ht="21" customHeight="1" x14ac:dyDescent="0.25">
      <c r="A5053" s="14">
        <f>DATE(2012,12,31)-836</f>
        <v>40438</v>
      </c>
      <c r="B5053" s="15" t="s">
        <v>1356</v>
      </c>
      <c r="C5053" s="15" t="s">
        <v>31</v>
      </c>
      <c r="D5053" s="16">
        <v>1</v>
      </c>
      <c r="E5053" s="17">
        <v>29.65</v>
      </c>
      <c r="F5053" s="16">
        <v>0.05</v>
      </c>
      <c r="G5053" s="15" t="s">
        <v>101</v>
      </c>
      <c r="H5053" s="18">
        <v>-16.54</v>
      </c>
      <c r="I5053" s="19">
        <v>14.98</v>
      </c>
      <c r="J5053" s="19">
        <v>7.69</v>
      </c>
      <c r="K5053" s="19" t="s">
        <v>124</v>
      </c>
      <c r="L5053" s="19" t="s">
        <v>160</v>
      </c>
      <c r="M5053" s="15" t="s">
        <v>2181</v>
      </c>
      <c r="N5053" s="15" t="s">
        <v>36</v>
      </c>
      <c r="O5053" s="15" t="s">
        <v>37</v>
      </c>
      <c r="P5053" s="20" t="s">
        <v>1089</v>
      </c>
      <c r="Q5053" s="15" t="s">
        <v>83</v>
      </c>
      <c r="R5053" s="4"/>
      <c r="S5053" s="4"/>
    </row>
    <row r="5054" spans="1:19" ht="21" customHeight="1" x14ac:dyDescent="0.25">
      <c r="A5054" s="14">
        <f>DATE(2012,12,31)-1108</f>
        <v>40166</v>
      </c>
      <c r="B5054" s="15" t="s">
        <v>1003</v>
      </c>
      <c r="C5054" s="15" t="s">
        <v>43</v>
      </c>
      <c r="D5054" s="16">
        <v>15</v>
      </c>
      <c r="E5054" s="17">
        <v>83.02</v>
      </c>
      <c r="F5054" s="16">
        <v>0.06</v>
      </c>
      <c r="G5054" s="15" t="s">
        <v>101</v>
      </c>
      <c r="H5054" s="18">
        <v>-54.01</v>
      </c>
      <c r="I5054" s="19">
        <v>4.9800000000000004</v>
      </c>
      <c r="J5054" s="19">
        <v>4.62</v>
      </c>
      <c r="K5054" s="19" t="s">
        <v>124</v>
      </c>
      <c r="L5054" s="19" t="s">
        <v>160</v>
      </c>
      <c r="M5054" s="15" t="s">
        <v>2181</v>
      </c>
      <c r="N5054" s="15" t="s">
        <v>64</v>
      </c>
      <c r="O5054" s="15" t="s">
        <v>72</v>
      </c>
      <c r="P5054" s="20" t="s">
        <v>139</v>
      </c>
      <c r="Q5054" s="15" t="s">
        <v>49</v>
      </c>
      <c r="R5054" s="4"/>
      <c r="S5054" s="4"/>
    </row>
    <row r="5055" spans="1:19" ht="21" customHeight="1" x14ac:dyDescent="0.25">
      <c r="A5055" s="14">
        <f>DATE(2012,12,31)-76</f>
        <v>41198</v>
      </c>
      <c r="B5055" s="15" t="s">
        <v>1858</v>
      </c>
      <c r="C5055" s="15" t="s">
        <v>51</v>
      </c>
      <c r="D5055" s="16">
        <v>10</v>
      </c>
      <c r="E5055" s="17">
        <v>19.36</v>
      </c>
      <c r="F5055" s="16">
        <v>0</v>
      </c>
      <c r="G5055" s="15" t="s">
        <v>32</v>
      </c>
      <c r="H5055" s="18">
        <v>-1.02</v>
      </c>
      <c r="I5055" s="19">
        <v>1.76</v>
      </c>
      <c r="J5055" s="19">
        <v>0.7</v>
      </c>
      <c r="K5055" s="19" t="s">
        <v>124</v>
      </c>
      <c r="L5055" s="19" t="s">
        <v>160</v>
      </c>
      <c r="M5055" s="15" t="s">
        <v>2181</v>
      </c>
      <c r="N5055" s="15" t="s">
        <v>36</v>
      </c>
      <c r="O5055" s="15" t="s">
        <v>77</v>
      </c>
      <c r="P5055" s="20" t="s">
        <v>295</v>
      </c>
      <c r="Q5055" s="15" t="s">
        <v>79</v>
      </c>
      <c r="R5055" s="4"/>
      <c r="S5055" s="4"/>
    </row>
    <row r="5056" spans="1:19" ht="21" customHeight="1" x14ac:dyDescent="0.25">
      <c r="A5056" s="14">
        <f>DATE(2012,12,31)-137</f>
        <v>41137</v>
      </c>
      <c r="B5056" s="15" t="s">
        <v>1295</v>
      </c>
      <c r="C5056" s="15" t="s">
        <v>51</v>
      </c>
      <c r="D5056" s="16">
        <v>26</v>
      </c>
      <c r="E5056" s="17">
        <v>95.26</v>
      </c>
      <c r="F5056" s="16">
        <v>0.02</v>
      </c>
      <c r="G5056" s="15" t="s">
        <v>32</v>
      </c>
      <c r="H5056" s="18">
        <v>-89.06</v>
      </c>
      <c r="I5056" s="19">
        <v>3.28</v>
      </c>
      <c r="J5056" s="19">
        <v>5</v>
      </c>
      <c r="K5056" s="19" t="s">
        <v>124</v>
      </c>
      <c r="L5056" s="19" t="s">
        <v>160</v>
      </c>
      <c r="M5056" s="15" t="s">
        <v>2181</v>
      </c>
      <c r="N5056" s="15" t="s">
        <v>36</v>
      </c>
      <c r="O5056" s="15" t="s">
        <v>77</v>
      </c>
      <c r="P5056" s="20" t="s">
        <v>863</v>
      </c>
      <c r="Q5056" s="15" t="s">
        <v>79</v>
      </c>
      <c r="R5056" s="4"/>
      <c r="S5056" s="4"/>
    </row>
    <row r="5057" spans="1:19" ht="21" customHeight="1" x14ac:dyDescent="0.25">
      <c r="A5057" s="14">
        <f>DATE(2012,12,31)-1048</f>
        <v>40226</v>
      </c>
      <c r="B5057" s="15" t="s">
        <v>2102</v>
      </c>
      <c r="C5057" s="15" t="s">
        <v>51</v>
      </c>
      <c r="D5057" s="16">
        <v>31</v>
      </c>
      <c r="E5057" s="17">
        <v>538.29999999999995</v>
      </c>
      <c r="F5057" s="16">
        <v>0.03</v>
      </c>
      <c r="G5057" s="15" t="s">
        <v>32</v>
      </c>
      <c r="H5057" s="18">
        <v>-63.98</v>
      </c>
      <c r="I5057" s="19">
        <v>16.98</v>
      </c>
      <c r="J5057" s="19">
        <v>12.39</v>
      </c>
      <c r="K5057" s="19" t="s">
        <v>124</v>
      </c>
      <c r="L5057" s="19" t="s">
        <v>164</v>
      </c>
      <c r="M5057" s="15" t="s">
        <v>2171</v>
      </c>
      <c r="N5057" s="15" t="s">
        <v>36</v>
      </c>
      <c r="O5057" s="15" t="s">
        <v>189</v>
      </c>
      <c r="P5057" s="20" t="s">
        <v>1242</v>
      </c>
      <c r="Q5057" s="15" t="s">
        <v>83</v>
      </c>
      <c r="R5057" s="4"/>
      <c r="S5057" s="4"/>
    </row>
    <row r="5058" spans="1:19" ht="21" customHeight="1" x14ac:dyDescent="0.25">
      <c r="A5058" s="14">
        <f>DATE(2012,12,31)-1276</f>
        <v>39998</v>
      </c>
      <c r="B5058" s="15" t="s">
        <v>340</v>
      </c>
      <c r="C5058" s="15" t="s">
        <v>51</v>
      </c>
      <c r="D5058" s="16">
        <v>37</v>
      </c>
      <c r="E5058" s="17">
        <v>6176.29</v>
      </c>
      <c r="F5058" s="16">
        <v>0.04</v>
      </c>
      <c r="G5058" s="15" t="s">
        <v>101</v>
      </c>
      <c r="H5058" s="18">
        <v>1499.94</v>
      </c>
      <c r="I5058" s="19">
        <v>165.2</v>
      </c>
      <c r="J5058" s="19">
        <v>19.989999999999998</v>
      </c>
      <c r="K5058" s="19" t="s">
        <v>124</v>
      </c>
      <c r="L5058" s="19" t="s">
        <v>164</v>
      </c>
      <c r="M5058" s="15" t="s">
        <v>2171</v>
      </c>
      <c r="N5058" s="15" t="s">
        <v>36</v>
      </c>
      <c r="O5058" s="15" t="s">
        <v>37</v>
      </c>
      <c r="P5058" s="20" t="s">
        <v>771</v>
      </c>
      <c r="Q5058" s="15" t="s">
        <v>83</v>
      </c>
      <c r="R5058" s="4"/>
      <c r="S5058" s="4"/>
    </row>
    <row r="5059" spans="1:19" ht="21" customHeight="1" x14ac:dyDescent="0.25">
      <c r="A5059" s="14">
        <f>DATE(2012,12,31)-1425</f>
        <v>39849</v>
      </c>
      <c r="B5059" s="15" t="s">
        <v>807</v>
      </c>
      <c r="C5059" s="15" t="s">
        <v>85</v>
      </c>
      <c r="D5059" s="16">
        <v>23</v>
      </c>
      <c r="E5059" s="17">
        <v>6133.18</v>
      </c>
      <c r="F5059" s="16">
        <v>0.06</v>
      </c>
      <c r="G5059" s="15" t="s">
        <v>58</v>
      </c>
      <c r="H5059" s="18">
        <v>1243.17</v>
      </c>
      <c r="I5059" s="19">
        <v>279.81</v>
      </c>
      <c r="J5059" s="19">
        <v>23.19</v>
      </c>
      <c r="K5059" s="19" t="s">
        <v>124</v>
      </c>
      <c r="L5059" s="19" t="s">
        <v>158</v>
      </c>
      <c r="M5059" s="15" t="s">
        <v>158</v>
      </c>
      <c r="N5059" s="15" t="s">
        <v>36</v>
      </c>
      <c r="O5059" s="15" t="s">
        <v>176</v>
      </c>
      <c r="P5059" s="20" t="s">
        <v>682</v>
      </c>
      <c r="Q5059" s="15" t="s">
        <v>181</v>
      </c>
      <c r="R5059" s="4"/>
      <c r="S5059" s="4"/>
    </row>
    <row r="5060" spans="1:19" ht="21" customHeight="1" x14ac:dyDescent="0.25">
      <c r="A5060" s="14">
        <f>DATE(2012,12,31)-1122</f>
        <v>40152</v>
      </c>
      <c r="B5060" s="15" t="s">
        <v>1059</v>
      </c>
      <c r="C5060" s="15" t="s">
        <v>31</v>
      </c>
      <c r="D5060" s="16">
        <v>13</v>
      </c>
      <c r="E5060" s="17">
        <v>453.09</v>
      </c>
      <c r="F5060" s="16">
        <v>0.09</v>
      </c>
      <c r="G5060" s="15" t="s">
        <v>32</v>
      </c>
      <c r="H5060" s="18">
        <v>107.74</v>
      </c>
      <c r="I5060" s="19">
        <v>35.94</v>
      </c>
      <c r="J5060" s="19">
        <v>6.66</v>
      </c>
      <c r="K5060" s="19" t="s">
        <v>124</v>
      </c>
      <c r="L5060" s="19" t="s">
        <v>168</v>
      </c>
      <c r="M5060" s="15" t="s">
        <v>2207</v>
      </c>
      <c r="N5060" s="15" t="s">
        <v>36</v>
      </c>
      <c r="O5060" s="15" t="s">
        <v>189</v>
      </c>
      <c r="P5060" s="20" t="s">
        <v>1845</v>
      </c>
      <c r="Q5060" s="15" t="s">
        <v>83</v>
      </c>
      <c r="R5060" s="4"/>
      <c r="S5060" s="4"/>
    </row>
    <row r="5061" spans="1:19" ht="21" customHeight="1" x14ac:dyDescent="0.25">
      <c r="A5061" s="14">
        <f>DATE(2012,12,31)-1122</f>
        <v>40152</v>
      </c>
      <c r="B5061" s="15" t="s">
        <v>1059</v>
      </c>
      <c r="C5061" s="15" t="s">
        <v>31</v>
      </c>
      <c r="D5061" s="16">
        <v>15</v>
      </c>
      <c r="E5061" s="17">
        <v>2758.22</v>
      </c>
      <c r="F5061" s="16">
        <v>0</v>
      </c>
      <c r="G5061" s="15" t="s">
        <v>32</v>
      </c>
      <c r="H5061" s="18">
        <v>966.81</v>
      </c>
      <c r="I5061" s="19">
        <v>170.98</v>
      </c>
      <c r="J5061" s="19">
        <v>13.99</v>
      </c>
      <c r="K5061" s="19" t="s">
        <v>124</v>
      </c>
      <c r="L5061" s="19" t="s">
        <v>164</v>
      </c>
      <c r="M5061" s="15" t="s">
        <v>2171</v>
      </c>
      <c r="N5061" s="15" t="s">
        <v>54</v>
      </c>
      <c r="O5061" s="15" t="s">
        <v>55</v>
      </c>
      <c r="P5061" s="20" t="s">
        <v>2087</v>
      </c>
      <c r="Q5061" s="15" t="s">
        <v>57</v>
      </c>
      <c r="R5061" s="4"/>
      <c r="S5061" s="4"/>
    </row>
    <row r="5062" spans="1:19" ht="21" customHeight="1" x14ac:dyDescent="0.25">
      <c r="A5062" s="14">
        <f>DATE(2012,12,31)-1122</f>
        <v>40152</v>
      </c>
      <c r="B5062" s="15" t="s">
        <v>1059</v>
      </c>
      <c r="C5062" s="15" t="s">
        <v>31</v>
      </c>
      <c r="D5062" s="16">
        <v>20</v>
      </c>
      <c r="E5062" s="17">
        <v>102.61</v>
      </c>
      <c r="F5062" s="16">
        <v>0.09</v>
      </c>
      <c r="G5062" s="15" t="s">
        <v>32</v>
      </c>
      <c r="H5062" s="18">
        <v>-92.01</v>
      </c>
      <c r="I5062" s="19">
        <v>4.9800000000000004</v>
      </c>
      <c r="J5062" s="19">
        <v>7.44</v>
      </c>
      <c r="K5062" s="19" t="s">
        <v>124</v>
      </c>
      <c r="L5062" s="19" t="s">
        <v>168</v>
      </c>
      <c r="M5062" s="15" t="s">
        <v>2207</v>
      </c>
      <c r="N5062" s="15" t="s">
        <v>36</v>
      </c>
      <c r="O5062" s="15" t="s">
        <v>117</v>
      </c>
      <c r="P5062" s="20" t="s">
        <v>266</v>
      </c>
      <c r="Q5062" s="15" t="s">
        <v>83</v>
      </c>
      <c r="R5062" s="4"/>
      <c r="S5062" s="4"/>
    </row>
    <row r="5063" spans="1:19" ht="21" customHeight="1" x14ac:dyDescent="0.25">
      <c r="A5063" s="14">
        <f>DATE(2012,12,31)-836</f>
        <v>40438</v>
      </c>
      <c r="B5063" s="15" t="s">
        <v>2027</v>
      </c>
      <c r="C5063" s="15" t="s">
        <v>31</v>
      </c>
      <c r="D5063" s="16">
        <v>32</v>
      </c>
      <c r="E5063" s="17">
        <v>85.49</v>
      </c>
      <c r="F5063" s="16">
        <v>0.08</v>
      </c>
      <c r="G5063" s="15" t="s">
        <v>32</v>
      </c>
      <c r="H5063" s="18">
        <v>5.72</v>
      </c>
      <c r="I5063" s="19">
        <v>2.88</v>
      </c>
      <c r="J5063" s="19">
        <v>0.7</v>
      </c>
      <c r="K5063" s="19" t="s">
        <v>124</v>
      </c>
      <c r="L5063" s="19" t="s">
        <v>164</v>
      </c>
      <c r="M5063" s="15" t="s">
        <v>2171</v>
      </c>
      <c r="N5063" s="15" t="s">
        <v>36</v>
      </c>
      <c r="O5063" s="15" t="s">
        <v>77</v>
      </c>
      <c r="P5063" s="20" t="s">
        <v>95</v>
      </c>
      <c r="Q5063" s="15" t="s">
        <v>79</v>
      </c>
      <c r="R5063" s="4"/>
      <c r="S5063" s="4"/>
    </row>
    <row r="5064" spans="1:19" ht="21" customHeight="1" x14ac:dyDescent="0.25">
      <c r="A5064" s="14">
        <f>DATE(2012,12,31)-836</f>
        <v>40438</v>
      </c>
      <c r="B5064" s="15" t="s">
        <v>2027</v>
      </c>
      <c r="C5064" s="15" t="s">
        <v>31</v>
      </c>
      <c r="D5064" s="16">
        <v>15</v>
      </c>
      <c r="E5064" s="17">
        <v>926.3</v>
      </c>
      <c r="F5064" s="16">
        <v>0.09</v>
      </c>
      <c r="G5064" s="15" t="s">
        <v>32</v>
      </c>
      <c r="H5064" s="18">
        <v>-503.8</v>
      </c>
      <c r="I5064" s="19">
        <v>64.650000000000006</v>
      </c>
      <c r="J5064" s="19">
        <v>35</v>
      </c>
      <c r="K5064" s="19" t="s">
        <v>124</v>
      </c>
      <c r="L5064" s="19" t="s">
        <v>158</v>
      </c>
      <c r="M5064" s="15" t="s">
        <v>158</v>
      </c>
      <c r="N5064" s="15" t="s">
        <v>36</v>
      </c>
      <c r="O5064" s="15" t="s">
        <v>37</v>
      </c>
      <c r="P5064" s="20" t="s">
        <v>1245</v>
      </c>
      <c r="Q5064" s="15" t="s">
        <v>39</v>
      </c>
      <c r="R5064" s="4"/>
      <c r="S5064" s="4"/>
    </row>
    <row r="5065" spans="1:19" ht="21" customHeight="1" x14ac:dyDescent="0.25">
      <c r="A5065" s="14">
        <f>DATE(2012,12,31)-133</f>
        <v>41141</v>
      </c>
      <c r="B5065" s="15" t="s">
        <v>1622</v>
      </c>
      <c r="C5065" s="15" t="s">
        <v>51</v>
      </c>
      <c r="D5065" s="16">
        <v>3</v>
      </c>
      <c r="E5065" s="17">
        <v>446.05</v>
      </c>
      <c r="F5065" s="16">
        <v>0.09</v>
      </c>
      <c r="G5065" s="15" t="s">
        <v>58</v>
      </c>
      <c r="H5065" s="18">
        <v>-271.26</v>
      </c>
      <c r="I5065" s="19">
        <v>140.97999999999999</v>
      </c>
      <c r="J5065" s="19">
        <v>53.48</v>
      </c>
      <c r="K5065" s="19" t="s">
        <v>124</v>
      </c>
      <c r="L5065" s="19" t="s">
        <v>158</v>
      </c>
      <c r="M5065" s="15" t="s">
        <v>158</v>
      </c>
      <c r="N5065" s="15" t="s">
        <v>54</v>
      </c>
      <c r="O5065" s="15" t="s">
        <v>134</v>
      </c>
      <c r="P5065" s="20" t="s">
        <v>1035</v>
      </c>
      <c r="Q5065" s="15" t="s">
        <v>63</v>
      </c>
      <c r="R5065" s="4"/>
      <c r="S5065" s="4"/>
    </row>
    <row r="5066" spans="1:19" ht="21" customHeight="1" x14ac:dyDescent="0.25">
      <c r="A5066" s="14">
        <f>DATE(2012,12,31)-956</f>
        <v>40318</v>
      </c>
      <c r="B5066" s="15" t="s">
        <v>1455</v>
      </c>
      <c r="C5066" s="15" t="s">
        <v>43</v>
      </c>
      <c r="D5066" s="16">
        <v>36</v>
      </c>
      <c r="E5066" s="17">
        <v>461.4</v>
      </c>
      <c r="F5066" s="16">
        <v>0.03</v>
      </c>
      <c r="G5066" s="15" t="s">
        <v>32</v>
      </c>
      <c r="H5066" s="18">
        <v>36.39</v>
      </c>
      <c r="I5066" s="19">
        <v>12.07</v>
      </c>
      <c r="J5066" s="19">
        <v>6.2</v>
      </c>
      <c r="K5066" s="19" t="s">
        <v>44</v>
      </c>
      <c r="L5066" s="19" t="s">
        <v>52</v>
      </c>
      <c r="M5066" s="15" t="s">
        <v>2183</v>
      </c>
      <c r="N5066" s="15" t="s">
        <v>54</v>
      </c>
      <c r="O5066" s="15" t="s">
        <v>55</v>
      </c>
      <c r="P5066" s="20" t="s">
        <v>829</v>
      </c>
      <c r="Q5066" s="15" t="s">
        <v>79</v>
      </c>
      <c r="R5066" s="4"/>
      <c r="S5066" s="4"/>
    </row>
    <row r="5067" spans="1:19" ht="21" customHeight="1" x14ac:dyDescent="0.25">
      <c r="A5067" s="14">
        <f>DATE(2012,12,31)-246</f>
        <v>41028</v>
      </c>
      <c r="B5067" s="15" t="s">
        <v>1166</v>
      </c>
      <c r="C5067" s="15" t="s">
        <v>85</v>
      </c>
      <c r="D5067" s="16">
        <v>10</v>
      </c>
      <c r="E5067" s="17">
        <v>55.82</v>
      </c>
      <c r="F5067" s="16">
        <v>0.01</v>
      </c>
      <c r="G5067" s="15" t="s">
        <v>32</v>
      </c>
      <c r="H5067" s="18">
        <v>-28.85</v>
      </c>
      <c r="I5067" s="19">
        <v>4.82</v>
      </c>
      <c r="J5067" s="19">
        <v>5.72</v>
      </c>
      <c r="K5067" s="19" t="s">
        <v>124</v>
      </c>
      <c r="L5067" s="19" t="s">
        <v>319</v>
      </c>
      <c r="M5067" s="15" t="s">
        <v>2214</v>
      </c>
      <c r="N5067" s="15" t="s">
        <v>54</v>
      </c>
      <c r="O5067" s="15" t="s">
        <v>55</v>
      </c>
      <c r="P5067" s="20" t="s">
        <v>1562</v>
      </c>
      <c r="Q5067" s="15" t="s">
        <v>49</v>
      </c>
      <c r="R5067" s="4"/>
      <c r="S5067" s="4"/>
    </row>
    <row r="5068" spans="1:19" ht="21" customHeight="1" x14ac:dyDescent="0.25">
      <c r="A5068" s="14">
        <f>DATE(2012,12,31)-246</f>
        <v>41028</v>
      </c>
      <c r="B5068" s="15" t="s">
        <v>1166</v>
      </c>
      <c r="C5068" s="15" t="s">
        <v>85</v>
      </c>
      <c r="D5068" s="16">
        <v>45</v>
      </c>
      <c r="E5068" s="17">
        <v>1335.316</v>
      </c>
      <c r="F5068" s="16">
        <v>0.03</v>
      </c>
      <c r="G5068" s="15" t="s">
        <v>32</v>
      </c>
      <c r="H5068" s="18">
        <v>701.65800000000002</v>
      </c>
      <c r="I5068" s="19">
        <v>35.99</v>
      </c>
      <c r="J5068" s="19">
        <v>0.99</v>
      </c>
      <c r="K5068" s="19" t="s">
        <v>124</v>
      </c>
      <c r="L5068" s="19" t="s">
        <v>319</v>
      </c>
      <c r="M5068" s="15" t="s">
        <v>2214</v>
      </c>
      <c r="N5068" s="15" t="s">
        <v>64</v>
      </c>
      <c r="O5068" s="15" t="s">
        <v>65</v>
      </c>
      <c r="P5068" s="20" t="s">
        <v>647</v>
      </c>
      <c r="Q5068" s="15" t="s">
        <v>49</v>
      </c>
      <c r="R5068" s="4"/>
      <c r="S5068" s="4"/>
    </row>
    <row r="5069" spans="1:19" ht="21" customHeight="1" x14ac:dyDescent="0.25">
      <c r="A5069" s="14">
        <f>DATE(2012,12,31)-109</f>
        <v>41165</v>
      </c>
      <c r="B5069" s="15" t="s">
        <v>1993</v>
      </c>
      <c r="C5069" s="15" t="s">
        <v>85</v>
      </c>
      <c r="D5069" s="16">
        <v>23</v>
      </c>
      <c r="E5069" s="17">
        <v>394.8</v>
      </c>
      <c r="F5069" s="16">
        <v>0.1</v>
      </c>
      <c r="G5069" s="15" t="s">
        <v>32</v>
      </c>
      <c r="H5069" s="18">
        <v>-113.8</v>
      </c>
      <c r="I5069" s="19">
        <v>17.98</v>
      </c>
      <c r="J5069" s="19">
        <v>4</v>
      </c>
      <c r="K5069" s="19" t="s">
        <v>44</v>
      </c>
      <c r="L5069" s="19" t="s">
        <v>52</v>
      </c>
      <c r="M5069" s="15" t="s">
        <v>2183</v>
      </c>
      <c r="N5069" s="15" t="s">
        <v>64</v>
      </c>
      <c r="O5069" s="15" t="s">
        <v>72</v>
      </c>
      <c r="P5069" s="20" t="s">
        <v>1503</v>
      </c>
      <c r="Q5069" s="15" t="s">
        <v>83</v>
      </c>
      <c r="R5069" s="4"/>
      <c r="S5069" s="4"/>
    </row>
    <row r="5070" spans="1:19" ht="21" customHeight="1" x14ac:dyDescent="0.25">
      <c r="A5070" s="14">
        <f>DATE(2012,12,31)-1324</f>
        <v>39950</v>
      </c>
      <c r="B5070" s="15" t="s">
        <v>492</v>
      </c>
      <c r="C5070" s="15" t="s">
        <v>51</v>
      </c>
      <c r="D5070" s="16">
        <v>43</v>
      </c>
      <c r="E5070" s="17">
        <v>354.96</v>
      </c>
      <c r="F5070" s="16">
        <v>7.0000000000000007E-2</v>
      </c>
      <c r="G5070" s="15" t="s">
        <v>32</v>
      </c>
      <c r="H5070" s="18">
        <v>151.27000000000001</v>
      </c>
      <c r="I5070" s="19">
        <v>8.34</v>
      </c>
      <c r="J5070" s="19">
        <v>1.43</v>
      </c>
      <c r="K5070" s="19" t="s">
        <v>44</v>
      </c>
      <c r="L5070" s="19" t="s">
        <v>52</v>
      </c>
      <c r="M5070" s="15" t="s">
        <v>2183</v>
      </c>
      <c r="N5070" s="15" t="s">
        <v>36</v>
      </c>
      <c r="O5070" s="15" t="s">
        <v>117</v>
      </c>
      <c r="P5070" s="20" t="s">
        <v>781</v>
      </c>
      <c r="Q5070" s="15" t="s">
        <v>79</v>
      </c>
      <c r="R5070" s="4"/>
      <c r="S5070" s="4"/>
    </row>
    <row r="5071" spans="1:19" ht="21" customHeight="1" x14ac:dyDescent="0.25">
      <c r="A5071" s="14">
        <f>DATE(2012,12,31)-1324</f>
        <v>39950</v>
      </c>
      <c r="B5071" s="15" t="s">
        <v>492</v>
      </c>
      <c r="C5071" s="15" t="s">
        <v>51</v>
      </c>
      <c r="D5071" s="16">
        <v>26</v>
      </c>
      <c r="E5071" s="17">
        <v>130.97</v>
      </c>
      <c r="F5071" s="16">
        <v>0.09</v>
      </c>
      <c r="G5071" s="15" t="s">
        <v>32</v>
      </c>
      <c r="H5071" s="18">
        <v>-83.42</v>
      </c>
      <c r="I5071" s="19">
        <v>4.9800000000000004</v>
      </c>
      <c r="J5071" s="19">
        <v>6.07</v>
      </c>
      <c r="K5071" s="19" t="s">
        <v>44</v>
      </c>
      <c r="L5071" s="19" t="s">
        <v>52</v>
      </c>
      <c r="M5071" s="15" t="s">
        <v>2183</v>
      </c>
      <c r="N5071" s="15" t="s">
        <v>36</v>
      </c>
      <c r="O5071" s="15" t="s">
        <v>117</v>
      </c>
      <c r="P5071" s="20" t="s">
        <v>1506</v>
      </c>
      <c r="Q5071" s="15" t="s">
        <v>83</v>
      </c>
      <c r="R5071" s="4"/>
      <c r="S5071" s="4"/>
    </row>
    <row r="5072" spans="1:19" ht="21" customHeight="1" x14ac:dyDescent="0.25">
      <c r="A5072" s="14">
        <f>DATE(2012,12,31)-1324</f>
        <v>39950</v>
      </c>
      <c r="B5072" s="15" t="s">
        <v>492</v>
      </c>
      <c r="C5072" s="15" t="s">
        <v>51</v>
      </c>
      <c r="D5072" s="16">
        <v>26</v>
      </c>
      <c r="E5072" s="17">
        <v>493.43</v>
      </c>
      <c r="F5072" s="16">
        <v>7.0000000000000007E-2</v>
      </c>
      <c r="G5072" s="15" t="s">
        <v>32</v>
      </c>
      <c r="H5072" s="18">
        <v>120.18</v>
      </c>
      <c r="I5072" s="19">
        <v>19.84</v>
      </c>
      <c r="J5072" s="19">
        <v>4.0999999999999996</v>
      </c>
      <c r="K5072" s="19" t="s">
        <v>44</v>
      </c>
      <c r="L5072" s="19" t="s">
        <v>52</v>
      </c>
      <c r="M5072" s="15" t="s">
        <v>2183</v>
      </c>
      <c r="N5072" s="15" t="s">
        <v>36</v>
      </c>
      <c r="O5072" s="15" t="s">
        <v>77</v>
      </c>
      <c r="P5072" s="20" t="s">
        <v>162</v>
      </c>
      <c r="Q5072" s="15" t="s">
        <v>79</v>
      </c>
      <c r="R5072" s="4"/>
      <c r="S5072" s="4"/>
    </row>
    <row r="5073" spans="1:19" ht="21" customHeight="1" x14ac:dyDescent="0.25">
      <c r="A5073" s="14">
        <f>DATE(2012,12,31)-266</f>
        <v>41008</v>
      </c>
      <c r="B5073" s="15" t="s">
        <v>380</v>
      </c>
      <c r="C5073" s="15" t="s">
        <v>31</v>
      </c>
      <c r="D5073" s="16">
        <v>3</v>
      </c>
      <c r="E5073" s="17">
        <v>604.57600000000002</v>
      </c>
      <c r="F5073" s="16">
        <v>0.03</v>
      </c>
      <c r="G5073" s="15" t="s">
        <v>58</v>
      </c>
      <c r="H5073" s="18">
        <v>-572.68539900000019</v>
      </c>
      <c r="I5073" s="19">
        <v>236.97</v>
      </c>
      <c r="J5073" s="19">
        <v>59.24</v>
      </c>
      <c r="K5073" s="19" t="s">
        <v>44</v>
      </c>
      <c r="L5073" s="19" t="s">
        <v>52</v>
      </c>
      <c r="M5073" s="15" t="s">
        <v>2183</v>
      </c>
      <c r="N5073" s="15" t="s">
        <v>54</v>
      </c>
      <c r="O5073" s="15" t="s">
        <v>61</v>
      </c>
      <c r="P5073" s="20" t="s">
        <v>2049</v>
      </c>
      <c r="Q5073" s="15" t="s">
        <v>63</v>
      </c>
      <c r="R5073" s="4"/>
      <c r="S5073" s="4"/>
    </row>
    <row r="5074" spans="1:19" ht="21" customHeight="1" x14ac:dyDescent="0.25">
      <c r="A5074" s="14">
        <f>DATE(2012,12,31)-499</f>
        <v>40775</v>
      </c>
      <c r="B5074" s="15" t="s">
        <v>578</v>
      </c>
      <c r="C5074" s="15" t="s">
        <v>85</v>
      </c>
      <c r="D5074" s="16">
        <v>6</v>
      </c>
      <c r="E5074" s="17">
        <v>128.56</v>
      </c>
      <c r="F5074" s="16">
        <v>0</v>
      </c>
      <c r="G5074" s="15" t="s">
        <v>32</v>
      </c>
      <c r="H5074" s="18">
        <v>-7.84</v>
      </c>
      <c r="I5074" s="19">
        <v>19.98</v>
      </c>
      <c r="J5074" s="19">
        <v>8.68</v>
      </c>
      <c r="K5074" s="19" t="s">
        <v>44</v>
      </c>
      <c r="L5074" s="19" t="s">
        <v>52</v>
      </c>
      <c r="M5074" s="15" t="s">
        <v>2183</v>
      </c>
      <c r="N5074" s="15" t="s">
        <v>36</v>
      </c>
      <c r="O5074" s="15" t="s">
        <v>117</v>
      </c>
      <c r="P5074" s="20" t="s">
        <v>1274</v>
      </c>
      <c r="Q5074" s="15" t="s">
        <v>83</v>
      </c>
      <c r="R5074" s="4"/>
      <c r="S5074" s="4"/>
    </row>
    <row r="5075" spans="1:19" ht="21" customHeight="1" x14ac:dyDescent="0.25">
      <c r="A5075" s="14">
        <f>DATE(2012,12,31)-770</f>
        <v>40504</v>
      </c>
      <c r="B5075" s="15" t="s">
        <v>616</v>
      </c>
      <c r="C5075" s="15" t="s">
        <v>31</v>
      </c>
      <c r="D5075" s="16">
        <v>6</v>
      </c>
      <c r="E5075" s="17">
        <v>826.97349999999994</v>
      </c>
      <c r="F5075" s="16">
        <v>0.01</v>
      </c>
      <c r="G5075" s="15" t="s">
        <v>32</v>
      </c>
      <c r="H5075" s="18">
        <v>-413.32499999999999</v>
      </c>
      <c r="I5075" s="19">
        <v>155.99</v>
      </c>
      <c r="J5075" s="19">
        <v>8.99</v>
      </c>
      <c r="K5075" s="19" t="s">
        <v>44</v>
      </c>
      <c r="L5075" s="19" t="s">
        <v>52</v>
      </c>
      <c r="M5075" s="15" t="s">
        <v>2183</v>
      </c>
      <c r="N5075" s="15" t="s">
        <v>64</v>
      </c>
      <c r="O5075" s="15" t="s">
        <v>65</v>
      </c>
      <c r="P5075" s="20" t="s">
        <v>2092</v>
      </c>
      <c r="Q5075" s="15" t="s">
        <v>83</v>
      </c>
      <c r="R5075" s="4"/>
      <c r="S5075" s="4"/>
    </row>
    <row r="5076" spans="1:19" ht="21" customHeight="1" x14ac:dyDescent="0.25">
      <c r="A5076" s="14">
        <f>DATE(2012,12,31)-581</f>
        <v>40693</v>
      </c>
      <c r="B5076" s="15" t="s">
        <v>1294</v>
      </c>
      <c r="C5076" s="15" t="s">
        <v>43</v>
      </c>
      <c r="D5076" s="16">
        <v>33</v>
      </c>
      <c r="E5076" s="17">
        <v>999.22599999999989</v>
      </c>
      <c r="F5076" s="16">
        <v>0.02</v>
      </c>
      <c r="G5076" s="15" t="s">
        <v>32</v>
      </c>
      <c r="H5076" s="18">
        <v>381.16800000000001</v>
      </c>
      <c r="I5076" s="19">
        <v>35.99</v>
      </c>
      <c r="J5076" s="19">
        <v>3.3</v>
      </c>
      <c r="K5076" s="19" t="s">
        <v>44</v>
      </c>
      <c r="L5076" s="19" t="s">
        <v>52</v>
      </c>
      <c r="M5076" s="15" t="s">
        <v>2183</v>
      </c>
      <c r="N5076" s="15" t="s">
        <v>64</v>
      </c>
      <c r="O5076" s="15" t="s">
        <v>65</v>
      </c>
      <c r="P5076" s="20" t="s">
        <v>1720</v>
      </c>
      <c r="Q5076" s="15" t="s">
        <v>49</v>
      </c>
      <c r="R5076" s="4"/>
      <c r="S5076" s="4"/>
    </row>
    <row r="5077" spans="1:19" ht="21" customHeight="1" x14ac:dyDescent="0.25">
      <c r="A5077" s="14">
        <f>DATE(2012,12,31)-39</f>
        <v>41235</v>
      </c>
      <c r="B5077" s="15" t="s">
        <v>784</v>
      </c>
      <c r="C5077" s="15" t="s">
        <v>31</v>
      </c>
      <c r="D5077" s="16">
        <v>12</v>
      </c>
      <c r="E5077" s="17">
        <v>2218.8910000000001</v>
      </c>
      <c r="F5077" s="16">
        <v>0</v>
      </c>
      <c r="G5077" s="15" t="s">
        <v>101</v>
      </c>
      <c r="H5077" s="18">
        <v>79.542000000000002</v>
      </c>
      <c r="I5077" s="19">
        <v>205.99</v>
      </c>
      <c r="J5077" s="19">
        <v>8.99</v>
      </c>
      <c r="K5077" s="19" t="s">
        <v>44</v>
      </c>
      <c r="L5077" s="19" t="s">
        <v>52</v>
      </c>
      <c r="M5077" s="15" t="s">
        <v>2183</v>
      </c>
      <c r="N5077" s="15" t="s">
        <v>64</v>
      </c>
      <c r="O5077" s="15" t="s">
        <v>65</v>
      </c>
      <c r="P5077" s="20" t="s">
        <v>1464</v>
      </c>
      <c r="Q5077" s="15" t="s">
        <v>83</v>
      </c>
      <c r="R5077" s="4"/>
      <c r="S5077" s="4"/>
    </row>
    <row r="5078" spans="1:19" ht="21" customHeight="1" x14ac:dyDescent="0.25">
      <c r="A5078" s="14">
        <f>DATE(2012,12,31)-1080</f>
        <v>40194</v>
      </c>
      <c r="B5078" s="15" t="s">
        <v>2132</v>
      </c>
      <c r="C5078" s="15" t="s">
        <v>85</v>
      </c>
      <c r="D5078" s="16">
        <v>6</v>
      </c>
      <c r="E5078" s="17">
        <v>29.19</v>
      </c>
      <c r="F5078" s="16">
        <v>0.03</v>
      </c>
      <c r="G5078" s="15" t="s">
        <v>32</v>
      </c>
      <c r="H5078" s="18">
        <v>0.64600000000000002</v>
      </c>
      <c r="I5078" s="19">
        <v>4.49</v>
      </c>
      <c r="J5078" s="19">
        <v>1.49</v>
      </c>
      <c r="K5078" s="19" t="s">
        <v>44</v>
      </c>
      <c r="L5078" s="19" t="s">
        <v>52</v>
      </c>
      <c r="M5078" s="15" t="s">
        <v>2183</v>
      </c>
      <c r="N5078" s="15" t="s">
        <v>36</v>
      </c>
      <c r="O5078" s="15" t="s">
        <v>170</v>
      </c>
      <c r="P5078" s="20" t="s">
        <v>2221</v>
      </c>
      <c r="Q5078" s="15" t="s">
        <v>83</v>
      </c>
      <c r="R5078" s="4"/>
      <c r="S5078" s="4"/>
    </row>
    <row r="5079" spans="1:19" ht="21" customHeight="1" x14ac:dyDescent="0.25">
      <c r="A5079" s="14">
        <f>DATE(2012,12,31)-56</f>
        <v>41218</v>
      </c>
      <c r="B5079" s="15" t="s">
        <v>348</v>
      </c>
      <c r="C5079" s="15" t="s">
        <v>31</v>
      </c>
      <c r="D5079" s="16">
        <v>32</v>
      </c>
      <c r="E5079" s="17">
        <v>463</v>
      </c>
      <c r="F5079" s="16">
        <v>7.0000000000000007E-2</v>
      </c>
      <c r="G5079" s="15" t="s">
        <v>32</v>
      </c>
      <c r="H5079" s="18">
        <v>24.607500000000002</v>
      </c>
      <c r="I5079" s="19">
        <v>14.45</v>
      </c>
      <c r="J5079" s="19">
        <v>7.17</v>
      </c>
      <c r="K5079" s="19" t="s">
        <v>44</v>
      </c>
      <c r="L5079" s="19" t="s">
        <v>52</v>
      </c>
      <c r="M5079" s="15" t="s">
        <v>2183</v>
      </c>
      <c r="N5079" s="15" t="s">
        <v>36</v>
      </c>
      <c r="O5079" s="15" t="s">
        <v>170</v>
      </c>
      <c r="P5079" s="20" t="s">
        <v>1252</v>
      </c>
      <c r="Q5079" s="15" t="s">
        <v>83</v>
      </c>
      <c r="R5079" s="4"/>
      <c r="S5079" s="4"/>
    </row>
    <row r="5080" spans="1:19" ht="21" customHeight="1" x14ac:dyDescent="0.25">
      <c r="A5080" s="14">
        <f>DATE(2012,12,31)-513</f>
        <v>40761</v>
      </c>
      <c r="B5080" s="15" t="s">
        <v>746</v>
      </c>
      <c r="C5080" s="15" t="s">
        <v>43</v>
      </c>
      <c r="D5080" s="16">
        <v>7</v>
      </c>
      <c r="E5080" s="17">
        <v>39.01</v>
      </c>
      <c r="F5080" s="16">
        <v>7.0000000000000007E-2</v>
      </c>
      <c r="G5080" s="15" t="s">
        <v>32</v>
      </c>
      <c r="H5080" s="18">
        <v>-38.44</v>
      </c>
      <c r="I5080" s="19">
        <v>4.9800000000000004</v>
      </c>
      <c r="J5080" s="19">
        <v>4.32</v>
      </c>
      <c r="K5080" s="19" t="s">
        <v>44</v>
      </c>
      <c r="L5080" s="19" t="s">
        <v>52</v>
      </c>
      <c r="M5080" s="15" t="s">
        <v>2183</v>
      </c>
      <c r="N5080" s="15" t="s">
        <v>64</v>
      </c>
      <c r="O5080" s="15" t="s">
        <v>72</v>
      </c>
      <c r="P5080" s="20" t="s">
        <v>1799</v>
      </c>
      <c r="Q5080" s="15" t="s">
        <v>49</v>
      </c>
      <c r="R5080" s="4"/>
      <c r="S5080" s="4"/>
    </row>
    <row r="5081" spans="1:19" ht="21" customHeight="1" x14ac:dyDescent="0.25">
      <c r="A5081" s="14">
        <f>DATE(2012,12,31)-513</f>
        <v>40761</v>
      </c>
      <c r="B5081" s="15" t="s">
        <v>746</v>
      </c>
      <c r="C5081" s="15" t="s">
        <v>43</v>
      </c>
      <c r="D5081" s="16">
        <v>6</v>
      </c>
      <c r="E5081" s="17">
        <v>62.03</v>
      </c>
      <c r="F5081" s="16">
        <v>0.09</v>
      </c>
      <c r="G5081" s="15" t="s">
        <v>32</v>
      </c>
      <c r="H5081" s="18">
        <v>17.309999999999999</v>
      </c>
      <c r="I5081" s="19">
        <v>9.77</v>
      </c>
      <c r="J5081" s="19">
        <v>6.02</v>
      </c>
      <c r="K5081" s="19" t="s">
        <v>44</v>
      </c>
      <c r="L5081" s="19" t="s">
        <v>52</v>
      </c>
      <c r="M5081" s="15" t="s">
        <v>2183</v>
      </c>
      <c r="N5081" s="15" t="s">
        <v>54</v>
      </c>
      <c r="O5081" s="15" t="s">
        <v>55</v>
      </c>
      <c r="P5081" s="20" t="s">
        <v>1171</v>
      </c>
      <c r="Q5081" s="15" t="s">
        <v>57</v>
      </c>
      <c r="R5081" s="4"/>
      <c r="S5081" s="4"/>
    </row>
    <row r="5082" spans="1:19" ht="21" customHeight="1" x14ac:dyDescent="0.25">
      <c r="A5082" s="14">
        <f>DATE(2012,12,31)-1338</f>
        <v>39936</v>
      </c>
      <c r="B5082" s="15" t="s">
        <v>1030</v>
      </c>
      <c r="C5082" s="15" t="s">
        <v>85</v>
      </c>
      <c r="D5082" s="16">
        <v>15</v>
      </c>
      <c r="E5082" s="17">
        <v>1765.45</v>
      </c>
      <c r="F5082" s="16">
        <v>0.09</v>
      </c>
      <c r="G5082" s="15" t="s">
        <v>101</v>
      </c>
      <c r="H5082" s="18">
        <v>374.82</v>
      </c>
      <c r="I5082" s="19">
        <v>120.98</v>
      </c>
      <c r="J5082" s="19">
        <v>3.99</v>
      </c>
      <c r="K5082" s="19" t="s">
        <v>44</v>
      </c>
      <c r="L5082" s="19" t="s">
        <v>52</v>
      </c>
      <c r="M5082" s="15" t="s">
        <v>2183</v>
      </c>
      <c r="N5082" s="15" t="s">
        <v>36</v>
      </c>
      <c r="O5082" s="15" t="s">
        <v>176</v>
      </c>
      <c r="P5082" s="20" t="s">
        <v>1116</v>
      </c>
      <c r="Q5082" s="15" t="s">
        <v>83</v>
      </c>
      <c r="R5082" s="4"/>
      <c r="S5082" s="4"/>
    </row>
    <row r="5083" spans="1:19" ht="21" customHeight="1" x14ac:dyDescent="0.25">
      <c r="A5083" s="14">
        <f>DATE(2012,12,31)-101</f>
        <v>41173</v>
      </c>
      <c r="B5083" s="15" t="s">
        <v>1949</v>
      </c>
      <c r="C5083" s="15" t="s">
        <v>43</v>
      </c>
      <c r="D5083" s="16">
        <v>12</v>
      </c>
      <c r="E5083" s="17">
        <v>1465.29</v>
      </c>
      <c r="F5083" s="16">
        <v>0.02</v>
      </c>
      <c r="G5083" s="15" t="s">
        <v>32</v>
      </c>
      <c r="H5083" s="18">
        <v>373.5</v>
      </c>
      <c r="I5083" s="19">
        <v>120.97</v>
      </c>
      <c r="J5083" s="19">
        <v>7.11</v>
      </c>
      <c r="K5083" s="19" t="s">
        <v>44</v>
      </c>
      <c r="L5083" s="19" t="s">
        <v>52</v>
      </c>
      <c r="M5083" s="15" t="s">
        <v>2183</v>
      </c>
      <c r="N5083" s="15" t="s">
        <v>64</v>
      </c>
      <c r="O5083" s="15" t="s">
        <v>122</v>
      </c>
      <c r="P5083" s="20" t="s">
        <v>955</v>
      </c>
      <c r="Q5083" s="15" t="s">
        <v>57</v>
      </c>
      <c r="R5083" s="4"/>
      <c r="S5083" s="4"/>
    </row>
    <row r="5084" spans="1:19" ht="21" customHeight="1" x14ac:dyDescent="0.25">
      <c r="A5084" s="14">
        <f>DATE(2012,12,31)-101</f>
        <v>41173</v>
      </c>
      <c r="B5084" s="15" t="s">
        <v>1949</v>
      </c>
      <c r="C5084" s="15" t="s">
        <v>43</v>
      </c>
      <c r="D5084" s="16">
        <v>24</v>
      </c>
      <c r="E5084" s="17">
        <v>3590.33</v>
      </c>
      <c r="F5084" s="16">
        <v>0.01</v>
      </c>
      <c r="G5084" s="15" t="s">
        <v>58</v>
      </c>
      <c r="H5084" s="18">
        <v>-31.725000000000001</v>
      </c>
      <c r="I5084" s="19">
        <v>146.34</v>
      </c>
      <c r="J5084" s="19">
        <v>43.75</v>
      </c>
      <c r="K5084" s="19" t="s">
        <v>44</v>
      </c>
      <c r="L5084" s="19" t="s">
        <v>52</v>
      </c>
      <c r="M5084" s="15" t="s">
        <v>2183</v>
      </c>
      <c r="N5084" s="15" t="s">
        <v>54</v>
      </c>
      <c r="O5084" s="15" t="s">
        <v>61</v>
      </c>
      <c r="P5084" s="20" t="s">
        <v>953</v>
      </c>
      <c r="Q5084" s="15" t="s">
        <v>63</v>
      </c>
      <c r="R5084" s="4"/>
      <c r="S5084" s="4"/>
    </row>
    <row r="5085" spans="1:19" ht="21" customHeight="1" x14ac:dyDescent="0.25">
      <c r="A5085" s="14">
        <f>DATE(2012,12,31)-1300</f>
        <v>39974</v>
      </c>
      <c r="B5085" s="15" t="s">
        <v>827</v>
      </c>
      <c r="C5085" s="15" t="s">
        <v>51</v>
      </c>
      <c r="D5085" s="16">
        <v>7</v>
      </c>
      <c r="E5085" s="17">
        <v>57.03</v>
      </c>
      <c r="F5085" s="16">
        <v>0</v>
      </c>
      <c r="G5085" s="15" t="s">
        <v>32</v>
      </c>
      <c r="H5085" s="18">
        <v>-31.38</v>
      </c>
      <c r="I5085" s="19">
        <v>7.28</v>
      </c>
      <c r="J5085" s="19">
        <v>3.52</v>
      </c>
      <c r="K5085" s="19" t="s">
        <v>69</v>
      </c>
      <c r="L5085" s="19" t="s">
        <v>70</v>
      </c>
      <c r="M5085" s="15" t="s">
        <v>2216</v>
      </c>
      <c r="N5085" s="15" t="s">
        <v>64</v>
      </c>
      <c r="O5085" s="15" t="s">
        <v>72</v>
      </c>
      <c r="P5085" s="20" t="s">
        <v>968</v>
      </c>
      <c r="Q5085" s="15" t="s">
        <v>49</v>
      </c>
      <c r="R5085" s="4"/>
      <c r="S5085" s="4"/>
    </row>
    <row r="5086" spans="1:19" ht="21" customHeight="1" x14ac:dyDescent="0.25">
      <c r="A5086" s="14">
        <f>DATE(2012,12,31)-308</f>
        <v>40966</v>
      </c>
      <c r="B5086" s="15" t="s">
        <v>355</v>
      </c>
      <c r="C5086" s="15" t="s">
        <v>51</v>
      </c>
      <c r="D5086" s="16">
        <v>43</v>
      </c>
      <c r="E5086" s="17">
        <v>894.51</v>
      </c>
      <c r="F5086" s="16">
        <v>0.08</v>
      </c>
      <c r="G5086" s="15" t="s">
        <v>32</v>
      </c>
      <c r="H5086" s="18">
        <v>294.20999999999998</v>
      </c>
      <c r="I5086" s="19">
        <v>20.89</v>
      </c>
      <c r="J5086" s="19">
        <v>1.99</v>
      </c>
      <c r="K5086" s="19" t="s">
        <v>69</v>
      </c>
      <c r="L5086" s="19" t="s">
        <v>70</v>
      </c>
      <c r="M5086" s="15" t="s">
        <v>2216</v>
      </c>
      <c r="N5086" s="15" t="s">
        <v>64</v>
      </c>
      <c r="O5086" s="15" t="s">
        <v>72</v>
      </c>
      <c r="P5086" s="20" t="s">
        <v>1652</v>
      </c>
      <c r="Q5086" s="15" t="s">
        <v>49</v>
      </c>
      <c r="R5086" s="4"/>
      <c r="S5086" s="4"/>
    </row>
    <row r="5087" spans="1:19" ht="21" customHeight="1" x14ac:dyDescent="0.25">
      <c r="A5087" s="14">
        <f>DATE(2012,12,31)-888</f>
        <v>40386</v>
      </c>
      <c r="B5087" s="15" t="s">
        <v>921</v>
      </c>
      <c r="C5087" s="15" t="s">
        <v>43</v>
      </c>
      <c r="D5087" s="16">
        <v>23</v>
      </c>
      <c r="E5087" s="17">
        <v>164.02</v>
      </c>
      <c r="F5087" s="16">
        <v>0.03</v>
      </c>
      <c r="G5087" s="15" t="s">
        <v>101</v>
      </c>
      <c r="H5087" s="18">
        <v>-47.64</v>
      </c>
      <c r="I5087" s="19">
        <v>6.68</v>
      </c>
      <c r="J5087" s="19">
        <v>6.15</v>
      </c>
      <c r="K5087" s="19" t="s">
        <v>69</v>
      </c>
      <c r="L5087" s="19" t="s">
        <v>75</v>
      </c>
      <c r="M5087" s="15" t="s">
        <v>2202</v>
      </c>
      <c r="N5087" s="15" t="s">
        <v>36</v>
      </c>
      <c r="O5087" s="15" t="s">
        <v>117</v>
      </c>
      <c r="P5087" s="20" t="s">
        <v>2225</v>
      </c>
      <c r="Q5087" s="15" t="s">
        <v>83</v>
      </c>
      <c r="R5087" s="4"/>
      <c r="S5087" s="4"/>
    </row>
    <row r="5088" spans="1:19" ht="21" customHeight="1" x14ac:dyDescent="0.25">
      <c r="A5088" s="14">
        <f>DATE(2012,12,31)-888</f>
        <v>40386</v>
      </c>
      <c r="B5088" s="15" t="s">
        <v>921</v>
      </c>
      <c r="C5088" s="15" t="s">
        <v>43</v>
      </c>
      <c r="D5088" s="16">
        <v>23</v>
      </c>
      <c r="E5088" s="17">
        <v>136.81</v>
      </c>
      <c r="F5088" s="16">
        <v>0.01</v>
      </c>
      <c r="G5088" s="15" t="s">
        <v>32</v>
      </c>
      <c r="H5088" s="18">
        <v>-30.51</v>
      </c>
      <c r="I5088" s="19">
        <v>5.68</v>
      </c>
      <c r="J5088" s="19">
        <v>3.6</v>
      </c>
      <c r="K5088" s="19" t="s">
        <v>69</v>
      </c>
      <c r="L5088" s="19" t="s">
        <v>215</v>
      </c>
      <c r="M5088" s="15" t="s">
        <v>2197</v>
      </c>
      <c r="N5088" s="15" t="s">
        <v>36</v>
      </c>
      <c r="O5088" s="15" t="s">
        <v>47</v>
      </c>
      <c r="P5088" s="20" t="s">
        <v>1459</v>
      </c>
      <c r="Q5088" s="15" t="s">
        <v>49</v>
      </c>
      <c r="R5088" s="4"/>
      <c r="S5088" s="4"/>
    </row>
    <row r="5089" spans="1:19" ht="21" customHeight="1" x14ac:dyDescent="0.25">
      <c r="A5089" s="14">
        <f>DATE(2012,12,31)-888</f>
        <v>40386</v>
      </c>
      <c r="B5089" s="15" t="s">
        <v>921</v>
      </c>
      <c r="C5089" s="15" t="s">
        <v>43</v>
      </c>
      <c r="D5089" s="16">
        <v>26</v>
      </c>
      <c r="E5089" s="17">
        <v>4701.6899999999996</v>
      </c>
      <c r="F5089" s="16">
        <v>0</v>
      </c>
      <c r="G5089" s="15" t="s">
        <v>101</v>
      </c>
      <c r="H5089" s="18">
        <v>1148.904</v>
      </c>
      <c r="I5089" s="19">
        <v>205.99</v>
      </c>
      <c r="J5089" s="19">
        <v>2.5</v>
      </c>
      <c r="K5089" s="19" t="s">
        <v>111</v>
      </c>
      <c r="L5089" s="19" t="s">
        <v>112</v>
      </c>
      <c r="M5089" s="15" t="s">
        <v>2198</v>
      </c>
      <c r="N5089" s="15" t="s">
        <v>64</v>
      </c>
      <c r="O5089" s="15" t="s">
        <v>65</v>
      </c>
      <c r="P5089" s="20" t="s">
        <v>1529</v>
      </c>
      <c r="Q5089" s="15" t="s">
        <v>83</v>
      </c>
      <c r="R5089" s="4"/>
      <c r="S5089" s="4"/>
    </row>
    <row r="5090" spans="1:19" ht="21" customHeight="1" x14ac:dyDescent="0.25">
      <c r="A5090" s="14">
        <f>DATE(2012,12,31)-1058</f>
        <v>40216</v>
      </c>
      <c r="B5090" s="15" t="s">
        <v>1043</v>
      </c>
      <c r="C5090" s="15" t="s">
        <v>85</v>
      </c>
      <c r="D5090" s="16">
        <v>21</v>
      </c>
      <c r="E5090" s="17">
        <v>109.87</v>
      </c>
      <c r="F5090" s="16">
        <v>0.05</v>
      </c>
      <c r="G5090" s="15" t="s">
        <v>32</v>
      </c>
      <c r="H5090" s="18">
        <v>-98.17</v>
      </c>
      <c r="I5090" s="19">
        <v>4.9800000000000004</v>
      </c>
      <c r="J5090" s="19">
        <v>7.54</v>
      </c>
      <c r="K5090" s="19" t="s">
        <v>111</v>
      </c>
      <c r="L5090" s="19" t="s">
        <v>442</v>
      </c>
      <c r="M5090" s="15" t="s">
        <v>2222</v>
      </c>
      <c r="N5090" s="15" t="s">
        <v>36</v>
      </c>
      <c r="O5090" s="15" t="s">
        <v>117</v>
      </c>
      <c r="P5090" s="20" t="s">
        <v>2107</v>
      </c>
      <c r="Q5090" s="15" t="s">
        <v>83</v>
      </c>
      <c r="R5090" s="4"/>
      <c r="S5090" s="4"/>
    </row>
    <row r="5091" spans="1:19" ht="21" customHeight="1" x14ac:dyDescent="0.25">
      <c r="A5091" s="14">
        <f>DATE(2012,12,31)-1058</f>
        <v>40216</v>
      </c>
      <c r="B5091" s="15" t="s">
        <v>1043</v>
      </c>
      <c r="C5091" s="15" t="s">
        <v>85</v>
      </c>
      <c r="D5091" s="16">
        <v>37</v>
      </c>
      <c r="E5091" s="17">
        <v>816.65</v>
      </c>
      <c r="F5091" s="16">
        <v>0.09</v>
      </c>
      <c r="G5091" s="15" t="s">
        <v>32</v>
      </c>
      <c r="H5091" s="18">
        <v>-182.8</v>
      </c>
      <c r="I5091" s="19">
        <v>22.84</v>
      </c>
      <c r="J5091" s="19">
        <v>16.87</v>
      </c>
      <c r="K5091" s="19" t="s">
        <v>44</v>
      </c>
      <c r="L5091" s="19" t="s">
        <v>45</v>
      </c>
      <c r="M5091" s="15" t="s">
        <v>2165</v>
      </c>
      <c r="N5091" s="15" t="s">
        <v>36</v>
      </c>
      <c r="O5091" s="15" t="s">
        <v>117</v>
      </c>
      <c r="P5091" s="20" t="s">
        <v>1848</v>
      </c>
      <c r="Q5091" s="15" t="s">
        <v>83</v>
      </c>
      <c r="R5091" s="4"/>
      <c r="S5091" s="4"/>
    </row>
    <row r="5092" spans="1:19" ht="21" customHeight="1" x14ac:dyDescent="0.25">
      <c r="A5092" s="14">
        <f>DATE(2012,12,31)-732</f>
        <v>40542</v>
      </c>
      <c r="B5092" s="15" t="s">
        <v>256</v>
      </c>
      <c r="C5092" s="15" t="s">
        <v>85</v>
      </c>
      <c r="D5092" s="16">
        <v>13</v>
      </c>
      <c r="E5092" s="17">
        <v>1272.83</v>
      </c>
      <c r="F5092" s="16">
        <v>0.04</v>
      </c>
      <c r="G5092" s="15" t="s">
        <v>32</v>
      </c>
      <c r="H5092" s="18">
        <v>250.47</v>
      </c>
      <c r="I5092" s="19">
        <v>100.98</v>
      </c>
      <c r="J5092" s="19">
        <v>7.18</v>
      </c>
      <c r="K5092" s="19" t="s">
        <v>124</v>
      </c>
      <c r="L5092" s="19" t="s">
        <v>160</v>
      </c>
      <c r="M5092" s="15" t="s">
        <v>2181</v>
      </c>
      <c r="N5092" s="15" t="s">
        <v>64</v>
      </c>
      <c r="O5092" s="15" t="s">
        <v>72</v>
      </c>
      <c r="P5092" s="20" t="s">
        <v>1686</v>
      </c>
      <c r="Q5092" s="15" t="s">
        <v>83</v>
      </c>
      <c r="R5092" s="4"/>
      <c r="S5092" s="4"/>
    </row>
    <row r="5093" spans="1:19" ht="21" customHeight="1" x14ac:dyDescent="0.25">
      <c r="A5093" s="14">
        <f>DATE(2012,12,31)-732</f>
        <v>40542</v>
      </c>
      <c r="B5093" s="15" t="s">
        <v>256</v>
      </c>
      <c r="C5093" s="15" t="s">
        <v>85</v>
      </c>
      <c r="D5093" s="16">
        <v>25</v>
      </c>
      <c r="E5093" s="17">
        <v>165.36</v>
      </c>
      <c r="F5093" s="16">
        <v>0.09</v>
      </c>
      <c r="G5093" s="15" t="s">
        <v>101</v>
      </c>
      <c r="H5093" s="18">
        <v>-94.79</v>
      </c>
      <c r="I5093" s="19">
        <v>6.48</v>
      </c>
      <c r="J5093" s="19">
        <v>7.49</v>
      </c>
      <c r="K5093" s="19" t="s">
        <v>124</v>
      </c>
      <c r="L5093" s="19" t="s">
        <v>164</v>
      </c>
      <c r="M5093" s="15" t="s">
        <v>2171</v>
      </c>
      <c r="N5093" s="15" t="s">
        <v>36</v>
      </c>
      <c r="O5093" s="15" t="s">
        <v>117</v>
      </c>
      <c r="P5093" s="20" t="s">
        <v>985</v>
      </c>
      <c r="Q5093" s="15" t="s">
        <v>83</v>
      </c>
      <c r="R5093" s="4"/>
      <c r="S5093" s="4"/>
    </row>
    <row r="5094" spans="1:19" ht="21" customHeight="1" x14ac:dyDescent="0.25">
      <c r="A5094" s="14">
        <f>DATE(2012,12,31)-133</f>
        <v>41141</v>
      </c>
      <c r="B5094" s="15" t="s">
        <v>1512</v>
      </c>
      <c r="C5094" s="15" t="s">
        <v>85</v>
      </c>
      <c r="D5094" s="16">
        <v>46</v>
      </c>
      <c r="E5094" s="17">
        <v>611.16</v>
      </c>
      <c r="F5094" s="16">
        <v>0.04</v>
      </c>
      <c r="G5094" s="15" t="s">
        <v>32</v>
      </c>
      <c r="H5094" s="18">
        <v>100.215</v>
      </c>
      <c r="I5094" s="19">
        <v>12.95</v>
      </c>
      <c r="J5094" s="19">
        <v>4.9800000000000004</v>
      </c>
      <c r="K5094" s="19" t="s">
        <v>124</v>
      </c>
      <c r="L5094" s="19" t="s">
        <v>160</v>
      </c>
      <c r="M5094" s="15" t="s">
        <v>2181</v>
      </c>
      <c r="N5094" s="15" t="s">
        <v>36</v>
      </c>
      <c r="O5094" s="15" t="s">
        <v>170</v>
      </c>
      <c r="P5094" s="20" t="s">
        <v>289</v>
      </c>
      <c r="Q5094" s="15" t="s">
        <v>83</v>
      </c>
      <c r="R5094" s="4"/>
      <c r="S5094" s="4"/>
    </row>
    <row r="5095" spans="1:19" ht="21" customHeight="1" x14ac:dyDescent="0.25">
      <c r="A5095" s="14">
        <f>DATE(2012,12,31)-849</f>
        <v>40425</v>
      </c>
      <c r="B5095" s="15" t="s">
        <v>1894</v>
      </c>
      <c r="C5095" s="15" t="s">
        <v>85</v>
      </c>
      <c r="D5095" s="16">
        <v>10</v>
      </c>
      <c r="E5095" s="17">
        <v>278.10000000000002</v>
      </c>
      <c r="F5095" s="16">
        <v>0.09</v>
      </c>
      <c r="G5095" s="15" t="s">
        <v>32</v>
      </c>
      <c r="H5095" s="18">
        <v>68.102000000000004</v>
      </c>
      <c r="I5095" s="19">
        <v>30.56</v>
      </c>
      <c r="J5095" s="19">
        <v>2.99</v>
      </c>
      <c r="K5095" s="19" t="s">
        <v>124</v>
      </c>
      <c r="L5095" s="19" t="s">
        <v>160</v>
      </c>
      <c r="M5095" s="15" t="s">
        <v>2181</v>
      </c>
      <c r="N5095" s="15" t="s">
        <v>36</v>
      </c>
      <c r="O5095" s="15" t="s">
        <v>170</v>
      </c>
      <c r="P5095" s="20" t="s">
        <v>1381</v>
      </c>
      <c r="Q5095" s="15" t="s">
        <v>83</v>
      </c>
      <c r="R5095" s="4"/>
      <c r="S5095" s="4"/>
    </row>
    <row r="5096" spans="1:19" ht="21" customHeight="1" x14ac:dyDescent="0.25">
      <c r="A5096" s="14">
        <f>DATE(2012,12,31)-805</f>
        <v>40469</v>
      </c>
      <c r="B5096" s="15" t="s">
        <v>1108</v>
      </c>
      <c r="C5096" s="15" t="s">
        <v>51</v>
      </c>
      <c r="D5096" s="16">
        <v>5</v>
      </c>
      <c r="E5096" s="17">
        <v>85.89</v>
      </c>
      <c r="F5096" s="16">
        <v>0.08</v>
      </c>
      <c r="G5096" s="15" t="s">
        <v>32</v>
      </c>
      <c r="H5096" s="18">
        <v>-48.88</v>
      </c>
      <c r="I5096" s="19">
        <v>15.98</v>
      </c>
      <c r="J5096" s="19">
        <v>6.5</v>
      </c>
      <c r="K5096" s="19" t="s">
        <v>33</v>
      </c>
      <c r="L5096" s="19" t="s">
        <v>145</v>
      </c>
      <c r="M5096" s="15" t="s">
        <v>2140</v>
      </c>
      <c r="N5096" s="15" t="s">
        <v>64</v>
      </c>
      <c r="O5096" s="15" t="s">
        <v>72</v>
      </c>
      <c r="P5096" s="20" t="s">
        <v>344</v>
      </c>
      <c r="Q5096" s="15" t="s">
        <v>83</v>
      </c>
      <c r="R5096" s="4"/>
      <c r="S5096" s="4"/>
    </row>
    <row r="5097" spans="1:19" ht="21" customHeight="1" x14ac:dyDescent="0.25">
      <c r="A5097" s="14">
        <f>DATE(2012,12,31)-209</f>
        <v>41065</v>
      </c>
      <c r="B5097" s="15" t="s">
        <v>1760</v>
      </c>
      <c r="C5097" s="15" t="s">
        <v>85</v>
      </c>
      <c r="D5097" s="16">
        <v>13</v>
      </c>
      <c r="E5097" s="17">
        <v>4567.3599999999997</v>
      </c>
      <c r="F5097" s="16">
        <v>7.0000000000000007E-2</v>
      </c>
      <c r="G5097" s="15" t="s">
        <v>32</v>
      </c>
      <c r="H5097" s="18">
        <v>889.31</v>
      </c>
      <c r="I5097" s="19">
        <v>363.25</v>
      </c>
      <c r="J5097" s="19">
        <v>19.989999999999998</v>
      </c>
      <c r="K5097" s="19" t="s">
        <v>69</v>
      </c>
      <c r="L5097" s="19" t="s">
        <v>70</v>
      </c>
      <c r="M5097" s="15" t="s">
        <v>2216</v>
      </c>
      <c r="N5097" s="15" t="s">
        <v>36</v>
      </c>
      <c r="O5097" s="15" t="s">
        <v>176</v>
      </c>
      <c r="P5097" s="20" t="s">
        <v>177</v>
      </c>
      <c r="Q5097" s="15" t="s">
        <v>83</v>
      </c>
      <c r="R5097" s="4"/>
      <c r="S5097" s="4"/>
    </row>
    <row r="5098" spans="1:19" ht="21" customHeight="1" x14ac:dyDescent="0.25">
      <c r="A5098" s="14">
        <f>DATE(2012,12,31)-1125</f>
        <v>40149</v>
      </c>
      <c r="B5098" s="15" t="s">
        <v>138</v>
      </c>
      <c r="C5098" s="15" t="s">
        <v>85</v>
      </c>
      <c r="D5098" s="16">
        <v>9</v>
      </c>
      <c r="E5098" s="17">
        <v>61.43</v>
      </c>
      <c r="F5098" s="16">
        <v>0.09</v>
      </c>
      <c r="G5098" s="15" t="s">
        <v>101</v>
      </c>
      <c r="H5098" s="18">
        <v>-42.975499999999997</v>
      </c>
      <c r="I5098" s="19">
        <v>5.4</v>
      </c>
      <c r="J5098" s="19">
        <v>7.78</v>
      </c>
      <c r="K5098" s="19" t="s">
        <v>44</v>
      </c>
      <c r="L5098" s="19" t="s">
        <v>45</v>
      </c>
      <c r="M5098" s="15" t="s">
        <v>2165</v>
      </c>
      <c r="N5098" s="15" t="s">
        <v>36</v>
      </c>
      <c r="O5098" s="15" t="s">
        <v>170</v>
      </c>
      <c r="P5098" s="20" t="s">
        <v>186</v>
      </c>
      <c r="Q5098" s="15" t="s">
        <v>83</v>
      </c>
      <c r="R5098" s="4"/>
      <c r="S5098" s="4"/>
    </row>
    <row r="5099" spans="1:19" ht="21" customHeight="1" x14ac:dyDescent="0.25">
      <c r="A5099" s="14">
        <f>DATE(2012,12,31)-1125</f>
        <v>40149</v>
      </c>
      <c r="B5099" s="15" t="s">
        <v>138</v>
      </c>
      <c r="C5099" s="15" t="s">
        <v>85</v>
      </c>
      <c r="D5099" s="16">
        <v>6</v>
      </c>
      <c r="E5099" s="17">
        <v>129.5</v>
      </c>
      <c r="F5099" s="16">
        <v>0.02</v>
      </c>
      <c r="G5099" s="15" t="s">
        <v>32</v>
      </c>
      <c r="H5099" s="18">
        <v>65.489999999999995</v>
      </c>
      <c r="I5099" s="19">
        <v>20.28</v>
      </c>
      <c r="J5099" s="19">
        <v>6.68</v>
      </c>
      <c r="K5099" s="19" t="s">
        <v>97</v>
      </c>
      <c r="L5099" s="19" t="s">
        <v>98</v>
      </c>
      <c r="M5099" s="15" t="s">
        <v>2217</v>
      </c>
      <c r="N5099" s="15" t="s">
        <v>54</v>
      </c>
      <c r="O5099" s="15" t="s">
        <v>55</v>
      </c>
      <c r="P5099" s="20" t="s">
        <v>1143</v>
      </c>
      <c r="Q5099" s="15" t="s">
        <v>83</v>
      </c>
      <c r="R5099" s="4"/>
      <c r="S5099" s="4"/>
    </row>
    <row r="5100" spans="1:19" ht="21" customHeight="1" x14ac:dyDescent="0.25">
      <c r="A5100" s="14">
        <f>DATE(2012,12,31)-1125</f>
        <v>40149</v>
      </c>
      <c r="B5100" s="15" t="s">
        <v>138</v>
      </c>
      <c r="C5100" s="15" t="s">
        <v>85</v>
      </c>
      <c r="D5100" s="16">
        <v>10</v>
      </c>
      <c r="E5100" s="17">
        <v>125.95</v>
      </c>
      <c r="F5100" s="16">
        <v>0</v>
      </c>
      <c r="G5100" s="15" t="s">
        <v>32</v>
      </c>
      <c r="H5100" s="18">
        <v>15.73</v>
      </c>
      <c r="I5100" s="19">
        <v>11.55</v>
      </c>
      <c r="J5100" s="19">
        <v>2.36</v>
      </c>
      <c r="K5100" s="19" t="s">
        <v>124</v>
      </c>
      <c r="L5100" s="19" t="s">
        <v>125</v>
      </c>
      <c r="M5100" s="15" t="s">
        <v>2223</v>
      </c>
      <c r="N5100" s="15" t="s">
        <v>36</v>
      </c>
      <c r="O5100" s="15" t="s">
        <v>77</v>
      </c>
      <c r="P5100" s="20" t="s">
        <v>996</v>
      </c>
      <c r="Q5100" s="15" t="s">
        <v>79</v>
      </c>
      <c r="R5100" s="4"/>
      <c r="S5100" s="4"/>
    </row>
    <row r="5101" spans="1:19" ht="21" customHeight="1" x14ac:dyDescent="0.25">
      <c r="A5101" s="14">
        <f>DATE(2012,12,31)-1125</f>
        <v>40149</v>
      </c>
      <c r="B5101" s="15" t="s">
        <v>138</v>
      </c>
      <c r="C5101" s="15" t="s">
        <v>85</v>
      </c>
      <c r="D5101" s="16">
        <v>43</v>
      </c>
      <c r="E5101" s="17">
        <v>90.93</v>
      </c>
      <c r="F5101" s="16">
        <v>0.05</v>
      </c>
      <c r="G5101" s="15" t="s">
        <v>32</v>
      </c>
      <c r="H5101" s="18">
        <v>-72.5</v>
      </c>
      <c r="I5101" s="19">
        <v>2.08</v>
      </c>
      <c r="J5101" s="19">
        <v>2.56</v>
      </c>
      <c r="K5101" s="19" t="s">
        <v>44</v>
      </c>
      <c r="L5101" s="19" t="s">
        <v>52</v>
      </c>
      <c r="M5101" s="15" t="s">
        <v>2183</v>
      </c>
      <c r="N5101" s="15" t="s">
        <v>36</v>
      </c>
      <c r="O5101" s="15" t="s">
        <v>47</v>
      </c>
      <c r="P5101" s="20" t="s">
        <v>48</v>
      </c>
      <c r="Q5101" s="15" t="s">
        <v>49</v>
      </c>
      <c r="R5101" s="4"/>
      <c r="S5101" s="4"/>
    </row>
    <row r="5102" spans="1:19" ht="21" customHeight="1" x14ac:dyDescent="0.25">
      <c r="A5102" s="14">
        <f>DATE(2012,12,31)-372</f>
        <v>40902</v>
      </c>
      <c r="B5102" s="15" t="s">
        <v>746</v>
      </c>
      <c r="C5102" s="15" t="s">
        <v>85</v>
      </c>
      <c r="D5102" s="16">
        <v>45</v>
      </c>
      <c r="E5102" s="17">
        <v>4768.59</v>
      </c>
      <c r="F5102" s="16">
        <v>0.01</v>
      </c>
      <c r="G5102" s="15" t="s">
        <v>58</v>
      </c>
      <c r="H5102" s="18">
        <v>-593.79999999999995</v>
      </c>
      <c r="I5102" s="19">
        <v>100.98</v>
      </c>
      <c r="J5102" s="19">
        <v>45</v>
      </c>
      <c r="K5102" s="19" t="s">
        <v>69</v>
      </c>
      <c r="L5102" s="19" t="s">
        <v>70</v>
      </c>
      <c r="M5102" s="15" t="s">
        <v>2216</v>
      </c>
      <c r="N5102" s="15" t="s">
        <v>54</v>
      </c>
      <c r="O5102" s="15" t="s">
        <v>252</v>
      </c>
      <c r="P5102" s="20" t="s">
        <v>2226</v>
      </c>
      <c r="Q5102" s="15" t="s">
        <v>181</v>
      </c>
      <c r="R5102" s="4"/>
      <c r="S5102" s="4"/>
    </row>
    <row r="5103" spans="1:19" ht="21" customHeight="1" x14ac:dyDescent="0.25">
      <c r="A5103" s="14">
        <f>DATE(2012,12,31)-372</f>
        <v>40902</v>
      </c>
      <c r="B5103" s="15" t="s">
        <v>746</v>
      </c>
      <c r="C5103" s="15" t="s">
        <v>85</v>
      </c>
      <c r="D5103" s="16">
        <v>33</v>
      </c>
      <c r="E5103" s="17">
        <v>117.77</v>
      </c>
      <c r="F5103" s="16">
        <v>0.08</v>
      </c>
      <c r="G5103" s="15" t="s">
        <v>32</v>
      </c>
      <c r="H5103" s="18">
        <v>47.98</v>
      </c>
      <c r="I5103" s="19">
        <v>3.75</v>
      </c>
      <c r="J5103" s="19">
        <v>0.5</v>
      </c>
      <c r="K5103" s="19" t="s">
        <v>33</v>
      </c>
      <c r="L5103" s="19" t="s">
        <v>93</v>
      </c>
      <c r="M5103" s="15" t="s">
        <v>94</v>
      </c>
      <c r="N5103" s="15" t="s">
        <v>36</v>
      </c>
      <c r="O5103" s="15" t="s">
        <v>114</v>
      </c>
      <c r="P5103" s="20" t="s">
        <v>982</v>
      </c>
      <c r="Q5103" s="15" t="s">
        <v>83</v>
      </c>
      <c r="R5103" s="4"/>
      <c r="S5103" s="4"/>
    </row>
    <row r="5104" spans="1:19" ht="21" customHeight="1" x14ac:dyDescent="0.25">
      <c r="A5104" s="14">
        <f>DATE(2012,12,31)-352</f>
        <v>40922</v>
      </c>
      <c r="B5104" s="15" t="s">
        <v>612</v>
      </c>
      <c r="C5104" s="15" t="s">
        <v>43</v>
      </c>
      <c r="D5104" s="16">
        <v>38</v>
      </c>
      <c r="E5104" s="17">
        <v>17605.77</v>
      </c>
      <c r="F5104" s="16">
        <v>0.01</v>
      </c>
      <c r="G5104" s="15" t="s">
        <v>58</v>
      </c>
      <c r="H5104" s="18">
        <v>-370.04</v>
      </c>
      <c r="I5104" s="19">
        <v>449.99</v>
      </c>
      <c r="J5104" s="19">
        <v>49</v>
      </c>
      <c r="K5104" s="19" t="s">
        <v>44</v>
      </c>
      <c r="L5104" s="19" t="s">
        <v>52</v>
      </c>
      <c r="M5104" s="15" t="s">
        <v>2183</v>
      </c>
      <c r="N5104" s="15" t="s">
        <v>64</v>
      </c>
      <c r="O5104" s="15" t="s">
        <v>460</v>
      </c>
      <c r="P5104" s="20" t="s">
        <v>511</v>
      </c>
      <c r="Q5104" s="15" t="s">
        <v>181</v>
      </c>
      <c r="R5104" s="4"/>
      <c r="S5104" s="4"/>
    </row>
    <row r="5105" spans="1:19" ht="21" customHeight="1" x14ac:dyDescent="0.25">
      <c r="A5105" s="14">
        <f>DATE(2012,12,31)-1328</f>
        <v>39946</v>
      </c>
      <c r="B5105" s="15" t="s">
        <v>187</v>
      </c>
      <c r="C5105" s="15" t="s">
        <v>43</v>
      </c>
      <c r="D5105" s="16">
        <v>28</v>
      </c>
      <c r="E5105" s="17">
        <v>865.35</v>
      </c>
      <c r="F5105" s="16">
        <v>0.06</v>
      </c>
      <c r="G5105" s="15" t="s">
        <v>32</v>
      </c>
      <c r="H5105" s="18">
        <v>-159.25</v>
      </c>
      <c r="I5105" s="19">
        <v>30.42</v>
      </c>
      <c r="J5105" s="19">
        <v>8.65</v>
      </c>
      <c r="K5105" s="19" t="s">
        <v>33</v>
      </c>
      <c r="L5105" s="19" t="s">
        <v>59</v>
      </c>
      <c r="M5105" s="15" t="s">
        <v>2227</v>
      </c>
      <c r="N5105" s="15" t="s">
        <v>64</v>
      </c>
      <c r="O5105" s="15" t="s">
        <v>72</v>
      </c>
      <c r="P5105" s="20" t="s">
        <v>1175</v>
      </c>
      <c r="Q5105" s="15" t="s">
        <v>83</v>
      </c>
      <c r="R5105" s="4"/>
      <c r="S5105" s="4"/>
    </row>
    <row r="5106" spans="1:19" ht="21" customHeight="1" x14ac:dyDescent="0.25">
      <c r="A5106" s="14">
        <f>DATE(2012,12,31)-1328</f>
        <v>39946</v>
      </c>
      <c r="B5106" s="15" t="s">
        <v>187</v>
      </c>
      <c r="C5106" s="15" t="s">
        <v>43</v>
      </c>
      <c r="D5106" s="16">
        <v>22</v>
      </c>
      <c r="E5106" s="17">
        <v>823.07</v>
      </c>
      <c r="F5106" s="16">
        <v>0.02</v>
      </c>
      <c r="G5106" s="15" t="s">
        <v>32</v>
      </c>
      <c r="H5106" s="18">
        <v>318.25</v>
      </c>
      <c r="I5106" s="19">
        <v>37.94</v>
      </c>
      <c r="J5106" s="19">
        <v>5.08</v>
      </c>
      <c r="K5106" s="19" t="s">
        <v>33</v>
      </c>
      <c r="L5106" s="19" t="s">
        <v>59</v>
      </c>
      <c r="M5106" s="15" t="s">
        <v>2227</v>
      </c>
      <c r="N5106" s="15" t="s">
        <v>36</v>
      </c>
      <c r="O5106" s="15" t="s">
        <v>117</v>
      </c>
      <c r="P5106" s="20" t="s">
        <v>902</v>
      </c>
      <c r="Q5106" s="15" t="s">
        <v>79</v>
      </c>
      <c r="R5106" s="4"/>
      <c r="S5106" s="4"/>
    </row>
    <row r="5107" spans="1:19" ht="21" customHeight="1" x14ac:dyDescent="0.25">
      <c r="A5107" s="14">
        <f>DATE(2012,12,31)-404</f>
        <v>40870</v>
      </c>
      <c r="B5107" s="15" t="s">
        <v>831</v>
      </c>
      <c r="C5107" s="15" t="s">
        <v>51</v>
      </c>
      <c r="D5107" s="16">
        <v>2</v>
      </c>
      <c r="E5107" s="17">
        <v>68.66</v>
      </c>
      <c r="F5107" s="16">
        <v>0.06</v>
      </c>
      <c r="G5107" s="15" t="s">
        <v>32</v>
      </c>
      <c r="H5107" s="18">
        <v>-29.6</v>
      </c>
      <c r="I5107" s="19">
        <v>30.98</v>
      </c>
      <c r="J5107" s="19">
        <v>5.76</v>
      </c>
      <c r="K5107" s="19" t="s">
        <v>33</v>
      </c>
      <c r="L5107" s="19" t="s">
        <v>59</v>
      </c>
      <c r="M5107" s="15" t="s">
        <v>2227</v>
      </c>
      <c r="N5107" s="15" t="s">
        <v>36</v>
      </c>
      <c r="O5107" s="15" t="s">
        <v>117</v>
      </c>
      <c r="P5107" s="20" t="s">
        <v>713</v>
      </c>
      <c r="Q5107" s="15" t="s">
        <v>83</v>
      </c>
      <c r="R5107" s="4"/>
      <c r="S5107" s="4"/>
    </row>
    <row r="5108" spans="1:19" ht="21" customHeight="1" x14ac:dyDescent="0.25">
      <c r="A5108" s="14">
        <f>DATE(2012,12,31)-420</f>
        <v>40854</v>
      </c>
      <c r="B5108" s="15" t="s">
        <v>1597</v>
      </c>
      <c r="C5108" s="15" t="s">
        <v>51</v>
      </c>
      <c r="D5108" s="16">
        <v>32</v>
      </c>
      <c r="E5108" s="17">
        <v>616.39</v>
      </c>
      <c r="F5108" s="16">
        <v>0.09</v>
      </c>
      <c r="G5108" s="15" t="s">
        <v>32</v>
      </c>
      <c r="H5108" s="18">
        <v>148.28</v>
      </c>
      <c r="I5108" s="19">
        <v>20.89</v>
      </c>
      <c r="J5108" s="19">
        <v>1.99</v>
      </c>
      <c r="K5108" s="19" t="s">
        <v>69</v>
      </c>
      <c r="L5108" s="19" t="s">
        <v>75</v>
      </c>
      <c r="M5108" s="15" t="s">
        <v>2202</v>
      </c>
      <c r="N5108" s="15" t="s">
        <v>64</v>
      </c>
      <c r="O5108" s="15" t="s">
        <v>72</v>
      </c>
      <c r="P5108" s="20" t="s">
        <v>1652</v>
      </c>
      <c r="Q5108" s="15" t="s">
        <v>49</v>
      </c>
      <c r="R5108" s="4"/>
      <c r="S5108" s="4"/>
    </row>
    <row r="5109" spans="1:19" ht="21" customHeight="1" x14ac:dyDescent="0.25">
      <c r="A5109" s="14">
        <f>DATE(2012,12,31)-80</f>
        <v>41194</v>
      </c>
      <c r="B5109" s="15" t="s">
        <v>398</v>
      </c>
      <c r="C5109" s="15" t="s">
        <v>51</v>
      </c>
      <c r="D5109" s="16">
        <v>3</v>
      </c>
      <c r="E5109" s="17">
        <v>329.63</v>
      </c>
      <c r="F5109" s="16">
        <v>0.05</v>
      </c>
      <c r="G5109" s="15" t="s">
        <v>32</v>
      </c>
      <c r="H5109" s="18">
        <v>-541.33199999999999</v>
      </c>
      <c r="I5109" s="19">
        <v>125.99</v>
      </c>
      <c r="J5109" s="19">
        <v>8.99</v>
      </c>
      <c r="K5109" s="19" t="s">
        <v>44</v>
      </c>
      <c r="L5109" s="19" t="s">
        <v>120</v>
      </c>
      <c r="M5109" s="15" t="s">
        <v>2025</v>
      </c>
      <c r="N5109" s="15" t="s">
        <v>64</v>
      </c>
      <c r="O5109" s="15" t="s">
        <v>65</v>
      </c>
      <c r="P5109" s="20" t="s">
        <v>1553</v>
      </c>
      <c r="Q5109" s="15" t="s">
        <v>83</v>
      </c>
      <c r="R5109" s="4"/>
      <c r="S5109" s="4"/>
    </row>
    <row r="5110" spans="1:19" ht="21" customHeight="1" x14ac:dyDescent="0.25">
      <c r="A5110" s="14">
        <f>DATE(2012,12,31)-1127</f>
        <v>40147</v>
      </c>
      <c r="B5110" s="15" t="s">
        <v>334</v>
      </c>
      <c r="C5110" s="15" t="s">
        <v>31</v>
      </c>
      <c r="D5110" s="16">
        <v>44</v>
      </c>
      <c r="E5110" s="17">
        <v>276</v>
      </c>
      <c r="F5110" s="16">
        <v>0.08</v>
      </c>
      <c r="G5110" s="15" t="s">
        <v>32</v>
      </c>
      <c r="H5110" s="18">
        <v>-98.53</v>
      </c>
      <c r="I5110" s="19">
        <v>6.48</v>
      </c>
      <c r="J5110" s="19">
        <v>5.82</v>
      </c>
      <c r="K5110" s="19" t="s">
        <v>97</v>
      </c>
      <c r="L5110" s="19" t="s">
        <v>98</v>
      </c>
      <c r="M5110" s="15" t="s">
        <v>2217</v>
      </c>
      <c r="N5110" s="15" t="s">
        <v>36</v>
      </c>
      <c r="O5110" s="15" t="s">
        <v>117</v>
      </c>
      <c r="P5110" s="20" t="s">
        <v>2228</v>
      </c>
      <c r="Q5110" s="15" t="s">
        <v>83</v>
      </c>
      <c r="R5110" s="4"/>
      <c r="S5110" s="4"/>
    </row>
    <row r="5111" spans="1:19" ht="21" customHeight="1" x14ac:dyDescent="0.25">
      <c r="A5111" s="14">
        <f>DATE(2012,12,31)-1127</f>
        <v>40147</v>
      </c>
      <c r="B5111" s="15" t="s">
        <v>334</v>
      </c>
      <c r="C5111" s="15" t="s">
        <v>31</v>
      </c>
      <c r="D5111" s="16">
        <v>46</v>
      </c>
      <c r="E5111" s="17">
        <v>132.01</v>
      </c>
      <c r="F5111" s="16">
        <v>0.04</v>
      </c>
      <c r="G5111" s="15" t="s">
        <v>32</v>
      </c>
      <c r="H5111" s="18">
        <v>6.93</v>
      </c>
      <c r="I5111" s="19">
        <v>2.88</v>
      </c>
      <c r="J5111" s="19">
        <v>1.01</v>
      </c>
      <c r="K5111" s="19" t="s">
        <v>33</v>
      </c>
      <c r="L5111" s="19" t="s">
        <v>145</v>
      </c>
      <c r="M5111" s="15" t="s">
        <v>2140</v>
      </c>
      <c r="N5111" s="15" t="s">
        <v>36</v>
      </c>
      <c r="O5111" s="15" t="s">
        <v>77</v>
      </c>
      <c r="P5111" s="20" t="s">
        <v>1461</v>
      </c>
      <c r="Q5111" s="15" t="s">
        <v>79</v>
      </c>
      <c r="R5111" s="4"/>
      <c r="S5111" s="4"/>
    </row>
    <row r="5112" spans="1:19" ht="21" customHeight="1" x14ac:dyDescent="0.25">
      <c r="A5112" s="14">
        <f>DATE(2012,12,31)-339</f>
        <v>40935</v>
      </c>
      <c r="B5112" s="15" t="s">
        <v>1355</v>
      </c>
      <c r="C5112" s="15" t="s">
        <v>43</v>
      </c>
      <c r="D5112" s="16">
        <v>33</v>
      </c>
      <c r="E5112" s="17">
        <v>207.92</v>
      </c>
      <c r="F5112" s="16">
        <v>0.08</v>
      </c>
      <c r="G5112" s="15" t="s">
        <v>101</v>
      </c>
      <c r="H5112" s="18">
        <v>-124.84399999999999</v>
      </c>
      <c r="I5112" s="19">
        <v>6.23</v>
      </c>
      <c r="J5112" s="19">
        <v>6.97</v>
      </c>
      <c r="K5112" s="19" t="s">
        <v>69</v>
      </c>
      <c r="L5112" s="19" t="s">
        <v>70</v>
      </c>
      <c r="M5112" s="15" t="s">
        <v>2216</v>
      </c>
      <c r="N5112" s="15" t="s">
        <v>36</v>
      </c>
      <c r="O5112" s="15" t="s">
        <v>170</v>
      </c>
      <c r="P5112" s="20" t="s">
        <v>2131</v>
      </c>
      <c r="Q5112" s="15" t="s">
        <v>83</v>
      </c>
      <c r="R5112" s="4"/>
      <c r="S5112" s="4"/>
    </row>
    <row r="5113" spans="1:19" ht="21" customHeight="1" x14ac:dyDescent="0.25">
      <c r="A5113" s="14">
        <f>DATE(2012,12,31)-843</f>
        <v>40431</v>
      </c>
      <c r="B5113" s="15" t="s">
        <v>919</v>
      </c>
      <c r="C5113" s="15" t="s">
        <v>85</v>
      </c>
      <c r="D5113" s="16">
        <v>6</v>
      </c>
      <c r="E5113" s="17">
        <v>36.65</v>
      </c>
      <c r="F5113" s="16">
        <v>0.03</v>
      </c>
      <c r="G5113" s="15" t="s">
        <v>32</v>
      </c>
      <c r="H5113" s="18">
        <v>0.43</v>
      </c>
      <c r="I5113" s="19">
        <v>6.08</v>
      </c>
      <c r="J5113" s="19">
        <v>0.91</v>
      </c>
      <c r="K5113" s="19" t="s">
        <v>44</v>
      </c>
      <c r="L5113" s="19" t="s">
        <v>89</v>
      </c>
      <c r="M5113" s="15" t="s">
        <v>1932</v>
      </c>
      <c r="N5113" s="15" t="s">
        <v>36</v>
      </c>
      <c r="O5113" s="15" t="s">
        <v>77</v>
      </c>
      <c r="P5113" s="20" t="s">
        <v>1476</v>
      </c>
      <c r="Q5113" s="15" t="s">
        <v>79</v>
      </c>
      <c r="R5113" s="4"/>
      <c r="S5113" s="4"/>
    </row>
    <row r="5114" spans="1:19" ht="21" customHeight="1" x14ac:dyDescent="0.25">
      <c r="A5114" s="14">
        <f>DATE(2012,12,31)-843</f>
        <v>40431</v>
      </c>
      <c r="B5114" s="15" t="s">
        <v>919</v>
      </c>
      <c r="C5114" s="15" t="s">
        <v>85</v>
      </c>
      <c r="D5114" s="16">
        <v>44</v>
      </c>
      <c r="E5114" s="17">
        <v>964.09</v>
      </c>
      <c r="F5114" s="16">
        <v>0.02</v>
      </c>
      <c r="G5114" s="15" t="s">
        <v>32</v>
      </c>
      <c r="H5114" s="18">
        <v>105.37</v>
      </c>
      <c r="I5114" s="19">
        <v>22.01</v>
      </c>
      <c r="J5114" s="19">
        <v>5.53</v>
      </c>
      <c r="K5114" s="19" t="s">
        <v>44</v>
      </c>
      <c r="L5114" s="19" t="s">
        <v>89</v>
      </c>
      <c r="M5114" s="15" t="s">
        <v>1932</v>
      </c>
      <c r="N5114" s="15" t="s">
        <v>36</v>
      </c>
      <c r="O5114" s="15" t="s">
        <v>77</v>
      </c>
      <c r="P5114" s="20" t="s">
        <v>709</v>
      </c>
      <c r="Q5114" s="15" t="s">
        <v>49</v>
      </c>
      <c r="R5114" s="4"/>
      <c r="S5114" s="4"/>
    </row>
    <row r="5115" spans="1:19" ht="21" customHeight="1" x14ac:dyDescent="0.25">
      <c r="A5115" s="14">
        <f>DATE(2012,12,31)-848</f>
        <v>40426</v>
      </c>
      <c r="B5115" s="15" t="s">
        <v>911</v>
      </c>
      <c r="C5115" s="15" t="s">
        <v>43</v>
      </c>
      <c r="D5115" s="16">
        <v>6</v>
      </c>
      <c r="E5115" s="17">
        <v>90.75</v>
      </c>
      <c r="F5115" s="16">
        <v>0.02</v>
      </c>
      <c r="G5115" s="15" t="s">
        <v>32</v>
      </c>
      <c r="H5115" s="18">
        <v>-26.39</v>
      </c>
      <c r="I5115" s="19">
        <v>12.99</v>
      </c>
      <c r="J5115" s="19">
        <v>14.37</v>
      </c>
      <c r="K5115" s="19" t="s">
        <v>44</v>
      </c>
      <c r="L5115" s="19" t="s">
        <v>89</v>
      </c>
      <c r="M5115" s="15" t="s">
        <v>1932</v>
      </c>
      <c r="N5115" s="15" t="s">
        <v>54</v>
      </c>
      <c r="O5115" s="15" t="s">
        <v>55</v>
      </c>
      <c r="P5115" s="20" t="s">
        <v>1696</v>
      </c>
      <c r="Q5115" s="15" t="s">
        <v>39</v>
      </c>
      <c r="R5115" s="4"/>
      <c r="S5115" s="4"/>
    </row>
    <row r="5116" spans="1:19" ht="21" customHeight="1" x14ac:dyDescent="0.25">
      <c r="A5116" s="14">
        <f>DATE(2012,12,31)-848</f>
        <v>40426</v>
      </c>
      <c r="B5116" s="15" t="s">
        <v>911</v>
      </c>
      <c r="C5116" s="15" t="s">
        <v>43</v>
      </c>
      <c r="D5116" s="16">
        <v>43</v>
      </c>
      <c r="E5116" s="17">
        <v>927.82</v>
      </c>
      <c r="F5116" s="16">
        <v>0.02</v>
      </c>
      <c r="G5116" s="15" t="s">
        <v>32</v>
      </c>
      <c r="H5116" s="18">
        <v>255.03</v>
      </c>
      <c r="I5116" s="19">
        <v>20.239999999999998</v>
      </c>
      <c r="J5116" s="19">
        <v>6.67</v>
      </c>
      <c r="K5116" s="19" t="s">
        <v>97</v>
      </c>
      <c r="L5116" s="19" t="s">
        <v>98</v>
      </c>
      <c r="M5116" s="15" t="s">
        <v>2217</v>
      </c>
      <c r="N5116" s="15" t="s">
        <v>54</v>
      </c>
      <c r="O5116" s="15" t="s">
        <v>55</v>
      </c>
      <c r="P5116" s="20" t="s">
        <v>960</v>
      </c>
      <c r="Q5116" s="15" t="s">
        <v>49</v>
      </c>
      <c r="R5116" s="4"/>
      <c r="S5116" s="4"/>
    </row>
    <row r="5117" spans="1:19" ht="21" customHeight="1" x14ac:dyDescent="0.25">
      <c r="A5117" s="14">
        <f>DATE(2012,12,31)-848</f>
        <v>40426</v>
      </c>
      <c r="B5117" s="15" t="s">
        <v>911</v>
      </c>
      <c r="C5117" s="15" t="s">
        <v>43</v>
      </c>
      <c r="D5117" s="16">
        <v>27</v>
      </c>
      <c r="E5117" s="17">
        <v>123.37</v>
      </c>
      <c r="F5117" s="16">
        <v>0.09</v>
      </c>
      <c r="G5117" s="15" t="s">
        <v>32</v>
      </c>
      <c r="H5117" s="18">
        <v>-6.69</v>
      </c>
      <c r="I5117" s="19">
        <v>4.71</v>
      </c>
      <c r="J5117" s="19">
        <v>0.7</v>
      </c>
      <c r="K5117" s="19" t="s">
        <v>124</v>
      </c>
      <c r="L5117" s="19" t="s">
        <v>493</v>
      </c>
      <c r="M5117" s="15" t="s">
        <v>2206</v>
      </c>
      <c r="N5117" s="15" t="s">
        <v>36</v>
      </c>
      <c r="O5117" s="15" t="s">
        <v>105</v>
      </c>
      <c r="P5117" s="20" t="s">
        <v>454</v>
      </c>
      <c r="Q5117" s="15" t="s">
        <v>79</v>
      </c>
      <c r="R5117" s="4"/>
      <c r="S5117" s="4"/>
    </row>
    <row r="5118" spans="1:19" ht="21" customHeight="1" x14ac:dyDescent="0.25">
      <c r="A5118" s="14">
        <f>DATE(2012,12,31)-1366</f>
        <v>39908</v>
      </c>
      <c r="B5118" s="15" t="s">
        <v>2229</v>
      </c>
      <c r="C5118" s="15" t="s">
        <v>51</v>
      </c>
      <c r="D5118" s="16">
        <v>26</v>
      </c>
      <c r="E5118" s="17">
        <v>564.98</v>
      </c>
      <c r="F5118" s="16">
        <v>0.1</v>
      </c>
      <c r="G5118" s="15" t="s">
        <v>32</v>
      </c>
      <c r="H5118" s="18">
        <v>-107.51349999999999</v>
      </c>
      <c r="I5118" s="19">
        <v>22.38</v>
      </c>
      <c r="J5118" s="19">
        <v>15.1</v>
      </c>
      <c r="K5118" s="19" t="s">
        <v>124</v>
      </c>
      <c r="L5118" s="19" t="s">
        <v>160</v>
      </c>
      <c r="M5118" s="15" t="s">
        <v>2181</v>
      </c>
      <c r="N5118" s="15" t="s">
        <v>36</v>
      </c>
      <c r="O5118" s="15" t="s">
        <v>170</v>
      </c>
      <c r="P5118" s="20" t="s">
        <v>893</v>
      </c>
      <c r="Q5118" s="15" t="s">
        <v>83</v>
      </c>
      <c r="R5118" s="4"/>
      <c r="S5118" s="4"/>
    </row>
    <row r="5119" spans="1:19" ht="21" customHeight="1" x14ac:dyDescent="0.25">
      <c r="A5119" s="14">
        <f>DATE(2012,12,31)-1366</f>
        <v>39908</v>
      </c>
      <c r="B5119" s="15" t="s">
        <v>2229</v>
      </c>
      <c r="C5119" s="15" t="s">
        <v>51</v>
      </c>
      <c r="D5119" s="16">
        <v>18</v>
      </c>
      <c r="E5119" s="17">
        <v>129.47999999999999</v>
      </c>
      <c r="F5119" s="16">
        <v>0.04</v>
      </c>
      <c r="G5119" s="15" t="s">
        <v>32</v>
      </c>
      <c r="H5119" s="18">
        <v>46.01</v>
      </c>
      <c r="I5119" s="19">
        <v>6.98</v>
      </c>
      <c r="J5119" s="19">
        <v>2.83</v>
      </c>
      <c r="K5119" s="19" t="s">
        <v>124</v>
      </c>
      <c r="L5119" s="19" t="s">
        <v>160</v>
      </c>
      <c r="M5119" s="15" t="s">
        <v>2181</v>
      </c>
      <c r="N5119" s="15" t="s">
        <v>54</v>
      </c>
      <c r="O5119" s="15" t="s">
        <v>55</v>
      </c>
      <c r="P5119" s="20" t="s">
        <v>1873</v>
      </c>
      <c r="Q5119" s="15" t="s">
        <v>49</v>
      </c>
      <c r="R5119" s="4"/>
      <c r="S5119" s="4"/>
    </row>
    <row r="5120" spans="1:19" ht="21" customHeight="1" x14ac:dyDescent="0.25">
      <c r="A5120" s="14">
        <f>DATE(2012,12,31)-682</f>
        <v>40592</v>
      </c>
      <c r="B5120" s="15" t="s">
        <v>923</v>
      </c>
      <c r="C5120" s="15" t="s">
        <v>85</v>
      </c>
      <c r="D5120" s="16">
        <v>8</v>
      </c>
      <c r="E5120" s="17">
        <v>69.569999999999993</v>
      </c>
      <c r="F5120" s="16">
        <v>0.05</v>
      </c>
      <c r="G5120" s="15" t="s">
        <v>32</v>
      </c>
      <c r="H5120" s="18">
        <v>-36.06</v>
      </c>
      <c r="I5120" s="19">
        <v>7.98</v>
      </c>
      <c r="J5120" s="19">
        <v>6.5</v>
      </c>
      <c r="K5120" s="19" t="s">
        <v>69</v>
      </c>
      <c r="L5120" s="19" t="s">
        <v>70</v>
      </c>
      <c r="M5120" s="15" t="s">
        <v>2216</v>
      </c>
      <c r="N5120" s="15" t="s">
        <v>36</v>
      </c>
      <c r="O5120" s="15" t="s">
        <v>37</v>
      </c>
      <c r="P5120" s="20" t="s">
        <v>984</v>
      </c>
      <c r="Q5120" s="15" t="s">
        <v>57</v>
      </c>
      <c r="R5120" s="4"/>
      <c r="S5120" s="4"/>
    </row>
    <row r="5121" spans="1:19" ht="21" customHeight="1" x14ac:dyDescent="0.25">
      <c r="A5121" s="14">
        <f>DATE(2012,12,31)-1411</f>
        <v>39863</v>
      </c>
      <c r="B5121" s="15" t="s">
        <v>448</v>
      </c>
      <c r="C5121" s="15" t="s">
        <v>51</v>
      </c>
      <c r="D5121" s="16">
        <v>48</v>
      </c>
      <c r="E5121" s="17">
        <v>1838.19</v>
      </c>
      <c r="F5121" s="16">
        <v>0.03</v>
      </c>
      <c r="G5121" s="15" t="s">
        <v>32</v>
      </c>
      <c r="H5121" s="18">
        <v>561.42999999999995</v>
      </c>
      <c r="I5121" s="19">
        <v>39.479999999999997</v>
      </c>
      <c r="J5121" s="19">
        <v>1.99</v>
      </c>
      <c r="K5121" s="19" t="s">
        <v>44</v>
      </c>
      <c r="L5121" s="19" t="s">
        <v>45</v>
      </c>
      <c r="M5121" s="15" t="s">
        <v>2165</v>
      </c>
      <c r="N5121" s="15" t="s">
        <v>64</v>
      </c>
      <c r="O5121" s="15" t="s">
        <v>72</v>
      </c>
      <c r="P5121" s="20" t="s">
        <v>218</v>
      </c>
      <c r="Q5121" s="15" t="s">
        <v>49</v>
      </c>
      <c r="R5121" s="4"/>
      <c r="S5121" s="4"/>
    </row>
    <row r="5122" spans="1:19" ht="21" customHeight="1" x14ac:dyDescent="0.25">
      <c r="A5122" s="14">
        <f>DATE(2012,12,31)-862</f>
        <v>40412</v>
      </c>
      <c r="B5122" s="15" t="s">
        <v>412</v>
      </c>
      <c r="C5122" s="15" t="s">
        <v>85</v>
      </c>
      <c r="D5122" s="16">
        <v>44</v>
      </c>
      <c r="E5122" s="17">
        <v>1190.8</v>
      </c>
      <c r="F5122" s="16">
        <v>7.0000000000000007E-2</v>
      </c>
      <c r="G5122" s="15" t="s">
        <v>32</v>
      </c>
      <c r="H5122" s="18">
        <v>502.48599999999999</v>
      </c>
      <c r="I5122" s="19">
        <v>28.53</v>
      </c>
      <c r="J5122" s="19">
        <v>1.49</v>
      </c>
      <c r="K5122" s="19" t="s">
        <v>44</v>
      </c>
      <c r="L5122" s="19" t="s">
        <v>52</v>
      </c>
      <c r="M5122" s="15" t="s">
        <v>2183</v>
      </c>
      <c r="N5122" s="15" t="s">
        <v>36</v>
      </c>
      <c r="O5122" s="15" t="s">
        <v>170</v>
      </c>
      <c r="P5122" s="20" t="s">
        <v>1566</v>
      </c>
      <c r="Q5122" s="15" t="s">
        <v>83</v>
      </c>
      <c r="R5122" s="4"/>
      <c r="S5122" s="4"/>
    </row>
    <row r="5123" spans="1:19" ht="21" customHeight="1" x14ac:dyDescent="0.25">
      <c r="A5123" s="14">
        <f>DATE(2012,12,31)-545</f>
        <v>40729</v>
      </c>
      <c r="B5123" s="15" t="s">
        <v>1599</v>
      </c>
      <c r="C5123" s="15" t="s">
        <v>85</v>
      </c>
      <c r="D5123" s="16">
        <v>7</v>
      </c>
      <c r="E5123" s="17">
        <v>55.68</v>
      </c>
      <c r="F5123" s="16">
        <v>0.1</v>
      </c>
      <c r="G5123" s="15" t="s">
        <v>101</v>
      </c>
      <c r="H5123" s="18">
        <v>-7.4</v>
      </c>
      <c r="I5123" s="19">
        <v>5.98</v>
      </c>
      <c r="J5123" s="19">
        <v>5.15</v>
      </c>
      <c r="K5123" s="19" t="s">
        <v>44</v>
      </c>
      <c r="L5123" s="19" t="s">
        <v>52</v>
      </c>
      <c r="M5123" s="15" t="s">
        <v>2183</v>
      </c>
      <c r="N5123" s="15" t="s">
        <v>36</v>
      </c>
      <c r="O5123" s="15" t="s">
        <v>117</v>
      </c>
      <c r="P5123" s="20" t="s">
        <v>155</v>
      </c>
      <c r="Q5123" s="15" t="s">
        <v>83</v>
      </c>
      <c r="R5123" s="4"/>
      <c r="S5123" s="4"/>
    </row>
    <row r="5124" spans="1:19" ht="21" customHeight="1" x14ac:dyDescent="0.25">
      <c r="A5124" s="14">
        <f>DATE(2012,12,31)-545</f>
        <v>40729</v>
      </c>
      <c r="B5124" s="15" t="s">
        <v>1599</v>
      </c>
      <c r="C5124" s="15" t="s">
        <v>85</v>
      </c>
      <c r="D5124" s="16">
        <v>47</v>
      </c>
      <c r="E5124" s="17">
        <v>14588.28</v>
      </c>
      <c r="F5124" s="16">
        <v>0.06</v>
      </c>
      <c r="G5124" s="15" t="s">
        <v>58</v>
      </c>
      <c r="H5124" s="18">
        <v>861.78</v>
      </c>
      <c r="I5124" s="19">
        <v>328.14</v>
      </c>
      <c r="J5124" s="19">
        <v>91.05</v>
      </c>
      <c r="K5124" s="19" t="s">
        <v>33</v>
      </c>
      <c r="L5124" s="19" t="s">
        <v>145</v>
      </c>
      <c r="M5124" s="15" t="s">
        <v>2140</v>
      </c>
      <c r="N5124" s="15" t="s">
        <v>36</v>
      </c>
      <c r="O5124" s="15" t="s">
        <v>176</v>
      </c>
      <c r="P5124" s="20" t="s">
        <v>549</v>
      </c>
      <c r="Q5124" s="15" t="s">
        <v>181</v>
      </c>
      <c r="R5124" s="4"/>
      <c r="S5124" s="4"/>
    </row>
    <row r="5125" spans="1:19" ht="21" customHeight="1" x14ac:dyDescent="0.25">
      <c r="A5125" s="14">
        <f>DATE(2012,12,31)-545</f>
        <v>40729</v>
      </c>
      <c r="B5125" s="15" t="s">
        <v>1599</v>
      </c>
      <c r="C5125" s="15" t="s">
        <v>85</v>
      </c>
      <c r="D5125" s="16">
        <v>27</v>
      </c>
      <c r="E5125" s="17">
        <v>2675.08</v>
      </c>
      <c r="F5125" s="16">
        <v>7.0000000000000007E-2</v>
      </c>
      <c r="G5125" s="15" t="s">
        <v>101</v>
      </c>
      <c r="H5125" s="18">
        <v>489.58</v>
      </c>
      <c r="I5125" s="19">
        <v>105.34</v>
      </c>
      <c r="J5125" s="19">
        <v>24.49</v>
      </c>
      <c r="K5125" s="19" t="s">
        <v>69</v>
      </c>
      <c r="L5125" s="19" t="s">
        <v>70</v>
      </c>
      <c r="M5125" s="15" t="s">
        <v>2216</v>
      </c>
      <c r="N5125" s="15" t="s">
        <v>54</v>
      </c>
      <c r="O5125" s="15" t="s">
        <v>55</v>
      </c>
      <c r="P5125" s="20" t="s">
        <v>1366</v>
      </c>
      <c r="Q5125" s="15" t="s">
        <v>39</v>
      </c>
      <c r="R5125" s="4"/>
      <c r="S5125" s="4"/>
    </row>
    <row r="5126" spans="1:19" ht="21" customHeight="1" x14ac:dyDescent="0.25">
      <c r="A5126" s="14">
        <f>DATE(2012,12,31)-338</f>
        <v>40936</v>
      </c>
      <c r="B5126" s="15" t="s">
        <v>1834</v>
      </c>
      <c r="C5126" s="15" t="s">
        <v>85</v>
      </c>
      <c r="D5126" s="16">
        <v>41</v>
      </c>
      <c r="E5126" s="17">
        <v>2380.5695000000001</v>
      </c>
      <c r="F5126" s="16">
        <v>0.01</v>
      </c>
      <c r="G5126" s="15" t="s">
        <v>101</v>
      </c>
      <c r="H5126" s="18">
        <v>740.47500000000002</v>
      </c>
      <c r="I5126" s="19">
        <v>65.989999999999995</v>
      </c>
      <c r="J5126" s="19">
        <v>3.9</v>
      </c>
      <c r="K5126" s="19" t="s">
        <v>69</v>
      </c>
      <c r="L5126" s="19" t="s">
        <v>70</v>
      </c>
      <c r="M5126" s="15" t="s">
        <v>2216</v>
      </c>
      <c r="N5126" s="15" t="s">
        <v>64</v>
      </c>
      <c r="O5126" s="15" t="s">
        <v>65</v>
      </c>
      <c r="P5126" s="20" t="s">
        <v>1062</v>
      </c>
      <c r="Q5126" s="15" t="s">
        <v>83</v>
      </c>
      <c r="R5126" s="4"/>
      <c r="S5126" s="4"/>
    </row>
    <row r="5127" spans="1:19" ht="21" customHeight="1" x14ac:dyDescent="0.25">
      <c r="A5127" s="14">
        <f>DATE(2012,12,31)-278</f>
        <v>40996</v>
      </c>
      <c r="B5127" s="15" t="s">
        <v>175</v>
      </c>
      <c r="C5127" s="15" t="s">
        <v>43</v>
      </c>
      <c r="D5127" s="16">
        <v>30</v>
      </c>
      <c r="E5127" s="17">
        <v>10413.67</v>
      </c>
      <c r="F5127" s="16">
        <v>0.04</v>
      </c>
      <c r="G5127" s="15" t="s">
        <v>58</v>
      </c>
      <c r="H5127" s="18">
        <v>1099.29</v>
      </c>
      <c r="I5127" s="19">
        <v>355.98</v>
      </c>
      <c r="J5127" s="19">
        <v>58.92</v>
      </c>
      <c r="K5127" s="19" t="s">
        <v>44</v>
      </c>
      <c r="L5127" s="19" t="s">
        <v>89</v>
      </c>
      <c r="M5127" s="15" t="s">
        <v>1932</v>
      </c>
      <c r="N5127" s="15" t="s">
        <v>54</v>
      </c>
      <c r="O5127" s="15" t="s">
        <v>252</v>
      </c>
      <c r="P5127" s="20" t="s">
        <v>1466</v>
      </c>
      <c r="Q5127" s="15" t="s">
        <v>181</v>
      </c>
      <c r="R5127" s="4"/>
      <c r="S5127" s="4"/>
    </row>
    <row r="5128" spans="1:19" ht="21" customHeight="1" x14ac:dyDescent="0.25">
      <c r="A5128" s="14">
        <f>DATE(2012,12,31)-278</f>
        <v>40996</v>
      </c>
      <c r="B5128" s="15" t="s">
        <v>175</v>
      </c>
      <c r="C5128" s="15" t="s">
        <v>43</v>
      </c>
      <c r="D5128" s="16">
        <v>3</v>
      </c>
      <c r="E5128" s="17">
        <v>71.489999999999995</v>
      </c>
      <c r="F5128" s="16">
        <v>0.06</v>
      </c>
      <c r="G5128" s="15" t="s">
        <v>32</v>
      </c>
      <c r="H5128" s="18">
        <v>41.98</v>
      </c>
      <c r="I5128" s="19">
        <v>19.989999999999998</v>
      </c>
      <c r="J5128" s="19">
        <v>11.17</v>
      </c>
      <c r="K5128" s="19" t="s">
        <v>33</v>
      </c>
      <c r="L5128" s="19" t="s">
        <v>93</v>
      </c>
      <c r="M5128" s="15" t="s">
        <v>94</v>
      </c>
      <c r="N5128" s="15" t="s">
        <v>54</v>
      </c>
      <c r="O5128" s="15" t="s">
        <v>55</v>
      </c>
      <c r="P5128" s="20" t="s">
        <v>1902</v>
      </c>
      <c r="Q5128" s="15" t="s">
        <v>39</v>
      </c>
      <c r="R5128" s="4"/>
      <c r="S5128" s="4"/>
    </row>
    <row r="5129" spans="1:19" ht="21" customHeight="1" x14ac:dyDescent="0.25">
      <c r="A5129" s="14">
        <f>DATE(2012,12,31)-525</f>
        <v>40749</v>
      </c>
      <c r="B5129" s="15" t="s">
        <v>824</v>
      </c>
      <c r="C5129" s="15" t="s">
        <v>85</v>
      </c>
      <c r="D5129" s="16">
        <v>9</v>
      </c>
      <c r="E5129" s="17">
        <v>883.37</v>
      </c>
      <c r="F5129" s="16">
        <v>0.1</v>
      </c>
      <c r="G5129" s="15" t="s">
        <v>32</v>
      </c>
      <c r="H5129" s="18">
        <v>51.3</v>
      </c>
      <c r="I5129" s="19">
        <v>100.98</v>
      </c>
      <c r="J5129" s="19">
        <v>7.18</v>
      </c>
      <c r="K5129" s="19" t="s">
        <v>124</v>
      </c>
      <c r="L5129" s="19" t="s">
        <v>493</v>
      </c>
      <c r="M5129" s="15" t="s">
        <v>2206</v>
      </c>
      <c r="N5129" s="15" t="s">
        <v>64</v>
      </c>
      <c r="O5129" s="15" t="s">
        <v>72</v>
      </c>
      <c r="P5129" s="20" t="s">
        <v>1686</v>
      </c>
      <c r="Q5129" s="15" t="s">
        <v>83</v>
      </c>
      <c r="R5129" s="4"/>
      <c r="S5129" s="4"/>
    </row>
    <row r="5130" spans="1:19" ht="21" customHeight="1" x14ac:dyDescent="0.25">
      <c r="A5130" s="14">
        <f>DATE(2012,12,31)-1036</f>
        <v>40238</v>
      </c>
      <c r="B5130" s="15" t="s">
        <v>1713</v>
      </c>
      <c r="C5130" s="15" t="s">
        <v>43</v>
      </c>
      <c r="D5130" s="16">
        <v>18</v>
      </c>
      <c r="E5130" s="17">
        <v>877.64</v>
      </c>
      <c r="F5130" s="16">
        <v>0.03</v>
      </c>
      <c r="G5130" s="15" t="s">
        <v>32</v>
      </c>
      <c r="H5130" s="18">
        <v>218.97</v>
      </c>
      <c r="I5130" s="19">
        <v>48.58</v>
      </c>
      <c r="J5130" s="19">
        <v>3.99</v>
      </c>
      <c r="K5130" s="19" t="s">
        <v>33</v>
      </c>
      <c r="L5130" s="19" t="s">
        <v>59</v>
      </c>
      <c r="M5130" s="15" t="s">
        <v>2227</v>
      </c>
      <c r="N5130" s="15" t="s">
        <v>36</v>
      </c>
      <c r="O5130" s="15" t="s">
        <v>176</v>
      </c>
      <c r="P5130" s="20" t="s">
        <v>483</v>
      </c>
      <c r="Q5130" s="15" t="s">
        <v>83</v>
      </c>
      <c r="R5130" s="4"/>
      <c r="S5130" s="4"/>
    </row>
    <row r="5131" spans="1:19" ht="21" customHeight="1" x14ac:dyDescent="0.25">
      <c r="A5131" s="14">
        <f>DATE(2012,12,31)-1036</f>
        <v>40238</v>
      </c>
      <c r="B5131" s="15" t="s">
        <v>1713</v>
      </c>
      <c r="C5131" s="15" t="s">
        <v>43</v>
      </c>
      <c r="D5131" s="16">
        <v>9</v>
      </c>
      <c r="E5131" s="17">
        <v>190.1</v>
      </c>
      <c r="F5131" s="16">
        <v>0.06</v>
      </c>
      <c r="G5131" s="15" t="s">
        <v>32</v>
      </c>
      <c r="H5131" s="18">
        <v>-63.78</v>
      </c>
      <c r="I5131" s="19">
        <v>20.95</v>
      </c>
      <c r="J5131" s="19">
        <v>4</v>
      </c>
      <c r="K5131" s="19" t="s">
        <v>33</v>
      </c>
      <c r="L5131" s="19" t="s">
        <v>34</v>
      </c>
      <c r="M5131" s="15" t="s">
        <v>2043</v>
      </c>
      <c r="N5131" s="15" t="s">
        <v>64</v>
      </c>
      <c r="O5131" s="15" t="s">
        <v>72</v>
      </c>
      <c r="P5131" s="20" t="s">
        <v>1259</v>
      </c>
      <c r="Q5131" s="15" t="s">
        <v>83</v>
      </c>
      <c r="R5131" s="4"/>
      <c r="S5131" s="4"/>
    </row>
    <row r="5132" spans="1:19" ht="21" customHeight="1" x14ac:dyDescent="0.25">
      <c r="A5132" s="14">
        <f>DATE(2012,12,31)-793</f>
        <v>40481</v>
      </c>
      <c r="B5132" s="15" t="s">
        <v>994</v>
      </c>
      <c r="C5132" s="15" t="s">
        <v>31</v>
      </c>
      <c r="D5132" s="16">
        <v>8</v>
      </c>
      <c r="E5132" s="17">
        <v>44.99</v>
      </c>
      <c r="F5132" s="16">
        <v>0.06</v>
      </c>
      <c r="G5132" s="15" t="s">
        <v>32</v>
      </c>
      <c r="H5132" s="18">
        <v>-40.43</v>
      </c>
      <c r="I5132" s="19">
        <v>4.9800000000000004</v>
      </c>
      <c r="J5132" s="19">
        <v>7.54</v>
      </c>
      <c r="K5132" s="19" t="s">
        <v>33</v>
      </c>
      <c r="L5132" s="19" t="s">
        <v>145</v>
      </c>
      <c r="M5132" s="15" t="s">
        <v>2140</v>
      </c>
      <c r="N5132" s="15" t="s">
        <v>36</v>
      </c>
      <c r="O5132" s="15" t="s">
        <v>117</v>
      </c>
      <c r="P5132" s="20" t="s">
        <v>2107</v>
      </c>
      <c r="Q5132" s="15" t="s">
        <v>83</v>
      </c>
      <c r="R5132" s="4"/>
      <c r="S5132" s="4"/>
    </row>
    <row r="5133" spans="1:19" ht="21" customHeight="1" x14ac:dyDescent="0.25">
      <c r="A5133" s="14">
        <f>DATE(2012,12,31)-460</f>
        <v>40814</v>
      </c>
      <c r="B5133" s="15" t="s">
        <v>1144</v>
      </c>
      <c r="C5133" s="15" t="s">
        <v>31</v>
      </c>
      <c r="D5133" s="16">
        <v>40</v>
      </c>
      <c r="E5133" s="17">
        <v>825.8</v>
      </c>
      <c r="F5133" s="16">
        <v>0.1</v>
      </c>
      <c r="G5133" s="15" t="s">
        <v>32</v>
      </c>
      <c r="H5133" s="18">
        <v>183.48</v>
      </c>
      <c r="I5133" s="19">
        <v>21.98</v>
      </c>
      <c r="J5133" s="19">
        <v>2.87</v>
      </c>
      <c r="K5133" s="19" t="s">
        <v>33</v>
      </c>
      <c r="L5133" s="19" t="s">
        <v>34</v>
      </c>
      <c r="M5133" s="15" t="s">
        <v>2043</v>
      </c>
      <c r="N5133" s="15" t="s">
        <v>36</v>
      </c>
      <c r="O5133" s="15" t="s">
        <v>77</v>
      </c>
      <c r="P5133" s="20" t="s">
        <v>715</v>
      </c>
      <c r="Q5133" s="15" t="s">
        <v>49</v>
      </c>
      <c r="R5133" s="4"/>
      <c r="S5133" s="4"/>
    </row>
    <row r="5134" spans="1:19" ht="21" customHeight="1" x14ac:dyDescent="0.25">
      <c r="A5134" s="14">
        <f>DATE(2012,12,31)-460</f>
        <v>40814</v>
      </c>
      <c r="B5134" s="15" t="s">
        <v>1144</v>
      </c>
      <c r="C5134" s="15" t="s">
        <v>31</v>
      </c>
      <c r="D5134" s="16">
        <v>49</v>
      </c>
      <c r="E5134" s="17">
        <v>4273.95</v>
      </c>
      <c r="F5134" s="16">
        <v>0.05</v>
      </c>
      <c r="G5134" s="15" t="s">
        <v>32</v>
      </c>
      <c r="H5134" s="18">
        <v>1340.07</v>
      </c>
      <c r="I5134" s="19">
        <v>90.48</v>
      </c>
      <c r="J5134" s="19">
        <v>19.989999999999998</v>
      </c>
      <c r="K5134" s="19" t="s">
        <v>33</v>
      </c>
      <c r="L5134" s="19" t="s">
        <v>34</v>
      </c>
      <c r="M5134" s="15" t="s">
        <v>2043</v>
      </c>
      <c r="N5134" s="15" t="s">
        <v>36</v>
      </c>
      <c r="O5134" s="15" t="s">
        <v>189</v>
      </c>
      <c r="P5134" s="20" t="s">
        <v>963</v>
      </c>
      <c r="Q5134" s="15" t="s">
        <v>83</v>
      </c>
      <c r="R5134" s="4"/>
      <c r="S5134" s="4"/>
    </row>
    <row r="5135" spans="1:19" ht="21" customHeight="1" x14ac:dyDescent="0.25">
      <c r="A5135" s="14">
        <f>DATE(2012,12,31)-1327</f>
        <v>39947</v>
      </c>
      <c r="B5135" s="15" t="s">
        <v>149</v>
      </c>
      <c r="C5135" s="15" t="s">
        <v>43</v>
      </c>
      <c r="D5135" s="16">
        <v>8</v>
      </c>
      <c r="E5135" s="17">
        <v>45.73</v>
      </c>
      <c r="F5135" s="16">
        <v>0</v>
      </c>
      <c r="G5135" s="15" t="s">
        <v>32</v>
      </c>
      <c r="H5135" s="18">
        <v>-23.29</v>
      </c>
      <c r="I5135" s="19">
        <v>4.9800000000000004</v>
      </c>
      <c r="J5135" s="19">
        <v>5.49</v>
      </c>
      <c r="K5135" s="19" t="s">
        <v>33</v>
      </c>
      <c r="L5135" s="19" t="s">
        <v>34</v>
      </c>
      <c r="M5135" s="15" t="s">
        <v>2043</v>
      </c>
      <c r="N5135" s="15" t="s">
        <v>36</v>
      </c>
      <c r="O5135" s="15" t="s">
        <v>117</v>
      </c>
      <c r="P5135" s="20" t="s">
        <v>569</v>
      </c>
      <c r="Q5135" s="15" t="s">
        <v>83</v>
      </c>
      <c r="R5135" s="4"/>
      <c r="S5135" s="4"/>
    </row>
    <row r="5136" spans="1:19" ht="21" customHeight="1" x14ac:dyDescent="0.25">
      <c r="A5136" s="14">
        <f>DATE(2012,12,31)-409</f>
        <v>40865</v>
      </c>
      <c r="B5136" s="15" t="s">
        <v>1939</v>
      </c>
      <c r="C5136" s="15" t="s">
        <v>43</v>
      </c>
      <c r="D5136" s="16">
        <v>18</v>
      </c>
      <c r="E5136" s="17">
        <v>416.39</v>
      </c>
      <c r="F5136" s="16">
        <v>0.06</v>
      </c>
      <c r="G5136" s="15" t="s">
        <v>101</v>
      </c>
      <c r="H5136" s="18">
        <v>119.47</v>
      </c>
      <c r="I5136" s="19">
        <v>22.24</v>
      </c>
      <c r="J5136" s="19">
        <v>1.99</v>
      </c>
      <c r="K5136" s="19" t="s">
        <v>33</v>
      </c>
      <c r="L5136" s="19" t="s">
        <v>59</v>
      </c>
      <c r="M5136" s="15" t="s">
        <v>2227</v>
      </c>
      <c r="N5136" s="15" t="s">
        <v>64</v>
      </c>
      <c r="O5136" s="15" t="s">
        <v>72</v>
      </c>
      <c r="P5136" s="20" t="s">
        <v>1401</v>
      </c>
      <c r="Q5136" s="15" t="s">
        <v>49</v>
      </c>
      <c r="R5136" s="4"/>
      <c r="S5136" s="4"/>
    </row>
    <row r="5137" spans="1:19" ht="21" customHeight="1" x14ac:dyDescent="0.25">
      <c r="A5137" s="14">
        <f>DATE(2012,12,31)-1407</f>
        <v>39867</v>
      </c>
      <c r="B5137" s="15" t="s">
        <v>1820</v>
      </c>
      <c r="C5137" s="15" t="s">
        <v>85</v>
      </c>
      <c r="D5137" s="16">
        <v>17</v>
      </c>
      <c r="E5137" s="17">
        <v>240.87</v>
      </c>
      <c r="F5137" s="16">
        <v>0.01</v>
      </c>
      <c r="G5137" s="15" t="s">
        <v>32</v>
      </c>
      <c r="H5137" s="18">
        <v>-36.770000000000003</v>
      </c>
      <c r="I5137" s="19">
        <v>13.79</v>
      </c>
      <c r="J5137" s="19">
        <v>8.7799999999999994</v>
      </c>
      <c r="K5137" s="19" t="s">
        <v>33</v>
      </c>
      <c r="L5137" s="19" t="s">
        <v>59</v>
      </c>
      <c r="M5137" s="15" t="s">
        <v>2227</v>
      </c>
      <c r="N5137" s="15" t="s">
        <v>54</v>
      </c>
      <c r="O5137" s="15" t="s">
        <v>55</v>
      </c>
      <c r="P5137" s="20" t="s">
        <v>1463</v>
      </c>
      <c r="Q5137" s="15" t="s">
        <v>83</v>
      </c>
      <c r="R5137" s="4"/>
      <c r="S5137" s="4"/>
    </row>
    <row r="5138" spans="1:19" ht="21" customHeight="1" x14ac:dyDescent="0.25">
      <c r="A5138" s="14">
        <f>DATE(2012,12,31)-1407</f>
        <v>39867</v>
      </c>
      <c r="B5138" s="15" t="s">
        <v>1820</v>
      </c>
      <c r="C5138" s="15" t="s">
        <v>85</v>
      </c>
      <c r="D5138" s="16">
        <v>30</v>
      </c>
      <c r="E5138" s="17">
        <v>1025.02</v>
      </c>
      <c r="F5138" s="16">
        <v>0.04</v>
      </c>
      <c r="G5138" s="15" t="s">
        <v>32</v>
      </c>
      <c r="H5138" s="18">
        <v>87.03</v>
      </c>
      <c r="I5138" s="19">
        <v>33.29</v>
      </c>
      <c r="J5138" s="19">
        <v>8.74</v>
      </c>
      <c r="K5138" s="19" t="s">
        <v>33</v>
      </c>
      <c r="L5138" s="19" t="s">
        <v>59</v>
      </c>
      <c r="M5138" s="15" t="s">
        <v>2227</v>
      </c>
      <c r="N5138" s="15" t="s">
        <v>36</v>
      </c>
      <c r="O5138" s="15" t="s">
        <v>37</v>
      </c>
      <c r="P5138" s="20" t="s">
        <v>1885</v>
      </c>
      <c r="Q5138" s="15" t="s">
        <v>83</v>
      </c>
      <c r="R5138" s="4"/>
      <c r="S5138" s="4"/>
    </row>
    <row r="5139" spans="1:19" ht="21" customHeight="1" x14ac:dyDescent="0.25">
      <c r="A5139" s="14">
        <f>DATE(2012,12,31)-232</f>
        <v>41042</v>
      </c>
      <c r="B5139" s="15" t="s">
        <v>895</v>
      </c>
      <c r="C5139" s="15" t="s">
        <v>51</v>
      </c>
      <c r="D5139" s="16">
        <v>24</v>
      </c>
      <c r="E5139" s="17">
        <v>2298.3200000000002</v>
      </c>
      <c r="F5139" s="16">
        <v>0.06</v>
      </c>
      <c r="G5139" s="15" t="s">
        <v>32</v>
      </c>
      <c r="H5139" s="18">
        <v>218.72</v>
      </c>
      <c r="I5139" s="19">
        <v>99.99</v>
      </c>
      <c r="J5139" s="19">
        <v>19.989999999999998</v>
      </c>
      <c r="K5139" s="19" t="s">
        <v>33</v>
      </c>
      <c r="L5139" s="19" t="s">
        <v>145</v>
      </c>
      <c r="M5139" s="15" t="s">
        <v>2140</v>
      </c>
      <c r="N5139" s="15" t="s">
        <v>64</v>
      </c>
      <c r="O5139" s="15" t="s">
        <v>72</v>
      </c>
      <c r="P5139" s="20" t="s">
        <v>1800</v>
      </c>
      <c r="Q5139" s="15" t="s">
        <v>83</v>
      </c>
      <c r="R5139" s="4"/>
      <c r="S5139" s="4"/>
    </row>
    <row r="5140" spans="1:19" ht="21" customHeight="1" x14ac:dyDescent="0.25">
      <c r="A5140" s="14">
        <f>DATE(2012,12,31)-937</f>
        <v>40337</v>
      </c>
      <c r="B5140" s="15" t="s">
        <v>30</v>
      </c>
      <c r="C5140" s="15" t="s">
        <v>85</v>
      </c>
      <c r="D5140" s="16">
        <v>24</v>
      </c>
      <c r="E5140" s="17">
        <v>1168.1500000000001</v>
      </c>
      <c r="F5140" s="16">
        <v>0.04</v>
      </c>
      <c r="G5140" s="15" t="s">
        <v>101</v>
      </c>
      <c r="H5140" s="18">
        <v>-743.96</v>
      </c>
      <c r="I5140" s="19">
        <v>48.91</v>
      </c>
      <c r="J5140" s="19">
        <v>35</v>
      </c>
      <c r="K5140" s="19" t="s">
        <v>33</v>
      </c>
      <c r="L5140" s="19" t="s">
        <v>59</v>
      </c>
      <c r="M5140" s="15" t="s">
        <v>2227</v>
      </c>
      <c r="N5140" s="15" t="s">
        <v>36</v>
      </c>
      <c r="O5140" s="15" t="s">
        <v>37</v>
      </c>
      <c r="P5140" s="20" t="s">
        <v>1184</v>
      </c>
      <c r="Q5140" s="15" t="s">
        <v>39</v>
      </c>
      <c r="R5140" s="4"/>
      <c r="S5140" s="4"/>
    </row>
    <row r="5141" spans="1:19" ht="21" customHeight="1" x14ac:dyDescent="0.25">
      <c r="A5141" s="14">
        <f>DATE(2012,12,31)-1280</f>
        <v>39994</v>
      </c>
      <c r="B5141" s="15" t="s">
        <v>746</v>
      </c>
      <c r="C5141" s="15" t="s">
        <v>51</v>
      </c>
      <c r="D5141" s="16">
        <v>21</v>
      </c>
      <c r="E5141" s="17">
        <v>179.98</v>
      </c>
      <c r="F5141" s="16">
        <v>0.01</v>
      </c>
      <c r="G5141" s="15" t="s">
        <v>32</v>
      </c>
      <c r="H5141" s="18">
        <v>38.700000000000003</v>
      </c>
      <c r="I5141" s="19">
        <v>7.89</v>
      </c>
      <c r="J5141" s="19">
        <v>2.82</v>
      </c>
      <c r="K5141" s="19" t="s">
        <v>33</v>
      </c>
      <c r="L5141" s="19" t="s">
        <v>145</v>
      </c>
      <c r="M5141" s="15" t="s">
        <v>2140</v>
      </c>
      <c r="N5141" s="15" t="s">
        <v>36</v>
      </c>
      <c r="O5141" s="15" t="s">
        <v>105</v>
      </c>
      <c r="P5141" s="20" t="s">
        <v>2022</v>
      </c>
      <c r="Q5141" s="15" t="s">
        <v>79</v>
      </c>
      <c r="R5141" s="4"/>
      <c r="S5141" s="4"/>
    </row>
    <row r="5142" spans="1:19" ht="21" customHeight="1" x14ac:dyDescent="0.25">
      <c r="A5142" s="14">
        <f>DATE(2012,12,31)-1280</f>
        <v>39994</v>
      </c>
      <c r="B5142" s="15" t="s">
        <v>746</v>
      </c>
      <c r="C5142" s="15" t="s">
        <v>51</v>
      </c>
      <c r="D5142" s="16">
        <v>16</v>
      </c>
      <c r="E5142" s="17">
        <v>55.44</v>
      </c>
      <c r="F5142" s="16">
        <v>0.09</v>
      </c>
      <c r="G5142" s="15" t="s">
        <v>32</v>
      </c>
      <c r="H5142" s="18">
        <v>-21.91</v>
      </c>
      <c r="I5142" s="19">
        <v>3.68</v>
      </c>
      <c r="J5142" s="19">
        <v>1.32</v>
      </c>
      <c r="K5142" s="19" t="s">
        <v>33</v>
      </c>
      <c r="L5142" s="19" t="s">
        <v>145</v>
      </c>
      <c r="M5142" s="15" t="s">
        <v>2140</v>
      </c>
      <c r="N5142" s="15" t="s">
        <v>36</v>
      </c>
      <c r="O5142" s="15" t="s">
        <v>47</v>
      </c>
      <c r="P5142" s="20" t="s">
        <v>1013</v>
      </c>
      <c r="Q5142" s="15" t="s">
        <v>79</v>
      </c>
      <c r="R5142" s="4"/>
      <c r="S5142" s="4"/>
    </row>
    <row r="5143" spans="1:19" ht="21" customHeight="1" x14ac:dyDescent="0.25">
      <c r="A5143" s="14">
        <f>DATE(2012,12,31)-1280</f>
        <v>39994</v>
      </c>
      <c r="B5143" s="15" t="s">
        <v>746</v>
      </c>
      <c r="C5143" s="15" t="s">
        <v>51</v>
      </c>
      <c r="D5143" s="16">
        <v>18</v>
      </c>
      <c r="E5143" s="17">
        <v>174.62</v>
      </c>
      <c r="F5143" s="16">
        <v>0.1</v>
      </c>
      <c r="G5143" s="15" t="s">
        <v>32</v>
      </c>
      <c r="H5143" s="18">
        <v>-119.77</v>
      </c>
      <c r="I5143" s="19">
        <v>9.7100000000000009</v>
      </c>
      <c r="J5143" s="19">
        <v>9.4499999999999993</v>
      </c>
      <c r="K5143" s="19" t="s">
        <v>33</v>
      </c>
      <c r="L5143" s="19" t="s">
        <v>59</v>
      </c>
      <c r="M5143" s="15" t="s">
        <v>2227</v>
      </c>
      <c r="N5143" s="15" t="s">
        <v>36</v>
      </c>
      <c r="O5143" s="15" t="s">
        <v>37</v>
      </c>
      <c r="P5143" s="20" t="s">
        <v>130</v>
      </c>
      <c r="Q5143" s="15" t="s">
        <v>83</v>
      </c>
      <c r="R5143" s="4"/>
      <c r="S5143" s="4"/>
    </row>
    <row r="5144" spans="1:19" ht="21" customHeight="1" x14ac:dyDescent="0.25">
      <c r="A5144" s="14">
        <f>DATE(2012,12,31)-840</f>
        <v>40434</v>
      </c>
      <c r="B5144" s="15" t="s">
        <v>768</v>
      </c>
      <c r="C5144" s="15" t="s">
        <v>31</v>
      </c>
      <c r="D5144" s="16">
        <v>20</v>
      </c>
      <c r="E5144" s="17">
        <v>984.63150000000007</v>
      </c>
      <c r="F5144" s="16">
        <v>0</v>
      </c>
      <c r="G5144" s="15" t="s">
        <v>32</v>
      </c>
      <c r="H5144" s="18">
        <v>-129.13999999999999</v>
      </c>
      <c r="I5144" s="19">
        <v>55.99</v>
      </c>
      <c r="J5144" s="19">
        <v>5</v>
      </c>
      <c r="K5144" s="19" t="s">
        <v>33</v>
      </c>
      <c r="L5144" s="19" t="s">
        <v>34</v>
      </c>
      <c r="M5144" s="15" t="s">
        <v>2043</v>
      </c>
      <c r="N5144" s="15" t="s">
        <v>64</v>
      </c>
      <c r="O5144" s="15" t="s">
        <v>65</v>
      </c>
      <c r="P5144" s="20" t="s">
        <v>975</v>
      </c>
      <c r="Q5144" s="15" t="s">
        <v>49</v>
      </c>
      <c r="R5144" s="4"/>
      <c r="S5144" s="4"/>
    </row>
    <row r="5145" spans="1:19" ht="21" customHeight="1" x14ac:dyDescent="0.25">
      <c r="A5145" s="14">
        <f>DATE(2012,12,31)-547</f>
        <v>40727</v>
      </c>
      <c r="B5145" s="15" t="s">
        <v>908</v>
      </c>
      <c r="C5145" s="15" t="s">
        <v>51</v>
      </c>
      <c r="D5145" s="16">
        <v>39</v>
      </c>
      <c r="E5145" s="17">
        <v>113.09</v>
      </c>
      <c r="F5145" s="16">
        <v>0.04</v>
      </c>
      <c r="G5145" s="15" t="s">
        <v>32</v>
      </c>
      <c r="H5145" s="18">
        <v>29.76</v>
      </c>
      <c r="I5145" s="19">
        <v>2.94</v>
      </c>
      <c r="J5145" s="19">
        <v>0.81</v>
      </c>
      <c r="K5145" s="19" t="s">
        <v>33</v>
      </c>
      <c r="L5145" s="19" t="s">
        <v>145</v>
      </c>
      <c r="M5145" s="15" t="s">
        <v>2140</v>
      </c>
      <c r="N5145" s="15" t="s">
        <v>36</v>
      </c>
      <c r="O5145" s="15" t="s">
        <v>77</v>
      </c>
      <c r="P5145" s="20" t="s">
        <v>1584</v>
      </c>
      <c r="Q5145" s="15" t="s">
        <v>79</v>
      </c>
      <c r="R5145" s="4"/>
      <c r="S5145" s="4"/>
    </row>
    <row r="5146" spans="1:19" ht="21" customHeight="1" x14ac:dyDescent="0.25">
      <c r="A5146" s="14">
        <f>DATE(2012,12,31)-494</f>
        <v>40780</v>
      </c>
      <c r="B5146" s="15" t="s">
        <v>429</v>
      </c>
      <c r="C5146" s="15" t="s">
        <v>43</v>
      </c>
      <c r="D5146" s="16">
        <v>32</v>
      </c>
      <c r="E5146" s="17">
        <v>3046.01</v>
      </c>
      <c r="F5146" s="16">
        <v>0.08</v>
      </c>
      <c r="G5146" s="15" t="s">
        <v>58</v>
      </c>
      <c r="H5146" s="18">
        <v>998.65</v>
      </c>
      <c r="I5146" s="19">
        <v>100.97</v>
      </c>
      <c r="J5146" s="19">
        <v>14</v>
      </c>
      <c r="K5146" s="19" t="s">
        <v>69</v>
      </c>
      <c r="L5146" s="19" t="s">
        <v>75</v>
      </c>
      <c r="M5146" s="15" t="s">
        <v>2202</v>
      </c>
      <c r="N5146" s="15" t="s">
        <v>64</v>
      </c>
      <c r="O5146" s="15" t="s">
        <v>122</v>
      </c>
      <c r="P5146" s="20" t="s">
        <v>1615</v>
      </c>
      <c r="Q5146" s="15" t="s">
        <v>181</v>
      </c>
      <c r="R5146" s="4"/>
      <c r="S5146" s="4"/>
    </row>
    <row r="5147" spans="1:19" ht="21" customHeight="1" x14ac:dyDescent="0.25">
      <c r="A5147" s="14">
        <f>DATE(2012,12,31)-494</f>
        <v>40780</v>
      </c>
      <c r="B5147" s="15" t="s">
        <v>429</v>
      </c>
      <c r="C5147" s="15" t="s">
        <v>43</v>
      </c>
      <c r="D5147" s="16">
        <v>15</v>
      </c>
      <c r="E5147" s="17">
        <v>353.52</v>
      </c>
      <c r="F5147" s="16">
        <v>0.04</v>
      </c>
      <c r="G5147" s="15" t="s">
        <v>32</v>
      </c>
      <c r="H5147" s="18">
        <v>51.53</v>
      </c>
      <c r="I5147" s="19">
        <v>22.84</v>
      </c>
      <c r="J5147" s="19">
        <v>8.18</v>
      </c>
      <c r="K5147" s="19" t="s">
        <v>69</v>
      </c>
      <c r="L5147" s="19" t="s">
        <v>70</v>
      </c>
      <c r="M5147" s="15" t="s">
        <v>2216</v>
      </c>
      <c r="N5147" s="15" t="s">
        <v>36</v>
      </c>
      <c r="O5147" s="15" t="s">
        <v>117</v>
      </c>
      <c r="P5147" s="20" t="s">
        <v>1489</v>
      </c>
      <c r="Q5147" s="15" t="s">
        <v>83</v>
      </c>
      <c r="R5147" s="4"/>
      <c r="S5147" s="4"/>
    </row>
    <row r="5148" spans="1:19" ht="21" customHeight="1" x14ac:dyDescent="0.25">
      <c r="A5148" s="14">
        <f>DATE(2012,12,31)-1104</f>
        <v>40170</v>
      </c>
      <c r="B5148" s="15" t="s">
        <v>903</v>
      </c>
      <c r="C5148" s="15" t="s">
        <v>31</v>
      </c>
      <c r="D5148" s="16">
        <v>38</v>
      </c>
      <c r="E5148" s="17">
        <v>23255.61</v>
      </c>
      <c r="F5148" s="16">
        <v>0</v>
      </c>
      <c r="G5148" s="15" t="s">
        <v>32</v>
      </c>
      <c r="H5148" s="18">
        <v>-734.33</v>
      </c>
      <c r="I5148" s="19">
        <v>599.99</v>
      </c>
      <c r="J5148" s="19">
        <v>24.49</v>
      </c>
      <c r="K5148" s="19" t="s">
        <v>69</v>
      </c>
      <c r="L5148" s="19" t="s">
        <v>75</v>
      </c>
      <c r="M5148" s="15" t="s">
        <v>2202</v>
      </c>
      <c r="N5148" s="15" t="s">
        <v>64</v>
      </c>
      <c r="O5148" s="15" t="s">
        <v>460</v>
      </c>
      <c r="P5148" s="20" t="s">
        <v>1779</v>
      </c>
      <c r="Q5148" s="15" t="s">
        <v>39</v>
      </c>
      <c r="R5148" s="4"/>
      <c r="S5148" s="4"/>
    </row>
    <row r="5149" spans="1:19" ht="21" customHeight="1" x14ac:dyDescent="0.25">
      <c r="A5149" s="14">
        <f>DATE(2012,12,31)-489</f>
        <v>40785</v>
      </c>
      <c r="B5149" s="15" t="s">
        <v>1170</v>
      </c>
      <c r="C5149" s="15" t="s">
        <v>85</v>
      </c>
      <c r="D5149" s="16">
        <v>28</v>
      </c>
      <c r="E5149" s="17">
        <v>1491.8264999999999</v>
      </c>
      <c r="F5149" s="16">
        <v>0.1</v>
      </c>
      <c r="G5149" s="15" t="s">
        <v>32</v>
      </c>
      <c r="H5149" s="18">
        <v>124.83</v>
      </c>
      <c r="I5149" s="19">
        <v>65.989999999999995</v>
      </c>
      <c r="J5149" s="19">
        <v>8.99</v>
      </c>
      <c r="K5149" s="19" t="s">
        <v>69</v>
      </c>
      <c r="L5149" s="19" t="s">
        <v>70</v>
      </c>
      <c r="M5149" s="15" t="s">
        <v>2216</v>
      </c>
      <c r="N5149" s="15" t="s">
        <v>64</v>
      </c>
      <c r="O5149" s="15" t="s">
        <v>65</v>
      </c>
      <c r="P5149" s="20" t="s">
        <v>312</v>
      </c>
      <c r="Q5149" s="15" t="s">
        <v>83</v>
      </c>
      <c r="R5149" s="4"/>
      <c r="S5149" s="4"/>
    </row>
    <row r="5150" spans="1:19" ht="21" customHeight="1" x14ac:dyDescent="0.25">
      <c r="A5150" s="14">
        <f>DATE(2012,12,31)-564</f>
        <v>40710</v>
      </c>
      <c r="B5150" s="15" t="s">
        <v>768</v>
      </c>
      <c r="C5150" s="15" t="s">
        <v>51</v>
      </c>
      <c r="D5150" s="16">
        <v>43</v>
      </c>
      <c r="E5150" s="17">
        <v>134.33000000000001</v>
      </c>
      <c r="F5150" s="16">
        <v>7.0000000000000007E-2</v>
      </c>
      <c r="G5150" s="15" t="s">
        <v>101</v>
      </c>
      <c r="H5150" s="18">
        <v>25.02</v>
      </c>
      <c r="I5150" s="19">
        <v>3.14</v>
      </c>
      <c r="J5150" s="19">
        <v>1.1399999999999999</v>
      </c>
      <c r="K5150" s="19" t="s">
        <v>69</v>
      </c>
      <c r="L5150" s="19" t="s">
        <v>70</v>
      </c>
      <c r="M5150" s="15" t="s">
        <v>2216</v>
      </c>
      <c r="N5150" s="15" t="s">
        <v>36</v>
      </c>
      <c r="O5150" s="15" t="s">
        <v>117</v>
      </c>
      <c r="P5150" s="20" t="s">
        <v>2046</v>
      </c>
      <c r="Q5150" s="15" t="s">
        <v>79</v>
      </c>
      <c r="R5150" s="4"/>
      <c r="S5150" s="4"/>
    </row>
    <row r="5151" spans="1:19" ht="21" customHeight="1" x14ac:dyDescent="0.25">
      <c r="A5151" s="14">
        <f>DATE(2012,12,31)-564</f>
        <v>40710</v>
      </c>
      <c r="B5151" s="15" t="s">
        <v>768</v>
      </c>
      <c r="C5151" s="15" t="s">
        <v>51</v>
      </c>
      <c r="D5151" s="16">
        <v>19</v>
      </c>
      <c r="E5151" s="17">
        <v>70.319999999999993</v>
      </c>
      <c r="F5151" s="16">
        <v>0.08</v>
      </c>
      <c r="G5151" s="15" t="s">
        <v>32</v>
      </c>
      <c r="H5151" s="18">
        <v>-56.07</v>
      </c>
      <c r="I5151" s="19">
        <v>3.57</v>
      </c>
      <c r="J5151" s="19">
        <v>4.17</v>
      </c>
      <c r="K5151" s="19" t="s">
        <v>69</v>
      </c>
      <c r="L5151" s="19" t="s">
        <v>70</v>
      </c>
      <c r="M5151" s="15" t="s">
        <v>2230</v>
      </c>
      <c r="N5151" s="15" t="s">
        <v>36</v>
      </c>
      <c r="O5151" s="15" t="s">
        <v>77</v>
      </c>
      <c r="P5151" s="20" t="s">
        <v>604</v>
      </c>
      <c r="Q5151" s="15" t="s">
        <v>49</v>
      </c>
      <c r="R5151" s="4"/>
      <c r="S5151" s="4"/>
    </row>
    <row r="5152" spans="1:19" ht="21" customHeight="1" x14ac:dyDescent="0.25">
      <c r="A5152" s="14">
        <f>DATE(2012,12,31)-1285</f>
        <v>39989</v>
      </c>
      <c r="B5152" s="15" t="s">
        <v>553</v>
      </c>
      <c r="C5152" s="15" t="s">
        <v>43</v>
      </c>
      <c r="D5152" s="16">
        <v>17</v>
      </c>
      <c r="E5152" s="17">
        <v>1032.0719999999999</v>
      </c>
      <c r="F5152" s="16">
        <v>0.06</v>
      </c>
      <c r="G5152" s="15" t="s">
        <v>58</v>
      </c>
      <c r="H5152" s="18">
        <v>54.230849999999997</v>
      </c>
      <c r="I5152" s="19">
        <v>70.89</v>
      </c>
      <c r="J5152" s="19">
        <v>89.3</v>
      </c>
      <c r="K5152" s="19" t="s">
        <v>69</v>
      </c>
      <c r="L5152" s="19" t="s">
        <v>70</v>
      </c>
      <c r="M5152" s="15" t="s">
        <v>2230</v>
      </c>
      <c r="N5152" s="15" t="s">
        <v>54</v>
      </c>
      <c r="O5152" s="15" t="s">
        <v>61</v>
      </c>
      <c r="P5152" s="20" t="s">
        <v>62</v>
      </c>
      <c r="Q5152" s="15" t="s">
        <v>63</v>
      </c>
      <c r="R5152" s="4"/>
      <c r="S5152" s="4"/>
    </row>
    <row r="5153" spans="1:19" ht="21" customHeight="1" x14ac:dyDescent="0.25">
      <c r="A5153" s="14">
        <f>DATE(2012,12,31)-1360</f>
        <v>39914</v>
      </c>
      <c r="B5153" s="15" t="s">
        <v>775</v>
      </c>
      <c r="C5153" s="15" t="s">
        <v>43</v>
      </c>
      <c r="D5153" s="16">
        <v>47</v>
      </c>
      <c r="E5153" s="17">
        <v>887.45</v>
      </c>
      <c r="F5153" s="16">
        <v>0.1</v>
      </c>
      <c r="G5153" s="15" t="s">
        <v>32</v>
      </c>
      <c r="H5153" s="18">
        <v>365.78899999999999</v>
      </c>
      <c r="I5153" s="19">
        <v>20.98</v>
      </c>
      <c r="J5153" s="19">
        <v>1.49</v>
      </c>
      <c r="K5153" s="19" t="s">
        <v>69</v>
      </c>
      <c r="L5153" s="19" t="s">
        <v>75</v>
      </c>
      <c r="M5153" s="15" t="s">
        <v>2202</v>
      </c>
      <c r="N5153" s="15" t="s">
        <v>36</v>
      </c>
      <c r="O5153" s="15" t="s">
        <v>170</v>
      </c>
      <c r="P5153" s="20" t="s">
        <v>1102</v>
      </c>
      <c r="Q5153" s="15" t="s">
        <v>83</v>
      </c>
      <c r="R5153" s="4"/>
      <c r="S5153" s="4"/>
    </row>
    <row r="5154" spans="1:19" ht="21" customHeight="1" x14ac:dyDescent="0.25">
      <c r="A5154" s="14">
        <f>DATE(2012,12,31)-1360</f>
        <v>39914</v>
      </c>
      <c r="B5154" s="15" t="s">
        <v>775</v>
      </c>
      <c r="C5154" s="15" t="s">
        <v>43</v>
      </c>
      <c r="D5154" s="16">
        <v>7</v>
      </c>
      <c r="E5154" s="17">
        <v>355.97</v>
      </c>
      <c r="F5154" s="16">
        <v>0.03</v>
      </c>
      <c r="G5154" s="15" t="s">
        <v>32</v>
      </c>
      <c r="H5154" s="18">
        <v>-4.4599999999999937</v>
      </c>
      <c r="I5154" s="19">
        <v>48.04</v>
      </c>
      <c r="J5154" s="19">
        <v>19.989999999999998</v>
      </c>
      <c r="K5154" s="19" t="s">
        <v>69</v>
      </c>
      <c r="L5154" s="19" t="s">
        <v>75</v>
      </c>
      <c r="M5154" s="15" t="s">
        <v>2231</v>
      </c>
      <c r="N5154" s="15" t="s">
        <v>36</v>
      </c>
      <c r="O5154" s="15" t="s">
        <v>117</v>
      </c>
      <c r="P5154" s="20" t="s">
        <v>2232</v>
      </c>
      <c r="Q5154" s="15" t="s">
        <v>83</v>
      </c>
      <c r="R5154" s="4"/>
      <c r="S5154" s="4"/>
    </row>
    <row r="5155" spans="1:19" ht="21" customHeight="1" x14ac:dyDescent="0.25">
      <c r="A5155" s="14">
        <f>DATE(2012,12,31)-1128</f>
        <v>40146</v>
      </c>
      <c r="B5155" s="15" t="s">
        <v>2105</v>
      </c>
      <c r="C5155" s="15" t="s">
        <v>85</v>
      </c>
      <c r="D5155" s="16">
        <v>47</v>
      </c>
      <c r="E5155" s="17">
        <v>181.78</v>
      </c>
      <c r="F5155" s="16">
        <v>0.02</v>
      </c>
      <c r="G5155" s="15" t="s">
        <v>32</v>
      </c>
      <c r="H5155" s="18">
        <v>71.56</v>
      </c>
      <c r="I5155" s="19">
        <v>3.78</v>
      </c>
      <c r="J5155" s="19">
        <v>0.71</v>
      </c>
      <c r="K5155" s="19" t="s">
        <v>69</v>
      </c>
      <c r="L5155" s="19" t="s">
        <v>70</v>
      </c>
      <c r="M5155" s="15" t="s">
        <v>2230</v>
      </c>
      <c r="N5155" s="15" t="s">
        <v>36</v>
      </c>
      <c r="O5155" s="15" t="s">
        <v>105</v>
      </c>
      <c r="P5155" s="20" t="s">
        <v>693</v>
      </c>
      <c r="Q5155" s="15" t="s">
        <v>79</v>
      </c>
      <c r="R5155" s="4"/>
      <c r="S5155" s="4"/>
    </row>
    <row r="5156" spans="1:19" ht="21" customHeight="1" x14ac:dyDescent="0.25">
      <c r="A5156" s="14">
        <f>DATE(2012,12,31)-469</f>
        <v>40805</v>
      </c>
      <c r="B5156" s="15" t="s">
        <v>282</v>
      </c>
      <c r="C5156" s="15" t="s">
        <v>43</v>
      </c>
      <c r="D5156" s="16">
        <v>46</v>
      </c>
      <c r="E5156" s="17">
        <v>636.5</v>
      </c>
      <c r="F5156" s="16">
        <v>0.01</v>
      </c>
      <c r="G5156" s="15" t="s">
        <v>32</v>
      </c>
      <c r="H5156" s="18">
        <v>-71.983800000000002</v>
      </c>
      <c r="I5156" s="19">
        <v>12.99</v>
      </c>
      <c r="J5156" s="19">
        <v>9.44</v>
      </c>
      <c r="K5156" s="19" t="s">
        <v>69</v>
      </c>
      <c r="L5156" s="19" t="s">
        <v>70</v>
      </c>
      <c r="M5156" s="15" t="s">
        <v>2230</v>
      </c>
      <c r="N5156" s="15" t="s">
        <v>64</v>
      </c>
      <c r="O5156" s="15" t="s">
        <v>122</v>
      </c>
      <c r="P5156" s="20" t="s">
        <v>2233</v>
      </c>
      <c r="Q5156" s="15" t="s">
        <v>57</v>
      </c>
      <c r="R5156" s="4"/>
      <c r="S5156" s="4"/>
    </row>
    <row r="5157" spans="1:19" ht="21" customHeight="1" x14ac:dyDescent="0.25">
      <c r="A5157" s="14">
        <f>DATE(2012,12,31)-469</f>
        <v>40805</v>
      </c>
      <c r="B5157" s="15" t="s">
        <v>282</v>
      </c>
      <c r="C5157" s="15" t="s">
        <v>43</v>
      </c>
      <c r="D5157" s="16">
        <v>25</v>
      </c>
      <c r="E5157" s="17">
        <v>2614.3705</v>
      </c>
      <c r="F5157" s="16">
        <v>7.0000000000000007E-2</v>
      </c>
      <c r="G5157" s="15" t="s">
        <v>32</v>
      </c>
      <c r="H5157" s="18">
        <v>384.012</v>
      </c>
      <c r="I5157" s="19">
        <v>125.99</v>
      </c>
      <c r="J5157" s="19">
        <v>7.69</v>
      </c>
      <c r="K5157" s="19" t="s">
        <v>69</v>
      </c>
      <c r="L5157" s="19" t="s">
        <v>70</v>
      </c>
      <c r="M5157" s="15" t="s">
        <v>2230</v>
      </c>
      <c r="N5157" s="15" t="s">
        <v>64</v>
      </c>
      <c r="O5157" s="15" t="s">
        <v>65</v>
      </c>
      <c r="P5157" s="20" t="s">
        <v>860</v>
      </c>
      <c r="Q5157" s="15" t="s">
        <v>83</v>
      </c>
      <c r="R5157" s="4"/>
      <c r="S5157" s="4"/>
    </row>
    <row r="5158" spans="1:19" ht="21" customHeight="1" x14ac:dyDescent="0.25">
      <c r="A5158" s="14">
        <f>DATE(2012,12,31)-130</f>
        <v>41144</v>
      </c>
      <c r="B5158" s="15" t="s">
        <v>1692</v>
      </c>
      <c r="C5158" s="15" t="s">
        <v>85</v>
      </c>
      <c r="D5158" s="16">
        <v>42</v>
      </c>
      <c r="E5158" s="17">
        <v>2245.6914999999999</v>
      </c>
      <c r="F5158" s="16">
        <v>0.05</v>
      </c>
      <c r="G5158" s="15" t="s">
        <v>32</v>
      </c>
      <c r="H5158" s="18">
        <v>369.08099999999996</v>
      </c>
      <c r="I5158" s="19">
        <v>65.989999999999995</v>
      </c>
      <c r="J5158" s="19">
        <v>8.99</v>
      </c>
      <c r="K5158" s="19" t="s">
        <v>69</v>
      </c>
      <c r="L5158" s="19" t="s">
        <v>215</v>
      </c>
      <c r="M5158" s="15" t="s">
        <v>2197</v>
      </c>
      <c r="N5158" s="15" t="s">
        <v>64</v>
      </c>
      <c r="O5158" s="15" t="s">
        <v>65</v>
      </c>
      <c r="P5158" s="20" t="s">
        <v>141</v>
      </c>
      <c r="Q5158" s="15" t="s">
        <v>83</v>
      </c>
      <c r="R5158" s="4"/>
      <c r="S5158" s="4"/>
    </row>
    <row r="5159" spans="1:19" ht="21" customHeight="1" x14ac:dyDescent="0.25">
      <c r="A5159" s="14">
        <f>DATE(2012,12,31)-1022</f>
        <v>40252</v>
      </c>
      <c r="B5159" s="15" t="s">
        <v>390</v>
      </c>
      <c r="C5159" s="15" t="s">
        <v>43</v>
      </c>
      <c r="D5159" s="16">
        <v>26</v>
      </c>
      <c r="E5159" s="17">
        <v>1462.1614999999999</v>
      </c>
      <c r="F5159" s="16">
        <v>0.03</v>
      </c>
      <c r="G5159" s="15" t="s">
        <v>32</v>
      </c>
      <c r="H5159" s="18">
        <v>215.43299999999999</v>
      </c>
      <c r="I5159" s="19">
        <v>65.989999999999995</v>
      </c>
      <c r="J5159" s="19">
        <v>5.99</v>
      </c>
      <c r="K5159" s="19" t="s">
        <v>69</v>
      </c>
      <c r="L5159" s="19" t="s">
        <v>215</v>
      </c>
      <c r="M5159" s="15" t="s">
        <v>2197</v>
      </c>
      <c r="N5159" s="15" t="s">
        <v>64</v>
      </c>
      <c r="O5159" s="15" t="s">
        <v>65</v>
      </c>
      <c r="P5159" s="20" t="s">
        <v>1573</v>
      </c>
      <c r="Q5159" s="15" t="s">
        <v>83</v>
      </c>
      <c r="R5159" s="4"/>
      <c r="S5159" s="4"/>
    </row>
    <row r="5160" spans="1:19" ht="21" customHeight="1" x14ac:dyDescent="0.25">
      <c r="A5160" s="14">
        <f>DATE(2012,12,31)-1022</f>
        <v>40252</v>
      </c>
      <c r="B5160" s="15" t="s">
        <v>390</v>
      </c>
      <c r="C5160" s="15" t="s">
        <v>43</v>
      </c>
      <c r="D5160" s="16">
        <v>10</v>
      </c>
      <c r="E5160" s="17">
        <v>999.89</v>
      </c>
      <c r="F5160" s="16">
        <v>0.02</v>
      </c>
      <c r="G5160" s="15" t="s">
        <v>32</v>
      </c>
      <c r="H5160" s="18">
        <v>-119.92</v>
      </c>
      <c r="I5160" s="19">
        <v>99.99</v>
      </c>
      <c r="J5160" s="19">
        <v>19.989999999999998</v>
      </c>
      <c r="K5160" s="19" t="s">
        <v>111</v>
      </c>
      <c r="L5160" s="19" t="s">
        <v>407</v>
      </c>
      <c r="M5160" s="15" t="s">
        <v>407</v>
      </c>
      <c r="N5160" s="15" t="s">
        <v>64</v>
      </c>
      <c r="O5160" s="15" t="s">
        <v>72</v>
      </c>
      <c r="P5160" s="20" t="s">
        <v>496</v>
      </c>
      <c r="Q5160" s="15" t="s">
        <v>83</v>
      </c>
      <c r="R5160" s="4"/>
      <c r="S5160" s="4"/>
    </row>
    <row r="5161" spans="1:19" ht="21" customHeight="1" x14ac:dyDescent="0.25">
      <c r="A5161" s="14">
        <f>DATE(2012,12,31)-1022</f>
        <v>40252</v>
      </c>
      <c r="B5161" s="15" t="s">
        <v>390</v>
      </c>
      <c r="C5161" s="15" t="s">
        <v>43</v>
      </c>
      <c r="D5161" s="16">
        <v>10</v>
      </c>
      <c r="E5161" s="17">
        <v>35.69</v>
      </c>
      <c r="F5161" s="16">
        <v>0.04</v>
      </c>
      <c r="G5161" s="15" t="s">
        <v>32</v>
      </c>
      <c r="H5161" s="18">
        <v>-31.24</v>
      </c>
      <c r="I5161" s="19">
        <v>3.28</v>
      </c>
      <c r="J5161" s="19">
        <v>4.2</v>
      </c>
      <c r="K5161" s="19" t="s">
        <v>111</v>
      </c>
      <c r="L5161" s="19" t="s">
        <v>112</v>
      </c>
      <c r="M5161" s="15" t="s">
        <v>2198</v>
      </c>
      <c r="N5161" s="15" t="s">
        <v>36</v>
      </c>
      <c r="O5161" s="15" t="s">
        <v>77</v>
      </c>
      <c r="P5161" s="20" t="s">
        <v>2234</v>
      </c>
      <c r="Q5161" s="15" t="s">
        <v>79</v>
      </c>
      <c r="R5161" s="4"/>
      <c r="S5161" s="4"/>
    </row>
    <row r="5162" spans="1:19" ht="21" customHeight="1" x14ac:dyDescent="0.25">
      <c r="A5162" s="14">
        <f>DATE(2012,12,31)-1180</f>
        <v>40094</v>
      </c>
      <c r="B5162" s="15" t="s">
        <v>309</v>
      </c>
      <c r="C5162" s="15" t="s">
        <v>43</v>
      </c>
      <c r="D5162" s="16">
        <v>16</v>
      </c>
      <c r="E5162" s="17">
        <v>68.040000000000006</v>
      </c>
      <c r="F5162" s="16">
        <v>7.0000000000000007E-2</v>
      </c>
      <c r="G5162" s="15" t="s">
        <v>32</v>
      </c>
      <c r="H5162" s="18">
        <v>-55.521999999999998</v>
      </c>
      <c r="I5162" s="19">
        <v>3.98</v>
      </c>
      <c r="J5162" s="19">
        <v>5.26</v>
      </c>
      <c r="K5162" s="19" t="s">
        <v>111</v>
      </c>
      <c r="L5162" s="19" t="s">
        <v>407</v>
      </c>
      <c r="M5162" s="15" t="s">
        <v>407</v>
      </c>
      <c r="N5162" s="15" t="s">
        <v>36</v>
      </c>
      <c r="O5162" s="15" t="s">
        <v>170</v>
      </c>
      <c r="P5162" s="20" t="s">
        <v>446</v>
      </c>
      <c r="Q5162" s="15" t="s">
        <v>83</v>
      </c>
      <c r="R5162" s="4"/>
      <c r="S5162" s="4"/>
    </row>
    <row r="5163" spans="1:19" ht="21" customHeight="1" x14ac:dyDescent="0.25">
      <c r="A5163" s="14">
        <f>DATE(2012,12,31)-1180</f>
        <v>40094</v>
      </c>
      <c r="B5163" s="15" t="s">
        <v>309</v>
      </c>
      <c r="C5163" s="15" t="s">
        <v>43</v>
      </c>
      <c r="D5163" s="16">
        <v>27</v>
      </c>
      <c r="E5163" s="17">
        <v>331.17</v>
      </c>
      <c r="F5163" s="16">
        <v>7.0000000000000007E-2</v>
      </c>
      <c r="G5163" s="15" t="s">
        <v>32</v>
      </c>
      <c r="H5163" s="18">
        <v>97.19</v>
      </c>
      <c r="I5163" s="19">
        <v>12.22</v>
      </c>
      <c r="J5163" s="19">
        <v>2.85</v>
      </c>
      <c r="K5163" s="19" t="s">
        <v>111</v>
      </c>
      <c r="L5163" s="19" t="s">
        <v>442</v>
      </c>
      <c r="M5163" s="15" t="s">
        <v>2222</v>
      </c>
      <c r="N5163" s="15" t="s">
        <v>54</v>
      </c>
      <c r="O5163" s="15" t="s">
        <v>55</v>
      </c>
      <c r="P5163" s="20" t="s">
        <v>1073</v>
      </c>
      <c r="Q5163" s="15" t="s">
        <v>49</v>
      </c>
      <c r="R5163" s="4"/>
      <c r="S5163" s="4"/>
    </row>
    <row r="5164" spans="1:19" ht="21" customHeight="1" x14ac:dyDescent="0.25">
      <c r="A5164" s="14">
        <f>DATE(2012,12,31)-743</f>
        <v>40531</v>
      </c>
      <c r="B5164" s="15" t="s">
        <v>2235</v>
      </c>
      <c r="C5164" s="15" t="s">
        <v>85</v>
      </c>
      <c r="D5164" s="16">
        <v>26</v>
      </c>
      <c r="E5164" s="17">
        <v>141.4</v>
      </c>
      <c r="F5164" s="16">
        <v>0.08</v>
      </c>
      <c r="G5164" s="15" t="s">
        <v>32</v>
      </c>
      <c r="H5164" s="18">
        <v>34.479999999999997</v>
      </c>
      <c r="I5164" s="19">
        <v>5.68</v>
      </c>
      <c r="J5164" s="19">
        <v>1.46</v>
      </c>
      <c r="K5164" s="19" t="s">
        <v>111</v>
      </c>
      <c r="L5164" s="19" t="s">
        <v>442</v>
      </c>
      <c r="M5164" s="15" t="s">
        <v>2222</v>
      </c>
      <c r="N5164" s="15" t="s">
        <v>36</v>
      </c>
      <c r="O5164" s="15" t="s">
        <v>117</v>
      </c>
      <c r="P5164" s="20" t="s">
        <v>2017</v>
      </c>
      <c r="Q5164" s="15" t="s">
        <v>79</v>
      </c>
      <c r="R5164" s="4"/>
      <c r="S5164" s="4"/>
    </row>
    <row r="5165" spans="1:19" ht="21" customHeight="1" x14ac:dyDescent="0.25">
      <c r="A5165" s="14">
        <f>DATE(2012,12,31)-743</f>
        <v>40531</v>
      </c>
      <c r="B5165" s="15" t="s">
        <v>2235</v>
      </c>
      <c r="C5165" s="15" t="s">
        <v>85</v>
      </c>
      <c r="D5165" s="16">
        <v>6</v>
      </c>
      <c r="E5165" s="17">
        <v>303.90899999999999</v>
      </c>
      <c r="F5165" s="16">
        <v>0.01</v>
      </c>
      <c r="G5165" s="15" t="s">
        <v>32</v>
      </c>
      <c r="H5165" s="18">
        <v>-254.364</v>
      </c>
      <c r="I5165" s="19">
        <v>55.99</v>
      </c>
      <c r="J5165" s="19">
        <v>5</v>
      </c>
      <c r="K5165" s="19" t="s">
        <v>44</v>
      </c>
      <c r="L5165" s="19" t="s">
        <v>120</v>
      </c>
      <c r="M5165" s="15" t="s">
        <v>2025</v>
      </c>
      <c r="N5165" s="15" t="s">
        <v>64</v>
      </c>
      <c r="O5165" s="15" t="s">
        <v>65</v>
      </c>
      <c r="P5165" s="20" t="s">
        <v>1377</v>
      </c>
      <c r="Q5165" s="15" t="s">
        <v>49</v>
      </c>
      <c r="R5165" s="4"/>
      <c r="S5165" s="4"/>
    </row>
    <row r="5166" spans="1:19" ht="21" customHeight="1" x14ac:dyDescent="0.25">
      <c r="A5166" s="14">
        <f>DATE(2012,12,31)-114</f>
        <v>41160</v>
      </c>
      <c r="B5166" s="15" t="s">
        <v>1681</v>
      </c>
      <c r="C5166" s="15" t="s">
        <v>85</v>
      </c>
      <c r="D5166" s="16">
        <v>3</v>
      </c>
      <c r="E5166" s="17">
        <v>26.13</v>
      </c>
      <c r="F5166" s="16">
        <v>0.1</v>
      </c>
      <c r="G5166" s="15" t="s">
        <v>32</v>
      </c>
      <c r="H5166" s="18">
        <v>-10.61</v>
      </c>
      <c r="I5166" s="19">
        <v>7.59</v>
      </c>
      <c r="J5166" s="19">
        <v>4</v>
      </c>
      <c r="K5166" s="19" t="s">
        <v>44</v>
      </c>
      <c r="L5166" s="19" t="s">
        <v>45</v>
      </c>
      <c r="M5166" s="15" t="s">
        <v>2236</v>
      </c>
      <c r="N5166" s="15" t="s">
        <v>54</v>
      </c>
      <c r="O5166" s="15" t="s">
        <v>55</v>
      </c>
      <c r="P5166" s="20" t="s">
        <v>951</v>
      </c>
      <c r="Q5166" s="15" t="s">
        <v>79</v>
      </c>
      <c r="R5166" s="4"/>
      <c r="S5166" s="4"/>
    </row>
    <row r="5167" spans="1:19" ht="21" customHeight="1" x14ac:dyDescent="0.25">
      <c r="A5167" s="14">
        <f>DATE(2012,12,31)-961</f>
        <v>40313</v>
      </c>
      <c r="B5167" s="15" t="s">
        <v>1724</v>
      </c>
      <c r="C5167" s="15" t="s">
        <v>85</v>
      </c>
      <c r="D5167" s="16">
        <v>8</v>
      </c>
      <c r="E5167" s="17">
        <v>22.85</v>
      </c>
      <c r="F5167" s="16">
        <v>7.0000000000000007E-2</v>
      </c>
      <c r="G5167" s="15" t="s">
        <v>32</v>
      </c>
      <c r="H5167" s="18">
        <v>0.88</v>
      </c>
      <c r="I5167" s="19">
        <v>2.88</v>
      </c>
      <c r="J5167" s="19">
        <v>0.99</v>
      </c>
      <c r="K5167" s="19" t="s">
        <v>44</v>
      </c>
      <c r="L5167" s="19" t="s">
        <v>89</v>
      </c>
      <c r="M5167" s="15" t="s">
        <v>1932</v>
      </c>
      <c r="N5167" s="15" t="s">
        <v>36</v>
      </c>
      <c r="O5167" s="15" t="s">
        <v>114</v>
      </c>
      <c r="P5167" s="20" t="s">
        <v>1153</v>
      </c>
      <c r="Q5167" s="15" t="s">
        <v>83</v>
      </c>
      <c r="R5167" s="4"/>
      <c r="S5167" s="4"/>
    </row>
    <row r="5168" spans="1:19" ht="21" customHeight="1" x14ac:dyDescent="0.25">
      <c r="A5168" s="14">
        <f>DATE(2012,12,31)-961</f>
        <v>40313</v>
      </c>
      <c r="B5168" s="15" t="s">
        <v>1724</v>
      </c>
      <c r="C5168" s="15" t="s">
        <v>85</v>
      </c>
      <c r="D5168" s="16">
        <v>16</v>
      </c>
      <c r="E5168" s="17">
        <v>12007.05</v>
      </c>
      <c r="F5168" s="16">
        <v>0.09</v>
      </c>
      <c r="G5168" s="15" t="s">
        <v>58</v>
      </c>
      <c r="H5168" s="18">
        <v>2713.95</v>
      </c>
      <c r="I5168" s="19">
        <v>808.49</v>
      </c>
      <c r="J5168" s="19">
        <v>55.3</v>
      </c>
      <c r="K5168" s="19" t="s">
        <v>44</v>
      </c>
      <c r="L5168" s="19" t="s">
        <v>45</v>
      </c>
      <c r="M5168" s="15" t="s">
        <v>2236</v>
      </c>
      <c r="N5168" s="15" t="s">
        <v>64</v>
      </c>
      <c r="O5168" s="15" t="s">
        <v>122</v>
      </c>
      <c r="P5168" s="20" t="s">
        <v>2035</v>
      </c>
      <c r="Q5168" s="15" t="s">
        <v>181</v>
      </c>
      <c r="R5168" s="4"/>
      <c r="S5168" s="4"/>
    </row>
    <row r="5169" spans="1:19" ht="21" customHeight="1" x14ac:dyDescent="0.25">
      <c r="A5169" s="14">
        <f>DATE(2012,12,31)-961</f>
        <v>40313</v>
      </c>
      <c r="B5169" s="15" t="s">
        <v>1724</v>
      </c>
      <c r="C5169" s="15" t="s">
        <v>85</v>
      </c>
      <c r="D5169" s="16">
        <v>47</v>
      </c>
      <c r="E5169" s="17">
        <v>280.45</v>
      </c>
      <c r="F5169" s="16">
        <v>0.1</v>
      </c>
      <c r="G5169" s="15" t="s">
        <v>32</v>
      </c>
      <c r="H5169" s="18">
        <v>-143.65</v>
      </c>
      <c r="I5169" s="19">
        <v>6.48</v>
      </c>
      <c r="J5169" s="19">
        <v>6.35</v>
      </c>
      <c r="K5169" s="19" t="s">
        <v>44</v>
      </c>
      <c r="L5169" s="19" t="s">
        <v>45</v>
      </c>
      <c r="M5169" s="15" t="s">
        <v>2236</v>
      </c>
      <c r="N5169" s="15" t="s">
        <v>36</v>
      </c>
      <c r="O5169" s="15" t="s">
        <v>117</v>
      </c>
      <c r="P5169" s="20" t="s">
        <v>1122</v>
      </c>
      <c r="Q5169" s="15" t="s">
        <v>83</v>
      </c>
      <c r="R5169" s="4"/>
      <c r="S5169" s="4"/>
    </row>
    <row r="5170" spans="1:19" ht="21" customHeight="1" x14ac:dyDescent="0.25">
      <c r="A5170" s="14">
        <f>DATE(2012,12,31)-830</f>
        <v>40444</v>
      </c>
      <c r="B5170" s="15" t="s">
        <v>1722</v>
      </c>
      <c r="C5170" s="15" t="s">
        <v>43</v>
      </c>
      <c r="D5170" s="16">
        <v>24</v>
      </c>
      <c r="E5170" s="17">
        <v>2048.7800000000002</v>
      </c>
      <c r="F5170" s="16">
        <v>0.05</v>
      </c>
      <c r="G5170" s="15" t="s">
        <v>32</v>
      </c>
      <c r="H5170" s="18">
        <v>994.68</v>
      </c>
      <c r="I5170" s="19">
        <v>83.98</v>
      </c>
      <c r="J5170" s="19">
        <v>5.01</v>
      </c>
      <c r="K5170" s="19" t="s">
        <v>44</v>
      </c>
      <c r="L5170" s="19" t="s">
        <v>89</v>
      </c>
      <c r="M5170" s="15" t="s">
        <v>1932</v>
      </c>
      <c r="N5170" s="15" t="s">
        <v>36</v>
      </c>
      <c r="O5170" s="15" t="s">
        <v>189</v>
      </c>
      <c r="P5170" s="20" t="s">
        <v>2076</v>
      </c>
      <c r="Q5170" s="15" t="s">
        <v>83</v>
      </c>
      <c r="R5170" s="4"/>
      <c r="S5170" s="4"/>
    </row>
    <row r="5171" spans="1:19" ht="21" customHeight="1" x14ac:dyDescent="0.25">
      <c r="A5171" s="14">
        <f>DATE(2012,12,31)-843</f>
        <v>40431</v>
      </c>
      <c r="B5171" s="15" t="s">
        <v>559</v>
      </c>
      <c r="C5171" s="15" t="s">
        <v>51</v>
      </c>
      <c r="D5171" s="16">
        <v>4</v>
      </c>
      <c r="E5171" s="17">
        <v>58.44</v>
      </c>
      <c r="F5171" s="16">
        <v>0.05</v>
      </c>
      <c r="G5171" s="15" t="s">
        <v>101</v>
      </c>
      <c r="H5171" s="18">
        <v>-7.04</v>
      </c>
      <c r="I5171" s="19">
        <v>10.89</v>
      </c>
      <c r="J5171" s="19">
        <v>4.5</v>
      </c>
      <c r="K5171" s="19" t="s">
        <v>44</v>
      </c>
      <c r="L5171" s="19" t="s">
        <v>89</v>
      </c>
      <c r="M5171" s="15" t="s">
        <v>1932</v>
      </c>
      <c r="N5171" s="15" t="s">
        <v>36</v>
      </c>
      <c r="O5171" s="15" t="s">
        <v>176</v>
      </c>
      <c r="P5171" s="20" t="s">
        <v>250</v>
      </c>
      <c r="Q5171" s="15" t="s">
        <v>83</v>
      </c>
      <c r="R5171" s="4"/>
      <c r="S5171" s="4"/>
    </row>
    <row r="5172" spans="1:19" ht="21" customHeight="1" x14ac:dyDescent="0.25">
      <c r="A5172" s="14">
        <f>DATE(2012,12,31)-149</f>
        <v>41125</v>
      </c>
      <c r="B5172" s="15" t="s">
        <v>1000</v>
      </c>
      <c r="C5172" s="15" t="s">
        <v>43</v>
      </c>
      <c r="D5172" s="16">
        <v>42</v>
      </c>
      <c r="E5172" s="17">
        <v>121.65</v>
      </c>
      <c r="F5172" s="16">
        <v>0.05</v>
      </c>
      <c r="G5172" s="15" t="s">
        <v>32</v>
      </c>
      <c r="H5172" s="18">
        <v>30.76</v>
      </c>
      <c r="I5172" s="19">
        <v>2.88</v>
      </c>
      <c r="J5172" s="19">
        <v>0.99</v>
      </c>
      <c r="K5172" s="19" t="s">
        <v>44</v>
      </c>
      <c r="L5172" s="19" t="s">
        <v>89</v>
      </c>
      <c r="M5172" s="15" t="s">
        <v>1932</v>
      </c>
      <c r="N5172" s="15" t="s">
        <v>36</v>
      </c>
      <c r="O5172" s="15" t="s">
        <v>114</v>
      </c>
      <c r="P5172" s="20" t="s">
        <v>853</v>
      </c>
      <c r="Q5172" s="15" t="s">
        <v>83</v>
      </c>
      <c r="R5172" s="4"/>
      <c r="S5172" s="4"/>
    </row>
    <row r="5173" spans="1:19" ht="21" customHeight="1" x14ac:dyDescent="0.25">
      <c r="A5173" s="14">
        <f>DATE(2012,12,31)-149</f>
        <v>41125</v>
      </c>
      <c r="B5173" s="15" t="s">
        <v>1000</v>
      </c>
      <c r="C5173" s="15" t="s">
        <v>43</v>
      </c>
      <c r="D5173" s="16">
        <v>2</v>
      </c>
      <c r="E5173" s="17">
        <v>19.02</v>
      </c>
      <c r="F5173" s="16">
        <v>0.05</v>
      </c>
      <c r="G5173" s="15" t="s">
        <v>101</v>
      </c>
      <c r="H5173" s="18">
        <v>10.73</v>
      </c>
      <c r="I5173" s="19">
        <v>2.08</v>
      </c>
      <c r="J5173" s="19">
        <v>5.33</v>
      </c>
      <c r="K5173" s="19" t="s">
        <v>44</v>
      </c>
      <c r="L5173" s="19" t="s">
        <v>89</v>
      </c>
      <c r="M5173" s="15" t="s">
        <v>1932</v>
      </c>
      <c r="N5173" s="15" t="s">
        <v>54</v>
      </c>
      <c r="O5173" s="15" t="s">
        <v>55</v>
      </c>
      <c r="P5173" s="20" t="s">
        <v>858</v>
      </c>
      <c r="Q5173" s="15" t="s">
        <v>83</v>
      </c>
      <c r="R5173" s="4"/>
      <c r="S5173" s="4"/>
    </row>
    <row r="5174" spans="1:19" ht="21" customHeight="1" x14ac:dyDescent="0.25">
      <c r="A5174" s="14">
        <f>DATE(2012,12,31)-149</f>
        <v>41125</v>
      </c>
      <c r="B5174" s="15" t="s">
        <v>1000</v>
      </c>
      <c r="C5174" s="15" t="s">
        <v>43</v>
      </c>
      <c r="D5174" s="16">
        <v>2</v>
      </c>
      <c r="E5174" s="17">
        <v>103.105</v>
      </c>
      <c r="F5174" s="16">
        <v>0.09</v>
      </c>
      <c r="G5174" s="15" t="s">
        <v>32</v>
      </c>
      <c r="H5174" s="18">
        <v>-316.31600000000003</v>
      </c>
      <c r="I5174" s="19">
        <v>65.989999999999995</v>
      </c>
      <c r="J5174" s="19">
        <v>2.5</v>
      </c>
      <c r="K5174" s="19" t="s">
        <v>44</v>
      </c>
      <c r="L5174" s="19" t="s">
        <v>89</v>
      </c>
      <c r="M5174" s="15" t="s">
        <v>1932</v>
      </c>
      <c r="N5174" s="15" t="s">
        <v>64</v>
      </c>
      <c r="O5174" s="15" t="s">
        <v>65</v>
      </c>
      <c r="P5174" s="20" t="s">
        <v>1912</v>
      </c>
      <c r="Q5174" s="15" t="s">
        <v>83</v>
      </c>
      <c r="R5174" s="4"/>
      <c r="S5174" s="4"/>
    </row>
    <row r="5175" spans="1:19" ht="21" customHeight="1" x14ac:dyDescent="0.25">
      <c r="A5175" s="14">
        <f>DATE(2012,12,31)-748</f>
        <v>40526</v>
      </c>
      <c r="B5175" s="15" t="s">
        <v>465</v>
      </c>
      <c r="C5175" s="15" t="s">
        <v>85</v>
      </c>
      <c r="D5175" s="16">
        <v>7</v>
      </c>
      <c r="E5175" s="17">
        <v>263.8</v>
      </c>
      <c r="F5175" s="16">
        <v>0</v>
      </c>
      <c r="G5175" s="15" t="s">
        <v>32</v>
      </c>
      <c r="H5175" s="18">
        <v>165.33</v>
      </c>
      <c r="I5175" s="19">
        <v>34.229999999999997</v>
      </c>
      <c r="J5175" s="19">
        <v>5.0199999999999996</v>
      </c>
      <c r="K5175" s="19" t="s">
        <v>44</v>
      </c>
      <c r="L5175" s="19" t="s">
        <v>120</v>
      </c>
      <c r="M5175" s="15" t="s">
        <v>2025</v>
      </c>
      <c r="N5175" s="15" t="s">
        <v>54</v>
      </c>
      <c r="O5175" s="15" t="s">
        <v>55</v>
      </c>
      <c r="P5175" s="20" t="s">
        <v>1481</v>
      </c>
      <c r="Q5175" s="15" t="s">
        <v>83</v>
      </c>
      <c r="R5175" s="4"/>
      <c r="S5175" s="4"/>
    </row>
    <row r="5176" spans="1:19" ht="21" customHeight="1" x14ac:dyDescent="0.25">
      <c r="A5176" s="14">
        <f>DATE(2012,12,31)-748</f>
        <v>40526</v>
      </c>
      <c r="B5176" s="15" t="s">
        <v>465</v>
      </c>
      <c r="C5176" s="15" t="s">
        <v>85</v>
      </c>
      <c r="D5176" s="16">
        <v>28</v>
      </c>
      <c r="E5176" s="17">
        <v>1546.3964999999998</v>
      </c>
      <c r="F5176" s="16">
        <v>7.0000000000000007E-2</v>
      </c>
      <c r="G5176" s="15" t="s">
        <v>101</v>
      </c>
      <c r="H5176" s="18">
        <v>226.71899999999999</v>
      </c>
      <c r="I5176" s="19">
        <v>65.989999999999995</v>
      </c>
      <c r="J5176" s="19">
        <v>5.26</v>
      </c>
      <c r="K5176" s="19" t="s">
        <v>124</v>
      </c>
      <c r="L5176" s="19" t="s">
        <v>125</v>
      </c>
      <c r="M5176" s="15" t="s">
        <v>2223</v>
      </c>
      <c r="N5176" s="15" t="s">
        <v>64</v>
      </c>
      <c r="O5176" s="15" t="s">
        <v>65</v>
      </c>
      <c r="P5176" s="20" t="s">
        <v>437</v>
      </c>
      <c r="Q5176" s="15" t="s">
        <v>83</v>
      </c>
      <c r="R5176" s="4"/>
      <c r="S5176" s="4"/>
    </row>
    <row r="5177" spans="1:19" ht="21" customHeight="1" x14ac:dyDescent="0.25">
      <c r="A5177" s="14">
        <f>DATE(2012,12,31)-1386</f>
        <v>39888</v>
      </c>
      <c r="B5177" s="15" t="s">
        <v>2119</v>
      </c>
      <c r="C5177" s="15" t="s">
        <v>85</v>
      </c>
      <c r="D5177" s="16">
        <v>14</v>
      </c>
      <c r="E5177" s="17">
        <v>211.88</v>
      </c>
      <c r="F5177" s="16">
        <v>0.1</v>
      </c>
      <c r="G5177" s="15" t="s">
        <v>32</v>
      </c>
      <c r="H5177" s="18">
        <v>78.45</v>
      </c>
      <c r="I5177" s="19">
        <v>15.57</v>
      </c>
      <c r="J5177" s="19">
        <v>1.39</v>
      </c>
      <c r="K5177" s="19" t="s">
        <v>124</v>
      </c>
      <c r="L5177" s="19" t="s">
        <v>125</v>
      </c>
      <c r="M5177" s="15" t="s">
        <v>2223</v>
      </c>
      <c r="N5177" s="15" t="s">
        <v>36</v>
      </c>
      <c r="O5177" s="15" t="s">
        <v>189</v>
      </c>
      <c r="P5177" s="20" t="s">
        <v>802</v>
      </c>
      <c r="Q5177" s="15" t="s">
        <v>83</v>
      </c>
      <c r="R5177" s="4"/>
      <c r="S5177" s="4"/>
    </row>
    <row r="5178" spans="1:19" ht="21" customHeight="1" x14ac:dyDescent="0.25">
      <c r="A5178" s="14">
        <f>DATE(2012,12,31)-213</f>
        <v>41061</v>
      </c>
      <c r="B5178" s="15" t="s">
        <v>1748</v>
      </c>
      <c r="C5178" s="15" t="s">
        <v>31</v>
      </c>
      <c r="D5178" s="16">
        <v>43</v>
      </c>
      <c r="E5178" s="17">
        <v>532.89</v>
      </c>
      <c r="F5178" s="16">
        <v>0.09</v>
      </c>
      <c r="G5178" s="15" t="s">
        <v>32</v>
      </c>
      <c r="H5178" s="18">
        <v>210.52800000000002</v>
      </c>
      <c r="I5178" s="19">
        <v>12.97</v>
      </c>
      <c r="J5178" s="19">
        <v>1.49</v>
      </c>
      <c r="K5178" s="19" t="s">
        <v>124</v>
      </c>
      <c r="L5178" s="19" t="s">
        <v>125</v>
      </c>
      <c r="M5178" s="15" t="s">
        <v>2223</v>
      </c>
      <c r="N5178" s="15" t="s">
        <v>36</v>
      </c>
      <c r="O5178" s="15" t="s">
        <v>170</v>
      </c>
      <c r="P5178" s="20" t="s">
        <v>873</v>
      </c>
      <c r="Q5178" s="15" t="s">
        <v>83</v>
      </c>
      <c r="R5178" s="4"/>
      <c r="S5178" s="4"/>
    </row>
    <row r="5179" spans="1:19" ht="21" customHeight="1" x14ac:dyDescent="0.25">
      <c r="A5179" s="14">
        <f>DATE(2012,12,31)-213</f>
        <v>41061</v>
      </c>
      <c r="B5179" s="15" t="s">
        <v>1748</v>
      </c>
      <c r="C5179" s="15" t="s">
        <v>31</v>
      </c>
      <c r="D5179" s="16">
        <v>24</v>
      </c>
      <c r="E5179" s="17">
        <v>60.69</v>
      </c>
      <c r="F5179" s="16">
        <v>0.06</v>
      </c>
      <c r="G5179" s="15" t="s">
        <v>101</v>
      </c>
      <c r="H5179" s="18">
        <v>-25.65</v>
      </c>
      <c r="I5179" s="19">
        <v>2.12</v>
      </c>
      <c r="J5179" s="19">
        <v>1.99</v>
      </c>
      <c r="K5179" s="19" t="s">
        <v>124</v>
      </c>
      <c r="L5179" s="19" t="s">
        <v>164</v>
      </c>
      <c r="M5179" s="15" t="s">
        <v>2171</v>
      </c>
      <c r="N5179" s="15" t="s">
        <v>64</v>
      </c>
      <c r="O5179" s="15" t="s">
        <v>72</v>
      </c>
      <c r="P5179" s="20" t="s">
        <v>660</v>
      </c>
      <c r="Q5179" s="15" t="s">
        <v>49</v>
      </c>
      <c r="R5179" s="4"/>
      <c r="S5179" s="4"/>
    </row>
    <row r="5180" spans="1:19" ht="21" customHeight="1" x14ac:dyDescent="0.25">
      <c r="A5180" s="14">
        <f>DATE(2012,12,31)-173</f>
        <v>41101</v>
      </c>
      <c r="B5180" s="15" t="s">
        <v>472</v>
      </c>
      <c r="C5180" s="15" t="s">
        <v>31</v>
      </c>
      <c r="D5180" s="16">
        <v>25</v>
      </c>
      <c r="E5180" s="17">
        <v>184.32</v>
      </c>
      <c r="F5180" s="16">
        <v>0</v>
      </c>
      <c r="G5180" s="15" t="s">
        <v>32</v>
      </c>
      <c r="H5180" s="18">
        <v>-73.33</v>
      </c>
      <c r="I5180" s="19">
        <v>6.68</v>
      </c>
      <c r="J5180" s="19">
        <v>7.3</v>
      </c>
      <c r="K5180" s="19" t="s">
        <v>33</v>
      </c>
      <c r="L5180" s="19" t="s">
        <v>128</v>
      </c>
      <c r="M5180" s="15" t="s">
        <v>129</v>
      </c>
      <c r="N5180" s="15" t="s">
        <v>36</v>
      </c>
      <c r="O5180" s="15" t="s">
        <v>117</v>
      </c>
      <c r="P5180" s="20" t="s">
        <v>1862</v>
      </c>
      <c r="Q5180" s="15" t="s">
        <v>83</v>
      </c>
      <c r="R5180" s="4"/>
      <c r="S5180" s="4"/>
    </row>
    <row r="5181" spans="1:19" ht="21" customHeight="1" x14ac:dyDescent="0.25">
      <c r="A5181" s="14">
        <f>DATE(2012,12,31)-1103</f>
        <v>40171</v>
      </c>
      <c r="B5181" s="15" t="s">
        <v>1018</v>
      </c>
      <c r="C5181" s="15" t="s">
        <v>31</v>
      </c>
      <c r="D5181" s="16">
        <v>11</v>
      </c>
      <c r="E5181" s="17">
        <v>1935.1</v>
      </c>
      <c r="F5181" s="16">
        <v>0.01</v>
      </c>
      <c r="G5181" s="15" t="s">
        <v>58</v>
      </c>
      <c r="H5181" s="18">
        <v>-42.96</v>
      </c>
      <c r="I5181" s="19">
        <v>170.98</v>
      </c>
      <c r="J5181" s="19">
        <v>35.89</v>
      </c>
      <c r="K5181" s="19" t="s">
        <v>33</v>
      </c>
      <c r="L5181" s="19" t="s">
        <v>93</v>
      </c>
      <c r="M5181" s="15" t="s">
        <v>94</v>
      </c>
      <c r="N5181" s="15" t="s">
        <v>54</v>
      </c>
      <c r="O5181" s="15" t="s">
        <v>134</v>
      </c>
      <c r="P5181" s="20" t="s">
        <v>1742</v>
      </c>
      <c r="Q5181" s="15" t="s">
        <v>63</v>
      </c>
      <c r="R5181" s="4"/>
      <c r="S5181" s="4"/>
    </row>
    <row r="5182" spans="1:19" ht="21" customHeight="1" x14ac:dyDescent="0.25">
      <c r="A5182" s="14">
        <f>DATE(2012,12,31)-1168</f>
        <v>40106</v>
      </c>
      <c r="B5182" s="15" t="s">
        <v>282</v>
      </c>
      <c r="C5182" s="15" t="s">
        <v>85</v>
      </c>
      <c r="D5182" s="16">
        <v>39</v>
      </c>
      <c r="E5182" s="17">
        <v>12073.06</v>
      </c>
      <c r="F5182" s="16">
        <v>0.03</v>
      </c>
      <c r="G5182" s="15" t="s">
        <v>32</v>
      </c>
      <c r="H5182" s="18">
        <v>5081.8694999999998</v>
      </c>
      <c r="I5182" s="19">
        <v>315.98</v>
      </c>
      <c r="J5182" s="19">
        <v>19.989999999999998</v>
      </c>
      <c r="K5182" s="19" t="s">
        <v>33</v>
      </c>
      <c r="L5182" s="19" t="s">
        <v>93</v>
      </c>
      <c r="M5182" s="15" t="s">
        <v>94</v>
      </c>
      <c r="N5182" s="15" t="s">
        <v>36</v>
      </c>
      <c r="O5182" s="15" t="s">
        <v>170</v>
      </c>
      <c r="P5182" s="20" t="s">
        <v>503</v>
      </c>
      <c r="Q5182" s="15" t="s">
        <v>83</v>
      </c>
      <c r="R5182" s="4"/>
      <c r="S5182" s="4"/>
    </row>
    <row r="5183" spans="1:19" ht="21" customHeight="1" x14ac:dyDescent="0.25">
      <c r="A5183" s="14">
        <f>DATE(2012,12,31)-1168</f>
        <v>40106</v>
      </c>
      <c r="B5183" s="15" t="s">
        <v>282</v>
      </c>
      <c r="C5183" s="15" t="s">
        <v>85</v>
      </c>
      <c r="D5183" s="16">
        <v>25</v>
      </c>
      <c r="E5183" s="17">
        <v>6685.05</v>
      </c>
      <c r="F5183" s="16">
        <v>0.09</v>
      </c>
      <c r="G5183" s="15" t="s">
        <v>32</v>
      </c>
      <c r="H5183" s="18">
        <v>1653.6</v>
      </c>
      <c r="I5183" s="19">
        <v>276.2</v>
      </c>
      <c r="J5183" s="19">
        <v>24.49</v>
      </c>
      <c r="K5183" s="19" t="s">
        <v>33</v>
      </c>
      <c r="L5183" s="19" t="s">
        <v>128</v>
      </c>
      <c r="M5183" s="15" t="s">
        <v>129</v>
      </c>
      <c r="N5183" s="15" t="s">
        <v>54</v>
      </c>
      <c r="O5183" s="15" t="s">
        <v>252</v>
      </c>
      <c r="P5183" s="20" t="s">
        <v>524</v>
      </c>
      <c r="Q5183" s="15" t="s">
        <v>39</v>
      </c>
      <c r="R5183" s="4"/>
      <c r="S5183" s="4"/>
    </row>
    <row r="5184" spans="1:19" ht="21" customHeight="1" x14ac:dyDescent="0.25">
      <c r="A5184" s="14">
        <f>DATE(2012,12,31)-1168</f>
        <v>40106</v>
      </c>
      <c r="B5184" s="15" t="s">
        <v>282</v>
      </c>
      <c r="C5184" s="15" t="s">
        <v>85</v>
      </c>
      <c r="D5184" s="16">
        <v>18</v>
      </c>
      <c r="E5184" s="17">
        <v>1175.53</v>
      </c>
      <c r="F5184" s="16">
        <v>0.03</v>
      </c>
      <c r="G5184" s="15" t="s">
        <v>32</v>
      </c>
      <c r="H5184" s="18">
        <v>257.58999999999997</v>
      </c>
      <c r="I5184" s="19">
        <v>63.94</v>
      </c>
      <c r="J5184" s="19">
        <v>14.48</v>
      </c>
      <c r="K5184" s="19" t="s">
        <v>33</v>
      </c>
      <c r="L5184" s="19" t="s">
        <v>128</v>
      </c>
      <c r="M5184" s="15" t="s">
        <v>129</v>
      </c>
      <c r="N5184" s="15" t="s">
        <v>54</v>
      </c>
      <c r="O5184" s="15" t="s">
        <v>55</v>
      </c>
      <c r="P5184" s="20" t="s">
        <v>1787</v>
      </c>
      <c r="Q5184" s="15" t="s">
        <v>83</v>
      </c>
      <c r="R5184" s="4"/>
      <c r="S5184" s="4"/>
    </row>
    <row r="5185" spans="1:19" ht="21" customHeight="1" x14ac:dyDescent="0.25">
      <c r="A5185" s="14">
        <f>DATE(2012,12,31)-1039</f>
        <v>40235</v>
      </c>
      <c r="B5185" s="15" t="s">
        <v>346</v>
      </c>
      <c r="C5185" s="15" t="s">
        <v>85</v>
      </c>
      <c r="D5185" s="16">
        <v>43</v>
      </c>
      <c r="E5185" s="17">
        <v>16116.33</v>
      </c>
      <c r="F5185" s="16">
        <v>0.08</v>
      </c>
      <c r="G5185" s="15" t="s">
        <v>32</v>
      </c>
      <c r="H5185" s="18">
        <v>6919.8670000000002</v>
      </c>
      <c r="I5185" s="19">
        <v>387.99</v>
      </c>
      <c r="J5185" s="19">
        <v>19.989999999999998</v>
      </c>
      <c r="K5185" s="19" t="s">
        <v>33</v>
      </c>
      <c r="L5185" s="19" t="s">
        <v>128</v>
      </c>
      <c r="M5185" s="15" t="s">
        <v>129</v>
      </c>
      <c r="N5185" s="15" t="s">
        <v>36</v>
      </c>
      <c r="O5185" s="15" t="s">
        <v>170</v>
      </c>
      <c r="P5185" s="20" t="s">
        <v>1649</v>
      </c>
      <c r="Q5185" s="15" t="s">
        <v>83</v>
      </c>
      <c r="R5185" s="4"/>
      <c r="S5185" s="4"/>
    </row>
    <row r="5186" spans="1:19" ht="21" customHeight="1" x14ac:dyDescent="0.25">
      <c r="A5186" s="14">
        <f>DATE(2012,12,31)-1363</f>
        <v>39911</v>
      </c>
      <c r="B5186" s="15" t="s">
        <v>1334</v>
      </c>
      <c r="C5186" s="15" t="s">
        <v>31</v>
      </c>
      <c r="D5186" s="16">
        <v>3</v>
      </c>
      <c r="E5186" s="17">
        <v>32.76</v>
      </c>
      <c r="F5186" s="16">
        <v>0.06</v>
      </c>
      <c r="G5186" s="15" t="s">
        <v>101</v>
      </c>
      <c r="H5186" s="18">
        <v>11.29</v>
      </c>
      <c r="I5186" s="19">
        <v>6.3</v>
      </c>
      <c r="J5186" s="19">
        <v>0.5</v>
      </c>
      <c r="K5186" s="19" t="s">
        <v>33</v>
      </c>
      <c r="L5186" s="19" t="s">
        <v>93</v>
      </c>
      <c r="M5186" s="15" t="s">
        <v>94</v>
      </c>
      <c r="N5186" s="15" t="s">
        <v>36</v>
      </c>
      <c r="O5186" s="15" t="s">
        <v>114</v>
      </c>
      <c r="P5186" s="20" t="s">
        <v>916</v>
      </c>
      <c r="Q5186" s="15" t="s">
        <v>83</v>
      </c>
      <c r="R5186" s="4"/>
      <c r="S5186" s="4"/>
    </row>
    <row r="5187" spans="1:19" ht="21" customHeight="1" x14ac:dyDescent="0.25">
      <c r="A5187" s="14">
        <f>DATE(2012,12,31)-155</f>
        <v>41119</v>
      </c>
      <c r="B5187" s="15" t="s">
        <v>2237</v>
      </c>
      <c r="C5187" s="15" t="s">
        <v>31</v>
      </c>
      <c r="D5187" s="16">
        <v>9</v>
      </c>
      <c r="E5187" s="17">
        <v>55.49</v>
      </c>
      <c r="F5187" s="16">
        <v>0.05</v>
      </c>
      <c r="G5187" s="15" t="s">
        <v>32</v>
      </c>
      <c r="H5187" s="18">
        <v>7.23</v>
      </c>
      <c r="I5187" s="19">
        <v>6.08</v>
      </c>
      <c r="J5187" s="19">
        <v>0.91</v>
      </c>
      <c r="K5187" s="19" t="s">
        <v>33</v>
      </c>
      <c r="L5187" s="19" t="s">
        <v>128</v>
      </c>
      <c r="M5187" s="15" t="s">
        <v>129</v>
      </c>
      <c r="N5187" s="15" t="s">
        <v>36</v>
      </c>
      <c r="O5187" s="15" t="s">
        <v>77</v>
      </c>
      <c r="P5187" s="20" t="s">
        <v>1476</v>
      </c>
      <c r="Q5187" s="15" t="s">
        <v>79</v>
      </c>
      <c r="R5187" s="4"/>
      <c r="S5187" s="4"/>
    </row>
    <row r="5188" spans="1:19" ht="21" customHeight="1" x14ac:dyDescent="0.25">
      <c r="A5188" s="14">
        <f>DATE(2012,12,31)-1013</f>
        <v>40261</v>
      </c>
      <c r="B5188" s="15" t="s">
        <v>1480</v>
      </c>
      <c r="C5188" s="15" t="s">
        <v>31</v>
      </c>
      <c r="D5188" s="16">
        <v>32</v>
      </c>
      <c r="E5188" s="17">
        <v>6245.76</v>
      </c>
      <c r="F5188" s="16">
        <v>0.1</v>
      </c>
      <c r="G5188" s="15" t="s">
        <v>32</v>
      </c>
      <c r="H5188" s="18">
        <v>1462.42</v>
      </c>
      <c r="I5188" s="19">
        <v>210.55</v>
      </c>
      <c r="J5188" s="19">
        <v>9.99</v>
      </c>
      <c r="K5188" s="19" t="s">
        <v>33</v>
      </c>
      <c r="L5188" s="19" t="s">
        <v>93</v>
      </c>
      <c r="M5188" s="15" t="s">
        <v>94</v>
      </c>
      <c r="N5188" s="15" t="s">
        <v>36</v>
      </c>
      <c r="O5188" s="15" t="s">
        <v>37</v>
      </c>
      <c r="P5188" s="20" t="s">
        <v>2238</v>
      </c>
      <c r="Q5188" s="15" t="s">
        <v>83</v>
      </c>
      <c r="R5188" s="4"/>
      <c r="S5188" s="4"/>
    </row>
    <row r="5189" spans="1:19" ht="21" customHeight="1" x14ac:dyDescent="0.25">
      <c r="A5189" s="14">
        <f>DATE(2012,12,31)-1213</f>
        <v>40061</v>
      </c>
      <c r="B5189" s="15" t="s">
        <v>1370</v>
      </c>
      <c r="C5189" s="15" t="s">
        <v>51</v>
      </c>
      <c r="D5189" s="16">
        <v>21</v>
      </c>
      <c r="E5189" s="17">
        <v>5482.18</v>
      </c>
      <c r="F5189" s="16">
        <v>0.06</v>
      </c>
      <c r="G5189" s="15" t="s">
        <v>101</v>
      </c>
      <c r="H5189" s="18">
        <v>1167.3800000000001</v>
      </c>
      <c r="I5189" s="19">
        <v>276.2</v>
      </c>
      <c r="J5189" s="19">
        <v>24.49</v>
      </c>
      <c r="K5189" s="19" t="s">
        <v>33</v>
      </c>
      <c r="L5189" s="19" t="s">
        <v>93</v>
      </c>
      <c r="M5189" s="15" t="s">
        <v>94</v>
      </c>
      <c r="N5189" s="15" t="s">
        <v>54</v>
      </c>
      <c r="O5189" s="15" t="s">
        <v>252</v>
      </c>
      <c r="P5189" s="20" t="s">
        <v>524</v>
      </c>
      <c r="Q5189" s="15" t="s">
        <v>39</v>
      </c>
      <c r="R5189" s="4"/>
      <c r="S5189" s="4"/>
    </row>
    <row r="5190" spans="1:19" ht="21" customHeight="1" x14ac:dyDescent="0.25">
      <c r="A5190" s="14">
        <f>DATE(2012,12,31)-1213</f>
        <v>40061</v>
      </c>
      <c r="B5190" s="15" t="s">
        <v>1370</v>
      </c>
      <c r="C5190" s="15" t="s">
        <v>51</v>
      </c>
      <c r="D5190" s="16">
        <v>16</v>
      </c>
      <c r="E5190" s="17">
        <v>45.57</v>
      </c>
      <c r="F5190" s="16">
        <v>0.09</v>
      </c>
      <c r="G5190" s="15" t="s">
        <v>32</v>
      </c>
      <c r="H5190" s="18">
        <v>2.81</v>
      </c>
      <c r="I5190" s="19">
        <v>2.88</v>
      </c>
      <c r="J5190" s="19">
        <v>0.7</v>
      </c>
      <c r="K5190" s="19" t="s">
        <v>97</v>
      </c>
      <c r="L5190" s="19" t="s">
        <v>283</v>
      </c>
      <c r="M5190" s="15" t="s">
        <v>2205</v>
      </c>
      <c r="N5190" s="15" t="s">
        <v>36</v>
      </c>
      <c r="O5190" s="15" t="s">
        <v>77</v>
      </c>
      <c r="P5190" s="20" t="s">
        <v>1022</v>
      </c>
      <c r="Q5190" s="15" t="s">
        <v>79</v>
      </c>
      <c r="R5190" s="4"/>
      <c r="S5190" s="4"/>
    </row>
    <row r="5191" spans="1:19" ht="21" customHeight="1" x14ac:dyDescent="0.25">
      <c r="A5191" s="14">
        <f>DATE(2012,12,31)-1154</f>
        <v>40120</v>
      </c>
      <c r="B5191" s="15" t="s">
        <v>1012</v>
      </c>
      <c r="C5191" s="15" t="s">
        <v>85</v>
      </c>
      <c r="D5191" s="16">
        <v>12</v>
      </c>
      <c r="E5191" s="17">
        <v>34.01</v>
      </c>
      <c r="F5191" s="16">
        <v>0</v>
      </c>
      <c r="G5191" s="15" t="s">
        <v>32</v>
      </c>
      <c r="H5191" s="18">
        <v>10.58</v>
      </c>
      <c r="I5191" s="19">
        <v>2.61</v>
      </c>
      <c r="J5191" s="19">
        <v>0.5</v>
      </c>
      <c r="K5191" s="19" t="s">
        <v>97</v>
      </c>
      <c r="L5191" s="19" t="s">
        <v>132</v>
      </c>
      <c r="M5191" s="15" t="s">
        <v>133</v>
      </c>
      <c r="N5191" s="15" t="s">
        <v>36</v>
      </c>
      <c r="O5191" s="15" t="s">
        <v>114</v>
      </c>
      <c r="P5191" s="20" t="s">
        <v>593</v>
      </c>
      <c r="Q5191" s="15" t="s">
        <v>83</v>
      </c>
      <c r="R5191" s="4"/>
      <c r="S5191" s="4"/>
    </row>
    <row r="5192" spans="1:19" ht="21" customHeight="1" x14ac:dyDescent="0.25">
      <c r="A5192" s="14">
        <f>DATE(2012,12,31)-1154</f>
        <v>40120</v>
      </c>
      <c r="B5192" s="15" t="s">
        <v>1012</v>
      </c>
      <c r="C5192" s="15" t="s">
        <v>85</v>
      </c>
      <c r="D5192" s="16">
        <v>41</v>
      </c>
      <c r="E5192" s="17">
        <v>1008.95</v>
      </c>
      <c r="F5192" s="16">
        <v>0.04</v>
      </c>
      <c r="G5192" s="15" t="s">
        <v>101</v>
      </c>
      <c r="H5192" s="18">
        <v>69.31</v>
      </c>
      <c r="I5192" s="19">
        <v>25.38</v>
      </c>
      <c r="J5192" s="19">
        <v>8.99</v>
      </c>
      <c r="K5192" s="19" t="s">
        <v>97</v>
      </c>
      <c r="L5192" s="19" t="s">
        <v>283</v>
      </c>
      <c r="M5192" s="15" t="s">
        <v>2205</v>
      </c>
      <c r="N5192" s="15" t="s">
        <v>54</v>
      </c>
      <c r="O5192" s="15" t="s">
        <v>55</v>
      </c>
      <c r="P5192" s="20" t="s">
        <v>947</v>
      </c>
      <c r="Q5192" s="15" t="s">
        <v>49</v>
      </c>
      <c r="R5192" s="4"/>
      <c r="S5192" s="4"/>
    </row>
    <row r="5193" spans="1:19" ht="21" customHeight="1" x14ac:dyDescent="0.25">
      <c r="A5193" s="14">
        <f>DATE(2012,12,31)-1154</f>
        <v>40120</v>
      </c>
      <c r="B5193" s="15" t="s">
        <v>1012</v>
      </c>
      <c r="C5193" s="15" t="s">
        <v>85</v>
      </c>
      <c r="D5193" s="16">
        <v>21</v>
      </c>
      <c r="E5193" s="17">
        <v>3508.33</v>
      </c>
      <c r="F5193" s="16">
        <v>0.04</v>
      </c>
      <c r="G5193" s="15" t="s">
        <v>32</v>
      </c>
      <c r="H5193" s="18">
        <v>-546.98</v>
      </c>
      <c r="I5193" s="19">
        <v>167.27</v>
      </c>
      <c r="J5193" s="19">
        <v>35</v>
      </c>
      <c r="K5193" s="19" t="s">
        <v>97</v>
      </c>
      <c r="L5193" s="19" t="s">
        <v>132</v>
      </c>
      <c r="M5193" s="15" t="s">
        <v>133</v>
      </c>
      <c r="N5193" s="15" t="s">
        <v>36</v>
      </c>
      <c r="O5193" s="15" t="s">
        <v>37</v>
      </c>
      <c r="P5193" s="20" t="s">
        <v>1472</v>
      </c>
      <c r="Q5193" s="15" t="s">
        <v>39</v>
      </c>
      <c r="R5193" s="4"/>
      <c r="S5193" s="4"/>
    </row>
    <row r="5194" spans="1:19" ht="21" customHeight="1" x14ac:dyDescent="0.25">
      <c r="A5194" s="14">
        <f>DATE(2012,12,31)-109</f>
        <v>41165</v>
      </c>
      <c r="B5194" s="15" t="s">
        <v>1956</v>
      </c>
      <c r="C5194" s="15" t="s">
        <v>85</v>
      </c>
      <c r="D5194" s="16">
        <v>30</v>
      </c>
      <c r="E5194" s="17">
        <v>201.09</v>
      </c>
      <c r="F5194" s="16">
        <v>0.08</v>
      </c>
      <c r="G5194" s="15" t="s">
        <v>32</v>
      </c>
      <c r="H5194" s="18">
        <v>-56.22</v>
      </c>
      <c r="I5194" s="19">
        <v>6.68</v>
      </c>
      <c r="J5194" s="19">
        <v>5.66</v>
      </c>
      <c r="K5194" s="19" t="s">
        <v>97</v>
      </c>
      <c r="L5194" s="19" t="s">
        <v>195</v>
      </c>
      <c r="M5194" s="15" t="s">
        <v>2138</v>
      </c>
      <c r="N5194" s="15" t="s">
        <v>36</v>
      </c>
      <c r="O5194" s="15" t="s">
        <v>117</v>
      </c>
      <c r="P5194" s="20" t="s">
        <v>625</v>
      </c>
      <c r="Q5194" s="15" t="s">
        <v>83</v>
      </c>
      <c r="R5194" s="4"/>
      <c r="S5194" s="4"/>
    </row>
    <row r="5195" spans="1:19" ht="21" customHeight="1" x14ac:dyDescent="0.25">
      <c r="A5195" s="14">
        <f>DATE(2012,12,31)-220</f>
        <v>41054</v>
      </c>
      <c r="B5195" s="15" t="s">
        <v>1926</v>
      </c>
      <c r="C5195" s="15" t="s">
        <v>31</v>
      </c>
      <c r="D5195" s="16">
        <v>45</v>
      </c>
      <c r="E5195" s="17">
        <v>3638.27</v>
      </c>
      <c r="F5195" s="16">
        <v>0.04</v>
      </c>
      <c r="G5195" s="15" t="s">
        <v>32</v>
      </c>
      <c r="H5195" s="18">
        <v>1123.79</v>
      </c>
      <c r="I5195" s="19">
        <v>80.98</v>
      </c>
      <c r="J5195" s="19">
        <v>4.5</v>
      </c>
      <c r="K5195" s="19" t="s">
        <v>97</v>
      </c>
      <c r="L5195" s="19" t="s">
        <v>98</v>
      </c>
      <c r="M5195" s="15" t="s">
        <v>2217</v>
      </c>
      <c r="N5195" s="15" t="s">
        <v>36</v>
      </c>
      <c r="O5195" s="15" t="s">
        <v>176</v>
      </c>
      <c r="P5195" s="20" t="s">
        <v>301</v>
      </c>
      <c r="Q5195" s="15" t="s">
        <v>83</v>
      </c>
      <c r="R5195" s="4"/>
      <c r="S5195" s="4"/>
    </row>
    <row r="5196" spans="1:19" ht="21" customHeight="1" x14ac:dyDescent="0.25">
      <c r="A5196" s="14">
        <f>DATE(2012,12,31)-220</f>
        <v>41054</v>
      </c>
      <c r="B5196" s="15" t="s">
        <v>1926</v>
      </c>
      <c r="C5196" s="15" t="s">
        <v>31</v>
      </c>
      <c r="D5196" s="16">
        <v>37</v>
      </c>
      <c r="E5196" s="17">
        <v>1326.69</v>
      </c>
      <c r="F5196" s="16">
        <v>0</v>
      </c>
      <c r="G5196" s="15" t="s">
        <v>32</v>
      </c>
      <c r="H5196" s="18">
        <v>185.37</v>
      </c>
      <c r="I5196" s="19">
        <v>33.29</v>
      </c>
      <c r="J5196" s="19">
        <v>8.74</v>
      </c>
      <c r="K5196" s="19" t="s">
        <v>97</v>
      </c>
      <c r="L5196" s="19" t="s">
        <v>195</v>
      </c>
      <c r="M5196" s="15" t="s">
        <v>2138</v>
      </c>
      <c r="N5196" s="15" t="s">
        <v>36</v>
      </c>
      <c r="O5196" s="15" t="s">
        <v>37</v>
      </c>
      <c r="P5196" s="20" t="s">
        <v>1885</v>
      </c>
      <c r="Q5196" s="15" t="s">
        <v>83</v>
      </c>
      <c r="R5196" s="4"/>
      <c r="S5196" s="4"/>
    </row>
    <row r="5197" spans="1:19" ht="21" customHeight="1" x14ac:dyDescent="0.25">
      <c r="A5197" s="14">
        <f>DATE(2012,12,31)-460</f>
        <v>40814</v>
      </c>
      <c r="B5197" s="15" t="s">
        <v>1872</v>
      </c>
      <c r="C5197" s="15" t="s">
        <v>85</v>
      </c>
      <c r="D5197" s="16">
        <v>34</v>
      </c>
      <c r="E5197" s="17">
        <v>2632.4755</v>
      </c>
      <c r="F5197" s="16">
        <v>0.01</v>
      </c>
      <c r="G5197" s="15" t="s">
        <v>32</v>
      </c>
      <c r="H5197" s="18">
        <v>1325.817</v>
      </c>
      <c r="I5197" s="19">
        <v>85.99</v>
      </c>
      <c r="J5197" s="19">
        <v>3.3</v>
      </c>
      <c r="K5197" s="19" t="s">
        <v>97</v>
      </c>
      <c r="L5197" s="19" t="s">
        <v>132</v>
      </c>
      <c r="M5197" s="15" t="s">
        <v>133</v>
      </c>
      <c r="N5197" s="15" t="s">
        <v>64</v>
      </c>
      <c r="O5197" s="15" t="s">
        <v>65</v>
      </c>
      <c r="P5197" s="20" t="s">
        <v>428</v>
      </c>
      <c r="Q5197" s="15" t="s">
        <v>49</v>
      </c>
      <c r="R5197" s="4"/>
      <c r="S5197" s="4"/>
    </row>
    <row r="5198" spans="1:19" ht="21" customHeight="1" x14ac:dyDescent="0.25">
      <c r="A5198" s="14">
        <f>DATE(2012,12,31)-712</f>
        <v>40562</v>
      </c>
      <c r="B5198" s="15" t="s">
        <v>1059</v>
      </c>
      <c r="C5198" s="15" t="s">
        <v>43</v>
      </c>
      <c r="D5198" s="16">
        <v>46</v>
      </c>
      <c r="E5198" s="17">
        <v>180.56</v>
      </c>
      <c r="F5198" s="16">
        <v>0.1</v>
      </c>
      <c r="G5198" s="15" t="s">
        <v>32</v>
      </c>
      <c r="H5198" s="18">
        <v>-15.79</v>
      </c>
      <c r="I5198" s="19">
        <v>4.28</v>
      </c>
      <c r="J5198" s="19">
        <v>1.6</v>
      </c>
      <c r="K5198" s="19" t="s">
        <v>124</v>
      </c>
      <c r="L5198" s="19" t="s">
        <v>160</v>
      </c>
      <c r="M5198" s="15" t="s">
        <v>2181</v>
      </c>
      <c r="N5198" s="15" t="s">
        <v>36</v>
      </c>
      <c r="O5198" s="15" t="s">
        <v>77</v>
      </c>
      <c r="P5198" s="20" t="s">
        <v>1333</v>
      </c>
      <c r="Q5198" s="15" t="s">
        <v>79</v>
      </c>
      <c r="R5198" s="4"/>
      <c r="S5198" s="4"/>
    </row>
    <row r="5199" spans="1:19" ht="21" customHeight="1" x14ac:dyDescent="0.25">
      <c r="A5199" s="14">
        <f>DATE(2012,12,31)-1273</f>
        <v>40001</v>
      </c>
      <c r="B5199" s="15" t="s">
        <v>681</v>
      </c>
      <c r="C5199" s="15" t="s">
        <v>31</v>
      </c>
      <c r="D5199" s="16">
        <v>20</v>
      </c>
      <c r="E5199" s="17">
        <v>668.8</v>
      </c>
      <c r="F5199" s="16">
        <v>0.04</v>
      </c>
      <c r="G5199" s="15" t="s">
        <v>32</v>
      </c>
      <c r="H5199" s="18">
        <v>92.34</v>
      </c>
      <c r="I5199" s="19">
        <v>33.89</v>
      </c>
      <c r="J5199" s="19">
        <v>5.0999999999999996</v>
      </c>
      <c r="K5199" s="19" t="s">
        <v>124</v>
      </c>
      <c r="L5199" s="19" t="s">
        <v>160</v>
      </c>
      <c r="M5199" s="15" t="s">
        <v>2181</v>
      </c>
      <c r="N5199" s="15" t="s">
        <v>36</v>
      </c>
      <c r="O5199" s="15" t="s">
        <v>37</v>
      </c>
      <c r="P5199" s="20" t="s">
        <v>1928</v>
      </c>
      <c r="Q5199" s="15" t="s">
        <v>83</v>
      </c>
      <c r="R5199" s="4"/>
      <c r="S5199" s="4"/>
    </row>
    <row r="5200" spans="1:19" ht="21" customHeight="1" x14ac:dyDescent="0.25">
      <c r="A5200" s="14">
        <f>DATE(2012,12,31)-538</f>
        <v>40736</v>
      </c>
      <c r="B5200" s="15" t="s">
        <v>586</v>
      </c>
      <c r="C5200" s="15" t="s">
        <v>51</v>
      </c>
      <c r="D5200" s="16">
        <v>32</v>
      </c>
      <c r="E5200" s="17">
        <v>115.81</v>
      </c>
      <c r="F5200" s="16">
        <v>7.0000000000000007E-2</v>
      </c>
      <c r="G5200" s="15" t="s">
        <v>32</v>
      </c>
      <c r="H5200" s="18">
        <v>47.56</v>
      </c>
      <c r="I5200" s="19">
        <v>3.69</v>
      </c>
      <c r="J5200" s="19">
        <v>0.5</v>
      </c>
      <c r="K5200" s="19" t="s">
        <v>124</v>
      </c>
      <c r="L5200" s="19" t="s">
        <v>160</v>
      </c>
      <c r="M5200" s="15" t="s">
        <v>2181</v>
      </c>
      <c r="N5200" s="15" t="s">
        <v>36</v>
      </c>
      <c r="O5200" s="15" t="s">
        <v>114</v>
      </c>
      <c r="P5200" s="20" t="s">
        <v>224</v>
      </c>
      <c r="Q5200" s="15" t="s">
        <v>83</v>
      </c>
      <c r="R5200" s="4"/>
      <c r="S5200" s="4"/>
    </row>
    <row r="5201" spans="1:19" ht="21" customHeight="1" x14ac:dyDescent="0.25">
      <c r="A5201" s="14">
        <f>DATE(2012,12,31)-1105</f>
        <v>40169</v>
      </c>
      <c r="B5201" s="15" t="s">
        <v>1193</v>
      </c>
      <c r="C5201" s="15" t="s">
        <v>85</v>
      </c>
      <c r="D5201" s="16">
        <v>7</v>
      </c>
      <c r="E5201" s="17">
        <v>1120.8599999999999</v>
      </c>
      <c r="F5201" s="16">
        <v>0.02</v>
      </c>
      <c r="G5201" s="15" t="s">
        <v>101</v>
      </c>
      <c r="H5201" s="18">
        <v>17.399999999999999</v>
      </c>
      <c r="I5201" s="19">
        <v>150.97999999999999</v>
      </c>
      <c r="J5201" s="19">
        <v>13.99</v>
      </c>
      <c r="K5201" s="19" t="s">
        <v>124</v>
      </c>
      <c r="L5201" s="19" t="s">
        <v>160</v>
      </c>
      <c r="M5201" s="15" t="s">
        <v>2181</v>
      </c>
      <c r="N5201" s="15" t="s">
        <v>64</v>
      </c>
      <c r="O5201" s="15" t="s">
        <v>122</v>
      </c>
      <c r="P5201" s="20" t="s">
        <v>123</v>
      </c>
      <c r="Q5201" s="15" t="s">
        <v>57</v>
      </c>
      <c r="R5201" s="4"/>
      <c r="S5201" s="4"/>
    </row>
    <row r="5202" spans="1:19" ht="21" customHeight="1" x14ac:dyDescent="0.25">
      <c r="A5202" s="14">
        <f>DATE(2012,12,31)-1105</f>
        <v>40169</v>
      </c>
      <c r="B5202" s="15" t="s">
        <v>1193</v>
      </c>
      <c r="C5202" s="15" t="s">
        <v>85</v>
      </c>
      <c r="D5202" s="16">
        <v>2</v>
      </c>
      <c r="E5202" s="17">
        <v>11.51</v>
      </c>
      <c r="F5202" s="16">
        <v>0.1</v>
      </c>
      <c r="G5202" s="15" t="s">
        <v>32</v>
      </c>
      <c r="H5202" s="18">
        <v>-5.16</v>
      </c>
      <c r="I5202" s="19">
        <v>5.43</v>
      </c>
      <c r="J5202" s="19">
        <v>0.95</v>
      </c>
      <c r="K5202" s="19" t="s">
        <v>124</v>
      </c>
      <c r="L5202" s="19" t="s">
        <v>493</v>
      </c>
      <c r="M5202" s="15" t="s">
        <v>2206</v>
      </c>
      <c r="N5202" s="15" t="s">
        <v>36</v>
      </c>
      <c r="O5202" s="15" t="s">
        <v>117</v>
      </c>
      <c r="P5202" s="20" t="s">
        <v>1243</v>
      </c>
      <c r="Q5202" s="15" t="s">
        <v>79</v>
      </c>
      <c r="R5202" s="4"/>
      <c r="S5202" s="4"/>
    </row>
    <row r="5203" spans="1:19" ht="21" customHeight="1" x14ac:dyDescent="0.25">
      <c r="A5203" s="14">
        <f>DATE(2012,12,31)-1105</f>
        <v>40169</v>
      </c>
      <c r="B5203" s="15" t="s">
        <v>1193</v>
      </c>
      <c r="C5203" s="15" t="s">
        <v>85</v>
      </c>
      <c r="D5203" s="16">
        <v>45</v>
      </c>
      <c r="E5203" s="17">
        <v>6668.8559999999998</v>
      </c>
      <c r="F5203" s="16">
        <v>0.01</v>
      </c>
      <c r="G5203" s="15" t="s">
        <v>58</v>
      </c>
      <c r="H5203" s="18">
        <v>871.97</v>
      </c>
      <c r="I5203" s="19">
        <v>179.29</v>
      </c>
      <c r="J5203" s="19">
        <v>29.21</v>
      </c>
      <c r="K5203" s="19" t="s">
        <v>124</v>
      </c>
      <c r="L5203" s="19" t="s">
        <v>164</v>
      </c>
      <c r="M5203" s="15" t="s">
        <v>2171</v>
      </c>
      <c r="N5203" s="15" t="s">
        <v>54</v>
      </c>
      <c r="O5203" s="15" t="s">
        <v>61</v>
      </c>
      <c r="P5203" s="20" t="s">
        <v>592</v>
      </c>
      <c r="Q5203" s="15" t="s">
        <v>63</v>
      </c>
      <c r="R5203" s="4"/>
      <c r="S5203" s="4"/>
    </row>
    <row r="5204" spans="1:19" ht="21" customHeight="1" x14ac:dyDescent="0.25">
      <c r="A5204" s="14">
        <f>DATE(2012,12,31)-1120</f>
        <v>40154</v>
      </c>
      <c r="B5204" s="15" t="s">
        <v>492</v>
      </c>
      <c r="C5204" s="15" t="s">
        <v>85</v>
      </c>
      <c r="D5204" s="16">
        <v>34</v>
      </c>
      <c r="E5204" s="17">
        <v>459.08</v>
      </c>
      <c r="F5204" s="16">
        <v>0.04</v>
      </c>
      <c r="G5204" s="15" t="s">
        <v>101</v>
      </c>
      <c r="H5204" s="18">
        <v>61.57</v>
      </c>
      <c r="I5204" s="19">
        <v>12.98</v>
      </c>
      <c r="J5204" s="19">
        <v>3.14</v>
      </c>
      <c r="K5204" s="19" t="s">
        <v>124</v>
      </c>
      <c r="L5204" s="19" t="s">
        <v>160</v>
      </c>
      <c r="M5204" s="15" t="s">
        <v>2181</v>
      </c>
      <c r="N5204" s="15" t="s">
        <v>36</v>
      </c>
      <c r="O5204" s="15" t="s">
        <v>47</v>
      </c>
      <c r="P5204" s="20" t="s">
        <v>152</v>
      </c>
      <c r="Q5204" s="15" t="s">
        <v>49</v>
      </c>
      <c r="R5204" s="4"/>
      <c r="S5204" s="4"/>
    </row>
    <row r="5205" spans="1:19" ht="21" customHeight="1" x14ac:dyDescent="0.25">
      <c r="A5205" s="14">
        <f>DATE(2012,12,31)-563</f>
        <v>40711</v>
      </c>
      <c r="B5205" s="15" t="s">
        <v>1144</v>
      </c>
      <c r="C5205" s="15" t="s">
        <v>85</v>
      </c>
      <c r="D5205" s="16">
        <v>40</v>
      </c>
      <c r="E5205" s="17">
        <v>5264.48</v>
      </c>
      <c r="F5205" s="16">
        <v>0.03</v>
      </c>
      <c r="G5205" s="15" t="s">
        <v>58</v>
      </c>
      <c r="H5205" s="18">
        <v>-284.06</v>
      </c>
      <c r="I5205" s="19">
        <v>130.97999999999999</v>
      </c>
      <c r="J5205" s="19">
        <v>30</v>
      </c>
      <c r="K5205" s="19" t="s">
        <v>124</v>
      </c>
      <c r="L5205" s="19" t="s">
        <v>160</v>
      </c>
      <c r="M5205" s="15" t="s">
        <v>2181</v>
      </c>
      <c r="N5205" s="15" t="s">
        <v>54</v>
      </c>
      <c r="O5205" s="15" t="s">
        <v>252</v>
      </c>
      <c r="P5205" s="20" t="s">
        <v>980</v>
      </c>
      <c r="Q5205" s="15" t="s">
        <v>181</v>
      </c>
      <c r="R5205" s="4"/>
      <c r="S5205" s="4"/>
    </row>
    <row r="5206" spans="1:19" ht="21" customHeight="1" x14ac:dyDescent="0.25">
      <c r="A5206" s="14">
        <f>DATE(2012,12,31)-757</f>
        <v>40517</v>
      </c>
      <c r="B5206" s="15" t="s">
        <v>732</v>
      </c>
      <c r="C5206" s="15" t="s">
        <v>43</v>
      </c>
      <c r="D5206" s="16">
        <v>39</v>
      </c>
      <c r="E5206" s="17">
        <v>104.33</v>
      </c>
      <c r="F5206" s="16">
        <v>0</v>
      </c>
      <c r="G5206" s="15" t="s">
        <v>32</v>
      </c>
      <c r="H5206" s="18">
        <v>39.909999999999997</v>
      </c>
      <c r="I5206" s="19">
        <v>2.61</v>
      </c>
      <c r="J5206" s="19">
        <v>0.5</v>
      </c>
      <c r="K5206" s="19" t="s">
        <v>124</v>
      </c>
      <c r="L5206" s="19" t="s">
        <v>160</v>
      </c>
      <c r="M5206" s="15" t="s">
        <v>2181</v>
      </c>
      <c r="N5206" s="15" t="s">
        <v>36</v>
      </c>
      <c r="O5206" s="15" t="s">
        <v>114</v>
      </c>
      <c r="P5206" s="20" t="s">
        <v>593</v>
      </c>
      <c r="Q5206" s="15" t="s">
        <v>83</v>
      </c>
      <c r="R5206" s="4"/>
      <c r="S5206" s="4"/>
    </row>
    <row r="5207" spans="1:19" ht="21" customHeight="1" x14ac:dyDescent="0.25">
      <c r="A5207" s="14">
        <f>DATE(2012,12,31)-93</f>
        <v>41181</v>
      </c>
      <c r="B5207" s="15" t="s">
        <v>1043</v>
      </c>
      <c r="C5207" s="15" t="s">
        <v>31</v>
      </c>
      <c r="D5207" s="16">
        <v>50</v>
      </c>
      <c r="E5207" s="17">
        <v>481.23</v>
      </c>
      <c r="F5207" s="16">
        <v>7.0000000000000007E-2</v>
      </c>
      <c r="G5207" s="15" t="s">
        <v>32</v>
      </c>
      <c r="H5207" s="18">
        <v>-409.24</v>
      </c>
      <c r="I5207" s="19">
        <v>9.98</v>
      </c>
      <c r="J5207" s="19">
        <v>12.52</v>
      </c>
      <c r="K5207" s="19" t="s">
        <v>124</v>
      </c>
      <c r="L5207" s="19" t="s">
        <v>164</v>
      </c>
      <c r="M5207" s="15" t="s">
        <v>2171</v>
      </c>
      <c r="N5207" s="15" t="s">
        <v>54</v>
      </c>
      <c r="O5207" s="15" t="s">
        <v>55</v>
      </c>
      <c r="P5207" s="20" t="s">
        <v>1999</v>
      </c>
      <c r="Q5207" s="15" t="s">
        <v>83</v>
      </c>
      <c r="R5207" s="4"/>
      <c r="S5207" s="4"/>
    </row>
    <row r="5208" spans="1:19" ht="21" customHeight="1" x14ac:dyDescent="0.25">
      <c r="A5208" s="14">
        <f>DATE(2012,12,31)-93</f>
        <v>41181</v>
      </c>
      <c r="B5208" s="15" t="s">
        <v>1043</v>
      </c>
      <c r="C5208" s="15" t="s">
        <v>31</v>
      </c>
      <c r="D5208" s="16">
        <v>41</v>
      </c>
      <c r="E5208" s="17">
        <v>265.39</v>
      </c>
      <c r="F5208" s="16">
        <v>0.1</v>
      </c>
      <c r="G5208" s="15" t="s">
        <v>32</v>
      </c>
      <c r="H5208" s="18">
        <v>-237.01</v>
      </c>
      <c r="I5208" s="19">
        <v>6.48</v>
      </c>
      <c r="J5208" s="19">
        <v>9.5399999999999991</v>
      </c>
      <c r="K5208" s="19" t="s">
        <v>124</v>
      </c>
      <c r="L5208" s="19" t="s">
        <v>164</v>
      </c>
      <c r="M5208" s="15" t="s">
        <v>2171</v>
      </c>
      <c r="N5208" s="15" t="s">
        <v>36</v>
      </c>
      <c r="O5208" s="15" t="s">
        <v>117</v>
      </c>
      <c r="P5208" s="20" t="s">
        <v>684</v>
      </c>
      <c r="Q5208" s="15" t="s">
        <v>83</v>
      </c>
      <c r="R5208" s="4"/>
      <c r="S5208" s="4"/>
    </row>
    <row r="5209" spans="1:19" ht="21" customHeight="1" x14ac:dyDescent="0.25">
      <c r="A5209" s="14">
        <f>DATE(2012,12,31)-93</f>
        <v>41181</v>
      </c>
      <c r="B5209" s="15" t="s">
        <v>1043</v>
      </c>
      <c r="C5209" s="15" t="s">
        <v>31</v>
      </c>
      <c r="D5209" s="16">
        <v>8</v>
      </c>
      <c r="E5209" s="17">
        <v>56.5</v>
      </c>
      <c r="F5209" s="16">
        <v>0.02</v>
      </c>
      <c r="G5209" s="15" t="s">
        <v>32</v>
      </c>
      <c r="H5209" s="18">
        <v>-17.16</v>
      </c>
      <c r="I5209" s="19">
        <v>6.48</v>
      </c>
      <c r="J5209" s="19">
        <v>5.19</v>
      </c>
      <c r="K5209" s="19" t="s">
        <v>124</v>
      </c>
      <c r="L5209" s="19" t="s">
        <v>319</v>
      </c>
      <c r="M5209" s="15" t="s">
        <v>2214</v>
      </c>
      <c r="N5209" s="15" t="s">
        <v>36</v>
      </c>
      <c r="O5209" s="15" t="s">
        <v>117</v>
      </c>
      <c r="P5209" s="20" t="s">
        <v>2054</v>
      </c>
      <c r="Q5209" s="15" t="s">
        <v>83</v>
      </c>
      <c r="R5209" s="4"/>
      <c r="S5209" s="4"/>
    </row>
    <row r="5210" spans="1:19" ht="21" customHeight="1" x14ac:dyDescent="0.25">
      <c r="A5210" s="14">
        <f>DATE(2012,12,31)-1115</f>
        <v>40159</v>
      </c>
      <c r="B5210" s="15" t="s">
        <v>1834</v>
      </c>
      <c r="C5210" s="15" t="s">
        <v>85</v>
      </c>
      <c r="D5210" s="16">
        <v>28</v>
      </c>
      <c r="E5210" s="17">
        <v>14475.74</v>
      </c>
      <c r="F5210" s="16">
        <v>0.06</v>
      </c>
      <c r="G5210" s="15" t="s">
        <v>58</v>
      </c>
      <c r="H5210" s="18">
        <v>4963.8900000000003</v>
      </c>
      <c r="I5210" s="19">
        <v>549.99</v>
      </c>
      <c r="J5210" s="19">
        <v>49</v>
      </c>
      <c r="K5210" s="19" t="s">
        <v>124</v>
      </c>
      <c r="L5210" s="19" t="s">
        <v>168</v>
      </c>
      <c r="M5210" s="15" t="s">
        <v>2207</v>
      </c>
      <c r="N5210" s="15" t="s">
        <v>64</v>
      </c>
      <c r="O5210" s="15" t="s">
        <v>460</v>
      </c>
      <c r="P5210" s="20" t="s">
        <v>708</v>
      </c>
      <c r="Q5210" s="15" t="s">
        <v>181</v>
      </c>
      <c r="R5210" s="4"/>
      <c r="S5210" s="4"/>
    </row>
    <row r="5211" spans="1:19" ht="21" customHeight="1" x14ac:dyDescent="0.25">
      <c r="A5211" s="14">
        <f>DATE(2012,12,31)-1115</f>
        <v>40159</v>
      </c>
      <c r="B5211" s="15" t="s">
        <v>1834</v>
      </c>
      <c r="C5211" s="15" t="s">
        <v>85</v>
      </c>
      <c r="D5211" s="16">
        <v>3</v>
      </c>
      <c r="E5211" s="17">
        <v>306.62049999999999</v>
      </c>
      <c r="F5211" s="16">
        <v>0.08</v>
      </c>
      <c r="G5211" s="15" t="s">
        <v>101</v>
      </c>
      <c r="H5211" s="18">
        <v>-479.08299999999997</v>
      </c>
      <c r="I5211" s="19">
        <v>115.99</v>
      </c>
      <c r="J5211" s="19">
        <v>5.99</v>
      </c>
      <c r="K5211" s="19" t="s">
        <v>124</v>
      </c>
      <c r="L5211" s="19" t="s">
        <v>164</v>
      </c>
      <c r="M5211" s="15" t="s">
        <v>2171</v>
      </c>
      <c r="N5211" s="15" t="s">
        <v>64</v>
      </c>
      <c r="O5211" s="15" t="s">
        <v>65</v>
      </c>
      <c r="P5211" s="20" t="s">
        <v>1032</v>
      </c>
      <c r="Q5211" s="15" t="s">
        <v>83</v>
      </c>
      <c r="R5211" s="4"/>
      <c r="S5211" s="4"/>
    </row>
    <row r="5212" spans="1:19" ht="21" customHeight="1" x14ac:dyDescent="0.25">
      <c r="A5212" s="14">
        <f>DATE(2012,12,31)-1147</f>
        <v>40127</v>
      </c>
      <c r="B5212" s="15" t="s">
        <v>1766</v>
      </c>
      <c r="C5212" s="15" t="s">
        <v>51</v>
      </c>
      <c r="D5212" s="16">
        <v>37</v>
      </c>
      <c r="E5212" s="17">
        <v>641.89</v>
      </c>
      <c r="F5212" s="16">
        <v>0.03</v>
      </c>
      <c r="G5212" s="15" t="s">
        <v>32</v>
      </c>
      <c r="H5212" s="18">
        <v>207.3</v>
      </c>
      <c r="I5212" s="19">
        <v>17.48</v>
      </c>
      <c r="J5212" s="19">
        <v>1.99</v>
      </c>
      <c r="K5212" s="19" t="s">
        <v>124</v>
      </c>
      <c r="L5212" s="19" t="s">
        <v>319</v>
      </c>
      <c r="M5212" s="15" t="s">
        <v>2214</v>
      </c>
      <c r="N5212" s="15" t="s">
        <v>64</v>
      </c>
      <c r="O5212" s="15" t="s">
        <v>72</v>
      </c>
      <c r="P5212" s="20" t="s">
        <v>1262</v>
      </c>
      <c r="Q5212" s="15" t="s">
        <v>49</v>
      </c>
      <c r="R5212" s="4"/>
      <c r="S5212" s="4"/>
    </row>
    <row r="5213" spans="1:19" ht="21" customHeight="1" x14ac:dyDescent="0.25">
      <c r="A5213" s="14">
        <f>DATE(2012,12,31)-22</f>
        <v>41252</v>
      </c>
      <c r="B5213" s="15" t="s">
        <v>533</v>
      </c>
      <c r="C5213" s="15" t="s">
        <v>43</v>
      </c>
      <c r="D5213" s="16">
        <v>50</v>
      </c>
      <c r="E5213" s="17">
        <v>919</v>
      </c>
      <c r="F5213" s="16">
        <v>0</v>
      </c>
      <c r="G5213" s="15" t="s">
        <v>32</v>
      </c>
      <c r="H5213" s="18">
        <v>89.6</v>
      </c>
      <c r="I5213" s="19">
        <v>17.670000000000002</v>
      </c>
      <c r="J5213" s="19">
        <v>8.99</v>
      </c>
      <c r="K5213" s="19" t="s">
        <v>124</v>
      </c>
      <c r="L5213" s="19" t="s">
        <v>319</v>
      </c>
      <c r="M5213" s="15" t="s">
        <v>2239</v>
      </c>
      <c r="N5213" s="15" t="s">
        <v>54</v>
      </c>
      <c r="O5213" s="15" t="s">
        <v>55</v>
      </c>
      <c r="P5213" s="20" t="s">
        <v>458</v>
      </c>
      <c r="Q5213" s="15" t="s">
        <v>49</v>
      </c>
      <c r="R5213" s="4"/>
      <c r="S5213" s="4"/>
    </row>
    <row r="5214" spans="1:19" ht="21" customHeight="1" x14ac:dyDescent="0.25">
      <c r="A5214" s="14">
        <f>DATE(2012,12,31)-1392</f>
        <v>39882</v>
      </c>
      <c r="B5214" s="15" t="s">
        <v>537</v>
      </c>
      <c r="C5214" s="15" t="s">
        <v>31</v>
      </c>
      <c r="D5214" s="16">
        <v>3</v>
      </c>
      <c r="E5214" s="17">
        <v>18888</v>
      </c>
      <c r="F5214" s="16">
        <v>0.09</v>
      </c>
      <c r="G5214" s="15" t="s">
        <v>32</v>
      </c>
      <c r="H5214" s="18">
        <v>-14140.7016</v>
      </c>
      <c r="I5214" s="19">
        <v>6783.02</v>
      </c>
      <c r="J5214" s="19">
        <v>24.49</v>
      </c>
      <c r="K5214" s="19" t="s">
        <v>124</v>
      </c>
      <c r="L5214" s="19" t="s">
        <v>168</v>
      </c>
      <c r="M5214" s="15" t="s">
        <v>2207</v>
      </c>
      <c r="N5214" s="15" t="s">
        <v>64</v>
      </c>
      <c r="O5214" s="15" t="s">
        <v>122</v>
      </c>
      <c r="P5214" s="20" t="s">
        <v>750</v>
      </c>
      <c r="Q5214" s="15" t="s">
        <v>39</v>
      </c>
      <c r="R5214" s="4"/>
      <c r="S5214" s="4"/>
    </row>
    <row r="5215" spans="1:19" ht="21" customHeight="1" x14ac:dyDescent="0.25">
      <c r="A5215" s="14">
        <f>DATE(2012,12,31)-657</f>
        <v>40617</v>
      </c>
      <c r="B5215" s="15" t="s">
        <v>1589</v>
      </c>
      <c r="C5215" s="15" t="s">
        <v>43</v>
      </c>
      <c r="D5215" s="16">
        <v>44</v>
      </c>
      <c r="E5215" s="17">
        <v>9499.2999999999993</v>
      </c>
      <c r="F5215" s="16">
        <v>0.01</v>
      </c>
      <c r="G5215" s="15" t="s">
        <v>58</v>
      </c>
      <c r="H5215" s="18">
        <v>618.36</v>
      </c>
      <c r="I5215" s="19">
        <v>216.6</v>
      </c>
      <c r="J5215" s="19">
        <v>64.2</v>
      </c>
      <c r="K5215" s="19" t="s">
        <v>124</v>
      </c>
      <c r="L5215" s="19" t="s">
        <v>168</v>
      </c>
      <c r="M5215" s="15" t="s">
        <v>2207</v>
      </c>
      <c r="N5215" s="15" t="s">
        <v>54</v>
      </c>
      <c r="O5215" s="15" t="s">
        <v>252</v>
      </c>
      <c r="P5215" s="20" t="s">
        <v>855</v>
      </c>
      <c r="Q5215" s="15" t="s">
        <v>181</v>
      </c>
      <c r="R5215" s="4"/>
      <c r="S5215" s="4"/>
    </row>
    <row r="5216" spans="1:19" ht="21" customHeight="1" x14ac:dyDescent="0.25">
      <c r="A5216" s="14">
        <f>DATE(2012,12,31)-317</f>
        <v>40957</v>
      </c>
      <c r="B5216" s="15" t="s">
        <v>485</v>
      </c>
      <c r="C5216" s="15" t="s">
        <v>51</v>
      </c>
      <c r="D5216" s="16">
        <v>50</v>
      </c>
      <c r="E5216" s="17">
        <v>794.58</v>
      </c>
      <c r="F5216" s="16">
        <v>0.05</v>
      </c>
      <c r="G5216" s="15" t="s">
        <v>58</v>
      </c>
      <c r="H5216" s="18">
        <v>11.650950000000002</v>
      </c>
      <c r="I5216" s="19">
        <v>15.23</v>
      </c>
      <c r="J5216" s="19">
        <v>27.75</v>
      </c>
      <c r="K5216" s="19" t="s">
        <v>124</v>
      </c>
      <c r="L5216" s="19" t="s">
        <v>164</v>
      </c>
      <c r="M5216" s="15" t="s">
        <v>2171</v>
      </c>
      <c r="N5216" s="15" t="s">
        <v>54</v>
      </c>
      <c r="O5216" s="15" t="s">
        <v>61</v>
      </c>
      <c r="P5216" s="20" t="s">
        <v>1635</v>
      </c>
      <c r="Q5216" s="15" t="s">
        <v>63</v>
      </c>
      <c r="R5216" s="4"/>
      <c r="S5216" s="4"/>
    </row>
    <row r="5217" spans="1:19" ht="21" customHeight="1" x14ac:dyDescent="0.25">
      <c r="A5217" s="14">
        <f>DATE(2012,12,31)-276</f>
        <v>40998</v>
      </c>
      <c r="B5217" s="15" t="s">
        <v>2220</v>
      </c>
      <c r="C5217" s="15" t="s">
        <v>31</v>
      </c>
      <c r="D5217" s="16">
        <v>33</v>
      </c>
      <c r="E5217" s="17">
        <v>21205.5</v>
      </c>
      <c r="F5217" s="16">
        <v>0.1</v>
      </c>
      <c r="G5217" s="15" t="s">
        <v>32</v>
      </c>
      <c r="H5217" s="18">
        <v>241.3</v>
      </c>
      <c r="I5217" s="19">
        <v>699.99</v>
      </c>
      <c r="J5217" s="19">
        <v>24.49</v>
      </c>
      <c r="K5217" s="19" t="s">
        <v>44</v>
      </c>
      <c r="L5217" s="19" t="s">
        <v>52</v>
      </c>
      <c r="M5217" s="15" t="s">
        <v>2183</v>
      </c>
      <c r="N5217" s="15" t="s">
        <v>64</v>
      </c>
      <c r="O5217" s="15" t="s">
        <v>460</v>
      </c>
      <c r="P5217" s="20" t="s">
        <v>461</v>
      </c>
      <c r="Q5217" s="15" t="s">
        <v>39</v>
      </c>
      <c r="R5217" s="4"/>
      <c r="S5217" s="4"/>
    </row>
    <row r="5218" spans="1:19" ht="21" customHeight="1" x14ac:dyDescent="0.25">
      <c r="A5218" s="14">
        <f>DATE(2012,12,31)-1082</f>
        <v>40192</v>
      </c>
      <c r="B5218" s="15" t="s">
        <v>343</v>
      </c>
      <c r="C5218" s="15" t="s">
        <v>51</v>
      </c>
      <c r="D5218" s="16">
        <v>46</v>
      </c>
      <c r="E5218" s="17">
        <v>72.180000000000007</v>
      </c>
      <c r="F5218" s="16">
        <v>0</v>
      </c>
      <c r="G5218" s="15" t="s">
        <v>32</v>
      </c>
      <c r="H5218" s="18">
        <v>11.83</v>
      </c>
      <c r="I5218" s="19">
        <v>1.48</v>
      </c>
      <c r="J5218" s="19">
        <v>0.7</v>
      </c>
      <c r="K5218" s="19" t="s">
        <v>44</v>
      </c>
      <c r="L5218" s="19" t="s">
        <v>52</v>
      </c>
      <c r="M5218" s="15" t="s">
        <v>2183</v>
      </c>
      <c r="N5218" s="15" t="s">
        <v>36</v>
      </c>
      <c r="O5218" s="15" t="s">
        <v>105</v>
      </c>
      <c r="P5218" s="20" t="s">
        <v>1165</v>
      </c>
      <c r="Q5218" s="15" t="s">
        <v>79</v>
      </c>
      <c r="R5218" s="4"/>
      <c r="S5218" s="4"/>
    </row>
    <row r="5219" spans="1:19" ht="21" customHeight="1" x14ac:dyDescent="0.25">
      <c r="A5219" s="14">
        <f>DATE(2012,12,31)-821</f>
        <v>40453</v>
      </c>
      <c r="B5219" s="15" t="s">
        <v>665</v>
      </c>
      <c r="C5219" s="15" t="s">
        <v>51</v>
      </c>
      <c r="D5219" s="16">
        <v>19</v>
      </c>
      <c r="E5219" s="17">
        <v>178.44</v>
      </c>
      <c r="F5219" s="16">
        <v>0.03</v>
      </c>
      <c r="G5219" s="15" t="s">
        <v>32</v>
      </c>
      <c r="H5219" s="18">
        <v>50.13</v>
      </c>
      <c r="I5219" s="19">
        <v>9.11</v>
      </c>
      <c r="J5219" s="19">
        <v>2.15</v>
      </c>
      <c r="K5219" s="19" t="s">
        <v>44</v>
      </c>
      <c r="L5219" s="19" t="s">
        <v>52</v>
      </c>
      <c r="M5219" s="15" t="s">
        <v>2183</v>
      </c>
      <c r="N5219" s="15" t="s">
        <v>36</v>
      </c>
      <c r="O5219" s="15" t="s">
        <v>117</v>
      </c>
      <c r="P5219" s="20" t="s">
        <v>1374</v>
      </c>
      <c r="Q5219" s="15" t="s">
        <v>79</v>
      </c>
      <c r="R5219" s="4"/>
      <c r="S5219" s="4"/>
    </row>
    <row r="5220" spans="1:19" ht="21" customHeight="1" x14ac:dyDescent="0.25">
      <c r="A5220" s="14">
        <f>DATE(2012,12,31)-589</f>
        <v>40685</v>
      </c>
      <c r="B5220" s="15" t="s">
        <v>303</v>
      </c>
      <c r="C5220" s="15" t="s">
        <v>85</v>
      </c>
      <c r="D5220" s="16">
        <v>39</v>
      </c>
      <c r="E5220" s="17">
        <v>4647.6899999999996</v>
      </c>
      <c r="F5220" s="16">
        <v>0.02</v>
      </c>
      <c r="G5220" s="15" t="s">
        <v>58</v>
      </c>
      <c r="H5220" s="18">
        <v>182.53</v>
      </c>
      <c r="I5220" s="19">
        <v>113.98</v>
      </c>
      <c r="J5220" s="19">
        <v>30</v>
      </c>
      <c r="K5220" s="19" t="s">
        <v>44</v>
      </c>
      <c r="L5220" s="19" t="s">
        <v>80</v>
      </c>
      <c r="M5220" s="15" t="s">
        <v>2179</v>
      </c>
      <c r="N5220" s="15" t="s">
        <v>54</v>
      </c>
      <c r="O5220" s="15" t="s">
        <v>252</v>
      </c>
      <c r="P5220" s="20" t="s">
        <v>521</v>
      </c>
      <c r="Q5220" s="15" t="s">
        <v>181</v>
      </c>
      <c r="R5220" s="4"/>
      <c r="S5220" s="4"/>
    </row>
    <row r="5221" spans="1:19" ht="21" customHeight="1" x14ac:dyDescent="0.25">
      <c r="A5221" s="14">
        <f>DATE(2012,12,31)-589</f>
        <v>40685</v>
      </c>
      <c r="B5221" s="15" t="s">
        <v>303</v>
      </c>
      <c r="C5221" s="15" t="s">
        <v>85</v>
      </c>
      <c r="D5221" s="16">
        <v>45</v>
      </c>
      <c r="E5221" s="17">
        <v>2503.3265000000001</v>
      </c>
      <c r="F5221" s="16">
        <v>0.04</v>
      </c>
      <c r="G5221" s="15" t="s">
        <v>32</v>
      </c>
      <c r="H5221" s="18">
        <v>447.12</v>
      </c>
      <c r="I5221" s="19">
        <v>65.989999999999995</v>
      </c>
      <c r="J5221" s="19">
        <v>8.8000000000000007</v>
      </c>
      <c r="K5221" s="19" t="s">
        <v>124</v>
      </c>
      <c r="L5221" s="19" t="s">
        <v>319</v>
      </c>
      <c r="M5221" s="15" t="s">
        <v>2239</v>
      </c>
      <c r="N5221" s="15" t="s">
        <v>64</v>
      </c>
      <c r="O5221" s="15" t="s">
        <v>65</v>
      </c>
      <c r="P5221" s="20" t="s">
        <v>2041</v>
      </c>
      <c r="Q5221" s="15" t="s">
        <v>83</v>
      </c>
      <c r="R5221" s="4"/>
      <c r="S5221" s="4"/>
    </row>
    <row r="5222" spans="1:19" ht="21" customHeight="1" x14ac:dyDescent="0.25">
      <c r="A5222" s="14">
        <f>DATE(2012,12,31)-1045</f>
        <v>40229</v>
      </c>
      <c r="B5222" s="15" t="s">
        <v>1166</v>
      </c>
      <c r="C5222" s="15" t="s">
        <v>51</v>
      </c>
      <c r="D5222" s="16">
        <v>39</v>
      </c>
      <c r="E5222" s="17">
        <v>213</v>
      </c>
      <c r="F5222" s="16">
        <v>0.01</v>
      </c>
      <c r="G5222" s="15" t="s">
        <v>32</v>
      </c>
      <c r="H5222" s="18">
        <v>-71.09</v>
      </c>
      <c r="I5222" s="19">
        <v>5.28</v>
      </c>
      <c r="J5222" s="19">
        <v>5.0599999999999996</v>
      </c>
      <c r="K5222" s="19" t="s">
        <v>124</v>
      </c>
      <c r="L5222" s="19" t="s">
        <v>319</v>
      </c>
      <c r="M5222" s="15" t="s">
        <v>2239</v>
      </c>
      <c r="N5222" s="15" t="s">
        <v>36</v>
      </c>
      <c r="O5222" s="15" t="s">
        <v>117</v>
      </c>
      <c r="P5222" s="20" t="s">
        <v>1795</v>
      </c>
      <c r="Q5222" s="15" t="s">
        <v>83</v>
      </c>
      <c r="R5222" s="4"/>
      <c r="S5222" s="4"/>
    </row>
    <row r="5223" spans="1:19" ht="21" customHeight="1" x14ac:dyDescent="0.25">
      <c r="A5223" s="14">
        <f>DATE(2012,12,31)-100</f>
        <v>41174</v>
      </c>
      <c r="B5223" s="15" t="s">
        <v>350</v>
      </c>
      <c r="C5223" s="15" t="s">
        <v>31</v>
      </c>
      <c r="D5223" s="16">
        <v>25</v>
      </c>
      <c r="E5223" s="17">
        <v>172.04</v>
      </c>
      <c r="F5223" s="16">
        <v>0.05</v>
      </c>
      <c r="G5223" s="15" t="s">
        <v>32</v>
      </c>
      <c r="H5223" s="18">
        <v>-85.11</v>
      </c>
      <c r="I5223" s="19">
        <v>6.48</v>
      </c>
      <c r="J5223" s="19">
        <v>7.37</v>
      </c>
      <c r="K5223" s="19" t="s">
        <v>44</v>
      </c>
      <c r="L5223" s="19" t="s">
        <v>52</v>
      </c>
      <c r="M5223" s="15" t="s">
        <v>2183</v>
      </c>
      <c r="N5223" s="15" t="s">
        <v>36</v>
      </c>
      <c r="O5223" s="15" t="s">
        <v>117</v>
      </c>
      <c r="P5223" s="20" t="s">
        <v>998</v>
      </c>
      <c r="Q5223" s="15" t="s">
        <v>83</v>
      </c>
      <c r="R5223" s="4"/>
      <c r="S5223" s="4"/>
    </row>
    <row r="5224" spans="1:19" ht="21" customHeight="1" x14ac:dyDescent="0.25">
      <c r="A5224" s="14">
        <f>DATE(2012,12,31)-61</f>
        <v>41213</v>
      </c>
      <c r="B5224" s="15" t="s">
        <v>403</v>
      </c>
      <c r="C5224" s="15" t="s">
        <v>51</v>
      </c>
      <c r="D5224" s="16">
        <v>8</v>
      </c>
      <c r="E5224" s="17">
        <v>23.19</v>
      </c>
      <c r="F5224" s="16">
        <v>0.02</v>
      </c>
      <c r="G5224" s="15" t="s">
        <v>32</v>
      </c>
      <c r="H5224" s="18">
        <v>-13.27</v>
      </c>
      <c r="I5224" s="19">
        <v>2.6</v>
      </c>
      <c r="J5224" s="19">
        <v>2.4</v>
      </c>
      <c r="K5224" s="19" t="s">
        <v>44</v>
      </c>
      <c r="L5224" s="19" t="s">
        <v>236</v>
      </c>
      <c r="M5224" s="15" t="s">
        <v>2175</v>
      </c>
      <c r="N5224" s="15" t="s">
        <v>36</v>
      </c>
      <c r="O5224" s="15" t="s">
        <v>77</v>
      </c>
      <c r="P5224" s="20" t="s">
        <v>1783</v>
      </c>
      <c r="Q5224" s="15" t="s">
        <v>79</v>
      </c>
      <c r="R5224" s="4"/>
      <c r="S5224" s="4"/>
    </row>
    <row r="5225" spans="1:19" ht="21" customHeight="1" x14ac:dyDescent="0.25">
      <c r="A5225" s="14">
        <f>DATE(2012,12,31)-302</f>
        <v>40972</v>
      </c>
      <c r="B5225" s="15" t="s">
        <v>1944</v>
      </c>
      <c r="C5225" s="15" t="s">
        <v>85</v>
      </c>
      <c r="D5225" s="16">
        <v>24</v>
      </c>
      <c r="E5225" s="17">
        <v>132.02000000000001</v>
      </c>
      <c r="F5225" s="16">
        <v>0.04</v>
      </c>
      <c r="G5225" s="15" t="s">
        <v>101</v>
      </c>
      <c r="H5225" s="18">
        <v>-123.28</v>
      </c>
      <c r="I5225" s="19">
        <v>4.9800000000000004</v>
      </c>
      <c r="J5225" s="19">
        <v>8.33</v>
      </c>
      <c r="K5225" s="19" t="s">
        <v>44</v>
      </c>
      <c r="L5225" s="19" t="s">
        <v>52</v>
      </c>
      <c r="M5225" s="15" t="s">
        <v>2183</v>
      </c>
      <c r="N5225" s="15" t="s">
        <v>36</v>
      </c>
      <c r="O5225" s="15" t="s">
        <v>117</v>
      </c>
      <c r="P5225" s="20" t="s">
        <v>293</v>
      </c>
      <c r="Q5225" s="15" t="s">
        <v>83</v>
      </c>
      <c r="R5225" s="4"/>
      <c r="S5225" s="4"/>
    </row>
    <row r="5226" spans="1:19" ht="21" customHeight="1" x14ac:dyDescent="0.25">
      <c r="A5226" s="14">
        <f>DATE(2012,12,31)-762</f>
        <v>40512</v>
      </c>
      <c r="B5226" s="15" t="s">
        <v>2229</v>
      </c>
      <c r="C5226" s="15" t="s">
        <v>51</v>
      </c>
      <c r="D5226" s="16">
        <v>24</v>
      </c>
      <c r="E5226" s="17">
        <v>527.25</v>
      </c>
      <c r="F5226" s="16">
        <v>0.01</v>
      </c>
      <c r="G5226" s="15" t="s">
        <v>32</v>
      </c>
      <c r="H5226" s="18">
        <v>74.009499999999989</v>
      </c>
      <c r="I5226" s="19">
        <v>20.98</v>
      </c>
      <c r="J5226" s="19">
        <v>8.83</v>
      </c>
      <c r="K5226" s="19" t="s">
        <v>44</v>
      </c>
      <c r="L5226" s="19" t="s">
        <v>52</v>
      </c>
      <c r="M5226" s="15" t="s">
        <v>2183</v>
      </c>
      <c r="N5226" s="15" t="s">
        <v>36</v>
      </c>
      <c r="O5226" s="15" t="s">
        <v>170</v>
      </c>
      <c r="P5226" s="20" t="s">
        <v>1891</v>
      </c>
      <c r="Q5226" s="15" t="s">
        <v>83</v>
      </c>
      <c r="R5226" s="4"/>
      <c r="S5226" s="4"/>
    </row>
    <row r="5227" spans="1:19" ht="21" customHeight="1" x14ac:dyDescent="0.25">
      <c r="A5227" s="14">
        <f>DATE(2012,12,31)-743</f>
        <v>40531</v>
      </c>
      <c r="B5227" s="15" t="s">
        <v>448</v>
      </c>
      <c r="C5227" s="15" t="s">
        <v>51</v>
      </c>
      <c r="D5227" s="16">
        <v>29</v>
      </c>
      <c r="E5227" s="17">
        <v>1768.13</v>
      </c>
      <c r="F5227" s="16">
        <v>0</v>
      </c>
      <c r="G5227" s="15" t="s">
        <v>32</v>
      </c>
      <c r="H5227" s="18">
        <v>525.54</v>
      </c>
      <c r="I5227" s="19">
        <v>60.97</v>
      </c>
      <c r="J5227" s="19">
        <v>4.5</v>
      </c>
      <c r="K5227" s="19" t="s">
        <v>44</v>
      </c>
      <c r="L5227" s="19" t="s">
        <v>52</v>
      </c>
      <c r="M5227" s="15" t="s">
        <v>2183</v>
      </c>
      <c r="N5227" s="15" t="s">
        <v>36</v>
      </c>
      <c r="O5227" s="15" t="s">
        <v>176</v>
      </c>
      <c r="P5227" s="20" t="s">
        <v>571</v>
      </c>
      <c r="Q5227" s="15" t="s">
        <v>83</v>
      </c>
      <c r="R5227" s="4"/>
      <c r="S5227" s="4"/>
    </row>
    <row r="5228" spans="1:19" ht="21" customHeight="1" x14ac:dyDescent="0.25">
      <c r="A5228" s="14">
        <f>DATE(2012,12,31)-743</f>
        <v>40531</v>
      </c>
      <c r="B5228" s="15" t="s">
        <v>448</v>
      </c>
      <c r="C5228" s="15" t="s">
        <v>51</v>
      </c>
      <c r="D5228" s="16">
        <v>23</v>
      </c>
      <c r="E5228" s="17">
        <v>147.05000000000001</v>
      </c>
      <c r="F5228" s="16">
        <v>0.08</v>
      </c>
      <c r="G5228" s="15" t="s">
        <v>32</v>
      </c>
      <c r="H5228" s="18">
        <v>-54.91</v>
      </c>
      <c r="I5228" s="19">
        <v>6.48</v>
      </c>
      <c r="J5228" s="19">
        <v>5.82</v>
      </c>
      <c r="K5228" s="19" t="s">
        <v>44</v>
      </c>
      <c r="L5228" s="19" t="s">
        <v>52</v>
      </c>
      <c r="M5228" s="15" t="s">
        <v>2183</v>
      </c>
      <c r="N5228" s="15" t="s">
        <v>36</v>
      </c>
      <c r="O5228" s="15" t="s">
        <v>117</v>
      </c>
      <c r="P5228" s="20" t="s">
        <v>2228</v>
      </c>
      <c r="Q5228" s="15" t="s">
        <v>83</v>
      </c>
      <c r="R5228" s="4"/>
      <c r="S5228" s="4"/>
    </row>
    <row r="5229" spans="1:19" ht="21" customHeight="1" x14ac:dyDescent="0.25">
      <c r="A5229" s="14">
        <f>DATE(2012,12,31)-417</f>
        <v>40857</v>
      </c>
      <c r="B5229" s="15" t="s">
        <v>2159</v>
      </c>
      <c r="C5229" s="15" t="s">
        <v>31</v>
      </c>
      <c r="D5229" s="16">
        <v>21</v>
      </c>
      <c r="E5229" s="17">
        <v>2731.73</v>
      </c>
      <c r="F5229" s="16">
        <v>7.0000000000000007E-2</v>
      </c>
      <c r="G5229" s="15" t="s">
        <v>101</v>
      </c>
      <c r="H5229" s="18">
        <v>310.58999999999997</v>
      </c>
      <c r="I5229" s="19">
        <v>155.99</v>
      </c>
      <c r="J5229" s="19">
        <v>8.99</v>
      </c>
      <c r="K5229" s="19" t="s">
        <v>44</v>
      </c>
      <c r="L5229" s="19" t="s">
        <v>52</v>
      </c>
      <c r="M5229" s="15" t="s">
        <v>2183</v>
      </c>
      <c r="N5229" s="15" t="s">
        <v>64</v>
      </c>
      <c r="O5229" s="15" t="s">
        <v>65</v>
      </c>
      <c r="P5229" s="20" t="s">
        <v>438</v>
      </c>
      <c r="Q5229" s="15" t="s">
        <v>83</v>
      </c>
      <c r="R5229" s="4"/>
      <c r="S5229" s="4"/>
    </row>
    <row r="5230" spans="1:19" ht="21" customHeight="1" x14ac:dyDescent="0.25">
      <c r="A5230" s="14">
        <f>DATE(2012,12,31)-417</f>
        <v>40857</v>
      </c>
      <c r="B5230" s="15" t="s">
        <v>2159</v>
      </c>
      <c r="C5230" s="15" t="s">
        <v>31</v>
      </c>
      <c r="D5230" s="16">
        <v>40</v>
      </c>
      <c r="E5230" s="17">
        <v>679.52</v>
      </c>
      <c r="F5230" s="16">
        <v>0.09</v>
      </c>
      <c r="G5230" s="15" t="s">
        <v>32</v>
      </c>
      <c r="H5230" s="18">
        <v>-152.4</v>
      </c>
      <c r="I5230" s="19">
        <v>17.7</v>
      </c>
      <c r="J5230" s="19">
        <v>9.4700000000000006</v>
      </c>
      <c r="K5230" s="19" t="s">
        <v>44</v>
      </c>
      <c r="L5230" s="19" t="s">
        <v>52</v>
      </c>
      <c r="M5230" s="15" t="s">
        <v>2183</v>
      </c>
      <c r="N5230" s="15" t="s">
        <v>36</v>
      </c>
      <c r="O5230" s="15" t="s">
        <v>37</v>
      </c>
      <c r="P5230" s="20" t="s">
        <v>269</v>
      </c>
      <c r="Q5230" s="15" t="s">
        <v>83</v>
      </c>
      <c r="R5230" s="4"/>
      <c r="S5230" s="4"/>
    </row>
    <row r="5231" spans="1:19" ht="21" customHeight="1" x14ac:dyDescent="0.25">
      <c r="A5231" s="14">
        <f>DATE(2012,12,31)-417</f>
        <v>40857</v>
      </c>
      <c r="B5231" s="15" t="s">
        <v>2159</v>
      </c>
      <c r="C5231" s="15" t="s">
        <v>31</v>
      </c>
      <c r="D5231" s="16">
        <v>38</v>
      </c>
      <c r="E5231" s="17">
        <v>5176.2700000000004</v>
      </c>
      <c r="F5231" s="16">
        <v>0.01</v>
      </c>
      <c r="G5231" s="15" t="s">
        <v>32</v>
      </c>
      <c r="H5231" s="18">
        <v>-743.45</v>
      </c>
      <c r="I5231" s="19">
        <v>135.31</v>
      </c>
      <c r="J5231" s="19">
        <v>35</v>
      </c>
      <c r="K5231" s="19" t="s">
        <v>44</v>
      </c>
      <c r="L5231" s="19" t="s">
        <v>52</v>
      </c>
      <c r="M5231" s="15" t="s">
        <v>2240</v>
      </c>
      <c r="N5231" s="15" t="s">
        <v>36</v>
      </c>
      <c r="O5231" s="15" t="s">
        <v>37</v>
      </c>
      <c r="P5231" s="20" t="s">
        <v>2190</v>
      </c>
      <c r="Q5231" s="15" t="s">
        <v>39</v>
      </c>
      <c r="R5231" s="4"/>
      <c r="S5231" s="4"/>
    </row>
    <row r="5232" spans="1:19" ht="21" customHeight="1" x14ac:dyDescent="0.25">
      <c r="A5232" s="14">
        <f>DATE(2012,12,31)-1082</f>
        <v>40192</v>
      </c>
      <c r="B5232" s="15" t="s">
        <v>474</v>
      </c>
      <c r="C5232" s="15" t="s">
        <v>51</v>
      </c>
      <c r="D5232" s="16">
        <v>13</v>
      </c>
      <c r="E5232" s="17">
        <v>473.46</v>
      </c>
      <c r="F5232" s="16">
        <v>0.03</v>
      </c>
      <c r="G5232" s="15" t="s">
        <v>32</v>
      </c>
      <c r="H5232" s="18">
        <v>128.11000000000001</v>
      </c>
      <c r="I5232" s="19">
        <v>35.94</v>
      </c>
      <c r="J5232" s="19">
        <v>6.66</v>
      </c>
      <c r="K5232" s="19" t="s">
        <v>44</v>
      </c>
      <c r="L5232" s="19" t="s">
        <v>52</v>
      </c>
      <c r="M5232" s="15" t="s">
        <v>2240</v>
      </c>
      <c r="N5232" s="15" t="s">
        <v>36</v>
      </c>
      <c r="O5232" s="15" t="s">
        <v>189</v>
      </c>
      <c r="P5232" s="20" t="s">
        <v>1845</v>
      </c>
      <c r="Q5232" s="15" t="s">
        <v>83</v>
      </c>
      <c r="R5232" s="4"/>
      <c r="S5232" s="4"/>
    </row>
    <row r="5233" spans="1:19" ht="21" customHeight="1" x14ac:dyDescent="0.25">
      <c r="A5233" s="14">
        <f>DATE(2012,12,31)-408</f>
        <v>40866</v>
      </c>
      <c r="B5233" s="15" t="s">
        <v>1227</v>
      </c>
      <c r="C5233" s="15" t="s">
        <v>31</v>
      </c>
      <c r="D5233" s="16">
        <v>21</v>
      </c>
      <c r="E5233" s="17">
        <v>1503.49</v>
      </c>
      <c r="F5233" s="16">
        <v>0.03</v>
      </c>
      <c r="G5233" s="15" t="s">
        <v>32</v>
      </c>
      <c r="H5233" s="18">
        <v>408.73</v>
      </c>
      <c r="I5233" s="19">
        <v>70.97</v>
      </c>
      <c r="J5233" s="19">
        <v>3.5</v>
      </c>
      <c r="K5233" s="19" t="s">
        <v>44</v>
      </c>
      <c r="L5233" s="19" t="s">
        <v>52</v>
      </c>
      <c r="M5233" s="15" t="s">
        <v>2240</v>
      </c>
      <c r="N5233" s="15" t="s">
        <v>36</v>
      </c>
      <c r="O5233" s="15" t="s">
        <v>176</v>
      </c>
      <c r="P5233" s="20" t="s">
        <v>339</v>
      </c>
      <c r="Q5233" s="15" t="s">
        <v>83</v>
      </c>
      <c r="R5233" s="4"/>
      <c r="S5233" s="4"/>
    </row>
    <row r="5234" spans="1:19" ht="21" customHeight="1" x14ac:dyDescent="0.25">
      <c r="A5234" s="14">
        <f>DATE(2012,12,31)-408</f>
        <v>40866</v>
      </c>
      <c r="B5234" s="15" t="s">
        <v>1227</v>
      </c>
      <c r="C5234" s="15" t="s">
        <v>31</v>
      </c>
      <c r="D5234" s="16">
        <v>1</v>
      </c>
      <c r="E5234" s="17">
        <v>10.62</v>
      </c>
      <c r="F5234" s="16">
        <v>0.02</v>
      </c>
      <c r="G5234" s="15" t="s">
        <v>32</v>
      </c>
      <c r="H5234" s="18">
        <v>-31.2</v>
      </c>
      <c r="I5234" s="19">
        <v>8.32</v>
      </c>
      <c r="J5234" s="19">
        <v>2.38</v>
      </c>
      <c r="K5234" s="19" t="s">
        <v>44</v>
      </c>
      <c r="L5234" s="19" t="s">
        <v>52</v>
      </c>
      <c r="M5234" s="15" t="s">
        <v>2240</v>
      </c>
      <c r="N5234" s="15" t="s">
        <v>64</v>
      </c>
      <c r="O5234" s="15" t="s">
        <v>72</v>
      </c>
      <c r="P5234" s="20" t="s">
        <v>876</v>
      </c>
      <c r="Q5234" s="15" t="s">
        <v>49</v>
      </c>
      <c r="R5234" s="4"/>
      <c r="S5234" s="4"/>
    </row>
    <row r="5235" spans="1:19" ht="21" customHeight="1" x14ac:dyDescent="0.25">
      <c r="A5235" s="14">
        <f>DATE(2012,12,31)-408</f>
        <v>40866</v>
      </c>
      <c r="B5235" s="15" t="s">
        <v>1227</v>
      </c>
      <c r="C5235" s="15" t="s">
        <v>31</v>
      </c>
      <c r="D5235" s="16">
        <v>50</v>
      </c>
      <c r="E5235" s="17">
        <v>2337.0300000000002</v>
      </c>
      <c r="F5235" s="16">
        <v>0.1</v>
      </c>
      <c r="G5235" s="15" t="s">
        <v>32</v>
      </c>
      <c r="H5235" s="18">
        <v>-37.19</v>
      </c>
      <c r="I5235" s="19">
        <v>49.99</v>
      </c>
      <c r="J5235" s="19">
        <v>19.989999999999998</v>
      </c>
      <c r="K5235" s="19" t="s">
        <v>44</v>
      </c>
      <c r="L5235" s="19" t="s">
        <v>52</v>
      </c>
      <c r="M5235" s="15" t="s">
        <v>2240</v>
      </c>
      <c r="N5235" s="15" t="s">
        <v>64</v>
      </c>
      <c r="O5235" s="15" t="s">
        <v>72</v>
      </c>
      <c r="P5235" s="20" t="s">
        <v>1263</v>
      </c>
      <c r="Q5235" s="15" t="s">
        <v>83</v>
      </c>
      <c r="R5235" s="4"/>
      <c r="S5235" s="4"/>
    </row>
    <row r="5236" spans="1:19" ht="21" customHeight="1" x14ac:dyDescent="0.25">
      <c r="A5236" s="14">
        <f>DATE(2012,12,31)-408</f>
        <v>40866</v>
      </c>
      <c r="B5236" s="15" t="s">
        <v>1227</v>
      </c>
      <c r="C5236" s="15" t="s">
        <v>31</v>
      </c>
      <c r="D5236" s="16">
        <v>34</v>
      </c>
      <c r="E5236" s="17">
        <v>29345.27</v>
      </c>
      <c r="F5236" s="16">
        <v>0.03</v>
      </c>
      <c r="G5236" s="15" t="s">
        <v>58</v>
      </c>
      <c r="H5236" s="18">
        <v>7497.55</v>
      </c>
      <c r="I5236" s="19">
        <v>880.98</v>
      </c>
      <c r="J5236" s="19">
        <v>44.55</v>
      </c>
      <c r="K5236" s="19" t="s">
        <v>44</v>
      </c>
      <c r="L5236" s="19" t="s">
        <v>52</v>
      </c>
      <c r="M5236" s="15" t="s">
        <v>2240</v>
      </c>
      <c r="N5236" s="15" t="s">
        <v>54</v>
      </c>
      <c r="O5236" s="15" t="s">
        <v>134</v>
      </c>
      <c r="P5236" s="20" t="s">
        <v>668</v>
      </c>
      <c r="Q5236" s="15" t="s">
        <v>63</v>
      </c>
      <c r="R5236" s="4"/>
      <c r="S5236" s="4"/>
    </row>
    <row r="5237" spans="1:19" ht="21" customHeight="1" x14ac:dyDescent="0.25">
      <c r="A5237" s="14">
        <f>DATE(2012,12,31)-121</f>
        <v>41153</v>
      </c>
      <c r="B5237" s="15" t="s">
        <v>30</v>
      </c>
      <c r="C5237" s="15" t="s">
        <v>51</v>
      </c>
      <c r="D5237" s="16">
        <v>46</v>
      </c>
      <c r="E5237" s="17">
        <v>1184.32</v>
      </c>
      <c r="F5237" s="16">
        <v>0.09</v>
      </c>
      <c r="G5237" s="15" t="s">
        <v>32</v>
      </c>
      <c r="H5237" s="18">
        <v>-99.55</v>
      </c>
      <c r="I5237" s="19">
        <v>26.31</v>
      </c>
      <c r="J5237" s="19">
        <v>5.89</v>
      </c>
      <c r="K5237" s="19" t="s">
        <v>44</v>
      </c>
      <c r="L5237" s="19" t="s">
        <v>52</v>
      </c>
      <c r="M5237" s="15" t="s">
        <v>2240</v>
      </c>
      <c r="N5237" s="15" t="s">
        <v>64</v>
      </c>
      <c r="O5237" s="15" t="s">
        <v>72</v>
      </c>
      <c r="P5237" s="20" t="s">
        <v>1286</v>
      </c>
      <c r="Q5237" s="15" t="s">
        <v>83</v>
      </c>
      <c r="R5237" s="4"/>
      <c r="S5237" s="4"/>
    </row>
    <row r="5238" spans="1:19" ht="21" customHeight="1" x14ac:dyDescent="0.25">
      <c r="A5238" s="14">
        <f>DATE(2012,12,31)-1200</f>
        <v>40074</v>
      </c>
      <c r="B5238" s="15" t="s">
        <v>2005</v>
      </c>
      <c r="C5238" s="15" t="s">
        <v>51</v>
      </c>
      <c r="D5238" s="16">
        <v>28</v>
      </c>
      <c r="E5238" s="17">
        <v>739.94</v>
      </c>
      <c r="F5238" s="16">
        <v>0.01</v>
      </c>
      <c r="G5238" s="15" t="s">
        <v>32</v>
      </c>
      <c r="H5238" s="18">
        <v>370.23</v>
      </c>
      <c r="I5238" s="19">
        <v>26.17</v>
      </c>
      <c r="J5238" s="19">
        <v>1.39</v>
      </c>
      <c r="K5238" s="19" t="s">
        <v>44</v>
      </c>
      <c r="L5238" s="19" t="s">
        <v>52</v>
      </c>
      <c r="M5238" s="15" t="s">
        <v>2240</v>
      </c>
      <c r="N5238" s="15" t="s">
        <v>36</v>
      </c>
      <c r="O5238" s="15" t="s">
        <v>189</v>
      </c>
      <c r="P5238" s="20" t="s">
        <v>2241</v>
      </c>
      <c r="Q5238" s="15" t="s">
        <v>83</v>
      </c>
      <c r="R5238" s="4"/>
      <c r="S5238" s="4"/>
    </row>
    <row r="5239" spans="1:19" ht="21" customHeight="1" x14ac:dyDescent="0.25">
      <c r="A5239" s="14">
        <f>DATE(2012,12,31)-1221</f>
        <v>40053</v>
      </c>
      <c r="B5239" s="15" t="s">
        <v>820</v>
      </c>
      <c r="C5239" s="15" t="s">
        <v>85</v>
      </c>
      <c r="D5239" s="16">
        <v>25</v>
      </c>
      <c r="E5239" s="17">
        <v>453.24549999999999</v>
      </c>
      <c r="F5239" s="16">
        <v>0.05</v>
      </c>
      <c r="G5239" s="15" t="s">
        <v>32</v>
      </c>
      <c r="H5239" s="18">
        <v>3.3120000000000003</v>
      </c>
      <c r="I5239" s="19">
        <v>20.99</v>
      </c>
      <c r="J5239" s="19">
        <v>4.8099999999999996</v>
      </c>
      <c r="K5239" s="19" t="s">
        <v>44</v>
      </c>
      <c r="L5239" s="19" t="s">
        <v>236</v>
      </c>
      <c r="M5239" s="15" t="s">
        <v>2175</v>
      </c>
      <c r="N5239" s="15" t="s">
        <v>64</v>
      </c>
      <c r="O5239" s="15" t="s">
        <v>65</v>
      </c>
      <c r="P5239" s="20" t="s">
        <v>654</v>
      </c>
      <c r="Q5239" s="15" t="s">
        <v>57</v>
      </c>
      <c r="R5239" s="4"/>
      <c r="S5239" s="4"/>
    </row>
    <row r="5240" spans="1:19" ht="21" customHeight="1" x14ac:dyDescent="0.25">
      <c r="A5240" s="14">
        <f>DATE(2012,12,31)-60</f>
        <v>41214</v>
      </c>
      <c r="B5240" s="15" t="s">
        <v>149</v>
      </c>
      <c r="C5240" s="15" t="s">
        <v>31</v>
      </c>
      <c r="D5240" s="16">
        <v>18</v>
      </c>
      <c r="E5240" s="17">
        <v>122.41</v>
      </c>
      <c r="F5240" s="16">
        <v>0.09</v>
      </c>
      <c r="G5240" s="15" t="s">
        <v>32</v>
      </c>
      <c r="H5240" s="18">
        <v>2.37</v>
      </c>
      <c r="I5240" s="19">
        <v>6.64</v>
      </c>
      <c r="J5240" s="19">
        <v>4.95</v>
      </c>
      <c r="K5240" s="19" t="s">
        <v>44</v>
      </c>
      <c r="L5240" s="19" t="s">
        <v>52</v>
      </c>
      <c r="M5240" s="15" t="s">
        <v>2240</v>
      </c>
      <c r="N5240" s="15" t="s">
        <v>54</v>
      </c>
      <c r="O5240" s="15" t="s">
        <v>55</v>
      </c>
      <c r="P5240" s="20" t="s">
        <v>260</v>
      </c>
      <c r="Q5240" s="15" t="s">
        <v>49</v>
      </c>
      <c r="R5240" s="4"/>
      <c r="S5240" s="4"/>
    </row>
    <row r="5241" spans="1:19" ht="21" customHeight="1" x14ac:dyDescent="0.25">
      <c r="A5241" s="14">
        <f>DATE(2012,12,31)-60</f>
        <v>41214</v>
      </c>
      <c r="B5241" s="15" t="s">
        <v>149</v>
      </c>
      <c r="C5241" s="15" t="s">
        <v>31</v>
      </c>
      <c r="D5241" s="16">
        <v>22</v>
      </c>
      <c r="E5241" s="17">
        <v>2052.2655</v>
      </c>
      <c r="F5241" s="16">
        <v>0.04</v>
      </c>
      <c r="G5241" s="15" t="s">
        <v>32</v>
      </c>
      <c r="H5241" s="18">
        <v>371.40300000000002</v>
      </c>
      <c r="I5241" s="19">
        <v>110.99</v>
      </c>
      <c r="J5241" s="19">
        <v>2.5</v>
      </c>
      <c r="K5241" s="19" t="s">
        <v>44</v>
      </c>
      <c r="L5241" s="19" t="s">
        <v>52</v>
      </c>
      <c r="M5241" s="15" t="s">
        <v>2240</v>
      </c>
      <c r="N5241" s="15" t="s">
        <v>64</v>
      </c>
      <c r="O5241" s="15" t="s">
        <v>65</v>
      </c>
      <c r="P5241" s="20" t="s">
        <v>1010</v>
      </c>
      <c r="Q5241" s="15" t="s">
        <v>83</v>
      </c>
      <c r="R5241" s="4"/>
      <c r="S5241" s="4"/>
    </row>
    <row r="5242" spans="1:19" ht="21" customHeight="1" x14ac:dyDescent="0.25">
      <c r="A5242" s="14">
        <f>DATE(2012,12,31)-60</f>
        <v>41214</v>
      </c>
      <c r="B5242" s="15" t="s">
        <v>149</v>
      </c>
      <c r="C5242" s="15" t="s">
        <v>31</v>
      </c>
      <c r="D5242" s="16">
        <v>45</v>
      </c>
      <c r="E5242" s="17">
        <v>130.25</v>
      </c>
      <c r="F5242" s="16">
        <v>0.05</v>
      </c>
      <c r="G5242" s="15" t="s">
        <v>32</v>
      </c>
      <c r="H5242" s="18">
        <v>0.89</v>
      </c>
      <c r="I5242" s="19">
        <v>2.98</v>
      </c>
      <c r="J5242" s="19">
        <v>1.58</v>
      </c>
      <c r="K5242" s="19" t="s">
        <v>44</v>
      </c>
      <c r="L5242" s="19" t="s">
        <v>52</v>
      </c>
      <c r="M5242" s="15" t="s">
        <v>2240</v>
      </c>
      <c r="N5242" s="15" t="s">
        <v>36</v>
      </c>
      <c r="O5242" s="15" t="s">
        <v>105</v>
      </c>
      <c r="P5242" s="20" t="s">
        <v>1818</v>
      </c>
      <c r="Q5242" s="15" t="s">
        <v>79</v>
      </c>
      <c r="R5242" s="4"/>
      <c r="S5242" s="4"/>
    </row>
    <row r="5243" spans="1:19" ht="21" customHeight="1" x14ac:dyDescent="0.25">
      <c r="A5243" s="14">
        <f>DATE(2012,12,31)-182</f>
        <v>41092</v>
      </c>
      <c r="B5243" s="15" t="s">
        <v>489</v>
      </c>
      <c r="C5243" s="15" t="s">
        <v>43</v>
      </c>
      <c r="D5243" s="16">
        <v>44</v>
      </c>
      <c r="E5243" s="17">
        <v>3304.38</v>
      </c>
      <c r="F5243" s="16">
        <v>0</v>
      </c>
      <c r="G5243" s="15" t="s">
        <v>32</v>
      </c>
      <c r="H5243" s="18">
        <v>-634.49</v>
      </c>
      <c r="I5243" s="19">
        <v>70.709999999999994</v>
      </c>
      <c r="J5243" s="19">
        <v>37.58</v>
      </c>
      <c r="K5243" s="19" t="s">
        <v>44</v>
      </c>
      <c r="L5243" s="19" t="s">
        <v>52</v>
      </c>
      <c r="M5243" s="15" t="s">
        <v>2240</v>
      </c>
      <c r="N5243" s="15" t="s">
        <v>54</v>
      </c>
      <c r="O5243" s="15" t="s">
        <v>55</v>
      </c>
      <c r="P5243" s="20" t="s">
        <v>1158</v>
      </c>
      <c r="Q5243" s="15" t="s">
        <v>79</v>
      </c>
      <c r="R5243" s="4"/>
      <c r="S5243" s="4"/>
    </row>
    <row r="5244" spans="1:19" ht="21" customHeight="1" x14ac:dyDescent="0.25">
      <c r="A5244" s="14">
        <f>DATE(2012,12,31)-182</f>
        <v>41092</v>
      </c>
      <c r="B5244" s="15" t="s">
        <v>489</v>
      </c>
      <c r="C5244" s="15" t="s">
        <v>43</v>
      </c>
      <c r="D5244" s="16">
        <v>17</v>
      </c>
      <c r="E5244" s="17">
        <v>908.41200000000003</v>
      </c>
      <c r="F5244" s="16">
        <v>7.0000000000000007E-2</v>
      </c>
      <c r="G5244" s="15" t="s">
        <v>101</v>
      </c>
      <c r="H5244" s="18">
        <v>-71.191999999999993</v>
      </c>
      <c r="I5244" s="19">
        <v>65.989999999999995</v>
      </c>
      <c r="J5244" s="19">
        <v>8.99</v>
      </c>
      <c r="K5244" s="19" t="s">
        <v>44</v>
      </c>
      <c r="L5244" s="19" t="s">
        <v>52</v>
      </c>
      <c r="M5244" s="15" t="s">
        <v>2240</v>
      </c>
      <c r="N5244" s="15" t="s">
        <v>64</v>
      </c>
      <c r="O5244" s="15" t="s">
        <v>65</v>
      </c>
      <c r="P5244" s="20" t="s">
        <v>1408</v>
      </c>
      <c r="Q5244" s="15" t="s">
        <v>83</v>
      </c>
      <c r="R5244" s="4"/>
      <c r="S5244" s="4"/>
    </row>
    <row r="5245" spans="1:19" ht="21" customHeight="1" x14ac:dyDescent="0.25">
      <c r="A5245" s="14">
        <f>DATE(2012,12,31)-607</f>
        <v>40667</v>
      </c>
      <c r="B5245" s="15" t="s">
        <v>1030</v>
      </c>
      <c r="C5245" s="15" t="s">
        <v>85</v>
      </c>
      <c r="D5245" s="16">
        <v>21</v>
      </c>
      <c r="E5245" s="17">
        <v>210.86</v>
      </c>
      <c r="F5245" s="16">
        <v>0.04</v>
      </c>
      <c r="G5245" s="15" t="s">
        <v>32</v>
      </c>
      <c r="H5245" s="18">
        <v>5.5</v>
      </c>
      <c r="I5245" s="19">
        <v>9.77</v>
      </c>
      <c r="J5245" s="19">
        <v>6.02</v>
      </c>
      <c r="K5245" s="19" t="s">
        <v>44</v>
      </c>
      <c r="L5245" s="19" t="s">
        <v>52</v>
      </c>
      <c r="M5245" s="15" t="s">
        <v>2240</v>
      </c>
      <c r="N5245" s="15" t="s">
        <v>54</v>
      </c>
      <c r="O5245" s="15" t="s">
        <v>55</v>
      </c>
      <c r="P5245" s="20" t="s">
        <v>1171</v>
      </c>
      <c r="Q5245" s="15" t="s">
        <v>57</v>
      </c>
      <c r="R5245" s="4"/>
      <c r="S5245" s="4"/>
    </row>
    <row r="5246" spans="1:19" ht="21" customHeight="1" x14ac:dyDescent="0.25">
      <c r="A5246" s="14">
        <f>DATE(2012,12,31)-209</f>
        <v>41065</v>
      </c>
      <c r="B5246" s="15" t="s">
        <v>1954</v>
      </c>
      <c r="C5246" s="15" t="s">
        <v>31</v>
      </c>
      <c r="D5246" s="16">
        <v>43</v>
      </c>
      <c r="E5246" s="17">
        <v>170.81</v>
      </c>
      <c r="F5246" s="16">
        <v>0.1</v>
      </c>
      <c r="G5246" s="15" t="s">
        <v>32</v>
      </c>
      <c r="H5246" s="18">
        <v>-133.68</v>
      </c>
      <c r="I5246" s="19">
        <v>4.28</v>
      </c>
      <c r="J5246" s="19">
        <v>5.17</v>
      </c>
      <c r="K5246" s="19" t="s">
        <v>44</v>
      </c>
      <c r="L5246" s="19" t="s">
        <v>236</v>
      </c>
      <c r="M5246" s="15" t="s">
        <v>2175</v>
      </c>
      <c r="N5246" s="15" t="s">
        <v>36</v>
      </c>
      <c r="O5246" s="15" t="s">
        <v>117</v>
      </c>
      <c r="P5246" s="20" t="s">
        <v>1882</v>
      </c>
      <c r="Q5246" s="15" t="s">
        <v>83</v>
      </c>
      <c r="R5246" s="4"/>
      <c r="S5246" s="4"/>
    </row>
    <row r="5247" spans="1:19" ht="21" customHeight="1" x14ac:dyDescent="0.25">
      <c r="A5247" s="14">
        <f>DATE(2012,12,31)-209</f>
        <v>41065</v>
      </c>
      <c r="B5247" s="15" t="s">
        <v>1954</v>
      </c>
      <c r="C5247" s="15" t="s">
        <v>31</v>
      </c>
      <c r="D5247" s="16">
        <v>31</v>
      </c>
      <c r="E5247" s="17">
        <v>4726.5949999999993</v>
      </c>
      <c r="F5247" s="16">
        <v>0.05</v>
      </c>
      <c r="G5247" s="15" t="s">
        <v>101</v>
      </c>
      <c r="H5247" s="18">
        <v>1176.48</v>
      </c>
      <c r="I5247" s="19">
        <v>175.99</v>
      </c>
      <c r="J5247" s="19">
        <v>4.99</v>
      </c>
      <c r="K5247" s="19" t="s">
        <v>44</v>
      </c>
      <c r="L5247" s="19" t="s">
        <v>52</v>
      </c>
      <c r="M5247" s="15" t="s">
        <v>2240</v>
      </c>
      <c r="N5247" s="15" t="s">
        <v>64</v>
      </c>
      <c r="O5247" s="15" t="s">
        <v>65</v>
      </c>
      <c r="P5247" s="20" t="s">
        <v>452</v>
      </c>
      <c r="Q5247" s="15" t="s">
        <v>83</v>
      </c>
      <c r="R5247" s="4"/>
      <c r="S5247" s="4"/>
    </row>
    <row r="5248" spans="1:19" ht="21" customHeight="1" x14ac:dyDescent="0.25">
      <c r="A5248" s="14">
        <f>DATE(2012,12,31)-991</f>
        <v>40283</v>
      </c>
      <c r="B5248" s="15" t="s">
        <v>1106</v>
      </c>
      <c r="C5248" s="15" t="s">
        <v>85</v>
      </c>
      <c r="D5248" s="16">
        <v>32</v>
      </c>
      <c r="E5248" s="17">
        <v>1031.23</v>
      </c>
      <c r="F5248" s="16">
        <v>7.0000000000000007E-2</v>
      </c>
      <c r="G5248" s="15" t="s">
        <v>32</v>
      </c>
      <c r="H5248" s="18">
        <v>-138.54</v>
      </c>
      <c r="I5248" s="19">
        <v>33.979999999999997</v>
      </c>
      <c r="J5248" s="19">
        <v>19.989999999999998</v>
      </c>
      <c r="K5248" s="19" t="s">
        <v>69</v>
      </c>
      <c r="L5248" s="19" t="s">
        <v>70</v>
      </c>
      <c r="M5248" s="15" t="s">
        <v>2230</v>
      </c>
      <c r="N5248" s="15" t="s">
        <v>54</v>
      </c>
      <c r="O5248" s="15" t="s">
        <v>55</v>
      </c>
      <c r="P5248" s="20" t="s">
        <v>1238</v>
      </c>
      <c r="Q5248" s="15" t="s">
        <v>83</v>
      </c>
      <c r="R5248" s="4"/>
      <c r="S5248" s="4"/>
    </row>
    <row r="5249" spans="1:19" ht="21" customHeight="1" x14ac:dyDescent="0.25">
      <c r="A5249" s="14">
        <f>DATE(2012,12,31)-1245</f>
        <v>40029</v>
      </c>
      <c r="B5249" s="15" t="s">
        <v>2057</v>
      </c>
      <c r="C5249" s="15" t="s">
        <v>85</v>
      </c>
      <c r="D5249" s="16">
        <v>37</v>
      </c>
      <c r="E5249" s="17">
        <v>388.9</v>
      </c>
      <c r="F5249" s="16">
        <v>0.1</v>
      </c>
      <c r="G5249" s="15" t="s">
        <v>32</v>
      </c>
      <c r="H5249" s="18">
        <v>-37.11</v>
      </c>
      <c r="I5249" s="19">
        <v>10.89</v>
      </c>
      <c r="J5249" s="19">
        <v>4.5</v>
      </c>
      <c r="K5249" s="19" t="s">
        <v>124</v>
      </c>
      <c r="L5249" s="19" t="s">
        <v>160</v>
      </c>
      <c r="M5249" s="15" t="s">
        <v>2181</v>
      </c>
      <c r="N5249" s="15" t="s">
        <v>36</v>
      </c>
      <c r="O5249" s="15" t="s">
        <v>176</v>
      </c>
      <c r="P5249" s="20" t="s">
        <v>250</v>
      </c>
      <c r="Q5249" s="15" t="s">
        <v>83</v>
      </c>
      <c r="R5249" s="4"/>
      <c r="S5249" s="4"/>
    </row>
    <row r="5250" spans="1:19" ht="21" customHeight="1" x14ac:dyDescent="0.25">
      <c r="A5250" s="14">
        <f>DATE(2012,12,31)-1297</f>
        <v>39977</v>
      </c>
      <c r="B5250" s="15" t="s">
        <v>623</v>
      </c>
      <c r="C5250" s="15" t="s">
        <v>51</v>
      </c>
      <c r="D5250" s="16">
        <v>33</v>
      </c>
      <c r="E5250" s="17">
        <v>551.66999999999996</v>
      </c>
      <c r="F5250" s="16">
        <v>0.08</v>
      </c>
      <c r="G5250" s="15" t="s">
        <v>32</v>
      </c>
      <c r="H5250" s="18">
        <v>25.44</v>
      </c>
      <c r="I5250" s="19">
        <v>17.149999999999999</v>
      </c>
      <c r="J5250" s="19">
        <v>4.96</v>
      </c>
      <c r="K5250" s="19" t="s">
        <v>33</v>
      </c>
      <c r="L5250" s="19" t="s">
        <v>59</v>
      </c>
      <c r="M5250" s="15" t="s">
        <v>2227</v>
      </c>
      <c r="N5250" s="15" t="s">
        <v>36</v>
      </c>
      <c r="O5250" s="15" t="s">
        <v>37</v>
      </c>
      <c r="P5250" s="20" t="s">
        <v>463</v>
      </c>
      <c r="Q5250" s="15" t="s">
        <v>83</v>
      </c>
      <c r="R5250" s="4"/>
      <c r="S5250" s="4"/>
    </row>
    <row r="5251" spans="1:19" ht="21" customHeight="1" x14ac:dyDescent="0.25">
      <c r="A5251" s="14">
        <f>DATE(2012,12,31)-1050</f>
        <v>40224</v>
      </c>
      <c r="B5251" s="15" t="s">
        <v>1319</v>
      </c>
      <c r="C5251" s="15" t="s">
        <v>85</v>
      </c>
      <c r="D5251" s="16">
        <v>8</v>
      </c>
      <c r="E5251" s="17">
        <v>631.73</v>
      </c>
      <c r="F5251" s="16">
        <v>0.03</v>
      </c>
      <c r="G5251" s="15" t="s">
        <v>101</v>
      </c>
      <c r="H5251" s="18">
        <v>122.43</v>
      </c>
      <c r="I5251" s="19">
        <v>78.69</v>
      </c>
      <c r="J5251" s="19">
        <v>19.989999999999998</v>
      </c>
      <c r="K5251" s="19" t="s">
        <v>69</v>
      </c>
      <c r="L5251" s="19" t="s">
        <v>75</v>
      </c>
      <c r="M5251" s="15" t="s">
        <v>2231</v>
      </c>
      <c r="N5251" s="15" t="s">
        <v>54</v>
      </c>
      <c r="O5251" s="15" t="s">
        <v>55</v>
      </c>
      <c r="P5251" s="20" t="s">
        <v>1922</v>
      </c>
      <c r="Q5251" s="15" t="s">
        <v>83</v>
      </c>
      <c r="R5251" s="4"/>
      <c r="S5251" s="4"/>
    </row>
    <row r="5252" spans="1:19" ht="21" customHeight="1" x14ac:dyDescent="0.25">
      <c r="A5252" s="14">
        <f>DATE(2012,12,31)-225</f>
        <v>41049</v>
      </c>
      <c r="B5252" s="15" t="s">
        <v>939</v>
      </c>
      <c r="C5252" s="15" t="s">
        <v>85</v>
      </c>
      <c r="D5252" s="16">
        <v>7</v>
      </c>
      <c r="E5252" s="17">
        <v>163.13999999999999</v>
      </c>
      <c r="F5252" s="16">
        <v>7.0000000000000007E-2</v>
      </c>
      <c r="G5252" s="15" t="s">
        <v>32</v>
      </c>
      <c r="H5252" s="18">
        <v>-37.5</v>
      </c>
      <c r="I5252" s="19">
        <v>22.99</v>
      </c>
      <c r="J5252" s="19">
        <v>8.99</v>
      </c>
      <c r="K5252" s="19" t="s">
        <v>44</v>
      </c>
      <c r="L5252" s="19" t="s">
        <v>45</v>
      </c>
      <c r="M5252" s="15" t="s">
        <v>2236</v>
      </c>
      <c r="N5252" s="15" t="s">
        <v>36</v>
      </c>
      <c r="O5252" s="15" t="s">
        <v>77</v>
      </c>
      <c r="P5252" s="20" t="s">
        <v>1501</v>
      </c>
      <c r="Q5252" s="15" t="s">
        <v>49</v>
      </c>
      <c r="R5252" s="4"/>
      <c r="S5252" s="4"/>
    </row>
    <row r="5253" spans="1:19" ht="21" customHeight="1" x14ac:dyDescent="0.25">
      <c r="A5253" s="14">
        <f>DATE(2012,12,31)-640</f>
        <v>40634</v>
      </c>
      <c r="B5253" s="15" t="s">
        <v>631</v>
      </c>
      <c r="C5253" s="15" t="s">
        <v>85</v>
      </c>
      <c r="D5253" s="16">
        <v>29</v>
      </c>
      <c r="E5253" s="17">
        <v>737.38</v>
      </c>
      <c r="F5253" s="16">
        <v>0.08</v>
      </c>
      <c r="G5253" s="15" t="s">
        <v>32</v>
      </c>
      <c r="H5253" s="18">
        <v>90.04</v>
      </c>
      <c r="I5253" s="19">
        <v>26.64</v>
      </c>
      <c r="J5253" s="19">
        <v>5.3</v>
      </c>
      <c r="K5253" s="19" t="s">
        <v>33</v>
      </c>
      <c r="L5253" s="19" t="s">
        <v>128</v>
      </c>
      <c r="M5253" s="15" t="s">
        <v>129</v>
      </c>
      <c r="N5253" s="15" t="s">
        <v>54</v>
      </c>
      <c r="O5253" s="15" t="s">
        <v>252</v>
      </c>
      <c r="P5253" s="20" t="s">
        <v>2130</v>
      </c>
      <c r="Q5253" s="15" t="s">
        <v>57</v>
      </c>
      <c r="R5253" s="4"/>
      <c r="S5253" s="4"/>
    </row>
    <row r="5254" spans="1:19" ht="21" customHeight="1" x14ac:dyDescent="0.25">
      <c r="A5254" s="14">
        <f>DATE(2012,12,31)-640</f>
        <v>40634</v>
      </c>
      <c r="B5254" s="15" t="s">
        <v>631</v>
      </c>
      <c r="C5254" s="15" t="s">
        <v>85</v>
      </c>
      <c r="D5254" s="16">
        <v>47</v>
      </c>
      <c r="E5254" s="17">
        <v>507.18</v>
      </c>
      <c r="F5254" s="16">
        <v>0</v>
      </c>
      <c r="G5254" s="15" t="s">
        <v>32</v>
      </c>
      <c r="H5254" s="18">
        <v>74.73</v>
      </c>
      <c r="I5254" s="19">
        <v>9.99</v>
      </c>
      <c r="J5254" s="19">
        <v>4.78</v>
      </c>
      <c r="K5254" s="19" t="s">
        <v>124</v>
      </c>
      <c r="L5254" s="19" t="s">
        <v>319</v>
      </c>
      <c r="M5254" s="15" t="s">
        <v>2239</v>
      </c>
      <c r="N5254" s="15" t="s">
        <v>36</v>
      </c>
      <c r="O5254" s="15" t="s">
        <v>117</v>
      </c>
      <c r="P5254" s="20" t="s">
        <v>2118</v>
      </c>
      <c r="Q5254" s="15" t="s">
        <v>83</v>
      </c>
      <c r="R5254" s="4"/>
      <c r="S5254" s="4"/>
    </row>
    <row r="5255" spans="1:19" ht="21" customHeight="1" x14ac:dyDescent="0.25">
      <c r="A5255" s="14">
        <f>DATE(2012,12,31)-640</f>
        <v>40634</v>
      </c>
      <c r="B5255" s="15" t="s">
        <v>631</v>
      </c>
      <c r="C5255" s="15" t="s">
        <v>85</v>
      </c>
      <c r="D5255" s="16">
        <v>42</v>
      </c>
      <c r="E5255" s="17">
        <v>151.19</v>
      </c>
      <c r="F5255" s="16">
        <v>7.0000000000000007E-2</v>
      </c>
      <c r="G5255" s="15" t="s">
        <v>32</v>
      </c>
      <c r="H5255" s="18">
        <v>27.37</v>
      </c>
      <c r="I5255" s="19">
        <v>3.55</v>
      </c>
      <c r="J5255" s="19">
        <v>1.43</v>
      </c>
      <c r="K5255" s="19" t="s">
        <v>44</v>
      </c>
      <c r="L5255" s="19" t="s">
        <v>52</v>
      </c>
      <c r="M5255" s="15" t="s">
        <v>2240</v>
      </c>
      <c r="N5255" s="15" t="s">
        <v>36</v>
      </c>
      <c r="O5255" s="15" t="s">
        <v>105</v>
      </c>
      <c r="P5255" s="20" t="s">
        <v>2242</v>
      </c>
      <c r="Q5255" s="15" t="s">
        <v>79</v>
      </c>
      <c r="R5255" s="4"/>
      <c r="S5255" s="4"/>
    </row>
    <row r="5256" spans="1:19" ht="21" customHeight="1" x14ac:dyDescent="0.25">
      <c r="A5256" s="14">
        <f>DATE(2012,12,31)-811</f>
        <v>40463</v>
      </c>
      <c r="B5256" s="15" t="s">
        <v>1199</v>
      </c>
      <c r="C5256" s="15" t="s">
        <v>85</v>
      </c>
      <c r="D5256" s="16">
        <v>45</v>
      </c>
      <c r="E5256" s="17">
        <v>18775.759999999998</v>
      </c>
      <c r="F5256" s="16">
        <v>0.03</v>
      </c>
      <c r="G5256" s="15" t="s">
        <v>58</v>
      </c>
      <c r="H5256" s="18">
        <v>8504.4699999999993</v>
      </c>
      <c r="I5256" s="19">
        <v>400.97</v>
      </c>
      <c r="J5256" s="19">
        <v>48.26</v>
      </c>
      <c r="K5256" s="19" t="s">
        <v>33</v>
      </c>
      <c r="L5256" s="19" t="s">
        <v>59</v>
      </c>
      <c r="M5256" s="15" t="s">
        <v>2227</v>
      </c>
      <c r="N5256" s="15" t="s">
        <v>64</v>
      </c>
      <c r="O5256" s="15" t="s">
        <v>122</v>
      </c>
      <c r="P5256" s="20" t="s">
        <v>1937</v>
      </c>
      <c r="Q5256" s="15" t="s">
        <v>63</v>
      </c>
      <c r="R5256" s="4"/>
      <c r="S5256" s="4"/>
    </row>
    <row r="5257" spans="1:19" ht="21" customHeight="1" x14ac:dyDescent="0.25">
      <c r="A5257" s="14">
        <f>DATE(2012,12,31)-150</f>
        <v>41124</v>
      </c>
      <c r="B5257" s="15" t="s">
        <v>797</v>
      </c>
      <c r="C5257" s="15" t="s">
        <v>51</v>
      </c>
      <c r="D5257" s="16">
        <v>17</v>
      </c>
      <c r="E5257" s="17">
        <v>191.67</v>
      </c>
      <c r="F5257" s="16">
        <v>0.03</v>
      </c>
      <c r="G5257" s="15" t="s">
        <v>32</v>
      </c>
      <c r="H5257" s="18">
        <v>6.02</v>
      </c>
      <c r="I5257" s="19">
        <v>10.98</v>
      </c>
      <c r="J5257" s="19">
        <v>3.37</v>
      </c>
      <c r="K5257" s="19" t="s">
        <v>33</v>
      </c>
      <c r="L5257" s="19" t="s">
        <v>34</v>
      </c>
      <c r="M5257" s="15" t="s">
        <v>2043</v>
      </c>
      <c r="N5257" s="15" t="s">
        <v>36</v>
      </c>
      <c r="O5257" s="15" t="s">
        <v>47</v>
      </c>
      <c r="P5257" s="20" t="s">
        <v>1698</v>
      </c>
      <c r="Q5257" s="15" t="s">
        <v>49</v>
      </c>
      <c r="R5257" s="4"/>
      <c r="S5257" s="4"/>
    </row>
    <row r="5258" spans="1:19" ht="21" customHeight="1" x14ac:dyDescent="0.25">
      <c r="A5258" s="14">
        <f>DATE(2012,12,31)-479</f>
        <v>40795</v>
      </c>
      <c r="B5258" s="15" t="s">
        <v>990</v>
      </c>
      <c r="C5258" s="15" t="s">
        <v>31</v>
      </c>
      <c r="D5258" s="16">
        <v>39</v>
      </c>
      <c r="E5258" s="17">
        <v>20596.580000000002</v>
      </c>
      <c r="F5258" s="16">
        <v>0.09</v>
      </c>
      <c r="G5258" s="15" t="s">
        <v>58</v>
      </c>
      <c r="H5258" s="18">
        <v>-1331.5533660000001</v>
      </c>
      <c r="I5258" s="19">
        <v>550.98</v>
      </c>
      <c r="J5258" s="19">
        <v>64.59</v>
      </c>
      <c r="K5258" s="19" t="s">
        <v>33</v>
      </c>
      <c r="L5258" s="19" t="s">
        <v>145</v>
      </c>
      <c r="M5258" s="15" t="s">
        <v>2140</v>
      </c>
      <c r="N5258" s="15" t="s">
        <v>54</v>
      </c>
      <c r="O5258" s="15" t="s">
        <v>61</v>
      </c>
      <c r="P5258" s="20" t="s">
        <v>1557</v>
      </c>
      <c r="Q5258" s="15" t="s">
        <v>63</v>
      </c>
      <c r="R5258" s="4"/>
      <c r="S5258" s="4"/>
    </row>
    <row r="5259" spans="1:19" ht="21" customHeight="1" x14ac:dyDescent="0.25">
      <c r="A5259" s="14">
        <f>DATE(2012,12,31)-922</f>
        <v>40352</v>
      </c>
      <c r="B5259" s="15" t="s">
        <v>491</v>
      </c>
      <c r="C5259" s="15" t="s">
        <v>43</v>
      </c>
      <c r="D5259" s="16">
        <v>31</v>
      </c>
      <c r="E5259" s="17">
        <v>295.45</v>
      </c>
      <c r="F5259" s="16">
        <v>0.03</v>
      </c>
      <c r="G5259" s="15" t="s">
        <v>32</v>
      </c>
      <c r="H5259" s="18">
        <v>-4.3600000000000003</v>
      </c>
      <c r="I5259" s="19">
        <v>9.3800000000000008</v>
      </c>
      <c r="J5259" s="19">
        <v>4.93</v>
      </c>
      <c r="K5259" s="19" t="s">
        <v>33</v>
      </c>
      <c r="L5259" s="19" t="s">
        <v>145</v>
      </c>
      <c r="M5259" s="15" t="s">
        <v>2140</v>
      </c>
      <c r="N5259" s="15" t="s">
        <v>54</v>
      </c>
      <c r="O5259" s="15" t="s">
        <v>55</v>
      </c>
      <c r="P5259" s="20" t="s">
        <v>590</v>
      </c>
      <c r="Q5259" s="15" t="s">
        <v>83</v>
      </c>
      <c r="R5259" s="4"/>
      <c r="S5259" s="4"/>
    </row>
    <row r="5260" spans="1:19" ht="21" customHeight="1" x14ac:dyDescent="0.25">
      <c r="A5260" s="14">
        <f>DATE(2012,12,31)-922</f>
        <v>40352</v>
      </c>
      <c r="B5260" s="15" t="s">
        <v>491</v>
      </c>
      <c r="C5260" s="15" t="s">
        <v>43</v>
      </c>
      <c r="D5260" s="16">
        <v>39</v>
      </c>
      <c r="E5260" s="17">
        <v>8407.08</v>
      </c>
      <c r="F5260" s="16">
        <v>0.04</v>
      </c>
      <c r="G5260" s="15" t="s">
        <v>58</v>
      </c>
      <c r="H5260" s="18">
        <v>629.4</v>
      </c>
      <c r="I5260" s="19">
        <v>208.16</v>
      </c>
      <c r="J5260" s="19">
        <v>68.02</v>
      </c>
      <c r="K5260" s="19" t="s">
        <v>69</v>
      </c>
      <c r="L5260" s="19" t="s">
        <v>70</v>
      </c>
      <c r="M5260" s="15" t="s">
        <v>2230</v>
      </c>
      <c r="N5260" s="15" t="s">
        <v>36</v>
      </c>
      <c r="O5260" s="15" t="s">
        <v>176</v>
      </c>
      <c r="P5260" s="20" t="s">
        <v>192</v>
      </c>
      <c r="Q5260" s="15" t="s">
        <v>181</v>
      </c>
      <c r="R5260" s="4"/>
      <c r="S5260" s="4"/>
    </row>
    <row r="5261" spans="1:19" ht="21" customHeight="1" x14ac:dyDescent="0.25">
      <c r="A5261" s="14">
        <f>DATE(2012,12,31)-1406</f>
        <v>39868</v>
      </c>
      <c r="B5261" s="15" t="s">
        <v>1211</v>
      </c>
      <c r="C5261" s="15" t="s">
        <v>85</v>
      </c>
      <c r="D5261" s="16">
        <v>46</v>
      </c>
      <c r="E5261" s="17">
        <v>14740.51</v>
      </c>
      <c r="F5261" s="16">
        <v>0</v>
      </c>
      <c r="G5261" s="15" t="s">
        <v>58</v>
      </c>
      <c r="H5261" s="18">
        <v>3407.73</v>
      </c>
      <c r="I5261" s="19">
        <v>300.98</v>
      </c>
      <c r="J5261" s="19">
        <v>164.73</v>
      </c>
      <c r="K5261" s="19" t="s">
        <v>111</v>
      </c>
      <c r="L5261" s="19" t="s">
        <v>407</v>
      </c>
      <c r="M5261" s="15" t="s">
        <v>407</v>
      </c>
      <c r="N5261" s="15" t="s">
        <v>54</v>
      </c>
      <c r="O5261" s="15" t="s">
        <v>252</v>
      </c>
      <c r="P5261" s="20" t="s">
        <v>1015</v>
      </c>
      <c r="Q5261" s="15" t="s">
        <v>181</v>
      </c>
      <c r="R5261" s="4"/>
      <c r="S5261" s="4"/>
    </row>
    <row r="5262" spans="1:19" ht="21" customHeight="1" x14ac:dyDescent="0.25">
      <c r="A5262" s="14">
        <f>DATE(2012,12,31)-1406</f>
        <v>39868</v>
      </c>
      <c r="B5262" s="15" t="s">
        <v>1211</v>
      </c>
      <c r="C5262" s="15" t="s">
        <v>85</v>
      </c>
      <c r="D5262" s="16">
        <v>1</v>
      </c>
      <c r="E5262" s="17">
        <v>3.77</v>
      </c>
      <c r="F5262" s="16">
        <v>0.09</v>
      </c>
      <c r="G5262" s="15" t="s">
        <v>32</v>
      </c>
      <c r="H5262" s="18">
        <v>-1.84</v>
      </c>
      <c r="I5262" s="19">
        <v>2.94</v>
      </c>
      <c r="J5262" s="19">
        <v>0.96</v>
      </c>
      <c r="K5262" s="19" t="s">
        <v>111</v>
      </c>
      <c r="L5262" s="19" t="s">
        <v>112</v>
      </c>
      <c r="M5262" s="15" t="s">
        <v>2198</v>
      </c>
      <c r="N5262" s="15" t="s">
        <v>36</v>
      </c>
      <c r="O5262" s="15" t="s">
        <v>77</v>
      </c>
      <c r="P5262" s="20" t="s">
        <v>830</v>
      </c>
      <c r="Q5262" s="15" t="s">
        <v>79</v>
      </c>
      <c r="R5262" s="4"/>
      <c r="S5262" s="4"/>
    </row>
    <row r="5263" spans="1:19" ht="21" customHeight="1" x14ac:dyDescent="0.25">
      <c r="A5263" s="14">
        <f>DATE(2012,12,31)-991</f>
        <v>40283</v>
      </c>
      <c r="B5263" s="15" t="s">
        <v>1258</v>
      </c>
      <c r="C5263" s="15" t="s">
        <v>43</v>
      </c>
      <c r="D5263" s="16">
        <v>50</v>
      </c>
      <c r="E5263" s="17">
        <v>2869.44</v>
      </c>
      <c r="F5263" s="16">
        <v>0.08</v>
      </c>
      <c r="G5263" s="15" t="s">
        <v>32</v>
      </c>
      <c r="H5263" s="18">
        <v>840.55</v>
      </c>
      <c r="I5263" s="19">
        <v>59.98</v>
      </c>
      <c r="J5263" s="19">
        <v>3.99</v>
      </c>
      <c r="K5263" s="19" t="s">
        <v>44</v>
      </c>
      <c r="L5263" s="19" t="s">
        <v>89</v>
      </c>
      <c r="M5263" s="15" t="s">
        <v>1932</v>
      </c>
      <c r="N5263" s="15" t="s">
        <v>36</v>
      </c>
      <c r="O5263" s="15" t="s">
        <v>176</v>
      </c>
      <c r="P5263" s="20" t="s">
        <v>351</v>
      </c>
      <c r="Q5263" s="15" t="s">
        <v>83</v>
      </c>
      <c r="R5263" s="4"/>
      <c r="S5263" s="4"/>
    </row>
    <row r="5264" spans="1:19" ht="21" customHeight="1" x14ac:dyDescent="0.25">
      <c r="A5264" s="14">
        <f>DATE(2012,12,31)-991</f>
        <v>40283</v>
      </c>
      <c r="B5264" s="15" t="s">
        <v>1258</v>
      </c>
      <c r="C5264" s="15" t="s">
        <v>43</v>
      </c>
      <c r="D5264" s="16">
        <v>21</v>
      </c>
      <c r="E5264" s="17">
        <v>2172.7019999999998</v>
      </c>
      <c r="F5264" s="16">
        <v>0.01</v>
      </c>
      <c r="G5264" s="15" t="s">
        <v>32</v>
      </c>
      <c r="H5264" s="18">
        <v>481.74299999999999</v>
      </c>
      <c r="I5264" s="19">
        <v>115.99</v>
      </c>
      <c r="J5264" s="19">
        <v>2.5</v>
      </c>
      <c r="K5264" s="19" t="s">
        <v>44</v>
      </c>
      <c r="L5264" s="19" t="s">
        <v>89</v>
      </c>
      <c r="M5264" s="15" t="s">
        <v>1932</v>
      </c>
      <c r="N5264" s="15" t="s">
        <v>64</v>
      </c>
      <c r="O5264" s="15" t="s">
        <v>65</v>
      </c>
      <c r="P5264" s="20" t="s">
        <v>870</v>
      </c>
      <c r="Q5264" s="15" t="s">
        <v>83</v>
      </c>
      <c r="R5264" s="4"/>
      <c r="S5264" s="4"/>
    </row>
    <row r="5265" spans="1:19" ht="21" customHeight="1" x14ac:dyDescent="0.25">
      <c r="A5265" s="14">
        <f>DATE(2012,12,31)-317</f>
        <v>40957</v>
      </c>
      <c r="B5265" s="15" t="s">
        <v>350</v>
      </c>
      <c r="C5265" s="15" t="s">
        <v>51</v>
      </c>
      <c r="D5265" s="16">
        <v>37</v>
      </c>
      <c r="E5265" s="17">
        <v>2180.23</v>
      </c>
      <c r="F5265" s="16">
        <v>0.05</v>
      </c>
      <c r="G5265" s="15" t="s">
        <v>32</v>
      </c>
      <c r="H5265" s="18">
        <v>660.25</v>
      </c>
      <c r="I5265" s="19">
        <v>60.22</v>
      </c>
      <c r="J5265" s="19">
        <v>3.5</v>
      </c>
      <c r="K5265" s="19" t="s">
        <v>124</v>
      </c>
      <c r="L5265" s="19" t="s">
        <v>125</v>
      </c>
      <c r="M5265" s="15" t="s">
        <v>2223</v>
      </c>
      <c r="N5265" s="15" t="s">
        <v>36</v>
      </c>
      <c r="O5265" s="15" t="s">
        <v>176</v>
      </c>
      <c r="P5265" s="20" t="s">
        <v>1805</v>
      </c>
      <c r="Q5265" s="15" t="s">
        <v>83</v>
      </c>
      <c r="R5265" s="4"/>
      <c r="S5265" s="4"/>
    </row>
    <row r="5266" spans="1:19" ht="21" customHeight="1" x14ac:dyDescent="0.25">
      <c r="A5266" s="14">
        <f>DATE(2012,12,31)-1272</f>
        <v>40002</v>
      </c>
      <c r="B5266" s="15" t="s">
        <v>459</v>
      </c>
      <c r="C5266" s="15" t="s">
        <v>31</v>
      </c>
      <c r="D5266" s="16">
        <v>23</v>
      </c>
      <c r="E5266" s="17">
        <v>139.44999999999999</v>
      </c>
      <c r="F5266" s="16">
        <v>0.02</v>
      </c>
      <c r="G5266" s="15" t="s">
        <v>32</v>
      </c>
      <c r="H5266" s="18">
        <v>-137.494</v>
      </c>
      <c r="I5266" s="19">
        <v>5.81</v>
      </c>
      <c r="J5266" s="19">
        <v>8.49</v>
      </c>
      <c r="K5266" s="19" t="s">
        <v>97</v>
      </c>
      <c r="L5266" s="19" t="s">
        <v>98</v>
      </c>
      <c r="M5266" s="15" t="s">
        <v>2217</v>
      </c>
      <c r="N5266" s="15" t="s">
        <v>36</v>
      </c>
      <c r="O5266" s="15" t="s">
        <v>170</v>
      </c>
      <c r="P5266" s="20" t="s">
        <v>1190</v>
      </c>
      <c r="Q5266" s="15" t="s">
        <v>83</v>
      </c>
      <c r="R5266" s="4"/>
      <c r="S5266" s="4"/>
    </row>
    <row r="5267" spans="1:19" ht="21" customHeight="1" x14ac:dyDescent="0.25">
      <c r="A5267" s="14">
        <f>DATE(2012,12,31)-1187</f>
        <v>40087</v>
      </c>
      <c r="B5267" s="15" t="s">
        <v>827</v>
      </c>
      <c r="C5267" s="15" t="s">
        <v>31</v>
      </c>
      <c r="D5267" s="16">
        <v>42</v>
      </c>
      <c r="E5267" s="17">
        <v>88.23</v>
      </c>
      <c r="F5267" s="16">
        <v>0.1</v>
      </c>
      <c r="G5267" s="15" t="s">
        <v>32</v>
      </c>
      <c r="H5267" s="18">
        <v>-195.93</v>
      </c>
      <c r="I5267" s="19">
        <v>2.1800000000000002</v>
      </c>
      <c r="J5267" s="19">
        <v>5</v>
      </c>
      <c r="K5267" s="19" t="s">
        <v>124</v>
      </c>
      <c r="L5267" s="19" t="s">
        <v>493</v>
      </c>
      <c r="M5267" s="15" t="s">
        <v>2206</v>
      </c>
      <c r="N5267" s="15" t="s">
        <v>36</v>
      </c>
      <c r="O5267" s="15" t="s">
        <v>47</v>
      </c>
      <c r="P5267" s="20" t="s">
        <v>673</v>
      </c>
      <c r="Q5267" s="15" t="s">
        <v>79</v>
      </c>
      <c r="R5267" s="4"/>
      <c r="S5267" s="4"/>
    </row>
    <row r="5268" spans="1:19" ht="21" customHeight="1" x14ac:dyDescent="0.25">
      <c r="A5268" s="14">
        <f>DATE(2012,12,31)-1187</f>
        <v>40087</v>
      </c>
      <c r="B5268" s="15" t="s">
        <v>827</v>
      </c>
      <c r="C5268" s="15" t="s">
        <v>31</v>
      </c>
      <c r="D5268" s="16">
        <v>8</v>
      </c>
      <c r="E5268" s="17">
        <v>43.72</v>
      </c>
      <c r="F5268" s="16">
        <v>0.06</v>
      </c>
      <c r="G5268" s="15" t="s">
        <v>32</v>
      </c>
      <c r="H5268" s="18">
        <v>2.12</v>
      </c>
      <c r="I5268" s="19">
        <v>5.18</v>
      </c>
      <c r="J5268" s="19">
        <v>2.04</v>
      </c>
      <c r="K5268" s="19" t="s">
        <v>124</v>
      </c>
      <c r="L5268" s="19" t="s">
        <v>125</v>
      </c>
      <c r="M5268" s="15" t="s">
        <v>2223</v>
      </c>
      <c r="N5268" s="15" t="s">
        <v>36</v>
      </c>
      <c r="O5268" s="15" t="s">
        <v>117</v>
      </c>
      <c r="P5268" s="20" t="s">
        <v>1443</v>
      </c>
      <c r="Q5268" s="15" t="s">
        <v>79</v>
      </c>
      <c r="R5268" s="4"/>
      <c r="S5268" s="4"/>
    </row>
    <row r="5269" spans="1:19" ht="21" customHeight="1" x14ac:dyDescent="0.25">
      <c r="A5269" s="14">
        <f>DATE(2012,12,31)-577</f>
        <v>40697</v>
      </c>
      <c r="B5269" s="15" t="s">
        <v>784</v>
      </c>
      <c r="C5269" s="15" t="s">
        <v>31</v>
      </c>
      <c r="D5269" s="16">
        <v>1</v>
      </c>
      <c r="E5269" s="17">
        <v>29.19</v>
      </c>
      <c r="F5269" s="16">
        <v>0.03</v>
      </c>
      <c r="G5269" s="15" t="s">
        <v>32</v>
      </c>
      <c r="H5269" s="18">
        <v>-23.1</v>
      </c>
      <c r="I5269" s="19">
        <v>16.98</v>
      </c>
      <c r="J5269" s="19">
        <v>12.39</v>
      </c>
      <c r="K5269" s="19" t="s">
        <v>44</v>
      </c>
      <c r="L5269" s="19" t="s">
        <v>52</v>
      </c>
      <c r="M5269" s="15" t="s">
        <v>2240</v>
      </c>
      <c r="N5269" s="15" t="s">
        <v>36</v>
      </c>
      <c r="O5269" s="15" t="s">
        <v>189</v>
      </c>
      <c r="P5269" s="20" t="s">
        <v>1242</v>
      </c>
      <c r="Q5269" s="15" t="s">
        <v>83</v>
      </c>
      <c r="R5269" s="4"/>
      <c r="S5269" s="4"/>
    </row>
    <row r="5270" spans="1:19" ht="21" customHeight="1" x14ac:dyDescent="0.25">
      <c r="A5270" s="14">
        <f>DATE(2012,12,31)-577</f>
        <v>40697</v>
      </c>
      <c r="B5270" s="15" t="s">
        <v>784</v>
      </c>
      <c r="C5270" s="15" t="s">
        <v>31</v>
      </c>
      <c r="D5270" s="16">
        <v>9</v>
      </c>
      <c r="E5270" s="17">
        <v>2007.24</v>
      </c>
      <c r="F5270" s="16">
        <v>0.03</v>
      </c>
      <c r="G5270" s="15" t="s">
        <v>101</v>
      </c>
      <c r="H5270" s="18">
        <v>600.4</v>
      </c>
      <c r="I5270" s="19">
        <v>225.04</v>
      </c>
      <c r="J5270" s="19">
        <v>11.79</v>
      </c>
      <c r="K5270" s="19" t="s">
        <v>44</v>
      </c>
      <c r="L5270" s="19" t="s">
        <v>236</v>
      </c>
      <c r="M5270" s="15" t="s">
        <v>2175</v>
      </c>
      <c r="N5270" s="15" t="s">
        <v>36</v>
      </c>
      <c r="O5270" s="15" t="s">
        <v>176</v>
      </c>
      <c r="P5270" s="20" t="s">
        <v>2067</v>
      </c>
      <c r="Q5270" s="15" t="s">
        <v>57</v>
      </c>
      <c r="R5270" s="4"/>
      <c r="S5270" s="4"/>
    </row>
    <row r="5271" spans="1:19" ht="21" customHeight="1" x14ac:dyDescent="0.25">
      <c r="A5271" s="14">
        <f>DATE(2012,12,31)-577</f>
        <v>40697</v>
      </c>
      <c r="B5271" s="15" t="s">
        <v>784</v>
      </c>
      <c r="C5271" s="15" t="s">
        <v>31</v>
      </c>
      <c r="D5271" s="16">
        <v>42</v>
      </c>
      <c r="E5271" s="17">
        <v>384.41</v>
      </c>
      <c r="F5271" s="16">
        <v>0.05</v>
      </c>
      <c r="G5271" s="15" t="s">
        <v>32</v>
      </c>
      <c r="H5271" s="18">
        <v>-44.300400000000003</v>
      </c>
      <c r="I5271" s="19">
        <v>9.49</v>
      </c>
      <c r="J5271" s="19">
        <v>5.76</v>
      </c>
      <c r="K5271" s="19" t="s">
        <v>44</v>
      </c>
      <c r="L5271" s="19" t="s">
        <v>52</v>
      </c>
      <c r="M5271" s="15" t="s">
        <v>2240</v>
      </c>
      <c r="N5271" s="15" t="s">
        <v>64</v>
      </c>
      <c r="O5271" s="15" t="s">
        <v>122</v>
      </c>
      <c r="P5271" s="20" t="s">
        <v>1981</v>
      </c>
      <c r="Q5271" s="15" t="s">
        <v>57</v>
      </c>
      <c r="R5271" s="4"/>
      <c r="S5271" s="4"/>
    </row>
    <row r="5272" spans="1:19" ht="21" customHeight="1" x14ac:dyDescent="0.25">
      <c r="A5272" s="14">
        <f>DATE(2012,12,31)-1394</f>
        <v>39880</v>
      </c>
      <c r="B5272" s="15" t="s">
        <v>2149</v>
      </c>
      <c r="C5272" s="15" t="s">
        <v>85</v>
      </c>
      <c r="D5272" s="16">
        <v>15</v>
      </c>
      <c r="E5272" s="17">
        <v>2466.02</v>
      </c>
      <c r="F5272" s="16">
        <v>0.02</v>
      </c>
      <c r="G5272" s="15" t="s">
        <v>32</v>
      </c>
      <c r="H5272" s="18">
        <v>243.73</v>
      </c>
      <c r="I5272" s="19">
        <v>161.55000000000001</v>
      </c>
      <c r="J5272" s="19">
        <v>19.989999999999998</v>
      </c>
      <c r="K5272" s="19" t="s">
        <v>44</v>
      </c>
      <c r="L5272" s="19" t="s">
        <v>52</v>
      </c>
      <c r="M5272" s="15" t="s">
        <v>2240</v>
      </c>
      <c r="N5272" s="15" t="s">
        <v>36</v>
      </c>
      <c r="O5272" s="15" t="s">
        <v>37</v>
      </c>
      <c r="P5272" s="20" t="s">
        <v>1794</v>
      </c>
      <c r="Q5272" s="15" t="s">
        <v>83</v>
      </c>
      <c r="R5272" s="4"/>
      <c r="S5272" s="4"/>
    </row>
    <row r="5273" spans="1:19" ht="21" customHeight="1" x14ac:dyDescent="0.25">
      <c r="A5273" s="14">
        <f>DATE(2012,12,31)-1459</f>
        <v>39815</v>
      </c>
      <c r="B5273" s="15" t="s">
        <v>737</v>
      </c>
      <c r="C5273" s="15" t="s">
        <v>31</v>
      </c>
      <c r="D5273" s="16">
        <v>4</v>
      </c>
      <c r="E5273" s="17">
        <v>1239.06</v>
      </c>
      <c r="F5273" s="16">
        <v>0</v>
      </c>
      <c r="G5273" s="15" t="s">
        <v>58</v>
      </c>
      <c r="H5273" s="18">
        <v>-193.08</v>
      </c>
      <c r="I5273" s="19">
        <v>291.73</v>
      </c>
      <c r="J5273" s="19">
        <v>48.8</v>
      </c>
      <c r="K5273" s="19" t="s">
        <v>44</v>
      </c>
      <c r="L5273" s="19" t="s">
        <v>52</v>
      </c>
      <c r="M5273" s="15" t="s">
        <v>2240</v>
      </c>
      <c r="N5273" s="15" t="s">
        <v>54</v>
      </c>
      <c r="O5273" s="15" t="s">
        <v>252</v>
      </c>
      <c r="P5273" s="20" t="s">
        <v>751</v>
      </c>
      <c r="Q5273" s="15" t="s">
        <v>181</v>
      </c>
      <c r="R5273" s="4"/>
      <c r="S5273" s="4"/>
    </row>
    <row r="5274" spans="1:19" ht="21" customHeight="1" x14ac:dyDescent="0.25">
      <c r="A5274" s="14">
        <f>DATE(2012,12,31)-1459</f>
        <v>39815</v>
      </c>
      <c r="B5274" s="15" t="s">
        <v>737</v>
      </c>
      <c r="C5274" s="15" t="s">
        <v>31</v>
      </c>
      <c r="D5274" s="16">
        <v>43</v>
      </c>
      <c r="E5274" s="17">
        <v>4083.19</v>
      </c>
      <c r="F5274" s="16">
        <v>7.0000000000000007E-2</v>
      </c>
      <c r="G5274" s="15" t="s">
        <v>58</v>
      </c>
      <c r="H5274" s="18">
        <v>-1049.8499999999999</v>
      </c>
      <c r="I5274" s="19">
        <v>100.98</v>
      </c>
      <c r="J5274" s="19">
        <v>45</v>
      </c>
      <c r="K5274" s="19" t="s">
        <v>69</v>
      </c>
      <c r="L5274" s="19" t="s">
        <v>70</v>
      </c>
      <c r="M5274" s="15" t="s">
        <v>2230</v>
      </c>
      <c r="N5274" s="15" t="s">
        <v>54</v>
      </c>
      <c r="O5274" s="15" t="s">
        <v>252</v>
      </c>
      <c r="P5274" s="20" t="s">
        <v>2226</v>
      </c>
      <c r="Q5274" s="15" t="s">
        <v>181</v>
      </c>
      <c r="R5274" s="4"/>
      <c r="S5274" s="4"/>
    </row>
    <row r="5275" spans="1:19" ht="21" customHeight="1" x14ac:dyDescent="0.25">
      <c r="A5275" s="14">
        <f>DATE(2012,12,31)-1459</f>
        <v>39815</v>
      </c>
      <c r="B5275" s="15" t="s">
        <v>737</v>
      </c>
      <c r="C5275" s="15" t="s">
        <v>31</v>
      </c>
      <c r="D5275" s="16">
        <v>32</v>
      </c>
      <c r="E5275" s="17">
        <v>4902.38</v>
      </c>
      <c r="F5275" s="16">
        <v>0.05</v>
      </c>
      <c r="G5275" s="15" t="s">
        <v>32</v>
      </c>
      <c r="H5275" s="18">
        <v>1438.49</v>
      </c>
      <c r="I5275" s="19">
        <v>155.06</v>
      </c>
      <c r="J5275" s="19">
        <v>7.07</v>
      </c>
      <c r="K5275" s="19" t="s">
        <v>69</v>
      </c>
      <c r="L5275" s="19" t="s">
        <v>70</v>
      </c>
      <c r="M5275" s="15" t="s">
        <v>2230</v>
      </c>
      <c r="N5275" s="15" t="s">
        <v>36</v>
      </c>
      <c r="O5275" s="15" t="s">
        <v>37</v>
      </c>
      <c r="P5275" s="20" t="s">
        <v>1107</v>
      </c>
      <c r="Q5275" s="15" t="s">
        <v>83</v>
      </c>
      <c r="R5275" s="4"/>
      <c r="S5275" s="4"/>
    </row>
    <row r="5276" spans="1:19" ht="21" customHeight="1" x14ac:dyDescent="0.25">
      <c r="A5276" s="14">
        <f>DATE(2012,12,31)-1039</f>
        <v>40235</v>
      </c>
      <c r="B5276" s="15" t="s">
        <v>357</v>
      </c>
      <c r="C5276" s="15" t="s">
        <v>85</v>
      </c>
      <c r="D5276" s="16">
        <v>3</v>
      </c>
      <c r="E5276" s="17">
        <v>71.94</v>
      </c>
      <c r="F5276" s="16">
        <v>0.01</v>
      </c>
      <c r="G5276" s="15" t="s">
        <v>32</v>
      </c>
      <c r="H5276" s="18">
        <v>-70.680000000000007</v>
      </c>
      <c r="I5276" s="19">
        <v>20.95</v>
      </c>
      <c r="J5276" s="19">
        <v>5.99</v>
      </c>
      <c r="K5276" s="19" t="s">
        <v>44</v>
      </c>
      <c r="L5276" s="19" t="s">
        <v>80</v>
      </c>
      <c r="M5276" s="15" t="s">
        <v>2179</v>
      </c>
      <c r="N5276" s="15" t="s">
        <v>64</v>
      </c>
      <c r="O5276" s="15" t="s">
        <v>72</v>
      </c>
      <c r="P5276" s="20" t="s">
        <v>1259</v>
      </c>
      <c r="Q5276" s="15" t="s">
        <v>83</v>
      </c>
      <c r="R5276" s="4"/>
      <c r="S5276" s="4"/>
    </row>
    <row r="5277" spans="1:19" ht="21" customHeight="1" x14ac:dyDescent="0.25">
      <c r="A5277" s="14">
        <f>DATE(2012,12,31)-1039</f>
        <v>40235</v>
      </c>
      <c r="B5277" s="15" t="s">
        <v>357</v>
      </c>
      <c r="C5277" s="15" t="s">
        <v>85</v>
      </c>
      <c r="D5277" s="16">
        <v>10</v>
      </c>
      <c r="E5277" s="17">
        <v>550.61</v>
      </c>
      <c r="F5277" s="16">
        <v>0.08</v>
      </c>
      <c r="G5277" s="15" t="s">
        <v>101</v>
      </c>
      <c r="H5277" s="18">
        <v>98.32</v>
      </c>
      <c r="I5277" s="19">
        <v>55.98</v>
      </c>
      <c r="J5277" s="19">
        <v>13.88</v>
      </c>
      <c r="K5277" s="19" t="s">
        <v>44</v>
      </c>
      <c r="L5277" s="19" t="s">
        <v>89</v>
      </c>
      <c r="M5277" s="15" t="s">
        <v>1932</v>
      </c>
      <c r="N5277" s="15" t="s">
        <v>36</v>
      </c>
      <c r="O5277" s="15" t="s">
        <v>117</v>
      </c>
      <c r="P5277" s="20" t="s">
        <v>1127</v>
      </c>
      <c r="Q5277" s="15" t="s">
        <v>83</v>
      </c>
      <c r="R5277" s="4"/>
      <c r="S5277" s="4"/>
    </row>
    <row r="5278" spans="1:19" ht="21" customHeight="1" x14ac:dyDescent="0.25">
      <c r="A5278" s="14">
        <f>DATE(2012,12,31)-1039</f>
        <v>40235</v>
      </c>
      <c r="B5278" s="15" t="s">
        <v>357</v>
      </c>
      <c r="C5278" s="15" t="s">
        <v>85</v>
      </c>
      <c r="D5278" s="16">
        <v>18</v>
      </c>
      <c r="E5278" s="17">
        <v>1373.11</v>
      </c>
      <c r="F5278" s="16">
        <v>0.1</v>
      </c>
      <c r="G5278" s="15" t="s">
        <v>32</v>
      </c>
      <c r="H5278" s="18">
        <v>-599.54</v>
      </c>
      <c r="I5278" s="19">
        <v>80.98</v>
      </c>
      <c r="J5278" s="19">
        <v>35</v>
      </c>
      <c r="K5278" s="19" t="s">
        <v>44</v>
      </c>
      <c r="L5278" s="19" t="s">
        <v>89</v>
      </c>
      <c r="M5278" s="15" t="s">
        <v>1932</v>
      </c>
      <c r="N5278" s="15" t="s">
        <v>36</v>
      </c>
      <c r="O5278" s="15" t="s">
        <v>37</v>
      </c>
      <c r="P5278" s="20" t="s">
        <v>1383</v>
      </c>
      <c r="Q5278" s="15" t="s">
        <v>39</v>
      </c>
      <c r="R5278" s="4"/>
      <c r="S5278" s="4"/>
    </row>
    <row r="5279" spans="1:19" ht="21" customHeight="1" x14ac:dyDescent="0.25">
      <c r="A5279" s="14">
        <f>DATE(2012,12,31)-1260</f>
        <v>40014</v>
      </c>
      <c r="B5279" s="15" t="s">
        <v>1152</v>
      </c>
      <c r="C5279" s="15" t="s">
        <v>85</v>
      </c>
      <c r="D5279" s="16">
        <v>26</v>
      </c>
      <c r="E5279" s="17">
        <v>2546.5234999999998</v>
      </c>
      <c r="F5279" s="16">
        <v>0.09</v>
      </c>
      <c r="G5279" s="15" t="s">
        <v>101</v>
      </c>
      <c r="H5279" s="18">
        <v>209.99700000000001</v>
      </c>
      <c r="I5279" s="19">
        <v>125.99</v>
      </c>
      <c r="J5279" s="19">
        <v>7.69</v>
      </c>
      <c r="K5279" s="19" t="s">
        <v>124</v>
      </c>
      <c r="L5279" s="19" t="s">
        <v>160</v>
      </c>
      <c r="M5279" s="15" t="s">
        <v>2181</v>
      </c>
      <c r="N5279" s="15" t="s">
        <v>64</v>
      </c>
      <c r="O5279" s="15" t="s">
        <v>65</v>
      </c>
      <c r="P5279" s="20" t="s">
        <v>954</v>
      </c>
      <c r="Q5279" s="15" t="s">
        <v>83</v>
      </c>
      <c r="R5279" s="4"/>
      <c r="S5279" s="4"/>
    </row>
    <row r="5280" spans="1:19" ht="21" customHeight="1" x14ac:dyDescent="0.25">
      <c r="A5280" s="14">
        <f>DATE(2012,12,31)-366</f>
        <v>40908</v>
      </c>
      <c r="B5280" s="15" t="s">
        <v>394</v>
      </c>
      <c r="C5280" s="15" t="s">
        <v>85</v>
      </c>
      <c r="D5280" s="16">
        <v>6</v>
      </c>
      <c r="E5280" s="17">
        <v>241.85</v>
      </c>
      <c r="F5280" s="16">
        <v>0.01</v>
      </c>
      <c r="G5280" s="15" t="s">
        <v>32</v>
      </c>
      <c r="H5280" s="18">
        <v>-4.5</v>
      </c>
      <c r="I5280" s="19">
        <v>36.549999999999997</v>
      </c>
      <c r="J5280" s="19">
        <v>13.89</v>
      </c>
      <c r="K5280" s="19" t="s">
        <v>44</v>
      </c>
      <c r="L5280" s="19" t="s">
        <v>52</v>
      </c>
      <c r="M5280" s="15" t="s">
        <v>2240</v>
      </c>
      <c r="N5280" s="15" t="s">
        <v>36</v>
      </c>
      <c r="O5280" s="15" t="s">
        <v>77</v>
      </c>
      <c r="P5280" s="20" t="s">
        <v>150</v>
      </c>
      <c r="Q5280" s="15" t="s">
        <v>79</v>
      </c>
      <c r="R5280" s="4"/>
      <c r="S5280" s="4"/>
    </row>
    <row r="5281" spans="1:19" ht="21" customHeight="1" x14ac:dyDescent="0.25">
      <c r="A5281" s="14">
        <f>DATE(2012,12,31)-881</f>
        <v>40393</v>
      </c>
      <c r="B5281" s="15" t="s">
        <v>367</v>
      </c>
      <c r="C5281" s="15" t="s">
        <v>51</v>
      </c>
      <c r="D5281" s="16">
        <v>22</v>
      </c>
      <c r="E5281" s="17">
        <v>123.95</v>
      </c>
      <c r="F5281" s="16">
        <v>0.01</v>
      </c>
      <c r="G5281" s="15" t="s">
        <v>32</v>
      </c>
      <c r="H5281" s="18">
        <v>2.4224999999999999</v>
      </c>
      <c r="I5281" s="19">
        <v>5.34</v>
      </c>
      <c r="J5281" s="19">
        <v>2.99</v>
      </c>
      <c r="K5281" s="19" t="s">
        <v>44</v>
      </c>
      <c r="L5281" s="19" t="s">
        <v>52</v>
      </c>
      <c r="M5281" s="15" t="s">
        <v>2240</v>
      </c>
      <c r="N5281" s="15" t="s">
        <v>36</v>
      </c>
      <c r="O5281" s="15" t="s">
        <v>170</v>
      </c>
      <c r="P5281" s="20" t="s">
        <v>388</v>
      </c>
      <c r="Q5281" s="15" t="s">
        <v>83</v>
      </c>
      <c r="R5281" s="4"/>
      <c r="S5281" s="4"/>
    </row>
    <row r="5282" spans="1:19" ht="21" customHeight="1" x14ac:dyDescent="0.25">
      <c r="A5282" s="14">
        <f>DATE(2012,12,31)-768</f>
        <v>40506</v>
      </c>
      <c r="B5282" s="15" t="s">
        <v>932</v>
      </c>
      <c r="C5282" s="15" t="s">
        <v>85</v>
      </c>
      <c r="D5282" s="16">
        <v>50</v>
      </c>
      <c r="E5282" s="17">
        <v>2440.2600000000002</v>
      </c>
      <c r="F5282" s="16">
        <v>0</v>
      </c>
      <c r="G5282" s="15" t="s">
        <v>32</v>
      </c>
      <c r="H5282" s="18">
        <v>917.28</v>
      </c>
      <c r="I5282" s="19">
        <v>45.19</v>
      </c>
      <c r="J5282" s="19">
        <v>1.99</v>
      </c>
      <c r="K5282" s="19" t="s">
        <v>44</v>
      </c>
      <c r="L5282" s="19" t="s">
        <v>80</v>
      </c>
      <c r="M5282" s="15" t="s">
        <v>2179</v>
      </c>
      <c r="N5282" s="15" t="s">
        <v>64</v>
      </c>
      <c r="O5282" s="15" t="s">
        <v>72</v>
      </c>
      <c r="P5282" s="20" t="s">
        <v>877</v>
      </c>
      <c r="Q5282" s="15" t="s">
        <v>49</v>
      </c>
      <c r="R5282" s="4"/>
      <c r="S5282" s="4"/>
    </row>
    <row r="5283" spans="1:19" ht="21" customHeight="1" x14ac:dyDescent="0.25">
      <c r="A5283" s="14">
        <f>DATE(2012,12,31)-768</f>
        <v>40506</v>
      </c>
      <c r="B5283" s="15" t="s">
        <v>932</v>
      </c>
      <c r="C5283" s="15" t="s">
        <v>85</v>
      </c>
      <c r="D5283" s="16">
        <v>23</v>
      </c>
      <c r="E5283" s="17">
        <v>1008.19</v>
      </c>
      <c r="F5283" s="16">
        <v>0.03</v>
      </c>
      <c r="G5283" s="15" t="s">
        <v>32</v>
      </c>
      <c r="H5283" s="18">
        <v>210.01</v>
      </c>
      <c r="I5283" s="19">
        <v>45.19</v>
      </c>
      <c r="J5283" s="19">
        <v>1.99</v>
      </c>
      <c r="K5283" s="19" t="s">
        <v>33</v>
      </c>
      <c r="L5283" s="19" t="s">
        <v>93</v>
      </c>
      <c r="M5283" s="15" t="s">
        <v>94</v>
      </c>
      <c r="N5283" s="15" t="s">
        <v>64</v>
      </c>
      <c r="O5283" s="15" t="s">
        <v>72</v>
      </c>
      <c r="P5283" s="20" t="s">
        <v>877</v>
      </c>
      <c r="Q5283" s="15" t="s">
        <v>49</v>
      </c>
      <c r="R5283" s="4"/>
      <c r="S5283" s="4"/>
    </row>
    <row r="5284" spans="1:19" ht="21" customHeight="1" x14ac:dyDescent="0.25">
      <c r="A5284" s="14">
        <f>DATE(2012,12,31)-1043</f>
        <v>40231</v>
      </c>
      <c r="B5284" s="15" t="s">
        <v>1585</v>
      </c>
      <c r="C5284" s="15" t="s">
        <v>85</v>
      </c>
      <c r="D5284" s="16">
        <v>1</v>
      </c>
      <c r="E5284" s="17">
        <v>19.96</v>
      </c>
      <c r="F5284" s="16">
        <v>0.05</v>
      </c>
      <c r="G5284" s="15" t="s">
        <v>101</v>
      </c>
      <c r="H5284" s="18">
        <v>3.25</v>
      </c>
      <c r="I5284" s="19">
        <v>4.9800000000000004</v>
      </c>
      <c r="J5284" s="19">
        <v>4.8600000000000003</v>
      </c>
      <c r="K5284" s="19" t="s">
        <v>33</v>
      </c>
      <c r="L5284" s="19" t="s">
        <v>34</v>
      </c>
      <c r="M5284" s="15" t="s">
        <v>2043</v>
      </c>
      <c r="N5284" s="15" t="s">
        <v>36</v>
      </c>
      <c r="O5284" s="15" t="s">
        <v>117</v>
      </c>
      <c r="P5284" s="20" t="s">
        <v>234</v>
      </c>
      <c r="Q5284" s="15" t="s">
        <v>83</v>
      </c>
      <c r="R5284" s="4"/>
      <c r="S5284" s="4"/>
    </row>
    <row r="5285" spans="1:19" ht="21" customHeight="1" x14ac:dyDescent="0.25">
      <c r="A5285" s="14">
        <f>DATE(2012,12,31)-1043</f>
        <v>40231</v>
      </c>
      <c r="B5285" s="15" t="s">
        <v>1585</v>
      </c>
      <c r="C5285" s="15" t="s">
        <v>85</v>
      </c>
      <c r="D5285" s="16">
        <v>41</v>
      </c>
      <c r="E5285" s="17">
        <v>148.99</v>
      </c>
      <c r="F5285" s="16">
        <v>0.03</v>
      </c>
      <c r="G5285" s="15" t="s">
        <v>32</v>
      </c>
      <c r="H5285" s="18">
        <v>-115.48</v>
      </c>
      <c r="I5285" s="19">
        <v>3.57</v>
      </c>
      <c r="J5285" s="19">
        <v>4.17</v>
      </c>
      <c r="K5285" s="19" t="s">
        <v>33</v>
      </c>
      <c r="L5285" s="19" t="s">
        <v>145</v>
      </c>
      <c r="M5285" s="15" t="s">
        <v>2140</v>
      </c>
      <c r="N5285" s="15" t="s">
        <v>36</v>
      </c>
      <c r="O5285" s="15" t="s">
        <v>77</v>
      </c>
      <c r="P5285" s="20" t="s">
        <v>604</v>
      </c>
      <c r="Q5285" s="15" t="s">
        <v>49</v>
      </c>
      <c r="R5285" s="4"/>
      <c r="S5285" s="4"/>
    </row>
    <row r="5286" spans="1:19" ht="21" customHeight="1" x14ac:dyDescent="0.25">
      <c r="A5286" s="14">
        <f>DATE(2012,12,31)-1043</f>
        <v>40231</v>
      </c>
      <c r="B5286" s="15" t="s">
        <v>1585</v>
      </c>
      <c r="C5286" s="15" t="s">
        <v>85</v>
      </c>
      <c r="D5286" s="16">
        <v>21</v>
      </c>
      <c r="E5286" s="17">
        <v>70.66</v>
      </c>
      <c r="F5286" s="16">
        <v>0.06</v>
      </c>
      <c r="G5286" s="15" t="s">
        <v>32</v>
      </c>
      <c r="H5286" s="18">
        <v>-57.84</v>
      </c>
      <c r="I5286" s="19">
        <v>3.28</v>
      </c>
      <c r="J5286" s="19">
        <v>3.97</v>
      </c>
      <c r="K5286" s="19" t="s">
        <v>33</v>
      </c>
      <c r="L5286" s="19" t="s">
        <v>145</v>
      </c>
      <c r="M5286" s="15" t="s">
        <v>2140</v>
      </c>
      <c r="N5286" s="15" t="s">
        <v>36</v>
      </c>
      <c r="O5286" s="15" t="s">
        <v>77</v>
      </c>
      <c r="P5286" s="20" t="s">
        <v>1663</v>
      </c>
      <c r="Q5286" s="15" t="s">
        <v>79</v>
      </c>
      <c r="R5286" s="4"/>
      <c r="S5286" s="4"/>
    </row>
    <row r="5287" spans="1:19" ht="21" customHeight="1" x14ac:dyDescent="0.25">
      <c r="A5287" s="14">
        <f>DATE(2012,12,31)-224</f>
        <v>41050</v>
      </c>
      <c r="B5287" s="15" t="s">
        <v>1593</v>
      </c>
      <c r="C5287" s="15" t="s">
        <v>85</v>
      </c>
      <c r="D5287" s="16">
        <v>32</v>
      </c>
      <c r="E5287" s="17">
        <v>368.18</v>
      </c>
      <c r="F5287" s="16">
        <v>7.0000000000000007E-2</v>
      </c>
      <c r="G5287" s="15" t="s">
        <v>32</v>
      </c>
      <c r="H5287" s="18">
        <v>-36.78</v>
      </c>
      <c r="I5287" s="19">
        <v>12.21</v>
      </c>
      <c r="J5287" s="19">
        <v>4.8099999999999996</v>
      </c>
      <c r="K5287" s="19" t="s">
        <v>33</v>
      </c>
      <c r="L5287" s="19" t="s">
        <v>145</v>
      </c>
      <c r="M5287" s="15" t="s">
        <v>2140</v>
      </c>
      <c r="N5287" s="15" t="s">
        <v>36</v>
      </c>
      <c r="O5287" s="15" t="s">
        <v>37</v>
      </c>
      <c r="P5287" s="20" t="s">
        <v>1674</v>
      </c>
      <c r="Q5287" s="15" t="s">
        <v>83</v>
      </c>
      <c r="R5287" s="4"/>
      <c r="S5287" s="4"/>
    </row>
    <row r="5288" spans="1:19" ht="21" customHeight="1" x14ac:dyDescent="0.25">
      <c r="A5288" s="14">
        <f>DATE(2012,12,31)-1440</f>
        <v>39834</v>
      </c>
      <c r="B5288" s="15" t="s">
        <v>404</v>
      </c>
      <c r="C5288" s="15" t="s">
        <v>31</v>
      </c>
      <c r="D5288" s="16">
        <v>33</v>
      </c>
      <c r="E5288" s="17">
        <v>139.97999999999999</v>
      </c>
      <c r="F5288" s="16">
        <v>7.0000000000000007E-2</v>
      </c>
      <c r="G5288" s="15" t="s">
        <v>32</v>
      </c>
      <c r="H5288" s="18">
        <v>-140.54</v>
      </c>
      <c r="I5288" s="19">
        <v>4.13</v>
      </c>
      <c r="J5288" s="19">
        <v>6.89</v>
      </c>
      <c r="K5288" s="19" t="s">
        <v>33</v>
      </c>
      <c r="L5288" s="19" t="s">
        <v>59</v>
      </c>
      <c r="M5288" s="15" t="s">
        <v>2227</v>
      </c>
      <c r="N5288" s="15" t="s">
        <v>36</v>
      </c>
      <c r="O5288" s="15" t="s">
        <v>114</v>
      </c>
      <c r="P5288" s="20" t="s">
        <v>1269</v>
      </c>
      <c r="Q5288" s="15" t="s">
        <v>83</v>
      </c>
      <c r="R5288" s="4"/>
      <c r="S5288" s="4"/>
    </row>
    <row r="5289" spans="1:19" ht="21" customHeight="1" x14ac:dyDescent="0.25">
      <c r="A5289" s="14">
        <f>DATE(2012,12,31)-395</f>
        <v>40879</v>
      </c>
      <c r="B5289" s="15" t="s">
        <v>163</v>
      </c>
      <c r="C5289" s="15" t="s">
        <v>51</v>
      </c>
      <c r="D5289" s="16">
        <v>31</v>
      </c>
      <c r="E5289" s="17">
        <v>472.35</v>
      </c>
      <c r="F5289" s="16">
        <v>0.03</v>
      </c>
      <c r="G5289" s="15" t="s">
        <v>32</v>
      </c>
      <c r="H5289" s="18">
        <v>61.676000000000002</v>
      </c>
      <c r="I5289" s="19">
        <v>14.48</v>
      </c>
      <c r="J5289" s="19">
        <v>6.46</v>
      </c>
      <c r="K5289" s="19" t="s">
        <v>33</v>
      </c>
      <c r="L5289" s="19" t="s">
        <v>59</v>
      </c>
      <c r="M5289" s="15" t="s">
        <v>2227</v>
      </c>
      <c r="N5289" s="15" t="s">
        <v>36</v>
      </c>
      <c r="O5289" s="15" t="s">
        <v>170</v>
      </c>
      <c r="P5289" s="20" t="s">
        <v>646</v>
      </c>
      <c r="Q5289" s="15" t="s">
        <v>83</v>
      </c>
      <c r="R5289" s="4"/>
      <c r="S5289" s="4"/>
    </row>
    <row r="5290" spans="1:19" ht="21" customHeight="1" x14ac:dyDescent="0.25">
      <c r="A5290" s="14">
        <f>DATE(2012,12,31)-1088</f>
        <v>40186</v>
      </c>
      <c r="B5290" s="15" t="s">
        <v>942</v>
      </c>
      <c r="C5290" s="15" t="s">
        <v>31</v>
      </c>
      <c r="D5290" s="16">
        <v>33</v>
      </c>
      <c r="E5290" s="17">
        <v>478.27</v>
      </c>
      <c r="F5290" s="16">
        <v>0.01</v>
      </c>
      <c r="G5290" s="15" t="s">
        <v>32</v>
      </c>
      <c r="H5290" s="18">
        <v>-4.8459000000000003</v>
      </c>
      <c r="I5290" s="19">
        <v>13.99</v>
      </c>
      <c r="J5290" s="19">
        <v>7.51</v>
      </c>
      <c r="K5290" s="19" t="s">
        <v>33</v>
      </c>
      <c r="L5290" s="19" t="s">
        <v>145</v>
      </c>
      <c r="M5290" s="15" t="s">
        <v>2140</v>
      </c>
      <c r="N5290" s="15" t="s">
        <v>64</v>
      </c>
      <c r="O5290" s="15" t="s">
        <v>122</v>
      </c>
      <c r="P5290" s="20" t="s">
        <v>370</v>
      </c>
      <c r="Q5290" s="15" t="s">
        <v>57</v>
      </c>
      <c r="R5290" s="4"/>
      <c r="S5290" s="4"/>
    </row>
    <row r="5291" spans="1:19" ht="21" customHeight="1" x14ac:dyDescent="0.25">
      <c r="A5291" s="14">
        <f>DATE(2012,12,31)-794</f>
        <v>40480</v>
      </c>
      <c r="B5291" s="15" t="s">
        <v>552</v>
      </c>
      <c r="C5291" s="15" t="s">
        <v>43</v>
      </c>
      <c r="D5291" s="16">
        <v>39</v>
      </c>
      <c r="E5291" s="17">
        <v>9081.98</v>
      </c>
      <c r="F5291" s="16">
        <v>0.02</v>
      </c>
      <c r="G5291" s="15" t="s">
        <v>101</v>
      </c>
      <c r="H5291" s="18">
        <v>2485.54</v>
      </c>
      <c r="I5291" s="19">
        <v>232.58</v>
      </c>
      <c r="J5291" s="19">
        <v>19.989999999999998</v>
      </c>
      <c r="K5291" s="19" t="s">
        <v>69</v>
      </c>
      <c r="L5291" s="19" t="s">
        <v>75</v>
      </c>
      <c r="M5291" s="15" t="s">
        <v>2231</v>
      </c>
      <c r="N5291" s="15" t="s">
        <v>36</v>
      </c>
      <c r="O5291" s="15" t="s">
        <v>176</v>
      </c>
      <c r="P5291" s="20" t="s">
        <v>2243</v>
      </c>
      <c r="Q5291" s="15" t="s">
        <v>83</v>
      </c>
      <c r="R5291" s="4"/>
      <c r="S5291" s="4"/>
    </row>
    <row r="5292" spans="1:19" ht="21" customHeight="1" x14ac:dyDescent="0.25">
      <c r="A5292" s="14">
        <f>DATE(2012,12,31)-794</f>
        <v>40480</v>
      </c>
      <c r="B5292" s="15" t="s">
        <v>552</v>
      </c>
      <c r="C5292" s="15" t="s">
        <v>43</v>
      </c>
      <c r="D5292" s="16">
        <v>31</v>
      </c>
      <c r="E5292" s="17">
        <v>806.08</v>
      </c>
      <c r="F5292" s="16">
        <v>0.08</v>
      </c>
      <c r="G5292" s="15" t="s">
        <v>32</v>
      </c>
      <c r="H5292" s="18">
        <v>402.37</v>
      </c>
      <c r="I5292" s="19">
        <v>26.17</v>
      </c>
      <c r="J5292" s="19">
        <v>1.39</v>
      </c>
      <c r="K5292" s="19" t="s">
        <v>69</v>
      </c>
      <c r="L5292" s="19" t="s">
        <v>70</v>
      </c>
      <c r="M5292" s="15" t="s">
        <v>2230</v>
      </c>
      <c r="N5292" s="15" t="s">
        <v>36</v>
      </c>
      <c r="O5292" s="15" t="s">
        <v>189</v>
      </c>
      <c r="P5292" s="20" t="s">
        <v>2241</v>
      </c>
      <c r="Q5292" s="15" t="s">
        <v>83</v>
      </c>
      <c r="R5292" s="4"/>
      <c r="S5292" s="4"/>
    </row>
    <row r="5293" spans="1:19" ht="21" customHeight="1" x14ac:dyDescent="0.25">
      <c r="A5293" s="14">
        <f>DATE(2012,12,31)-794</f>
        <v>40480</v>
      </c>
      <c r="B5293" s="15" t="s">
        <v>552</v>
      </c>
      <c r="C5293" s="15" t="s">
        <v>43</v>
      </c>
      <c r="D5293" s="16">
        <v>4</v>
      </c>
      <c r="E5293" s="17">
        <v>70.02</v>
      </c>
      <c r="F5293" s="16">
        <v>0</v>
      </c>
      <c r="G5293" s="15" t="s">
        <v>32</v>
      </c>
      <c r="H5293" s="18">
        <v>-30.63</v>
      </c>
      <c r="I5293" s="19">
        <v>15.31</v>
      </c>
      <c r="J5293" s="19">
        <v>8.7799999999999994</v>
      </c>
      <c r="K5293" s="19" t="s">
        <v>69</v>
      </c>
      <c r="L5293" s="19" t="s">
        <v>70</v>
      </c>
      <c r="M5293" s="15" t="s">
        <v>2230</v>
      </c>
      <c r="N5293" s="15" t="s">
        <v>36</v>
      </c>
      <c r="O5293" s="15" t="s">
        <v>37</v>
      </c>
      <c r="P5293" s="20" t="s">
        <v>1079</v>
      </c>
      <c r="Q5293" s="15" t="s">
        <v>83</v>
      </c>
      <c r="R5293" s="4"/>
      <c r="S5293" s="4"/>
    </row>
    <row r="5294" spans="1:19" ht="21" customHeight="1" x14ac:dyDescent="0.25">
      <c r="A5294" s="14">
        <f>DATE(2012,12,31)-1271</f>
        <v>40003</v>
      </c>
      <c r="B5294" s="15" t="s">
        <v>249</v>
      </c>
      <c r="C5294" s="15" t="s">
        <v>43</v>
      </c>
      <c r="D5294" s="16">
        <v>5</v>
      </c>
      <c r="E5294" s="17">
        <v>24.09</v>
      </c>
      <c r="F5294" s="16">
        <v>0.04</v>
      </c>
      <c r="G5294" s="15" t="s">
        <v>32</v>
      </c>
      <c r="H5294" s="18">
        <v>-20.2285</v>
      </c>
      <c r="I5294" s="19">
        <v>3.81</v>
      </c>
      <c r="J5294" s="19">
        <v>5.44</v>
      </c>
      <c r="K5294" s="19" t="s">
        <v>69</v>
      </c>
      <c r="L5294" s="19" t="s">
        <v>70</v>
      </c>
      <c r="M5294" s="15" t="s">
        <v>2230</v>
      </c>
      <c r="N5294" s="15" t="s">
        <v>36</v>
      </c>
      <c r="O5294" s="15" t="s">
        <v>170</v>
      </c>
      <c r="P5294" s="20" t="s">
        <v>835</v>
      </c>
      <c r="Q5294" s="15" t="s">
        <v>83</v>
      </c>
      <c r="R5294" s="4"/>
      <c r="S5294" s="4"/>
    </row>
    <row r="5295" spans="1:19" ht="21" customHeight="1" x14ac:dyDescent="0.25">
      <c r="A5295" s="14">
        <f>DATE(2012,12,31)-1271</f>
        <v>40003</v>
      </c>
      <c r="B5295" s="15" t="s">
        <v>249</v>
      </c>
      <c r="C5295" s="15" t="s">
        <v>43</v>
      </c>
      <c r="D5295" s="16">
        <v>41</v>
      </c>
      <c r="E5295" s="17">
        <v>173.27</v>
      </c>
      <c r="F5295" s="16">
        <v>0.02</v>
      </c>
      <c r="G5295" s="15" t="s">
        <v>32</v>
      </c>
      <c r="H5295" s="18">
        <v>51.29</v>
      </c>
      <c r="I5295" s="19">
        <v>4</v>
      </c>
      <c r="J5295" s="19">
        <v>1.3</v>
      </c>
      <c r="K5295" s="19" t="s">
        <v>69</v>
      </c>
      <c r="L5295" s="19" t="s">
        <v>70</v>
      </c>
      <c r="M5295" s="15" t="s">
        <v>2230</v>
      </c>
      <c r="N5295" s="15" t="s">
        <v>36</v>
      </c>
      <c r="O5295" s="15" t="s">
        <v>117</v>
      </c>
      <c r="P5295" s="20" t="s">
        <v>958</v>
      </c>
      <c r="Q5295" s="15" t="s">
        <v>79</v>
      </c>
      <c r="R5295" s="4"/>
      <c r="S5295" s="4"/>
    </row>
    <row r="5296" spans="1:19" ht="21" customHeight="1" x14ac:dyDescent="0.25">
      <c r="A5296" s="14">
        <f>DATE(2012,12,31)-1119</f>
        <v>40155</v>
      </c>
      <c r="B5296" s="15" t="s">
        <v>2127</v>
      </c>
      <c r="C5296" s="15" t="s">
        <v>85</v>
      </c>
      <c r="D5296" s="16">
        <v>27</v>
      </c>
      <c r="E5296" s="17">
        <v>3390.51</v>
      </c>
      <c r="F5296" s="16">
        <v>0.05</v>
      </c>
      <c r="G5296" s="15" t="s">
        <v>101</v>
      </c>
      <c r="H5296" s="18">
        <v>1169.7105000000001</v>
      </c>
      <c r="I5296" s="19">
        <v>122.99</v>
      </c>
      <c r="J5296" s="19">
        <v>19.989999999999998</v>
      </c>
      <c r="K5296" s="19" t="s">
        <v>69</v>
      </c>
      <c r="L5296" s="19" t="s">
        <v>75</v>
      </c>
      <c r="M5296" s="15" t="s">
        <v>2231</v>
      </c>
      <c r="N5296" s="15" t="s">
        <v>36</v>
      </c>
      <c r="O5296" s="15" t="s">
        <v>170</v>
      </c>
      <c r="P5296" s="20" t="s">
        <v>362</v>
      </c>
      <c r="Q5296" s="15" t="s">
        <v>83</v>
      </c>
      <c r="R5296" s="4"/>
      <c r="S5296" s="4"/>
    </row>
    <row r="5297" spans="1:19" ht="21" customHeight="1" x14ac:dyDescent="0.25">
      <c r="A5297" s="14">
        <f>DATE(2012,12,31)-570</f>
        <v>40704</v>
      </c>
      <c r="B5297" s="15" t="s">
        <v>292</v>
      </c>
      <c r="C5297" s="15" t="s">
        <v>43</v>
      </c>
      <c r="D5297" s="16">
        <v>44</v>
      </c>
      <c r="E5297" s="17">
        <v>601.78</v>
      </c>
      <c r="F5297" s="16">
        <v>0.05</v>
      </c>
      <c r="G5297" s="15" t="s">
        <v>32</v>
      </c>
      <c r="H5297" s="18">
        <v>26.44</v>
      </c>
      <c r="I5297" s="19">
        <v>13.48</v>
      </c>
      <c r="J5297" s="19">
        <v>4.51</v>
      </c>
      <c r="K5297" s="19" t="s">
        <v>69</v>
      </c>
      <c r="L5297" s="19" t="s">
        <v>215</v>
      </c>
      <c r="M5297" s="15" t="s">
        <v>2197</v>
      </c>
      <c r="N5297" s="15" t="s">
        <v>36</v>
      </c>
      <c r="O5297" s="15" t="s">
        <v>37</v>
      </c>
      <c r="P5297" s="20" t="s">
        <v>515</v>
      </c>
      <c r="Q5297" s="15" t="s">
        <v>83</v>
      </c>
      <c r="R5297" s="4"/>
      <c r="S5297" s="4"/>
    </row>
    <row r="5298" spans="1:19" ht="21" customHeight="1" x14ac:dyDescent="0.25">
      <c r="A5298" s="14">
        <f>DATE(2012,12,31)-1446</f>
        <v>39828</v>
      </c>
      <c r="B5298" s="15" t="s">
        <v>198</v>
      </c>
      <c r="C5298" s="15" t="s">
        <v>43</v>
      </c>
      <c r="D5298" s="16">
        <v>48</v>
      </c>
      <c r="E5298" s="17">
        <v>447.89</v>
      </c>
      <c r="F5298" s="16">
        <v>0</v>
      </c>
      <c r="G5298" s="15" t="s">
        <v>32</v>
      </c>
      <c r="H5298" s="18">
        <v>-26.7835</v>
      </c>
      <c r="I5298" s="19">
        <v>8.6</v>
      </c>
      <c r="J5298" s="19">
        <v>6.19</v>
      </c>
      <c r="K5298" s="19" t="s">
        <v>69</v>
      </c>
      <c r="L5298" s="19" t="s">
        <v>215</v>
      </c>
      <c r="M5298" s="15" t="s">
        <v>2197</v>
      </c>
      <c r="N5298" s="15" t="s">
        <v>36</v>
      </c>
      <c r="O5298" s="15" t="s">
        <v>170</v>
      </c>
      <c r="P5298" s="20" t="s">
        <v>413</v>
      </c>
      <c r="Q5298" s="15" t="s">
        <v>83</v>
      </c>
      <c r="R5298" s="4"/>
      <c r="S5298" s="4"/>
    </row>
    <row r="5299" spans="1:19" ht="21" customHeight="1" x14ac:dyDescent="0.25">
      <c r="A5299" s="14">
        <f>DATE(2012,12,31)-1153</f>
        <v>40121</v>
      </c>
      <c r="B5299" s="15" t="s">
        <v>1709</v>
      </c>
      <c r="C5299" s="15" t="s">
        <v>85</v>
      </c>
      <c r="D5299" s="16">
        <v>24</v>
      </c>
      <c r="E5299" s="17">
        <v>752.63</v>
      </c>
      <c r="F5299" s="16">
        <v>0.01</v>
      </c>
      <c r="G5299" s="15" t="s">
        <v>32</v>
      </c>
      <c r="H5299" s="18">
        <v>172.94</v>
      </c>
      <c r="I5299" s="19">
        <v>30.98</v>
      </c>
      <c r="J5299" s="19">
        <v>9.18</v>
      </c>
      <c r="K5299" s="19" t="s">
        <v>69</v>
      </c>
      <c r="L5299" s="19" t="s">
        <v>75</v>
      </c>
      <c r="M5299" s="15" t="s">
        <v>2231</v>
      </c>
      <c r="N5299" s="15" t="s">
        <v>36</v>
      </c>
      <c r="O5299" s="15" t="s">
        <v>117</v>
      </c>
      <c r="P5299" s="20" t="s">
        <v>1904</v>
      </c>
      <c r="Q5299" s="15" t="s">
        <v>83</v>
      </c>
      <c r="R5299" s="4"/>
      <c r="S5299" s="4"/>
    </row>
    <row r="5300" spans="1:19" ht="21" customHeight="1" x14ac:dyDescent="0.25">
      <c r="A5300" s="14">
        <f>DATE(2012,12,31)-1153</f>
        <v>40121</v>
      </c>
      <c r="B5300" s="15" t="s">
        <v>1709</v>
      </c>
      <c r="C5300" s="15" t="s">
        <v>85</v>
      </c>
      <c r="D5300" s="16">
        <v>25</v>
      </c>
      <c r="E5300" s="17">
        <v>88.37</v>
      </c>
      <c r="F5300" s="16">
        <v>0.09</v>
      </c>
      <c r="G5300" s="15" t="s">
        <v>32</v>
      </c>
      <c r="H5300" s="18">
        <v>33.68</v>
      </c>
      <c r="I5300" s="19">
        <v>3.75</v>
      </c>
      <c r="J5300" s="19">
        <v>0.5</v>
      </c>
      <c r="K5300" s="19" t="s">
        <v>111</v>
      </c>
      <c r="L5300" s="19" t="s">
        <v>112</v>
      </c>
      <c r="M5300" s="15" t="s">
        <v>2198</v>
      </c>
      <c r="N5300" s="15" t="s">
        <v>36</v>
      </c>
      <c r="O5300" s="15" t="s">
        <v>114</v>
      </c>
      <c r="P5300" s="20" t="s">
        <v>1666</v>
      </c>
      <c r="Q5300" s="15" t="s">
        <v>83</v>
      </c>
      <c r="R5300" s="4"/>
      <c r="S5300" s="4"/>
    </row>
    <row r="5301" spans="1:19" ht="21" customHeight="1" x14ac:dyDescent="0.25">
      <c r="A5301" s="14">
        <f>DATE(2012,12,31)-1101</f>
        <v>40173</v>
      </c>
      <c r="B5301" s="15" t="s">
        <v>1142</v>
      </c>
      <c r="C5301" s="15" t="s">
        <v>85</v>
      </c>
      <c r="D5301" s="16">
        <v>15</v>
      </c>
      <c r="E5301" s="17">
        <v>1393.39</v>
      </c>
      <c r="F5301" s="16">
        <v>0.08</v>
      </c>
      <c r="G5301" s="15" t="s">
        <v>32</v>
      </c>
      <c r="H5301" s="18">
        <v>84.15</v>
      </c>
      <c r="I5301" s="19">
        <v>100.97</v>
      </c>
      <c r="J5301" s="19">
        <v>7.18</v>
      </c>
      <c r="K5301" s="19" t="s">
        <v>44</v>
      </c>
      <c r="L5301" s="19" t="s">
        <v>89</v>
      </c>
      <c r="M5301" s="15" t="s">
        <v>1932</v>
      </c>
      <c r="N5301" s="15" t="s">
        <v>64</v>
      </c>
      <c r="O5301" s="15" t="s">
        <v>72</v>
      </c>
      <c r="P5301" s="20" t="s">
        <v>2047</v>
      </c>
      <c r="Q5301" s="15" t="s">
        <v>83</v>
      </c>
      <c r="R5301" s="4"/>
      <c r="S5301" s="4"/>
    </row>
    <row r="5302" spans="1:19" ht="21" customHeight="1" x14ac:dyDescent="0.25">
      <c r="A5302" s="14">
        <f>DATE(2012,12,31)-1101</f>
        <v>40173</v>
      </c>
      <c r="B5302" s="15" t="s">
        <v>1142</v>
      </c>
      <c r="C5302" s="15" t="s">
        <v>85</v>
      </c>
      <c r="D5302" s="16">
        <v>42</v>
      </c>
      <c r="E5302" s="17">
        <v>601.52</v>
      </c>
      <c r="F5302" s="16">
        <v>0</v>
      </c>
      <c r="G5302" s="15" t="s">
        <v>32</v>
      </c>
      <c r="H5302" s="18">
        <v>171.98</v>
      </c>
      <c r="I5302" s="19">
        <v>13.4</v>
      </c>
      <c r="J5302" s="19">
        <v>4.95</v>
      </c>
      <c r="K5302" s="19" t="s">
        <v>44</v>
      </c>
      <c r="L5302" s="19" t="s">
        <v>89</v>
      </c>
      <c r="M5302" s="15" t="s">
        <v>1932</v>
      </c>
      <c r="N5302" s="15" t="s">
        <v>54</v>
      </c>
      <c r="O5302" s="15" t="s">
        <v>55</v>
      </c>
      <c r="P5302" s="20" t="s">
        <v>1888</v>
      </c>
      <c r="Q5302" s="15" t="s">
        <v>49</v>
      </c>
      <c r="R5302" s="4"/>
      <c r="S5302" s="4"/>
    </row>
    <row r="5303" spans="1:19" ht="21" customHeight="1" x14ac:dyDescent="0.25">
      <c r="A5303" s="14">
        <f>DATE(2012,12,31)-1235</f>
        <v>40039</v>
      </c>
      <c r="B5303" s="15" t="s">
        <v>468</v>
      </c>
      <c r="C5303" s="15" t="s">
        <v>51</v>
      </c>
      <c r="D5303" s="16">
        <v>18</v>
      </c>
      <c r="E5303" s="17">
        <v>157.85</v>
      </c>
      <c r="F5303" s="16">
        <v>0.01</v>
      </c>
      <c r="G5303" s="15" t="s">
        <v>32</v>
      </c>
      <c r="H5303" s="18">
        <v>10.74</v>
      </c>
      <c r="I5303" s="19">
        <v>8.33</v>
      </c>
      <c r="J5303" s="19">
        <v>1.99</v>
      </c>
      <c r="K5303" s="19" t="s">
        <v>44</v>
      </c>
      <c r="L5303" s="19" t="s">
        <v>120</v>
      </c>
      <c r="M5303" s="15" t="s">
        <v>2025</v>
      </c>
      <c r="N5303" s="15" t="s">
        <v>64</v>
      </c>
      <c r="O5303" s="15" t="s">
        <v>72</v>
      </c>
      <c r="P5303" s="20" t="s">
        <v>966</v>
      </c>
      <c r="Q5303" s="15" t="s">
        <v>49</v>
      </c>
      <c r="R5303" s="4"/>
      <c r="S5303" s="4"/>
    </row>
    <row r="5304" spans="1:19" ht="21" customHeight="1" x14ac:dyDescent="0.25">
      <c r="A5304" s="14">
        <f>DATE(2012,12,31)-1235</f>
        <v>40039</v>
      </c>
      <c r="B5304" s="15" t="s">
        <v>468</v>
      </c>
      <c r="C5304" s="15" t="s">
        <v>51</v>
      </c>
      <c r="D5304" s="16">
        <v>38</v>
      </c>
      <c r="E5304" s="17">
        <v>2773.0314999999996</v>
      </c>
      <c r="F5304" s="16">
        <v>0.04</v>
      </c>
      <c r="G5304" s="15" t="s">
        <v>32</v>
      </c>
      <c r="H5304" s="18">
        <v>897.86699999999996</v>
      </c>
      <c r="I5304" s="19">
        <v>85.99</v>
      </c>
      <c r="J5304" s="19">
        <v>0.99</v>
      </c>
      <c r="K5304" s="19" t="s">
        <v>44</v>
      </c>
      <c r="L5304" s="19" t="s">
        <v>89</v>
      </c>
      <c r="M5304" s="15" t="s">
        <v>1932</v>
      </c>
      <c r="N5304" s="15" t="s">
        <v>64</v>
      </c>
      <c r="O5304" s="15" t="s">
        <v>65</v>
      </c>
      <c r="P5304" s="20" t="s">
        <v>1595</v>
      </c>
      <c r="Q5304" s="15" t="s">
        <v>79</v>
      </c>
      <c r="R5304" s="4"/>
      <c r="S5304" s="4"/>
    </row>
    <row r="5305" spans="1:19" ht="21" customHeight="1" x14ac:dyDescent="0.25">
      <c r="A5305" s="14">
        <f>DATE(2012,12,31)-208</f>
        <v>41066</v>
      </c>
      <c r="B5305" s="15" t="s">
        <v>1804</v>
      </c>
      <c r="C5305" s="15" t="s">
        <v>85</v>
      </c>
      <c r="D5305" s="16">
        <v>20</v>
      </c>
      <c r="E5305" s="17">
        <v>135.02000000000001</v>
      </c>
      <c r="F5305" s="16">
        <v>0.02</v>
      </c>
      <c r="G5305" s="15" t="s">
        <v>32</v>
      </c>
      <c r="H5305" s="18">
        <v>-60.69</v>
      </c>
      <c r="I5305" s="19">
        <v>6.48</v>
      </c>
      <c r="J5305" s="19">
        <v>6.74</v>
      </c>
      <c r="K5305" s="19" t="s">
        <v>44</v>
      </c>
      <c r="L5305" s="19" t="s">
        <v>89</v>
      </c>
      <c r="M5305" s="15" t="s">
        <v>1932</v>
      </c>
      <c r="N5305" s="15" t="s">
        <v>36</v>
      </c>
      <c r="O5305" s="15" t="s">
        <v>117</v>
      </c>
      <c r="P5305" s="20" t="s">
        <v>914</v>
      </c>
      <c r="Q5305" s="15" t="s">
        <v>83</v>
      </c>
      <c r="R5305" s="4"/>
      <c r="S5305" s="4"/>
    </row>
    <row r="5306" spans="1:19" ht="21" customHeight="1" x14ac:dyDescent="0.25">
      <c r="A5306" s="14">
        <f>DATE(2012,12,31)-327</f>
        <v>40947</v>
      </c>
      <c r="B5306" s="15" t="s">
        <v>774</v>
      </c>
      <c r="C5306" s="15" t="s">
        <v>43</v>
      </c>
      <c r="D5306" s="16">
        <v>29</v>
      </c>
      <c r="E5306" s="17">
        <v>169.61</v>
      </c>
      <c r="F5306" s="16">
        <v>0.1</v>
      </c>
      <c r="G5306" s="15" t="s">
        <v>32</v>
      </c>
      <c r="H5306" s="18">
        <v>-211.05950000000001</v>
      </c>
      <c r="I5306" s="19">
        <v>5.94</v>
      </c>
      <c r="J5306" s="19">
        <v>9.92</v>
      </c>
      <c r="K5306" s="19" t="s">
        <v>44</v>
      </c>
      <c r="L5306" s="19" t="s">
        <v>45</v>
      </c>
      <c r="M5306" s="15" t="s">
        <v>2236</v>
      </c>
      <c r="N5306" s="15" t="s">
        <v>36</v>
      </c>
      <c r="O5306" s="15" t="s">
        <v>170</v>
      </c>
      <c r="P5306" s="20" t="s">
        <v>1900</v>
      </c>
      <c r="Q5306" s="15" t="s">
        <v>83</v>
      </c>
      <c r="R5306" s="4"/>
      <c r="S5306" s="4"/>
    </row>
    <row r="5307" spans="1:19" ht="21" customHeight="1" x14ac:dyDescent="0.25">
      <c r="A5307" s="14">
        <f>DATE(2012,12,31)-327</f>
        <v>40947</v>
      </c>
      <c r="B5307" s="15" t="s">
        <v>774</v>
      </c>
      <c r="C5307" s="15" t="s">
        <v>43</v>
      </c>
      <c r="D5307" s="16">
        <v>24</v>
      </c>
      <c r="E5307" s="17">
        <v>1247.9275</v>
      </c>
      <c r="F5307" s="16">
        <v>0.1</v>
      </c>
      <c r="G5307" s="15" t="s">
        <v>32</v>
      </c>
      <c r="H5307" s="18">
        <v>186.417</v>
      </c>
      <c r="I5307" s="19">
        <v>65.989999999999995</v>
      </c>
      <c r="J5307" s="19">
        <v>2.5</v>
      </c>
      <c r="K5307" s="19" t="s">
        <v>44</v>
      </c>
      <c r="L5307" s="19" t="s">
        <v>120</v>
      </c>
      <c r="M5307" s="15" t="s">
        <v>2025</v>
      </c>
      <c r="N5307" s="15" t="s">
        <v>64</v>
      </c>
      <c r="O5307" s="15" t="s">
        <v>65</v>
      </c>
      <c r="P5307" s="20" t="s">
        <v>272</v>
      </c>
      <c r="Q5307" s="15" t="s">
        <v>83</v>
      </c>
      <c r="R5307" s="4"/>
      <c r="S5307" s="4"/>
    </row>
    <row r="5308" spans="1:19" ht="21" customHeight="1" x14ac:dyDescent="0.25">
      <c r="A5308" s="14">
        <f>DATE(2012,12,31)-37</f>
        <v>41237</v>
      </c>
      <c r="B5308" s="15" t="s">
        <v>2001</v>
      </c>
      <c r="C5308" s="15" t="s">
        <v>31</v>
      </c>
      <c r="D5308" s="16">
        <v>7</v>
      </c>
      <c r="E5308" s="17">
        <v>42.66</v>
      </c>
      <c r="F5308" s="16">
        <v>0.09</v>
      </c>
      <c r="G5308" s="15" t="s">
        <v>101</v>
      </c>
      <c r="H5308" s="18">
        <v>-30.74</v>
      </c>
      <c r="I5308" s="19">
        <v>4.0599999999999996</v>
      </c>
      <c r="J5308" s="19">
        <v>6.89</v>
      </c>
      <c r="K5308" s="19" t="s">
        <v>44</v>
      </c>
      <c r="L5308" s="19" t="s">
        <v>89</v>
      </c>
      <c r="M5308" s="15" t="s">
        <v>1932</v>
      </c>
      <c r="N5308" s="15" t="s">
        <v>36</v>
      </c>
      <c r="O5308" s="15" t="s">
        <v>176</v>
      </c>
      <c r="P5308" s="20" t="s">
        <v>1222</v>
      </c>
      <c r="Q5308" s="15" t="s">
        <v>83</v>
      </c>
      <c r="R5308" s="4"/>
      <c r="S5308" s="4"/>
    </row>
    <row r="5309" spans="1:19" ht="21" customHeight="1" x14ac:dyDescent="0.25">
      <c r="A5309" s="14">
        <f>DATE(2012,12,31)-37</f>
        <v>41237</v>
      </c>
      <c r="B5309" s="15" t="s">
        <v>2001</v>
      </c>
      <c r="C5309" s="15" t="s">
        <v>31</v>
      </c>
      <c r="D5309" s="16">
        <v>18</v>
      </c>
      <c r="E5309" s="17">
        <v>655.58</v>
      </c>
      <c r="F5309" s="16">
        <v>0.01</v>
      </c>
      <c r="G5309" s="15" t="s">
        <v>32</v>
      </c>
      <c r="H5309" s="18">
        <v>250.67</v>
      </c>
      <c r="I5309" s="19">
        <v>35.44</v>
      </c>
      <c r="J5309" s="19">
        <v>5.09</v>
      </c>
      <c r="K5309" s="19" t="s">
        <v>44</v>
      </c>
      <c r="L5309" s="19" t="s">
        <v>89</v>
      </c>
      <c r="M5309" s="15" t="s">
        <v>1932</v>
      </c>
      <c r="N5309" s="15" t="s">
        <v>36</v>
      </c>
      <c r="O5309" s="15" t="s">
        <v>117</v>
      </c>
      <c r="P5309" s="20" t="s">
        <v>1298</v>
      </c>
      <c r="Q5309" s="15" t="s">
        <v>83</v>
      </c>
      <c r="R5309" s="4"/>
      <c r="S5309" s="4"/>
    </row>
    <row r="5310" spans="1:19" ht="21" customHeight="1" x14ac:dyDescent="0.25">
      <c r="A5310" s="14">
        <f>DATE(2012,12,31)-37</f>
        <v>41237</v>
      </c>
      <c r="B5310" s="15" t="s">
        <v>2001</v>
      </c>
      <c r="C5310" s="15" t="s">
        <v>31</v>
      </c>
      <c r="D5310" s="16">
        <v>12</v>
      </c>
      <c r="E5310" s="17">
        <v>1465.33</v>
      </c>
      <c r="F5310" s="16">
        <v>0.01</v>
      </c>
      <c r="G5310" s="15" t="s">
        <v>58</v>
      </c>
      <c r="H5310" s="18">
        <v>-66.38</v>
      </c>
      <c r="I5310" s="19">
        <v>113.98</v>
      </c>
      <c r="J5310" s="19">
        <v>30</v>
      </c>
      <c r="K5310" s="19" t="s">
        <v>44</v>
      </c>
      <c r="L5310" s="19" t="s">
        <v>120</v>
      </c>
      <c r="M5310" s="15" t="s">
        <v>2025</v>
      </c>
      <c r="N5310" s="15" t="s">
        <v>54</v>
      </c>
      <c r="O5310" s="15" t="s">
        <v>252</v>
      </c>
      <c r="P5310" s="20" t="s">
        <v>521</v>
      </c>
      <c r="Q5310" s="15" t="s">
        <v>181</v>
      </c>
      <c r="R5310" s="4"/>
      <c r="S5310" s="4"/>
    </row>
    <row r="5311" spans="1:19" ht="21" customHeight="1" x14ac:dyDescent="0.25">
      <c r="A5311" s="14">
        <f>DATE(2012,12,31)-368</f>
        <v>40906</v>
      </c>
      <c r="B5311" s="15" t="s">
        <v>2086</v>
      </c>
      <c r="C5311" s="15" t="s">
        <v>51</v>
      </c>
      <c r="D5311" s="16">
        <v>14</v>
      </c>
      <c r="E5311" s="17">
        <v>36.74</v>
      </c>
      <c r="F5311" s="16">
        <v>0.09</v>
      </c>
      <c r="G5311" s="15" t="s">
        <v>32</v>
      </c>
      <c r="H5311" s="18">
        <v>-5.36</v>
      </c>
      <c r="I5311" s="19">
        <v>2.78</v>
      </c>
      <c r="J5311" s="19">
        <v>0.97</v>
      </c>
      <c r="K5311" s="19" t="s">
        <v>44</v>
      </c>
      <c r="L5311" s="19" t="s">
        <v>120</v>
      </c>
      <c r="M5311" s="15" t="s">
        <v>2025</v>
      </c>
      <c r="N5311" s="15" t="s">
        <v>36</v>
      </c>
      <c r="O5311" s="15" t="s">
        <v>77</v>
      </c>
      <c r="P5311" s="20" t="s">
        <v>1430</v>
      </c>
      <c r="Q5311" s="15" t="s">
        <v>79</v>
      </c>
      <c r="R5311" s="4"/>
      <c r="S5311" s="4"/>
    </row>
    <row r="5312" spans="1:19" ht="21" customHeight="1" x14ac:dyDescent="0.25">
      <c r="A5312" s="14">
        <f>DATE(2012,12,31)-368</f>
        <v>40906</v>
      </c>
      <c r="B5312" s="15" t="s">
        <v>2086</v>
      </c>
      <c r="C5312" s="15" t="s">
        <v>51</v>
      </c>
      <c r="D5312" s="16">
        <v>49</v>
      </c>
      <c r="E5312" s="17">
        <v>183.08</v>
      </c>
      <c r="F5312" s="16">
        <v>0.01</v>
      </c>
      <c r="G5312" s="15" t="s">
        <v>32</v>
      </c>
      <c r="H5312" s="18">
        <v>82.49</v>
      </c>
      <c r="I5312" s="19">
        <v>3.69</v>
      </c>
      <c r="J5312" s="19">
        <v>0.5</v>
      </c>
      <c r="K5312" s="19" t="s">
        <v>44</v>
      </c>
      <c r="L5312" s="19" t="s">
        <v>89</v>
      </c>
      <c r="M5312" s="15" t="s">
        <v>1932</v>
      </c>
      <c r="N5312" s="15" t="s">
        <v>36</v>
      </c>
      <c r="O5312" s="15" t="s">
        <v>114</v>
      </c>
      <c r="P5312" s="20" t="s">
        <v>224</v>
      </c>
      <c r="Q5312" s="15" t="s">
        <v>83</v>
      </c>
      <c r="R5312" s="4"/>
      <c r="S5312" s="4"/>
    </row>
    <row r="5313" spans="1:19" ht="21" customHeight="1" x14ac:dyDescent="0.25">
      <c r="A5313" s="14">
        <f>DATE(2012,12,31)-1149</f>
        <v>40125</v>
      </c>
      <c r="B5313" s="15" t="s">
        <v>895</v>
      </c>
      <c r="C5313" s="15" t="s">
        <v>43</v>
      </c>
      <c r="D5313" s="16">
        <v>16</v>
      </c>
      <c r="E5313" s="17">
        <v>224.47</v>
      </c>
      <c r="F5313" s="16">
        <v>0.08</v>
      </c>
      <c r="G5313" s="15" t="s">
        <v>32</v>
      </c>
      <c r="H5313" s="18">
        <v>-49.31</v>
      </c>
      <c r="I5313" s="19">
        <v>13.9</v>
      </c>
      <c r="J5313" s="19">
        <v>7.59</v>
      </c>
      <c r="K5313" s="19" t="s">
        <v>44</v>
      </c>
      <c r="L5313" s="19" t="s">
        <v>120</v>
      </c>
      <c r="M5313" s="15" t="s">
        <v>2025</v>
      </c>
      <c r="N5313" s="15" t="s">
        <v>36</v>
      </c>
      <c r="O5313" s="15" t="s">
        <v>47</v>
      </c>
      <c r="P5313" s="20" t="s">
        <v>976</v>
      </c>
      <c r="Q5313" s="15" t="s">
        <v>49</v>
      </c>
      <c r="R5313" s="4"/>
      <c r="S5313" s="4"/>
    </row>
    <row r="5314" spans="1:19" ht="21" customHeight="1" x14ac:dyDescent="0.25">
      <c r="A5314" s="14">
        <f>DATE(2012,12,31)-1378</f>
        <v>39896</v>
      </c>
      <c r="B5314" s="15" t="s">
        <v>1680</v>
      </c>
      <c r="C5314" s="15" t="s">
        <v>31</v>
      </c>
      <c r="D5314" s="16">
        <v>6</v>
      </c>
      <c r="E5314" s="17">
        <v>60.67</v>
      </c>
      <c r="F5314" s="16">
        <v>0.08</v>
      </c>
      <c r="G5314" s="15" t="s">
        <v>32</v>
      </c>
      <c r="H5314" s="18">
        <v>10.29</v>
      </c>
      <c r="I5314" s="19">
        <v>9.48</v>
      </c>
      <c r="J5314" s="19">
        <v>7.29</v>
      </c>
      <c r="K5314" s="19" t="s">
        <v>44</v>
      </c>
      <c r="L5314" s="19" t="s">
        <v>120</v>
      </c>
      <c r="M5314" s="15" t="s">
        <v>2025</v>
      </c>
      <c r="N5314" s="15" t="s">
        <v>54</v>
      </c>
      <c r="O5314" s="15" t="s">
        <v>55</v>
      </c>
      <c r="P5314" s="20" t="s">
        <v>798</v>
      </c>
      <c r="Q5314" s="15" t="s">
        <v>49</v>
      </c>
      <c r="R5314" s="4"/>
      <c r="S5314" s="4"/>
    </row>
    <row r="5315" spans="1:19" ht="21" customHeight="1" x14ac:dyDescent="0.25">
      <c r="A5315" s="14">
        <f>DATE(2012,12,31)-1378</f>
        <v>39896</v>
      </c>
      <c r="B5315" s="15" t="s">
        <v>1680</v>
      </c>
      <c r="C5315" s="15" t="s">
        <v>31</v>
      </c>
      <c r="D5315" s="16">
        <v>32</v>
      </c>
      <c r="E5315" s="17">
        <v>6195.87</v>
      </c>
      <c r="F5315" s="16">
        <v>0.03</v>
      </c>
      <c r="G5315" s="15" t="s">
        <v>32</v>
      </c>
      <c r="H5315" s="18">
        <v>781.03</v>
      </c>
      <c r="I5315" s="19">
        <v>193.17</v>
      </c>
      <c r="J5315" s="19">
        <v>19.989999999999998</v>
      </c>
      <c r="K5315" s="19" t="s">
        <v>44</v>
      </c>
      <c r="L5315" s="19" t="s">
        <v>89</v>
      </c>
      <c r="M5315" s="15" t="s">
        <v>1932</v>
      </c>
      <c r="N5315" s="15" t="s">
        <v>36</v>
      </c>
      <c r="O5315" s="15" t="s">
        <v>37</v>
      </c>
      <c r="P5315" s="20" t="s">
        <v>197</v>
      </c>
      <c r="Q5315" s="15" t="s">
        <v>83</v>
      </c>
      <c r="R5315" s="4"/>
      <c r="S5315" s="4"/>
    </row>
    <row r="5316" spans="1:19" ht="21" customHeight="1" x14ac:dyDescent="0.25">
      <c r="A5316" s="14">
        <f>DATE(2012,12,31)-57</f>
        <v>41217</v>
      </c>
      <c r="B5316" s="15" t="s">
        <v>1780</v>
      </c>
      <c r="C5316" s="15" t="s">
        <v>51</v>
      </c>
      <c r="D5316" s="16">
        <v>23</v>
      </c>
      <c r="E5316" s="17">
        <v>6276.83</v>
      </c>
      <c r="F5316" s="16">
        <v>0.09</v>
      </c>
      <c r="G5316" s="15" t="s">
        <v>58</v>
      </c>
      <c r="H5316" s="18">
        <v>813.49</v>
      </c>
      <c r="I5316" s="19">
        <v>291.73</v>
      </c>
      <c r="J5316" s="19">
        <v>48.8</v>
      </c>
      <c r="K5316" s="19" t="s">
        <v>44</v>
      </c>
      <c r="L5316" s="19" t="s">
        <v>236</v>
      </c>
      <c r="M5316" s="15" t="s">
        <v>2175</v>
      </c>
      <c r="N5316" s="15" t="s">
        <v>54</v>
      </c>
      <c r="O5316" s="15" t="s">
        <v>252</v>
      </c>
      <c r="P5316" s="20" t="s">
        <v>751</v>
      </c>
      <c r="Q5316" s="15" t="s">
        <v>181</v>
      </c>
      <c r="R5316" s="4"/>
      <c r="S5316" s="4"/>
    </row>
    <row r="5317" spans="1:19" ht="21" customHeight="1" x14ac:dyDescent="0.25">
      <c r="A5317" s="14">
        <f>DATE(2012,12,31)-1258</f>
        <v>40016</v>
      </c>
      <c r="B5317" s="15" t="s">
        <v>764</v>
      </c>
      <c r="C5317" s="15" t="s">
        <v>31</v>
      </c>
      <c r="D5317" s="16">
        <v>44</v>
      </c>
      <c r="E5317" s="17">
        <v>505.01</v>
      </c>
      <c r="F5317" s="16">
        <v>0.06</v>
      </c>
      <c r="G5317" s="15" t="s">
        <v>32</v>
      </c>
      <c r="H5317" s="18">
        <v>-43.52</v>
      </c>
      <c r="I5317" s="19">
        <v>11.97</v>
      </c>
      <c r="J5317" s="19">
        <v>4.9800000000000004</v>
      </c>
      <c r="K5317" s="19" t="s">
        <v>33</v>
      </c>
      <c r="L5317" s="19" t="s">
        <v>93</v>
      </c>
      <c r="M5317" s="15" t="s">
        <v>94</v>
      </c>
      <c r="N5317" s="15" t="s">
        <v>36</v>
      </c>
      <c r="O5317" s="15" t="s">
        <v>176</v>
      </c>
      <c r="P5317" s="20" t="s">
        <v>1735</v>
      </c>
      <c r="Q5317" s="15" t="s">
        <v>83</v>
      </c>
      <c r="R5317" s="4"/>
      <c r="S5317" s="4"/>
    </row>
    <row r="5318" spans="1:19" ht="21" customHeight="1" x14ac:dyDescent="0.25">
      <c r="A5318" s="14">
        <f>DATE(2012,12,31)-1258</f>
        <v>40016</v>
      </c>
      <c r="B5318" s="15" t="s">
        <v>764</v>
      </c>
      <c r="C5318" s="15" t="s">
        <v>31</v>
      </c>
      <c r="D5318" s="16">
        <v>41</v>
      </c>
      <c r="E5318" s="17">
        <v>286.75</v>
      </c>
      <c r="F5318" s="16">
        <v>0.06</v>
      </c>
      <c r="G5318" s="15" t="s">
        <v>32</v>
      </c>
      <c r="H5318" s="18">
        <v>98.44</v>
      </c>
      <c r="I5318" s="19">
        <v>6.98</v>
      </c>
      <c r="J5318" s="19">
        <v>1.6</v>
      </c>
      <c r="K5318" s="19" t="s">
        <v>33</v>
      </c>
      <c r="L5318" s="19" t="s">
        <v>128</v>
      </c>
      <c r="M5318" s="15" t="s">
        <v>129</v>
      </c>
      <c r="N5318" s="15" t="s">
        <v>36</v>
      </c>
      <c r="O5318" s="15" t="s">
        <v>117</v>
      </c>
      <c r="P5318" s="20" t="s">
        <v>1345</v>
      </c>
      <c r="Q5318" s="15" t="s">
        <v>79</v>
      </c>
      <c r="R5318" s="4"/>
      <c r="S5318" s="4"/>
    </row>
    <row r="5319" spans="1:19" ht="21" customHeight="1" x14ac:dyDescent="0.25">
      <c r="A5319" s="14">
        <f>DATE(2012,12,31)-618</f>
        <v>40656</v>
      </c>
      <c r="B5319" s="15" t="s">
        <v>1281</v>
      </c>
      <c r="C5319" s="15" t="s">
        <v>85</v>
      </c>
      <c r="D5319" s="16">
        <v>45</v>
      </c>
      <c r="E5319" s="17">
        <v>325.8</v>
      </c>
      <c r="F5319" s="16">
        <v>0.03</v>
      </c>
      <c r="G5319" s="15" t="s">
        <v>32</v>
      </c>
      <c r="H5319" s="18">
        <v>-84.85</v>
      </c>
      <c r="I5319" s="19">
        <v>6.78</v>
      </c>
      <c r="J5319" s="19">
        <v>6.18</v>
      </c>
      <c r="K5319" s="19" t="s">
        <v>33</v>
      </c>
      <c r="L5319" s="19" t="s">
        <v>128</v>
      </c>
      <c r="M5319" s="15" t="s">
        <v>129</v>
      </c>
      <c r="N5319" s="15" t="s">
        <v>36</v>
      </c>
      <c r="O5319" s="15" t="s">
        <v>117</v>
      </c>
      <c r="P5319" s="20" t="s">
        <v>499</v>
      </c>
      <c r="Q5319" s="15" t="s">
        <v>83</v>
      </c>
      <c r="R5319" s="4"/>
      <c r="S5319" s="4"/>
    </row>
    <row r="5320" spans="1:19" ht="21" customHeight="1" x14ac:dyDescent="0.25">
      <c r="A5320" s="14">
        <f>DATE(2012,12,31)-621</f>
        <v>40653</v>
      </c>
      <c r="B5320" s="15" t="s">
        <v>2028</v>
      </c>
      <c r="C5320" s="15" t="s">
        <v>31</v>
      </c>
      <c r="D5320" s="16">
        <v>23</v>
      </c>
      <c r="E5320" s="17">
        <v>490.17</v>
      </c>
      <c r="F5320" s="16">
        <v>0.04</v>
      </c>
      <c r="G5320" s="15" t="s">
        <v>32</v>
      </c>
      <c r="H5320" s="18">
        <v>-57.09</v>
      </c>
      <c r="I5320" s="19">
        <v>20.97</v>
      </c>
      <c r="J5320" s="19">
        <v>4</v>
      </c>
      <c r="K5320" s="19" t="s">
        <v>33</v>
      </c>
      <c r="L5320" s="19" t="s">
        <v>93</v>
      </c>
      <c r="M5320" s="15" t="s">
        <v>94</v>
      </c>
      <c r="N5320" s="15" t="s">
        <v>64</v>
      </c>
      <c r="O5320" s="15" t="s">
        <v>72</v>
      </c>
      <c r="P5320" s="20" t="s">
        <v>393</v>
      </c>
      <c r="Q5320" s="15" t="s">
        <v>83</v>
      </c>
      <c r="R5320" s="4"/>
      <c r="S5320" s="4"/>
    </row>
    <row r="5321" spans="1:19" ht="21" customHeight="1" x14ac:dyDescent="0.25">
      <c r="A5321" s="14">
        <f>DATE(2012,12,31)-621</f>
        <v>40653</v>
      </c>
      <c r="B5321" s="15" t="s">
        <v>2028</v>
      </c>
      <c r="C5321" s="15" t="s">
        <v>31</v>
      </c>
      <c r="D5321" s="16">
        <v>42</v>
      </c>
      <c r="E5321" s="17">
        <v>206.2</v>
      </c>
      <c r="F5321" s="16">
        <v>0.01</v>
      </c>
      <c r="G5321" s="15" t="s">
        <v>32</v>
      </c>
      <c r="H5321" s="18">
        <v>101.14</v>
      </c>
      <c r="I5321" s="19">
        <v>4.91</v>
      </c>
      <c r="J5321" s="19">
        <v>0.5</v>
      </c>
      <c r="K5321" s="19" t="s">
        <v>33</v>
      </c>
      <c r="L5321" s="19" t="s">
        <v>128</v>
      </c>
      <c r="M5321" s="15" t="s">
        <v>129</v>
      </c>
      <c r="N5321" s="15" t="s">
        <v>36</v>
      </c>
      <c r="O5321" s="15" t="s">
        <v>114</v>
      </c>
      <c r="P5321" s="20" t="s">
        <v>786</v>
      </c>
      <c r="Q5321" s="15" t="s">
        <v>83</v>
      </c>
      <c r="R5321" s="4"/>
      <c r="S5321" s="4"/>
    </row>
    <row r="5322" spans="1:19" ht="21" customHeight="1" x14ac:dyDescent="0.25">
      <c r="A5322" s="14">
        <f>DATE(2012,12,31)-824</f>
        <v>40450</v>
      </c>
      <c r="B5322" s="15" t="s">
        <v>2086</v>
      </c>
      <c r="C5322" s="15" t="s">
        <v>43</v>
      </c>
      <c r="D5322" s="16">
        <v>28</v>
      </c>
      <c r="E5322" s="17">
        <v>257.89999999999998</v>
      </c>
      <c r="F5322" s="16">
        <v>0</v>
      </c>
      <c r="G5322" s="15" t="s">
        <v>32</v>
      </c>
      <c r="H5322" s="18">
        <v>-84.69</v>
      </c>
      <c r="I5322" s="19">
        <v>8.74</v>
      </c>
      <c r="J5322" s="19">
        <v>8.2899999999999991</v>
      </c>
      <c r="K5322" s="19" t="s">
        <v>97</v>
      </c>
      <c r="L5322" s="19" t="s">
        <v>98</v>
      </c>
      <c r="M5322" s="15" t="s">
        <v>2217</v>
      </c>
      <c r="N5322" s="15" t="s">
        <v>36</v>
      </c>
      <c r="O5322" s="15" t="s">
        <v>189</v>
      </c>
      <c r="P5322" s="20" t="s">
        <v>581</v>
      </c>
      <c r="Q5322" s="15" t="s">
        <v>83</v>
      </c>
      <c r="R5322" s="4"/>
      <c r="S5322" s="4"/>
    </row>
    <row r="5323" spans="1:19" ht="21" customHeight="1" x14ac:dyDescent="0.25">
      <c r="A5323" s="14">
        <f>DATE(2012,12,31)-1233</f>
        <v>40041</v>
      </c>
      <c r="B5323" s="15" t="s">
        <v>931</v>
      </c>
      <c r="C5323" s="15" t="s">
        <v>43</v>
      </c>
      <c r="D5323" s="16">
        <v>39</v>
      </c>
      <c r="E5323" s="17">
        <v>977.92</v>
      </c>
      <c r="F5323" s="16">
        <v>0.05</v>
      </c>
      <c r="G5323" s="15" t="s">
        <v>101</v>
      </c>
      <c r="H5323" s="18">
        <v>148.88999999999999</v>
      </c>
      <c r="I5323" s="19">
        <v>25.99</v>
      </c>
      <c r="J5323" s="19">
        <v>5.37</v>
      </c>
      <c r="K5323" s="19" t="s">
        <v>97</v>
      </c>
      <c r="L5323" s="19" t="s">
        <v>132</v>
      </c>
      <c r="M5323" s="15" t="s">
        <v>133</v>
      </c>
      <c r="N5323" s="15" t="s">
        <v>36</v>
      </c>
      <c r="O5323" s="15" t="s">
        <v>77</v>
      </c>
      <c r="P5323" s="20" t="s">
        <v>1853</v>
      </c>
      <c r="Q5323" s="15" t="s">
        <v>83</v>
      </c>
      <c r="R5323" s="4"/>
      <c r="S5323" s="4"/>
    </row>
    <row r="5324" spans="1:19" ht="21" customHeight="1" x14ac:dyDescent="0.25">
      <c r="A5324" s="14">
        <f>DATE(2012,12,31)-158</f>
        <v>41116</v>
      </c>
      <c r="B5324" s="15" t="s">
        <v>1362</v>
      </c>
      <c r="C5324" s="15" t="s">
        <v>43</v>
      </c>
      <c r="D5324" s="16">
        <v>30</v>
      </c>
      <c r="E5324" s="17">
        <v>453.87</v>
      </c>
      <c r="F5324" s="16">
        <v>0.08</v>
      </c>
      <c r="G5324" s="15" t="s">
        <v>32</v>
      </c>
      <c r="H5324" s="18">
        <v>76.59</v>
      </c>
      <c r="I5324" s="19">
        <v>15.98</v>
      </c>
      <c r="J5324" s="19">
        <v>4</v>
      </c>
      <c r="K5324" s="19" t="s">
        <v>97</v>
      </c>
      <c r="L5324" s="19" t="s">
        <v>98</v>
      </c>
      <c r="M5324" s="15" t="s">
        <v>2217</v>
      </c>
      <c r="N5324" s="15" t="s">
        <v>64</v>
      </c>
      <c r="O5324" s="15" t="s">
        <v>72</v>
      </c>
      <c r="P5324" s="20" t="s">
        <v>344</v>
      </c>
      <c r="Q5324" s="15" t="s">
        <v>83</v>
      </c>
      <c r="R5324" s="4"/>
      <c r="S5324" s="4"/>
    </row>
    <row r="5325" spans="1:19" ht="21" customHeight="1" x14ac:dyDescent="0.25">
      <c r="A5325" s="14">
        <f>DATE(2012,12,31)-1372</f>
        <v>39902</v>
      </c>
      <c r="B5325" s="15" t="s">
        <v>529</v>
      </c>
      <c r="C5325" s="15" t="s">
        <v>85</v>
      </c>
      <c r="D5325" s="16">
        <v>2</v>
      </c>
      <c r="E5325" s="17">
        <v>29.03</v>
      </c>
      <c r="F5325" s="16">
        <v>0.01</v>
      </c>
      <c r="G5325" s="15" t="s">
        <v>32</v>
      </c>
      <c r="H5325" s="18">
        <v>-11.83</v>
      </c>
      <c r="I5325" s="19">
        <v>11.34</v>
      </c>
      <c r="J5325" s="19">
        <v>5.01</v>
      </c>
      <c r="K5325" s="19" t="s">
        <v>97</v>
      </c>
      <c r="L5325" s="19" t="s">
        <v>98</v>
      </c>
      <c r="M5325" s="15" t="s">
        <v>2217</v>
      </c>
      <c r="N5325" s="15" t="s">
        <v>36</v>
      </c>
      <c r="O5325" s="15" t="s">
        <v>117</v>
      </c>
      <c r="P5325" s="20" t="s">
        <v>1425</v>
      </c>
      <c r="Q5325" s="15" t="s">
        <v>83</v>
      </c>
      <c r="R5325" s="4"/>
      <c r="S5325" s="4"/>
    </row>
    <row r="5326" spans="1:19" ht="21" customHeight="1" x14ac:dyDescent="0.25">
      <c r="A5326" s="14">
        <f>DATE(2012,12,31)-857</f>
        <v>40417</v>
      </c>
      <c r="B5326" s="15" t="s">
        <v>2073</v>
      </c>
      <c r="C5326" s="15" t="s">
        <v>85</v>
      </c>
      <c r="D5326" s="16">
        <v>1</v>
      </c>
      <c r="E5326" s="17">
        <v>104.85</v>
      </c>
      <c r="F5326" s="16">
        <v>7.0000000000000007E-2</v>
      </c>
      <c r="G5326" s="15" t="s">
        <v>32</v>
      </c>
      <c r="H5326" s="18">
        <v>-98.31</v>
      </c>
      <c r="I5326" s="19">
        <v>55.5</v>
      </c>
      <c r="J5326" s="19">
        <v>52.2</v>
      </c>
      <c r="K5326" s="19" t="s">
        <v>97</v>
      </c>
      <c r="L5326" s="19" t="s">
        <v>195</v>
      </c>
      <c r="M5326" s="15" t="s">
        <v>2138</v>
      </c>
      <c r="N5326" s="15" t="s">
        <v>54</v>
      </c>
      <c r="O5326" s="15" t="s">
        <v>55</v>
      </c>
      <c r="P5326" s="20" t="s">
        <v>1884</v>
      </c>
      <c r="Q5326" s="15" t="s">
        <v>57</v>
      </c>
      <c r="R5326" s="4"/>
      <c r="S5326" s="4"/>
    </row>
    <row r="5327" spans="1:19" ht="21" customHeight="1" x14ac:dyDescent="0.25">
      <c r="A5327" s="14">
        <f>DATE(2012,12,31)-369</f>
        <v>40905</v>
      </c>
      <c r="B5327" s="15" t="s">
        <v>674</v>
      </c>
      <c r="C5327" s="15" t="s">
        <v>43</v>
      </c>
      <c r="D5327" s="16">
        <v>32</v>
      </c>
      <c r="E5327" s="17">
        <v>980.07</v>
      </c>
      <c r="F5327" s="16">
        <v>0.09</v>
      </c>
      <c r="G5327" s="15" t="s">
        <v>32</v>
      </c>
      <c r="H5327" s="18">
        <v>337.25</v>
      </c>
      <c r="I5327" s="19">
        <v>30.98</v>
      </c>
      <c r="J5327" s="19">
        <v>5.76</v>
      </c>
      <c r="K5327" s="19" t="s">
        <v>97</v>
      </c>
      <c r="L5327" s="19" t="s">
        <v>195</v>
      </c>
      <c r="M5327" s="15" t="s">
        <v>2138</v>
      </c>
      <c r="N5327" s="15" t="s">
        <v>36</v>
      </c>
      <c r="O5327" s="15" t="s">
        <v>117</v>
      </c>
      <c r="P5327" s="20" t="s">
        <v>713</v>
      </c>
      <c r="Q5327" s="15" t="s">
        <v>83</v>
      </c>
      <c r="R5327" s="4"/>
      <c r="S5327" s="4"/>
    </row>
    <row r="5328" spans="1:19" ht="21" customHeight="1" x14ac:dyDescent="0.25">
      <c r="A5328" s="14">
        <f>DATE(2012,12,31)-1449</f>
        <v>39825</v>
      </c>
      <c r="B5328" s="15" t="s">
        <v>1099</v>
      </c>
      <c r="C5328" s="15" t="s">
        <v>43</v>
      </c>
      <c r="D5328" s="16">
        <v>27</v>
      </c>
      <c r="E5328" s="17">
        <v>1603.27</v>
      </c>
      <c r="F5328" s="16">
        <v>0.01</v>
      </c>
      <c r="G5328" s="15" t="s">
        <v>32</v>
      </c>
      <c r="H5328" s="18">
        <v>452.49</v>
      </c>
      <c r="I5328" s="19">
        <v>59.98</v>
      </c>
      <c r="J5328" s="19">
        <v>3.99</v>
      </c>
      <c r="K5328" s="19" t="s">
        <v>97</v>
      </c>
      <c r="L5328" s="19" t="s">
        <v>283</v>
      </c>
      <c r="M5328" s="15" t="s">
        <v>2205</v>
      </c>
      <c r="N5328" s="15" t="s">
        <v>36</v>
      </c>
      <c r="O5328" s="15" t="s">
        <v>176</v>
      </c>
      <c r="P5328" s="20" t="s">
        <v>351</v>
      </c>
      <c r="Q5328" s="15" t="s">
        <v>83</v>
      </c>
      <c r="R5328" s="4"/>
      <c r="S5328" s="4"/>
    </row>
    <row r="5329" spans="1:19" ht="21" customHeight="1" x14ac:dyDescent="0.25">
      <c r="A5329" s="14">
        <f>DATE(2012,12,31)-676</f>
        <v>40598</v>
      </c>
      <c r="B5329" s="15" t="s">
        <v>1525</v>
      </c>
      <c r="C5329" s="15" t="s">
        <v>51</v>
      </c>
      <c r="D5329" s="16">
        <v>27</v>
      </c>
      <c r="E5329" s="17">
        <v>305.05</v>
      </c>
      <c r="F5329" s="16">
        <v>0.04</v>
      </c>
      <c r="G5329" s="15" t="s">
        <v>32</v>
      </c>
      <c r="H5329" s="18">
        <v>23.12</v>
      </c>
      <c r="I5329" s="19">
        <v>10.98</v>
      </c>
      <c r="J5329" s="19">
        <v>3.37</v>
      </c>
      <c r="K5329" s="19" t="s">
        <v>97</v>
      </c>
      <c r="L5329" s="19" t="s">
        <v>132</v>
      </c>
      <c r="M5329" s="15" t="s">
        <v>133</v>
      </c>
      <c r="N5329" s="15" t="s">
        <v>36</v>
      </c>
      <c r="O5329" s="15" t="s">
        <v>47</v>
      </c>
      <c r="P5329" s="20" t="s">
        <v>1698</v>
      </c>
      <c r="Q5329" s="15" t="s">
        <v>49</v>
      </c>
      <c r="R5329" s="4"/>
      <c r="S5329" s="4"/>
    </row>
    <row r="5330" spans="1:19" ht="21" customHeight="1" x14ac:dyDescent="0.25">
      <c r="A5330" s="14">
        <f>DATE(2012,12,31)-1105</f>
        <v>40169</v>
      </c>
      <c r="B5330" s="15" t="s">
        <v>1579</v>
      </c>
      <c r="C5330" s="15" t="s">
        <v>85</v>
      </c>
      <c r="D5330" s="16">
        <v>31</v>
      </c>
      <c r="E5330" s="17">
        <v>639.19000000000005</v>
      </c>
      <c r="F5330" s="16">
        <v>0.09</v>
      </c>
      <c r="G5330" s="15" t="s">
        <v>32</v>
      </c>
      <c r="H5330" s="18">
        <v>274.89850000000001</v>
      </c>
      <c r="I5330" s="19">
        <v>20.98</v>
      </c>
      <c r="J5330" s="19">
        <v>1.49</v>
      </c>
      <c r="K5330" s="19" t="s">
        <v>97</v>
      </c>
      <c r="L5330" s="19" t="s">
        <v>98</v>
      </c>
      <c r="M5330" s="15" t="s">
        <v>2217</v>
      </c>
      <c r="N5330" s="15" t="s">
        <v>36</v>
      </c>
      <c r="O5330" s="15" t="s">
        <v>170</v>
      </c>
      <c r="P5330" s="20" t="s">
        <v>1102</v>
      </c>
      <c r="Q5330" s="15" t="s">
        <v>83</v>
      </c>
      <c r="R5330" s="4"/>
      <c r="S5330" s="4"/>
    </row>
    <row r="5331" spans="1:19" ht="21" customHeight="1" x14ac:dyDescent="0.25">
      <c r="A5331" s="14">
        <f>DATE(2012,12,31)-438</f>
        <v>40836</v>
      </c>
      <c r="B5331" s="15" t="s">
        <v>1409</v>
      </c>
      <c r="C5331" s="15" t="s">
        <v>51</v>
      </c>
      <c r="D5331" s="16">
        <v>24</v>
      </c>
      <c r="E5331" s="17">
        <v>163.36000000000001</v>
      </c>
      <c r="F5331" s="16">
        <v>0.04</v>
      </c>
      <c r="G5331" s="15" t="s">
        <v>32</v>
      </c>
      <c r="H5331" s="18">
        <v>-65.540000000000006</v>
      </c>
      <c r="I5331" s="19">
        <v>6.48</v>
      </c>
      <c r="J5331" s="19">
        <v>6.6</v>
      </c>
      <c r="K5331" s="19" t="s">
        <v>97</v>
      </c>
      <c r="L5331" s="19" t="s">
        <v>98</v>
      </c>
      <c r="M5331" s="15" t="s">
        <v>2217</v>
      </c>
      <c r="N5331" s="15" t="s">
        <v>36</v>
      </c>
      <c r="O5331" s="15" t="s">
        <v>117</v>
      </c>
      <c r="P5331" s="20" t="s">
        <v>745</v>
      </c>
      <c r="Q5331" s="15" t="s">
        <v>83</v>
      </c>
      <c r="R5331" s="4"/>
      <c r="S5331" s="4"/>
    </row>
    <row r="5332" spans="1:19" ht="21" customHeight="1" x14ac:dyDescent="0.25">
      <c r="A5332" s="14">
        <f>DATE(2012,12,31)-438</f>
        <v>40836</v>
      </c>
      <c r="B5332" s="15" t="s">
        <v>1409</v>
      </c>
      <c r="C5332" s="15" t="s">
        <v>51</v>
      </c>
      <c r="D5332" s="16">
        <v>21</v>
      </c>
      <c r="E5332" s="17">
        <v>44.08</v>
      </c>
      <c r="F5332" s="16">
        <v>0.06</v>
      </c>
      <c r="G5332" s="15" t="s">
        <v>101</v>
      </c>
      <c r="H5332" s="18">
        <v>-9.09</v>
      </c>
      <c r="I5332" s="19">
        <v>1.98</v>
      </c>
      <c r="J5332" s="19">
        <v>0.7</v>
      </c>
      <c r="K5332" s="19" t="s">
        <v>124</v>
      </c>
      <c r="L5332" s="19" t="s">
        <v>493</v>
      </c>
      <c r="M5332" s="15" t="s">
        <v>2206</v>
      </c>
      <c r="N5332" s="15" t="s">
        <v>36</v>
      </c>
      <c r="O5332" s="15" t="s">
        <v>105</v>
      </c>
      <c r="P5332" s="20" t="s">
        <v>1255</v>
      </c>
      <c r="Q5332" s="15" t="s">
        <v>79</v>
      </c>
      <c r="R5332" s="4"/>
      <c r="S5332" s="4"/>
    </row>
    <row r="5333" spans="1:19" ht="21" customHeight="1" x14ac:dyDescent="0.25">
      <c r="A5333" s="14">
        <f>DATE(2012,12,31)-438</f>
        <v>40836</v>
      </c>
      <c r="B5333" s="15" t="s">
        <v>1409</v>
      </c>
      <c r="C5333" s="15" t="s">
        <v>51</v>
      </c>
      <c r="D5333" s="16">
        <v>4</v>
      </c>
      <c r="E5333" s="17">
        <v>1135.6400000000001</v>
      </c>
      <c r="F5333" s="16">
        <v>0.02</v>
      </c>
      <c r="G5333" s="15" t="s">
        <v>58</v>
      </c>
      <c r="H5333" s="18">
        <v>-627.64115700000002</v>
      </c>
      <c r="I5333" s="19">
        <v>259.70999999999998</v>
      </c>
      <c r="J5333" s="19">
        <v>66.67</v>
      </c>
      <c r="K5333" s="19" t="s">
        <v>124</v>
      </c>
      <c r="L5333" s="19" t="s">
        <v>160</v>
      </c>
      <c r="M5333" s="15" t="s">
        <v>2181</v>
      </c>
      <c r="N5333" s="15" t="s">
        <v>54</v>
      </c>
      <c r="O5333" s="15" t="s">
        <v>61</v>
      </c>
      <c r="P5333" s="20" t="s">
        <v>1293</v>
      </c>
      <c r="Q5333" s="15" t="s">
        <v>63</v>
      </c>
      <c r="R5333" s="4"/>
      <c r="S5333" s="4"/>
    </row>
    <row r="5334" spans="1:19" ht="21" customHeight="1" x14ac:dyDescent="0.25">
      <c r="A5334" s="14">
        <f>DATE(2012,12,31)-438</f>
        <v>40836</v>
      </c>
      <c r="B5334" s="15" t="s">
        <v>1409</v>
      </c>
      <c r="C5334" s="15" t="s">
        <v>51</v>
      </c>
      <c r="D5334" s="16">
        <v>33</v>
      </c>
      <c r="E5334" s="17">
        <v>5154.009</v>
      </c>
      <c r="F5334" s="16">
        <v>0.03</v>
      </c>
      <c r="G5334" s="15" t="s">
        <v>32</v>
      </c>
      <c r="H5334" s="18">
        <v>1184.6789999999999</v>
      </c>
      <c r="I5334" s="19">
        <v>179.99</v>
      </c>
      <c r="J5334" s="19">
        <v>13.99</v>
      </c>
      <c r="K5334" s="19" t="s">
        <v>124</v>
      </c>
      <c r="L5334" s="19" t="s">
        <v>493</v>
      </c>
      <c r="M5334" s="15" t="s">
        <v>2206</v>
      </c>
      <c r="N5334" s="15" t="s">
        <v>64</v>
      </c>
      <c r="O5334" s="15" t="s">
        <v>65</v>
      </c>
      <c r="P5334" s="20" t="s">
        <v>205</v>
      </c>
      <c r="Q5334" s="15" t="s">
        <v>57</v>
      </c>
      <c r="R5334" s="4"/>
      <c r="S5334" s="4"/>
    </row>
    <row r="5335" spans="1:19" ht="21" customHeight="1" x14ac:dyDescent="0.25">
      <c r="A5335" s="14">
        <f>DATE(2012,12,31)-403</f>
        <v>40871</v>
      </c>
      <c r="B5335" s="15" t="s">
        <v>153</v>
      </c>
      <c r="C5335" s="15" t="s">
        <v>43</v>
      </c>
      <c r="D5335" s="16">
        <v>14</v>
      </c>
      <c r="E5335" s="17">
        <v>436.78</v>
      </c>
      <c r="F5335" s="16">
        <v>0.04</v>
      </c>
      <c r="G5335" s="15" t="s">
        <v>32</v>
      </c>
      <c r="H5335" s="18">
        <v>25.69</v>
      </c>
      <c r="I5335" s="19">
        <v>29.99</v>
      </c>
      <c r="J5335" s="19">
        <v>5.5</v>
      </c>
      <c r="K5335" s="19" t="s">
        <v>124</v>
      </c>
      <c r="L5335" s="19" t="s">
        <v>160</v>
      </c>
      <c r="M5335" s="15" t="s">
        <v>2181</v>
      </c>
      <c r="N5335" s="15" t="s">
        <v>64</v>
      </c>
      <c r="O5335" s="15" t="s">
        <v>72</v>
      </c>
      <c r="P5335" s="20" t="s">
        <v>894</v>
      </c>
      <c r="Q5335" s="15" t="s">
        <v>83</v>
      </c>
      <c r="R5335" s="4"/>
      <c r="S5335" s="4"/>
    </row>
    <row r="5336" spans="1:19" ht="21" customHeight="1" x14ac:dyDescent="0.25">
      <c r="A5336" s="14">
        <f>DATE(2012,12,31)-276</f>
        <v>40998</v>
      </c>
      <c r="B5336" s="15" t="s">
        <v>468</v>
      </c>
      <c r="C5336" s="15" t="s">
        <v>85</v>
      </c>
      <c r="D5336" s="16">
        <v>14</v>
      </c>
      <c r="E5336" s="17">
        <v>304.64999999999998</v>
      </c>
      <c r="F5336" s="16">
        <v>0.1</v>
      </c>
      <c r="G5336" s="15" t="s">
        <v>32</v>
      </c>
      <c r="H5336" s="18">
        <v>24.2</v>
      </c>
      <c r="I5336" s="19">
        <v>21.98</v>
      </c>
      <c r="J5336" s="19">
        <v>8.32</v>
      </c>
      <c r="K5336" s="19" t="s">
        <v>124</v>
      </c>
      <c r="L5336" s="19" t="s">
        <v>160</v>
      </c>
      <c r="M5336" s="15" t="s">
        <v>2181</v>
      </c>
      <c r="N5336" s="15" t="s">
        <v>36</v>
      </c>
      <c r="O5336" s="15" t="s">
        <v>117</v>
      </c>
      <c r="P5336" s="20" t="s">
        <v>1986</v>
      </c>
      <c r="Q5336" s="15" t="s">
        <v>79</v>
      </c>
      <c r="R5336" s="4"/>
      <c r="S5336" s="4"/>
    </row>
    <row r="5337" spans="1:19" ht="21" customHeight="1" x14ac:dyDescent="0.25">
      <c r="A5337" s="14">
        <f>DATE(2012,12,31)-901</f>
        <v>40373</v>
      </c>
      <c r="B5337" s="15" t="s">
        <v>582</v>
      </c>
      <c r="C5337" s="15" t="s">
        <v>85</v>
      </c>
      <c r="D5337" s="16">
        <v>48</v>
      </c>
      <c r="E5337" s="17">
        <v>414.42</v>
      </c>
      <c r="F5337" s="16">
        <v>0.04</v>
      </c>
      <c r="G5337" s="15" t="s">
        <v>32</v>
      </c>
      <c r="H5337" s="18">
        <v>-380.2</v>
      </c>
      <c r="I5337" s="19">
        <v>8.4600000000000009</v>
      </c>
      <c r="J5337" s="19">
        <v>8.99</v>
      </c>
      <c r="K5337" s="19" t="s">
        <v>124</v>
      </c>
      <c r="L5337" s="19" t="s">
        <v>160</v>
      </c>
      <c r="M5337" s="15" t="s">
        <v>2181</v>
      </c>
      <c r="N5337" s="15" t="s">
        <v>64</v>
      </c>
      <c r="O5337" s="15" t="s">
        <v>72</v>
      </c>
      <c r="P5337" s="20" t="s">
        <v>73</v>
      </c>
      <c r="Q5337" s="15" t="s">
        <v>49</v>
      </c>
      <c r="R5337" s="4"/>
      <c r="S5337" s="4"/>
    </row>
    <row r="5338" spans="1:19" ht="21" customHeight="1" x14ac:dyDescent="0.25">
      <c r="A5338" s="14">
        <f>DATE(2012,12,31)-1010</f>
        <v>40264</v>
      </c>
      <c r="B5338" s="15" t="s">
        <v>2160</v>
      </c>
      <c r="C5338" s="15" t="s">
        <v>43</v>
      </c>
      <c r="D5338" s="16">
        <v>29</v>
      </c>
      <c r="E5338" s="17">
        <v>198.43</v>
      </c>
      <c r="F5338" s="16">
        <v>0.01</v>
      </c>
      <c r="G5338" s="15" t="s">
        <v>32</v>
      </c>
      <c r="H5338" s="18">
        <v>-79.67</v>
      </c>
      <c r="I5338" s="19">
        <v>6.48</v>
      </c>
      <c r="J5338" s="19">
        <v>6.81</v>
      </c>
      <c r="K5338" s="19" t="s">
        <v>124</v>
      </c>
      <c r="L5338" s="19" t="s">
        <v>493</v>
      </c>
      <c r="M5338" s="15" t="s">
        <v>2206</v>
      </c>
      <c r="N5338" s="15" t="s">
        <v>36</v>
      </c>
      <c r="O5338" s="15" t="s">
        <v>117</v>
      </c>
      <c r="P5338" s="20" t="s">
        <v>735</v>
      </c>
      <c r="Q5338" s="15" t="s">
        <v>83</v>
      </c>
      <c r="R5338" s="4"/>
      <c r="S5338" s="4"/>
    </row>
    <row r="5339" spans="1:19" ht="21" customHeight="1" x14ac:dyDescent="0.25">
      <c r="A5339" s="14">
        <f>DATE(2012,12,31)-1128</f>
        <v>40146</v>
      </c>
      <c r="B5339" s="15" t="s">
        <v>1675</v>
      </c>
      <c r="C5339" s="15" t="s">
        <v>51</v>
      </c>
      <c r="D5339" s="16">
        <v>49</v>
      </c>
      <c r="E5339" s="17">
        <v>8094.55</v>
      </c>
      <c r="F5339" s="16">
        <v>0.05</v>
      </c>
      <c r="G5339" s="15" t="s">
        <v>32</v>
      </c>
      <c r="H5339" s="18">
        <v>2008.71</v>
      </c>
      <c r="I5339" s="19">
        <v>165.2</v>
      </c>
      <c r="J5339" s="19">
        <v>19.989999999999998</v>
      </c>
      <c r="K5339" s="19" t="s">
        <v>124</v>
      </c>
      <c r="L5339" s="19" t="s">
        <v>164</v>
      </c>
      <c r="M5339" s="15" t="s">
        <v>2171</v>
      </c>
      <c r="N5339" s="15" t="s">
        <v>36</v>
      </c>
      <c r="O5339" s="15" t="s">
        <v>37</v>
      </c>
      <c r="P5339" s="20" t="s">
        <v>771</v>
      </c>
      <c r="Q5339" s="15" t="s">
        <v>83</v>
      </c>
      <c r="R5339" s="4"/>
      <c r="S5339" s="4"/>
    </row>
    <row r="5340" spans="1:19" ht="21" customHeight="1" x14ac:dyDescent="0.25">
      <c r="A5340" s="14">
        <f>DATE(2012,12,31)-1128</f>
        <v>40146</v>
      </c>
      <c r="B5340" s="15" t="s">
        <v>1675</v>
      </c>
      <c r="C5340" s="15" t="s">
        <v>51</v>
      </c>
      <c r="D5340" s="16">
        <v>21</v>
      </c>
      <c r="E5340" s="17">
        <v>352.44</v>
      </c>
      <c r="F5340" s="16">
        <v>0.09</v>
      </c>
      <c r="G5340" s="15" t="s">
        <v>32</v>
      </c>
      <c r="H5340" s="18">
        <v>-80.53</v>
      </c>
      <c r="I5340" s="19">
        <v>17.989999999999998</v>
      </c>
      <c r="J5340" s="19">
        <v>8.65</v>
      </c>
      <c r="K5340" s="19" t="s">
        <v>124</v>
      </c>
      <c r="L5340" s="19" t="s">
        <v>160</v>
      </c>
      <c r="M5340" s="15" t="s">
        <v>2181</v>
      </c>
      <c r="N5340" s="15" t="s">
        <v>36</v>
      </c>
      <c r="O5340" s="15" t="s">
        <v>77</v>
      </c>
      <c r="P5340" s="20" t="s">
        <v>2170</v>
      </c>
      <c r="Q5340" s="15" t="s">
        <v>83</v>
      </c>
      <c r="R5340" s="4"/>
      <c r="S5340" s="4"/>
    </row>
    <row r="5341" spans="1:19" ht="21" customHeight="1" x14ac:dyDescent="0.25">
      <c r="A5341" s="14">
        <f>DATE(2012,12,31)-827</f>
        <v>40447</v>
      </c>
      <c r="B5341" s="15" t="s">
        <v>1954</v>
      </c>
      <c r="C5341" s="15" t="s">
        <v>85</v>
      </c>
      <c r="D5341" s="16">
        <v>46</v>
      </c>
      <c r="E5341" s="17">
        <v>3780.16</v>
      </c>
      <c r="F5341" s="16">
        <v>0.1</v>
      </c>
      <c r="G5341" s="15" t="s">
        <v>58</v>
      </c>
      <c r="H5341" s="18">
        <v>1265.82</v>
      </c>
      <c r="I5341" s="19">
        <v>90.97</v>
      </c>
      <c r="J5341" s="19">
        <v>14</v>
      </c>
      <c r="K5341" s="19" t="s">
        <v>124</v>
      </c>
      <c r="L5341" s="19" t="s">
        <v>160</v>
      </c>
      <c r="M5341" s="15" t="s">
        <v>2181</v>
      </c>
      <c r="N5341" s="15" t="s">
        <v>64</v>
      </c>
      <c r="O5341" s="15" t="s">
        <v>122</v>
      </c>
      <c r="P5341" s="20" t="s">
        <v>843</v>
      </c>
      <c r="Q5341" s="15" t="s">
        <v>181</v>
      </c>
      <c r="R5341" s="4"/>
      <c r="S5341" s="4"/>
    </row>
    <row r="5342" spans="1:19" ht="21" customHeight="1" x14ac:dyDescent="0.25">
      <c r="A5342" s="14">
        <f>DATE(2012,12,31)-827</f>
        <v>40447</v>
      </c>
      <c r="B5342" s="15" t="s">
        <v>1954</v>
      </c>
      <c r="C5342" s="15" t="s">
        <v>85</v>
      </c>
      <c r="D5342" s="16">
        <v>31</v>
      </c>
      <c r="E5342" s="17">
        <v>1784.048</v>
      </c>
      <c r="F5342" s="16">
        <v>0.05</v>
      </c>
      <c r="G5342" s="15" t="s">
        <v>32</v>
      </c>
      <c r="H5342" s="18">
        <v>394.452</v>
      </c>
      <c r="I5342" s="19">
        <v>65.989999999999995</v>
      </c>
      <c r="J5342" s="19">
        <v>3.99</v>
      </c>
      <c r="K5342" s="19" t="s">
        <v>124</v>
      </c>
      <c r="L5342" s="19" t="s">
        <v>160</v>
      </c>
      <c r="M5342" s="15" t="s">
        <v>2181</v>
      </c>
      <c r="N5342" s="15" t="s">
        <v>64</v>
      </c>
      <c r="O5342" s="15" t="s">
        <v>65</v>
      </c>
      <c r="P5342" s="20" t="s">
        <v>689</v>
      </c>
      <c r="Q5342" s="15" t="s">
        <v>83</v>
      </c>
      <c r="R5342" s="4"/>
      <c r="S5342" s="4"/>
    </row>
    <row r="5343" spans="1:19" ht="21" customHeight="1" x14ac:dyDescent="0.25">
      <c r="A5343" s="14">
        <f>DATE(2012,12,31)-1210</f>
        <v>40064</v>
      </c>
      <c r="B5343" s="15" t="s">
        <v>1070</v>
      </c>
      <c r="C5343" s="15" t="s">
        <v>85</v>
      </c>
      <c r="D5343" s="16">
        <v>31</v>
      </c>
      <c r="E5343" s="17">
        <v>353.25</v>
      </c>
      <c r="F5343" s="16">
        <v>0.02</v>
      </c>
      <c r="G5343" s="15" t="s">
        <v>32</v>
      </c>
      <c r="H5343" s="18">
        <v>60.06</v>
      </c>
      <c r="I5343" s="19">
        <v>11.55</v>
      </c>
      <c r="J5343" s="19">
        <v>2.36</v>
      </c>
      <c r="K5343" s="19" t="s">
        <v>124</v>
      </c>
      <c r="L5343" s="19" t="s">
        <v>168</v>
      </c>
      <c r="M5343" s="15" t="s">
        <v>2244</v>
      </c>
      <c r="N5343" s="15" t="s">
        <v>36</v>
      </c>
      <c r="O5343" s="15" t="s">
        <v>77</v>
      </c>
      <c r="P5343" s="20" t="s">
        <v>996</v>
      </c>
      <c r="Q5343" s="15" t="s">
        <v>79</v>
      </c>
      <c r="R5343" s="4"/>
      <c r="S5343" s="4"/>
    </row>
    <row r="5344" spans="1:19" ht="21" customHeight="1" x14ac:dyDescent="0.25">
      <c r="A5344" s="14">
        <f>DATE(2012,12,31)-787</f>
        <v>40487</v>
      </c>
      <c r="B5344" s="15" t="s">
        <v>1748</v>
      </c>
      <c r="C5344" s="15" t="s">
        <v>43</v>
      </c>
      <c r="D5344" s="16">
        <v>31</v>
      </c>
      <c r="E5344" s="17">
        <v>229.26</v>
      </c>
      <c r="F5344" s="16">
        <v>0</v>
      </c>
      <c r="G5344" s="15" t="s">
        <v>32</v>
      </c>
      <c r="H5344" s="18">
        <v>-37.202500000000001</v>
      </c>
      <c r="I5344" s="19">
        <v>6.81</v>
      </c>
      <c r="J5344" s="19">
        <v>5.48</v>
      </c>
      <c r="K5344" s="19" t="s">
        <v>124</v>
      </c>
      <c r="L5344" s="19" t="s">
        <v>164</v>
      </c>
      <c r="M5344" s="15" t="s">
        <v>2171</v>
      </c>
      <c r="N5344" s="15" t="s">
        <v>36</v>
      </c>
      <c r="O5344" s="15" t="s">
        <v>170</v>
      </c>
      <c r="P5344" s="20" t="s">
        <v>1533</v>
      </c>
      <c r="Q5344" s="15" t="s">
        <v>83</v>
      </c>
      <c r="R5344" s="4"/>
      <c r="S5344" s="4"/>
    </row>
    <row r="5345" spans="1:19" ht="21" customHeight="1" x14ac:dyDescent="0.25">
      <c r="A5345" s="14">
        <f>DATE(2012,12,31)-1277</f>
        <v>39997</v>
      </c>
      <c r="B5345" s="15" t="s">
        <v>649</v>
      </c>
      <c r="C5345" s="15" t="s">
        <v>51</v>
      </c>
      <c r="D5345" s="16">
        <v>26</v>
      </c>
      <c r="E5345" s="17">
        <v>299.07</v>
      </c>
      <c r="F5345" s="16">
        <v>0.1</v>
      </c>
      <c r="G5345" s="15" t="s">
        <v>32</v>
      </c>
      <c r="H5345" s="18">
        <v>137.47</v>
      </c>
      <c r="I5345" s="19">
        <v>12.53</v>
      </c>
      <c r="J5345" s="19">
        <v>0.49</v>
      </c>
      <c r="K5345" s="19" t="s">
        <v>124</v>
      </c>
      <c r="L5345" s="19" t="s">
        <v>164</v>
      </c>
      <c r="M5345" s="15" t="s">
        <v>2171</v>
      </c>
      <c r="N5345" s="15" t="s">
        <v>36</v>
      </c>
      <c r="O5345" s="15" t="s">
        <v>114</v>
      </c>
      <c r="P5345" s="20" t="s">
        <v>1442</v>
      </c>
      <c r="Q5345" s="15" t="s">
        <v>83</v>
      </c>
      <c r="R5345" s="4"/>
      <c r="S5345" s="4"/>
    </row>
    <row r="5346" spans="1:19" ht="21" customHeight="1" x14ac:dyDescent="0.25">
      <c r="A5346" s="14">
        <f>DATE(2012,12,31)-1277</f>
        <v>39997</v>
      </c>
      <c r="B5346" s="15" t="s">
        <v>649</v>
      </c>
      <c r="C5346" s="15" t="s">
        <v>51</v>
      </c>
      <c r="D5346" s="16">
        <v>5</v>
      </c>
      <c r="E5346" s="17">
        <v>708.87</v>
      </c>
      <c r="F5346" s="16">
        <v>0.1</v>
      </c>
      <c r="G5346" s="15" t="s">
        <v>58</v>
      </c>
      <c r="H5346" s="18">
        <v>-270.85000000000002</v>
      </c>
      <c r="I5346" s="19">
        <v>146.34</v>
      </c>
      <c r="J5346" s="19">
        <v>43.75</v>
      </c>
      <c r="K5346" s="19" t="s">
        <v>124</v>
      </c>
      <c r="L5346" s="19" t="s">
        <v>125</v>
      </c>
      <c r="M5346" s="15" t="s">
        <v>2223</v>
      </c>
      <c r="N5346" s="15" t="s">
        <v>54</v>
      </c>
      <c r="O5346" s="15" t="s">
        <v>61</v>
      </c>
      <c r="P5346" s="20" t="s">
        <v>953</v>
      </c>
      <c r="Q5346" s="15" t="s">
        <v>63</v>
      </c>
      <c r="R5346" s="4"/>
      <c r="S5346" s="4"/>
    </row>
    <row r="5347" spans="1:19" ht="21" customHeight="1" x14ac:dyDescent="0.25">
      <c r="A5347" s="14">
        <f>DATE(2012,12,31)-636</f>
        <v>40638</v>
      </c>
      <c r="B5347" s="15" t="s">
        <v>1037</v>
      </c>
      <c r="C5347" s="15" t="s">
        <v>43</v>
      </c>
      <c r="D5347" s="16">
        <v>12</v>
      </c>
      <c r="E5347" s="17">
        <v>189.19</v>
      </c>
      <c r="F5347" s="16">
        <v>0.08</v>
      </c>
      <c r="G5347" s="15" t="s">
        <v>32</v>
      </c>
      <c r="H5347" s="18">
        <v>-56.71</v>
      </c>
      <c r="I5347" s="19">
        <v>16.059999999999999</v>
      </c>
      <c r="J5347" s="19">
        <v>8.34</v>
      </c>
      <c r="K5347" s="19" t="s">
        <v>124</v>
      </c>
      <c r="L5347" s="19" t="s">
        <v>168</v>
      </c>
      <c r="M5347" s="15" t="s">
        <v>2244</v>
      </c>
      <c r="N5347" s="15" t="s">
        <v>36</v>
      </c>
      <c r="O5347" s="15" t="s">
        <v>37</v>
      </c>
      <c r="P5347" s="20" t="s">
        <v>1676</v>
      </c>
      <c r="Q5347" s="15" t="s">
        <v>83</v>
      </c>
      <c r="R5347" s="4"/>
      <c r="S5347" s="4"/>
    </row>
    <row r="5348" spans="1:19" ht="21" customHeight="1" x14ac:dyDescent="0.25">
      <c r="A5348" s="14">
        <f>DATE(2012,12,31)-895</f>
        <v>40379</v>
      </c>
      <c r="B5348" s="15" t="s">
        <v>1952</v>
      </c>
      <c r="C5348" s="15" t="s">
        <v>31</v>
      </c>
      <c r="D5348" s="16">
        <v>26</v>
      </c>
      <c r="E5348" s="17">
        <v>122.51</v>
      </c>
      <c r="F5348" s="16">
        <v>0.06</v>
      </c>
      <c r="G5348" s="15" t="s">
        <v>32</v>
      </c>
      <c r="H5348" s="18">
        <v>45.14</v>
      </c>
      <c r="I5348" s="19">
        <v>4.9800000000000004</v>
      </c>
      <c r="J5348" s="19">
        <v>0.8</v>
      </c>
      <c r="K5348" s="19" t="s">
        <v>124</v>
      </c>
      <c r="L5348" s="19" t="s">
        <v>168</v>
      </c>
      <c r="M5348" s="15" t="s">
        <v>2244</v>
      </c>
      <c r="N5348" s="15" t="s">
        <v>36</v>
      </c>
      <c r="O5348" s="15" t="s">
        <v>117</v>
      </c>
      <c r="P5348" s="20" t="s">
        <v>487</v>
      </c>
      <c r="Q5348" s="15" t="s">
        <v>79</v>
      </c>
      <c r="R5348" s="4"/>
      <c r="S5348" s="4"/>
    </row>
    <row r="5349" spans="1:19" ht="21" customHeight="1" x14ac:dyDescent="0.25">
      <c r="A5349" s="14">
        <f>DATE(2012,12,31)-895</f>
        <v>40379</v>
      </c>
      <c r="B5349" s="15" t="s">
        <v>1952</v>
      </c>
      <c r="C5349" s="15" t="s">
        <v>31</v>
      </c>
      <c r="D5349" s="16">
        <v>27</v>
      </c>
      <c r="E5349" s="17">
        <v>2846.3609999999999</v>
      </c>
      <c r="F5349" s="16">
        <v>0.08</v>
      </c>
      <c r="G5349" s="15" t="s">
        <v>32</v>
      </c>
      <c r="H5349" s="18">
        <v>453.654</v>
      </c>
      <c r="I5349" s="19">
        <v>125.99</v>
      </c>
      <c r="J5349" s="19">
        <v>7.69</v>
      </c>
      <c r="K5349" s="19" t="s">
        <v>44</v>
      </c>
      <c r="L5349" s="19" t="s">
        <v>52</v>
      </c>
      <c r="M5349" s="15" t="s">
        <v>2240</v>
      </c>
      <c r="N5349" s="15" t="s">
        <v>64</v>
      </c>
      <c r="O5349" s="15" t="s">
        <v>65</v>
      </c>
      <c r="P5349" s="20" t="s">
        <v>954</v>
      </c>
      <c r="Q5349" s="15" t="s">
        <v>83</v>
      </c>
      <c r="R5349" s="4"/>
      <c r="S5349" s="4"/>
    </row>
    <row r="5350" spans="1:19" ht="21" customHeight="1" x14ac:dyDescent="0.25">
      <c r="A5350" s="14">
        <f>DATE(2012,12,31)-1440</f>
        <v>39834</v>
      </c>
      <c r="B5350" s="15" t="s">
        <v>620</v>
      </c>
      <c r="C5350" s="15" t="s">
        <v>85</v>
      </c>
      <c r="D5350" s="16">
        <v>16</v>
      </c>
      <c r="E5350" s="17">
        <v>4407.03</v>
      </c>
      <c r="F5350" s="16">
        <v>0.04</v>
      </c>
      <c r="G5350" s="15" t="s">
        <v>58</v>
      </c>
      <c r="H5350" s="18">
        <v>834.96</v>
      </c>
      <c r="I5350" s="19">
        <v>279.81</v>
      </c>
      <c r="J5350" s="19">
        <v>23.19</v>
      </c>
      <c r="K5350" s="19" t="s">
        <v>44</v>
      </c>
      <c r="L5350" s="19" t="s">
        <v>52</v>
      </c>
      <c r="M5350" s="15" t="s">
        <v>2240</v>
      </c>
      <c r="N5350" s="15" t="s">
        <v>36</v>
      </c>
      <c r="O5350" s="15" t="s">
        <v>176</v>
      </c>
      <c r="P5350" s="20" t="s">
        <v>682</v>
      </c>
      <c r="Q5350" s="15" t="s">
        <v>181</v>
      </c>
      <c r="R5350" s="4"/>
      <c r="S5350" s="4"/>
    </row>
    <row r="5351" spans="1:19" ht="21" customHeight="1" x14ac:dyDescent="0.25">
      <c r="A5351" s="14">
        <f>DATE(2012,12,31)-1440</f>
        <v>39834</v>
      </c>
      <c r="B5351" s="15" t="s">
        <v>620</v>
      </c>
      <c r="C5351" s="15" t="s">
        <v>85</v>
      </c>
      <c r="D5351" s="16">
        <v>36</v>
      </c>
      <c r="E5351" s="17">
        <v>173.22</v>
      </c>
      <c r="F5351" s="16">
        <v>0.02</v>
      </c>
      <c r="G5351" s="15" t="s">
        <v>32</v>
      </c>
      <c r="H5351" s="18">
        <v>81.77</v>
      </c>
      <c r="I5351" s="19">
        <v>4.91</v>
      </c>
      <c r="J5351" s="19">
        <v>0.5</v>
      </c>
      <c r="K5351" s="19" t="s">
        <v>44</v>
      </c>
      <c r="L5351" s="19" t="s">
        <v>52</v>
      </c>
      <c r="M5351" s="15" t="s">
        <v>2240</v>
      </c>
      <c r="N5351" s="15" t="s">
        <v>36</v>
      </c>
      <c r="O5351" s="15" t="s">
        <v>114</v>
      </c>
      <c r="P5351" s="20" t="s">
        <v>786</v>
      </c>
      <c r="Q5351" s="15" t="s">
        <v>83</v>
      </c>
      <c r="R5351" s="4"/>
      <c r="S5351" s="4"/>
    </row>
    <row r="5352" spans="1:19" ht="21" customHeight="1" x14ac:dyDescent="0.25">
      <c r="A5352" s="14">
        <f>DATE(2012,12,31)-1440</f>
        <v>39834</v>
      </c>
      <c r="B5352" s="15" t="s">
        <v>620</v>
      </c>
      <c r="C5352" s="15" t="s">
        <v>85</v>
      </c>
      <c r="D5352" s="16">
        <v>46</v>
      </c>
      <c r="E5352" s="17">
        <v>1482.01</v>
      </c>
      <c r="F5352" s="16">
        <v>0.02</v>
      </c>
      <c r="G5352" s="15" t="s">
        <v>32</v>
      </c>
      <c r="H5352" s="18">
        <v>709.32500000000005</v>
      </c>
      <c r="I5352" s="19">
        <v>30.44</v>
      </c>
      <c r="J5352" s="19">
        <v>1.49</v>
      </c>
      <c r="K5352" s="19" t="s">
        <v>44</v>
      </c>
      <c r="L5352" s="19" t="s">
        <v>52</v>
      </c>
      <c r="M5352" s="15" t="s">
        <v>2240</v>
      </c>
      <c r="N5352" s="15" t="s">
        <v>36</v>
      </c>
      <c r="O5352" s="15" t="s">
        <v>170</v>
      </c>
      <c r="P5352" s="20" t="s">
        <v>1850</v>
      </c>
      <c r="Q5352" s="15" t="s">
        <v>83</v>
      </c>
      <c r="R5352" s="4"/>
      <c r="S5352" s="4"/>
    </row>
    <row r="5353" spans="1:19" ht="21" customHeight="1" x14ac:dyDescent="0.25">
      <c r="A5353" s="14">
        <f>DATE(2012,12,31)-1072</f>
        <v>40202</v>
      </c>
      <c r="B5353" s="15" t="s">
        <v>2245</v>
      </c>
      <c r="C5353" s="15" t="s">
        <v>51</v>
      </c>
      <c r="D5353" s="16">
        <v>42</v>
      </c>
      <c r="E5353" s="17">
        <v>2252.2619999999997</v>
      </c>
      <c r="F5353" s="16">
        <v>0.1</v>
      </c>
      <c r="G5353" s="15" t="s">
        <v>32</v>
      </c>
      <c r="H5353" s="18">
        <v>478.10700000000003</v>
      </c>
      <c r="I5353" s="19">
        <v>65.989999999999995</v>
      </c>
      <c r="J5353" s="19">
        <v>5.63</v>
      </c>
      <c r="K5353" s="19" t="s">
        <v>44</v>
      </c>
      <c r="L5353" s="19" t="s">
        <v>52</v>
      </c>
      <c r="M5353" s="15" t="s">
        <v>2240</v>
      </c>
      <c r="N5353" s="15" t="s">
        <v>64</v>
      </c>
      <c r="O5353" s="15" t="s">
        <v>65</v>
      </c>
      <c r="P5353" s="20" t="s">
        <v>695</v>
      </c>
      <c r="Q5353" s="15" t="s">
        <v>83</v>
      </c>
      <c r="R5353" s="4"/>
      <c r="S5353" s="4"/>
    </row>
    <row r="5354" spans="1:19" ht="21" customHeight="1" x14ac:dyDescent="0.25">
      <c r="A5354" s="14">
        <f>DATE(2012,12,31)-1072</f>
        <v>40202</v>
      </c>
      <c r="B5354" s="15" t="s">
        <v>2245</v>
      </c>
      <c r="C5354" s="15" t="s">
        <v>51</v>
      </c>
      <c r="D5354" s="16">
        <v>47</v>
      </c>
      <c r="E5354" s="17">
        <v>279.01</v>
      </c>
      <c r="F5354" s="16">
        <v>0.05</v>
      </c>
      <c r="G5354" s="15" t="s">
        <v>32</v>
      </c>
      <c r="H5354" s="18">
        <v>-136.84</v>
      </c>
      <c r="I5354" s="19">
        <v>5.77</v>
      </c>
      <c r="J5354" s="19">
        <v>5.92</v>
      </c>
      <c r="K5354" s="19" t="s">
        <v>44</v>
      </c>
      <c r="L5354" s="19" t="s">
        <v>236</v>
      </c>
      <c r="M5354" s="15" t="s">
        <v>2175</v>
      </c>
      <c r="N5354" s="15" t="s">
        <v>54</v>
      </c>
      <c r="O5354" s="15" t="s">
        <v>55</v>
      </c>
      <c r="P5354" s="20" t="s">
        <v>1076</v>
      </c>
      <c r="Q5354" s="15" t="s">
        <v>57</v>
      </c>
      <c r="R5354" s="4"/>
      <c r="S5354" s="4"/>
    </row>
    <row r="5355" spans="1:19" ht="21" customHeight="1" x14ac:dyDescent="0.25">
      <c r="A5355" s="14">
        <f>DATE(2012,12,31)-797</f>
        <v>40477</v>
      </c>
      <c r="B5355" s="15" t="s">
        <v>716</v>
      </c>
      <c r="C5355" s="15" t="s">
        <v>43</v>
      </c>
      <c r="D5355" s="16">
        <v>31</v>
      </c>
      <c r="E5355" s="17">
        <v>187.18</v>
      </c>
      <c r="F5355" s="16">
        <v>0.09</v>
      </c>
      <c r="G5355" s="15" t="s">
        <v>101</v>
      </c>
      <c r="H5355" s="18">
        <v>28.91</v>
      </c>
      <c r="I5355" s="19">
        <v>5.98</v>
      </c>
      <c r="J5355" s="19">
        <v>1.67</v>
      </c>
      <c r="K5355" s="19" t="s">
        <v>44</v>
      </c>
      <c r="L5355" s="19" t="s">
        <v>52</v>
      </c>
      <c r="M5355" s="15" t="s">
        <v>2240</v>
      </c>
      <c r="N5355" s="15" t="s">
        <v>36</v>
      </c>
      <c r="O5355" s="15" t="s">
        <v>77</v>
      </c>
      <c r="P5355" s="20" t="s">
        <v>2152</v>
      </c>
      <c r="Q5355" s="15" t="s">
        <v>79</v>
      </c>
      <c r="R5355" s="4"/>
      <c r="S5355" s="4"/>
    </row>
    <row r="5356" spans="1:19" ht="21" customHeight="1" x14ac:dyDescent="0.25">
      <c r="A5356" s="14">
        <f>DATE(2012,12,31)-797</f>
        <v>40477</v>
      </c>
      <c r="B5356" s="15" t="s">
        <v>716</v>
      </c>
      <c r="C5356" s="15" t="s">
        <v>43</v>
      </c>
      <c r="D5356" s="16">
        <v>36</v>
      </c>
      <c r="E5356" s="17">
        <v>104.21</v>
      </c>
      <c r="F5356" s="16">
        <v>0.04</v>
      </c>
      <c r="G5356" s="15" t="s">
        <v>32</v>
      </c>
      <c r="H5356" s="18">
        <v>15.19</v>
      </c>
      <c r="I5356" s="19">
        <v>2.88</v>
      </c>
      <c r="J5356" s="19">
        <v>0.7</v>
      </c>
      <c r="K5356" s="19" t="s">
        <v>44</v>
      </c>
      <c r="L5356" s="19" t="s">
        <v>52</v>
      </c>
      <c r="M5356" s="15" t="s">
        <v>2240</v>
      </c>
      <c r="N5356" s="15" t="s">
        <v>36</v>
      </c>
      <c r="O5356" s="15" t="s">
        <v>77</v>
      </c>
      <c r="P5356" s="20" t="s">
        <v>95</v>
      </c>
      <c r="Q5356" s="15" t="s">
        <v>79</v>
      </c>
      <c r="R5356" s="4"/>
      <c r="S5356" s="4"/>
    </row>
    <row r="5357" spans="1:19" ht="21" customHeight="1" x14ac:dyDescent="0.25">
      <c r="A5357" s="14">
        <f>DATE(2012,12,31)-797</f>
        <v>40477</v>
      </c>
      <c r="B5357" s="15" t="s">
        <v>716</v>
      </c>
      <c r="C5357" s="15" t="s">
        <v>43</v>
      </c>
      <c r="D5357" s="16">
        <v>14</v>
      </c>
      <c r="E5357" s="17">
        <v>1331.2240000000002</v>
      </c>
      <c r="F5357" s="16">
        <v>0.04</v>
      </c>
      <c r="G5357" s="15" t="s">
        <v>32</v>
      </c>
      <c r="H5357" s="18">
        <v>-401.42</v>
      </c>
      <c r="I5357" s="19">
        <v>111.96</v>
      </c>
      <c r="J5357" s="19">
        <v>69</v>
      </c>
      <c r="K5357" s="19" t="s">
        <v>44</v>
      </c>
      <c r="L5357" s="19" t="s">
        <v>52</v>
      </c>
      <c r="M5357" s="15" t="s">
        <v>2240</v>
      </c>
      <c r="N5357" s="15" t="s">
        <v>54</v>
      </c>
      <c r="O5357" s="15" t="s">
        <v>61</v>
      </c>
      <c r="P5357" s="20" t="s">
        <v>1736</v>
      </c>
      <c r="Q5357" s="15" t="s">
        <v>39</v>
      </c>
      <c r="R5357" s="4"/>
      <c r="S5357" s="4"/>
    </row>
    <row r="5358" spans="1:19" ht="21" customHeight="1" x14ac:dyDescent="0.25">
      <c r="A5358" s="14">
        <f>DATE(2012,12,31)-320</f>
        <v>40954</v>
      </c>
      <c r="B5358" s="15" t="s">
        <v>1207</v>
      </c>
      <c r="C5358" s="15" t="s">
        <v>31</v>
      </c>
      <c r="D5358" s="16">
        <v>13</v>
      </c>
      <c r="E5358" s="17">
        <v>542.6</v>
      </c>
      <c r="F5358" s="16">
        <v>0.03</v>
      </c>
      <c r="G5358" s="15" t="s">
        <v>32</v>
      </c>
      <c r="H5358" s="18">
        <v>118.4</v>
      </c>
      <c r="I5358" s="19">
        <v>40.98</v>
      </c>
      <c r="J5358" s="19">
        <v>1.99</v>
      </c>
      <c r="K5358" s="19" t="s">
        <v>44</v>
      </c>
      <c r="L5358" s="19" t="s">
        <v>52</v>
      </c>
      <c r="M5358" s="15" t="s">
        <v>2240</v>
      </c>
      <c r="N5358" s="15" t="s">
        <v>64</v>
      </c>
      <c r="O5358" s="15" t="s">
        <v>72</v>
      </c>
      <c r="P5358" s="20" t="s">
        <v>507</v>
      </c>
      <c r="Q5358" s="15" t="s">
        <v>49</v>
      </c>
      <c r="R5358" s="4"/>
      <c r="S5358" s="4"/>
    </row>
    <row r="5359" spans="1:19" ht="21" customHeight="1" x14ac:dyDescent="0.25">
      <c r="A5359" s="14">
        <f>DATE(2012,12,31)-1204</f>
        <v>40070</v>
      </c>
      <c r="B5359" s="15" t="s">
        <v>1701</v>
      </c>
      <c r="C5359" s="15" t="s">
        <v>43</v>
      </c>
      <c r="D5359" s="16">
        <v>26</v>
      </c>
      <c r="E5359" s="17">
        <v>125.01</v>
      </c>
      <c r="F5359" s="16">
        <v>0.08</v>
      </c>
      <c r="G5359" s="15" t="s">
        <v>32</v>
      </c>
      <c r="H5359" s="18">
        <v>-56.35</v>
      </c>
      <c r="I5359" s="19">
        <v>4.9800000000000004</v>
      </c>
      <c r="J5359" s="19">
        <v>4.7</v>
      </c>
      <c r="K5359" s="19" t="s">
        <v>44</v>
      </c>
      <c r="L5359" s="19" t="s">
        <v>236</v>
      </c>
      <c r="M5359" s="15" t="s">
        <v>2246</v>
      </c>
      <c r="N5359" s="15" t="s">
        <v>36</v>
      </c>
      <c r="O5359" s="15" t="s">
        <v>117</v>
      </c>
      <c r="P5359" s="20" t="s">
        <v>1563</v>
      </c>
      <c r="Q5359" s="15" t="s">
        <v>83</v>
      </c>
      <c r="R5359" s="4"/>
      <c r="S5359" s="4"/>
    </row>
    <row r="5360" spans="1:19" ht="21" customHeight="1" x14ac:dyDescent="0.25">
      <c r="A5360" s="14">
        <f>DATE(2012,12,31)-1382</f>
        <v>39892</v>
      </c>
      <c r="B5360" s="15" t="s">
        <v>2159</v>
      </c>
      <c r="C5360" s="15" t="s">
        <v>43</v>
      </c>
      <c r="D5360" s="16">
        <v>11</v>
      </c>
      <c r="E5360" s="17">
        <v>100.36</v>
      </c>
      <c r="F5360" s="16">
        <v>0.02</v>
      </c>
      <c r="G5360" s="15" t="s">
        <v>32</v>
      </c>
      <c r="H5360" s="18">
        <v>18.41</v>
      </c>
      <c r="I5360" s="19">
        <v>9.11</v>
      </c>
      <c r="J5360" s="19">
        <v>2.15</v>
      </c>
      <c r="K5360" s="19" t="s">
        <v>44</v>
      </c>
      <c r="L5360" s="19" t="s">
        <v>52</v>
      </c>
      <c r="M5360" s="15" t="s">
        <v>2240</v>
      </c>
      <c r="N5360" s="15" t="s">
        <v>36</v>
      </c>
      <c r="O5360" s="15" t="s">
        <v>117</v>
      </c>
      <c r="P5360" s="20" t="s">
        <v>1374</v>
      </c>
      <c r="Q5360" s="15" t="s">
        <v>79</v>
      </c>
      <c r="R5360" s="4"/>
      <c r="S5360" s="4"/>
    </row>
    <row r="5361" spans="1:19" ht="21" customHeight="1" x14ac:dyDescent="0.25">
      <c r="A5361" s="14">
        <f>DATE(2012,12,31)-1382</f>
        <v>39892</v>
      </c>
      <c r="B5361" s="15" t="s">
        <v>2159</v>
      </c>
      <c r="C5361" s="15" t="s">
        <v>43</v>
      </c>
      <c r="D5361" s="16">
        <v>33</v>
      </c>
      <c r="E5361" s="17">
        <v>404.91</v>
      </c>
      <c r="F5361" s="16">
        <v>0.06</v>
      </c>
      <c r="G5361" s="15" t="s">
        <v>32</v>
      </c>
      <c r="H5361" s="18">
        <v>65.63</v>
      </c>
      <c r="I5361" s="19">
        <v>12.64</v>
      </c>
      <c r="J5361" s="19">
        <v>4.9800000000000004</v>
      </c>
      <c r="K5361" s="19" t="s">
        <v>44</v>
      </c>
      <c r="L5361" s="19" t="s">
        <v>52</v>
      </c>
      <c r="M5361" s="15" t="s">
        <v>2240</v>
      </c>
      <c r="N5361" s="15" t="s">
        <v>54</v>
      </c>
      <c r="O5361" s="15" t="s">
        <v>55</v>
      </c>
      <c r="P5361" s="20" t="s">
        <v>166</v>
      </c>
      <c r="Q5361" s="15" t="s">
        <v>49</v>
      </c>
      <c r="R5361" s="4"/>
      <c r="S5361" s="4"/>
    </row>
    <row r="5362" spans="1:19" ht="21" customHeight="1" x14ac:dyDescent="0.25">
      <c r="A5362" s="14">
        <f>DATE(2012,12,31)-1409</f>
        <v>39865</v>
      </c>
      <c r="B5362" s="15" t="s">
        <v>836</v>
      </c>
      <c r="C5362" s="15" t="s">
        <v>85</v>
      </c>
      <c r="D5362" s="16">
        <v>18</v>
      </c>
      <c r="E5362" s="17">
        <v>901.81</v>
      </c>
      <c r="F5362" s="16">
        <v>0.02</v>
      </c>
      <c r="G5362" s="15" t="s">
        <v>32</v>
      </c>
      <c r="H5362" s="18">
        <v>-76.89</v>
      </c>
      <c r="I5362" s="19">
        <v>49.99</v>
      </c>
      <c r="J5362" s="19">
        <v>19.989999999999998</v>
      </c>
      <c r="K5362" s="19" t="s">
        <v>44</v>
      </c>
      <c r="L5362" s="19" t="s">
        <v>236</v>
      </c>
      <c r="M5362" s="15" t="s">
        <v>2246</v>
      </c>
      <c r="N5362" s="15" t="s">
        <v>64</v>
      </c>
      <c r="O5362" s="15" t="s">
        <v>72</v>
      </c>
      <c r="P5362" s="20" t="s">
        <v>1565</v>
      </c>
      <c r="Q5362" s="15" t="s">
        <v>83</v>
      </c>
      <c r="R5362" s="4"/>
      <c r="S5362" s="4"/>
    </row>
    <row r="5363" spans="1:19" ht="21" customHeight="1" x14ac:dyDescent="0.25">
      <c r="A5363" s="14">
        <f>DATE(2012,12,31)-986</f>
        <v>40288</v>
      </c>
      <c r="B5363" s="15" t="s">
        <v>1470</v>
      </c>
      <c r="C5363" s="15" t="s">
        <v>31</v>
      </c>
      <c r="D5363" s="16">
        <v>28</v>
      </c>
      <c r="E5363" s="17">
        <v>481.27</v>
      </c>
      <c r="F5363" s="16">
        <v>0.01</v>
      </c>
      <c r="G5363" s="15" t="s">
        <v>32</v>
      </c>
      <c r="H5363" s="18">
        <v>-128.88999999999999</v>
      </c>
      <c r="I5363" s="19">
        <v>15.7</v>
      </c>
      <c r="J5363" s="19">
        <v>11.25</v>
      </c>
      <c r="K5363" s="19" t="s">
        <v>44</v>
      </c>
      <c r="L5363" s="19" t="s">
        <v>52</v>
      </c>
      <c r="M5363" s="15" t="s">
        <v>2240</v>
      </c>
      <c r="N5363" s="15" t="s">
        <v>36</v>
      </c>
      <c r="O5363" s="15" t="s">
        <v>37</v>
      </c>
      <c r="P5363" s="20" t="s">
        <v>242</v>
      </c>
      <c r="Q5363" s="15" t="s">
        <v>83</v>
      </c>
      <c r="R5363" s="4"/>
      <c r="S5363" s="4"/>
    </row>
    <row r="5364" spans="1:19" ht="21" customHeight="1" x14ac:dyDescent="0.25">
      <c r="A5364" s="14">
        <f>DATE(2012,12,31)-623</f>
        <v>40651</v>
      </c>
      <c r="B5364" s="15" t="s">
        <v>595</v>
      </c>
      <c r="C5364" s="15" t="s">
        <v>43</v>
      </c>
      <c r="D5364" s="16">
        <v>7</v>
      </c>
      <c r="E5364" s="17">
        <v>138.91</v>
      </c>
      <c r="F5364" s="16">
        <v>0.09</v>
      </c>
      <c r="G5364" s="15" t="s">
        <v>32</v>
      </c>
      <c r="H5364" s="18">
        <v>-64.11</v>
      </c>
      <c r="I5364" s="19">
        <v>19.98</v>
      </c>
      <c r="J5364" s="19">
        <v>4</v>
      </c>
      <c r="K5364" s="19" t="s">
        <v>44</v>
      </c>
      <c r="L5364" s="19" t="s">
        <v>236</v>
      </c>
      <c r="M5364" s="15" t="s">
        <v>2246</v>
      </c>
      <c r="N5364" s="15" t="s">
        <v>64</v>
      </c>
      <c r="O5364" s="15" t="s">
        <v>72</v>
      </c>
      <c r="P5364" s="20" t="s">
        <v>805</v>
      </c>
      <c r="Q5364" s="15" t="s">
        <v>83</v>
      </c>
      <c r="R5364" s="4"/>
      <c r="S5364" s="4"/>
    </row>
    <row r="5365" spans="1:19" ht="21" customHeight="1" x14ac:dyDescent="0.25">
      <c r="A5365" s="14">
        <f>DATE(2012,12,31)-1206</f>
        <v>40068</v>
      </c>
      <c r="B5365" s="15" t="s">
        <v>1926</v>
      </c>
      <c r="C5365" s="15" t="s">
        <v>43</v>
      </c>
      <c r="D5365" s="16">
        <v>33</v>
      </c>
      <c r="E5365" s="17">
        <v>60.92</v>
      </c>
      <c r="F5365" s="16">
        <v>7.0000000000000007E-2</v>
      </c>
      <c r="G5365" s="15" t="s">
        <v>32</v>
      </c>
      <c r="H5365" s="18">
        <v>-17.204000000000001</v>
      </c>
      <c r="I5365" s="19">
        <v>1.88</v>
      </c>
      <c r="J5365" s="19">
        <v>1.49</v>
      </c>
      <c r="K5365" s="19" t="s">
        <v>44</v>
      </c>
      <c r="L5365" s="19" t="s">
        <v>52</v>
      </c>
      <c r="M5365" s="15" t="s">
        <v>2240</v>
      </c>
      <c r="N5365" s="15" t="s">
        <v>36</v>
      </c>
      <c r="O5365" s="15" t="s">
        <v>170</v>
      </c>
      <c r="P5365" s="20" t="s">
        <v>1353</v>
      </c>
      <c r="Q5365" s="15" t="s">
        <v>83</v>
      </c>
      <c r="R5365" s="4"/>
      <c r="S5365" s="4"/>
    </row>
    <row r="5366" spans="1:19" ht="21" customHeight="1" x14ac:dyDescent="0.25">
      <c r="A5366" s="14">
        <f>DATE(2012,12,31)-1206</f>
        <v>40068</v>
      </c>
      <c r="B5366" s="15" t="s">
        <v>1926</v>
      </c>
      <c r="C5366" s="15" t="s">
        <v>43</v>
      </c>
      <c r="D5366" s="16">
        <v>8</v>
      </c>
      <c r="E5366" s="17">
        <v>387.17</v>
      </c>
      <c r="F5366" s="16">
        <v>0.01</v>
      </c>
      <c r="G5366" s="15" t="s">
        <v>32</v>
      </c>
      <c r="H5366" s="18">
        <v>190.6</v>
      </c>
      <c r="I5366" s="19">
        <v>45.98</v>
      </c>
      <c r="J5366" s="19">
        <v>4.8</v>
      </c>
      <c r="K5366" s="19" t="s">
        <v>44</v>
      </c>
      <c r="L5366" s="19" t="s">
        <v>52</v>
      </c>
      <c r="M5366" s="15" t="s">
        <v>2240</v>
      </c>
      <c r="N5366" s="15" t="s">
        <v>54</v>
      </c>
      <c r="O5366" s="15" t="s">
        <v>55</v>
      </c>
      <c r="P5366" s="20" t="s">
        <v>1296</v>
      </c>
      <c r="Q5366" s="15" t="s">
        <v>79</v>
      </c>
      <c r="R5366" s="4"/>
      <c r="S5366" s="4"/>
    </row>
    <row r="5367" spans="1:19" ht="21" customHeight="1" x14ac:dyDescent="0.25">
      <c r="A5367" s="14">
        <f>DATE(2012,12,31)-390</f>
        <v>40884</v>
      </c>
      <c r="B5367" s="15" t="s">
        <v>311</v>
      </c>
      <c r="C5367" s="15" t="s">
        <v>31</v>
      </c>
      <c r="D5367" s="16">
        <v>41</v>
      </c>
      <c r="E5367" s="17">
        <v>782.05</v>
      </c>
      <c r="F5367" s="16">
        <v>0.08</v>
      </c>
      <c r="G5367" s="15" t="s">
        <v>32</v>
      </c>
      <c r="H5367" s="18">
        <v>-253.74</v>
      </c>
      <c r="I5367" s="19">
        <v>19.940000000000001</v>
      </c>
      <c r="J5367" s="19">
        <v>14.87</v>
      </c>
      <c r="K5367" s="19" t="s">
        <v>44</v>
      </c>
      <c r="L5367" s="19" t="s">
        <v>52</v>
      </c>
      <c r="M5367" s="15" t="s">
        <v>2240</v>
      </c>
      <c r="N5367" s="15" t="s">
        <v>54</v>
      </c>
      <c r="O5367" s="15" t="s">
        <v>55</v>
      </c>
      <c r="P5367" s="20" t="s">
        <v>2064</v>
      </c>
      <c r="Q5367" s="15" t="s">
        <v>39</v>
      </c>
      <c r="R5367" s="4"/>
      <c r="S5367" s="4"/>
    </row>
    <row r="5368" spans="1:19" ht="21" customHeight="1" x14ac:dyDescent="0.25">
      <c r="A5368" s="14">
        <f>DATE(2012,12,31)-390</f>
        <v>40884</v>
      </c>
      <c r="B5368" s="15" t="s">
        <v>311</v>
      </c>
      <c r="C5368" s="15" t="s">
        <v>31</v>
      </c>
      <c r="D5368" s="16">
        <v>45</v>
      </c>
      <c r="E5368" s="17">
        <v>341.39</v>
      </c>
      <c r="F5368" s="16">
        <v>0.03</v>
      </c>
      <c r="G5368" s="15" t="s">
        <v>32</v>
      </c>
      <c r="H5368" s="18">
        <v>-82.9495</v>
      </c>
      <c r="I5368" s="19">
        <v>7.68</v>
      </c>
      <c r="J5368" s="19">
        <v>6.16</v>
      </c>
      <c r="K5368" s="19" t="s">
        <v>44</v>
      </c>
      <c r="L5368" s="19" t="s">
        <v>45</v>
      </c>
      <c r="M5368" s="15" t="s">
        <v>2236</v>
      </c>
      <c r="N5368" s="15" t="s">
        <v>36</v>
      </c>
      <c r="O5368" s="15" t="s">
        <v>170</v>
      </c>
      <c r="P5368" s="20" t="s">
        <v>1201</v>
      </c>
      <c r="Q5368" s="15" t="s">
        <v>83</v>
      </c>
      <c r="R5368" s="4"/>
      <c r="S5368" s="4"/>
    </row>
    <row r="5369" spans="1:19" ht="21" customHeight="1" x14ac:dyDescent="0.25">
      <c r="A5369" s="14">
        <f>DATE(2012,12,31)-869</f>
        <v>40405</v>
      </c>
      <c r="B5369" s="15" t="s">
        <v>1166</v>
      </c>
      <c r="C5369" s="15" t="s">
        <v>51</v>
      </c>
      <c r="D5369" s="16">
        <v>39</v>
      </c>
      <c r="E5369" s="17">
        <v>231.08</v>
      </c>
      <c r="F5369" s="16">
        <v>0.01</v>
      </c>
      <c r="G5369" s="15" t="s">
        <v>101</v>
      </c>
      <c r="H5369" s="18">
        <v>-79.08</v>
      </c>
      <c r="I5369" s="19">
        <v>5.28</v>
      </c>
      <c r="J5369" s="19">
        <v>5.57</v>
      </c>
      <c r="K5369" s="19" t="s">
        <v>44</v>
      </c>
      <c r="L5369" s="19" t="s">
        <v>52</v>
      </c>
      <c r="M5369" s="15" t="s">
        <v>2240</v>
      </c>
      <c r="N5369" s="15" t="s">
        <v>36</v>
      </c>
      <c r="O5369" s="15" t="s">
        <v>117</v>
      </c>
      <c r="P5369" s="20" t="s">
        <v>417</v>
      </c>
      <c r="Q5369" s="15" t="s">
        <v>83</v>
      </c>
      <c r="R5369" s="4"/>
      <c r="S5369" s="4"/>
    </row>
    <row r="5370" spans="1:19" ht="21" customHeight="1" x14ac:dyDescent="0.25">
      <c r="A5370" s="14">
        <f>DATE(2012,12,31)-869</f>
        <v>40405</v>
      </c>
      <c r="B5370" s="15" t="s">
        <v>1166</v>
      </c>
      <c r="C5370" s="15" t="s">
        <v>51</v>
      </c>
      <c r="D5370" s="16">
        <v>48</v>
      </c>
      <c r="E5370" s="17">
        <v>428.36</v>
      </c>
      <c r="F5370" s="16">
        <v>0.06</v>
      </c>
      <c r="G5370" s="15" t="s">
        <v>101</v>
      </c>
      <c r="H5370" s="18">
        <v>74.75</v>
      </c>
      <c r="I5370" s="19">
        <v>9.11</v>
      </c>
      <c r="J5370" s="19">
        <v>2.25</v>
      </c>
      <c r="K5370" s="19" t="s">
        <v>44</v>
      </c>
      <c r="L5370" s="19" t="s">
        <v>52</v>
      </c>
      <c r="M5370" s="15" t="s">
        <v>2240</v>
      </c>
      <c r="N5370" s="15" t="s">
        <v>36</v>
      </c>
      <c r="O5370" s="15" t="s">
        <v>77</v>
      </c>
      <c r="P5370" s="20" t="s">
        <v>78</v>
      </c>
      <c r="Q5370" s="15" t="s">
        <v>79</v>
      </c>
      <c r="R5370" s="4"/>
      <c r="S5370" s="4"/>
    </row>
    <row r="5371" spans="1:19" ht="21" customHeight="1" x14ac:dyDescent="0.25">
      <c r="A5371" s="14">
        <f>DATE(2012,12,31)-124</f>
        <v>41150</v>
      </c>
      <c r="B5371" s="15" t="s">
        <v>313</v>
      </c>
      <c r="C5371" s="15" t="s">
        <v>85</v>
      </c>
      <c r="D5371" s="16">
        <v>32</v>
      </c>
      <c r="E5371" s="17">
        <v>153.97999999999999</v>
      </c>
      <c r="F5371" s="16">
        <v>0.02</v>
      </c>
      <c r="G5371" s="15" t="s">
        <v>32</v>
      </c>
      <c r="H5371" s="18">
        <v>71.599999999999994</v>
      </c>
      <c r="I5371" s="19">
        <v>4.91</v>
      </c>
      <c r="J5371" s="19">
        <v>0.5</v>
      </c>
      <c r="K5371" s="19" t="s">
        <v>44</v>
      </c>
      <c r="L5371" s="19" t="s">
        <v>52</v>
      </c>
      <c r="M5371" s="15" t="s">
        <v>2240</v>
      </c>
      <c r="N5371" s="15" t="s">
        <v>36</v>
      </c>
      <c r="O5371" s="15" t="s">
        <v>114</v>
      </c>
      <c r="P5371" s="20" t="s">
        <v>400</v>
      </c>
      <c r="Q5371" s="15" t="s">
        <v>83</v>
      </c>
      <c r="R5371" s="4"/>
      <c r="S5371" s="4"/>
    </row>
    <row r="5372" spans="1:19" ht="21" customHeight="1" x14ac:dyDescent="0.25">
      <c r="A5372" s="14">
        <f>DATE(2012,12,31)-223</f>
        <v>41051</v>
      </c>
      <c r="B5372" s="15" t="s">
        <v>1066</v>
      </c>
      <c r="C5372" s="15" t="s">
        <v>51</v>
      </c>
      <c r="D5372" s="16">
        <v>45</v>
      </c>
      <c r="E5372" s="17">
        <v>2848.83</v>
      </c>
      <c r="F5372" s="16">
        <v>7.0000000000000007E-2</v>
      </c>
      <c r="G5372" s="15" t="s">
        <v>32</v>
      </c>
      <c r="H5372" s="18">
        <v>-1182.8699999999999</v>
      </c>
      <c r="I5372" s="19">
        <v>64.650000000000006</v>
      </c>
      <c r="J5372" s="19">
        <v>35</v>
      </c>
      <c r="K5372" s="19" t="s">
        <v>44</v>
      </c>
      <c r="L5372" s="19" t="s">
        <v>52</v>
      </c>
      <c r="M5372" s="15" t="s">
        <v>2240</v>
      </c>
      <c r="N5372" s="15" t="s">
        <v>36</v>
      </c>
      <c r="O5372" s="15" t="s">
        <v>37</v>
      </c>
      <c r="P5372" s="20" t="s">
        <v>1245</v>
      </c>
      <c r="Q5372" s="15" t="s">
        <v>39</v>
      </c>
      <c r="R5372" s="4"/>
      <c r="S5372" s="4"/>
    </row>
    <row r="5373" spans="1:19" ht="21" customHeight="1" x14ac:dyDescent="0.25">
      <c r="A5373" s="14">
        <f>DATE(2012,12,31)-750</f>
        <v>40524</v>
      </c>
      <c r="B5373" s="15" t="s">
        <v>1687</v>
      </c>
      <c r="C5373" s="15" t="s">
        <v>31</v>
      </c>
      <c r="D5373" s="16">
        <v>10</v>
      </c>
      <c r="E5373" s="17">
        <v>52.76</v>
      </c>
      <c r="F5373" s="16">
        <v>0.09</v>
      </c>
      <c r="G5373" s="15" t="s">
        <v>32</v>
      </c>
      <c r="H5373" s="18">
        <v>-49.53</v>
      </c>
      <c r="I5373" s="19">
        <v>4.9800000000000004</v>
      </c>
      <c r="J5373" s="19">
        <v>7.44</v>
      </c>
      <c r="K5373" s="19" t="s">
        <v>44</v>
      </c>
      <c r="L5373" s="19" t="s">
        <v>120</v>
      </c>
      <c r="M5373" s="15" t="s">
        <v>2025</v>
      </c>
      <c r="N5373" s="15" t="s">
        <v>36</v>
      </c>
      <c r="O5373" s="15" t="s">
        <v>117</v>
      </c>
      <c r="P5373" s="20" t="s">
        <v>266</v>
      </c>
      <c r="Q5373" s="15" t="s">
        <v>83</v>
      </c>
      <c r="R5373" s="4"/>
      <c r="S5373" s="4"/>
    </row>
    <row r="5374" spans="1:19" ht="21" customHeight="1" x14ac:dyDescent="0.25">
      <c r="A5374" s="14">
        <f>DATE(2012,12,31)-637</f>
        <v>40637</v>
      </c>
      <c r="B5374" s="15" t="s">
        <v>1351</v>
      </c>
      <c r="C5374" s="15" t="s">
        <v>85</v>
      </c>
      <c r="D5374" s="16">
        <v>24</v>
      </c>
      <c r="E5374" s="17">
        <v>123.75</v>
      </c>
      <c r="F5374" s="16">
        <v>0.09</v>
      </c>
      <c r="G5374" s="15" t="s">
        <v>101</v>
      </c>
      <c r="H5374" s="18">
        <v>55.42</v>
      </c>
      <c r="I5374" s="19">
        <v>4.9800000000000004</v>
      </c>
      <c r="J5374" s="19">
        <v>0.49</v>
      </c>
      <c r="K5374" s="19" t="s">
        <v>33</v>
      </c>
      <c r="L5374" s="19" t="s">
        <v>59</v>
      </c>
      <c r="M5374" s="15" t="s">
        <v>2227</v>
      </c>
      <c r="N5374" s="15" t="s">
        <v>36</v>
      </c>
      <c r="O5374" s="15" t="s">
        <v>114</v>
      </c>
      <c r="P5374" s="20" t="s">
        <v>304</v>
      </c>
      <c r="Q5374" s="15" t="s">
        <v>83</v>
      </c>
      <c r="R5374" s="4"/>
      <c r="S5374" s="4"/>
    </row>
    <row r="5375" spans="1:19" ht="21" customHeight="1" x14ac:dyDescent="0.25">
      <c r="A5375" s="14">
        <f>DATE(2012,12,31)-637</f>
        <v>40637</v>
      </c>
      <c r="B5375" s="15" t="s">
        <v>1351</v>
      </c>
      <c r="C5375" s="15" t="s">
        <v>85</v>
      </c>
      <c r="D5375" s="16">
        <v>46</v>
      </c>
      <c r="E5375" s="17">
        <v>3533.97</v>
      </c>
      <c r="F5375" s="16">
        <v>7.0000000000000007E-2</v>
      </c>
      <c r="G5375" s="15" t="s">
        <v>32</v>
      </c>
      <c r="H5375" s="18">
        <v>-1329.81</v>
      </c>
      <c r="I5375" s="19">
        <v>80.98</v>
      </c>
      <c r="J5375" s="19">
        <v>35</v>
      </c>
      <c r="K5375" s="19" t="s">
        <v>33</v>
      </c>
      <c r="L5375" s="19" t="s">
        <v>34</v>
      </c>
      <c r="M5375" s="15" t="s">
        <v>2043</v>
      </c>
      <c r="N5375" s="15" t="s">
        <v>36</v>
      </c>
      <c r="O5375" s="15" t="s">
        <v>37</v>
      </c>
      <c r="P5375" s="20" t="s">
        <v>1806</v>
      </c>
      <c r="Q5375" s="15" t="s">
        <v>39</v>
      </c>
      <c r="R5375" s="4"/>
      <c r="S5375" s="4"/>
    </row>
    <row r="5376" spans="1:19" ht="21" customHeight="1" x14ac:dyDescent="0.25">
      <c r="A5376" s="14">
        <f>DATE(2012,12,31)-637</f>
        <v>40637</v>
      </c>
      <c r="B5376" s="15" t="s">
        <v>1351</v>
      </c>
      <c r="C5376" s="15" t="s">
        <v>85</v>
      </c>
      <c r="D5376" s="16">
        <v>38</v>
      </c>
      <c r="E5376" s="17">
        <v>3821.4045000000001</v>
      </c>
      <c r="F5376" s="16">
        <v>0</v>
      </c>
      <c r="G5376" s="15" t="s">
        <v>32</v>
      </c>
      <c r="H5376" s="18">
        <v>1256.9670000000001</v>
      </c>
      <c r="I5376" s="19">
        <v>115.99</v>
      </c>
      <c r="J5376" s="19">
        <v>2.5</v>
      </c>
      <c r="K5376" s="19" t="s">
        <v>33</v>
      </c>
      <c r="L5376" s="19" t="s">
        <v>145</v>
      </c>
      <c r="M5376" s="15" t="s">
        <v>2140</v>
      </c>
      <c r="N5376" s="15" t="s">
        <v>64</v>
      </c>
      <c r="O5376" s="15" t="s">
        <v>65</v>
      </c>
      <c r="P5376" s="20" t="s">
        <v>816</v>
      </c>
      <c r="Q5376" s="15" t="s">
        <v>83</v>
      </c>
      <c r="R5376" s="4"/>
      <c r="S5376" s="4"/>
    </row>
    <row r="5377" spans="1:19" ht="21" customHeight="1" x14ac:dyDescent="0.25">
      <c r="A5377" s="14">
        <f>DATE(2012,12,31)-1094</f>
        <v>40180</v>
      </c>
      <c r="B5377" s="15" t="s">
        <v>1311</v>
      </c>
      <c r="C5377" s="15" t="s">
        <v>85</v>
      </c>
      <c r="D5377" s="16">
        <v>42</v>
      </c>
      <c r="E5377" s="17">
        <v>756.72949999999992</v>
      </c>
      <c r="F5377" s="16">
        <v>7.0000000000000007E-2</v>
      </c>
      <c r="G5377" s="15" t="s">
        <v>32</v>
      </c>
      <c r="H5377" s="18">
        <v>64.782000000000011</v>
      </c>
      <c r="I5377" s="19">
        <v>20.99</v>
      </c>
      <c r="J5377" s="19">
        <v>4.8099999999999996</v>
      </c>
      <c r="K5377" s="19" t="s">
        <v>69</v>
      </c>
      <c r="L5377" s="19" t="s">
        <v>215</v>
      </c>
      <c r="M5377" s="15" t="s">
        <v>2197</v>
      </c>
      <c r="N5377" s="15" t="s">
        <v>64</v>
      </c>
      <c r="O5377" s="15" t="s">
        <v>65</v>
      </c>
      <c r="P5377" s="20" t="s">
        <v>654</v>
      </c>
      <c r="Q5377" s="15" t="s">
        <v>57</v>
      </c>
      <c r="R5377" s="4"/>
      <c r="S5377" s="4"/>
    </row>
    <row r="5378" spans="1:19" ht="21" customHeight="1" x14ac:dyDescent="0.25">
      <c r="A5378" s="14">
        <f>DATE(2012,12,31)-1094</f>
        <v>40180</v>
      </c>
      <c r="B5378" s="15" t="s">
        <v>1311</v>
      </c>
      <c r="C5378" s="15" t="s">
        <v>85</v>
      </c>
      <c r="D5378" s="16">
        <v>38</v>
      </c>
      <c r="E5378" s="17">
        <v>3676.96</v>
      </c>
      <c r="F5378" s="16">
        <v>0.09</v>
      </c>
      <c r="G5378" s="15" t="s">
        <v>101</v>
      </c>
      <c r="H5378" s="18">
        <v>1233.45</v>
      </c>
      <c r="I5378" s="19">
        <v>104.85</v>
      </c>
      <c r="J5378" s="19">
        <v>19.989999999999998</v>
      </c>
      <c r="K5378" s="19" t="s">
        <v>44</v>
      </c>
      <c r="L5378" s="19" t="s">
        <v>120</v>
      </c>
      <c r="M5378" s="15" t="s">
        <v>2025</v>
      </c>
      <c r="N5378" s="15" t="s">
        <v>36</v>
      </c>
      <c r="O5378" s="15" t="s">
        <v>117</v>
      </c>
      <c r="P5378" s="20" t="s">
        <v>2139</v>
      </c>
      <c r="Q5378" s="15" t="s">
        <v>83</v>
      </c>
      <c r="R5378" s="4"/>
      <c r="S5378" s="4"/>
    </row>
    <row r="5379" spans="1:19" ht="21" customHeight="1" x14ac:dyDescent="0.25">
      <c r="A5379" s="14">
        <f>DATE(2012,12,31)-1108</f>
        <v>40166</v>
      </c>
      <c r="B5379" s="15" t="s">
        <v>576</v>
      </c>
      <c r="C5379" s="15" t="s">
        <v>51</v>
      </c>
      <c r="D5379" s="16">
        <v>42</v>
      </c>
      <c r="E5379" s="17">
        <v>1651.07</v>
      </c>
      <c r="F5379" s="16">
        <v>0.09</v>
      </c>
      <c r="G5379" s="15" t="s">
        <v>32</v>
      </c>
      <c r="H5379" s="18">
        <v>-100.49</v>
      </c>
      <c r="I5379" s="19">
        <v>40.98</v>
      </c>
      <c r="J5379" s="19">
        <v>6.5</v>
      </c>
      <c r="K5379" s="19" t="s">
        <v>44</v>
      </c>
      <c r="L5379" s="19" t="s">
        <v>89</v>
      </c>
      <c r="M5379" s="15" t="s">
        <v>1932</v>
      </c>
      <c r="N5379" s="15" t="s">
        <v>64</v>
      </c>
      <c r="O5379" s="15" t="s">
        <v>72</v>
      </c>
      <c r="P5379" s="20" t="s">
        <v>1369</v>
      </c>
      <c r="Q5379" s="15" t="s">
        <v>83</v>
      </c>
      <c r="R5379" s="4"/>
      <c r="S5379" s="4"/>
    </row>
    <row r="5380" spans="1:19" ht="21" customHeight="1" x14ac:dyDescent="0.25">
      <c r="A5380" s="14">
        <f>DATE(2012,12,31)-1108</f>
        <v>40166</v>
      </c>
      <c r="B5380" s="15" t="s">
        <v>576</v>
      </c>
      <c r="C5380" s="15" t="s">
        <v>51</v>
      </c>
      <c r="D5380" s="16">
        <v>4</v>
      </c>
      <c r="E5380" s="17">
        <v>41.53</v>
      </c>
      <c r="F5380" s="16">
        <v>0.04</v>
      </c>
      <c r="G5380" s="15" t="s">
        <v>32</v>
      </c>
      <c r="H5380" s="18">
        <v>-15.525</v>
      </c>
      <c r="I5380" s="19">
        <v>8.6</v>
      </c>
      <c r="J5380" s="19">
        <v>6.19</v>
      </c>
      <c r="K5380" s="19" t="s">
        <v>44</v>
      </c>
      <c r="L5380" s="19" t="s">
        <v>120</v>
      </c>
      <c r="M5380" s="15" t="s">
        <v>2025</v>
      </c>
      <c r="N5380" s="15" t="s">
        <v>36</v>
      </c>
      <c r="O5380" s="15" t="s">
        <v>170</v>
      </c>
      <c r="P5380" s="20" t="s">
        <v>413</v>
      </c>
      <c r="Q5380" s="15" t="s">
        <v>83</v>
      </c>
      <c r="R5380" s="4"/>
      <c r="S5380" s="4"/>
    </row>
    <row r="5381" spans="1:19" ht="21" customHeight="1" x14ac:dyDescent="0.25">
      <c r="A5381" s="14">
        <f>DATE(2012,12,31)-412</f>
        <v>40862</v>
      </c>
      <c r="B5381" s="15" t="s">
        <v>2128</v>
      </c>
      <c r="C5381" s="15" t="s">
        <v>85</v>
      </c>
      <c r="D5381" s="16">
        <v>39</v>
      </c>
      <c r="E5381" s="17">
        <v>71.040000000000006</v>
      </c>
      <c r="F5381" s="16">
        <v>7.0000000000000007E-2</v>
      </c>
      <c r="G5381" s="15" t="s">
        <v>32</v>
      </c>
      <c r="H5381" s="18">
        <v>-20.654</v>
      </c>
      <c r="I5381" s="19">
        <v>1.88</v>
      </c>
      <c r="J5381" s="19">
        <v>1.49</v>
      </c>
      <c r="K5381" s="19" t="s">
        <v>33</v>
      </c>
      <c r="L5381" s="19" t="s">
        <v>93</v>
      </c>
      <c r="M5381" s="15" t="s">
        <v>94</v>
      </c>
      <c r="N5381" s="15" t="s">
        <v>36</v>
      </c>
      <c r="O5381" s="15" t="s">
        <v>170</v>
      </c>
      <c r="P5381" s="20" t="s">
        <v>1353</v>
      </c>
      <c r="Q5381" s="15" t="s">
        <v>83</v>
      </c>
      <c r="R5381" s="4"/>
      <c r="S5381" s="4"/>
    </row>
    <row r="5382" spans="1:19" ht="21" customHeight="1" x14ac:dyDescent="0.25">
      <c r="A5382" s="14">
        <f>DATE(2012,12,31)-570</f>
        <v>40704</v>
      </c>
      <c r="B5382" s="15" t="s">
        <v>2247</v>
      </c>
      <c r="C5382" s="15" t="s">
        <v>51</v>
      </c>
      <c r="D5382" s="16">
        <v>9</v>
      </c>
      <c r="E5382" s="17">
        <v>1225.3699999999999</v>
      </c>
      <c r="F5382" s="16">
        <v>0.08</v>
      </c>
      <c r="G5382" s="15" t="s">
        <v>32</v>
      </c>
      <c r="H5382" s="18">
        <v>0.98000000000001819</v>
      </c>
      <c r="I5382" s="19">
        <v>140.81</v>
      </c>
      <c r="J5382" s="19">
        <v>24.49</v>
      </c>
      <c r="K5382" s="19" t="s">
        <v>33</v>
      </c>
      <c r="L5382" s="19" t="s">
        <v>93</v>
      </c>
      <c r="M5382" s="15" t="s">
        <v>94</v>
      </c>
      <c r="N5382" s="15" t="s">
        <v>54</v>
      </c>
      <c r="O5382" s="15" t="s">
        <v>252</v>
      </c>
      <c r="P5382" s="20" t="s">
        <v>1392</v>
      </c>
      <c r="Q5382" s="15" t="s">
        <v>39</v>
      </c>
      <c r="R5382" s="4"/>
      <c r="S5382" s="4"/>
    </row>
    <row r="5383" spans="1:19" ht="21" customHeight="1" x14ac:dyDescent="0.25">
      <c r="A5383" s="14">
        <f>DATE(2012,12,31)-570</f>
        <v>40704</v>
      </c>
      <c r="B5383" s="15" t="s">
        <v>2247</v>
      </c>
      <c r="C5383" s="15" t="s">
        <v>51</v>
      </c>
      <c r="D5383" s="16">
        <v>27</v>
      </c>
      <c r="E5383" s="17">
        <v>1199.57</v>
      </c>
      <c r="F5383" s="16">
        <v>0.06</v>
      </c>
      <c r="G5383" s="15" t="s">
        <v>32</v>
      </c>
      <c r="H5383" s="18">
        <v>23.7</v>
      </c>
      <c r="I5383" s="19">
        <v>43.57</v>
      </c>
      <c r="J5383" s="19">
        <v>16.36</v>
      </c>
      <c r="K5383" s="19" t="s">
        <v>97</v>
      </c>
      <c r="L5383" s="19" t="s">
        <v>195</v>
      </c>
      <c r="M5383" s="15" t="s">
        <v>2138</v>
      </c>
      <c r="N5383" s="15" t="s">
        <v>36</v>
      </c>
      <c r="O5383" s="15" t="s">
        <v>37</v>
      </c>
      <c r="P5383" s="20" t="s">
        <v>1371</v>
      </c>
      <c r="Q5383" s="15" t="s">
        <v>83</v>
      </c>
      <c r="R5383" s="4"/>
      <c r="S5383" s="4"/>
    </row>
    <row r="5384" spans="1:19" ht="21" customHeight="1" x14ac:dyDescent="0.25">
      <c r="A5384" s="14">
        <f>DATE(2012,12,31)-570</f>
        <v>40704</v>
      </c>
      <c r="B5384" s="15" t="s">
        <v>2247</v>
      </c>
      <c r="C5384" s="15" t="s">
        <v>51</v>
      </c>
      <c r="D5384" s="16">
        <v>10</v>
      </c>
      <c r="E5384" s="17">
        <v>484.21949999999993</v>
      </c>
      <c r="F5384" s="16">
        <v>0.02</v>
      </c>
      <c r="G5384" s="15" t="s">
        <v>101</v>
      </c>
      <c r="H5384" s="18">
        <v>-33.792000000000002</v>
      </c>
      <c r="I5384" s="19">
        <v>55.99</v>
      </c>
      <c r="J5384" s="19">
        <v>1.25</v>
      </c>
      <c r="K5384" s="19" t="s">
        <v>97</v>
      </c>
      <c r="L5384" s="19" t="s">
        <v>98</v>
      </c>
      <c r="M5384" s="15" t="s">
        <v>2217</v>
      </c>
      <c r="N5384" s="15" t="s">
        <v>64</v>
      </c>
      <c r="O5384" s="15" t="s">
        <v>65</v>
      </c>
      <c r="P5384" s="20" t="s">
        <v>1027</v>
      </c>
      <c r="Q5384" s="15" t="s">
        <v>49</v>
      </c>
      <c r="R5384" s="4"/>
      <c r="S5384" s="4"/>
    </row>
    <row r="5385" spans="1:19" ht="21" customHeight="1" x14ac:dyDescent="0.25">
      <c r="A5385" s="14">
        <f>DATE(2012,12,31)-246</f>
        <v>41028</v>
      </c>
      <c r="B5385" s="15" t="s">
        <v>1291</v>
      </c>
      <c r="C5385" s="15" t="s">
        <v>85</v>
      </c>
      <c r="D5385" s="16">
        <v>1</v>
      </c>
      <c r="E5385" s="17">
        <v>11.64</v>
      </c>
      <c r="F5385" s="16">
        <v>0.05</v>
      </c>
      <c r="G5385" s="15" t="s">
        <v>32</v>
      </c>
      <c r="H5385" s="18">
        <v>-10.73</v>
      </c>
      <c r="I5385" s="19">
        <v>7.59</v>
      </c>
      <c r="J5385" s="19">
        <v>4</v>
      </c>
      <c r="K5385" s="19" t="s">
        <v>97</v>
      </c>
      <c r="L5385" s="19" t="s">
        <v>283</v>
      </c>
      <c r="M5385" s="15" t="s">
        <v>2205</v>
      </c>
      <c r="N5385" s="15" t="s">
        <v>54</v>
      </c>
      <c r="O5385" s="15" t="s">
        <v>55</v>
      </c>
      <c r="P5385" s="20" t="s">
        <v>951</v>
      </c>
      <c r="Q5385" s="15" t="s">
        <v>79</v>
      </c>
      <c r="R5385" s="4"/>
      <c r="S5385" s="4"/>
    </row>
    <row r="5386" spans="1:19" ht="21" customHeight="1" x14ac:dyDescent="0.25">
      <c r="A5386" s="14">
        <f>DATE(2012,12,31)-650</f>
        <v>40624</v>
      </c>
      <c r="B5386" s="15" t="s">
        <v>1866</v>
      </c>
      <c r="C5386" s="15" t="s">
        <v>51</v>
      </c>
      <c r="D5386" s="16">
        <v>7</v>
      </c>
      <c r="E5386" s="17">
        <v>30.1</v>
      </c>
      <c r="F5386" s="16">
        <v>0.09</v>
      </c>
      <c r="G5386" s="15" t="s">
        <v>32</v>
      </c>
      <c r="H5386" s="18">
        <v>-28.313000000000002</v>
      </c>
      <c r="I5386" s="19">
        <v>3.58</v>
      </c>
      <c r="J5386" s="19">
        <v>5.47</v>
      </c>
      <c r="K5386" s="19" t="s">
        <v>124</v>
      </c>
      <c r="L5386" s="19" t="s">
        <v>160</v>
      </c>
      <c r="M5386" s="15" t="s">
        <v>2181</v>
      </c>
      <c r="N5386" s="15" t="s">
        <v>36</v>
      </c>
      <c r="O5386" s="15" t="s">
        <v>170</v>
      </c>
      <c r="P5386" s="20" t="s">
        <v>297</v>
      </c>
      <c r="Q5386" s="15" t="s">
        <v>83</v>
      </c>
      <c r="R5386" s="4"/>
      <c r="S5386" s="4"/>
    </row>
    <row r="5387" spans="1:19" ht="21" customHeight="1" x14ac:dyDescent="0.25">
      <c r="A5387" s="14">
        <f>DATE(2012,12,31)-611</f>
        <v>40663</v>
      </c>
      <c r="B5387" s="15" t="s">
        <v>2189</v>
      </c>
      <c r="C5387" s="15" t="s">
        <v>85</v>
      </c>
      <c r="D5387" s="16">
        <v>21</v>
      </c>
      <c r="E5387" s="17">
        <v>2561.6705000000002</v>
      </c>
      <c r="F5387" s="16">
        <v>0.08</v>
      </c>
      <c r="G5387" s="15" t="s">
        <v>32</v>
      </c>
      <c r="H5387" s="18">
        <v>88.766999999999996</v>
      </c>
      <c r="I5387" s="19">
        <v>155.99</v>
      </c>
      <c r="J5387" s="19">
        <v>8.08</v>
      </c>
      <c r="K5387" s="19" t="s">
        <v>124</v>
      </c>
      <c r="L5387" s="19" t="s">
        <v>493</v>
      </c>
      <c r="M5387" s="15" t="s">
        <v>2206</v>
      </c>
      <c r="N5387" s="15" t="s">
        <v>64</v>
      </c>
      <c r="O5387" s="15" t="s">
        <v>65</v>
      </c>
      <c r="P5387" s="20" t="s">
        <v>1934</v>
      </c>
      <c r="Q5387" s="15" t="s">
        <v>83</v>
      </c>
      <c r="R5387" s="4"/>
      <c r="S5387" s="4"/>
    </row>
    <row r="5388" spans="1:19" ht="21" customHeight="1" x14ac:dyDescent="0.25">
      <c r="A5388" s="14">
        <f>DATE(2012,12,31)-261</f>
        <v>41013</v>
      </c>
      <c r="B5388" s="15" t="s">
        <v>903</v>
      </c>
      <c r="C5388" s="15" t="s">
        <v>51</v>
      </c>
      <c r="D5388" s="16">
        <v>4</v>
      </c>
      <c r="E5388" s="17">
        <v>62.45</v>
      </c>
      <c r="F5388" s="16">
        <v>0.08</v>
      </c>
      <c r="G5388" s="15" t="s">
        <v>32</v>
      </c>
      <c r="H5388" s="18">
        <v>-141.76</v>
      </c>
      <c r="I5388" s="19">
        <v>3.48</v>
      </c>
      <c r="J5388" s="19">
        <v>49</v>
      </c>
      <c r="K5388" s="19" t="s">
        <v>124</v>
      </c>
      <c r="L5388" s="19" t="s">
        <v>160</v>
      </c>
      <c r="M5388" s="15" t="s">
        <v>2181</v>
      </c>
      <c r="N5388" s="15" t="s">
        <v>36</v>
      </c>
      <c r="O5388" s="15" t="s">
        <v>176</v>
      </c>
      <c r="P5388" s="20" t="s">
        <v>2101</v>
      </c>
      <c r="Q5388" s="15" t="s">
        <v>39</v>
      </c>
      <c r="R5388" s="4"/>
      <c r="S5388" s="4"/>
    </row>
    <row r="5389" spans="1:19" ht="21" customHeight="1" x14ac:dyDescent="0.25">
      <c r="A5389" s="14">
        <f>DATE(2012,12,31)-618</f>
        <v>40656</v>
      </c>
      <c r="B5389" s="15" t="s">
        <v>1421</v>
      </c>
      <c r="C5389" s="15" t="s">
        <v>85</v>
      </c>
      <c r="D5389" s="16">
        <v>9</v>
      </c>
      <c r="E5389" s="17">
        <v>1201.51</v>
      </c>
      <c r="F5389" s="16">
        <v>0.1</v>
      </c>
      <c r="G5389" s="15" t="s">
        <v>101</v>
      </c>
      <c r="H5389" s="18">
        <v>-185.48</v>
      </c>
      <c r="I5389" s="19">
        <v>140.85</v>
      </c>
      <c r="J5389" s="19">
        <v>19.989999999999998</v>
      </c>
      <c r="K5389" s="19" t="s">
        <v>44</v>
      </c>
      <c r="L5389" s="19" t="s">
        <v>52</v>
      </c>
      <c r="M5389" s="15" t="s">
        <v>2240</v>
      </c>
      <c r="N5389" s="15" t="s">
        <v>36</v>
      </c>
      <c r="O5389" s="15" t="s">
        <v>37</v>
      </c>
      <c r="P5389" s="20" t="s">
        <v>634</v>
      </c>
      <c r="Q5389" s="15" t="s">
        <v>83</v>
      </c>
      <c r="R5389" s="4"/>
      <c r="S5389" s="4"/>
    </row>
    <row r="5390" spans="1:19" ht="21" customHeight="1" x14ac:dyDescent="0.25">
      <c r="A5390" s="14">
        <f>DATE(2012,12,31)-87</f>
        <v>41187</v>
      </c>
      <c r="B5390" s="15" t="s">
        <v>74</v>
      </c>
      <c r="C5390" s="15" t="s">
        <v>85</v>
      </c>
      <c r="D5390" s="16">
        <v>14</v>
      </c>
      <c r="E5390" s="17">
        <v>91.75</v>
      </c>
      <c r="F5390" s="16">
        <v>7.0000000000000007E-2</v>
      </c>
      <c r="G5390" s="15" t="s">
        <v>32</v>
      </c>
      <c r="H5390" s="18">
        <v>2.8220000000000001</v>
      </c>
      <c r="I5390" s="19">
        <v>6.75</v>
      </c>
      <c r="J5390" s="19">
        <v>2.99</v>
      </c>
      <c r="K5390" s="19" t="s">
        <v>44</v>
      </c>
      <c r="L5390" s="19" t="s">
        <v>89</v>
      </c>
      <c r="M5390" s="15" t="s">
        <v>1932</v>
      </c>
      <c r="N5390" s="15" t="s">
        <v>36</v>
      </c>
      <c r="O5390" s="15" t="s">
        <v>170</v>
      </c>
      <c r="P5390" s="20" t="s">
        <v>1453</v>
      </c>
      <c r="Q5390" s="15" t="s">
        <v>83</v>
      </c>
      <c r="R5390" s="4"/>
      <c r="S5390" s="4"/>
    </row>
    <row r="5391" spans="1:19" ht="21" customHeight="1" x14ac:dyDescent="0.25">
      <c r="A5391" s="14">
        <f>DATE(2012,12,31)-87</f>
        <v>41187</v>
      </c>
      <c r="B5391" s="15" t="s">
        <v>74</v>
      </c>
      <c r="C5391" s="15" t="s">
        <v>85</v>
      </c>
      <c r="D5391" s="16">
        <v>31</v>
      </c>
      <c r="E5391" s="17">
        <v>346.57</v>
      </c>
      <c r="F5391" s="16">
        <v>0</v>
      </c>
      <c r="G5391" s="15" t="s">
        <v>32</v>
      </c>
      <c r="H5391" s="18">
        <v>-116.45</v>
      </c>
      <c r="I5391" s="19">
        <v>10.97</v>
      </c>
      <c r="J5391" s="19">
        <v>6.5</v>
      </c>
      <c r="K5391" s="19" t="s">
        <v>111</v>
      </c>
      <c r="L5391" s="19" t="s">
        <v>112</v>
      </c>
      <c r="M5391" s="15" t="s">
        <v>2198</v>
      </c>
      <c r="N5391" s="15" t="s">
        <v>64</v>
      </c>
      <c r="O5391" s="15" t="s">
        <v>72</v>
      </c>
      <c r="P5391" s="20" t="s">
        <v>354</v>
      </c>
      <c r="Q5391" s="15" t="s">
        <v>83</v>
      </c>
      <c r="R5391" s="4"/>
      <c r="S5391" s="4"/>
    </row>
    <row r="5392" spans="1:19" ht="21" customHeight="1" x14ac:dyDescent="0.25">
      <c r="A5392" s="14">
        <f>DATE(2012,12,31)-792</f>
        <v>40482</v>
      </c>
      <c r="B5392" s="15" t="s">
        <v>223</v>
      </c>
      <c r="C5392" s="15" t="s">
        <v>85</v>
      </c>
      <c r="D5392" s="16">
        <v>46</v>
      </c>
      <c r="E5392" s="17">
        <v>130.9</v>
      </c>
      <c r="F5392" s="16">
        <v>0.09</v>
      </c>
      <c r="G5392" s="15" t="s">
        <v>32</v>
      </c>
      <c r="H5392" s="18">
        <v>18.75</v>
      </c>
      <c r="I5392" s="19">
        <v>2.88</v>
      </c>
      <c r="J5392" s="19">
        <v>0.7</v>
      </c>
      <c r="K5392" s="19" t="s">
        <v>44</v>
      </c>
      <c r="L5392" s="19" t="s">
        <v>52</v>
      </c>
      <c r="M5392" s="15" t="s">
        <v>2240</v>
      </c>
      <c r="N5392" s="15" t="s">
        <v>36</v>
      </c>
      <c r="O5392" s="15" t="s">
        <v>77</v>
      </c>
      <c r="P5392" s="20" t="s">
        <v>95</v>
      </c>
      <c r="Q5392" s="15" t="s">
        <v>79</v>
      </c>
      <c r="R5392" s="4"/>
      <c r="S5392" s="4"/>
    </row>
    <row r="5393" spans="1:19" ht="21" customHeight="1" x14ac:dyDescent="0.25">
      <c r="A5393" s="14">
        <f>DATE(2012,12,31)-1441</f>
        <v>39833</v>
      </c>
      <c r="B5393" s="15" t="s">
        <v>418</v>
      </c>
      <c r="C5393" s="15" t="s">
        <v>85</v>
      </c>
      <c r="D5393" s="16">
        <v>36</v>
      </c>
      <c r="E5393" s="17">
        <v>2167.0500000000002</v>
      </c>
      <c r="F5393" s="16">
        <v>0.02</v>
      </c>
      <c r="G5393" s="15" t="s">
        <v>32</v>
      </c>
      <c r="H5393" s="18">
        <v>684.9</v>
      </c>
      <c r="I5393" s="19">
        <v>60.22</v>
      </c>
      <c r="J5393" s="19">
        <v>3.5</v>
      </c>
      <c r="K5393" s="19" t="s">
        <v>69</v>
      </c>
      <c r="L5393" s="19" t="s">
        <v>70</v>
      </c>
      <c r="M5393" s="15" t="s">
        <v>2230</v>
      </c>
      <c r="N5393" s="15" t="s">
        <v>36</v>
      </c>
      <c r="O5393" s="15" t="s">
        <v>176</v>
      </c>
      <c r="P5393" s="20" t="s">
        <v>1805</v>
      </c>
      <c r="Q5393" s="15" t="s">
        <v>83</v>
      </c>
      <c r="R5393" s="4"/>
      <c r="S5393" s="4"/>
    </row>
    <row r="5394" spans="1:19" ht="21" customHeight="1" x14ac:dyDescent="0.25">
      <c r="A5394" s="14">
        <f>DATE(2012,12,31)-1323</f>
        <v>39951</v>
      </c>
      <c r="B5394" s="15" t="s">
        <v>1916</v>
      </c>
      <c r="C5394" s="15" t="s">
        <v>85</v>
      </c>
      <c r="D5394" s="16">
        <v>38</v>
      </c>
      <c r="E5394" s="17">
        <v>623.12649999999996</v>
      </c>
      <c r="F5394" s="16">
        <v>0.09</v>
      </c>
      <c r="G5394" s="15" t="s">
        <v>32</v>
      </c>
      <c r="H5394" s="18">
        <v>122.292</v>
      </c>
      <c r="I5394" s="19">
        <v>20.99</v>
      </c>
      <c r="J5394" s="19">
        <v>0.99</v>
      </c>
      <c r="K5394" s="19" t="s">
        <v>33</v>
      </c>
      <c r="L5394" s="19" t="s">
        <v>145</v>
      </c>
      <c r="M5394" s="15" t="s">
        <v>2248</v>
      </c>
      <c r="N5394" s="15" t="s">
        <v>64</v>
      </c>
      <c r="O5394" s="15" t="s">
        <v>65</v>
      </c>
      <c r="P5394" s="20" t="s">
        <v>1616</v>
      </c>
      <c r="Q5394" s="15" t="s">
        <v>79</v>
      </c>
      <c r="R5394" s="4"/>
      <c r="S5394" s="4"/>
    </row>
    <row r="5395" spans="1:19" ht="21" customHeight="1" x14ac:dyDescent="0.25">
      <c r="A5395" s="14">
        <f>DATE(2012,12,31)-1323</f>
        <v>39951</v>
      </c>
      <c r="B5395" s="15" t="s">
        <v>1916</v>
      </c>
      <c r="C5395" s="15" t="s">
        <v>85</v>
      </c>
      <c r="D5395" s="16">
        <v>15</v>
      </c>
      <c r="E5395" s="17">
        <v>62.62</v>
      </c>
      <c r="F5395" s="16">
        <v>0.1</v>
      </c>
      <c r="G5395" s="15" t="s">
        <v>101</v>
      </c>
      <c r="H5395" s="18">
        <v>-67.0565</v>
      </c>
      <c r="I5395" s="19">
        <v>3.36</v>
      </c>
      <c r="J5395" s="19">
        <v>6.27</v>
      </c>
      <c r="K5395" s="19" t="s">
        <v>111</v>
      </c>
      <c r="L5395" s="19" t="s">
        <v>442</v>
      </c>
      <c r="M5395" s="15" t="s">
        <v>2222</v>
      </c>
      <c r="N5395" s="15" t="s">
        <v>36</v>
      </c>
      <c r="O5395" s="15" t="s">
        <v>170</v>
      </c>
      <c r="P5395" s="20" t="s">
        <v>652</v>
      </c>
      <c r="Q5395" s="15" t="s">
        <v>83</v>
      </c>
      <c r="R5395" s="4"/>
      <c r="S5395" s="4"/>
    </row>
    <row r="5396" spans="1:19" ht="21" customHeight="1" x14ac:dyDescent="0.25">
      <c r="A5396" s="14">
        <f>DATE(2012,12,31)-1323</f>
        <v>39951</v>
      </c>
      <c r="B5396" s="15" t="s">
        <v>1916</v>
      </c>
      <c r="C5396" s="15" t="s">
        <v>85</v>
      </c>
      <c r="D5396" s="16">
        <v>5</v>
      </c>
      <c r="E5396" s="17">
        <v>64.25</v>
      </c>
      <c r="F5396" s="16">
        <v>7.0000000000000007E-2</v>
      </c>
      <c r="G5396" s="15" t="s">
        <v>32</v>
      </c>
      <c r="H5396" s="18">
        <v>-7.94</v>
      </c>
      <c r="I5396" s="19">
        <v>12.28</v>
      </c>
      <c r="J5396" s="19">
        <v>4.8600000000000003</v>
      </c>
      <c r="K5396" s="19" t="s">
        <v>33</v>
      </c>
      <c r="L5396" s="19" t="s">
        <v>145</v>
      </c>
      <c r="M5396" s="15" t="s">
        <v>2248</v>
      </c>
      <c r="N5396" s="15" t="s">
        <v>36</v>
      </c>
      <c r="O5396" s="15" t="s">
        <v>117</v>
      </c>
      <c r="P5396" s="20" t="s">
        <v>2123</v>
      </c>
      <c r="Q5396" s="15" t="s">
        <v>83</v>
      </c>
      <c r="R5396" s="4"/>
      <c r="S5396" s="4"/>
    </row>
    <row r="5397" spans="1:19" ht="21" customHeight="1" x14ac:dyDescent="0.25">
      <c r="A5397" s="14">
        <f>DATE(2012,12,31)-1084</f>
        <v>40190</v>
      </c>
      <c r="B5397" s="15" t="s">
        <v>630</v>
      </c>
      <c r="C5397" s="15" t="s">
        <v>43</v>
      </c>
      <c r="D5397" s="16">
        <v>3</v>
      </c>
      <c r="E5397" s="17">
        <v>224.74400000000003</v>
      </c>
      <c r="F5397" s="16">
        <v>0.02</v>
      </c>
      <c r="G5397" s="15" t="s">
        <v>32</v>
      </c>
      <c r="H5397" s="18">
        <v>54.598050000000008</v>
      </c>
      <c r="I5397" s="19">
        <v>71.37</v>
      </c>
      <c r="J5397" s="19">
        <v>69</v>
      </c>
      <c r="K5397" s="19" t="s">
        <v>111</v>
      </c>
      <c r="L5397" s="19" t="s">
        <v>442</v>
      </c>
      <c r="M5397" s="15" t="s">
        <v>2222</v>
      </c>
      <c r="N5397" s="15" t="s">
        <v>54</v>
      </c>
      <c r="O5397" s="15" t="s">
        <v>61</v>
      </c>
      <c r="P5397" s="20" t="s">
        <v>399</v>
      </c>
      <c r="Q5397" s="15" t="s">
        <v>39</v>
      </c>
      <c r="R5397" s="4"/>
      <c r="S5397" s="4"/>
    </row>
    <row r="5398" spans="1:19" ht="21" customHeight="1" x14ac:dyDescent="0.25">
      <c r="A5398" s="14">
        <f>DATE(2012,12,31)-638</f>
        <v>40636</v>
      </c>
      <c r="B5398" s="15" t="s">
        <v>334</v>
      </c>
      <c r="C5398" s="15" t="s">
        <v>51</v>
      </c>
      <c r="D5398" s="16">
        <v>50</v>
      </c>
      <c r="E5398" s="17">
        <v>169.13</v>
      </c>
      <c r="F5398" s="16">
        <v>0</v>
      </c>
      <c r="G5398" s="15" t="s">
        <v>32</v>
      </c>
      <c r="H5398" s="18">
        <v>43.05</v>
      </c>
      <c r="I5398" s="19">
        <v>3.14</v>
      </c>
      <c r="J5398" s="19">
        <v>1.1399999999999999</v>
      </c>
      <c r="K5398" s="19" t="s">
        <v>97</v>
      </c>
      <c r="L5398" s="19" t="s">
        <v>98</v>
      </c>
      <c r="M5398" s="15" t="s">
        <v>2217</v>
      </c>
      <c r="N5398" s="15" t="s">
        <v>36</v>
      </c>
      <c r="O5398" s="15" t="s">
        <v>117</v>
      </c>
      <c r="P5398" s="20" t="s">
        <v>2046</v>
      </c>
      <c r="Q5398" s="15" t="s">
        <v>79</v>
      </c>
      <c r="R5398" s="4"/>
      <c r="S5398" s="4"/>
    </row>
    <row r="5399" spans="1:19" ht="21" customHeight="1" x14ac:dyDescent="0.25">
      <c r="A5399" s="14">
        <f>DATE(2012,12,31)-1149</f>
        <v>40125</v>
      </c>
      <c r="B5399" s="15" t="s">
        <v>1077</v>
      </c>
      <c r="C5399" s="15" t="s">
        <v>43</v>
      </c>
      <c r="D5399" s="16">
        <v>24</v>
      </c>
      <c r="E5399" s="17">
        <v>2004.4</v>
      </c>
      <c r="F5399" s="16">
        <v>0.05</v>
      </c>
      <c r="G5399" s="15" t="s">
        <v>101</v>
      </c>
      <c r="H5399" s="18">
        <v>544.29999999999995</v>
      </c>
      <c r="I5399" s="19">
        <v>83.1</v>
      </c>
      <c r="J5399" s="19">
        <v>6.13</v>
      </c>
      <c r="K5399" s="19" t="s">
        <v>97</v>
      </c>
      <c r="L5399" s="19" t="s">
        <v>195</v>
      </c>
      <c r="M5399" s="15" t="s">
        <v>2138</v>
      </c>
      <c r="N5399" s="15" t="s">
        <v>64</v>
      </c>
      <c r="O5399" s="15" t="s">
        <v>72</v>
      </c>
      <c r="P5399" s="20" t="s">
        <v>1095</v>
      </c>
      <c r="Q5399" s="15" t="s">
        <v>83</v>
      </c>
      <c r="R5399" s="4"/>
      <c r="S5399" s="4"/>
    </row>
    <row r="5400" spans="1:19" ht="21" customHeight="1" x14ac:dyDescent="0.25">
      <c r="A5400" s="14">
        <f>DATE(2012,12,31)-961</f>
        <v>40313</v>
      </c>
      <c r="B5400" s="15" t="s">
        <v>210</v>
      </c>
      <c r="C5400" s="15" t="s">
        <v>51</v>
      </c>
      <c r="D5400" s="16">
        <v>46</v>
      </c>
      <c r="E5400" s="17">
        <v>1053.8399999999999</v>
      </c>
      <c r="F5400" s="16">
        <v>0</v>
      </c>
      <c r="G5400" s="15" t="s">
        <v>32</v>
      </c>
      <c r="H5400" s="18">
        <v>-632.16</v>
      </c>
      <c r="I5400" s="19">
        <v>20.98</v>
      </c>
      <c r="J5400" s="19">
        <v>21.2</v>
      </c>
      <c r="K5400" s="19" t="s">
        <v>124</v>
      </c>
      <c r="L5400" s="19" t="s">
        <v>160</v>
      </c>
      <c r="M5400" s="15" t="s">
        <v>2181</v>
      </c>
      <c r="N5400" s="15" t="s">
        <v>54</v>
      </c>
      <c r="O5400" s="15" t="s">
        <v>55</v>
      </c>
      <c r="P5400" s="20" t="s">
        <v>1457</v>
      </c>
      <c r="Q5400" s="15" t="s">
        <v>57</v>
      </c>
      <c r="R5400" s="4"/>
      <c r="S5400" s="4"/>
    </row>
    <row r="5401" spans="1:19" ht="21" customHeight="1" x14ac:dyDescent="0.25">
      <c r="A5401" s="14">
        <f>DATE(2012,12,31)-961</f>
        <v>40313</v>
      </c>
      <c r="B5401" s="15" t="s">
        <v>210</v>
      </c>
      <c r="C5401" s="15" t="s">
        <v>51</v>
      </c>
      <c r="D5401" s="16">
        <v>33</v>
      </c>
      <c r="E5401" s="17">
        <v>310.99</v>
      </c>
      <c r="F5401" s="16">
        <v>7.0000000000000007E-2</v>
      </c>
      <c r="G5401" s="15" t="s">
        <v>32</v>
      </c>
      <c r="H5401" s="18">
        <v>106.45</v>
      </c>
      <c r="I5401" s="19">
        <v>9.68</v>
      </c>
      <c r="J5401" s="19">
        <v>2.0299999999999998</v>
      </c>
      <c r="K5401" s="19" t="s">
        <v>44</v>
      </c>
      <c r="L5401" s="19" t="s">
        <v>52</v>
      </c>
      <c r="M5401" s="15" t="s">
        <v>2240</v>
      </c>
      <c r="N5401" s="15" t="s">
        <v>36</v>
      </c>
      <c r="O5401" s="15" t="s">
        <v>117</v>
      </c>
      <c r="P5401" s="20" t="s">
        <v>1060</v>
      </c>
      <c r="Q5401" s="15" t="s">
        <v>79</v>
      </c>
      <c r="R5401" s="4"/>
      <c r="S5401" s="4"/>
    </row>
    <row r="5402" spans="1:19" ht="21" customHeight="1" x14ac:dyDescent="0.25">
      <c r="A5402" s="14">
        <f>DATE(2012,12,31)-1113</f>
        <v>40161</v>
      </c>
      <c r="B5402" s="15" t="s">
        <v>239</v>
      </c>
      <c r="C5402" s="15" t="s">
        <v>43</v>
      </c>
      <c r="D5402" s="16">
        <v>8</v>
      </c>
      <c r="E5402" s="17">
        <v>114.73</v>
      </c>
      <c r="F5402" s="16">
        <v>0.03</v>
      </c>
      <c r="G5402" s="15" t="s">
        <v>101</v>
      </c>
      <c r="H5402" s="18">
        <v>28.08</v>
      </c>
      <c r="I5402" s="19">
        <v>13.73</v>
      </c>
      <c r="J5402" s="19">
        <v>6.85</v>
      </c>
      <c r="K5402" s="19" t="s">
        <v>33</v>
      </c>
      <c r="L5402" s="19" t="s">
        <v>145</v>
      </c>
      <c r="M5402" s="15" t="s">
        <v>2248</v>
      </c>
      <c r="N5402" s="15" t="s">
        <v>54</v>
      </c>
      <c r="O5402" s="15" t="s">
        <v>55</v>
      </c>
      <c r="P5402" s="20" t="s">
        <v>360</v>
      </c>
      <c r="Q5402" s="15" t="s">
        <v>79</v>
      </c>
      <c r="R5402" s="4"/>
      <c r="S5402" s="4"/>
    </row>
    <row r="5403" spans="1:19" ht="21" customHeight="1" x14ac:dyDescent="0.25">
      <c r="A5403" s="14">
        <f>DATE(2012,12,31)-590</f>
        <v>40684</v>
      </c>
      <c r="B5403" s="15" t="s">
        <v>1030</v>
      </c>
      <c r="C5403" s="15" t="s">
        <v>31</v>
      </c>
      <c r="D5403" s="16">
        <v>49</v>
      </c>
      <c r="E5403" s="17">
        <v>142.1</v>
      </c>
      <c r="F5403" s="16">
        <v>0.01</v>
      </c>
      <c r="G5403" s="15" t="s">
        <v>32</v>
      </c>
      <c r="H5403" s="18">
        <v>37.03</v>
      </c>
      <c r="I5403" s="19">
        <v>2.88</v>
      </c>
      <c r="J5403" s="19">
        <v>0.99</v>
      </c>
      <c r="K5403" s="19" t="s">
        <v>69</v>
      </c>
      <c r="L5403" s="19" t="s">
        <v>75</v>
      </c>
      <c r="M5403" s="15" t="s">
        <v>2231</v>
      </c>
      <c r="N5403" s="15" t="s">
        <v>36</v>
      </c>
      <c r="O5403" s="15" t="s">
        <v>114</v>
      </c>
      <c r="P5403" s="20" t="s">
        <v>1153</v>
      </c>
      <c r="Q5403" s="15" t="s">
        <v>83</v>
      </c>
      <c r="R5403" s="4"/>
      <c r="S5403" s="4"/>
    </row>
    <row r="5404" spans="1:19" ht="21" customHeight="1" x14ac:dyDescent="0.25">
      <c r="A5404" s="14">
        <f>DATE(2012,12,31)-900</f>
        <v>40374</v>
      </c>
      <c r="B5404" s="15" t="s">
        <v>1893</v>
      </c>
      <c r="C5404" s="15" t="s">
        <v>85</v>
      </c>
      <c r="D5404" s="16">
        <v>29</v>
      </c>
      <c r="E5404" s="17">
        <v>208.04</v>
      </c>
      <c r="F5404" s="16">
        <v>0.1</v>
      </c>
      <c r="G5404" s="15" t="s">
        <v>32</v>
      </c>
      <c r="H5404" s="18">
        <v>14.77</v>
      </c>
      <c r="I5404" s="19">
        <v>7.59</v>
      </c>
      <c r="J5404" s="19">
        <v>4</v>
      </c>
      <c r="K5404" s="19" t="s">
        <v>69</v>
      </c>
      <c r="L5404" s="19" t="s">
        <v>70</v>
      </c>
      <c r="M5404" s="15" t="s">
        <v>2230</v>
      </c>
      <c r="N5404" s="15" t="s">
        <v>54</v>
      </c>
      <c r="O5404" s="15" t="s">
        <v>55</v>
      </c>
      <c r="P5404" s="20" t="s">
        <v>951</v>
      </c>
      <c r="Q5404" s="15" t="s">
        <v>79</v>
      </c>
      <c r="R5404" s="4"/>
      <c r="S5404" s="4"/>
    </row>
    <row r="5405" spans="1:19" ht="21" customHeight="1" x14ac:dyDescent="0.25">
      <c r="A5405" s="14">
        <f>DATE(2012,12,31)-760</f>
        <v>40514</v>
      </c>
      <c r="B5405" s="15" t="s">
        <v>701</v>
      </c>
      <c r="C5405" s="15" t="s">
        <v>85</v>
      </c>
      <c r="D5405" s="16">
        <v>12</v>
      </c>
      <c r="E5405" s="17">
        <v>754.94</v>
      </c>
      <c r="F5405" s="16">
        <v>0.01</v>
      </c>
      <c r="G5405" s="15" t="s">
        <v>58</v>
      </c>
      <c r="H5405" s="18">
        <v>-226.24</v>
      </c>
      <c r="I5405" s="19">
        <v>58.14</v>
      </c>
      <c r="J5405" s="19">
        <v>36.61</v>
      </c>
      <c r="K5405" s="19" t="s">
        <v>111</v>
      </c>
      <c r="L5405" s="19" t="s">
        <v>442</v>
      </c>
      <c r="M5405" s="15" t="s">
        <v>2222</v>
      </c>
      <c r="N5405" s="15" t="s">
        <v>54</v>
      </c>
      <c r="O5405" s="15" t="s">
        <v>134</v>
      </c>
      <c r="P5405" s="20" t="s">
        <v>1299</v>
      </c>
      <c r="Q5405" s="15" t="s">
        <v>63</v>
      </c>
      <c r="R5405" s="4"/>
      <c r="S5405" s="4"/>
    </row>
    <row r="5406" spans="1:19" ht="21" customHeight="1" x14ac:dyDescent="0.25">
      <c r="A5406" s="14">
        <f>DATE(2012,12,31)-237</f>
        <v>41037</v>
      </c>
      <c r="B5406" s="15" t="s">
        <v>1177</v>
      </c>
      <c r="C5406" s="15" t="s">
        <v>85</v>
      </c>
      <c r="D5406" s="16">
        <v>19</v>
      </c>
      <c r="E5406" s="17">
        <v>4201.47</v>
      </c>
      <c r="F5406" s="16">
        <v>0.04</v>
      </c>
      <c r="G5406" s="15" t="s">
        <v>58</v>
      </c>
      <c r="H5406" s="18">
        <v>199.25</v>
      </c>
      <c r="I5406" s="19">
        <v>212.6</v>
      </c>
      <c r="J5406" s="19">
        <v>52.2</v>
      </c>
      <c r="K5406" s="19" t="s">
        <v>44</v>
      </c>
      <c r="L5406" s="19" t="s">
        <v>89</v>
      </c>
      <c r="M5406" s="15" t="s">
        <v>1932</v>
      </c>
      <c r="N5406" s="15" t="s">
        <v>54</v>
      </c>
      <c r="O5406" s="15" t="s">
        <v>61</v>
      </c>
      <c r="P5406" s="20" t="s">
        <v>615</v>
      </c>
      <c r="Q5406" s="15" t="s">
        <v>63</v>
      </c>
      <c r="R5406" s="4"/>
      <c r="S5406" s="4"/>
    </row>
    <row r="5407" spans="1:19" ht="21" customHeight="1" x14ac:dyDescent="0.25">
      <c r="A5407" s="14">
        <f>DATE(2012,12,31)-237</f>
        <v>41037</v>
      </c>
      <c r="B5407" s="15" t="s">
        <v>1177</v>
      </c>
      <c r="C5407" s="15" t="s">
        <v>85</v>
      </c>
      <c r="D5407" s="16">
        <v>17</v>
      </c>
      <c r="E5407" s="17">
        <v>55.66</v>
      </c>
      <c r="F5407" s="16">
        <v>0.08</v>
      </c>
      <c r="G5407" s="15" t="s">
        <v>32</v>
      </c>
      <c r="H5407" s="18">
        <v>-21.4</v>
      </c>
      <c r="I5407" s="19">
        <v>3.28</v>
      </c>
      <c r="J5407" s="19">
        <v>2.31</v>
      </c>
      <c r="K5407" s="19" t="s">
        <v>44</v>
      </c>
      <c r="L5407" s="19" t="s">
        <v>45</v>
      </c>
      <c r="M5407" s="15" t="s">
        <v>2236</v>
      </c>
      <c r="N5407" s="15" t="s">
        <v>36</v>
      </c>
      <c r="O5407" s="15" t="s">
        <v>77</v>
      </c>
      <c r="P5407" s="20" t="s">
        <v>2249</v>
      </c>
      <c r="Q5407" s="15" t="s">
        <v>79</v>
      </c>
      <c r="R5407" s="4"/>
      <c r="S5407" s="4"/>
    </row>
    <row r="5408" spans="1:19" ht="21" customHeight="1" x14ac:dyDescent="0.25">
      <c r="A5408" s="14">
        <f>DATE(2012,12,31)-580</f>
        <v>40694</v>
      </c>
      <c r="B5408" s="15" t="s">
        <v>420</v>
      </c>
      <c r="C5408" s="15" t="s">
        <v>85</v>
      </c>
      <c r="D5408" s="16">
        <v>16</v>
      </c>
      <c r="E5408" s="17">
        <v>621.92999999999995</v>
      </c>
      <c r="F5408" s="16">
        <v>0.08</v>
      </c>
      <c r="G5408" s="15" t="s">
        <v>32</v>
      </c>
      <c r="H5408" s="18">
        <v>-49.77</v>
      </c>
      <c r="I5408" s="19">
        <v>39.979999999999997</v>
      </c>
      <c r="J5408" s="19">
        <v>4</v>
      </c>
      <c r="K5408" s="19" t="s">
        <v>44</v>
      </c>
      <c r="L5408" s="19" t="s">
        <v>89</v>
      </c>
      <c r="M5408" s="15" t="s">
        <v>1932</v>
      </c>
      <c r="N5408" s="15" t="s">
        <v>64</v>
      </c>
      <c r="O5408" s="15" t="s">
        <v>72</v>
      </c>
      <c r="P5408" s="20" t="s">
        <v>733</v>
      </c>
      <c r="Q5408" s="15" t="s">
        <v>83</v>
      </c>
      <c r="R5408" s="4"/>
      <c r="S5408" s="4"/>
    </row>
    <row r="5409" spans="1:19" ht="21" customHeight="1" x14ac:dyDescent="0.25">
      <c r="A5409" s="14">
        <f>DATE(2012,12,31)-580</f>
        <v>40694</v>
      </c>
      <c r="B5409" s="15" t="s">
        <v>420</v>
      </c>
      <c r="C5409" s="15" t="s">
        <v>85</v>
      </c>
      <c r="D5409" s="16">
        <v>17</v>
      </c>
      <c r="E5409" s="17">
        <v>121.09</v>
      </c>
      <c r="F5409" s="16">
        <v>0.05</v>
      </c>
      <c r="G5409" s="15" t="s">
        <v>32</v>
      </c>
      <c r="H5409" s="18">
        <v>-30.51</v>
      </c>
      <c r="I5409" s="19">
        <v>6.68</v>
      </c>
      <c r="J5409" s="19">
        <v>5.66</v>
      </c>
      <c r="K5409" s="19" t="s">
        <v>44</v>
      </c>
      <c r="L5409" s="19" t="s">
        <v>89</v>
      </c>
      <c r="M5409" s="15" t="s">
        <v>1932</v>
      </c>
      <c r="N5409" s="15" t="s">
        <v>36</v>
      </c>
      <c r="O5409" s="15" t="s">
        <v>117</v>
      </c>
      <c r="P5409" s="20" t="s">
        <v>625</v>
      </c>
      <c r="Q5409" s="15" t="s">
        <v>83</v>
      </c>
      <c r="R5409" s="4"/>
      <c r="S5409" s="4"/>
    </row>
    <row r="5410" spans="1:19" ht="21" customHeight="1" x14ac:dyDescent="0.25">
      <c r="A5410" s="14">
        <f>DATE(2012,12,31)-502</f>
        <v>40772</v>
      </c>
      <c r="B5410" s="15" t="s">
        <v>699</v>
      </c>
      <c r="C5410" s="15" t="s">
        <v>85</v>
      </c>
      <c r="D5410" s="16">
        <v>22</v>
      </c>
      <c r="E5410" s="17">
        <v>136.18</v>
      </c>
      <c r="F5410" s="16">
        <v>0.08</v>
      </c>
      <c r="G5410" s="15" t="s">
        <v>32</v>
      </c>
      <c r="H5410" s="18">
        <v>-43.26</v>
      </c>
      <c r="I5410" s="19">
        <v>5.98</v>
      </c>
      <c r="J5410" s="19">
        <v>5.46</v>
      </c>
      <c r="K5410" s="19" t="s">
        <v>44</v>
      </c>
      <c r="L5410" s="19" t="s">
        <v>120</v>
      </c>
      <c r="M5410" s="15" t="s">
        <v>2025</v>
      </c>
      <c r="N5410" s="15" t="s">
        <v>36</v>
      </c>
      <c r="O5410" s="15" t="s">
        <v>117</v>
      </c>
      <c r="P5410" s="20" t="s">
        <v>1879</v>
      </c>
      <c r="Q5410" s="15" t="s">
        <v>83</v>
      </c>
      <c r="R5410" s="4"/>
      <c r="S5410" s="4"/>
    </row>
    <row r="5411" spans="1:19" ht="21" customHeight="1" x14ac:dyDescent="0.25">
      <c r="A5411" s="14">
        <f>DATE(2012,12,31)-502</f>
        <v>40772</v>
      </c>
      <c r="B5411" s="15" t="s">
        <v>699</v>
      </c>
      <c r="C5411" s="15" t="s">
        <v>85</v>
      </c>
      <c r="D5411" s="16">
        <v>37</v>
      </c>
      <c r="E5411" s="17">
        <v>111.37</v>
      </c>
      <c r="F5411" s="16">
        <v>0.04</v>
      </c>
      <c r="G5411" s="15" t="s">
        <v>32</v>
      </c>
      <c r="H5411" s="18">
        <v>46.46</v>
      </c>
      <c r="I5411" s="19">
        <v>2.89</v>
      </c>
      <c r="J5411" s="19">
        <v>0.5</v>
      </c>
      <c r="K5411" s="19" t="s">
        <v>97</v>
      </c>
      <c r="L5411" s="19" t="s">
        <v>98</v>
      </c>
      <c r="M5411" s="15" t="s">
        <v>2217</v>
      </c>
      <c r="N5411" s="15" t="s">
        <v>36</v>
      </c>
      <c r="O5411" s="15" t="s">
        <v>114</v>
      </c>
      <c r="P5411" s="20" t="s">
        <v>115</v>
      </c>
      <c r="Q5411" s="15" t="s">
        <v>83</v>
      </c>
      <c r="R5411" s="4"/>
      <c r="S5411" s="4"/>
    </row>
    <row r="5412" spans="1:19" ht="21" customHeight="1" x14ac:dyDescent="0.25">
      <c r="A5412" s="14">
        <f>DATE(2012,12,31)-502</f>
        <v>40772</v>
      </c>
      <c r="B5412" s="15" t="s">
        <v>699</v>
      </c>
      <c r="C5412" s="15" t="s">
        <v>85</v>
      </c>
      <c r="D5412" s="16">
        <v>15</v>
      </c>
      <c r="E5412" s="17">
        <v>105.48</v>
      </c>
      <c r="F5412" s="16">
        <v>0.02</v>
      </c>
      <c r="G5412" s="15" t="s">
        <v>32</v>
      </c>
      <c r="H5412" s="18">
        <v>-53.99</v>
      </c>
      <c r="I5412" s="19">
        <v>6.48</v>
      </c>
      <c r="J5412" s="19">
        <v>7.37</v>
      </c>
      <c r="K5412" s="19" t="s">
        <v>124</v>
      </c>
      <c r="L5412" s="19" t="s">
        <v>160</v>
      </c>
      <c r="M5412" s="15" t="s">
        <v>2181</v>
      </c>
      <c r="N5412" s="15" t="s">
        <v>36</v>
      </c>
      <c r="O5412" s="15" t="s">
        <v>117</v>
      </c>
      <c r="P5412" s="20" t="s">
        <v>998</v>
      </c>
      <c r="Q5412" s="15" t="s">
        <v>83</v>
      </c>
      <c r="R5412" s="4"/>
      <c r="S5412" s="4"/>
    </row>
    <row r="5413" spans="1:19" ht="21" customHeight="1" x14ac:dyDescent="0.25">
      <c r="A5413" s="14">
        <f>DATE(2012,12,31)-1045</f>
        <v>40229</v>
      </c>
      <c r="B5413" s="15" t="s">
        <v>116</v>
      </c>
      <c r="C5413" s="15" t="s">
        <v>85</v>
      </c>
      <c r="D5413" s="16">
        <v>23</v>
      </c>
      <c r="E5413" s="17">
        <v>116.57</v>
      </c>
      <c r="F5413" s="16">
        <v>7.0000000000000007E-2</v>
      </c>
      <c r="G5413" s="15" t="s">
        <v>32</v>
      </c>
      <c r="H5413" s="18">
        <v>-43.18</v>
      </c>
      <c r="I5413" s="19">
        <v>4.9800000000000004</v>
      </c>
      <c r="J5413" s="19">
        <v>4.72</v>
      </c>
      <c r="K5413" s="19" t="s">
        <v>124</v>
      </c>
      <c r="L5413" s="19" t="s">
        <v>160</v>
      </c>
      <c r="M5413" s="15" t="s">
        <v>2181</v>
      </c>
      <c r="N5413" s="15" t="s">
        <v>36</v>
      </c>
      <c r="O5413" s="15" t="s">
        <v>117</v>
      </c>
      <c r="P5413" s="20" t="s">
        <v>308</v>
      </c>
      <c r="Q5413" s="15" t="s">
        <v>83</v>
      </c>
      <c r="R5413" s="4"/>
      <c r="S5413" s="4"/>
    </row>
    <row r="5414" spans="1:19" ht="21" customHeight="1" x14ac:dyDescent="0.25">
      <c r="A5414" s="14">
        <f>DATE(2012,12,31)-248</f>
        <v>41026</v>
      </c>
      <c r="B5414" s="15" t="s">
        <v>616</v>
      </c>
      <c r="C5414" s="15" t="s">
        <v>85</v>
      </c>
      <c r="D5414" s="16">
        <v>30</v>
      </c>
      <c r="E5414" s="17">
        <v>3295.15</v>
      </c>
      <c r="F5414" s="16">
        <v>7.0000000000000007E-2</v>
      </c>
      <c r="G5414" s="15" t="s">
        <v>32</v>
      </c>
      <c r="H5414" s="18">
        <v>1070.18</v>
      </c>
      <c r="I5414" s="19">
        <v>115.79</v>
      </c>
      <c r="J5414" s="19">
        <v>1.99</v>
      </c>
      <c r="K5414" s="19" t="s">
        <v>124</v>
      </c>
      <c r="L5414" s="19" t="s">
        <v>125</v>
      </c>
      <c r="M5414" s="15" t="s">
        <v>2223</v>
      </c>
      <c r="N5414" s="15" t="s">
        <v>64</v>
      </c>
      <c r="O5414" s="15" t="s">
        <v>72</v>
      </c>
      <c r="P5414" s="20" t="s">
        <v>91</v>
      </c>
      <c r="Q5414" s="15" t="s">
        <v>49</v>
      </c>
      <c r="R5414" s="4"/>
      <c r="S5414" s="4"/>
    </row>
    <row r="5415" spans="1:19" ht="21" customHeight="1" x14ac:dyDescent="0.25">
      <c r="A5415" s="14">
        <f>DATE(2012,12,31)-248</f>
        <v>41026</v>
      </c>
      <c r="B5415" s="15" t="s">
        <v>616</v>
      </c>
      <c r="C5415" s="15" t="s">
        <v>85</v>
      </c>
      <c r="D5415" s="16">
        <v>1</v>
      </c>
      <c r="E5415" s="17">
        <v>43.9</v>
      </c>
      <c r="F5415" s="16">
        <v>0.02</v>
      </c>
      <c r="G5415" s="15" t="s">
        <v>32</v>
      </c>
      <c r="H5415" s="18">
        <v>-15.03</v>
      </c>
      <c r="I5415" s="19">
        <v>37.44</v>
      </c>
      <c r="J5415" s="19">
        <v>4.2699999999999996</v>
      </c>
      <c r="K5415" s="19" t="s">
        <v>124</v>
      </c>
      <c r="L5415" s="19" t="s">
        <v>164</v>
      </c>
      <c r="M5415" s="15" t="s">
        <v>2171</v>
      </c>
      <c r="N5415" s="15" t="s">
        <v>36</v>
      </c>
      <c r="O5415" s="15" t="s">
        <v>77</v>
      </c>
      <c r="P5415" s="20" t="s">
        <v>1025</v>
      </c>
      <c r="Q5415" s="15" t="s">
        <v>79</v>
      </c>
      <c r="R5415" s="4"/>
      <c r="S5415" s="4"/>
    </row>
    <row r="5416" spans="1:19" ht="21" customHeight="1" x14ac:dyDescent="0.25">
      <c r="A5416" s="14">
        <f>DATE(2012,12,31)-1343</f>
        <v>39931</v>
      </c>
      <c r="B5416" s="15" t="s">
        <v>311</v>
      </c>
      <c r="C5416" s="15" t="s">
        <v>85</v>
      </c>
      <c r="D5416" s="16">
        <v>11</v>
      </c>
      <c r="E5416" s="17">
        <v>78.680000000000007</v>
      </c>
      <c r="F5416" s="16">
        <v>0.05</v>
      </c>
      <c r="G5416" s="15" t="s">
        <v>32</v>
      </c>
      <c r="H5416" s="18">
        <v>-29.07</v>
      </c>
      <c r="I5416" s="19">
        <v>6.48</v>
      </c>
      <c r="J5416" s="19">
        <v>6.22</v>
      </c>
      <c r="K5416" s="19" t="s">
        <v>124</v>
      </c>
      <c r="L5416" s="19" t="s">
        <v>158</v>
      </c>
      <c r="M5416" s="15" t="s">
        <v>158</v>
      </c>
      <c r="N5416" s="15" t="s">
        <v>36</v>
      </c>
      <c r="O5416" s="15" t="s">
        <v>117</v>
      </c>
      <c r="P5416" s="20" t="s">
        <v>1323</v>
      </c>
      <c r="Q5416" s="15" t="s">
        <v>83</v>
      </c>
      <c r="R5416" s="4"/>
      <c r="S5416" s="4"/>
    </row>
    <row r="5417" spans="1:19" ht="21" customHeight="1" x14ac:dyDescent="0.25">
      <c r="A5417" s="14">
        <f>DATE(2012,12,31)-1336</f>
        <v>39938</v>
      </c>
      <c r="B5417" s="15" t="s">
        <v>1497</v>
      </c>
      <c r="C5417" s="15" t="s">
        <v>31</v>
      </c>
      <c r="D5417" s="16">
        <v>47</v>
      </c>
      <c r="E5417" s="17">
        <v>5567.79</v>
      </c>
      <c r="F5417" s="16">
        <v>0.04</v>
      </c>
      <c r="G5417" s="15" t="s">
        <v>32</v>
      </c>
      <c r="H5417" s="18">
        <v>1726.66</v>
      </c>
      <c r="I5417" s="19">
        <v>120.98</v>
      </c>
      <c r="J5417" s="19">
        <v>3.99</v>
      </c>
      <c r="K5417" s="19" t="s">
        <v>33</v>
      </c>
      <c r="L5417" s="19" t="s">
        <v>34</v>
      </c>
      <c r="M5417" s="15" t="s">
        <v>2043</v>
      </c>
      <c r="N5417" s="15" t="s">
        <v>36</v>
      </c>
      <c r="O5417" s="15" t="s">
        <v>176</v>
      </c>
      <c r="P5417" s="20" t="s">
        <v>1116</v>
      </c>
      <c r="Q5417" s="15" t="s">
        <v>83</v>
      </c>
      <c r="R5417" s="4"/>
      <c r="S5417" s="4"/>
    </row>
    <row r="5418" spans="1:19" ht="21" customHeight="1" x14ac:dyDescent="0.25">
      <c r="A5418" s="14">
        <f>DATE(2012,12,31)-1336</f>
        <v>39938</v>
      </c>
      <c r="B5418" s="15" t="s">
        <v>1497</v>
      </c>
      <c r="C5418" s="15" t="s">
        <v>31</v>
      </c>
      <c r="D5418" s="16">
        <v>10</v>
      </c>
      <c r="E5418" s="17">
        <v>503.29349999999999</v>
      </c>
      <c r="F5418" s="16">
        <v>0.02</v>
      </c>
      <c r="G5418" s="15" t="s">
        <v>32</v>
      </c>
      <c r="H5418" s="18">
        <v>-222.816</v>
      </c>
      <c r="I5418" s="19">
        <v>55.99</v>
      </c>
      <c r="J5418" s="19">
        <v>5</v>
      </c>
      <c r="K5418" s="19" t="s">
        <v>124</v>
      </c>
      <c r="L5418" s="19" t="s">
        <v>319</v>
      </c>
      <c r="M5418" s="15" t="s">
        <v>2239</v>
      </c>
      <c r="N5418" s="15" t="s">
        <v>64</v>
      </c>
      <c r="O5418" s="15" t="s">
        <v>65</v>
      </c>
      <c r="P5418" s="20" t="s">
        <v>1377</v>
      </c>
      <c r="Q5418" s="15" t="s">
        <v>49</v>
      </c>
      <c r="R5418" s="4"/>
      <c r="S5418" s="4"/>
    </row>
    <row r="5419" spans="1:19" ht="21" customHeight="1" x14ac:dyDescent="0.25">
      <c r="A5419" s="14">
        <f>DATE(2012,12,31)-1336</f>
        <v>39938</v>
      </c>
      <c r="B5419" s="15" t="s">
        <v>1497</v>
      </c>
      <c r="C5419" s="15" t="s">
        <v>31</v>
      </c>
      <c r="D5419" s="16">
        <v>32</v>
      </c>
      <c r="E5419" s="17">
        <v>796.03</v>
      </c>
      <c r="F5419" s="16">
        <v>0.05</v>
      </c>
      <c r="G5419" s="15" t="s">
        <v>58</v>
      </c>
      <c r="H5419" s="18">
        <v>-133.71</v>
      </c>
      <c r="I5419" s="19">
        <v>23.99</v>
      </c>
      <c r="J5419" s="19">
        <v>15.68</v>
      </c>
      <c r="K5419" s="19" t="s">
        <v>44</v>
      </c>
      <c r="L5419" s="19" t="s">
        <v>52</v>
      </c>
      <c r="M5419" s="15" t="s">
        <v>2240</v>
      </c>
      <c r="N5419" s="15" t="s">
        <v>54</v>
      </c>
      <c r="O5419" s="15" t="s">
        <v>55</v>
      </c>
      <c r="P5419" s="20" t="s">
        <v>1975</v>
      </c>
      <c r="Q5419" s="15" t="s">
        <v>181</v>
      </c>
      <c r="R5419" s="4"/>
      <c r="S5419" s="4"/>
    </row>
    <row r="5420" spans="1:19" ht="21" customHeight="1" x14ac:dyDescent="0.25">
      <c r="A5420" s="14">
        <f>DATE(2012,12,31)-377</f>
        <v>40897</v>
      </c>
      <c r="B5420" s="15" t="s">
        <v>1407</v>
      </c>
      <c r="C5420" s="15" t="s">
        <v>85</v>
      </c>
      <c r="D5420" s="16">
        <v>10</v>
      </c>
      <c r="E5420" s="17">
        <v>70.02</v>
      </c>
      <c r="F5420" s="16">
        <v>7.0000000000000007E-2</v>
      </c>
      <c r="G5420" s="15" t="s">
        <v>32</v>
      </c>
      <c r="H5420" s="18">
        <v>22.62</v>
      </c>
      <c r="I5420" s="19">
        <v>7.31</v>
      </c>
      <c r="J5420" s="19">
        <v>0.5</v>
      </c>
      <c r="K5420" s="19" t="s">
        <v>44</v>
      </c>
      <c r="L5420" s="19" t="s">
        <v>52</v>
      </c>
      <c r="M5420" s="15" t="s">
        <v>2240</v>
      </c>
      <c r="N5420" s="15" t="s">
        <v>36</v>
      </c>
      <c r="O5420" s="15" t="s">
        <v>114</v>
      </c>
      <c r="P5420" s="20" t="s">
        <v>2250</v>
      </c>
      <c r="Q5420" s="15" t="s">
        <v>83</v>
      </c>
      <c r="R5420" s="4"/>
      <c r="S5420" s="4"/>
    </row>
    <row r="5421" spans="1:19" ht="21" customHeight="1" x14ac:dyDescent="0.25">
      <c r="A5421" s="14">
        <f>DATE(2012,12,31)-377</f>
        <v>40897</v>
      </c>
      <c r="B5421" s="15" t="s">
        <v>1407</v>
      </c>
      <c r="C5421" s="15" t="s">
        <v>85</v>
      </c>
      <c r="D5421" s="16">
        <v>36</v>
      </c>
      <c r="E5421" s="17">
        <v>2544.9850000000001</v>
      </c>
      <c r="F5421" s="16">
        <v>7.0000000000000007E-2</v>
      </c>
      <c r="G5421" s="15" t="s">
        <v>32</v>
      </c>
      <c r="H5421" s="18">
        <v>-113.05800000000001</v>
      </c>
      <c r="I5421" s="19">
        <v>85.99</v>
      </c>
      <c r="J5421" s="19">
        <v>0.99</v>
      </c>
      <c r="K5421" s="19" t="s">
        <v>44</v>
      </c>
      <c r="L5421" s="19" t="s">
        <v>52</v>
      </c>
      <c r="M5421" s="15" t="s">
        <v>2240</v>
      </c>
      <c r="N5421" s="15" t="s">
        <v>64</v>
      </c>
      <c r="O5421" s="15" t="s">
        <v>65</v>
      </c>
      <c r="P5421" s="20" t="s">
        <v>213</v>
      </c>
      <c r="Q5421" s="15" t="s">
        <v>79</v>
      </c>
      <c r="R5421" s="4"/>
      <c r="S5421" s="4"/>
    </row>
    <row r="5422" spans="1:19" ht="21" customHeight="1" x14ac:dyDescent="0.25">
      <c r="A5422" s="14">
        <f>DATE(2012,12,31)-1428</f>
        <v>39846</v>
      </c>
      <c r="B5422" s="15" t="s">
        <v>1515</v>
      </c>
      <c r="C5422" s="15" t="s">
        <v>31</v>
      </c>
      <c r="D5422" s="16">
        <v>38</v>
      </c>
      <c r="E5422" s="17">
        <v>44.85</v>
      </c>
      <c r="F5422" s="16">
        <v>0.02</v>
      </c>
      <c r="G5422" s="15" t="s">
        <v>32</v>
      </c>
      <c r="H5422" s="18">
        <v>-0.49</v>
      </c>
      <c r="I5422" s="19">
        <v>1.1399999999999999</v>
      </c>
      <c r="J5422" s="19">
        <v>0.7</v>
      </c>
      <c r="K5422" s="19" t="s">
        <v>44</v>
      </c>
      <c r="L5422" s="19" t="s">
        <v>52</v>
      </c>
      <c r="M5422" s="15" t="s">
        <v>2240</v>
      </c>
      <c r="N5422" s="15" t="s">
        <v>36</v>
      </c>
      <c r="O5422" s="15" t="s">
        <v>105</v>
      </c>
      <c r="P5422" s="20" t="s">
        <v>1551</v>
      </c>
      <c r="Q5422" s="15" t="s">
        <v>79</v>
      </c>
      <c r="R5422" s="4"/>
      <c r="S5422" s="4"/>
    </row>
    <row r="5423" spans="1:19" ht="21" customHeight="1" x14ac:dyDescent="0.25">
      <c r="A5423" s="14">
        <f>DATE(2012,12,31)-624</f>
        <v>40650</v>
      </c>
      <c r="B5423" s="15" t="s">
        <v>276</v>
      </c>
      <c r="C5423" s="15" t="s">
        <v>85</v>
      </c>
      <c r="D5423" s="16">
        <v>47</v>
      </c>
      <c r="E5423" s="17">
        <v>1980.37</v>
      </c>
      <c r="F5423" s="16">
        <v>0.03</v>
      </c>
      <c r="G5423" s="15" t="s">
        <v>32</v>
      </c>
      <c r="H5423" s="18">
        <v>904.82500000000005</v>
      </c>
      <c r="I5423" s="19">
        <v>40.98</v>
      </c>
      <c r="J5423" s="19">
        <v>2.99</v>
      </c>
      <c r="K5423" s="19" t="s">
        <v>44</v>
      </c>
      <c r="L5423" s="19" t="s">
        <v>52</v>
      </c>
      <c r="M5423" s="15" t="s">
        <v>2240</v>
      </c>
      <c r="N5423" s="15" t="s">
        <v>36</v>
      </c>
      <c r="O5423" s="15" t="s">
        <v>170</v>
      </c>
      <c r="P5423" s="20" t="s">
        <v>347</v>
      </c>
      <c r="Q5423" s="15" t="s">
        <v>83</v>
      </c>
      <c r="R5423" s="4"/>
      <c r="S5423" s="4"/>
    </row>
    <row r="5424" spans="1:19" ht="21" customHeight="1" x14ac:dyDescent="0.25">
      <c r="A5424" s="14">
        <f>DATE(2012,12,31)-624</f>
        <v>40650</v>
      </c>
      <c r="B5424" s="15" t="s">
        <v>276</v>
      </c>
      <c r="C5424" s="15" t="s">
        <v>85</v>
      </c>
      <c r="D5424" s="16">
        <v>13</v>
      </c>
      <c r="E5424" s="17">
        <v>642.66</v>
      </c>
      <c r="F5424" s="16">
        <v>0.05</v>
      </c>
      <c r="G5424" s="15" t="s">
        <v>32</v>
      </c>
      <c r="H5424" s="18">
        <v>-82.35</v>
      </c>
      <c r="I5424" s="19">
        <v>49.43</v>
      </c>
      <c r="J5424" s="19">
        <v>19.989999999999998</v>
      </c>
      <c r="K5424" s="19" t="s">
        <v>69</v>
      </c>
      <c r="L5424" s="19" t="s">
        <v>70</v>
      </c>
      <c r="M5424" s="15" t="s">
        <v>2230</v>
      </c>
      <c r="N5424" s="15" t="s">
        <v>36</v>
      </c>
      <c r="O5424" s="15" t="s">
        <v>176</v>
      </c>
      <c r="P5424" s="20" t="s">
        <v>1710</v>
      </c>
      <c r="Q5424" s="15" t="s">
        <v>83</v>
      </c>
      <c r="R5424" s="4"/>
      <c r="S5424" s="4"/>
    </row>
    <row r="5425" spans="1:19" ht="21" customHeight="1" x14ac:dyDescent="0.25">
      <c r="A5425" s="14">
        <f>DATE(2012,12,31)-392</f>
        <v>40882</v>
      </c>
      <c r="B5425" s="15" t="s">
        <v>401</v>
      </c>
      <c r="C5425" s="15" t="s">
        <v>31</v>
      </c>
      <c r="D5425" s="16">
        <v>26</v>
      </c>
      <c r="E5425" s="17">
        <v>118.43</v>
      </c>
      <c r="F5425" s="16">
        <v>0.02</v>
      </c>
      <c r="G5425" s="15" t="s">
        <v>101</v>
      </c>
      <c r="H5425" s="18">
        <v>11.96</v>
      </c>
      <c r="I5425" s="19">
        <v>4.2</v>
      </c>
      <c r="J5425" s="19">
        <v>2.2599999999999998</v>
      </c>
      <c r="K5425" s="19" t="s">
        <v>44</v>
      </c>
      <c r="L5425" s="19" t="s">
        <v>45</v>
      </c>
      <c r="M5425" s="15" t="s">
        <v>2236</v>
      </c>
      <c r="N5425" s="15" t="s">
        <v>36</v>
      </c>
      <c r="O5425" s="15" t="s">
        <v>117</v>
      </c>
      <c r="P5425" s="20" t="s">
        <v>2251</v>
      </c>
      <c r="Q5425" s="15" t="s">
        <v>79</v>
      </c>
      <c r="R5425" s="4"/>
      <c r="S5425" s="4"/>
    </row>
    <row r="5426" spans="1:19" ht="21" customHeight="1" x14ac:dyDescent="0.25">
      <c r="A5426" s="14">
        <f>DATE(2012,12,31)-167</f>
        <v>41107</v>
      </c>
      <c r="B5426" s="15" t="s">
        <v>1703</v>
      </c>
      <c r="C5426" s="15" t="s">
        <v>51</v>
      </c>
      <c r="D5426" s="16">
        <v>44</v>
      </c>
      <c r="E5426" s="17">
        <v>128.22</v>
      </c>
      <c r="F5426" s="16">
        <v>7.0000000000000007E-2</v>
      </c>
      <c r="G5426" s="15" t="s">
        <v>32</v>
      </c>
      <c r="H5426" s="18">
        <v>16.510000000000002</v>
      </c>
      <c r="I5426" s="19">
        <v>2.94</v>
      </c>
      <c r="J5426" s="19">
        <v>0.7</v>
      </c>
      <c r="K5426" s="19" t="s">
        <v>44</v>
      </c>
      <c r="L5426" s="19" t="s">
        <v>45</v>
      </c>
      <c r="M5426" s="15" t="s">
        <v>2236</v>
      </c>
      <c r="N5426" s="15" t="s">
        <v>36</v>
      </c>
      <c r="O5426" s="15" t="s">
        <v>77</v>
      </c>
      <c r="P5426" s="20" t="s">
        <v>987</v>
      </c>
      <c r="Q5426" s="15" t="s">
        <v>79</v>
      </c>
      <c r="R5426" s="4"/>
      <c r="S5426" s="4"/>
    </row>
    <row r="5427" spans="1:19" ht="21" customHeight="1" x14ac:dyDescent="0.25">
      <c r="A5427" s="14">
        <f>DATE(2012,12,31)-489</f>
        <v>40785</v>
      </c>
      <c r="B5427" s="15" t="s">
        <v>2252</v>
      </c>
      <c r="C5427" s="15" t="s">
        <v>85</v>
      </c>
      <c r="D5427" s="16">
        <v>19</v>
      </c>
      <c r="E5427" s="17">
        <v>169.4</v>
      </c>
      <c r="F5427" s="16">
        <v>0.1</v>
      </c>
      <c r="G5427" s="15" t="s">
        <v>32</v>
      </c>
      <c r="H5427" s="18">
        <v>-59.64</v>
      </c>
      <c r="I5427" s="19">
        <v>9.48</v>
      </c>
      <c r="J5427" s="19">
        <v>7.29</v>
      </c>
      <c r="K5427" s="19" t="s">
        <v>33</v>
      </c>
      <c r="L5427" s="19" t="s">
        <v>93</v>
      </c>
      <c r="M5427" s="15" t="s">
        <v>94</v>
      </c>
      <c r="N5427" s="15" t="s">
        <v>54</v>
      </c>
      <c r="O5427" s="15" t="s">
        <v>55</v>
      </c>
      <c r="P5427" s="20" t="s">
        <v>798</v>
      </c>
      <c r="Q5427" s="15" t="s">
        <v>49</v>
      </c>
      <c r="R5427" s="4"/>
      <c r="S5427" s="4"/>
    </row>
    <row r="5428" spans="1:19" ht="21" customHeight="1" x14ac:dyDescent="0.25">
      <c r="A5428" s="14">
        <f>DATE(2012,12,31)-1155</f>
        <v>40119</v>
      </c>
      <c r="B5428" s="15" t="s">
        <v>1658</v>
      </c>
      <c r="C5428" s="15" t="s">
        <v>85</v>
      </c>
      <c r="D5428" s="16">
        <v>37</v>
      </c>
      <c r="E5428" s="17">
        <v>9517.6</v>
      </c>
      <c r="F5428" s="16">
        <v>0.09</v>
      </c>
      <c r="G5428" s="15" t="s">
        <v>58</v>
      </c>
      <c r="H5428" s="18">
        <v>-1262.44</v>
      </c>
      <c r="I5428" s="19">
        <v>280.98</v>
      </c>
      <c r="J5428" s="19">
        <v>57</v>
      </c>
      <c r="K5428" s="19" t="s">
        <v>44</v>
      </c>
      <c r="L5428" s="19" t="s">
        <v>52</v>
      </c>
      <c r="M5428" s="15" t="s">
        <v>2240</v>
      </c>
      <c r="N5428" s="15" t="s">
        <v>54</v>
      </c>
      <c r="O5428" s="15" t="s">
        <v>252</v>
      </c>
      <c r="P5428" s="20" t="s">
        <v>1220</v>
      </c>
      <c r="Q5428" s="15" t="s">
        <v>181</v>
      </c>
      <c r="R5428" s="4"/>
      <c r="S5428" s="4"/>
    </row>
    <row r="5429" spans="1:19" ht="21" customHeight="1" x14ac:dyDescent="0.25">
      <c r="A5429" s="14">
        <f>DATE(2012,12,31)-1155</f>
        <v>40119</v>
      </c>
      <c r="B5429" s="15" t="s">
        <v>1658</v>
      </c>
      <c r="C5429" s="15" t="s">
        <v>85</v>
      </c>
      <c r="D5429" s="16">
        <v>31</v>
      </c>
      <c r="E5429" s="17">
        <v>904.93</v>
      </c>
      <c r="F5429" s="16">
        <v>0.08</v>
      </c>
      <c r="G5429" s="15" t="s">
        <v>32</v>
      </c>
      <c r="H5429" s="18">
        <v>-53.4</v>
      </c>
      <c r="I5429" s="19">
        <v>30.97</v>
      </c>
      <c r="J5429" s="19">
        <v>4</v>
      </c>
      <c r="K5429" s="19" t="s">
        <v>33</v>
      </c>
      <c r="L5429" s="19" t="s">
        <v>93</v>
      </c>
      <c r="M5429" s="15" t="s">
        <v>94</v>
      </c>
      <c r="N5429" s="15" t="s">
        <v>64</v>
      </c>
      <c r="O5429" s="15" t="s">
        <v>72</v>
      </c>
      <c r="P5429" s="20" t="s">
        <v>924</v>
      </c>
      <c r="Q5429" s="15" t="s">
        <v>83</v>
      </c>
      <c r="R5429" s="4"/>
      <c r="S5429" s="4"/>
    </row>
    <row r="5430" spans="1:19" ht="21" customHeight="1" x14ac:dyDescent="0.25">
      <c r="A5430" s="14">
        <f>DATE(2012,12,31)-1155</f>
        <v>40119</v>
      </c>
      <c r="B5430" s="15" t="s">
        <v>398</v>
      </c>
      <c r="C5430" s="15" t="s">
        <v>85</v>
      </c>
      <c r="D5430" s="16">
        <v>21</v>
      </c>
      <c r="E5430" s="17">
        <v>98.51</v>
      </c>
      <c r="F5430" s="16">
        <v>0.1</v>
      </c>
      <c r="G5430" s="15" t="s">
        <v>101</v>
      </c>
      <c r="H5430" s="18">
        <v>45.93</v>
      </c>
      <c r="I5430" s="19">
        <v>4.13</v>
      </c>
      <c r="J5430" s="19">
        <v>0.5</v>
      </c>
      <c r="K5430" s="19" t="s">
        <v>33</v>
      </c>
      <c r="L5430" s="19" t="s">
        <v>128</v>
      </c>
      <c r="M5430" s="15" t="s">
        <v>129</v>
      </c>
      <c r="N5430" s="15" t="s">
        <v>36</v>
      </c>
      <c r="O5430" s="15" t="s">
        <v>114</v>
      </c>
      <c r="P5430" s="20" t="s">
        <v>653</v>
      </c>
      <c r="Q5430" s="15" t="s">
        <v>83</v>
      </c>
      <c r="R5430" s="4"/>
      <c r="S5430" s="4"/>
    </row>
    <row r="5431" spans="1:19" ht="21" customHeight="1" x14ac:dyDescent="0.25">
      <c r="A5431" s="14">
        <f>DATE(2012,12,31)-1377</f>
        <v>39897</v>
      </c>
      <c r="B5431" s="15" t="s">
        <v>433</v>
      </c>
      <c r="C5431" s="15" t="s">
        <v>85</v>
      </c>
      <c r="D5431" s="16">
        <v>20</v>
      </c>
      <c r="E5431" s="17">
        <v>234.09</v>
      </c>
      <c r="F5431" s="16">
        <v>0.01</v>
      </c>
      <c r="G5431" s="15" t="s">
        <v>101</v>
      </c>
      <c r="H5431" s="18">
        <v>-11.69</v>
      </c>
      <c r="I5431" s="19">
        <v>10.64</v>
      </c>
      <c r="J5431" s="19">
        <v>5.16</v>
      </c>
      <c r="K5431" s="19" t="s">
        <v>33</v>
      </c>
      <c r="L5431" s="19" t="s">
        <v>59</v>
      </c>
      <c r="M5431" s="15" t="s">
        <v>2227</v>
      </c>
      <c r="N5431" s="15" t="s">
        <v>54</v>
      </c>
      <c r="O5431" s="15" t="s">
        <v>55</v>
      </c>
      <c r="P5431" s="20" t="s">
        <v>607</v>
      </c>
      <c r="Q5431" s="15" t="s">
        <v>83</v>
      </c>
      <c r="R5431" s="4"/>
      <c r="S5431" s="4"/>
    </row>
    <row r="5432" spans="1:19" ht="21" customHeight="1" x14ac:dyDescent="0.25">
      <c r="A5432" s="14">
        <f>DATE(2012,12,31)-1126</f>
        <v>40148</v>
      </c>
      <c r="B5432" s="15" t="s">
        <v>657</v>
      </c>
      <c r="C5432" s="15" t="s">
        <v>85</v>
      </c>
      <c r="D5432" s="16">
        <v>26</v>
      </c>
      <c r="E5432" s="17">
        <v>1011.9</v>
      </c>
      <c r="F5432" s="16">
        <v>7.0000000000000007E-2</v>
      </c>
      <c r="G5432" s="15" t="s">
        <v>32</v>
      </c>
      <c r="H5432" s="18">
        <v>247.94</v>
      </c>
      <c r="I5432" s="19">
        <v>39.479999999999997</v>
      </c>
      <c r="J5432" s="19">
        <v>1.99</v>
      </c>
      <c r="K5432" s="19" t="s">
        <v>33</v>
      </c>
      <c r="L5432" s="19" t="s">
        <v>34</v>
      </c>
      <c r="M5432" s="15" t="s">
        <v>2043</v>
      </c>
      <c r="N5432" s="15" t="s">
        <v>64</v>
      </c>
      <c r="O5432" s="15" t="s">
        <v>72</v>
      </c>
      <c r="P5432" s="20" t="s">
        <v>218</v>
      </c>
      <c r="Q5432" s="15" t="s">
        <v>49</v>
      </c>
      <c r="R5432" s="4"/>
      <c r="S5432" s="4"/>
    </row>
    <row r="5433" spans="1:19" ht="21" customHeight="1" x14ac:dyDescent="0.25">
      <c r="A5433" s="14">
        <f>DATE(2012,12,31)-1004</f>
        <v>40270</v>
      </c>
      <c r="B5433" s="15" t="s">
        <v>492</v>
      </c>
      <c r="C5433" s="15" t="s">
        <v>85</v>
      </c>
      <c r="D5433" s="16">
        <v>20</v>
      </c>
      <c r="E5433" s="17">
        <v>193.7</v>
      </c>
      <c r="F5433" s="16">
        <v>0.06</v>
      </c>
      <c r="G5433" s="15" t="s">
        <v>32</v>
      </c>
      <c r="H5433" s="18">
        <v>-14.99</v>
      </c>
      <c r="I5433" s="19">
        <v>9.85</v>
      </c>
      <c r="J5433" s="19">
        <v>4.82</v>
      </c>
      <c r="K5433" s="19" t="s">
        <v>33</v>
      </c>
      <c r="L5433" s="19" t="s">
        <v>59</v>
      </c>
      <c r="M5433" s="15" t="s">
        <v>2227</v>
      </c>
      <c r="N5433" s="15" t="s">
        <v>36</v>
      </c>
      <c r="O5433" s="15" t="s">
        <v>77</v>
      </c>
      <c r="P5433" s="20" t="s">
        <v>2079</v>
      </c>
      <c r="Q5433" s="15" t="s">
        <v>79</v>
      </c>
      <c r="R5433" s="4"/>
      <c r="S5433" s="4"/>
    </row>
    <row r="5434" spans="1:19" ht="21" customHeight="1" x14ac:dyDescent="0.25">
      <c r="A5434" s="14">
        <f>DATE(2012,12,31)-1234</f>
        <v>40040</v>
      </c>
      <c r="B5434" s="15" t="s">
        <v>2253</v>
      </c>
      <c r="C5434" s="15" t="s">
        <v>31</v>
      </c>
      <c r="D5434" s="16">
        <v>17</v>
      </c>
      <c r="E5434" s="17">
        <v>14665.15</v>
      </c>
      <c r="F5434" s="16">
        <v>0.04</v>
      </c>
      <c r="G5434" s="15" t="s">
        <v>58</v>
      </c>
      <c r="H5434" s="18">
        <v>2860.31</v>
      </c>
      <c r="I5434" s="19">
        <v>880.98</v>
      </c>
      <c r="J5434" s="19">
        <v>44.55</v>
      </c>
      <c r="K5434" s="19" t="s">
        <v>33</v>
      </c>
      <c r="L5434" s="19" t="s">
        <v>145</v>
      </c>
      <c r="M5434" s="15" t="s">
        <v>2248</v>
      </c>
      <c r="N5434" s="15" t="s">
        <v>54</v>
      </c>
      <c r="O5434" s="15" t="s">
        <v>134</v>
      </c>
      <c r="P5434" s="20" t="s">
        <v>668</v>
      </c>
      <c r="Q5434" s="15" t="s">
        <v>63</v>
      </c>
      <c r="R5434" s="4"/>
      <c r="S5434" s="4"/>
    </row>
    <row r="5435" spans="1:19" ht="21" customHeight="1" x14ac:dyDescent="0.25">
      <c r="A5435" s="14">
        <f>DATE(2012,12,31)-1234</f>
        <v>40040</v>
      </c>
      <c r="B5435" s="15" t="s">
        <v>2253</v>
      </c>
      <c r="C5435" s="15" t="s">
        <v>31</v>
      </c>
      <c r="D5435" s="16">
        <v>24</v>
      </c>
      <c r="E5435" s="17">
        <v>324.97000000000003</v>
      </c>
      <c r="F5435" s="16">
        <v>7.0000000000000007E-2</v>
      </c>
      <c r="G5435" s="15" t="s">
        <v>32</v>
      </c>
      <c r="H5435" s="18">
        <v>113.98</v>
      </c>
      <c r="I5435" s="19">
        <v>13.4</v>
      </c>
      <c r="J5435" s="19">
        <v>4.95</v>
      </c>
      <c r="K5435" s="19" t="s">
        <v>33</v>
      </c>
      <c r="L5435" s="19" t="s">
        <v>145</v>
      </c>
      <c r="M5435" s="15" t="s">
        <v>2248</v>
      </c>
      <c r="N5435" s="15" t="s">
        <v>54</v>
      </c>
      <c r="O5435" s="15" t="s">
        <v>55</v>
      </c>
      <c r="P5435" s="20" t="s">
        <v>1888</v>
      </c>
      <c r="Q5435" s="15" t="s">
        <v>49</v>
      </c>
      <c r="R5435" s="4"/>
      <c r="S5435" s="4"/>
    </row>
    <row r="5436" spans="1:19" ht="21" customHeight="1" x14ac:dyDescent="0.25">
      <c r="A5436" s="14">
        <f>DATE(2012,12,31)-1234</f>
        <v>40040</v>
      </c>
      <c r="B5436" s="15" t="s">
        <v>2253</v>
      </c>
      <c r="C5436" s="15" t="s">
        <v>31</v>
      </c>
      <c r="D5436" s="16">
        <v>27</v>
      </c>
      <c r="E5436" s="17">
        <v>451.52</v>
      </c>
      <c r="F5436" s="16">
        <v>0.01</v>
      </c>
      <c r="G5436" s="15" t="s">
        <v>32</v>
      </c>
      <c r="H5436" s="18">
        <v>-70.522199999999998</v>
      </c>
      <c r="I5436" s="19">
        <v>15.99</v>
      </c>
      <c r="J5436" s="19">
        <v>11.28</v>
      </c>
      <c r="K5436" s="19" t="s">
        <v>33</v>
      </c>
      <c r="L5436" s="19" t="s">
        <v>59</v>
      </c>
      <c r="M5436" s="15" t="s">
        <v>2227</v>
      </c>
      <c r="N5436" s="15" t="s">
        <v>64</v>
      </c>
      <c r="O5436" s="15" t="s">
        <v>122</v>
      </c>
      <c r="P5436" s="20" t="s">
        <v>1959</v>
      </c>
      <c r="Q5436" s="15" t="s">
        <v>57</v>
      </c>
      <c r="R5436" s="4"/>
      <c r="S5436" s="4"/>
    </row>
    <row r="5437" spans="1:19" ht="21" customHeight="1" x14ac:dyDescent="0.25">
      <c r="A5437" s="14">
        <f>DATE(2012,12,31)-1162</f>
        <v>40112</v>
      </c>
      <c r="B5437" s="15" t="s">
        <v>1596</v>
      </c>
      <c r="C5437" s="15" t="s">
        <v>51</v>
      </c>
      <c r="D5437" s="16">
        <v>27</v>
      </c>
      <c r="E5437" s="17">
        <v>2651.23</v>
      </c>
      <c r="F5437" s="16">
        <v>0.09</v>
      </c>
      <c r="G5437" s="15" t="s">
        <v>32</v>
      </c>
      <c r="H5437" s="18">
        <v>-741.81</v>
      </c>
      <c r="I5437" s="19">
        <v>101.41</v>
      </c>
      <c r="J5437" s="19">
        <v>35</v>
      </c>
      <c r="K5437" s="19" t="s">
        <v>33</v>
      </c>
      <c r="L5437" s="19" t="s">
        <v>59</v>
      </c>
      <c r="M5437" s="15" t="s">
        <v>2227</v>
      </c>
      <c r="N5437" s="15" t="s">
        <v>36</v>
      </c>
      <c r="O5437" s="15" t="s">
        <v>37</v>
      </c>
      <c r="P5437" s="20" t="s">
        <v>1411</v>
      </c>
      <c r="Q5437" s="15" t="s">
        <v>39</v>
      </c>
      <c r="R5437" s="4"/>
      <c r="S5437" s="4"/>
    </row>
    <row r="5438" spans="1:19" ht="21" customHeight="1" x14ac:dyDescent="0.25">
      <c r="A5438" s="14">
        <f>DATE(2012,12,31)-775</f>
        <v>40499</v>
      </c>
      <c r="B5438" s="15" t="s">
        <v>1185</v>
      </c>
      <c r="C5438" s="15" t="s">
        <v>43</v>
      </c>
      <c r="D5438" s="16">
        <v>28</v>
      </c>
      <c r="E5438" s="17">
        <v>2752</v>
      </c>
      <c r="F5438" s="16">
        <v>0.06</v>
      </c>
      <c r="G5438" s="15" t="s">
        <v>101</v>
      </c>
      <c r="H5438" s="18">
        <v>336.47</v>
      </c>
      <c r="I5438" s="19">
        <v>99.99</v>
      </c>
      <c r="J5438" s="19">
        <v>19.989999999999998</v>
      </c>
      <c r="K5438" s="19" t="s">
        <v>33</v>
      </c>
      <c r="L5438" s="19" t="s">
        <v>59</v>
      </c>
      <c r="M5438" s="15" t="s">
        <v>2227</v>
      </c>
      <c r="N5438" s="15" t="s">
        <v>64</v>
      </c>
      <c r="O5438" s="15" t="s">
        <v>72</v>
      </c>
      <c r="P5438" s="20" t="s">
        <v>496</v>
      </c>
      <c r="Q5438" s="15" t="s">
        <v>83</v>
      </c>
      <c r="R5438" s="4"/>
      <c r="S5438" s="4"/>
    </row>
    <row r="5439" spans="1:19" ht="21" customHeight="1" x14ac:dyDescent="0.25">
      <c r="A5439" s="14">
        <f>DATE(2012,12,31)-775</f>
        <v>40499</v>
      </c>
      <c r="B5439" s="15" t="s">
        <v>1185</v>
      </c>
      <c r="C5439" s="15" t="s">
        <v>43</v>
      </c>
      <c r="D5439" s="16">
        <v>12</v>
      </c>
      <c r="E5439" s="17">
        <v>72.819999999999993</v>
      </c>
      <c r="F5439" s="16">
        <v>0.02</v>
      </c>
      <c r="G5439" s="15" t="s">
        <v>32</v>
      </c>
      <c r="H5439" s="18">
        <v>5.03</v>
      </c>
      <c r="I5439" s="19">
        <v>5.98</v>
      </c>
      <c r="J5439" s="19">
        <v>2.5</v>
      </c>
      <c r="K5439" s="19" t="s">
        <v>33</v>
      </c>
      <c r="L5439" s="19" t="s">
        <v>59</v>
      </c>
      <c r="M5439" s="15" t="s">
        <v>2227</v>
      </c>
      <c r="N5439" s="15" t="s">
        <v>36</v>
      </c>
      <c r="O5439" s="15" t="s">
        <v>189</v>
      </c>
      <c r="P5439" s="20" t="s">
        <v>513</v>
      </c>
      <c r="Q5439" s="15" t="s">
        <v>83</v>
      </c>
      <c r="R5439" s="4"/>
      <c r="S5439" s="4"/>
    </row>
    <row r="5440" spans="1:19" ht="21" customHeight="1" x14ac:dyDescent="0.25">
      <c r="A5440" s="14">
        <f>DATE(2012,12,31)-429</f>
        <v>40845</v>
      </c>
      <c r="B5440" s="15" t="s">
        <v>728</v>
      </c>
      <c r="C5440" s="15" t="s">
        <v>31</v>
      </c>
      <c r="D5440" s="16">
        <v>23</v>
      </c>
      <c r="E5440" s="17">
        <v>667.99799999999993</v>
      </c>
      <c r="F5440" s="16">
        <v>0.06</v>
      </c>
      <c r="G5440" s="15" t="s">
        <v>32</v>
      </c>
      <c r="H5440" s="18">
        <v>251.262</v>
      </c>
      <c r="I5440" s="19">
        <v>35.99</v>
      </c>
      <c r="J5440" s="19">
        <v>1.25</v>
      </c>
      <c r="K5440" s="19" t="s">
        <v>33</v>
      </c>
      <c r="L5440" s="19" t="s">
        <v>34</v>
      </c>
      <c r="M5440" s="15" t="s">
        <v>2043</v>
      </c>
      <c r="N5440" s="15" t="s">
        <v>64</v>
      </c>
      <c r="O5440" s="15" t="s">
        <v>65</v>
      </c>
      <c r="P5440" s="20" t="s">
        <v>1725</v>
      </c>
      <c r="Q5440" s="15" t="s">
        <v>49</v>
      </c>
      <c r="R5440" s="4"/>
      <c r="S5440" s="4"/>
    </row>
    <row r="5441" spans="1:19" ht="21" customHeight="1" x14ac:dyDescent="0.25">
      <c r="A5441" s="14">
        <f>DATE(2012,12,31)-989</f>
        <v>40285</v>
      </c>
      <c r="B5441" s="15" t="s">
        <v>2182</v>
      </c>
      <c r="C5441" s="15" t="s">
        <v>85</v>
      </c>
      <c r="D5441" s="16">
        <v>13</v>
      </c>
      <c r="E5441" s="17">
        <v>2175.2179999999998</v>
      </c>
      <c r="F5441" s="16">
        <v>7.0000000000000007E-2</v>
      </c>
      <c r="G5441" s="15" t="s">
        <v>32</v>
      </c>
      <c r="H5441" s="18">
        <v>44.55</v>
      </c>
      <c r="I5441" s="19">
        <v>195.99</v>
      </c>
      <c r="J5441" s="19">
        <v>3.99</v>
      </c>
      <c r="K5441" s="19" t="s">
        <v>33</v>
      </c>
      <c r="L5441" s="19" t="s">
        <v>145</v>
      </c>
      <c r="M5441" s="15" t="s">
        <v>2248</v>
      </c>
      <c r="N5441" s="15" t="s">
        <v>64</v>
      </c>
      <c r="O5441" s="15" t="s">
        <v>65</v>
      </c>
      <c r="P5441" s="20" t="s">
        <v>248</v>
      </c>
      <c r="Q5441" s="15" t="s">
        <v>83</v>
      </c>
      <c r="R5441" s="4"/>
      <c r="S5441" s="4"/>
    </row>
    <row r="5442" spans="1:19" ht="21" customHeight="1" x14ac:dyDescent="0.25">
      <c r="A5442" s="14">
        <f>DATE(2012,12,31)-143</f>
        <v>41131</v>
      </c>
      <c r="B5442" s="15" t="s">
        <v>1023</v>
      </c>
      <c r="C5442" s="15" t="s">
        <v>31</v>
      </c>
      <c r="D5442" s="16">
        <v>41</v>
      </c>
      <c r="E5442" s="17">
        <v>162.51</v>
      </c>
      <c r="F5442" s="16">
        <v>0.09</v>
      </c>
      <c r="G5442" s="15" t="s">
        <v>32</v>
      </c>
      <c r="H5442" s="18">
        <v>-148.39599999999999</v>
      </c>
      <c r="I5442" s="19">
        <v>4.13</v>
      </c>
      <c r="J5442" s="19">
        <v>5.34</v>
      </c>
      <c r="K5442" s="19" t="s">
        <v>33</v>
      </c>
      <c r="L5442" s="19" t="s">
        <v>145</v>
      </c>
      <c r="M5442" s="15" t="s">
        <v>2248</v>
      </c>
      <c r="N5442" s="15" t="s">
        <v>36</v>
      </c>
      <c r="O5442" s="15" t="s">
        <v>170</v>
      </c>
      <c r="P5442" s="20" t="s">
        <v>575</v>
      </c>
      <c r="Q5442" s="15" t="s">
        <v>83</v>
      </c>
      <c r="R5442" s="4"/>
      <c r="S5442" s="4"/>
    </row>
    <row r="5443" spans="1:19" ht="21" customHeight="1" x14ac:dyDescent="0.25">
      <c r="A5443" s="14">
        <f>DATE(2012,12,31)-143</f>
        <v>41131</v>
      </c>
      <c r="B5443" s="15" t="s">
        <v>1023</v>
      </c>
      <c r="C5443" s="15" t="s">
        <v>31</v>
      </c>
      <c r="D5443" s="16">
        <v>3</v>
      </c>
      <c r="E5443" s="17">
        <v>561.42999999999995</v>
      </c>
      <c r="F5443" s="16">
        <v>7.0000000000000007E-2</v>
      </c>
      <c r="G5443" s="15" t="s">
        <v>58</v>
      </c>
      <c r="H5443" s="18">
        <v>-199.46</v>
      </c>
      <c r="I5443" s="19">
        <v>180.98</v>
      </c>
      <c r="J5443" s="19">
        <v>26.2</v>
      </c>
      <c r="K5443" s="19" t="s">
        <v>33</v>
      </c>
      <c r="L5443" s="19" t="s">
        <v>128</v>
      </c>
      <c r="M5443" s="15" t="s">
        <v>129</v>
      </c>
      <c r="N5443" s="15" t="s">
        <v>54</v>
      </c>
      <c r="O5443" s="15" t="s">
        <v>252</v>
      </c>
      <c r="P5443" s="20" t="s">
        <v>1499</v>
      </c>
      <c r="Q5443" s="15" t="s">
        <v>181</v>
      </c>
      <c r="R5443" s="4"/>
      <c r="S5443" s="4"/>
    </row>
    <row r="5444" spans="1:19" ht="21" customHeight="1" x14ac:dyDescent="0.25">
      <c r="A5444" s="14">
        <f>DATE(2012,12,31)-143</f>
        <v>41131</v>
      </c>
      <c r="B5444" s="15" t="s">
        <v>1023</v>
      </c>
      <c r="C5444" s="15" t="s">
        <v>31</v>
      </c>
      <c r="D5444" s="16">
        <v>13</v>
      </c>
      <c r="E5444" s="17">
        <v>64.459999999999994</v>
      </c>
      <c r="F5444" s="16">
        <v>0.01</v>
      </c>
      <c r="G5444" s="15" t="s">
        <v>32</v>
      </c>
      <c r="H5444" s="18">
        <v>25.16</v>
      </c>
      <c r="I5444" s="19">
        <v>4.91</v>
      </c>
      <c r="J5444" s="19">
        <v>0.5</v>
      </c>
      <c r="K5444" s="19" t="s">
        <v>33</v>
      </c>
      <c r="L5444" s="19" t="s">
        <v>59</v>
      </c>
      <c r="M5444" s="15" t="s">
        <v>2227</v>
      </c>
      <c r="N5444" s="15" t="s">
        <v>36</v>
      </c>
      <c r="O5444" s="15" t="s">
        <v>114</v>
      </c>
      <c r="P5444" s="20" t="s">
        <v>1429</v>
      </c>
      <c r="Q5444" s="15" t="s">
        <v>83</v>
      </c>
      <c r="R5444" s="4"/>
      <c r="S5444" s="4"/>
    </row>
    <row r="5445" spans="1:19" ht="21" customHeight="1" x14ac:dyDescent="0.25">
      <c r="A5445" s="14">
        <f>DATE(2012,12,31)-948</f>
        <v>40326</v>
      </c>
      <c r="B5445" s="15" t="s">
        <v>30</v>
      </c>
      <c r="C5445" s="15" t="s">
        <v>43</v>
      </c>
      <c r="D5445" s="16">
        <v>38</v>
      </c>
      <c r="E5445" s="17">
        <v>1279.25</v>
      </c>
      <c r="F5445" s="16">
        <v>0.01</v>
      </c>
      <c r="G5445" s="15" t="s">
        <v>32</v>
      </c>
      <c r="H5445" s="18">
        <v>569.29999999999995</v>
      </c>
      <c r="I5445" s="19">
        <v>31.78</v>
      </c>
      <c r="J5445" s="19">
        <v>1.99</v>
      </c>
      <c r="K5445" s="19" t="s">
        <v>69</v>
      </c>
      <c r="L5445" s="19" t="s">
        <v>70</v>
      </c>
      <c r="M5445" s="15" t="s">
        <v>2230</v>
      </c>
      <c r="N5445" s="15" t="s">
        <v>64</v>
      </c>
      <c r="O5445" s="15" t="s">
        <v>72</v>
      </c>
      <c r="P5445" s="20" t="s">
        <v>421</v>
      </c>
      <c r="Q5445" s="15" t="s">
        <v>49</v>
      </c>
      <c r="R5445" s="4"/>
      <c r="S5445" s="4"/>
    </row>
    <row r="5446" spans="1:19" ht="21" customHeight="1" x14ac:dyDescent="0.25">
      <c r="A5446" s="14">
        <f>DATE(2012,12,31)-1007</f>
        <v>40267</v>
      </c>
      <c r="B5446" s="15" t="s">
        <v>96</v>
      </c>
      <c r="C5446" s="15" t="s">
        <v>31</v>
      </c>
      <c r="D5446" s="16">
        <v>48</v>
      </c>
      <c r="E5446" s="17">
        <v>3982.42</v>
      </c>
      <c r="F5446" s="16">
        <v>0.04</v>
      </c>
      <c r="G5446" s="15" t="s">
        <v>32</v>
      </c>
      <c r="H5446" s="18">
        <v>1560.82</v>
      </c>
      <c r="I5446" s="19">
        <v>83.1</v>
      </c>
      <c r="J5446" s="19">
        <v>6.13</v>
      </c>
      <c r="K5446" s="19" t="s">
        <v>69</v>
      </c>
      <c r="L5446" s="19" t="s">
        <v>70</v>
      </c>
      <c r="M5446" s="15" t="s">
        <v>2230</v>
      </c>
      <c r="N5446" s="15" t="s">
        <v>64</v>
      </c>
      <c r="O5446" s="15" t="s">
        <v>72</v>
      </c>
      <c r="P5446" s="20" t="s">
        <v>1095</v>
      </c>
      <c r="Q5446" s="15" t="s">
        <v>83</v>
      </c>
      <c r="R5446" s="4"/>
      <c r="S5446" s="4"/>
    </row>
    <row r="5447" spans="1:19" ht="21" customHeight="1" x14ac:dyDescent="0.25">
      <c r="A5447" s="14">
        <f>DATE(2012,12,31)-1007</f>
        <v>40267</v>
      </c>
      <c r="B5447" s="15" t="s">
        <v>96</v>
      </c>
      <c r="C5447" s="15" t="s">
        <v>31</v>
      </c>
      <c r="D5447" s="16">
        <v>32</v>
      </c>
      <c r="E5447" s="17">
        <v>4025.66</v>
      </c>
      <c r="F5447" s="16">
        <v>0.05</v>
      </c>
      <c r="G5447" s="15" t="s">
        <v>58</v>
      </c>
      <c r="H5447" s="18">
        <v>-395.12</v>
      </c>
      <c r="I5447" s="19">
        <v>124.49</v>
      </c>
      <c r="J5447" s="19">
        <v>51.94</v>
      </c>
      <c r="K5447" s="19" t="s">
        <v>69</v>
      </c>
      <c r="L5447" s="19" t="s">
        <v>75</v>
      </c>
      <c r="M5447" s="15" t="s">
        <v>2231</v>
      </c>
      <c r="N5447" s="15" t="s">
        <v>54</v>
      </c>
      <c r="O5447" s="15" t="s">
        <v>61</v>
      </c>
      <c r="P5447" s="20" t="s">
        <v>220</v>
      </c>
      <c r="Q5447" s="15" t="s">
        <v>63</v>
      </c>
      <c r="R5447" s="4"/>
      <c r="S5447" s="4"/>
    </row>
    <row r="5448" spans="1:19" ht="21" customHeight="1" x14ac:dyDescent="0.25">
      <c r="A5448" s="14">
        <f>DATE(2012,12,31)-323</f>
        <v>40951</v>
      </c>
      <c r="B5448" s="15" t="s">
        <v>1808</v>
      </c>
      <c r="C5448" s="15" t="s">
        <v>51</v>
      </c>
      <c r="D5448" s="16">
        <v>48</v>
      </c>
      <c r="E5448" s="17">
        <v>326.10000000000002</v>
      </c>
      <c r="F5448" s="16">
        <v>0.04</v>
      </c>
      <c r="G5448" s="15" t="s">
        <v>32</v>
      </c>
      <c r="H5448" s="18">
        <v>-118.74</v>
      </c>
      <c r="I5448" s="19">
        <v>6.48</v>
      </c>
      <c r="J5448" s="19">
        <v>6.6</v>
      </c>
      <c r="K5448" s="19" t="s">
        <v>69</v>
      </c>
      <c r="L5448" s="19" t="s">
        <v>70</v>
      </c>
      <c r="M5448" s="15" t="s">
        <v>2230</v>
      </c>
      <c r="N5448" s="15" t="s">
        <v>36</v>
      </c>
      <c r="O5448" s="15" t="s">
        <v>117</v>
      </c>
      <c r="P5448" s="20" t="s">
        <v>745</v>
      </c>
      <c r="Q5448" s="15" t="s">
        <v>83</v>
      </c>
      <c r="R5448" s="4"/>
      <c r="S5448" s="4"/>
    </row>
    <row r="5449" spans="1:19" ht="21" customHeight="1" x14ac:dyDescent="0.25">
      <c r="A5449" s="14">
        <f>DATE(2012,12,31)-323</f>
        <v>40951</v>
      </c>
      <c r="B5449" s="15" t="s">
        <v>1808</v>
      </c>
      <c r="C5449" s="15" t="s">
        <v>51</v>
      </c>
      <c r="D5449" s="16">
        <v>6</v>
      </c>
      <c r="E5449" s="17">
        <v>170.374</v>
      </c>
      <c r="F5449" s="16">
        <v>0.09</v>
      </c>
      <c r="G5449" s="15" t="s">
        <v>32</v>
      </c>
      <c r="H5449" s="18">
        <v>-67.132999999999996</v>
      </c>
      <c r="I5449" s="19">
        <v>35.99</v>
      </c>
      <c r="J5449" s="19">
        <v>0.99</v>
      </c>
      <c r="K5449" s="19" t="s">
        <v>69</v>
      </c>
      <c r="L5449" s="19" t="s">
        <v>70</v>
      </c>
      <c r="M5449" s="15" t="s">
        <v>2230</v>
      </c>
      <c r="N5449" s="15" t="s">
        <v>64</v>
      </c>
      <c r="O5449" s="15" t="s">
        <v>65</v>
      </c>
      <c r="P5449" s="20" t="s">
        <v>647</v>
      </c>
      <c r="Q5449" s="15" t="s">
        <v>49</v>
      </c>
      <c r="R5449" s="4"/>
      <c r="S5449" s="4"/>
    </row>
    <row r="5450" spans="1:19" ht="21" customHeight="1" x14ac:dyDescent="0.25">
      <c r="A5450" s="14">
        <f>DATE(2012,12,31)-346</f>
        <v>40928</v>
      </c>
      <c r="B5450" s="15" t="s">
        <v>465</v>
      </c>
      <c r="C5450" s="15" t="s">
        <v>31</v>
      </c>
      <c r="D5450" s="16">
        <v>28</v>
      </c>
      <c r="E5450" s="17">
        <v>697.5</v>
      </c>
      <c r="F5450" s="16">
        <v>0.02</v>
      </c>
      <c r="G5450" s="15" t="s">
        <v>32</v>
      </c>
      <c r="H5450" s="18">
        <v>169.89</v>
      </c>
      <c r="I5450" s="19">
        <v>23.99</v>
      </c>
      <c r="J5450" s="19">
        <v>6.3</v>
      </c>
      <c r="K5450" s="19" t="s">
        <v>69</v>
      </c>
      <c r="L5450" s="19" t="s">
        <v>70</v>
      </c>
      <c r="M5450" s="15" t="s">
        <v>2230</v>
      </c>
      <c r="N5450" s="15" t="s">
        <v>64</v>
      </c>
      <c r="O5450" s="15" t="s">
        <v>122</v>
      </c>
      <c r="P5450" s="20" t="s">
        <v>1205</v>
      </c>
      <c r="Q5450" s="15" t="s">
        <v>57</v>
      </c>
      <c r="R5450" s="4"/>
      <c r="S5450" s="4"/>
    </row>
    <row r="5451" spans="1:19" ht="21" customHeight="1" x14ac:dyDescent="0.25">
      <c r="A5451" s="14">
        <f>DATE(2012,12,31)-566</f>
        <v>40708</v>
      </c>
      <c r="B5451" s="15" t="s">
        <v>705</v>
      </c>
      <c r="C5451" s="15" t="s">
        <v>31</v>
      </c>
      <c r="D5451" s="16">
        <v>3</v>
      </c>
      <c r="E5451" s="17">
        <v>2222.61</v>
      </c>
      <c r="F5451" s="16">
        <v>0.02</v>
      </c>
      <c r="G5451" s="15" t="s">
        <v>32</v>
      </c>
      <c r="H5451" s="18">
        <v>196.08</v>
      </c>
      <c r="I5451" s="19">
        <v>699.99</v>
      </c>
      <c r="J5451" s="19">
        <v>24.49</v>
      </c>
      <c r="K5451" s="19" t="s">
        <v>69</v>
      </c>
      <c r="L5451" s="19" t="s">
        <v>75</v>
      </c>
      <c r="M5451" s="15" t="s">
        <v>2231</v>
      </c>
      <c r="N5451" s="15" t="s">
        <v>64</v>
      </c>
      <c r="O5451" s="15" t="s">
        <v>460</v>
      </c>
      <c r="P5451" s="20" t="s">
        <v>461</v>
      </c>
      <c r="Q5451" s="15" t="s">
        <v>39</v>
      </c>
      <c r="R5451" s="4"/>
      <c r="S5451" s="4"/>
    </row>
    <row r="5452" spans="1:19" ht="21" customHeight="1" x14ac:dyDescent="0.25">
      <c r="A5452" s="14">
        <f>DATE(2012,12,31)-1378</f>
        <v>39896</v>
      </c>
      <c r="B5452" s="15" t="s">
        <v>1637</v>
      </c>
      <c r="C5452" s="15" t="s">
        <v>85</v>
      </c>
      <c r="D5452" s="16">
        <v>17</v>
      </c>
      <c r="E5452" s="17">
        <v>107.56</v>
      </c>
      <c r="F5452" s="16">
        <v>0.1</v>
      </c>
      <c r="G5452" s="15" t="s">
        <v>32</v>
      </c>
      <c r="H5452" s="18">
        <v>-25</v>
      </c>
      <c r="I5452" s="19">
        <v>6.64</v>
      </c>
      <c r="J5452" s="19">
        <v>54.95</v>
      </c>
      <c r="K5452" s="19" t="s">
        <v>69</v>
      </c>
      <c r="L5452" s="19" t="s">
        <v>215</v>
      </c>
      <c r="M5452" s="15" t="s">
        <v>2197</v>
      </c>
      <c r="N5452" s="15" t="s">
        <v>54</v>
      </c>
      <c r="O5452" s="15" t="s">
        <v>55</v>
      </c>
      <c r="P5452" s="20" t="s">
        <v>260</v>
      </c>
      <c r="Q5452" s="15" t="s">
        <v>49</v>
      </c>
      <c r="R5452" s="4"/>
      <c r="S5452" s="4"/>
    </row>
    <row r="5453" spans="1:19" ht="21" customHeight="1" x14ac:dyDescent="0.25">
      <c r="A5453" s="14">
        <f>DATE(2012,12,31)-1378</f>
        <v>39896</v>
      </c>
      <c r="B5453" s="15" t="s">
        <v>1637</v>
      </c>
      <c r="C5453" s="15" t="s">
        <v>85</v>
      </c>
      <c r="D5453" s="16">
        <v>15</v>
      </c>
      <c r="E5453" s="17">
        <v>1386.69</v>
      </c>
      <c r="F5453" s="16">
        <v>0.05</v>
      </c>
      <c r="G5453" s="15" t="s">
        <v>32</v>
      </c>
      <c r="H5453" s="18">
        <v>363</v>
      </c>
      <c r="I5453" s="19">
        <v>90.48</v>
      </c>
      <c r="J5453" s="19">
        <v>19.989999999999998</v>
      </c>
      <c r="K5453" s="19" t="s">
        <v>69</v>
      </c>
      <c r="L5453" s="19" t="s">
        <v>75</v>
      </c>
      <c r="M5453" s="15" t="s">
        <v>2231</v>
      </c>
      <c r="N5453" s="15" t="s">
        <v>36</v>
      </c>
      <c r="O5453" s="15" t="s">
        <v>189</v>
      </c>
      <c r="P5453" s="20" t="s">
        <v>963</v>
      </c>
      <c r="Q5453" s="15" t="s">
        <v>83</v>
      </c>
      <c r="R5453" s="4"/>
      <c r="S5453" s="4"/>
    </row>
    <row r="5454" spans="1:19" ht="21" customHeight="1" x14ac:dyDescent="0.25">
      <c r="A5454" s="14">
        <f>DATE(2012,12,31)-102</f>
        <v>41172</v>
      </c>
      <c r="B5454" s="15" t="s">
        <v>1709</v>
      </c>
      <c r="C5454" s="15" t="s">
        <v>85</v>
      </c>
      <c r="D5454" s="16">
        <v>39</v>
      </c>
      <c r="E5454" s="17">
        <v>2617.13</v>
      </c>
      <c r="F5454" s="16">
        <v>0</v>
      </c>
      <c r="G5454" s="15" t="s">
        <v>32</v>
      </c>
      <c r="H5454" s="18">
        <v>368.87</v>
      </c>
      <c r="I5454" s="19">
        <v>64.98</v>
      </c>
      <c r="J5454" s="19">
        <v>6.88</v>
      </c>
      <c r="K5454" s="19" t="s">
        <v>69</v>
      </c>
      <c r="L5454" s="19" t="s">
        <v>215</v>
      </c>
      <c r="M5454" s="15" t="s">
        <v>2197</v>
      </c>
      <c r="N5454" s="15" t="s">
        <v>36</v>
      </c>
      <c r="O5454" s="15" t="s">
        <v>37</v>
      </c>
      <c r="P5454" s="20" t="s">
        <v>727</v>
      </c>
      <c r="Q5454" s="15" t="s">
        <v>83</v>
      </c>
      <c r="R5454" s="4"/>
      <c r="S5454" s="4"/>
    </row>
    <row r="5455" spans="1:19" ht="21" customHeight="1" x14ac:dyDescent="0.25">
      <c r="A5455" s="14">
        <f>DATE(2012,12,31)-102</f>
        <v>41172</v>
      </c>
      <c r="B5455" s="15" t="s">
        <v>1709</v>
      </c>
      <c r="C5455" s="15" t="s">
        <v>85</v>
      </c>
      <c r="D5455" s="16">
        <v>9</v>
      </c>
      <c r="E5455" s="17">
        <v>169.27</v>
      </c>
      <c r="F5455" s="16">
        <v>0.09</v>
      </c>
      <c r="G5455" s="15" t="s">
        <v>32</v>
      </c>
      <c r="H5455" s="18">
        <v>-68.930000000000007</v>
      </c>
      <c r="I5455" s="19">
        <v>19.98</v>
      </c>
      <c r="J5455" s="19">
        <v>4</v>
      </c>
      <c r="K5455" s="19" t="s">
        <v>69</v>
      </c>
      <c r="L5455" s="19" t="s">
        <v>215</v>
      </c>
      <c r="M5455" s="15" t="s">
        <v>2197</v>
      </c>
      <c r="N5455" s="15" t="s">
        <v>64</v>
      </c>
      <c r="O5455" s="15" t="s">
        <v>72</v>
      </c>
      <c r="P5455" s="20" t="s">
        <v>805</v>
      </c>
      <c r="Q5455" s="15" t="s">
        <v>83</v>
      </c>
      <c r="R5455" s="4"/>
      <c r="S5455" s="4"/>
    </row>
    <row r="5456" spans="1:19" ht="21" customHeight="1" x14ac:dyDescent="0.25">
      <c r="A5456" s="14">
        <f>DATE(2012,12,31)-1320</f>
        <v>39954</v>
      </c>
      <c r="B5456" s="15" t="s">
        <v>1450</v>
      </c>
      <c r="C5456" s="15" t="s">
        <v>85</v>
      </c>
      <c r="D5456" s="16">
        <v>44</v>
      </c>
      <c r="E5456" s="17">
        <v>92.86</v>
      </c>
      <c r="F5456" s="16">
        <v>0.04</v>
      </c>
      <c r="G5456" s="15" t="s">
        <v>32</v>
      </c>
      <c r="H5456" s="18">
        <v>-11.281500000000001</v>
      </c>
      <c r="I5456" s="19">
        <v>2.08</v>
      </c>
      <c r="J5456" s="19">
        <v>1.49</v>
      </c>
      <c r="K5456" s="19" t="s">
        <v>111</v>
      </c>
      <c r="L5456" s="19" t="s">
        <v>442</v>
      </c>
      <c r="M5456" s="15" t="s">
        <v>2222</v>
      </c>
      <c r="N5456" s="15" t="s">
        <v>36</v>
      </c>
      <c r="O5456" s="15" t="s">
        <v>170</v>
      </c>
      <c r="P5456" s="20" t="s">
        <v>1285</v>
      </c>
      <c r="Q5456" s="15" t="s">
        <v>83</v>
      </c>
      <c r="R5456" s="4"/>
      <c r="S5456" s="4"/>
    </row>
    <row r="5457" spans="1:19" ht="21" customHeight="1" x14ac:dyDescent="0.25">
      <c r="A5457" s="14">
        <f>DATE(2012,12,31)-1334</f>
        <v>39940</v>
      </c>
      <c r="B5457" s="15" t="s">
        <v>1939</v>
      </c>
      <c r="C5457" s="15" t="s">
        <v>85</v>
      </c>
      <c r="D5457" s="16">
        <v>43</v>
      </c>
      <c r="E5457" s="17">
        <v>2251.4970000000003</v>
      </c>
      <c r="F5457" s="16">
        <v>0.09</v>
      </c>
      <c r="G5457" s="15" t="s">
        <v>101</v>
      </c>
      <c r="H5457" s="18">
        <v>308.93399999999997</v>
      </c>
      <c r="I5457" s="19">
        <v>65.989999999999995</v>
      </c>
      <c r="J5457" s="19">
        <v>8.99</v>
      </c>
      <c r="K5457" s="19" t="s">
        <v>111</v>
      </c>
      <c r="L5457" s="19" t="s">
        <v>407</v>
      </c>
      <c r="M5457" s="15" t="s">
        <v>407</v>
      </c>
      <c r="N5457" s="15" t="s">
        <v>64</v>
      </c>
      <c r="O5457" s="15" t="s">
        <v>65</v>
      </c>
      <c r="P5457" s="20" t="s">
        <v>312</v>
      </c>
      <c r="Q5457" s="15" t="s">
        <v>83</v>
      </c>
      <c r="R5457" s="4"/>
      <c r="S5457" s="4"/>
    </row>
    <row r="5458" spans="1:19" ht="21" customHeight="1" x14ac:dyDescent="0.25">
      <c r="A5458" s="14">
        <f>DATE(2012,12,31)-464</f>
        <v>40810</v>
      </c>
      <c r="B5458" s="15" t="s">
        <v>142</v>
      </c>
      <c r="C5458" s="15" t="s">
        <v>43</v>
      </c>
      <c r="D5458" s="16">
        <v>7</v>
      </c>
      <c r="E5458" s="17">
        <v>497.2</v>
      </c>
      <c r="F5458" s="16">
        <v>0</v>
      </c>
      <c r="G5458" s="15" t="s">
        <v>32</v>
      </c>
      <c r="H5458" s="18">
        <v>-219.61</v>
      </c>
      <c r="I5458" s="19">
        <v>60.98</v>
      </c>
      <c r="J5458" s="19">
        <v>49</v>
      </c>
      <c r="K5458" s="19" t="s">
        <v>44</v>
      </c>
      <c r="L5458" s="19" t="s">
        <v>89</v>
      </c>
      <c r="M5458" s="15" t="s">
        <v>1932</v>
      </c>
      <c r="N5458" s="15" t="s">
        <v>36</v>
      </c>
      <c r="O5458" s="15" t="s">
        <v>176</v>
      </c>
      <c r="P5458" s="20" t="s">
        <v>534</v>
      </c>
      <c r="Q5458" s="15" t="s">
        <v>39</v>
      </c>
      <c r="R5458" s="4"/>
      <c r="S5458" s="4"/>
    </row>
    <row r="5459" spans="1:19" ht="21" customHeight="1" x14ac:dyDescent="0.25">
      <c r="A5459" s="14">
        <f>DATE(2012,12,31)-697</f>
        <v>40577</v>
      </c>
      <c r="B5459" s="15" t="s">
        <v>1605</v>
      </c>
      <c r="C5459" s="15" t="s">
        <v>85</v>
      </c>
      <c r="D5459" s="16">
        <v>50</v>
      </c>
      <c r="E5459" s="17">
        <v>298.12</v>
      </c>
      <c r="F5459" s="16">
        <v>0.09</v>
      </c>
      <c r="G5459" s="15" t="s">
        <v>32</v>
      </c>
      <c r="H5459" s="18">
        <v>137.66999999999999</v>
      </c>
      <c r="I5459" s="19">
        <v>6.3</v>
      </c>
      <c r="J5459" s="19">
        <v>0.5</v>
      </c>
      <c r="K5459" s="19" t="s">
        <v>44</v>
      </c>
      <c r="L5459" s="19" t="s">
        <v>120</v>
      </c>
      <c r="M5459" s="15" t="s">
        <v>2025</v>
      </c>
      <c r="N5459" s="15" t="s">
        <v>36</v>
      </c>
      <c r="O5459" s="15" t="s">
        <v>114</v>
      </c>
      <c r="P5459" s="20" t="s">
        <v>916</v>
      </c>
      <c r="Q5459" s="15" t="s">
        <v>83</v>
      </c>
      <c r="R5459" s="4"/>
      <c r="S5459" s="4"/>
    </row>
    <row r="5460" spans="1:19" ht="21" customHeight="1" x14ac:dyDescent="0.25">
      <c r="A5460" s="14">
        <f>DATE(2012,12,31)-562</f>
        <v>40712</v>
      </c>
      <c r="B5460" s="15" t="s">
        <v>1378</v>
      </c>
      <c r="C5460" s="15" t="s">
        <v>85</v>
      </c>
      <c r="D5460" s="16">
        <v>10</v>
      </c>
      <c r="E5460" s="17">
        <v>236.17</v>
      </c>
      <c r="F5460" s="16">
        <v>0.09</v>
      </c>
      <c r="G5460" s="15" t="s">
        <v>58</v>
      </c>
      <c r="H5460" s="18">
        <v>-21.39</v>
      </c>
      <c r="I5460" s="19">
        <v>23.99</v>
      </c>
      <c r="J5460" s="19">
        <v>15.68</v>
      </c>
      <c r="K5460" s="19" t="s">
        <v>44</v>
      </c>
      <c r="L5460" s="19" t="s">
        <v>89</v>
      </c>
      <c r="M5460" s="15" t="s">
        <v>1932</v>
      </c>
      <c r="N5460" s="15" t="s">
        <v>54</v>
      </c>
      <c r="O5460" s="15" t="s">
        <v>55</v>
      </c>
      <c r="P5460" s="20" t="s">
        <v>1975</v>
      </c>
      <c r="Q5460" s="15" t="s">
        <v>181</v>
      </c>
      <c r="R5460" s="4"/>
      <c r="S5460" s="4"/>
    </row>
    <row r="5461" spans="1:19" ht="21" customHeight="1" x14ac:dyDescent="0.25">
      <c r="A5461" s="14">
        <f>DATE(2012,12,31)-514</f>
        <v>40760</v>
      </c>
      <c r="B5461" s="15" t="s">
        <v>1881</v>
      </c>
      <c r="C5461" s="15" t="s">
        <v>31</v>
      </c>
      <c r="D5461" s="16">
        <v>22</v>
      </c>
      <c r="E5461" s="17">
        <v>79.040000000000006</v>
      </c>
      <c r="F5461" s="16">
        <v>0.05</v>
      </c>
      <c r="G5461" s="15" t="s">
        <v>32</v>
      </c>
      <c r="H5461" s="18">
        <v>-77.930000000000007</v>
      </c>
      <c r="I5461" s="19">
        <v>3.28</v>
      </c>
      <c r="J5461" s="19">
        <v>5</v>
      </c>
      <c r="K5461" s="19" t="s">
        <v>44</v>
      </c>
      <c r="L5461" s="19" t="s">
        <v>89</v>
      </c>
      <c r="M5461" s="15" t="s">
        <v>1932</v>
      </c>
      <c r="N5461" s="15" t="s">
        <v>36</v>
      </c>
      <c r="O5461" s="15" t="s">
        <v>77</v>
      </c>
      <c r="P5461" s="20" t="s">
        <v>863</v>
      </c>
      <c r="Q5461" s="15" t="s">
        <v>79</v>
      </c>
      <c r="R5461" s="4"/>
      <c r="S5461" s="4"/>
    </row>
    <row r="5462" spans="1:19" ht="21" customHeight="1" x14ac:dyDescent="0.25">
      <c r="A5462" s="14">
        <f>DATE(2012,12,31)-778</f>
        <v>40496</v>
      </c>
      <c r="B5462" s="15" t="s">
        <v>1142</v>
      </c>
      <c r="C5462" s="15" t="s">
        <v>51</v>
      </c>
      <c r="D5462" s="16">
        <v>9</v>
      </c>
      <c r="E5462" s="17">
        <v>96.52</v>
      </c>
      <c r="F5462" s="16">
        <v>0.1</v>
      </c>
      <c r="G5462" s="15" t="s">
        <v>32</v>
      </c>
      <c r="H5462" s="18">
        <v>16.78</v>
      </c>
      <c r="I5462" s="19">
        <v>10.64</v>
      </c>
      <c r="J5462" s="19">
        <v>5.16</v>
      </c>
      <c r="K5462" s="19" t="s">
        <v>44</v>
      </c>
      <c r="L5462" s="19" t="s">
        <v>89</v>
      </c>
      <c r="M5462" s="15" t="s">
        <v>1932</v>
      </c>
      <c r="N5462" s="15" t="s">
        <v>54</v>
      </c>
      <c r="O5462" s="15" t="s">
        <v>55</v>
      </c>
      <c r="P5462" s="20" t="s">
        <v>607</v>
      </c>
      <c r="Q5462" s="15" t="s">
        <v>83</v>
      </c>
      <c r="R5462" s="4"/>
      <c r="S5462" s="4"/>
    </row>
    <row r="5463" spans="1:19" ht="21" customHeight="1" x14ac:dyDescent="0.25">
      <c r="A5463" s="14">
        <f>DATE(2012,12,31)-778</f>
        <v>40496</v>
      </c>
      <c r="B5463" s="15" t="s">
        <v>1142</v>
      </c>
      <c r="C5463" s="15" t="s">
        <v>51</v>
      </c>
      <c r="D5463" s="16">
        <v>4</v>
      </c>
      <c r="E5463" s="17">
        <v>115.17</v>
      </c>
      <c r="F5463" s="16">
        <v>0.04</v>
      </c>
      <c r="G5463" s="15" t="s">
        <v>58</v>
      </c>
      <c r="H5463" s="18">
        <v>40.93</v>
      </c>
      <c r="I5463" s="19">
        <v>23.99</v>
      </c>
      <c r="J5463" s="19">
        <v>15.68</v>
      </c>
      <c r="K5463" s="19" t="s">
        <v>44</v>
      </c>
      <c r="L5463" s="19" t="s">
        <v>89</v>
      </c>
      <c r="M5463" s="15" t="s">
        <v>1932</v>
      </c>
      <c r="N5463" s="15" t="s">
        <v>54</v>
      </c>
      <c r="O5463" s="15" t="s">
        <v>55</v>
      </c>
      <c r="P5463" s="20" t="s">
        <v>1975</v>
      </c>
      <c r="Q5463" s="15" t="s">
        <v>181</v>
      </c>
      <c r="R5463" s="4"/>
      <c r="S5463" s="4"/>
    </row>
    <row r="5464" spans="1:19" ht="21" customHeight="1" x14ac:dyDescent="0.25">
      <c r="A5464" s="14">
        <f>DATE(2012,12,31)-1023</f>
        <v>40251</v>
      </c>
      <c r="B5464" s="15" t="s">
        <v>1166</v>
      </c>
      <c r="C5464" s="15" t="s">
        <v>31</v>
      </c>
      <c r="D5464" s="16">
        <v>24</v>
      </c>
      <c r="E5464" s="17">
        <v>1457.7120000000002</v>
      </c>
      <c r="F5464" s="16">
        <v>0.03</v>
      </c>
      <c r="G5464" s="15" t="s">
        <v>58</v>
      </c>
      <c r="H5464" s="18">
        <v>-1565.89</v>
      </c>
      <c r="I5464" s="19">
        <v>70.89</v>
      </c>
      <c r="J5464" s="19">
        <v>89.3</v>
      </c>
      <c r="K5464" s="19" t="s">
        <v>44</v>
      </c>
      <c r="L5464" s="19" t="s">
        <v>45</v>
      </c>
      <c r="M5464" s="15" t="s">
        <v>2236</v>
      </c>
      <c r="N5464" s="15" t="s">
        <v>54</v>
      </c>
      <c r="O5464" s="15" t="s">
        <v>61</v>
      </c>
      <c r="P5464" s="20" t="s">
        <v>62</v>
      </c>
      <c r="Q5464" s="15" t="s">
        <v>63</v>
      </c>
      <c r="R5464" s="4"/>
      <c r="S5464" s="4"/>
    </row>
    <row r="5465" spans="1:19" ht="21" customHeight="1" x14ac:dyDescent="0.25">
      <c r="A5465" s="14">
        <f>DATE(2012,12,31)-225</f>
        <v>41049</v>
      </c>
      <c r="B5465" s="15" t="s">
        <v>140</v>
      </c>
      <c r="C5465" s="15" t="s">
        <v>43</v>
      </c>
      <c r="D5465" s="16">
        <v>1</v>
      </c>
      <c r="E5465" s="17">
        <v>9.6999999999999993</v>
      </c>
      <c r="F5465" s="16">
        <v>0.02</v>
      </c>
      <c r="G5465" s="15" t="s">
        <v>32</v>
      </c>
      <c r="H5465" s="18">
        <v>-18.03</v>
      </c>
      <c r="I5465" s="19">
        <v>4.9800000000000004</v>
      </c>
      <c r="J5465" s="19">
        <v>4.62</v>
      </c>
      <c r="K5465" s="19" t="s">
        <v>44</v>
      </c>
      <c r="L5465" s="19" t="s">
        <v>45</v>
      </c>
      <c r="M5465" s="15" t="s">
        <v>2236</v>
      </c>
      <c r="N5465" s="15" t="s">
        <v>64</v>
      </c>
      <c r="O5465" s="15" t="s">
        <v>72</v>
      </c>
      <c r="P5465" s="20" t="s">
        <v>139</v>
      </c>
      <c r="Q5465" s="15" t="s">
        <v>49</v>
      </c>
      <c r="R5465" s="4"/>
      <c r="S5465" s="4"/>
    </row>
    <row r="5466" spans="1:19" ht="21" customHeight="1" x14ac:dyDescent="0.25">
      <c r="A5466" s="14">
        <f>DATE(2012,12,31)-15</f>
        <v>41259</v>
      </c>
      <c r="B5466" s="15" t="s">
        <v>728</v>
      </c>
      <c r="C5466" s="15" t="s">
        <v>51</v>
      </c>
      <c r="D5466" s="16">
        <v>6</v>
      </c>
      <c r="E5466" s="17">
        <v>259.52</v>
      </c>
      <c r="F5466" s="16">
        <v>0.06</v>
      </c>
      <c r="G5466" s="15" t="s">
        <v>32</v>
      </c>
      <c r="H5466" s="18">
        <v>45.203000000000003</v>
      </c>
      <c r="I5466" s="19">
        <v>43.41</v>
      </c>
      <c r="J5466" s="19">
        <v>2.99</v>
      </c>
      <c r="K5466" s="19" t="s">
        <v>44</v>
      </c>
      <c r="L5466" s="19" t="s">
        <v>89</v>
      </c>
      <c r="M5466" s="15" t="s">
        <v>1932</v>
      </c>
      <c r="N5466" s="15" t="s">
        <v>36</v>
      </c>
      <c r="O5466" s="15" t="s">
        <v>170</v>
      </c>
      <c r="P5466" s="20" t="s">
        <v>962</v>
      </c>
      <c r="Q5466" s="15" t="s">
        <v>83</v>
      </c>
      <c r="R5466" s="4"/>
      <c r="S5466" s="4"/>
    </row>
    <row r="5467" spans="1:19" ht="21" customHeight="1" x14ac:dyDescent="0.25">
      <c r="A5467" s="14">
        <f>DATE(2012,12,31)-977</f>
        <v>40297</v>
      </c>
      <c r="B5467" s="15" t="s">
        <v>2194</v>
      </c>
      <c r="C5467" s="15" t="s">
        <v>85</v>
      </c>
      <c r="D5467" s="16">
        <v>34</v>
      </c>
      <c r="E5467" s="17">
        <v>12570.74</v>
      </c>
      <c r="F5467" s="16">
        <v>0.02</v>
      </c>
      <c r="G5467" s="15" t="s">
        <v>58</v>
      </c>
      <c r="H5467" s="18">
        <v>-4560.43</v>
      </c>
      <c r="I5467" s="19">
        <v>348.21</v>
      </c>
      <c r="J5467" s="19">
        <v>40.19</v>
      </c>
      <c r="K5467" s="19" t="s">
        <v>44</v>
      </c>
      <c r="L5467" s="19" t="s">
        <v>80</v>
      </c>
      <c r="M5467" s="15" t="s">
        <v>2179</v>
      </c>
      <c r="N5467" s="15" t="s">
        <v>54</v>
      </c>
      <c r="O5467" s="15" t="s">
        <v>61</v>
      </c>
      <c r="P5467" s="20" t="s">
        <v>1141</v>
      </c>
      <c r="Q5467" s="15" t="s">
        <v>63</v>
      </c>
      <c r="R5467" s="4"/>
      <c r="S5467" s="4"/>
    </row>
    <row r="5468" spans="1:19" ht="21" customHeight="1" x14ac:dyDescent="0.25">
      <c r="A5468" s="14">
        <f>DATE(2012,12,31)-204</f>
        <v>41070</v>
      </c>
      <c r="B5468" s="15" t="s">
        <v>149</v>
      </c>
      <c r="C5468" s="15" t="s">
        <v>85</v>
      </c>
      <c r="D5468" s="16">
        <v>1</v>
      </c>
      <c r="E5468" s="17">
        <v>8.49</v>
      </c>
      <c r="F5468" s="16">
        <v>0.06</v>
      </c>
      <c r="G5468" s="15" t="s">
        <v>32</v>
      </c>
      <c r="H5468" s="18">
        <v>-5.7385000000000002</v>
      </c>
      <c r="I5468" s="19">
        <v>3.74</v>
      </c>
      <c r="J5468" s="19">
        <v>4.6900000000000004</v>
      </c>
      <c r="K5468" s="19" t="s">
        <v>44</v>
      </c>
      <c r="L5468" s="19" t="s">
        <v>120</v>
      </c>
      <c r="M5468" s="15" t="s">
        <v>2025</v>
      </c>
      <c r="N5468" s="15" t="s">
        <v>36</v>
      </c>
      <c r="O5468" s="15" t="s">
        <v>170</v>
      </c>
      <c r="P5468" s="20" t="s">
        <v>1870</v>
      </c>
      <c r="Q5468" s="15" t="s">
        <v>83</v>
      </c>
      <c r="R5468" s="4"/>
      <c r="S5468" s="4"/>
    </row>
    <row r="5469" spans="1:19" ht="21" customHeight="1" x14ac:dyDescent="0.25">
      <c r="A5469" s="14">
        <f>DATE(2012,12,31)-1156</f>
        <v>40118</v>
      </c>
      <c r="B5469" s="15" t="s">
        <v>630</v>
      </c>
      <c r="C5469" s="15" t="s">
        <v>43</v>
      </c>
      <c r="D5469" s="16">
        <v>25</v>
      </c>
      <c r="E5469" s="17">
        <v>152.31</v>
      </c>
      <c r="F5469" s="16">
        <v>0.03</v>
      </c>
      <c r="G5469" s="15" t="s">
        <v>32</v>
      </c>
      <c r="H5469" s="18">
        <v>38.08</v>
      </c>
      <c r="I5469" s="19">
        <v>5.98</v>
      </c>
      <c r="J5469" s="19">
        <v>1.49</v>
      </c>
      <c r="K5469" s="19" t="s">
        <v>44</v>
      </c>
      <c r="L5469" s="19" t="s">
        <v>120</v>
      </c>
      <c r="M5469" s="15" t="s">
        <v>2025</v>
      </c>
      <c r="N5469" s="15" t="s">
        <v>36</v>
      </c>
      <c r="O5469" s="15" t="s">
        <v>170</v>
      </c>
      <c r="P5469" s="20" t="s">
        <v>365</v>
      </c>
      <c r="Q5469" s="15" t="s">
        <v>83</v>
      </c>
      <c r="R5469" s="4"/>
      <c r="S5469" s="4"/>
    </row>
    <row r="5470" spans="1:19" ht="21" customHeight="1" x14ac:dyDescent="0.25">
      <c r="A5470" s="14">
        <f>DATE(2012,12,31)-283</f>
        <v>40991</v>
      </c>
      <c r="B5470" s="15" t="s">
        <v>1876</v>
      </c>
      <c r="C5470" s="15" t="s">
        <v>31</v>
      </c>
      <c r="D5470" s="16">
        <v>13</v>
      </c>
      <c r="E5470" s="17">
        <v>728.02499999999998</v>
      </c>
      <c r="F5470" s="16">
        <v>0.04</v>
      </c>
      <c r="G5470" s="15" t="s">
        <v>32</v>
      </c>
      <c r="H5470" s="18">
        <v>19.997999999999998</v>
      </c>
      <c r="I5470" s="19">
        <v>65.989999999999995</v>
      </c>
      <c r="J5470" s="19">
        <v>2.5</v>
      </c>
      <c r="K5470" s="19" t="s">
        <v>44</v>
      </c>
      <c r="L5470" s="19" t="s">
        <v>120</v>
      </c>
      <c r="M5470" s="15" t="s">
        <v>2025</v>
      </c>
      <c r="N5470" s="15" t="s">
        <v>64</v>
      </c>
      <c r="O5470" s="15" t="s">
        <v>65</v>
      </c>
      <c r="P5470" s="20" t="s">
        <v>1239</v>
      </c>
      <c r="Q5470" s="15" t="s">
        <v>83</v>
      </c>
      <c r="R5470" s="4"/>
      <c r="S5470" s="4"/>
    </row>
    <row r="5471" spans="1:19" ht="21" customHeight="1" x14ac:dyDescent="0.25">
      <c r="A5471" s="14">
        <f>DATE(2012,12,31)-1113</f>
        <v>40161</v>
      </c>
      <c r="B5471" s="15" t="s">
        <v>1439</v>
      </c>
      <c r="C5471" s="15" t="s">
        <v>85</v>
      </c>
      <c r="D5471" s="16">
        <v>40</v>
      </c>
      <c r="E5471" s="17">
        <v>2169.4899999999998</v>
      </c>
      <c r="F5471" s="16">
        <v>0.06</v>
      </c>
      <c r="G5471" s="15" t="s">
        <v>32</v>
      </c>
      <c r="H5471" s="18">
        <v>1043.43</v>
      </c>
      <c r="I5471" s="19">
        <v>55.48</v>
      </c>
      <c r="J5471" s="19">
        <v>4.8499999999999996</v>
      </c>
      <c r="K5471" s="19" t="s">
        <v>44</v>
      </c>
      <c r="L5471" s="19" t="s">
        <v>120</v>
      </c>
      <c r="M5471" s="15" t="s">
        <v>2025</v>
      </c>
      <c r="N5471" s="15" t="s">
        <v>36</v>
      </c>
      <c r="O5471" s="15" t="s">
        <v>117</v>
      </c>
      <c r="P5471" s="20" t="s">
        <v>2070</v>
      </c>
      <c r="Q5471" s="15" t="s">
        <v>83</v>
      </c>
      <c r="R5471" s="4"/>
      <c r="S5471" s="4"/>
    </row>
    <row r="5472" spans="1:19" ht="21" customHeight="1" x14ac:dyDescent="0.25">
      <c r="A5472" s="14">
        <f>DATE(2012,12,31)-1113</f>
        <v>40161</v>
      </c>
      <c r="B5472" s="15" t="s">
        <v>1439</v>
      </c>
      <c r="C5472" s="15" t="s">
        <v>85</v>
      </c>
      <c r="D5472" s="16">
        <v>37</v>
      </c>
      <c r="E5472" s="17">
        <v>4411.5</v>
      </c>
      <c r="F5472" s="16">
        <v>0.1</v>
      </c>
      <c r="G5472" s="15" t="s">
        <v>58</v>
      </c>
      <c r="H5472" s="18">
        <v>-1799.35</v>
      </c>
      <c r="I5472" s="19">
        <v>122.99</v>
      </c>
      <c r="J5472" s="19">
        <v>70.2</v>
      </c>
      <c r="K5472" s="19" t="s">
        <v>44</v>
      </c>
      <c r="L5472" s="19" t="s">
        <v>89</v>
      </c>
      <c r="M5472" s="15" t="s">
        <v>1932</v>
      </c>
      <c r="N5472" s="15" t="s">
        <v>54</v>
      </c>
      <c r="O5472" s="15" t="s">
        <v>252</v>
      </c>
      <c r="P5472" s="20" t="s">
        <v>819</v>
      </c>
      <c r="Q5472" s="15" t="s">
        <v>181</v>
      </c>
      <c r="R5472" s="4"/>
      <c r="S5472" s="4"/>
    </row>
    <row r="5473" spans="1:19" ht="21" customHeight="1" x14ac:dyDescent="0.25">
      <c r="A5473" s="14">
        <f>DATE(2012,12,31)-136</f>
        <v>41138</v>
      </c>
      <c r="B5473" s="15" t="s">
        <v>736</v>
      </c>
      <c r="C5473" s="15" t="s">
        <v>51</v>
      </c>
      <c r="D5473" s="16">
        <v>47</v>
      </c>
      <c r="E5473" s="17">
        <v>256</v>
      </c>
      <c r="F5473" s="16">
        <v>0.03</v>
      </c>
      <c r="G5473" s="15" t="s">
        <v>32</v>
      </c>
      <c r="H5473" s="18">
        <v>-119.84</v>
      </c>
      <c r="I5473" s="19">
        <v>5.28</v>
      </c>
      <c r="J5473" s="19">
        <v>5.66</v>
      </c>
      <c r="K5473" s="19" t="s">
        <v>44</v>
      </c>
      <c r="L5473" s="19" t="s">
        <v>89</v>
      </c>
      <c r="M5473" s="15" t="s">
        <v>1932</v>
      </c>
      <c r="N5473" s="15" t="s">
        <v>36</v>
      </c>
      <c r="O5473" s="15" t="s">
        <v>117</v>
      </c>
      <c r="P5473" s="20" t="s">
        <v>2153</v>
      </c>
      <c r="Q5473" s="15" t="s">
        <v>83</v>
      </c>
      <c r="R5473" s="4"/>
      <c r="S5473" s="4"/>
    </row>
    <row r="5474" spans="1:19" ht="21" customHeight="1" x14ac:dyDescent="0.25">
      <c r="A5474" s="14">
        <f>DATE(2012,12,31)-136</f>
        <v>41138</v>
      </c>
      <c r="B5474" s="15" t="s">
        <v>736</v>
      </c>
      <c r="C5474" s="15" t="s">
        <v>51</v>
      </c>
      <c r="D5474" s="16">
        <v>20</v>
      </c>
      <c r="E5474" s="17">
        <v>6067.76</v>
      </c>
      <c r="F5474" s="16">
        <v>0.06</v>
      </c>
      <c r="G5474" s="15" t="s">
        <v>58</v>
      </c>
      <c r="H5474" s="18">
        <v>-98.046000000000006</v>
      </c>
      <c r="I5474" s="19">
        <v>296.18</v>
      </c>
      <c r="J5474" s="19">
        <v>54.12</v>
      </c>
      <c r="K5474" s="19" t="s">
        <v>44</v>
      </c>
      <c r="L5474" s="19" t="s">
        <v>120</v>
      </c>
      <c r="M5474" s="15" t="s">
        <v>2025</v>
      </c>
      <c r="N5474" s="15" t="s">
        <v>54</v>
      </c>
      <c r="O5474" s="15" t="s">
        <v>61</v>
      </c>
      <c r="P5474" s="20" t="s">
        <v>345</v>
      </c>
      <c r="Q5474" s="15" t="s">
        <v>63</v>
      </c>
      <c r="R5474" s="4"/>
      <c r="S5474" s="4"/>
    </row>
    <row r="5475" spans="1:19" ht="21" customHeight="1" x14ac:dyDescent="0.25">
      <c r="A5475" s="14">
        <f>DATE(2012,12,31)-1242</f>
        <v>40032</v>
      </c>
      <c r="B5475" s="15" t="s">
        <v>2057</v>
      </c>
      <c r="C5475" s="15" t="s">
        <v>51</v>
      </c>
      <c r="D5475" s="16">
        <v>26</v>
      </c>
      <c r="E5475" s="17">
        <v>172.01</v>
      </c>
      <c r="F5475" s="16">
        <v>0.06</v>
      </c>
      <c r="G5475" s="15" t="s">
        <v>101</v>
      </c>
      <c r="H5475" s="18">
        <v>27.47</v>
      </c>
      <c r="I5475" s="19">
        <v>6.7</v>
      </c>
      <c r="J5475" s="19">
        <v>1.56</v>
      </c>
      <c r="K5475" s="19" t="s">
        <v>44</v>
      </c>
      <c r="L5475" s="19" t="s">
        <v>89</v>
      </c>
      <c r="M5475" s="15" t="s">
        <v>1932</v>
      </c>
      <c r="N5475" s="15" t="s">
        <v>36</v>
      </c>
      <c r="O5475" s="15" t="s">
        <v>77</v>
      </c>
      <c r="P5475" s="20" t="s">
        <v>1777</v>
      </c>
      <c r="Q5475" s="15" t="s">
        <v>79</v>
      </c>
      <c r="R5475" s="4"/>
      <c r="S5475" s="4"/>
    </row>
    <row r="5476" spans="1:19" ht="21" customHeight="1" x14ac:dyDescent="0.25">
      <c r="A5476" s="14">
        <f>DATE(2012,12,31)-1164</f>
        <v>40110</v>
      </c>
      <c r="B5476" s="15" t="s">
        <v>1881</v>
      </c>
      <c r="C5476" s="15" t="s">
        <v>85</v>
      </c>
      <c r="D5476" s="16">
        <v>25</v>
      </c>
      <c r="E5476" s="17">
        <v>378.9</v>
      </c>
      <c r="F5476" s="16">
        <v>0.02</v>
      </c>
      <c r="G5476" s="15" t="s">
        <v>32</v>
      </c>
      <c r="H5476" s="18">
        <v>28.457999999999998</v>
      </c>
      <c r="I5476" s="19">
        <v>14.45</v>
      </c>
      <c r="J5476" s="19">
        <v>7.17</v>
      </c>
      <c r="K5476" s="19" t="s">
        <v>44</v>
      </c>
      <c r="L5476" s="19" t="s">
        <v>120</v>
      </c>
      <c r="M5476" s="15" t="s">
        <v>2025</v>
      </c>
      <c r="N5476" s="15" t="s">
        <v>36</v>
      </c>
      <c r="O5476" s="15" t="s">
        <v>170</v>
      </c>
      <c r="P5476" s="20" t="s">
        <v>1252</v>
      </c>
      <c r="Q5476" s="15" t="s">
        <v>83</v>
      </c>
      <c r="R5476" s="4"/>
      <c r="S5476" s="4"/>
    </row>
    <row r="5477" spans="1:19" ht="21" customHeight="1" x14ac:dyDescent="0.25">
      <c r="A5477" s="14">
        <f>DATE(2012,12,31)-1164</f>
        <v>40110</v>
      </c>
      <c r="B5477" s="15" t="s">
        <v>1881</v>
      </c>
      <c r="C5477" s="15" t="s">
        <v>85</v>
      </c>
      <c r="D5477" s="16">
        <v>50</v>
      </c>
      <c r="E5477" s="17">
        <v>264.05</v>
      </c>
      <c r="F5477" s="16">
        <v>7.0000000000000007E-2</v>
      </c>
      <c r="G5477" s="15" t="s">
        <v>32</v>
      </c>
      <c r="H5477" s="18">
        <v>25.05</v>
      </c>
      <c r="I5477" s="19">
        <v>5.58</v>
      </c>
      <c r="J5477" s="19">
        <v>1.99</v>
      </c>
      <c r="K5477" s="19" t="s">
        <v>44</v>
      </c>
      <c r="L5477" s="19" t="s">
        <v>89</v>
      </c>
      <c r="M5477" s="15" t="s">
        <v>1932</v>
      </c>
      <c r="N5477" s="15" t="s">
        <v>36</v>
      </c>
      <c r="O5477" s="15" t="s">
        <v>77</v>
      </c>
      <c r="P5477" s="20" t="s">
        <v>538</v>
      </c>
      <c r="Q5477" s="15" t="s">
        <v>79</v>
      </c>
      <c r="R5477" s="4"/>
      <c r="S5477" s="4"/>
    </row>
    <row r="5478" spans="1:19" ht="21" customHeight="1" x14ac:dyDescent="0.25">
      <c r="A5478" s="14">
        <f>DATE(2012,12,31)-64</f>
        <v>41210</v>
      </c>
      <c r="B5478" s="15" t="s">
        <v>787</v>
      </c>
      <c r="C5478" s="15" t="s">
        <v>31</v>
      </c>
      <c r="D5478" s="16">
        <v>46</v>
      </c>
      <c r="E5478" s="17">
        <v>6943.94</v>
      </c>
      <c r="F5478" s="16">
        <v>0.01</v>
      </c>
      <c r="G5478" s="15" t="s">
        <v>32</v>
      </c>
      <c r="H5478" s="18">
        <v>608.9</v>
      </c>
      <c r="I5478" s="19">
        <v>152.47999999999999</v>
      </c>
      <c r="J5478" s="19">
        <v>4</v>
      </c>
      <c r="K5478" s="19" t="s">
        <v>44</v>
      </c>
      <c r="L5478" s="19" t="s">
        <v>89</v>
      </c>
      <c r="M5478" s="15" t="s">
        <v>1932</v>
      </c>
      <c r="N5478" s="15" t="s">
        <v>64</v>
      </c>
      <c r="O5478" s="15" t="s">
        <v>72</v>
      </c>
      <c r="P5478" s="20" t="s">
        <v>473</v>
      </c>
      <c r="Q5478" s="15" t="s">
        <v>83</v>
      </c>
      <c r="R5478" s="4"/>
      <c r="S5478" s="4"/>
    </row>
    <row r="5479" spans="1:19" ht="21" customHeight="1" x14ac:dyDescent="0.25">
      <c r="A5479" s="14">
        <f>DATE(2012,12,31)-64</f>
        <v>41210</v>
      </c>
      <c r="B5479" s="15" t="s">
        <v>787</v>
      </c>
      <c r="C5479" s="15" t="s">
        <v>31</v>
      </c>
      <c r="D5479" s="16">
        <v>26</v>
      </c>
      <c r="E5479" s="17">
        <v>1514.9634999999998</v>
      </c>
      <c r="F5479" s="16">
        <v>0.02</v>
      </c>
      <c r="G5479" s="15" t="s">
        <v>32</v>
      </c>
      <c r="H5479" s="18">
        <v>310.185</v>
      </c>
      <c r="I5479" s="19">
        <v>65.989999999999995</v>
      </c>
      <c r="J5479" s="19">
        <v>4.99</v>
      </c>
      <c r="K5479" s="19" t="s">
        <v>44</v>
      </c>
      <c r="L5479" s="19" t="s">
        <v>89</v>
      </c>
      <c r="M5479" s="15" t="s">
        <v>1932</v>
      </c>
      <c r="N5479" s="15" t="s">
        <v>64</v>
      </c>
      <c r="O5479" s="15" t="s">
        <v>65</v>
      </c>
      <c r="P5479" s="20" t="s">
        <v>1705</v>
      </c>
      <c r="Q5479" s="15" t="s">
        <v>83</v>
      </c>
      <c r="R5479" s="4"/>
      <c r="S5479" s="4"/>
    </row>
    <row r="5480" spans="1:19" ht="21" customHeight="1" x14ac:dyDescent="0.25">
      <c r="A5480" s="14">
        <f>DATE(2012,12,31)-1212</f>
        <v>40062</v>
      </c>
      <c r="B5480" s="15" t="s">
        <v>340</v>
      </c>
      <c r="C5480" s="15" t="s">
        <v>43</v>
      </c>
      <c r="D5480" s="16">
        <v>7</v>
      </c>
      <c r="E5480" s="17">
        <v>230.29</v>
      </c>
      <c r="F5480" s="16">
        <v>0.03</v>
      </c>
      <c r="G5480" s="15" t="s">
        <v>32</v>
      </c>
      <c r="H5480" s="18">
        <v>-4.3009999999999939</v>
      </c>
      <c r="I5480" s="19">
        <v>31.74</v>
      </c>
      <c r="J5480" s="19">
        <v>12.62</v>
      </c>
      <c r="K5480" s="19" t="s">
        <v>44</v>
      </c>
      <c r="L5480" s="19" t="s">
        <v>45</v>
      </c>
      <c r="M5480" s="15" t="s">
        <v>2236</v>
      </c>
      <c r="N5480" s="15" t="s">
        <v>36</v>
      </c>
      <c r="O5480" s="15" t="s">
        <v>170</v>
      </c>
      <c r="P5480" s="20" t="s">
        <v>1344</v>
      </c>
      <c r="Q5480" s="15" t="s">
        <v>83</v>
      </c>
      <c r="R5480" s="4"/>
      <c r="S5480" s="4"/>
    </row>
    <row r="5481" spans="1:19" ht="21" customHeight="1" x14ac:dyDescent="0.25">
      <c r="A5481" s="14">
        <f>DATE(2012,12,31)-215</f>
        <v>41059</v>
      </c>
      <c r="B5481" s="15" t="s">
        <v>1889</v>
      </c>
      <c r="C5481" s="15" t="s">
        <v>85</v>
      </c>
      <c r="D5481" s="16">
        <v>43</v>
      </c>
      <c r="E5481" s="17">
        <v>447.12</v>
      </c>
      <c r="F5481" s="16">
        <v>0.08</v>
      </c>
      <c r="G5481" s="15" t="s">
        <v>32</v>
      </c>
      <c r="H5481" s="18">
        <v>-14.27</v>
      </c>
      <c r="I5481" s="19">
        <v>10.64</v>
      </c>
      <c r="J5481" s="19">
        <v>5.16</v>
      </c>
      <c r="K5481" s="19" t="s">
        <v>44</v>
      </c>
      <c r="L5481" s="19" t="s">
        <v>120</v>
      </c>
      <c r="M5481" s="15" t="s">
        <v>2025</v>
      </c>
      <c r="N5481" s="15" t="s">
        <v>54</v>
      </c>
      <c r="O5481" s="15" t="s">
        <v>55</v>
      </c>
      <c r="P5481" s="20" t="s">
        <v>607</v>
      </c>
      <c r="Q5481" s="15" t="s">
        <v>83</v>
      </c>
      <c r="R5481" s="4"/>
      <c r="S5481" s="4"/>
    </row>
    <row r="5482" spans="1:19" ht="21" customHeight="1" x14ac:dyDescent="0.25">
      <c r="A5482" s="14">
        <f>DATE(2012,12,31)-1201</f>
        <v>40073</v>
      </c>
      <c r="B5482" s="15" t="s">
        <v>1687</v>
      </c>
      <c r="C5482" s="15" t="s">
        <v>85</v>
      </c>
      <c r="D5482" s="16">
        <v>12</v>
      </c>
      <c r="E5482" s="17">
        <v>96.73</v>
      </c>
      <c r="F5482" s="16">
        <v>0.08</v>
      </c>
      <c r="G5482" s="15" t="s">
        <v>32</v>
      </c>
      <c r="H5482" s="18">
        <v>-83.65</v>
      </c>
      <c r="I5482" s="19">
        <v>7.77</v>
      </c>
      <c r="J5482" s="19">
        <v>9.23</v>
      </c>
      <c r="K5482" s="19" t="s">
        <v>44</v>
      </c>
      <c r="L5482" s="19" t="s">
        <v>89</v>
      </c>
      <c r="M5482" s="15" t="s">
        <v>1932</v>
      </c>
      <c r="N5482" s="15" t="s">
        <v>36</v>
      </c>
      <c r="O5482" s="15" t="s">
        <v>176</v>
      </c>
      <c r="P5482" s="20" t="s">
        <v>1365</v>
      </c>
      <c r="Q5482" s="15" t="s">
        <v>83</v>
      </c>
      <c r="R5482" s="4"/>
      <c r="S5482" s="4"/>
    </row>
    <row r="5483" spans="1:19" ht="21" customHeight="1" x14ac:dyDescent="0.25">
      <c r="A5483" s="14">
        <f>DATE(2012,12,31)-1201</f>
        <v>40073</v>
      </c>
      <c r="B5483" s="15" t="s">
        <v>1687</v>
      </c>
      <c r="C5483" s="15" t="s">
        <v>85</v>
      </c>
      <c r="D5483" s="16">
        <v>34</v>
      </c>
      <c r="E5483" s="17">
        <v>253.6</v>
      </c>
      <c r="F5483" s="16">
        <v>7.0000000000000007E-2</v>
      </c>
      <c r="G5483" s="15" t="s">
        <v>32</v>
      </c>
      <c r="H5483" s="18">
        <v>24.39</v>
      </c>
      <c r="I5483" s="19">
        <v>7.59</v>
      </c>
      <c r="J5483" s="19">
        <v>4</v>
      </c>
      <c r="K5483" s="19" t="s">
        <v>44</v>
      </c>
      <c r="L5483" s="19" t="s">
        <v>89</v>
      </c>
      <c r="M5483" s="15" t="s">
        <v>1932</v>
      </c>
      <c r="N5483" s="15" t="s">
        <v>54</v>
      </c>
      <c r="O5483" s="15" t="s">
        <v>55</v>
      </c>
      <c r="P5483" s="20" t="s">
        <v>951</v>
      </c>
      <c r="Q5483" s="15" t="s">
        <v>79</v>
      </c>
      <c r="R5483" s="4"/>
      <c r="S5483" s="4"/>
    </row>
    <row r="5484" spans="1:19" ht="21" customHeight="1" x14ac:dyDescent="0.25">
      <c r="A5484" s="14">
        <f>DATE(2012,12,31)-771</f>
        <v>40503</v>
      </c>
      <c r="B5484" s="15" t="s">
        <v>1364</v>
      </c>
      <c r="C5484" s="15" t="s">
        <v>31</v>
      </c>
      <c r="D5484" s="16">
        <v>11</v>
      </c>
      <c r="E5484" s="17">
        <v>618.1964999999999</v>
      </c>
      <c r="F5484" s="16">
        <v>0.02</v>
      </c>
      <c r="G5484" s="15" t="s">
        <v>32</v>
      </c>
      <c r="H5484" s="18">
        <v>-132.52800000000002</v>
      </c>
      <c r="I5484" s="19">
        <v>65.989999999999995</v>
      </c>
      <c r="J5484" s="19">
        <v>8.8000000000000007</v>
      </c>
      <c r="K5484" s="19" t="s">
        <v>44</v>
      </c>
      <c r="L5484" s="19" t="s">
        <v>89</v>
      </c>
      <c r="M5484" s="15" t="s">
        <v>1932</v>
      </c>
      <c r="N5484" s="15" t="s">
        <v>64</v>
      </c>
      <c r="O5484" s="15" t="s">
        <v>65</v>
      </c>
      <c r="P5484" s="20" t="s">
        <v>2041</v>
      </c>
      <c r="Q5484" s="15" t="s">
        <v>83</v>
      </c>
      <c r="R5484" s="4"/>
      <c r="S5484" s="4"/>
    </row>
    <row r="5485" spans="1:19" ht="21" customHeight="1" x14ac:dyDescent="0.25">
      <c r="A5485" s="14">
        <f>DATE(2012,12,31)-986</f>
        <v>40288</v>
      </c>
      <c r="B5485" s="15" t="s">
        <v>1144</v>
      </c>
      <c r="C5485" s="15" t="s">
        <v>85</v>
      </c>
      <c r="D5485" s="16">
        <v>17</v>
      </c>
      <c r="E5485" s="17">
        <v>1873.3489999999999</v>
      </c>
      <c r="F5485" s="16">
        <v>0.02</v>
      </c>
      <c r="G5485" s="15" t="s">
        <v>32</v>
      </c>
      <c r="H5485" s="18">
        <v>194.21099999999998</v>
      </c>
      <c r="I5485" s="19">
        <v>125.99</v>
      </c>
      <c r="J5485" s="19">
        <v>8.08</v>
      </c>
      <c r="K5485" s="19" t="s">
        <v>33</v>
      </c>
      <c r="L5485" s="19" t="s">
        <v>128</v>
      </c>
      <c r="M5485" s="15" t="s">
        <v>129</v>
      </c>
      <c r="N5485" s="15" t="s">
        <v>64</v>
      </c>
      <c r="O5485" s="15" t="s">
        <v>65</v>
      </c>
      <c r="P5485" s="20" t="s">
        <v>535</v>
      </c>
      <c r="Q5485" s="15" t="s">
        <v>83</v>
      </c>
      <c r="R5485" s="4"/>
      <c r="S5485" s="4"/>
    </row>
    <row r="5486" spans="1:19" ht="21" customHeight="1" x14ac:dyDescent="0.25">
      <c r="A5486" s="14">
        <f>DATE(2012,12,31)-986</f>
        <v>40288</v>
      </c>
      <c r="B5486" s="15" t="s">
        <v>1144</v>
      </c>
      <c r="C5486" s="15" t="s">
        <v>85</v>
      </c>
      <c r="D5486" s="16">
        <v>46</v>
      </c>
      <c r="E5486" s="17">
        <v>24639.8</v>
      </c>
      <c r="F5486" s="16">
        <v>0.01</v>
      </c>
      <c r="G5486" s="15" t="s">
        <v>58</v>
      </c>
      <c r="H5486" s="18">
        <v>8614.7900000000009</v>
      </c>
      <c r="I5486" s="19">
        <v>500.98</v>
      </c>
      <c r="J5486" s="19">
        <v>26</v>
      </c>
      <c r="K5486" s="19" t="s">
        <v>33</v>
      </c>
      <c r="L5486" s="19" t="s">
        <v>93</v>
      </c>
      <c r="M5486" s="15" t="s">
        <v>94</v>
      </c>
      <c r="N5486" s="15" t="s">
        <v>54</v>
      </c>
      <c r="O5486" s="15" t="s">
        <v>252</v>
      </c>
      <c r="P5486" s="20" t="s">
        <v>577</v>
      </c>
      <c r="Q5486" s="15" t="s">
        <v>181</v>
      </c>
      <c r="R5486" s="4"/>
      <c r="S5486" s="4"/>
    </row>
    <row r="5487" spans="1:19" ht="21" customHeight="1" x14ac:dyDescent="0.25">
      <c r="A5487" s="14">
        <f>DATE(2012,12,31)-986</f>
        <v>40288</v>
      </c>
      <c r="B5487" s="15" t="s">
        <v>1144</v>
      </c>
      <c r="C5487" s="15" t="s">
        <v>85</v>
      </c>
      <c r="D5487" s="16">
        <v>32</v>
      </c>
      <c r="E5487" s="17">
        <v>921.3</v>
      </c>
      <c r="F5487" s="16">
        <v>0.09</v>
      </c>
      <c r="G5487" s="15" t="s">
        <v>32</v>
      </c>
      <c r="H5487" s="18">
        <v>353.16</v>
      </c>
      <c r="I5487" s="19">
        <v>29.14</v>
      </c>
      <c r="J5487" s="19">
        <v>4.8600000000000003</v>
      </c>
      <c r="K5487" s="19" t="s">
        <v>33</v>
      </c>
      <c r="L5487" s="19" t="s">
        <v>128</v>
      </c>
      <c r="M5487" s="15" t="s">
        <v>129</v>
      </c>
      <c r="N5487" s="15" t="s">
        <v>36</v>
      </c>
      <c r="O5487" s="15" t="s">
        <v>117</v>
      </c>
      <c r="P5487" s="20" t="s">
        <v>2014</v>
      </c>
      <c r="Q5487" s="15" t="s">
        <v>79</v>
      </c>
      <c r="R5487" s="4"/>
      <c r="S5487" s="4"/>
    </row>
    <row r="5488" spans="1:19" ht="21" customHeight="1" x14ac:dyDescent="0.25">
      <c r="A5488" s="14">
        <f>DATE(2012,12,31)-1128</f>
        <v>40146</v>
      </c>
      <c r="B5488" s="15" t="s">
        <v>1839</v>
      </c>
      <c r="C5488" s="15" t="s">
        <v>85</v>
      </c>
      <c r="D5488" s="16">
        <v>20</v>
      </c>
      <c r="E5488" s="17">
        <v>307.45999999999998</v>
      </c>
      <c r="F5488" s="16">
        <v>0.02</v>
      </c>
      <c r="G5488" s="15" t="s">
        <v>32</v>
      </c>
      <c r="H5488" s="18">
        <v>4.91</v>
      </c>
      <c r="I5488" s="19">
        <v>14.58</v>
      </c>
      <c r="J5488" s="19">
        <v>7.4</v>
      </c>
      <c r="K5488" s="19" t="s">
        <v>33</v>
      </c>
      <c r="L5488" s="19" t="s">
        <v>93</v>
      </c>
      <c r="M5488" s="15" t="s">
        <v>94</v>
      </c>
      <c r="N5488" s="15" t="s">
        <v>54</v>
      </c>
      <c r="O5488" s="15" t="s">
        <v>55</v>
      </c>
      <c r="P5488" s="20" t="s">
        <v>352</v>
      </c>
      <c r="Q5488" s="15" t="s">
        <v>83</v>
      </c>
      <c r="R5488" s="4"/>
      <c r="S5488" s="4"/>
    </row>
    <row r="5489" spans="1:19" ht="21" customHeight="1" x14ac:dyDescent="0.25">
      <c r="A5489" s="14">
        <f>DATE(2012,12,31)-575</f>
        <v>40699</v>
      </c>
      <c r="B5489" s="15" t="s">
        <v>1402</v>
      </c>
      <c r="C5489" s="15" t="s">
        <v>43</v>
      </c>
      <c r="D5489" s="16">
        <v>9</v>
      </c>
      <c r="E5489" s="17">
        <v>1394.28</v>
      </c>
      <c r="F5489" s="16">
        <v>0.03</v>
      </c>
      <c r="G5489" s="15" t="s">
        <v>32</v>
      </c>
      <c r="H5489" s="18">
        <v>197.16</v>
      </c>
      <c r="I5489" s="19">
        <v>155.06</v>
      </c>
      <c r="J5489" s="19">
        <v>7.07</v>
      </c>
      <c r="K5489" s="19" t="s">
        <v>33</v>
      </c>
      <c r="L5489" s="19" t="s">
        <v>93</v>
      </c>
      <c r="M5489" s="15" t="s">
        <v>94</v>
      </c>
      <c r="N5489" s="15" t="s">
        <v>36</v>
      </c>
      <c r="O5489" s="15" t="s">
        <v>37</v>
      </c>
      <c r="P5489" s="20" t="s">
        <v>1107</v>
      </c>
      <c r="Q5489" s="15" t="s">
        <v>83</v>
      </c>
      <c r="R5489" s="4"/>
      <c r="S5489" s="4"/>
    </row>
    <row r="5490" spans="1:19" ht="21" customHeight="1" x14ac:dyDescent="0.25">
      <c r="A5490" s="14">
        <f>DATE(2012,12,31)-575</f>
        <v>40699</v>
      </c>
      <c r="B5490" s="15" t="s">
        <v>1402</v>
      </c>
      <c r="C5490" s="15" t="s">
        <v>43</v>
      </c>
      <c r="D5490" s="16">
        <v>44</v>
      </c>
      <c r="E5490" s="17">
        <v>6862.2370000000001</v>
      </c>
      <c r="F5490" s="16">
        <v>0.05</v>
      </c>
      <c r="G5490" s="15" t="s">
        <v>101</v>
      </c>
      <c r="H5490" s="18">
        <v>1839.204</v>
      </c>
      <c r="I5490" s="19">
        <v>179.99</v>
      </c>
      <c r="J5490" s="19">
        <v>13.99</v>
      </c>
      <c r="K5490" s="19" t="s">
        <v>33</v>
      </c>
      <c r="L5490" s="19" t="s">
        <v>128</v>
      </c>
      <c r="M5490" s="15" t="s">
        <v>129</v>
      </c>
      <c r="N5490" s="15" t="s">
        <v>64</v>
      </c>
      <c r="O5490" s="15" t="s">
        <v>65</v>
      </c>
      <c r="P5490" s="20" t="s">
        <v>205</v>
      </c>
      <c r="Q5490" s="15" t="s">
        <v>57</v>
      </c>
      <c r="R5490" s="4"/>
      <c r="S5490" s="4"/>
    </row>
    <row r="5491" spans="1:19" ht="21" customHeight="1" x14ac:dyDescent="0.25">
      <c r="A5491" s="14">
        <f>DATE(2012,12,31)-548</f>
        <v>40726</v>
      </c>
      <c r="B5491" s="15" t="s">
        <v>728</v>
      </c>
      <c r="C5491" s="15" t="s">
        <v>43</v>
      </c>
      <c r="D5491" s="16">
        <v>24</v>
      </c>
      <c r="E5491" s="17">
        <v>109.23</v>
      </c>
      <c r="F5491" s="16">
        <v>0.02</v>
      </c>
      <c r="G5491" s="15" t="s">
        <v>32</v>
      </c>
      <c r="H5491" s="18">
        <v>-100.57899999999999</v>
      </c>
      <c r="I5491" s="19">
        <v>4.38</v>
      </c>
      <c r="J5491" s="19">
        <v>6.21</v>
      </c>
      <c r="K5491" s="19" t="s">
        <v>33</v>
      </c>
      <c r="L5491" s="19" t="s">
        <v>93</v>
      </c>
      <c r="M5491" s="15" t="s">
        <v>94</v>
      </c>
      <c r="N5491" s="15" t="s">
        <v>36</v>
      </c>
      <c r="O5491" s="15" t="s">
        <v>170</v>
      </c>
      <c r="P5491" s="20" t="s">
        <v>2254</v>
      </c>
      <c r="Q5491" s="15" t="s">
        <v>83</v>
      </c>
      <c r="R5491" s="4"/>
      <c r="S5491" s="4"/>
    </row>
    <row r="5492" spans="1:19" ht="21" customHeight="1" x14ac:dyDescent="0.25">
      <c r="A5492" s="14">
        <f>DATE(2012,12,31)-548</f>
        <v>40726</v>
      </c>
      <c r="B5492" s="15" t="s">
        <v>728</v>
      </c>
      <c r="C5492" s="15" t="s">
        <v>43</v>
      </c>
      <c r="D5492" s="16">
        <v>39</v>
      </c>
      <c r="E5492" s="17">
        <v>74</v>
      </c>
      <c r="F5492" s="16">
        <v>0.08</v>
      </c>
      <c r="G5492" s="15" t="s">
        <v>32</v>
      </c>
      <c r="H5492" s="18">
        <v>-20.6</v>
      </c>
      <c r="I5492" s="19">
        <v>1.89</v>
      </c>
      <c r="J5492" s="19">
        <v>0.76</v>
      </c>
      <c r="K5492" s="19" t="s">
        <v>33</v>
      </c>
      <c r="L5492" s="19" t="s">
        <v>93</v>
      </c>
      <c r="M5492" s="15" t="s">
        <v>94</v>
      </c>
      <c r="N5492" s="15" t="s">
        <v>36</v>
      </c>
      <c r="O5492" s="15" t="s">
        <v>105</v>
      </c>
      <c r="P5492" s="20" t="s">
        <v>1399</v>
      </c>
      <c r="Q5492" s="15" t="s">
        <v>79</v>
      </c>
      <c r="R5492" s="4"/>
      <c r="S5492" s="4"/>
    </row>
    <row r="5493" spans="1:19" ht="21" customHeight="1" x14ac:dyDescent="0.25">
      <c r="A5493" s="14">
        <f>DATE(2012,12,31)-548</f>
        <v>40726</v>
      </c>
      <c r="B5493" s="15" t="s">
        <v>728</v>
      </c>
      <c r="C5493" s="15" t="s">
        <v>43</v>
      </c>
      <c r="D5493" s="16">
        <v>30</v>
      </c>
      <c r="E5493" s="17">
        <v>288.45</v>
      </c>
      <c r="F5493" s="16">
        <v>0.03</v>
      </c>
      <c r="G5493" s="15" t="s">
        <v>32</v>
      </c>
      <c r="H5493" s="18">
        <v>-5.98</v>
      </c>
      <c r="I5493" s="19">
        <v>9.31</v>
      </c>
      <c r="J5493" s="19">
        <v>3.98</v>
      </c>
      <c r="K5493" s="19" t="s">
        <v>33</v>
      </c>
      <c r="L5493" s="19" t="s">
        <v>128</v>
      </c>
      <c r="M5493" s="15" t="s">
        <v>129</v>
      </c>
      <c r="N5493" s="15" t="s">
        <v>36</v>
      </c>
      <c r="O5493" s="15" t="s">
        <v>47</v>
      </c>
      <c r="P5493" s="20" t="s">
        <v>291</v>
      </c>
      <c r="Q5493" s="15" t="s">
        <v>49</v>
      </c>
      <c r="R5493" s="4"/>
      <c r="S5493" s="4"/>
    </row>
    <row r="5494" spans="1:19" ht="21" customHeight="1" x14ac:dyDescent="0.25">
      <c r="A5494" s="14">
        <f>DATE(2012,12,31)-737</f>
        <v>40537</v>
      </c>
      <c r="B5494" s="15" t="s">
        <v>558</v>
      </c>
      <c r="C5494" s="15" t="s">
        <v>85</v>
      </c>
      <c r="D5494" s="16">
        <v>46</v>
      </c>
      <c r="E5494" s="17">
        <v>944.76</v>
      </c>
      <c r="F5494" s="16">
        <v>0.03</v>
      </c>
      <c r="G5494" s="15" t="s">
        <v>32</v>
      </c>
      <c r="H5494" s="18">
        <v>165.46</v>
      </c>
      <c r="I5494" s="19">
        <v>19.98</v>
      </c>
      <c r="J5494" s="19">
        <v>8.68</v>
      </c>
      <c r="K5494" s="19" t="s">
        <v>97</v>
      </c>
      <c r="L5494" s="19" t="s">
        <v>98</v>
      </c>
      <c r="M5494" s="15" t="s">
        <v>2217</v>
      </c>
      <c r="N5494" s="15" t="s">
        <v>36</v>
      </c>
      <c r="O5494" s="15" t="s">
        <v>117</v>
      </c>
      <c r="P5494" s="20" t="s">
        <v>1274</v>
      </c>
      <c r="Q5494" s="15" t="s">
        <v>83</v>
      </c>
      <c r="R5494" s="4"/>
      <c r="S5494" s="4"/>
    </row>
    <row r="5495" spans="1:19" ht="21" customHeight="1" x14ac:dyDescent="0.25">
      <c r="A5495" s="14">
        <f>DATE(2012,12,31)-737</f>
        <v>40537</v>
      </c>
      <c r="B5495" s="15" t="s">
        <v>558</v>
      </c>
      <c r="C5495" s="15" t="s">
        <v>85</v>
      </c>
      <c r="D5495" s="16">
        <v>16</v>
      </c>
      <c r="E5495" s="17">
        <v>6813.93</v>
      </c>
      <c r="F5495" s="16">
        <v>0.09</v>
      </c>
      <c r="G5495" s="15" t="s">
        <v>58</v>
      </c>
      <c r="H5495" s="18">
        <v>358.19</v>
      </c>
      <c r="I5495" s="19">
        <v>449.99</v>
      </c>
      <c r="J5495" s="19">
        <v>49</v>
      </c>
      <c r="K5495" s="19" t="s">
        <v>97</v>
      </c>
      <c r="L5495" s="19" t="s">
        <v>195</v>
      </c>
      <c r="M5495" s="15" t="s">
        <v>2138</v>
      </c>
      <c r="N5495" s="15" t="s">
        <v>64</v>
      </c>
      <c r="O5495" s="15" t="s">
        <v>460</v>
      </c>
      <c r="P5495" s="20" t="s">
        <v>511</v>
      </c>
      <c r="Q5495" s="15" t="s">
        <v>181</v>
      </c>
      <c r="R5495" s="4"/>
      <c r="S5495" s="4"/>
    </row>
    <row r="5496" spans="1:19" ht="21" customHeight="1" x14ac:dyDescent="0.25">
      <c r="A5496" s="14">
        <f>DATE(2012,12,31)-1246</f>
        <v>40028</v>
      </c>
      <c r="B5496" s="15" t="s">
        <v>2136</v>
      </c>
      <c r="C5496" s="15" t="s">
        <v>31</v>
      </c>
      <c r="D5496" s="16">
        <v>24</v>
      </c>
      <c r="E5496" s="17">
        <v>4547.26</v>
      </c>
      <c r="F5496" s="16">
        <v>0</v>
      </c>
      <c r="G5496" s="15" t="s">
        <v>58</v>
      </c>
      <c r="H5496" s="18">
        <v>468.27</v>
      </c>
      <c r="I5496" s="19">
        <v>180.98</v>
      </c>
      <c r="J5496" s="19">
        <v>30</v>
      </c>
      <c r="K5496" s="19" t="s">
        <v>97</v>
      </c>
      <c r="L5496" s="19" t="s">
        <v>283</v>
      </c>
      <c r="M5496" s="15" t="s">
        <v>2205</v>
      </c>
      <c r="N5496" s="15" t="s">
        <v>54</v>
      </c>
      <c r="O5496" s="15" t="s">
        <v>252</v>
      </c>
      <c r="P5496" s="20" t="s">
        <v>1543</v>
      </c>
      <c r="Q5496" s="15" t="s">
        <v>181</v>
      </c>
      <c r="R5496" s="4"/>
      <c r="S5496" s="4"/>
    </row>
    <row r="5497" spans="1:19" ht="21" customHeight="1" x14ac:dyDescent="0.25">
      <c r="A5497" s="14">
        <f>DATE(2012,12,31)-1039</f>
        <v>40235</v>
      </c>
      <c r="B5497" s="15" t="s">
        <v>1227</v>
      </c>
      <c r="C5497" s="15" t="s">
        <v>31</v>
      </c>
      <c r="D5497" s="16">
        <v>48</v>
      </c>
      <c r="E5497" s="17">
        <v>3355.1</v>
      </c>
      <c r="F5497" s="16">
        <v>7.0000000000000007E-2</v>
      </c>
      <c r="G5497" s="15" t="s">
        <v>58</v>
      </c>
      <c r="H5497" s="18">
        <v>-1701.96</v>
      </c>
      <c r="I5497" s="19">
        <v>70.98</v>
      </c>
      <c r="J5497" s="19">
        <v>59.81</v>
      </c>
      <c r="K5497" s="19" t="s">
        <v>97</v>
      </c>
      <c r="L5497" s="19" t="s">
        <v>98</v>
      </c>
      <c r="M5497" s="15" t="s">
        <v>2217</v>
      </c>
      <c r="N5497" s="15" t="s">
        <v>54</v>
      </c>
      <c r="O5497" s="15" t="s">
        <v>252</v>
      </c>
      <c r="P5497" s="20" t="s">
        <v>2255</v>
      </c>
      <c r="Q5497" s="15" t="s">
        <v>181</v>
      </c>
      <c r="R5497" s="4"/>
      <c r="S5497" s="4"/>
    </row>
    <row r="5498" spans="1:19" ht="21" customHeight="1" x14ac:dyDescent="0.25">
      <c r="A5498" s="14">
        <f>DATE(2012,12,31)-1039</f>
        <v>40235</v>
      </c>
      <c r="B5498" s="15" t="s">
        <v>1227</v>
      </c>
      <c r="C5498" s="15" t="s">
        <v>31</v>
      </c>
      <c r="D5498" s="16">
        <v>34</v>
      </c>
      <c r="E5498" s="17">
        <v>2864.55</v>
      </c>
      <c r="F5498" s="16">
        <v>0.06</v>
      </c>
      <c r="G5498" s="15" t="s">
        <v>32</v>
      </c>
      <c r="H5498" s="18">
        <v>1021.07</v>
      </c>
      <c r="I5498" s="19">
        <v>82.99</v>
      </c>
      <c r="J5498" s="19">
        <v>5.5</v>
      </c>
      <c r="K5498" s="19" t="s">
        <v>97</v>
      </c>
      <c r="L5498" s="19" t="s">
        <v>98</v>
      </c>
      <c r="M5498" s="15" t="s">
        <v>2217</v>
      </c>
      <c r="N5498" s="15" t="s">
        <v>64</v>
      </c>
      <c r="O5498" s="15" t="s">
        <v>72</v>
      </c>
      <c r="P5498" s="20" t="s">
        <v>1095</v>
      </c>
      <c r="Q5498" s="15" t="s">
        <v>83</v>
      </c>
      <c r="R5498" s="4"/>
      <c r="S5498" s="4"/>
    </row>
    <row r="5499" spans="1:19" ht="21" customHeight="1" x14ac:dyDescent="0.25">
      <c r="A5499" s="14">
        <f>DATE(2012,12,31)-1039</f>
        <v>40235</v>
      </c>
      <c r="B5499" s="15" t="s">
        <v>1227</v>
      </c>
      <c r="C5499" s="15" t="s">
        <v>31</v>
      </c>
      <c r="D5499" s="16">
        <v>31</v>
      </c>
      <c r="E5499" s="17">
        <v>65.61</v>
      </c>
      <c r="F5499" s="16">
        <v>0.02</v>
      </c>
      <c r="G5499" s="15" t="s">
        <v>32</v>
      </c>
      <c r="H5499" s="18">
        <v>-16.63</v>
      </c>
      <c r="I5499" s="19">
        <v>1.95</v>
      </c>
      <c r="J5499" s="19">
        <v>1.63</v>
      </c>
      <c r="K5499" s="19" t="s">
        <v>97</v>
      </c>
      <c r="L5499" s="19" t="s">
        <v>98</v>
      </c>
      <c r="M5499" s="15" t="s">
        <v>2217</v>
      </c>
      <c r="N5499" s="15" t="s">
        <v>36</v>
      </c>
      <c r="O5499" s="15" t="s">
        <v>77</v>
      </c>
      <c r="P5499" s="20" t="s">
        <v>1176</v>
      </c>
      <c r="Q5499" s="15" t="s">
        <v>79</v>
      </c>
      <c r="R5499" s="4"/>
      <c r="S5499" s="4"/>
    </row>
    <row r="5500" spans="1:19" ht="21" customHeight="1" x14ac:dyDescent="0.25">
      <c r="A5500" s="14">
        <f>DATE(2012,12,31)-1263</f>
        <v>40011</v>
      </c>
      <c r="B5500" s="15" t="s">
        <v>767</v>
      </c>
      <c r="C5500" s="15" t="s">
        <v>43</v>
      </c>
      <c r="D5500" s="16">
        <v>43</v>
      </c>
      <c r="E5500" s="17">
        <v>1114.42</v>
      </c>
      <c r="F5500" s="16">
        <v>0.09</v>
      </c>
      <c r="G5500" s="15" t="s">
        <v>32</v>
      </c>
      <c r="H5500" s="18">
        <v>425.07</v>
      </c>
      <c r="I5500" s="19">
        <v>28.48</v>
      </c>
      <c r="J5500" s="19">
        <v>1.99</v>
      </c>
      <c r="K5500" s="19" t="s">
        <v>44</v>
      </c>
      <c r="L5500" s="19" t="s">
        <v>120</v>
      </c>
      <c r="M5500" s="15" t="s">
        <v>2025</v>
      </c>
      <c r="N5500" s="15" t="s">
        <v>64</v>
      </c>
      <c r="O5500" s="15" t="s">
        <v>72</v>
      </c>
      <c r="P5500" s="20" t="s">
        <v>382</v>
      </c>
      <c r="Q5500" s="15" t="s">
        <v>49</v>
      </c>
      <c r="R5500" s="4"/>
      <c r="S5500" s="4"/>
    </row>
    <row r="5501" spans="1:19" ht="21" customHeight="1" x14ac:dyDescent="0.25">
      <c r="A5501" s="14">
        <f>DATE(2012,12,31)-613</f>
        <v>40661</v>
      </c>
      <c r="B5501" s="15" t="s">
        <v>1075</v>
      </c>
      <c r="C5501" s="15" t="s">
        <v>43</v>
      </c>
      <c r="D5501" s="16">
        <v>28</v>
      </c>
      <c r="E5501" s="17">
        <v>3582.79</v>
      </c>
      <c r="F5501" s="16">
        <v>0</v>
      </c>
      <c r="G5501" s="15" t="s">
        <v>58</v>
      </c>
      <c r="H5501" s="18">
        <v>-1177.1400000000001</v>
      </c>
      <c r="I5501" s="19">
        <v>122.99</v>
      </c>
      <c r="J5501" s="19">
        <v>70.2</v>
      </c>
      <c r="K5501" s="19" t="s">
        <v>124</v>
      </c>
      <c r="L5501" s="19" t="s">
        <v>160</v>
      </c>
      <c r="M5501" s="15" t="s">
        <v>2181</v>
      </c>
      <c r="N5501" s="15" t="s">
        <v>54</v>
      </c>
      <c r="O5501" s="15" t="s">
        <v>252</v>
      </c>
      <c r="P5501" s="20" t="s">
        <v>819</v>
      </c>
      <c r="Q5501" s="15" t="s">
        <v>181</v>
      </c>
      <c r="R5501" s="4"/>
      <c r="S5501" s="4"/>
    </row>
    <row r="5502" spans="1:19" ht="21" customHeight="1" x14ac:dyDescent="0.25">
      <c r="A5502" s="14">
        <f>DATE(2012,12,31)-1121</f>
        <v>40153</v>
      </c>
      <c r="B5502" s="15" t="s">
        <v>705</v>
      </c>
      <c r="C5502" s="15" t="s">
        <v>85</v>
      </c>
      <c r="D5502" s="16">
        <v>13</v>
      </c>
      <c r="E5502" s="17">
        <v>5236.1400000000003</v>
      </c>
      <c r="F5502" s="16">
        <v>0.05</v>
      </c>
      <c r="G5502" s="15" t="s">
        <v>58</v>
      </c>
      <c r="H5502" s="18">
        <v>567.59</v>
      </c>
      <c r="I5502" s="19">
        <v>399.98</v>
      </c>
      <c r="J5502" s="19">
        <v>12.06</v>
      </c>
      <c r="K5502" s="19" t="s">
        <v>124</v>
      </c>
      <c r="L5502" s="19" t="s">
        <v>160</v>
      </c>
      <c r="M5502" s="15" t="s">
        <v>2181</v>
      </c>
      <c r="N5502" s="15" t="s">
        <v>64</v>
      </c>
      <c r="O5502" s="15" t="s">
        <v>122</v>
      </c>
      <c r="P5502" s="20" t="s">
        <v>561</v>
      </c>
      <c r="Q5502" s="15" t="s">
        <v>63</v>
      </c>
      <c r="R5502" s="4"/>
      <c r="S5502" s="4"/>
    </row>
    <row r="5503" spans="1:19" ht="21" customHeight="1" x14ac:dyDescent="0.25">
      <c r="A5503" s="14">
        <f>DATE(2012,12,31)-1121</f>
        <v>40153</v>
      </c>
      <c r="B5503" s="15" t="s">
        <v>705</v>
      </c>
      <c r="C5503" s="15" t="s">
        <v>85</v>
      </c>
      <c r="D5503" s="16">
        <v>11</v>
      </c>
      <c r="E5503" s="17">
        <v>74.02</v>
      </c>
      <c r="F5503" s="16">
        <v>7.0000000000000007E-2</v>
      </c>
      <c r="G5503" s="15" t="s">
        <v>32</v>
      </c>
      <c r="H5503" s="18">
        <v>-28.45</v>
      </c>
      <c r="I5503" s="19">
        <v>6.48</v>
      </c>
      <c r="J5503" s="19">
        <v>5.74</v>
      </c>
      <c r="K5503" s="19" t="s">
        <v>124</v>
      </c>
      <c r="L5503" s="19" t="s">
        <v>160</v>
      </c>
      <c r="M5503" s="15" t="s">
        <v>2181</v>
      </c>
      <c r="N5503" s="15" t="s">
        <v>36</v>
      </c>
      <c r="O5503" s="15" t="s">
        <v>117</v>
      </c>
      <c r="P5503" s="20" t="s">
        <v>1559</v>
      </c>
      <c r="Q5503" s="15" t="s">
        <v>83</v>
      </c>
      <c r="R5503" s="4"/>
      <c r="S5503" s="4"/>
    </row>
    <row r="5504" spans="1:19" ht="21" customHeight="1" x14ac:dyDescent="0.25">
      <c r="A5504" s="14">
        <f>DATE(2012,12,31)-1320</f>
        <v>39954</v>
      </c>
      <c r="B5504" s="15" t="s">
        <v>1188</v>
      </c>
      <c r="C5504" s="15" t="s">
        <v>85</v>
      </c>
      <c r="D5504" s="16">
        <v>26</v>
      </c>
      <c r="E5504" s="17">
        <v>1204.5094999999999</v>
      </c>
      <c r="F5504" s="16">
        <v>0.03</v>
      </c>
      <c r="G5504" s="15" t="s">
        <v>32</v>
      </c>
      <c r="H5504" s="18">
        <v>-221.25399999999999</v>
      </c>
      <c r="I5504" s="19">
        <v>55.99</v>
      </c>
      <c r="J5504" s="19">
        <v>5</v>
      </c>
      <c r="K5504" s="19" t="s">
        <v>124</v>
      </c>
      <c r="L5504" s="19" t="s">
        <v>160</v>
      </c>
      <c r="M5504" s="15" t="s">
        <v>2181</v>
      </c>
      <c r="N5504" s="15" t="s">
        <v>64</v>
      </c>
      <c r="O5504" s="15" t="s">
        <v>65</v>
      </c>
      <c r="P5504" s="20" t="s">
        <v>1377</v>
      </c>
      <c r="Q5504" s="15" t="s">
        <v>49</v>
      </c>
      <c r="R5504" s="4"/>
      <c r="S5504" s="4"/>
    </row>
    <row r="5505" spans="1:19" ht="21" customHeight="1" x14ac:dyDescent="0.25">
      <c r="A5505" s="14">
        <f>DATE(2012,12,31)-1320</f>
        <v>39954</v>
      </c>
      <c r="B5505" s="15" t="s">
        <v>1188</v>
      </c>
      <c r="C5505" s="15" t="s">
        <v>85</v>
      </c>
      <c r="D5505" s="16">
        <v>7</v>
      </c>
      <c r="E5505" s="17">
        <v>19.36</v>
      </c>
      <c r="F5505" s="16">
        <v>0.04</v>
      </c>
      <c r="G5505" s="15" t="s">
        <v>101</v>
      </c>
      <c r="H5505" s="18">
        <v>-1</v>
      </c>
      <c r="I5505" s="19">
        <v>1.98</v>
      </c>
      <c r="J5505" s="19">
        <v>0.7</v>
      </c>
      <c r="K5505" s="19" t="s">
        <v>124</v>
      </c>
      <c r="L5505" s="19" t="s">
        <v>160</v>
      </c>
      <c r="M5505" s="15" t="s">
        <v>2181</v>
      </c>
      <c r="N5505" s="15" t="s">
        <v>36</v>
      </c>
      <c r="O5505" s="15" t="s">
        <v>105</v>
      </c>
      <c r="P5505" s="20" t="s">
        <v>1255</v>
      </c>
      <c r="Q5505" s="15" t="s">
        <v>79</v>
      </c>
      <c r="R5505" s="4"/>
      <c r="S5505" s="4"/>
    </row>
    <row r="5506" spans="1:19" ht="21" customHeight="1" x14ac:dyDescent="0.25">
      <c r="A5506" s="14">
        <f>DATE(2012,12,31)-432</f>
        <v>40842</v>
      </c>
      <c r="B5506" s="15" t="s">
        <v>643</v>
      </c>
      <c r="C5506" s="15" t="s">
        <v>85</v>
      </c>
      <c r="D5506" s="16">
        <v>47</v>
      </c>
      <c r="E5506" s="17">
        <v>418.03</v>
      </c>
      <c r="F5506" s="16">
        <v>0</v>
      </c>
      <c r="G5506" s="15" t="s">
        <v>101</v>
      </c>
      <c r="H5506" s="18">
        <v>-158.58000000000001</v>
      </c>
      <c r="I5506" s="19">
        <v>8.09</v>
      </c>
      <c r="J5506" s="19">
        <v>7.96</v>
      </c>
      <c r="K5506" s="19" t="s">
        <v>124</v>
      </c>
      <c r="L5506" s="19" t="s">
        <v>160</v>
      </c>
      <c r="M5506" s="15" t="s">
        <v>2181</v>
      </c>
      <c r="N5506" s="15" t="s">
        <v>54</v>
      </c>
      <c r="O5506" s="15" t="s">
        <v>55</v>
      </c>
      <c r="P5506" s="20" t="s">
        <v>1155</v>
      </c>
      <c r="Q5506" s="15" t="s">
        <v>83</v>
      </c>
      <c r="R5506" s="4"/>
      <c r="S5506" s="4"/>
    </row>
    <row r="5507" spans="1:19" ht="21" customHeight="1" x14ac:dyDescent="0.25">
      <c r="A5507" s="14">
        <f>DATE(2012,12,31)-432</f>
        <v>40842</v>
      </c>
      <c r="B5507" s="15" t="s">
        <v>643</v>
      </c>
      <c r="C5507" s="15" t="s">
        <v>85</v>
      </c>
      <c r="D5507" s="16">
        <v>23</v>
      </c>
      <c r="E5507" s="17">
        <v>336.86</v>
      </c>
      <c r="F5507" s="16">
        <v>0.06</v>
      </c>
      <c r="G5507" s="15" t="s">
        <v>32</v>
      </c>
      <c r="H5507" s="18">
        <v>36.32</v>
      </c>
      <c r="I5507" s="19">
        <v>14.2</v>
      </c>
      <c r="J5507" s="19">
        <v>5.3</v>
      </c>
      <c r="K5507" s="19" t="s">
        <v>124</v>
      </c>
      <c r="L5507" s="19" t="s">
        <v>160</v>
      </c>
      <c r="M5507" s="15" t="s">
        <v>2181</v>
      </c>
      <c r="N5507" s="15" t="s">
        <v>54</v>
      </c>
      <c r="O5507" s="15" t="s">
        <v>55</v>
      </c>
      <c r="P5507" s="20" t="s">
        <v>930</v>
      </c>
      <c r="Q5507" s="15" t="s">
        <v>79</v>
      </c>
      <c r="R5507" s="4"/>
      <c r="S5507" s="4"/>
    </row>
    <row r="5508" spans="1:19" ht="21" customHeight="1" x14ac:dyDescent="0.25">
      <c r="A5508" s="14">
        <f>DATE(2012,12,31)-740</f>
        <v>40534</v>
      </c>
      <c r="B5508" s="15" t="s">
        <v>716</v>
      </c>
      <c r="C5508" s="15" t="s">
        <v>43</v>
      </c>
      <c r="D5508" s="16">
        <v>14</v>
      </c>
      <c r="E5508" s="17">
        <v>50.8</v>
      </c>
      <c r="F5508" s="16">
        <v>0.09</v>
      </c>
      <c r="G5508" s="15" t="s">
        <v>32</v>
      </c>
      <c r="H5508" s="18">
        <v>16.79</v>
      </c>
      <c r="I5508" s="19">
        <v>3.69</v>
      </c>
      <c r="J5508" s="19">
        <v>0.5</v>
      </c>
      <c r="K5508" s="19" t="s">
        <v>124</v>
      </c>
      <c r="L5508" s="19" t="s">
        <v>160</v>
      </c>
      <c r="M5508" s="15" t="s">
        <v>2181</v>
      </c>
      <c r="N5508" s="15" t="s">
        <v>36</v>
      </c>
      <c r="O5508" s="15" t="s">
        <v>114</v>
      </c>
      <c r="P5508" s="20" t="s">
        <v>224</v>
      </c>
      <c r="Q5508" s="15" t="s">
        <v>83</v>
      </c>
      <c r="R5508" s="4"/>
      <c r="S5508" s="4"/>
    </row>
    <row r="5509" spans="1:19" ht="21" customHeight="1" x14ac:dyDescent="0.25">
      <c r="A5509" s="14">
        <f>DATE(2012,12,31)-740</f>
        <v>40534</v>
      </c>
      <c r="B5509" s="15" t="s">
        <v>716</v>
      </c>
      <c r="C5509" s="15" t="s">
        <v>43</v>
      </c>
      <c r="D5509" s="16">
        <v>37</v>
      </c>
      <c r="E5509" s="17">
        <v>750.89</v>
      </c>
      <c r="F5509" s="16">
        <v>7.0000000000000007E-2</v>
      </c>
      <c r="G5509" s="15" t="s">
        <v>101</v>
      </c>
      <c r="H5509" s="18">
        <v>-1176.28</v>
      </c>
      <c r="I5509" s="19">
        <v>20.34</v>
      </c>
      <c r="J5509" s="19">
        <v>35</v>
      </c>
      <c r="K5509" s="19" t="s">
        <v>124</v>
      </c>
      <c r="L5509" s="19" t="s">
        <v>493</v>
      </c>
      <c r="M5509" s="15" t="s">
        <v>2206</v>
      </c>
      <c r="N5509" s="15" t="s">
        <v>36</v>
      </c>
      <c r="O5509" s="15" t="s">
        <v>37</v>
      </c>
      <c r="P5509" s="20" t="s">
        <v>1690</v>
      </c>
      <c r="Q5509" s="15" t="s">
        <v>39</v>
      </c>
      <c r="R5509" s="4"/>
      <c r="S5509" s="4"/>
    </row>
    <row r="5510" spans="1:19" ht="21" customHeight="1" x14ac:dyDescent="0.25">
      <c r="A5510" s="14">
        <f>DATE(2012,12,31)-1408</f>
        <v>39866</v>
      </c>
      <c r="B5510" s="15" t="s">
        <v>1152</v>
      </c>
      <c r="C5510" s="15" t="s">
        <v>51</v>
      </c>
      <c r="D5510" s="16">
        <v>50</v>
      </c>
      <c r="E5510" s="17">
        <v>1633.37</v>
      </c>
      <c r="F5510" s="16">
        <v>0.08</v>
      </c>
      <c r="G5510" s="15" t="s">
        <v>32</v>
      </c>
      <c r="H5510" s="18">
        <v>144.69</v>
      </c>
      <c r="I5510" s="19">
        <v>34.99</v>
      </c>
      <c r="J5510" s="19">
        <v>7.73</v>
      </c>
      <c r="K5510" s="19" t="s">
        <v>124</v>
      </c>
      <c r="L5510" s="19" t="s">
        <v>160</v>
      </c>
      <c r="M5510" s="15" t="s">
        <v>2181</v>
      </c>
      <c r="N5510" s="15" t="s">
        <v>36</v>
      </c>
      <c r="O5510" s="15" t="s">
        <v>77</v>
      </c>
      <c r="P5510" s="20" t="s">
        <v>2113</v>
      </c>
      <c r="Q5510" s="15" t="s">
        <v>83</v>
      </c>
      <c r="R5510" s="4"/>
      <c r="S5510" s="4"/>
    </row>
    <row r="5511" spans="1:19" ht="21" customHeight="1" x14ac:dyDescent="0.25">
      <c r="A5511" s="14">
        <f>DATE(2012,12,31)-316</f>
        <v>40958</v>
      </c>
      <c r="B5511" s="15" t="s">
        <v>648</v>
      </c>
      <c r="C5511" s="15" t="s">
        <v>43</v>
      </c>
      <c r="D5511" s="16">
        <v>50</v>
      </c>
      <c r="E5511" s="17">
        <v>512.33000000000004</v>
      </c>
      <c r="F5511" s="16">
        <v>0.01</v>
      </c>
      <c r="G5511" s="15" t="s">
        <v>32</v>
      </c>
      <c r="H5511" s="18">
        <v>250.66</v>
      </c>
      <c r="I5511" s="19">
        <v>10.35</v>
      </c>
      <c r="J5511" s="19">
        <v>0.99</v>
      </c>
      <c r="K5511" s="19" t="s">
        <v>124</v>
      </c>
      <c r="L5511" s="19" t="s">
        <v>160</v>
      </c>
      <c r="M5511" s="15" t="s">
        <v>2181</v>
      </c>
      <c r="N5511" s="15" t="s">
        <v>36</v>
      </c>
      <c r="O5511" s="15" t="s">
        <v>114</v>
      </c>
      <c r="P5511" s="20" t="s">
        <v>1367</v>
      </c>
      <c r="Q5511" s="15" t="s">
        <v>83</v>
      </c>
      <c r="R5511" s="4"/>
      <c r="S5511" s="4"/>
    </row>
    <row r="5512" spans="1:19" ht="21" customHeight="1" x14ac:dyDescent="0.25">
      <c r="A5512" s="14">
        <f>DATE(2012,12,31)-1116</f>
        <v>40158</v>
      </c>
      <c r="B5512" s="15" t="s">
        <v>529</v>
      </c>
      <c r="C5512" s="15" t="s">
        <v>85</v>
      </c>
      <c r="D5512" s="16">
        <v>41</v>
      </c>
      <c r="E5512" s="17">
        <v>222.65</v>
      </c>
      <c r="F5512" s="16">
        <v>0.02</v>
      </c>
      <c r="G5512" s="15" t="s">
        <v>32</v>
      </c>
      <c r="H5512" s="18">
        <v>-131.16</v>
      </c>
      <c r="I5512" s="19">
        <v>5.28</v>
      </c>
      <c r="J5512" s="19">
        <v>6.26</v>
      </c>
      <c r="K5512" s="19" t="s">
        <v>124</v>
      </c>
      <c r="L5512" s="19" t="s">
        <v>160</v>
      </c>
      <c r="M5512" s="15" t="s">
        <v>2181</v>
      </c>
      <c r="N5512" s="15" t="s">
        <v>36</v>
      </c>
      <c r="O5512" s="15" t="s">
        <v>117</v>
      </c>
      <c r="P5512" s="20" t="s">
        <v>271</v>
      </c>
      <c r="Q5512" s="15" t="s">
        <v>83</v>
      </c>
      <c r="R5512" s="4"/>
      <c r="S5512" s="4"/>
    </row>
    <row r="5513" spans="1:19" ht="21" customHeight="1" x14ac:dyDescent="0.25">
      <c r="A5513" s="14">
        <f>DATE(2012,12,31)-1287</f>
        <v>39987</v>
      </c>
      <c r="B5513" s="15" t="s">
        <v>1582</v>
      </c>
      <c r="C5513" s="15" t="s">
        <v>31</v>
      </c>
      <c r="D5513" s="16">
        <v>10</v>
      </c>
      <c r="E5513" s="17">
        <v>36.909999999999997</v>
      </c>
      <c r="F5513" s="16">
        <v>7.0000000000000007E-2</v>
      </c>
      <c r="G5513" s="15" t="s">
        <v>32</v>
      </c>
      <c r="H5513" s="18">
        <v>-27.72</v>
      </c>
      <c r="I5513" s="19">
        <v>3.28</v>
      </c>
      <c r="J5513" s="19">
        <v>3.97</v>
      </c>
      <c r="K5513" s="19" t="s">
        <v>124</v>
      </c>
      <c r="L5513" s="19" t="s">
        <v>160</v>
      </c>
      <c r="M5513" s="15" t="s">
        <v>2181</v>
      </c>
      <c r="N5513" s="15" t="s">
        <v>36</v>
      </c>
      <c r="O5513" s="15" t="s">
        <v>77</v>
      </c>
      <c r="P5513" s="20" t="s">
        <v>1326</v>
      </c>
      <c r="Q5513" s="15" t="s">
        <v>79</v>
      </c>
      <c r="R5513" s="4"/>
      <c r="S5513" s="4"/>
    </row>
    <row r="5514" spans="1:19" ht="21" customHeight="1" x14ac:dyDescent="0.25">
      <c r="A5514" s="14">
        <f>DATE(2012,12,31)-1287</f>
        <v>39987</v>
      </c>
      <c r="B5514" s="15" t="s">
        <v>1582</v>
      </c>
      <c r="C5514" s="15" t="s">
        <v>31</v>
      </c>
      <c r="D5514" s="16">
        <v>8</v>
      </c>
      <c r="E5514" s="17">
        <v>2155.84</v>
      </c>
      <c r="F5514" s="16">
        <v>0.02</v>
      </c>
      <c r="G5514" s="15" t="s">
        <v>32</v>
      </c>
      <c r="H5514" s="18">
        <v>-267.63</v>
      </c>
      <c r="I5514" s="19">
        <v>256.99</v>
      </c>
      <c r="J5514" s="19">
        <v>11.25</v>
      </c>
      <c r="K5514" s="19" t="s">
        <v>124</v>
      </c>
      <c r="L5514" s="19" t="s">
        <v>493</v>
      </c>
      <c r="M5514" s="15" t="s">
        <v>2206</v>
      </c>
      <c r="N5514" s="15" t="s">
        <v>64</v>
      </c>
      <c r="O5514" s="15" t="s">
        <v>72</v>
      </c>
      <c r="P5514" s="20" t="s">
        <v>2020</v>
      </c>
      <c r="Q5514" s="15" t="s">
        <v>83</v>
      </c>
      <c r="R5514" s="4"/>
      <c r="S5514" s="4"/>
    </row>
    <row r="5515" spans="1:19" ht="21" customHeight="1" x14ac:dyDescent="0.25">
      <c r="A5515" s="14">
        <f>DATE(2012,12,31)-1287</f>
        <v>39987</v>
      </c>
      <c r="B5515" s="15" t="s">
        <v>1582</v>
      </c>
      <c r="C5515" s="15" t="s">
        <v>31</v>
      </c>
      <c r="D5515" s="16">
        <v>26</v>
      </c>
      <c r="E5515" s="17">
        <v>175.27</v>
      </c>
      <c r="F5515" s="16">
        <v>0.01</v>
      </c>
      <c r="G5515" s="15" t="s">
        <v>32</v>
      </c>
      <c r="H5515" s="18">
        <v>-33.67</v>
      </c>
      <c r="I5515" s="19">
        <v>6.48</v>
      </c>
      <c r="J5515" s="19">
        <v>5.14</v>
      </c>
      <c r="K5515" s="19" t="s">
        <v>124</v>
      </c>
      <c r="L5515" s="19" t="s">
        <v>125</v>
      </c>
      <c r="M5515" s="15" t="s">
        <v>2223</v>
      </c>
      <c r="N5515" s="15" t="s">
        <v>36</v>
      </c>
      <c r="O5515" s="15" t="s">
        <v>117</v>
      </c>
      <c r="P5515" s="20" t="s">
        <v>302</v>
      </c>
      <c r="Q5515" s="15" t="s">
        <v>83</v>
      </c>
      <c r="R5515" s="4"/>
      <c r="S5515" s="4"/>
    </row>
    <row r="5516" spans="1:19" ht="21" customHeight="1" x14ac:dyDescent="0.25">
      <c r="A5516" s="14">
        <f>DATE(2012,12,31)-481</f>
        <v>40793</v>
      </c>
      <c r="B5516" s="15" t="s">
        <v>1237</v>
      </c>
      <c r="C5516" s="15" t="s">
        <v>51</v>
      </c>
      <c r="D5516" s="16">
        <v>46</v>
      </c>
      <c r="E5516" s="17">
        <v>75.599999999999994</v>
      </c>
      <c r="F5516" s="16">
        <v>0.09</v>
      </c>
      <c r="G5516" s="15" t="s">
        <v>32</v>
      </c>
      <c r="H5516" s="18">
        <v>-225.25049999999999</v>
      </c>
      <c r="I5516" s="19">
        <v>1.68</v>
      </c>
      <c r="J5516" s="19">
        <v>5.28</v>
      </c>
      <c r="K5516" s="19" t="s">
        <v>124</v>
      </c>
      <c r="L5516" s="19" t="s">
        <v>164</v>
      </c>
      <c r="M5516" s="15" t="s">
        <v>2171</v>
      </c>
      <c r="N5516" s="15" t="s">
        <v>36</v>
      </c>
      <c r="O5516" s="15" t="s">
        <v>170</v>
      </c>
      <c r="P5516" s="20" t="s">
        <v>2256</v>
      </c>
      <c r="Q5516" s="15" t="s">
        <v>83</v>
      </c>
      <c r="R5516" s="4"/>
      <c r="S5516" s="4"/>
    </row>
    <row r="5517" spans="1:19" ht="21" customHeight="1" x14ac:dyDescent="0.25">
      <c r="A5517" s="14">
        <f>DATE(2012,12,31)-1060</f>
        <v>40214</v>
      </c>
      <c r="B5517" s="15" t="s">
        <v>1351</v>
      </c>
      <c r="C5517" s="15" t="s">
        <v>85</v>
      </c>
      <c r="D5517" s="16">
        <v>14</v>
      </c>
      <c r="E5517" s="17">
        <v>2595.0700000000002</v>
      </c>
      <c r="F5517" s="16">
        <v>0.1</v>
      </c>
      <c r="G5517" s="15" t="s">
        <v>32</v>
      </c>
      <c r="H5517" s="18">
        <v>1217.19</v>
      </c>
      <c r="I5517" s="19">
        <v>194.3</v>
      </c>
      <c r="J5517" s="19">
        <v>11.54</v>
      </c>
      <c r="K5517" s="19" t="s">
        <v>124</v>
      </c>
      <c r="L5517" s="19" t="s">
        <v>164</v>
      </c>
      <c r="M5517" s="15" t="s">
        <v>2171</v>
      </c>
      <c r="N5517" s="15" t="s">
        <v>54</v>
      </c>
      <c r="O5517" s="15" t="s">
        <v>55</v>
      </c>
      <c r="P5517" s="20" t="s">
        <v>1627</v>
      </c>
      <c r="Q5517" s="15" t="s">
        <v>39</v>
      </c>
      <c r="R5517" s="4"/>
      <c r="S5517" s="4"/>
    </row>
    <row r="5518" spans="1:19" ht="21" customHeight="1" x14ac:dyDescent="0.25">
      <c r="A5518" s="14">
        <f>DATE(2012,12,31)-525</f>
        <v>40749</v>
      </c>
      <c r="B5518" s="15" t="s">
        <v>1628</v>
      </c>
      <c r="C5518" s="15" t="s">
        <v>85</v>
      </c>
      <c r="D5518" s="16">
        <v>1</v>
      </c>
      <c r="E5518" s="17">
        <v>182.4</v>
      </c>
      <c r="F5518" s="16">
        <v>0.09</v>
      </c>
      <c r="G5518" s="15" t="s">
        <v>32</v>
      </c>
      <c r="H5518" s="18">
        <v>-114.22</v>
      </c>
      <c r="I5518" s="19">
        <v>178.47</v>
      </c>
      <c r="J5518" s="19">
        <v>19.989999999999998</v>
      </c>
      <c r="K5518" s="19" t="s">
        <v>124</v>
      </c>
      <c r="L5518" s="19" t="s">
        <v>164</v>
      </c>
      <c r="M5518" s="15" t="s">
        <v>2171</v>
      </c>
      <c r="N5518" s="15" t="s">
        <v>36</v>
      </c>
      <c r="O5518" s="15" t="s">
        <v>37</v>
      </c>
      <c r="P5518" s="20" t="s">
        <v>232</v>
      </c>
      <c r="Q5518" s="15" t="s">
        <v>83</v>
      </c>
      <c r="R5518" s="4"/>
      <c r="S5518" s="4"/>
    </row>
    <row r="5519" spans="1:19" ht="21" customHeight="1" x14ac:dyDescent="0.25">
      <c r="A5519" s="14">
        <f>DATE(2012,12,31)-525</f>
        <v>40749</v>
      </c>
      <c r="B5519" s="15" t="s">
        <v>1628</v>
      </c>
      <c r="C5519" s="15" t="s">
        <v>85</v>
      </c>
      <c r="D5519" s="16">
        <v>20</v>
      </c>
      <c r="E5519" s="17">
        <v>6004.35</v>
      </c>
      <c r="F5519" s="16">
        <v>0.05</v>
      </c>
      <c r="G5519" s="15" t="s">
        <v>32</v>
      </c>
      <c r="H5519" s="18">
        <v>1767.56</v>
      </c>
      <c r="I5519" s="19">
        <v>300.97000000000003</v>
      </c>
      <c r="J5519" s="19">
        <v>7.18</v>
      </c>
      <c r="K5519" s="19" t="s">
        <v>124</v>
      </c>
      <c r="L5519" s="19" t="s">
        <v>164</v>
      </c>
      <c r="M5519" s="15" t="s">
        <v>2257</v>
      </c>
      <c r="N5519" s="15" t="s">
        <v>64</v>
      </c>
      <c r="O5519" s="15" t="s">
        <v>72</v>
      </c>
      <c r="P5519" s="20" t="s">
        <v>717</v>
      </c>
      <c r="Q5519" s="15" t="s">
        <v>83</v>
      </c>
      <c r="R5519" s="4"/>
      <c r="S5519" s="4"/>
    </row>
    <row r="5520" spans="1:19" ht="21" customHeight="1" x14ac:dyDescent="0.25">
      <c r="A5520" s="14">
        <f>DATE(2012,12,31)-1286</f>
        <v>39988</v>
      </c>
      <c r="B5520" s="15" t="s">
        <v>1096</v>
      </c>
      <c r="C5520" s="15" t="s">
        <v>51</v>
      </c>
      <c r="D5520" s="16">
        <v>49</v>
      </c>
      <c r="E5520" s="17">
        <v>2693.5140000000001</v>
      </c>
      <c r="F5520" s="16">
        <v>0.02</v>
      </c>
      <c r="G5520" s="15" t="s">
        <v>32</v>
      </c>
      <c r="H5520" s="18">
        <v>662.04899999999998</v>
      </c>
      <c r="I5520" s="19">
        <v>65.989999999999995</v>
      </c>
      <c r="J5520" s="19">
        <v>3.99</v>
      </c>
      <c r="K5520" s="19" t="s">
        <v>44</v>
      </c>
      <c r="L5520" s="19" t="s">
        <v>52</v>
      </c>
      <c r="M5520" s="15" t="s">
        <v>2240</v>
      </c>
      <c r="N5520" s="15" t="s">
        <v>64</v>
      </c>
      <c r="O5520" s="15" t="s">
        <v>65</v>
      </c>
      <c r="P5520" s="20" t="s">
        <v>689</v>
      </c>
      <c r="Q5520" s="15" t="s">
        <v>83</v>
      </c>
      <c r="R5520" s="4"/>
      <c r="S5520" s="4"/>
    </row>
    <row r="5521" spans="1:19" ht="21" customHeight="1" x14ac:dyDescent="0.25">
      <c r="A5521" s="14">
        <f>DATE(2012,12,31)-779</f>
        <v>40495</v>
      </c>
      <c r="B5521" s="15" t="s">
        <v>394</v>
      </c>
      <c r="C5521" s="15" t="s">
        <v>43</v>
      </c>
      <c r="D5521" s="16">
        <v>6</v>
      </c>
      <c r="E5521" s="17">
        <v>627.45299999999997</v>
      </c>
      <c r="F5521" s="16">
        <v>7.0000000000000007E-2</v>
      </c>
      <c r="G5521" s="15" t="s">
        <v>32</v>
      </c>
      <c r="H5521" s="18">
        <v>-408.25399999999996</v>
      </c>
      <c r="I5521" s="19">
        <v>125.99</v>
      </c>
      <c r="J5521" s="19">
        <v>8.08</v>
      </c>
      <c r="K5521" s="19" t="s">
        <v>44</v>
      </c>
      <c r="L5521" s="19" t="s">
        <v>52</v>
      </c>
      <c r="M5521" s="15" t="s">
        <v>2240</v>
      </c>
      <c r="N5521" s="15" t="s">
        <v>64</v>
      </c>
      <c r="O5521" s="15" t="s">
        <v>65</v>
      </c>
      <c r="P5521" s="20" t="s">
        <v>535</v>
      </c>
      <c r="Q5521" s="15" t="s">
        <v>83</v>
      </c>
      <c r="R5521" s="4"/>
      <c r="S5521" s="4"/>
    </row>
    <row r="5522" spans="1:19" ht="21" customHeight="1" x14ac:dyDescent="0.25">
      <c r="A5522" s="14">
        <f>DATE(2012,12,31)-779</f>
        <v>40495</v>
      </c>
      <c r="B5522" s="15" t="s">
        <v>394</v>
      </c>
      <c r="C5522" s="15" t="s">
        <v>43</v>
      </c>
      <c r="D5522" s="16">
        <v>50</v>
      </c>
      <c r="E5522" s="17">
        <v>3000.88</v>
      </c>
      <c r="F5522" s="16">
        <v>0.01</v>
      </c>
      <c r="G5522" s="15" t="s">
        <v>58</v>
      </c>
      <c r="H5522" s="18">
        <v>-719.17</v>
      </c>
      <c r="I5522" s="19">
        <v>58.14</v>
      </c>
      <c r="J5522" s="19">
        <v>36.61</v>
      </c>
      <c r="K5522" s="19" t="s">
        <v>44</v>
      </c>
      <c r="L5522" s="19" t="s">
        <v>52</v>
      </c>
      <c r="M5522" s="15" t="s">
        <v>2240</v>
      </c>
      <c r="N5522" s="15" t="s">
        <v>54</v>
      </c>
      <c r="O5522" s="15" t="s">
        <v>134</v>
      </c>
      <c r="P5522" s="20" t="s">
        <v>1299</v>
      </c>
      <c r="Q5522" s="15" t="s">
        <v>63</v>
      </c>
      <c r="R5522" s="4"/>
      <c r="S5522" s="4"/>
    </row>
    <row r="5523" spans="1:19" ht="21" customHeight="1" x14ac:dyDescent="0.25">
      <c r="A5523" s="14">
        <f>DATE(2012,12,31)-779</f>
        <v>40495</v>
      </c>
      <c r="B5523" s="15" t="s">
        <v>394</v>
      </c>
      <c r="C5523" s="15" t="s">
        <v>43</v>
      </c>
      <c r="D5523" s="16">
        <v>31</v>
      </c>
      <c r="E5523" s="17">
        <v>6118.38</v>
      </c>
      <c r="F5523" s="16">
        <v>0.09</v>
      </c>
      <c r="G5523" s="15" t="s">
        <v>32</v>
      </c>
      <c r="H5523" s="18">
        <v>2042.58</v>
      </c>
      <c r="I5523" s="19">
        <v>209.84</v>
      </c>
      <c r="J5523" s="19">
        <v>21.21</v>
      </c>
      <c r="K5523" s="19" t="s">
        <v>44</v>
      </c>
      <c r="L5523" s="19" t="s">
        <v>52</v>
      </c>
      <c r="M5523" s="15" t="s">
        <v>2240</v>
      </c>
      <c r="N5523" s="15" t="s">
        <v>54</v>
      </c>
      <c r="O5523" s="15" t="s">
        <v>55</v>
      </c>
      <c r="P5523" s="20" t="s">
        <v>1034</v>
      </c>
      <c r="Q5523" s="15" t="s">
        <v>39</v>
      </c>
      <c r="R5523" s="4"/>
      <c r="S5523" s="4"/>
    </row>
    <row r="5524" spans="1:19" ht="21" customHeight="1" x14ac:dyDescent="0.25">
      <c r="A5524" s="14">
        <f>DATE(2012,12,31)-826</f>
        <v>40448</v>
      </c>
      <c r="B5524" s="15" t="s">
        <v>932</v>
      </c>
      <c r="C5524" s="15" t="s">
        <v>31</v>
      </c>
      <c r="D5524" s="16">
        <v>26</v>
      </c>
      <c r="E5524" s="17">
        <v>2268.91</v>
      </c>
      <c r="F5524" s="16">
        <v>0.02</v>
      </c>
      <c r="G5524" s="15" t="s">
        <v>58</v>
      </c>
      <c r="H5524" s="18">
        <v>-624.29</v>
      </c>
      <c r="I5524" s="19">
        <v>81.94</v>
      </c>
      <c r="J5524" s="19">
        <v>55.81</v>
      </c>
      <c r="K5524" s="19" t="s">
        <v>44</v>
      </c>
      <c r="L5524" s="19" t="s">
        <v>52</v>
      </c>
      <c r="M5524" s="15" t="s">
        <v>2240</v>
      </c>
      <c r="N5524" s="15" t="s">
        <v>54</v>
      </c>
      <c r="O5524" s="15" t="s">
        <v>134</v>
      </c>
      <c r="P5524" s="20" t="s">
        <v>1288</v>
      </c>
      <c r="Q5524" s="15" t="s">
        <v>63</v>
      </c>
      <c r="R5524" s="4"/>
      <c r="S5524" s="4"/>
    </row>
    <row r="5525" spans="1:19" ht="21" customHeight="1" x14ac:dyDescent="0.25">
      <c r="A5525" s="14">
        <f>DATE(2012,12,31)-1338</f>
        <v>39936</v>
      </c>
      <c r="B5525" s="15" t="s">
        <v>359</v>
      </c>
      <c r="C5525" s="15" t="s">
        <v>31</v>
      </c>
      <c r="D5525" s="16">
        <v>49</v>
      </c>
      <c r="E5525" s="17">
        <v>1400.91</v>
      </c>
      <c r="F5525" s="16">
        <v>0.09</v>
      </c>
      <c r="G5525" s="15" t="s">
        <v>32</v>
      </c>
      <c r="H5525" s="18">
        <v>-163.53</v>
      </c>
      <c r="I5525" s="19">
        <v>30.98</v>
      </c>
      <c r="J5525" s="19">
        <v>19.510000000000002</v>
      </c>
      <c r="K5525" s="19" t="s">
        <v>44</v>
      </c>
      <c r="L5525" s="19" t="s">
        <v>52</v>
      </c>
      <c r="M5525" s="15" t="s">
        <v>2240</v>
      </c>
      <c r="N5525" s="15" t="s">
        <v>36</v>
      </c>
      <c r="O5525" s="15" t="s">
        <v>189</v>
      </c>
      <c r="P5525" s="20" t="s">
        <v>1315</v>
      </c>
      <c r="Q5525" s="15" t="s">
        <v>83</v>
      </c>
      <c r="R5525" s="4"/>
      <c r="S5525" s="4"/>
    </row>
    <row r="5526" spans="1:19" ht="21" customHeight="1" x14ac:dyDescent="0.25">
      <c r="A5526" s="14">
        <f>DATE(2012,12,31)-1338</f>
        <v>39936</v>
      </c>
      <c r="B5526" s="15" t="s">
        <v>359</v>
      </c>
      <c r="C5526" s="15" t="s">
        <v>31</v>
      </c>
      <c r="D5526" s="16">
        <v>47</v>
      </c>
      <c r="E5526" s="17">
        <v>2259.66</v>
      </c>
      <c r="F5526" s="16">
        <v>0.03</v>
      </c>
      <c r="G5526" s="15" t="s">
        <v>32</v>
      </c>
      <c r="H5526" s="18">
        <v>554.77</v>
      </c>
      <c r="I5526" s="19">
        <v>49.34</v>
      </c>
      <c r="J5526" s="19">
        <v>10.25</v>
      </c>
      <c r="K5526" s="19" t="s">
        <v>44</v>
      </c>
      <c r="L5526" s="19" t="s">
        <v>236</v>
      </c>
      <c r="M5526" s="15" t="s">
        <v>2246</v>
      </c>
      <c r="N5526" s="15" t="s">
        <v>54</v>
      </c>
      <c r="O5526" s="15" t="s">
        <v>55</v>
      </c>
      <c r="P5526" s="20" t="s">
        <v>1283</v>
      </c>
      <c r="Q5526" s="15" t="s">
        <v>39</v>
      </c>
      <c r="R5526" s="4"/>
      <c r="S5526" s="4"/>
    </row>
    <row r="5527" spans="1:19" ht="21" customHeight="1" x14ac:dyDescent="0.25">
      <c r="A5527" s="14">
        <f>DATE(2012,12,31)-269</f>
        <v>41005</v>
      </c>
      <c r="B5527" s="15" t="s">
        <v>772</v>
      </c>
      <c r="C5527" s="15" t="s">
        <v>43</v>
      </c>
      <c r="D5527" s="16">
        <v>46</v>
      </c>
      <c r="E5527" s="17">
        <v>6730.07</v>
      </c>
      <c r="F5527" s="16">
        <v>0.05</v>
      </c>
      <c r="G5527" s="15" t="s">
        <v>58</v>
      </c>
      <c r="H5527" s="18">
        <v>-1134.6099999999999</v>
      </c>
      <c r="I5527" s="19">
        <v>150.97999999999999</v>
      </c>
      <c r="J5527" s="19">
        <v>66.27</v>
      </c>
      <c r="K5527" s="19" t="s">
        <v>44</v>
      </c>
      <c r="L5527" s="19" t="s">
        <v>52</v>
      </c>
      <c r="M5527" s="15" t="s">
        <v>2240</v>
      </c>
      <c r="N5527" s="15" t="s">
        <v>54</v>
      </c>
      <c r="O5527" s="15" t="s">
        <v>134</v>
      </c>
      <c r="P5527" s="20" t="s">
        <v>1113</v>
      </c>
      <c r="Q5527" s="15" t="s">
        <v>63</v>
      </c>
      <c r="R5527" s="4"/>
      <c r="S5527" s="4"/>
    </row>
    <row r="5528" spans="1:19" ht="21" customHeight="1" x14ac:dyDescent="0.25">
      <c r="A5528" s="14">
        <f>DATE(2012,12,31)-228</f>
        <v>41046</v>
      </c>
      <c r="B5528" s="15" t="s">
        <v>1576</v>
      </c>
      <c r="C5528" s="15" t="s">
        <v>51</v>
      </c>
      <c r="D5528" s="16">
        <v>22</v>
      </c>
      <c r="E5528" s="17">
        <v>809.91</v>
      </c>
      <c r="F5528" s="16">
        <v>7.0000000000000007E-2</v>
      </c>
      <c r="G5528" s="15" t="s">
        <v>32</v>
      </c>
      <c r="H5528" s="18">
        <v>321.67399999999998</v>
      </c>
      <c r="I5528" s="19">
        <v>37.700000000000003</v>
      </c>
      <c r="J5528" s="19">
        <v>2.99</v>
      </c>
      <c r="K5528" s="19" t="s">
        <v>44</v>
      </c>
      <c r="L5528" s="19" t="s">
        <v>52</v>
      </c>
      <c r="M5528" s="15" t="s">
        <v>2240</v>
      </c>
      <c r="N5528" s="15" t="s">
        <v>36</v>
      </c>
      <c r="O5528" s="15" t="s">
        <v>170</v>
      </c>
      <c r="P5528" s="20" t="s">
        <v>391</v>
      </c>
      <c r="Q5528" s="15" t="s">
        <v>83</v>
      </c>
      <c r="R5528" s="4"/>
      <c r="S5528" s="4"/>
    </row>
    <row r="5529" spans="1:19" ht="21" customHeight="1" x14ac:dyDescent="0.25">
      <c r="A5529" s="14">
        <f>DATE(2012,12,31)-228</f>
        <v>41046</v>
      </c>
      <c r="B5529" s="15" t="s">
        <v>1576</v>
      </c>
      <c r="C5529" s="15" t="s">
        <v>51</v>
      </c>
      <c r="D5529" s="16">
        <v>50</v>
      </c>
      <c r="E5529" s="17">
        <v>1027.6600000000001</v>
      </c>
      <c r="F5529" s="16">
        <v>0</v>
      </c>
      <c r="G5529" s="15" t="s">
        <v>32</v>
      </c>
      <c r="H5529" s="18">
        <v>184.07</v>
      </c>
      <c r="I5529" s="19">
        <v>19.98</v>
      </c>
      <c r="J5529" s="19">
        <v>8.68</v>
      </c>
      <c r="K5529" s="19" t="s">
        <v>44</v>
      </c>
      <c r="L5529" s="19" t="s">
        <v>52</v>
      </c>
      <c r="M5529" s="15" t="s">
        <v>2240</v>
      </c>
      <c r="N5529" s="15" t="s">
        <v>36</v>
      </c>
      <c r="O5529" s="15" t="s">
        <v>117</v>
      </c>
      <c r="P5529" s="20" t="s">
        <v>1274</v>
      </c>
      <c r="Q5529" s="15" t="s">
        <v>83</v>
      </c>
      <c r="R5529" s="4"/>
      <c r="S5529" s="4"/>
    </row>
    <row r="5530" spans="1:19" ht="21" customHeight="1" x14ac:dyDescent="0.25">
      <c r="A5530" s="14">
        <f>DATE(2012,12,31)-228</f>
        <v>41046</v>
      </c>
      <c r="B5530" s="15" t="s">
        <v>1576</v>
      </c>
      <c r="C5530" s="15" t="s">
        <v>51</v>
      </c>
      <c r="D5530" s="16">
        <v>30</v>
      </c>
      <c r="E5530" s="17">
        <v>301.38</v>
      </c>
      <c r="F5530" s="16">
        <v>0.06</v>
      </c>
      <c r="G5530" s="15" t="s">
        <v>32</v>
      </c>
      <c r="H5530" s="18">
        <v>5.08</v>
      </c>
      <c r="I5530" s="19">
        <v>10.48</v>
      </c>
      <c r="J5530" s="19">
        <v>2.89</v>
      </c>
      <c r="K5530" s="19" t="s">
        <v>44</v>
      </c>
      <c r="L5530" s="19" t="s">
        <v>52</v>
      </c>
      <c r="M5530" s="15" t="s">
        <v>2240</v>
      </c>
      <c r="N5530" s="15" t="s">
        <v>36</v>
      </c>
      <c r="O5530" s="15" t="s">
        <v>77</v>
      </c>
      <c r="P5530" s="20" t="s">
        <v>1753</v>
      </c>
      <c r="Q5530" s="15" t="s">
        <v>49</v>
      </c>
      <c r="R5530" s="4"/>
      <c r="S5530" s="4"/>
    </row>
    <row r="5531" spans="1:19" ht="21" customHeight="1" x14ac:dyDescent="0.25">
      <c r="A5531" s="14">
        <f>DATE(2012,12,31)-493</f>
        <v>40781</v>
      </c>
      <c r="B5531" s="15" t="s">
        <v>459</v>
      </c>
      <c r="C5531" s="15" t="s">
        <v>85</v>
      </c>
      <c r="D5531" s="16">
        <v>5</v>
      </c>
      <c r="E5531" s="17">
        <v>24.91</v>
      </c>
      <c r="F5531" s="16">
        <v>0</v>
      </c>
      <c r="G5531" s="15" t="s">
        <v>32</v>
      </c>
      <c r="H5531" s="18">
        <v>-0.9</v>
      </c>
      <c r="I5531" s="19">
        <v>4.84</v>
      </c>
      <c r="J5531" s="19">
        <v>0.71</v>
      </c>
      <c r="K5531" s="19" t="s">
        <v>44</v>
      </c>
      <c r="L5531" s="19" t="s">
        <v>52</v>
      </c>
      <c r="M5531" s="15" t="s">
        <v>2240</v>
      </c>
      <c r="N5531" s="15" t="s">
        <v>36</v>
      </c>
      <c r="O5531" s="15" t="s">
        <v>77</v>
      </c>
      <c r="P5531" s="20" t="s">
        <v>901</v>
      </c>
      <c r="Q5531" s="15" t="s">
        <v>79</v>
      </c>
      <c r="R5531" s="4"/>
      <c r="S5531" s="4"/>
    </row>
    <row r="5532" spans="1:19" ht="21" customHeight="1" x14ac:dyDescent="0.25">
      <c r="A5532" s="14">
        <f>DATE(2012,12,31)-920</f>
        <v>40354</v>
      </c>
      <c r="B5532" s="15" t="s">
        <v>1090</v>
      </c>
      <c r="C5532" s="15" t="s">
        <v>31</v>
      </c>
      <c r="D5532" s="16">
        <v>38</v>
      </c>
      <c r="E5532" s="17">
        <v>9013.58</v>
      </c>
      <c r="F5532" s="16">
        <v>0.04</v>
      </c>
      <c r="G5532" s="15" t="s">
        <v>32</v>
      </c>
      <c r="H5532" s="18">
        <v>2574.36</v>
      </c>
      <c r="I5532" s="19">
        <v>232.58</v>
      </c>
      <c r="J5532" s="19">
        <v>19.989999999999998</v>
      </c>
      <c r="K5532" s="19" t="s">
        <v>44</v>
      </c>
      <c r="L5532" s="19" t="s">
        <v>52</v>
      </c>
      <c r="M5532" s="15" t="s">
        <v>2240</v>
      </c>
      <c r="N5532" s="15" t="s">
        <v>36</v>
      </c>
      <c r="O5532" s="15" t="s">
        <v>176</v>
      </c>
      <c r="P5532" s="20" t="s">
        <v>2243</v>
      </c>
      <c r="Q5532" s="15" t="s">
        <v>83</v>
      </c>
      <c r="R5532" s="4"/>
      <c r="S5532" s="4"/>
    </row>
    <row r="5533" spans="1:19" ht="21" customHeight="1" x14ac:dyDescent="0.25">
      <c r="A5533" s="14">
        <f>DATE(2012,12,31)-920</f>
        <v>40354</v>
      </c>
      <c r="B5533" s="15" t="s">
        <v>1090</v>
      </c>
      <c r="C5533" s="15" t="s">
        <v>31</v>
      </c>
      <c r="D5533" s="16">
        <v>26</v>
      </c>
      <c r="E5533" s="17">
        <v>175.42</v>
      </c>
      <c r="F5533" s="16">
        <v>0</v>
      </c>
      <c r="G5533" s="15" t="s">
        <v>32</v>
      </c>
      <c r="H5533" s="18">
        <v>-93.73</v>
      </c>
      <c r="I5533" s="19">
        <v>5.98</v>
      </c>
      <c r="J5533" s="19">
        <v>7.5</v>
      </c>
      <c r="K5533" s="19" t="s">
        <v>44</v>
      </c>
      <c r="L5533" s="19" t="s">
        <v>52</v>
      </c>
      <c r="M5533" s="15" t="s">
        <v>2240</v>
      </c>
      <c r="N5533" s="15" t="s">
        <v>36</v>
      </c>
      <c r="O5533" s="15" t="s">
        <v>117</v>
      </c>
      <c r="P5533" s="20" t="s">
        <v>1801</v>
      </c>
      <c r="Q5533" s="15" t="s">
        <v>83</v>
      </c>
      <c r="R5533" s="4"/>
      <c r="S5533" s="4"/>
    </row>
    <row r="5534" spans="1:19" ht="21" customHeight="1" x14ac:dyDescent="0.25">
      <c r="A5534" s="14">
        <f>DATE(2012,12,31)-1445</f>
        <v>39829</v>
      </c>
      <c r="B5534" s="15" t="s">
        <v>1336</v>
      </c>
      <c r="C5534" s="15" t="s">
        <v>85</v>
      </c>
      <c r="D5534" s="16">
        <v>36</v>
      </c>
      <c r="E5534" s="17">
        <v>76.48</v>
      </c>
      <c r="F5534" s="16">
        <v>0.09</v>
      </c>
      <c r="G5534" s="15" t="s">
        <v>32</v>
      </c>
      <c r="H5534" s="18">
        <v>3.23</v>
      </c>
      <c r="I5534" s="19">
        <v>2.1800000000000002</v>
      </c>
      <c r="J5534" s="19">
        <v>0.78</v>
      </c>
      <c r="K5534" s="19" t="s">
        <v>69</v>
      </c>
      <c r="L5534" s="19" t="s">
        <v>215</v>
      </c>
      <c r="M5534" s="15" t="s">
        <v>2197</v>
      </c>
      <c r="N5534" s="15" t="s">
        <v>36</v>
      </c>
      <c r="O5534" s="15" t="s">
        <v>105</v>
      </c>
      <c r="P5534" s="20" t="s">
        <v>1706</v>
      </c>
      <c r="Q5534" s="15" t="s">
        <v>79</v>
      </c>
      <c r="R5534" s="4"/>
      <c r="S5534" s="4"/>
    </row>
    <row r="5535" spans="1:19" ht="21" customHeight="1" x14ac:dyDescent="0.25">
      <c r="A5535" s="14">
        <f>DATE(2012,12,31)-1445</f>
        <v>39829</v>
      </c>
      <c r="B5535" s="15" t="s">
        <v>1336</v>
      </c>
      <c r="C5535" s="15" t="s">
        <v>85</v>
      </c>
      <c r="D5535" s="16">
        <v>2</v>
      </c>
      <c r="E5535" s="17">
        <v>373.27</v>
      </c>
      <c r="F5535" s="16">
        <v>0.05</v>
      </c>
      <c r="G5535" s="15" t="s">
        <v>58</v>
      </c>
      <c r="H5535" s="18">
        <v>-433.29014300000011</v>
      </c>
      <c r="I5535" s="19">
        <v>179.29</v>
      </c>
      <c r="J5535" s="19">
        <v>29.21</v>
      </c>
      <c r="K5535" s="19" t="s">
        <v>44</v>
      </c>
      <c r="L5535" s="19" t="s">
        <v>45</v>
      </c>
      <c r="M5535" s="15" t="s">
        <v>2236</v>
      </c>
      <c r="N5535" s="15" t="s">
        <v>54</v>
      </c>
      <c r="O5535" s="15" t="s">
        <v>61</v>
      </c>
      <c r="P5535" s="20" t="s">
        <v>592</v>
      </c>
      <c r="Q5535" s="15" t="s">
        <v>63</v>
      </c>
      <c r="R5535" s="4"/>
      <c r="S5535" s="4"/>
    </row>
    <row r="5536" spans="1:19" ht="21" customHeight="1" x14ac:dyDescent="0.25">
      <c r="A5536" s="14">
        <f>DATE(2012,12,31)-538</f>
        <v>40736</v>
      </c>
      <c r="B5536" s="15" t="s">
        <v>643</v>
      </c>
      <c r="C5536" s="15" t="s">
        <v>31</v>
      </c>
      <c r="D5536" s="16">
        <v>11</v>
      </c>
      <c r="E5536" s="17">
        <v>391.9</v>
      </c>
      <c r="F5536" s="16">
        <v>0.1</v>
      </c>
      <c r="G5536" s="15" t="s">
        <v>32</v>
      </c>
      <c r="H5536" s="18">
        <v>-47.01</v>
      </c>
      <c r="I5536" s="19">
        <v>35.44</v>
      </c>
      <c r="J5536" s="19">
        <v>19.989999999999998</v>
      </c>
      <c r="K5536" s="19" t="s">
        <v>33</v>
      </c>
      <c r="L5536" s="19" t="s">
        <v>145</v>
      </c>
      <c r="M5536" s="15" t="s">
        <v>2248</v>
      </c>
      <c r="N5536" s="15" t="s">
        <v>36</v>
      </c>
      <c r="O5536" s="15" t="s">
        <v>117</v>
      </c>
      <c r="P5536" s="20" t="s">
        <v>1093</v>
      </c>
      <c r="Q5536" s="15" t="s">
        <v>83</v>
      </c>
      <c r="R5536" s="4"/>
      <c r="S5536" s="4"/>
    </row>
    <row r="5537" spans="1:19" ht="21" customHeight="1" x14ac:dyDescent="0.25">
      <c r="A5537" s="14">
        <f>DATE(2012,12,31)-538</f>
        <v>40736</v>
      </c>
      <c r="B5537" s="15" t="s">
        <v>643</v>
      </c>
      <c r="C5537" s="15" t="s">
        <v>31</v>
      </c>
      <c r="D5537" s="16">
        <v>26</v>
      </c>
      <c r="E5537" s="17">
        <v>1451.59</v>
      </c>
      <c r="F5537" s="16">
        <v>0.06</v>
      </c>
      <c r="G5537" s="15" t="s">
        <v>32</v>
      </c>
      <c r="H5537" s="18">
        <v>435.11</v>
      </c>
      <c r="I5537" s="19">
        <v>55.48</v>
      </c>
      <c r="J5537" s="19">
        <v>14.3</v>
      </c>
      <c r="K5537" s="19" t="s">
        <v>33</v>
      </c>
      <c r="L5537" s="19" t="s">
        <v>128</v>
      </c>
      <c r="M5537" s="15" t="s">
        <v>129</v>
      </c>
      <c r="N5537" s="15" t="s">
        <v>36</v>
      </c>
      <c r="O5537" s="15" t="s">
        <v>117</v>
      </c>
      <c r="P5537" s="20" t="s">
        <v>402</v>
      </c>
      <c r="Q5537" s="15" t="s">
        <v>83</v>
      </c>
      <c r="R5537" s="4"/>
      <c r="S5537" s="4"/>
    </row>
    <row r="5538" spans="1:19" ht="21" customHeight="1" x14ac:dyDescent="0.25">
      <c r="A5538" s="14">
        <f>DATE(2012,12,31)-901</f>
        <v>40373</v>
      </c>
      <c r="B5538" s="15" t="s">
        <v>1026</v>
      </c>
      <c r="C5538" s="15" t="s">
        <v>85</v>
      </c>
      <c r="D5538" s="16">
        <v>34</v>
      </c>
      <c r="E5538" s="17">
        <v>801.98</v>
      </c>
      <c r="F5538" s="16">
        <v>0</v>
      </c>
      <c r="G5538" s="15" t="s">
        <v>32</v>
      </c>
      <c r="H5538" s="18">
        <v>-99.95</v>
      </c>
      <c r="I5538" s="19">
        <v>21.66</v>
      </c>
      <c r="J5538" s="19">
        <v>13.99</v>
      </c>
      <c r="K5538" s="19" t="s">
        <v>69</v>
      </c>
      <c r="L5538" s="19" t="s">
        <v>70</v>
      </c>
      <c r="M5538" s="15" t="s">
        <v>2230</v>
      </c>
      <c r="N5538" s="15" t="s">
        <v>36</v>
      </c>
      <c r="O5538" s="15" t="s">
        <v>176</v>
      </c>
      <c r="P5538" s="20" t="s">
        <v>1695</v>
      </c>
      <c r="Q5538" s="15" t="s">
        <v>57</v>
      </c>
      <c r="R5538" s="4"/>
      <c r="S5538" s="4"/>
    </row>
    <row r="5539" spans="1:19" ht="21" customHeight="1" x14ac:dyDescent="0.25">
      <c r="A5539" s="14">
        <f>DATE(2012,12,31)-827</f>
        <v>40447</v>
      </c>
      <c r="B5539" s="15" t="s">
        <v>223</v>
      </c>
      <c r="C5539" s="15" t="s">
        <v>85</v>
      </c>
      <c r="D5539" s="16">
        <v>9</v>
      </c>
      <c r="E5539" s="17">
        <v>373.48</v>
      </c>
      <c r="F5539" s="16">
        <v>0.1</v>
      </c>
      <c r="G5539" s="15" t="s">
        <v>101</v>
      </c>
      <c r="H5539" s="18">
        <v>112.05550000000001</v>
      </c>
      <c r="I5539" s="19">
        <v>40.98</v>
      </c>
      <c r="J5539" s="19">
        <v>2.99</v>
      </c>
      <c r="K5539" s="19" t="s">
        <v>44</v>
      </c>
      <c r="L5539" s="19" t="s">
        <v>89</v>
      </c>
      <c r="M5539" s="15" t="s">
        <v>1932</v>
      </c>
      <c r="N5539" s="15" t="s">
        <v>36</v>
      </c>
      <c r="O5539" s="15" t="s">
        <v>170</v>
      </c>
      <c r="P5539" s="20" t="s">
        <v>347</v>
      </c>
      <c r="Q5539" s="15" t="s">
        <v>83</v>
      </c>
      <c r="R5539" s="4"/>
      <c r="S5539" s="4"/>
    </row>
    <row r="5540" spans="1:19" ht="21" customHeight="1" x14ac:dyDescent="0.25">
      <c r="A5540" s="14">
        <f>DATE(2012,12,31)-969</f>
        <v>40305</v>
      </c>
      <c r="B5540" s="15" t="s">
        <v>2258</v>
      </c>
      <c r="C5540" s="15" t="s">
        <v>85</v>
      </c>
      <c r="D5540" s="16">
        <v>47</v>
      </c>
      <c r="E5540" s="17">
        <v>198.08</v>
      </c>
      <c r="F5540" s="16">
        <v>0.02</v>
      </c>
      <c r="G5540" s="15" t="s">
        <v>32</v>
      </c>
      <c r="H5540" s="18">
        <v>32.69</v>
      </c>
      <c r="I5540" s="19">
        <v>4.28</v>
      </c>
      <c r="J5540" s="19">
        <v>0.94</v>
      </c>
      <c r="K5540" s="19" t="s">
        <v>44</v>
      </c>
      <c r="L5540" s="19" t="s">
        <v>120</v>
      </c>
      <c r="M5540" s="15" t="s">
        <v>2025</v>
      </c>
      <c r="N5540" s="15" t="s">
        <v>36</v>
      </c>
      <c r="O5540" s="15" t="s">
        <v>77</v>
      </c>
      <c r="P5540" s="20" t="s">
        <v>600</v>
      </c>
      <c r="Q5540" s="15" t="s">
        <v>79</v>
      </c>
      <c r="R5540" s="4"/>
      <c r="S5540" s="4"/>
    </row>
    <row r="5541" spans="1:19" ht="21" customHeight="1" x14ac:dyDescent="0.25">
      <c r="A5541" s="14">
        <f>DATE(2012,12,31)-126</f>
        <v>41148</v>
      </c>
      <c r="B5541" s="15" t="s">
        <v>937</v>
      </c>
      <c r="C5541" s="15" t="s">
        <v>51</v>
      </c>
      <c r="D5541" s="16">
        <v>4</v>
      </c>
      <c r="E5541" s="17">
        <v>64.09</v>
      </c>
      <c r="F5541" s="16">
        <v>0.02</v>
      </c>
      <c r="G5541" s="15" t="s">
        <v>32</v>
      </c>
      <c r="H5541" s="18">
        <v>3.72</v>
      </c>
      <c r="I5541" s="19">
        <v>15.57</v>
      </c>
      <c r="J5541" s="19">
        <v>1.39</v>
      </c>
      <c r="K5541" s="19" t="s">
        <v>44</v>
      </c>
      <c r="L5541" s="19" t="s">
        <v>120</v>
      </c>
      <c r="M5541" s="15" t="s">
        <v>2025</v>
      </c>
      <c r="N5541" s="15" t="s">
        <v>36</v>
      </c>
      <c r="O5541" s="15" t="s">
        <v>189</v>
      </c>
      <c r="P5541" s="20" t="s">
        <v>802</v>
      </c>
      <c r="Q5541" s="15" t="s">
        <v>83</v>
      </c>
      <c r="R5541" s="4"/>
      <c r="S5541" s="4"/>
    </row>
    <row r="5542" spans="1:19" ht="21" customHeight="1" x14ac:dyDescent="0.25">
      <c r="A5542" s="14">
        <f>DATE(2012,12,31)-126</f>
        <v>41148</v>
      </c>
      <c r="B5542" s="15" t="s">
        <v>937</v>
      </c>
      <c r="C5542" s="15" t="s">
        <v>51</v>
      </c>
      <c r="D5542" s="16">
        <v>14</v>
      </c>
      <c r="E5542" s="17">
        <v>36.409999999999997</v>
      </c>
      <c r="F5542" s="16">
        <v>0.09</v>
      </c>
      <c r="G5542" s="15" t="s">
        <v>32</v>
      </c>
      <c r="H5542" s="18">
        <v>9.94</v>
      </c>
      <c r="I5542" s="19">
        <v>2.61</v>
      </c>
      <c r="J5542" s="19">
        <v>0.5</v>
      </c>
      <c r="K5542" s="19" t="s">
        <v>33</v>
      </c>
      <c r="L5542" s="19" t="s">
        <v>128</v>
      </c>
      <c r="M5542" s="15" t="s">
        <v>129</v>
      </c>
      <c r="N5542" s="15" t="s">
        <v>36</v>
      </c>
      <c r="O5542" s="15" t="s">
        <v>114</v>
      </c>
      <c r="P5542" s="20" t="s">
        <v>593</v>
      </c>
      <c r="Q5542" s="15" t="s">
        <v>83</v>
      </c>
      <c r="R5542" s="4"/>
      <c r="S5542" s="4"/>
    </row>
    <row r="5543" spans="1:19" ht="21" customHeight="1" x14ac:dyDescent="0.25">
      <c r="A5543" s="14">
        <f>DATE(2012,12,31)-126</f>
        <v>41148</v>
      </c>
      <c r="B5543" s="15" t="s">
        <v>937</v>
      </c>
      <c r="C5543" s="15" t="s">
        <v>51</v>
      </c>
      <c r="D5543" s="16">
        <v>16</v>
      </c>
      <c r="E5543" s="17">
        <v>981.26</v>
      </c>
      <c r="F5543" s="16">
        <v>0.09</v>
      </c>
      <c r="G5543" s="15" t="s">
        <v>32</v>
      </c>
      <c r="H5543" s="18">
        <v>-500.35</v>
      </c>
      <c r="I5543" s="19">
        <v>60.98</v>
      </c>
      <c r="J5543" s="19">
        <v>49</v>
      </c>
      <c r="K5543" s="19" t="s">
        <v>33</v>
      </c>
      <c r="L5543" s="19" t="s">
        <v>128</v>
      </c>
      <c r="M5543" s="15" t="s">
        <v>129</v>
      </c>
      <c r="N5543" s="15" t="s">
        <v>36</v>
      </c>
      <c r="O5543" s="15" t="s">
        <v>176</v>
      </c>
      <c r="P5543" s="20" t="s">
        <v>534</v>
      </c>
      <c r="Q5543" s="15" t="s">
        <v>39</v>
      </c>
      <c r="R5543" s="4"/>
      <c r="S5543" s="4"/>
    </row>
    <row r="5544" spans="1:19" ht="21" customHeight="1" x14ac:dyDescent="0.25">
      <c r="A5544" s="14">
        <f>DATE(2012,12,31)-1078</f>
        <v>40196</v>
      </c>
      <c r="B5544" s="15" t="s">
        <v>251</v>
      </c>
      <c r="C5544" s="15" t="s">
        <v>51</v>
      </c>
      <c r="D5544" s="16">
        <v>26</v>
      </c>
      <c r="E5544" s="17">
        <v>430.33</v>
      </c>
      <c r="F5544" s="16">
        <v>0.08</v>
      </c>
      <c r="G5544" s="15" t="s">
        <v>32</v>
      </c>
      <c r="H5544" s="18">
        <v>85.48</v>
      </c>
      <c r="I5544" s="19">
        <v>17.78</v>
      </c>
      <c r="J5544" s="19">
        <v>5.03</v>
      </c>
      <c r="K5544" s="19" t="s">
        <v>97</v>
      </c>
      <c r="L5544" s="19" t="s">
        <v>98</v>
      </c>
      <c r="M5544" s="15" t="s">
        <v>2217</v>
      </c>
      <c r="N5544" s="15" t="s">
        <v>54</v>
      </c>
      <c r="O5544" s="15" t="s">
        <v>55</v>
      </c>
      <c r="P5544" s="20" t="s">
        <v>1136</v>
      </c>
      <c r="Q5544" s="15" t="s">
        <v>83</v>
      </c>
      <c r="R5544" s="4"/>
      <c r="S5544" s="4"/>
    </row>
    <row r="5545" spans="1:19" ht="21" customHeight="1" x14ac:dyDescent="0.25">
      <c r="A5545" s="14">
        <f>DATE(2012,12,31)-1078</f>
        <v>40196</v>
      </c>
      <c r="B5545" s="15" t="s">
        <v>251</v>
      </c>
      <c r="C5545" s="15" t="s">
        <v>51</v>
      </c>
      <c r="D5545" s="16">
        <v>46</v>
      </c>
      <c r="E5545" s="17">
        <v>1221.47</v>
      </c>
      <c r="F5545" s="16">
        <v>0.09</v>
      </c>
      <c r="G5545" s="15" t="s">
        <v>32</v>
      </c>
      <c r="H5545" s="18">
        <v>-233.14</v>
      </c>
      <c r="I5545" s="19">
        <v>28.28</v>
      </c>
      <c r="J5545" s="19">
        <v>13.99</v>
      </c>
      <c r="K5545" s="19" t="s">
        <v>124</v>
      </c>
      <c r="L5545" s="19" t="s">
        <v>493</v>
      </c>
      <c r="M5545" s="15" t="s">
        <v>2259</v>
      </c>
      <c r="N5545" s="15" t="s">
        <v>36</v>
      </c>
      <c r="O5545" s="15" t="s">
        <v>37</v>
      </c>
      <c r="P5545" s="20" t="s">
        <v>883</v>
      </c>
      <c r="Q5545" s="15" t="s">
        <v>57</v>
      </c>
      <c r="R5545" s="4"/>
      <c r="S5545" s="4"/>
    </row>
    <row r="5546" spans="1:19" ht="21" customHeight="1" x14ac:dyDescent="0.25">
      <c r="A5546" s="14">
        <f>DATE(2012,12,31)-619</f>
        <v>40655</v>
      </c>
      <c r="B5546" s="15" t="s">
        <v>1132</v>
      </c>
      <c r="C5546" s="15" t="s">
        <v>43</v>
      </c>
      <c r="D5546" s="16">
        <v>44</v>
      </c>
      <c r="E5546" s="17">
        <v>324.2</v>
      </c>
      <c r="F5546" s="16">
        <v>0.02</v>
      </c>
      <c r="G5546" s="15" t="s">
        <v>101</v>
      </c>
      <c r="H5546" s="18">
        <v>-89.746000000000009</v>
      </c>
      <c r="I5546" s="19">
        <v>7.1</v>
      </c>
      <c r="J5546" s="19">
        <v>6.05</v>
      </c>
      <c r="K5546" s="19" t="s">
        <v>124</v>
      </c>
      <c r="L5546" s="19" t="s">
        <v>164</v>
      </c>
      <c r="M5546" s="15" t="s">
        <v>2257</v>
      </c>
      <c r="N5546" s="15" t="s">
        <v>36</v>
      </c>
      <c r="O5546" s="15" t="s">
        <v>170</v>
      </c>
      <c r="P5546" s="20" t="s">
        <v>913</v>
      </c>
      <c r="Q5546" s="15" t="s">
        <v>83</v>
      </c>
      <c r="R5546" s="4"/>
      <c r="S5546" s="4"/>
    </row>
    <row r="5547" spans="1:19" ht="21" customHeight="1" x14ac:dyDescent="0.25">
      <c r="A5547" s="14">
        <f>DATE(2012,12,31)-619</f>
        <v>40655</v>
      </c>
      <c r="B5547" s="15" t="s">
        <v>1132</v>
      </c>
      <c r="C5547" s="15" t="s">
        <v>43</v>
      </c>
      <c r="D5547" s="16">
        <v>45</v>
      </c>
      <c r="E5547" s="17">
        <v>156.94999999999999</v>
      </c>
      <c r="F5547" s="16">
        <v>0.1</v>
      </c>
      <c r="G5547" s="15" t="s">
        <v>32</v>
      </c>
      <c r="H5547" s="18">
        <v>-32.520000000000003</v>
      </c>
      <c r="I5547" s="19">
        <v>3.74</v>
      </c>
      <c r="J5547" s="19">
        <v>0.94</v>
      </c>
      <c r="K5547" s="19" t="s">
        <v>44</v>
      </c>
      <c r="L5547" s="19" t="s">
        <v>52</v>
      </c>
      <c r="M5547" s="15" t="s">
        <v>2240</v>
      </c>
      <c r="N5547" s="15" t="s">
        <v>36</v>
      </c>
      <c r="O5547" s="15" t="s">
        <v>105</v>
      </c>
      <c r="P5547" s="20" t="s">
        <v>2260</v>
      </c>
      <c r="Q5547" s="15" t="s">
        <v>79</v>
      </c>
      <c r="R5547" s="4"/>
      <c r="S5547" s="4"/>
    </row>
    <row r="5548" spans="1:19" ht="21" customHeight="1" x14ac:dyDescent="0.25">
      <c r="A5548" s="14">
        <f>DATE(2012,12,31)-66</f>
        <v>41208</v>
      </c>
      <c r="B5548" s="15" t="s">
        <v>796</v>
      </c>
      <c r="C5548" s="15" t="s">
        <v>31</v>
      </c>
      <c r="D5548" s="16">
        <v>16</v>
      </c>
      <c r="E5548" s="17">
        <v>464.69499999999999</v>
      </c>
      <c r="F5548" s="16">
        <v>0.06</v>
      </c>
      <c r="G5548" s="15" t="s">
        <v>32</v>
      </c>
      <c r="H5548" s="18">
        <v>107.505</v>
      </c>
      <c r="I5548" s="19">
        <v>35.99</v>
      </c>
      <c r="J5548" s="19">
        <v>2.5</v>
      </c>
      <c r="K5548" s="19" t="s">
        <v>44</v>
      </c>
      <c r="L5548" s="19" t="s">
        <v>52</v>
      </c>
      <c r="M5548" s="15" t="s">
        <v>2240</v>
      </c>
      <c r="N5548" s="15" t="s">
        <v>64</v>
      </c>
      <c r="O5548" s="15" t="s">
        <v>65</v>
      </c>
      <c r="P5548" s="20" t="s">
        <v>2261</v>
      </c>
      <c r="Q5548" s="15" t="s">
        <v>49</v>
      </c>
      <c r="R5548" s="4"/>
      <c r="S5548" s="4"/>
    </row>
    <row r="5549" spans="1:19" ht="21" customHeight="1" x14ac:dyDescent="0.25">
      <c r="A5549" s="14">
        <f>DATE(2012,12,31)-694</f>
        <v>40580</v>
      </c>
      <c r="B5549" s="15" t="s">
        <v>1253</v>
      </c>
      <c r="C5549" s="15" t="s">
        <v>51</v>
      </c>
      <c r="D5549" s="16">
        <v>11</v>
      </c>
      <c r="E5549" s="17">
        <v>65.78</v>
      </c>
      <c r="F5549" s="16">
        <v>7.0000000000000007E-2</v>
      </c>
      <c r="G5549" s="15" t="s">
        <v>32</v>
      </c>
      <c r="H5549" s="18">
        <v>-17.420000000000002</v>
      </c>
      <c r="I5549" s="19">
        <v>5.81</v>
      </c>
      <c r="J5549" s="19">
        <v>3.37</v>
      </c>
      <c r="K5549" s="19" t="s">
        <v>44</v>
      </c>
      <c r="L5549" s="19" t="s">
        <v>52</v>
      </c>
      <c r="M5549" s="15" t="s">
        <v>2240</v>
      </c>
      <c r="N5549" s="15" t="s">
        <v>36</v>
      </c>
      <c r="O5549" s="15" t="s">
        <v>105</v>
      </c>
      <c r="P5549" s="20" t="s">
        <v>209</v>
      </c>
      <c r="Q5549" s="15" t="s">
        <v>79</v>
      </c>
      <c r="R5549" s="4"/>
      <c r="S5549" s="4"/>
    </row>
    <row r="5550" spans="1:19" ht="21" customHeight="1" x14ac:dyDescent="0.25">
      <c r="A5550" s="14">
        <f>DATE(2012,12,31)-253</f>
        <v>41021</v>
      </c>
      <c r="B5550" s="15" t="s">
        <v>2180</v>
      </c>
      <c r="C5550" s="15" t="s">
        <v>51</v>
      </c>
      <c r="D5550" s="16">
        <v>9</v>
      </c>
      <c r="E5550" s="17">
        <v>44.51</v>
      </c>
      <c r="F5550" s="16">
        <v>0.01</v>
      </c>
      <c r="G5550" s="15" t="s">
        <v>32</v>
      </c>
      <c r="H5550" s="18">
        <v>-43.48</v>
      </c>
      <c r="I5550" s="19">
        <v>4.0599999999999996</v>
      </c>
      <c r="J5550" s="19">
        <v>6.89</v>
      </c>
      <c r="K5550" s="19" t="s">
        <v>44</v>
      </c>
      <c r="L5550" s="19" t="s">
        <v>52</v>
      </c>
      <c r="M5550" s="15" t="s">
        <v>2240</v>
      </c>
      <c r="N5550" s="15" t="s">
        <v>36</v>
      </c>
      <c r="O5550" s="15" t="s">
        <v>176</v>
      </c>
      <c r="P5550" s="20" t="s">
        <v>1222</v>
      </c>
      <c r="Q5550" s="15" t="s">
        <v>83</v>
      </c>
      <c r="R5550" s="4"/>
      <c r="S5550" s="4"/>
    </row>
    <row r="5551" spans="1:19" ht="21" customHeight="1" x14ac:dyDescent="0.25">
      <c r="A5551" s="14">
        <f>DATE(2012,12,31)-1380</f>
        <v>39894</v>
      </c>
      <c r="B5551" s="15" t="s">
        <v>1040</v>
      </c>
      <c r="C5551" s="15" t="s">
        <v>85</v>
      </c>
      <c r="D5551" s="16">
        <v>4</v>
      </c>
      <c r="E5551" s="17">
        <v>33.54</v>
      </c>
      <c r="F5551" s="16">
        <v>0.08</v>
      </c>
      <c r="G5551" s="15" t="s">
        <v>32</v>
      </c>
      <c r="H5551" s="18">
        <v>-29.49</v>
      </c>
      <c r="I5551" s="19">
        <v>6.84</v>
      </c>
      <c r="J5551" s="19">
        <v>8.3699999999999992</v>
      </c>
      <c r="K5551" s="19" t="s">
        <v>44</v>
      </c>
      <c r="L5551" s="19" t="s">
        <v>52</v>
      </c>
      <c r="M5551" s="15" t="s">
        <v>2240</v>
      </c>
      <c r="N5551" s="15" t="s">
        <v>36</v>
      </c>
      <c r="O5551" s="15" t="s">
        <v>47</v>
      </c>
      <c r="P5551" s="20" t="s">
        <v>1182</v>
      </c>
      <c r="Q5551" s="15" t="s">
        <v>49</v>
      </c>
      <c r="R5551" s="4"/>
      <c r="S5551" s="4"/>
    </row>
    <row r="5552" spans="1:19" ht="21" customHeight="1" x14ac:dyDescent="0.25">
      <c r="A5552" s="14">
        <f>DATE(2012,12,31)-1380</f>
        <v>39894</v>
      </c>
      <c r="B5552" s="15" t="s">
        <v>1040</v>
      </c>
      <c r="C5552" s="15" t="s">
        <v>85</v>
      </c>
      <c r="D5552" s="16">
        <v>16</v>
      </c>
      <c r="E5552" s="17">
        <v>2232.66</v>
      </c>
      <c r="F5552" s="16">
        <v>0.1</v>
      </c>
      <c r="G5552" s="15" t="s">
        <v>101</v>
      </c>
      <c r="H5552" s="18">
        <v>-521.09</v>
      </c>
      <c r="I5552" s="19">
        <v>152.47999999999999</v>
      </c>
      <c r="J5552" s="19">
        <v>4</v>
      </c>
      <c r="K5552" s="19" t="s">
        <v>44</v>
      </c>
      <c r="L5552" s="19" t="s">
        <v>89</v>
      </c>
      <c r="M5552" s="15" t="s">
        <v>1932</v>
      </c>
      <c r="N5552" s="15" t="s">
        <v>64</v>
      </c>
      <c r="O5552" s="15" t="s">
        <v>72</v>
      </c>
      <c r="P5552" s="20" t="s">
        <v>473</v>
      </c>
      <c r="Q5552" s="15" t="s">
        <v>83</v>
      </c>
      <c r="R5552" s="4"/>
      <c r="S5552" s="4"/>
    </row>
    <row r="5553" spans="1:19" ht="21" customHeight="1" x14ac:dyDescent="0.25">
      <c r="A5553" s="14">
        <f>DATE(2012,12,31)-898</f>
        <v>40376</v>
      </c>
      <c r="B5553" s="15" t="s">
        <v>1721</v>
      </c>
      <c r="C5553" s="15" t="s">
        <v>85</v>
      </c>
      <c r="D5553" s="16">
        <v>29</v>
      </c>
      <c r="E5553" s="17">
        <v>184.77</v>
      </c>
      <c r="F5553" s="16">
        <v>0</v>
      </c>
      <c r="G5553" s="15" t="s">
        <v>101</v>
      </c>
      <c r="H5553" s="18">
        <v>-71.959999999999994</v>
      </c>
      <c r="I5553" s="19">
        <v>5.74</v>
      </c>
      <c r="J5553" s="19">
        <v>5.3</v>
      </c>
      <c r="K5553" s="19" t="s">
        <v>124</v>
      </c>
      <c r="L5553" s="19" t="s">
        <v>158</v>
      </c>
      <c r="M5553" s="15" t="s">
        <v>158</v>
      </c>
      <c r="N5553" s="15" t="s">
        <v>36</v>
      </c>
      <c r="O5553" s="15" t="s">
        <v>47</v>
      </c>
      <c r="P5553" s="20" t="s">
        <v>1699</v>
      </c>
      <c r="Q5553" s="15" t="s">
        <v>49</v>
      </c>
      <c r="R5553" s="4"/>
      <c r="S5553" s="4"/>
    </row>
    <row r="5554" spans="1:19" ht="21" customHeight="1" x14ac:dyDescent="0.25">
      <c r="A5554" s="14">
        <f>DATE(2012,12,31)-475</f>
        <v>40799</v>
      </c>
      <c r="B5554" s="15" t="s">
        <v>1455</v>
      </c>
      <c r="C5554" s="15" t="s">
        <v>51</v>
      </c>
      <c r="D5554" s="16">
        <v>23</v>
      </c>
      <c r="E5554" s="17">
        <v>149.4</v>
      </c>
      <c r="F5554" s="16">
        <v>0.06</v>
      </c>
      <c r="G5554" s="15" t="s">
        <v>101</v>
      </c>
      <c r="H5554" s="18">
        <v>-126.0515</v>
      </c>
      <c r="I5554" s="19">
        <v>5.81</v>
      </c>
      <c r="J5554" s="19">
        <v>8.49</v>
      </c>
      <c r="K5554" s="19" t="s">
        <v>33</v>
      </c>
      <c r="L5554" s="19" t="s">
        <v>59</v>
      </c>
      <c r="M5554" s="15" t="s">
        <v>2227</v>
      </c>
      <c r="N5554" s="15" t="s">
        <v>36</v>
      </c>
      <c r="O5554" s="15" t="s">
        <v>170</v>
      </c>
      <c r="P5554" s="20" t="s">
        <v>1190</v>
      </c>
      <c r="Q5554" s="15" t="s">
        <v>83</v>
      </c>
      <c r="R5554" s="4"/>
      <c r="S5554" s="4"/>
    </row>
    <row r="5555" spans="1:19" ht="21" customHeight="1" x14ac:dyDescent="0.25">
      <c r="A5555" s="14">
        <f>DATE(2012,12,31)-449</f>
        <v>40825</v>
      </c>
      <c r="B5555" s="15" t="s">
        <v>1037</v>
      </c>
      <c r="C5555" s="15" t="s">
        <v>85</v>
      </c>
      <c r="D5555" s="16">
        <v>4</v>
      </c>
      <c r="E5555" s="17">
        <v>198.72</v>
      </c>
      <c r="F5555" s="16">
        <v>0.01</v>
      </c>
      <c r="G5555" s="15" t="s">
        <v>101</v>
      </c>
      <c r="H5555" s="18">
        <v>-34.43</v>
      </c>
      <c r="I5555" s="19">
        <v>40.97</v>
      </c>
      <c r="J5555" s="19">
        <v>14.45</v>
      </c>
      <c r="K5555" s="19" t="s">
        <v>33</v>
      </c>
      <c r="L5555" s="19" t="s">
        <v>145</v>
      </c>
      <c r="M5555" s="15" t="s">
        <v>2248</v>
      </c>
      <c r="N5555" s="15" t="s">
        <v>54</v>
      </c>
      <c r="O5555" s="15" t="s">
        <v>55</v>
      </c>
      <c r="P5555" s="20" t="s">
        <v>508</v>
      </c>
      <c r="Q5555" s="15" t="s">
        <v>39</v>
      </c>
      <c r="R5555" s="4"/>
      <c r="S5555" s="4"/>
    </row>
    <row r="5556" spans="1:19" ht="21" customHeight="1" x14ac:dyDescent="0.25">
      <c r="A5556" s="14">
        <f>DATE(2012,12,31)-1048</f>
        <v>40226</v>
      </c>
      <c r="B5556" s="15" t="s">
        <v>1310</v>
      </c>
      <c r="C5556" s="15" t="s">
        <v>85</v>
      </c>
      <c r="D5556" s="16">
        <v>31</v>
      </c>
      <c r="E5556" s="17">
        <v>8955.34</v>
      </c>
      <c r="F5556" s="16">
        <v>0.1</v>
      </c>
      <c r="G5556" s="15" t="s">
        <v>32</v>
      </c>
      <c r="H5556" s="18">
        <v>2081.48</v>
      </c>
      <c r="I5556" s="19">
        <v>320.98</v>
      </c>
      <c r="J5556" s="19">
        <v>24.49</v>
      </c>
      <c r="K5556" s="19" t="s">
        <v>33</v>
      </c>
      <c r="L5556" s="19" t="s">
        <v>145</v>
      </c>
      <c r="M5556" s="15" t="s">
        <v>2248</v>
      </c>
      <c r="N5556" s="15" t="s">
        <v>54</v>
      </c>
      <c r="O5556" s="15" t="s">
        <v>252</v>
      </c>
      <c r="P5556" s="20" t="s">
        <v>1493</v>
      </c>
      <c r="Q5556" s="15" t="s">
        <v>39</v>
      </c>
      <c r="R5556" s="4"/>
      <c r="S5556" s="4"/>
    </row>
    <row r="5557" spans="1:19" ht="21" customHeight="1" x14ac:dyDescent="0.25">
      <c r="A5557" s="14">
        <f>DATE(2012,12,31)-1048</f>
        <v>40226</v>
      </c>
      <c r="B5557" s="15" t="s">
        <v>1310</v>
      </c>
      <c r="C5557" s="15" t="s">
        <v>85</v>
      </c>
      <c r="D5557" s="16">
        <v>18</v>
      </c>
      <c r="E5557" s="17">
        <v>95.22</v>
      </c>
      <c r="F5557" s="16">
        <v>0.01</v>
      </c>
      <c r="G5557" s="15" t="s">
        <v>32</v>
      </c>
      <c r="H5557" s="18">
        <v>-33.4</v>
      </c>
      <c r="I5557" s="19">
        <v>4.9800000000000004</v>
      </c>
      <c r="J5557" s="19">
        <v>4.7</v>
      </c>
      <c r="K5557" s="19" t="s">
        <v>33</v>
      </c>
      <c r="L5557" s="19" t="s">
        <v>93</v>
      </c>
      <c r="M5557" s="15" t="s">
        <v>94</v>
      </c>
      <c r="N5557" s="15" t="s">
        <v>36</v>
      </c>
      <c r="O5557" s="15" t="s">
        <v>117</v>
      </c>
      <c r="P5557" s="20" t="s">
        <v>1563</v>
      </c>
      <c r="Q5557" s="15" t="s">
        <v>83</v>
      </c>
      <c r="R5557" s="4"/>
      <c r="S5557" s="4"/>
    </row>
    <row r="5558" spans="1:19" ht="21" customHeight="1" x14ac:dyDescent="0.25">
      <c r="A5558" s="14">
        <f>DATE(2012,12,31)-1316</f>
        <v>39958</v>
      </c>
      <c r="B5558" s="15" t="s">
        <v>1935</v>
      </c>
      <c r="C5558" s="15" t="s">
        <v>43</v>
      </c>
      <c r="D5558" s="16">
        <v>24</v>
      </c>
      <c r="E5558" s="17">
        <v>113.23</v>
      </c>
      <c r="F5558" s="16">
        <v>0.06</v>
      </c>
      <c r="G5558" s="15" t="s">
        <v>32</v>
      </c>
      <c r="H5558" s="18">
        <v>-45.64</v>
      </c>
      <c r="I5558" s="19">
        <v>4.7699999999999996</v>
      </c>
      <c r="J5558" s="19">
        <v>2.39</v>
      </c>
      <c r="K5558" s="19" t="s">
        <v>33</v>
      </c>
      <c r="L5558" s="19" t="s">
        <v>93</v>
      </c>
      <c r="M5558" s="15" t="s">
        <v>94</v>
      </c>
      <c r="N5558" s="15" t="s">
        <v>64</v>
      </c>
      <c r="O5558" s="15" t="s">
        <v>72</v>
      </c>
      <c r="P5558" s="20" t="s">
        <v>1328</v>
      </c>
      <c r="Q5558" s="15" t="s">
        <v>49</v>
      </c>
      <c r="R5558" s="4"/>
      <c r="S5558" s="4"/>
    </row>
    <row r="5559" spans="1:19" ht="21" customHeight="1" x14ac:dyDescent="0.25">
      <c r="A5559" s="14">
        <f>DATE(2012,12,31)-1316</f>
        <v>39958</v>
      </c>
      <c r="B5559" s="15" t="s">
        <v>1935</v>
      </c>
      <c r="C5559" s="15" t="s">
        <v>43</v>
      </c>
      <c r="D5559" s="16">
        <v>34</v>
      </c>
      <c r="E5559" s="17">
        <v>889.84</v>
      </c>
      <c r="F5559" s="16">
        <v>0.1</v>
      </c>
      <c r="G5559" s="15" t="s">
        <v>32</v>
      </c>
      <c r="H5559" s="18">
        <v>204.49</v>
      </c>
      <c r="I5559" s="19">
        <v>27.18</v>
      </c>
      <c r="J5559" s="19">
        <v>8.23</v>
      </c>
      <c r="K5559" s="19" t="s">
        <v>33</v>
      </c>
      <c r="L5559" s="19" t="s">
        <v>145</v>
      </c>
      <c r="M5559" s="15" t="s">
        <v>2248</v>
      </c>
      <c r="N5559" s="15" t="s">
        <v>36</v>
      </c>
      <c r="O5559" s="15" t="s">
        <v>189</v>
      </c>
      <c r="P5559" s="20" t="s">
        <v>1465</v>
      </c>
      <c r="Q5559" s="15" t="s">
        <v>83</v>
      </c>
      <c r="R5559" s="4"/>
      <c r="S5559" s="4"/>
    </row>
    <row r="5560" spans="1:19" ht="21" customHeight="1" x14ac:dyDescent="0.25">
      <c r="A5560" s="14">
        <f>DATE(2012,12,31)-52</f>
        <v>41222</v>
      </c>
      <c r="B5560" s="15" t="s">
        <v>1534</v>
      </c>
      <c r="C5560" s="15" t="s">
        <v>51</v>
      </c>
      <c r="D5560" s="16">
        <v>29</v>
      </c>
      <c r="E5560" s="17">
        <v>2754.93</v>
      </c>
      <c r="F5560" s="16">
        <v>0.06</v>
      </c>
      <c r="G5560" s="15" t="s">
        <v>32</v>
      </c>
      <c r="H5560" s="18">
        <v>-1.3299999999999841</v>
      </c>
      <c r="I5560" s="19">
        <v>92.23</v>
      </c>
      <c r="J5560" s="19">
        <v>39.61</v>
      </c>
      <c r="K5560" s="19" t="s">
        <v>33</v>
      </c>
      <c r="L5560" s="19" t="s">
        <v>59</v>
      </c>
      <c r="M5560" s="15" t="s">
        <v>2227</v>
      </c>
      <c r="N5560" s="15" t="s">
        <v>54</v>
      </c>
      <c r="O5560" s="15" t="s">
        <v>55</v>
      </c>
      <c r="P5560" s="20" t="s">
        <v>1111</v>
      </c>
      <c r="Q5560" s="15" t="s">
        <v>57</v>
      </c>
      <c r="R5560" s="4"/>
      <c r="S5560" s="4"/>
    </row>
    <row r="5561" spans="1:19" ht="21" customHeight="1" x14ac:dyDescent="0.25">
      <c r="A5561" s="14">
        <f>DATE(2012,12,31)-52</f>
        <v>41222</v>
      </c>
      <c r="B5561" s="15" t="s">
        <v>1534</v>
      </c>
      <c r="C5561" s="15" t="s">
        <v>51</v>
      </c>
      <c r="D5561" s="16">
        <v>15</v>
      </c>
      <c r="E5561" s="17">
        <v>19417.55</v>
      </c>
      <c r="F5561" s="16">
        <v>0.03</v>
      </c>
      <c r="G5561" s="15" t="s">
        <v>32</v>
      </c>
      <c r="H5561" s="18">
        <v>8417.5670000000009</v>
      </c>
      <c r="I5561" s="19">
        <v>1270.99</v>
      </c>
      <c r="J5561" s="19">
        <v>19.989999999999998</v>
      </c>
      <c r="K5561" s="19" t="s">
        <v>69</v>
      </c>
      <c r="L5561" s="19" t="s">
        <v>70</v>
      </c>
      <c r="M5561" s="15" t="s">
        <v>2230</v>
      </c>
      <c r="N5561" s="15" t="s">
        <v>36</v>
      </c>
      <c r="O5561" s="15" t="s">
        <v>170</v>
      </c>
      <c r="P5561" s="20" t="s">
        <v>885</v>
      </c>
      <c r="Q5561" s="15" t="s">
        <v>83</v>
      </c>
      <c r="R5561" s="4"/>
      <c r="S5561" s="4"/>
    </row>
    <row r="5562" spans="1:19" ht="21" customHeight="1" x14ac:dyDescent="0.25">
      <c r="A5562" s="14">
        <f>DATE(2012,12,31)-231</f>
        <v>41043</v>
      </c>
      <c r="B5562" s="15" t="s">
        <v>1177</v>
      </c>
      <c r="C5562" s="15" t="s">
        <v>51</v>
      </c>
      <c r="D5562" s="16">
        <v>32</v>
      </c>
      <c r="E5562" s="17">
        <v>931.08</v>
      </c>
      <c r="F5562" s="16">
        <v>0.1</v>
      </c>
      <c r="G5562" s="15" t="s">
        <v>101</v>
      </c>
      <c r="H5562" s="18">
        <v>269.60000000000002</v>
      </c>
      <c r="I5562" s="19">
        <v>29.89</v>
      </c>
      <c r="J5562" s="19">
        <v>1.99</v>
      </c>
      <c r="K5562" s="19" t="s">
        <v>69</v>
      </c>
      <c r="L5562" s="19" t="s">
        <v>75</v>
      </c>
      <c r="M5562" s="15" t="s">
        <v>2231</v>
      </c>
      <c r="N5562" s="15" t="s">
        <v>64</v>
      </c>
      <c r="O5562" s="15" t="s">
        <v>72</v>
      </c>
      <c r="P5562" s="20" t="s">
        <v>825</v>
      </c>
      <c r="Q5562" s="15" t="s">
        <v>49</v>
      </c>
      <c r="R5562" s="4"/>
      <c r="S5562" s="4"/>
    </row>
    <row r="5563" spans="1:19" ht="21" customHeight="1" x14ac:dyDescent="0.25">
      <c r="A5563" s="14">
        <f>DATE(2012,12,31)-1243</f>
        <v>40031</v>
      </c>
      <c r="B5563" s="15" t="s">
        <v>961</v>
      </c>
      <c r="C5563" s="15" t="s">
        <v>85</v>
      </c>
      <c r="D5563" s="16">
        <v>45</v>
      </c>
      <c r="E5563" s="17">
        <v>177.88</v>
      </c>
      <c r="F5563" s="16">
        <v>7.0000000000000007E-2</v>
      </c>
      <c r="G5563" s="15" t="s">
        <v>32</v>
      </c>
      <c r="H5563" s="18">
        <v>-146.97</v>
      </c>
      <c r="I5563" s="19">
        <v>4.13</v>
      </c>
      <c r="J5563" s="19">
        <v>5.04</v>
      </c>
      <c r="K5563" s="19" t="s">
        <v>69</v>
      </c>
      <c r="L5563" s="19" t="s">
        <v>70</v>
      </c>
      <c r="M5563" s="15" t="s">
        <v>2230</v>
      </c>
      <c r="N5563" s="15" t="s">
        <v>36</v>
      </c>
      <c r="O5563" s="15" t="s">
        <v>170</v>
      </c>
      <c r="P5563" s="20" t="s">
        <v>519</v>
      </c>
      <c r="Q5563" s="15" t="s">
        <v>83</v>
      </c>
      <c r="R5563" s="4"/>
      <c r="S5563" s="4"/>
    </row>
    <row r="5564" spans="1:19" ht="21" customHeight="1" x14ac:dyDescent="0.25">
      <c r="A5564" s="14">
        <f>DATE(2012,12,31)-1243</f>
        <v>40031</v>
      </c>
      <c r="B5564" s="15" t="s">
        <v>961</v>
      </c>
      <c r="C5564" s="15" t="s">
        <v>85</v>
      </c>
      <c r="D5564" s="16">
        <v>30</v>
      </c>
      <c r="E5564" s="17">
        <v>139.59</v>
      </c>
      <c r="F5564" s="16">
        <v>0</v>
      </c>
      <c r="G5564" s="15" t="s">
        <v>32</v>
      </c>
      <c r="H5564" s="18">
        <v>5.9</v>
      </c>
      <c r="I5564" s="19">
        <v>4.4800000000000004</v>
      </c>
      <c r="J5564" s="19">
        <v>2.5</v>
      </c>
      <c r="K5564" s="19" t="s">
        <v>69</v>
      </c>
      <c r="L5564" s="19" t="s">
        <v>75</v>
      </c>
      <c r="M5564" s="15" t="s">
        <v>2231</v>
      </c>
      <c r="N5564" s="15" t="s">
        <v>36</v>
      </c>
      <c r="O5564" s="15" t="s">
        <v>189</v>
      </c>
      <c r="P5564" s="20" t="s">
        <v>1610</v>
      </c>
      <c r="Q5564" s="15" t="s">
        <v>83</v>
      </c>
      <c r="R5564" s="4"/>
      <c r="S5564" s="4"/>
    </row>
    <row r="5565" spans="1:19" ht="21" customHeight="1" x14ac:dyDescent="0.25">
      <c r="A5565" s="14">
        <f>DATE(2012,12,31)-775</f>
        <v>40499</v>
      </c>
      <c r="B5565" s="15" t="s">
        <v>1637</v>
      </c>
      <c r="C5565" s="15" t="s">
        <v>43</v>
      </c>
      <c r="D5565" s="16">
        <v>23</v>
      </c>
      <c r="E5565" s="17">
        <v>218.29</v>
      </c>
      <c r="F5565" s="16">
        <v>0.09</v>
      </c>
      <c r="G5565" s="15" t="s">
        <v>32</v>
      </c>
      <c r="H5565" s="18">
        <v>-32.433599999999998</v>
      </c>
      <c r="I5565" s="19">
        <v>9.49</v>
      </c>
      <c r="J5565" s="19">
        <v>5.76</v>
      </c>
      <c r="K5565" s="19" t="s">
        <v>69</v>
      </c>
      <c r="L5565" s="19" t="s">
        <v>70</v>
      </c>
      <c r="M5565" s="15" t="s">
        <v>2230</v>
      </c>
      <c r="N5565" s="15" t="s">
        <v>64</v>
      </c>
      <c r="O5565" s="15" t="s">
        <v>122</v>
      </c>
      <c r="P5565" s="20" t="s">
        <v>1981</v>
      </c>
      <c r="Q5565" s="15" t="s">
        <v>57</v>
      </c>
      <c r="R5565" s="4"/>
      <c r="S5565" s="4"/>
    </row>
    <row r="5566" spans="1:19" ht="21" customHeight="1" x14ac:dyDescent="0.25">
      <c r="A5566" s="14">
        <f>DATE(2012,12,31)-14</f>
        <v>41260</v>
      </c>
      <c r="B5566" s="15" t="s">
        <v>1479</v>
      </c>
      <c r="C5566" s="15" t="s">
        <v>85</v>
      </c>
      <c r="D5566" s="16">
        <v>28</v>
      </c>
      <c r="E5566" s="17">
        <v>303.97000000000003</v>
      </c>
      <c r="F5566" s="16">
        <v>0.1</v>
      </c>
      <c r="G5566" s="15" t="s">
        <v>32</v>
      </c>
      <c r="H5566" s="18">
        <v>23.298500000000001</v>
      </c>
      <c r="I5566" s="19">
        <v>10.98</v>
      </c>
      <c r="J5566" s="19">
        <v>5.14</v>
      </c>
      <c r="K5566" s="19" t="s">
        <v>69</v>
      </c>
      <c r="L5566" s="19" t="s">
        <v>70</v>
      </c>
      <c r="M5566" s="15" t="s">
        <v>2230</v>
      </c>
      <c r="N5566" s="15" t="s">
        <v>36</v>
      </c>
      <c r="O5566" s="15" t="s">
        <v>170</v>
      </c>
      <c r="P5566" s="20" t="s">
        <v>1590</v>
      </c>
      <c r="Q5566" s="15" t="s">
        <v>83</v>
      </c>
      <c r="R5566" s="4"/>
      <c r="S5566" s="4"/>
    </row>
    <row r="5567" spans="1:19" ht="21" customHeight="1" x14ac:dyDescent="0.25">
      <c r="A5567" s="14">
        <f>DATE(2012,12,31)-137</f>
        <v>41137</v>
      </c>
      <c r="B5567" s="15" t="s">
        <v>1144</v>
      </c>
      <c r="C5567" s="15" t="s">
        <v>85</v>
      </c>
      <c r="D5567" s="16">
        <v>23</v>
      </c>
      <c r="E5567" s="17">
        <v>1267.4605000000001</v>
      </c>
      <c r="F5567" s="16">
        <v>0.05</v>
      </c>
      <c r="G5567" s="15" t="s">
        <v>32</v>
      </c>
      <c r="H5567" s="18">
        <v>128.79</v>
      </c>
      <c r="I5567" s="19">
        <v>65.989999999999995</v>
      </c>
      <c r="J5567" s="19">
        <v>5.99</v>
      </c>
      <c r="K5567" s="19" t="s">
        <v>69</v>
      </c>
      <c r="L5567" s="19" t="s">
        <v>215</v>
      </c>
      <c r="M5567" s="15" t="s">
        <v>2197</v>
      </c>
      <c r="N5567" s="15" t="s">
        <v>64</v>
      </c>
      <c r="O5567" s="15" t="s">
        <v>65</v>
      </c>
      <c r="P5567" s="20" t="s">
        <v>1573</v>
      </c>
      <c r="Q5567" s="15" t="s">
        <v>83</v>
      </c>
      <c r="R5567" s="4"/>
      <c r="S5567" s="4"/>
    </row>
    <row r="5568" spans="1:19" ht="21" customHeight="1" x14ac:dyDescent="0.25">
      <c r="A5568" s="14">
        <f>DATE(2012,12,31)-1315</f>
        <v>39959</v>
      </c>
      <c r="B5568" s="15" t="s">
        <v>635</v>
      </c>
      <c r="C5568" s="15" t="s">
        <v>85</v>
      </c>
      <c r="D5568" s="16">
        <v>21</v>
      </c>
      <c r="E5568" s="17">
        <v>56.21</v>
      </c>
      <c r="F5568" s="16">
        <v>0.05</v>
      </c>
      <c r="G5568" s="15" t="s">
        <v>32</v>
      </c>
      <c r="H5568" s="18">
        <v>12.71</v>
      </c>
      <c r="I5568" s="19">
        <v>2.62</v>
      </c>
      <c r="J5568" s="19">
        <v>0.8</v>
      </c>
      <c r="K5568" s="19" t="s">
        <v>69</v>
      </c>
      <c r="L5568" s="19" t="s">
        <v>215</v>
      </c>
      <c r="M5568" s="15" t="s">
        <v>2197</v>
      </c>
      <c r="N5568" s="15" t="s">
        <v>36</v>
      </c>
      <c r="O5568" s="15" t="s">
        <v>105</v>
      </c>
      <c r="P5568" s="20" t="s">
        <v>915</v>
      </c>
      <c r="Q5568" s="15" t="s">
        <v>79</v>
      </c>
      <c r="R5568" s="4"/>
      <c r="S5568" s="4"/>
    </row>
    <row r="5569" spans="1:19" ht="21" customHeight="1" x14ac:dyDescent="0.25">
      <c r="A5569" s="14">
        <f>DATE(2012,12,31)-1297</f>
        <v>39977</v>
      </c>
      <c r="B5569" s="15" t="s">
        <v>779</v>
      </c>
      <c r="C5569" s="15" t="s">
        <v>31</v>
      </c>
      <c r="D5569" s="16">
        <v>29</v>
      </c>
      <c r="E5569" s="17">
        <v>877.97</v>
      </c>
      <c r="F5569" s="16">
        <v>0.03</v>
      </c>
      <c r="G5569" s="15" t="s">
        <v>32</v>
      </c>
      <c r="H5569" s="18">
        <v>-144.19999999999999</v>
      </c>
      <c r="I5569" s="19">
        <v>30.98</v>
      </c>
      <c r="J5569" s="19">
        <v>6.5</v>
      </c>
      <c r="K5569" s="19" t="s">
        <v>69</v>
      </c>
      <c r="L5569" s="19" t="s">
        <v>75</v>
      </c>
      <c r="M5569" s="15" t="s">
        <v>2231</v>
      </c>
      <c r="N5569" s="15" t="s">
        <v>64</v>
      </c>
      <c r="O5569" s="15" t="s">
        <v>72</v>
      </c>
      <c r="P5569" s="20" t="s">
        <v>1346</v>
      </c>
      <c r="Q5569" s="15" t="s">
        <v>83</v>
      </c>
      <c r="R5569" s="4"/>
      <c r="S5569" s="4"/>
    </row>
    <row r="5570" spans="1:19" ht="21" customHeight="1" x14ac:dyDescent="0.25">
      <c r="A5570" s="14">
        <f>DATE(2012,12,31)-578</f>
        <v>40696</v>
      </c>
      <c r="B5570" s="15" t="s">
        <v>704</v>
      </c>
      <c r="C5570" s="15" t="s">
        <v>85</v>
      </c>
      <c r="D5570" s="16">
        <v>40</v>
      </c>
      <c r="E5570" s="17">
        <v>4842.21</v>
      </c>
      <c r="F5570" s="16">
        <v>0.03</v>
      </c>
      <c r="G5570" s="15" t="s">
        <v>58</v>
      </c>
      <c r="H5570" s="18">
        <v>-1975.26</v>
      </c>
      <c r="I5570" s="19">
        <v>122.99</v>
      </c>
      <c r="J5570" s="19">
        <v>70.2</v>
      </c>
      <c r="K5570" s="19" t="s">
        <v>69</v>
      </c>
      <c r="L5570" s="19" t="s">
        <v>75</v>
      </c>
      <c r="M5570" s="15" t="s">
        <v>2231</v>
      </c>
      <c r="N5570" s="15" t="s">
        <v>54</v>
      </c>
      <c r="O5570" s="15" t="s">
        <v>252</v>
      </c>
      <c r="P5570" s="20" t="s">
        <v>819</v>
      </c>
      <c r="Q5570" s="15" t="s">
        <v>181</v>
      </c>
      <c r="R5570" s="4"/>
      <c r="S5570" s="4"/>
    </row>
    <row r="5571" spans="1:19" ht="21" customHeight="1" x14ac:dyDescent="0.25">
      <c r="A5571" s="14">
        <f>DATE(2012,12,31)-1339</f>
        <v>39935</v>
      </c>
      <c r="B5571" s="15" t="s">
        <v>2116</v>
      </c>
      <c r="C5571" s="15" t="s">
        <v>43</v>
      </c>
      <c r="D5571" s="16">
        <v>25</v>
      </c>
      <c r="E5571" s="17">
        <v>172.42</v>
      </c>
      <c r="F5571" s="16">
        <v>0.09</v>
      </c>
      <c r="G5571" s="15" t="s">
        <v>32</v>
      </c>
      <c r="H5571" s="18">
        <v>-71.59899999999999</v>
      </c>
      <c r="I5571" s="19">
        <v>7.1</v>
      </c>
      <c r="J5571" s="19">
        <v>6.05</v>
      </c>
      <c r="K5571" s="19" t="s">
        <v>69</v>
      </c>
      <c r="L5571" s="19" t="s">
        <v>75</v>
      </c>
      <c r="M5571" s="15" t="s">
        <v>2231</v>
      </c>
      <c r="N5571" s="15" t="s">
        <v>36</v>
      </c>
      <c r="O5571" s="15" t="s">
        <v>170</v>
      </c>
      <c r="P5571" s="20" t="s">
        <v>913</v>
      </c>
      <c r="Q5571" s="15" t="s">
        <v>83</v>
      </c>
      <c r="R5571" s="4"/>
      <c r="S5571" s="4"/>
    </row>
    <row r="5572" spans="1:19" ht="21" customHeight="1" x14ac:dyDescent="0.25">
      <c r="A5572" s="14">
        <f>DATE(2012,12,31)-1339</f>
        <v>39935</v>
      </c>
      <c r="B5572" s="15" t="s">
        <v>2116</v>
      </c>
      <c r="C5572" s="15" t="s">
        <v>43</v>
      </c>
      <c r="D5572" s="16">
        <v>19</v>
      </c>
      <c r="E5572" s="17">
        <v>2033.9224999999999</v>
      </c>
      <c r="F5572" s="16">
        <v>0.02</v>
      </c>
      <c r="G5572" s="15" t="s">
        <v>32</v>
      </c>
      <c r="H5572" s="18">
        <v>251.19900000000001</v>
      </c>
      <c r="I5572" s="19">
        <v>125.99</v>
      </c>
      <c r="J5572" s="19">
        <v>2.5</v>
      </c>
      <c r="K5572" s="19" t="s">
        <v>111</v>
      </c>
      <c r="L5572" s="19" t="s">
        <v>112</v>
      </c>
      <c r="M5572" s="15" t="s">
        <v>2198</v>
      </c>
      <c r="N5572" s="15" t="s">
        <v>64</v>
      </c>
      <c r="O5572" s="15" t="s">
        <v>65</v>
      </c>
      <c r="P5572" s="20" t="s">
        <v>1340</v>
      </c>
      <c r="Q5572" s="15" t="s">
        <v>83</v>
      </c>
      <c r="R5572" s="4"/>
      <c r="S5572" s="4"/>
    </row>
    <row r="5573" spans="1:19" ht="21" customHeight="1" x14ac:dyDescent="0.25">
      <c r="A5573" s="14">
        <f>DATE(2012,12,31)-1288</f>
        <v>39986</v>
      </c>
      <c r="B5573" s="15" t="s">
        <v>136</v>
      </c>
      <c r="C5573" s="15" t="s">
        <v>31</v>
      </c>
      <c r="D5573" s="16">
        <v>18</v>
      </c>
      <c r="E5573" s="17">
        <v>92.4</v>
      </c>
      <c r="F5573" s="16">
        <v>0.04</v>
      </c>
      <c r="G5573" s="15" t="s">
        <v>101</v>
      </c>
      <c r="H5573" s="18">
        <v>8.6</v>
      </c>
      <c r="I5573" s="19">
        <v>4.4800000000000004</v>
      </c>
      <c r="J5573" s="19">
        <v>2.5</v>
      </c>
      <c r="K5573" s="19" t="s">
        <v>111</v>
      </c>
      <c r="L5573" s="19" t="s">
        <v>112</v>
      </c>
      <c r="M5573" s="15" t="s">
        <v>2198</v>
      </c>
      <c r="N5573" s="15" t="s">
        <v>36</v>
      </c>
      <c r="O5573" s="15" t="s">
        <v>189</v>
      </c>
      <c r="P5573" s="20" t="s">
        <v>1610</v>
      </c>
      <c r="Q5573" s="15" t="s">
        <v>83</v>
      </c>
      <c r="R5573" s="4"/>
      <c r="S5573" s="4"/>
    </row>
    <row r="5574" spans="1:19" ht="21" customHeight="1" x14ac:dyDescent="0.25">
      <c r="A5574" s="14">
        <f>DATE(2012,12,31)-141</f>
        <v>41133</v>
      </c>
      <c r="B5574" s="15" t="s">
        <v>1059</v>
      </c>
      <c r="C5574" s="15" t="s">
        <v>31</v>
      </c>
      <c r="D5574" s="16">
        <v>38</v>
      </c>
      <c r="E5574" s="17">
        <v>456.03</v>
      </c>
      <c r="F5574" s="16">
        <v>0.02</v>
      </c>
      <c r="G5574" s="15" t="s">
        <v>32</v>
      </c>
      <c r="H5574" s="18">
        <v>-61.61</v>
      </c>
      <c r="I5574" s="19">
        <v>11.97</v>
      </c>
      <c r="J5574" s="19">
        <v>5.81</v>
      </c>
      <c r="K5574" s="19" t="s">
        <v>44</v>
      </c>
      <c r="L5574" s="19" t="s">
        <v>89</v>
      </c>
      <c r="M5574" s="15" t="s">
        <v>1932</v>
      </c>
      <c r="N5574" s="15" t="s">
        <v>36</v>
      </c>
      <c r="O5574" s="15" t="s">
        <v>77</v>
      </c>
      <c r="P5574" s="20" t="s">
        <v>467</v>
      </c>
      <c r="Q5574" s="15" t="s">
        <v>49</v>
      </c>
      <c r="R5574" s="4"/>
      <c r="S5574" s="4"/>
    </row>
    <row r="5575" spans="1:19" ht="21" customHeight="1" x14ac:dyDescent="0.25">
      <c r="A5575" s="14">
        <f>DATE(2012,12,31)-141</f>
        <v>41133</v>
      </c>
      <c r="B5575" s="15" t="s">
        <v>1059</v>
      </c>
      <c r="C5575" s="15" t="s">
        <v>31</v>
      </c>
      <c r="D5575" s="16">
        <v>17</v>
      </c>
      <c r="E5575" s="17">
        <v>2844.64</v>
      </c>
      <c r="F5575" s="16">
        <v>0.03</v>
      </c>
      <c r="G5575" s="15" t="s">
        <v>58</v>
      </c>
      <c r="H5575" s="18">
        <v>16.47</v>
      </c>
      <c r="I5575" s="19">
        <v>159.31</v>
      </c>
      <c r="J5575" s="19">
        <v>60</v>
      </c>
      <c r="K5575" s="19" t="s">
        <v>44</v>
      </c>
      <c r="L5575" s="19" t="s">
        <v>89</v>
      </c>
      <c r="M5575" s="15" t="s">
        <v>1932</v>
      </c>
      <c r="N5575" s="15" t="s">
        <v>54</v>
      </c>
      <c r="O5575" s="15" t="s">
        <v>61</v>
      </c>
      <c r="P5575" s="20" t="s">
        <v>679</v>
      </c>
      <c r="Q5575" s="15" t="s">
        <v>181</v>
      </c>
      <c r="R5575" s="4"/>
      <c r="S5575" s="4"/>
    </row>
    <row r="5576" spans="1:19" ht="21" customHeight="1" x14ac:dyDescent="0.25">
      <c r="A5576" s="14">
        <f>DATE(2012,12,31)-624</f>
        <v>40650</v>
      </c>
      <c r="B5576" s="15" t="s">
        <v>1782</v>
      </c>
      <c r="C5576" s="15" t="s">
        <v>43</v>
      </c>
      <c r="D5576" s="16">
        <v>38</v>
      </c>
      <c r="E5576" s="17">
        <v>1541.92</v>
      </c>
      <c r="F5576" s="16">
        <v>0.03</v>
      </c>
      <c r="G5576" s="15" t="s">
        <v>32</v>
      </c>
      <c r="H5576" s="18">
        <v>-564.05999999999995</v>
      </c>
      <c r="I5576" s="19">
        <v>40.479999999999997</v>
      </c>
      <c r="J5576" s="19">
        <v>19.989999999999998</v>
      </c>
      <c r="K5576" s="19" t="s">
        <v>44</v>
      </c>
      <c r="L5576" s="19" t="s">
        <v>89</v>
      </c>
      <c r="M5576" s="15" t="s">
        <v>1932</v>
      </c>
      <c r="N5576" s="15" t="s">
        <v>64</v>
      </c>
      <c r="O5576" s="15" t="s">
        <v>72</v>
      </c>
      <c r="P5576" s="20" t="s">
        <v>1247</v>
      </c>
      <c r="Q5576" s="15" t="s">
        <v>83</v>
      </c>
      <c r="R5576" s="4"/>
      <c r="S5576" s="4"/>
    </row>
    <row r="5577" spans="1:19" ht="21" customHeight="1" x14ac:dyDescent="0.25">
      <c r="A5577" s="14">
        <f>DATE(2012,12,31)-624</f>
        <v>40650</v>
      </c>
      <c r="B5577" s="15" t="s">
        <v>1782</v>
      </c>
      <c r="C5577" s="15" t="s">
        <v>43</v>
      </c>
      <c r="D5577" s="16">
        <v>40</v>
      </c>
      <c r="E5577" s="17">
        <v>169.48</v>
      </c>
      <c r="F5577" s="16">
        <v>0.08</v>
      </c>
      <c r="G5577" s="15" t="s">
        <v>32</v>
      </c>
      <c r="H5577" s="18">
        <v>-134.76</v>
      </c>
      <c r="I5577" s="19">
        <v>4.28</v>
      </c>
      <c r="J5577" s="19">
        <v>5.68</v>
      </c>
      <c r="K5577" s="19" t="s">
        <v>44</v>
      </c>
      <c r="L5577" s="19" t="s">
        <v>120</v>
      </c>
      <c r="M5577" s="15" t="s">
        <v>2025</v>
      </c>
      <c r="N5577" s="15" t="s">
        <v>36</v>
      </c>
      <c r="O5577" s="15" t="s">
        <v>117</v>
      </c>
      <c r="P5577" s="20" t="s">
        <v>1530</v>
      </c>
      <c r="Q5577" s="15" t="s">
        <v>83</v>
      </c>
      <c r="R5577" s="4"/>
      <c r="S5577" s="4"/>
    </row>
    <row r="5578" spans="1:19" ht="21" customHeight="1" x14ac:dyDescent="0.25">
      <c r="A5578" s="14">
        <f>DATE(2012,12,31)-624</f>
        <v>40650</v>
      </c>
      <c r="B5578" s="15" t="s">
        <v>1782</v>
      </c>
      <c r="C5578" s="15" t="s">
        <v>43</v>
      </c>
      <c r="D5578" s="16">
        <v>31</v>
      </c>
      <c r="E5578" s="17">
        <v>5347.9875000000002</v>
      </c>
      <c r="F5578" s="16">
        <v>0.01</v>
      </c>
      <c r="G5578" s="15" t="s">
        <v>32</v>
      </c>
      <c r="H5578" s="18">
        <v>1332.441</v>
      </c>
      <c r="I5578" s="19">
        <v>200.99</v>
      </c>
      <c r="J5578" s="19">
        <v>4.2</v>
      </c>
      <c r="K5578" s="19" t="s">
        <v>44</v>
      </c>
      <c r="L5578" s="19" t="s">
        <v>45</v>
      </c>
      <c r="M5578" s="15" t="s">
        <v>2236</v>
      </c>
      <c r="N5578" s="15" t="s">
        <v>64</v>
      </c>
      <c r="O5578" s="15" t="s">
        <v>65</v>
      </c>
      <c r="P5578" s="20" t="s">
        <v>740</v>
      </c>
      <c r="Q5578" s="15" t="s">
        <v>83</v>
      </c>
      <c r="R5578" s="4"/>
      <c r="S5578" s="4"/>
    </row>
    <row r="5579" spans="1:19" ht="21" customHeight="1" x14ac:dyDescent="0.25">
      <c r="A5579" s="14">
        <f>DATE(2012,12,31)-1240</f>
        <v>40034</v>
      </c>
      <c r="B5579" s="15" t="s">
        <v>386</v>
      </c>
      <c r="C5579" s="15" t="s">
        <v>31</v>
      </c>
      <c r="D5579" s="16">
        <v>28</v>
      </c>
      <c r="E5579" s="17">
        <v>112.35</v>
      </c>
      <c r="F5579" s="16">
        <v>0.1</v>
      </c>
      <c r="G5579" s="15" t="s">
        <v>32</v>
      </c>
      <c r="H5579" s="18">
        <v>31.27</v>
      </c>
      <c r="I5579" s="19">
        <v>4.13</v>
      </c>
      <c r="J5579" s="19">
        <v>0.99</v>
      </c>
      <c r="K5579" s="19" t="s">
        <v>44</v>
      </c>
      <c r="L5579" s="19" t="s">
        <v>89</v>
      </c>
      <c r="M5579" s="15" t="s">
        <v>1932</v>
      </c>
      <c r="N5579" s="15" t="s">
        <v>36</v>
      </c>
      <c r="O5579" s="15" t="s">
        <v>114</v>
      </c>
      <c r="P5579" s="20" t="s">
        <v>926</v>
      </c>
      <c r="Q5579" s="15" t="s">
        <v>83</v>
      </c>
      <c r="R5579" s="4"/>
      <c r="S5579" s="4"/>
    </row>
    <row r="5580" spans="1:19" ht="21" customHeight="1" x14ac:dyDescent="0.25">
      <c r="A5580" s="14">
        <f>DATE(2012,12,31)-624</f>
        <v>40650</v>
      </c>
      <c r="B5580" s="15" t="s">
        <v>1166</v>
      </c>
      <c r="C5580" s="15" t="s">
        <v>31</v>
      </c>
      <c r="D5580" s="16">
        <v>29</v>
      </c>
      <c r="E5580" s="17">
        <v>213.35</v>
      </c>
      <c r="F5580" s="16">
        <v>0.01</v>
      </c>
      <c r="G5580" s="15" t="s">
        <v>32</v>
      </c>
      <c r="H5580" s="18">
        <v>63.78</v>
      </c>
      <c r="I5580" s="19">
        <v>6.88</v>
      </c>
      <c r="J5580" s="19">
        <v>2</v>
      </c>
      <c r="K5580" s="19" t="s">
        <v>44</v>
      </c>
      <c r="L5580" s="19" t="s">
        <v>80</v>
      </c>
      <c r="M5580" s="15" t="s">
        <v>2179</v>
      </c>
      <c r="N5580" s="15" t="s">
        <v>36</v>
      </c>
      <c r="O5580" s="15" t="s">
        <v>117</v>
      </c>
      <c r="P5580" s="20" t="s">
        <v>356</v>
      </c>
      <c r="Q5580" s="15" t="s">
        <v>79</v>
      </c>
      <c r="R5580" s="4"/>
      <c r="S5580" s="4"/>
    </row>
    <row r="5581" spans="1:19" ht="21" customHeight="1" x14ac:dyDescent="0.25">
      <c r="A5581" s="14">
        <f>DATE(2012,12,31)-118</f>
        <v>41156</v>
      </c>
      <c r="B5581" s="15" t="s">
        <v>1817</v>
      </c>
      <c r="C5581" s="15" t="s">
        <v>31</v>
      </c>
      <c r="D5581" s="16">
        <v>38</v>
      </c>
      <c r="E5581" s="17">
        <v>1112.54</v>
      </c>
      <c r="F5581" s="16">
        <v>0.01</v>
      </c>
      <c r="G5581" s="15" t="s">
        <v>32</v>
      </c>
      <c r="H5581" s="18">
        <v>352.96</v>
      </c>
      <c r="I5581" s="19">
        <v>27.18</v>
      </c>
      <c r="J5581" s="19">
        <v>8.23</v>
      </c>
      <c r="K5581" s="19" t="s">
        <v>44</v>
      </c>
      <c r="L5581" s="19" t="s">
        <v>45</v>
      </c>
      <c r="M5581" s="15" t="s">
        <v>2236</v>
      </c>
      <c r="N5581" s="15" t="s">
        <v>36</v>
      </c>
      <c r="O5581" s="15" t="s">
        <v>189</v>
      </c>
      <c r="P5581" s="20" t="s">
        <v>1465</v>
      </c>
      <c r="Q5581" s="15" t="s">
        <v>83</v>
      </c>
      <c r="R5581" s="4"/>
      <c r="S5581" s="4"/>
    </row>
    <row r="5582" spans="1:19" ht="21" customHeight="1" x14ac:dyDescent="0.25">
      <c r="A5582" s="14">
        <f>DATE(2012,12,31)-368</f>
        <v>40906</v>
      </c>
      <c r="B5582" s="15" t="s">
        <v>994</v>
      </c>
      <c r="C5582" s="15" t="s">
        <v>43</v>
      </c>
      <c r="D5582" s="16">
        <v>32</v>
      </c>
      <c r="E5582" s="17">
        <v>166.17</v>
      </c>
      <c r="F5582" s="16">
        <v>0.01</v>
      </c>
      <c r="G5582" s="15" t="s">
        <v>32</v>
      </c>
      <c r="H5582" s="18">
        <v>-22.74</v>
      </c>
      <c r="I5582" s="19">
        <v>5.08</v>
      </c>
      <c r="J5582" s="19">
        <v>3.63</v>
      </c>
      <c r="K5582" s="19" t="s">
        <v>44</v>
      </c>
      <c r="L5582" s="19" t="s">
        <v>120</v>
      </c>
      <c r="M5582" s="15" t="s">
        <v>2025</v>
      </c>
      <c r="N5582" s="15" t="s">
        <v>54</v>
      </c>
      <c r="O5582" s="15" t="s">
        <v>55</v>
      </c>
      <c r="P5582" s="20" t="s">
        <v>1325</v>
      </c>
      <c r="Q5582" s="15" t="s">
        <v>79</v>
      </c>
      <c r="R5582" s="4"/>
      <c r="S5582" s="4"/>
    </row>
    <row r="5583" spans="1:19" ht="21" customHeight="1" x14ac:dyDescent="0.25">
      <c r="A5583" s="14">
        <f>DATE(2012,12,31)-592</f>
        <v>40682</v>
      </c>
      <c r="B5583" s="15" t="s">
        <v>1026</v>
      </c>
      <c r="C5583" s="15" t="s">
        <v>43</v>
      </c>
      <c r="D5583" s="16">
        <v>1</v>
      </c>
      <c r="E5583" s="17">
        <v>10.48</v>
      </c>
      <c r="F5583" s="16">
        <v>0.04</v>
      </c>
      <c r="G5583" s="15" t="s">
        <v>32</v>
      </c>
      <c r="H5583" s="18">
        <v>-5.4395000000000007</v>
      </c>
      <c r="I5583" s="19">
        <v>3.52</v>
      </c>
      <c r="J5583" s="19">
        <v>6.83</v>
      </c>
      <c r="K5583" s="19" t="s">
        <v>44</v>
      </c>
      <c r="L5583" s="19" t="s">
        <v>89</v>
      </c>
      <c r="M5583" s="15" t="s">
        <v>1932</v>
      </c>
      <c r="N5583" s="15" t="s">
        <v>36</v>
      </c>
      <c r="O5583" s="15" t="s">
        <v>170</v>
      </c>
      <c r="P5583" s="20" t="s">
        <v>1859</v>
      </c>
      <c r="Q5583" s="15" t="s">
        <v>83</v>
      </c>
      <c r="R5583" s="4"/>
      <c r="S5583" s="4"/>
    </row>
    <row r="5584" spans="1:19" ht="21" customHeight="1" x14ac:dyDescent="0.25">
      <c r="A5584" s="14">
        <f>DATE(2012,12,31)-1247</f>
        <v>40027</v>
      </c>
      <c r="B5584" s="15" t="s">
        <v>331</v>
      </c>
      <c r="C5584" s="15" t="s">
        <v>85</v>
      </c>
      <c r="D5584" s="16">
        <v>42</v>
      </c>
      <c r="E5584" s="17">
        <v>577.41999999999996</v>
      </c>
      <c r="F5584" s="16">
        <v>0</v>
      </c>
      <c r="G5584" s="15" t="s">
        <v>32</v>
      </c>
      <c r="H5584" s="18">
        <v>253.50400000000002</v>
      </c>
      <c r="I5584" s="19">
        <v>12.97</v>
      </c>
      <c r="J5584" s="19">
        <v>1.49</v>
      </c>
      <c r="K5584" s="19" t="s">
        <v>44</v>
      </c>
      <c r="L5584" s="19" t="s">
        <v>120</v>
      </c>
      <c r="M5584" s="15" t="s">
        <v>2025</v>
      </c>
      <c r="N5584" s="15" t="s">
        <v>36</v>
      </c>
      <c r="O5584" s="15" t="s">
        <v>170</v>
      </c>
      <c r="P5584" s="20" t="s">
        <v>873</v>
      </c>
      <c r="Q5584" s="15" t="s">
        <v>83</v>
      </c>
      <c r="R5584" s="4"/>
      <c r="S5584" s="4"/>
    </row>
    <row r="5585" spans="1:19" ht="21" customHeight="1" x14ac:dyDescent="0.25">
      <c r="A5585" s="14">
        <f>DATE(2012,12,31)-1247</f>
        <v>40027</v>
      </c>
      <c r="B5585" s="15" t="s">
        <v>331</v>
      </c>
      <c r="C5585" s="15" t="s">
        <v>85</v>
      </c>
      <c r="D5585" s="16">
        <v>20</v>
      </c>
      <c r="E5585" s="17">
        <v>95.08</v>
      </c>
      <c r="F5585" s="16">
        <v>0.06</v>
      </c>
      <c r="G5585" s="15" t="s">
        <v>32</v>
      </c>
      <c r="H5585" s="18">
        <v>39.909999999999997</v>
      </c>
      <c r="I5585" s="19">
        <v>4.91</v>
      </c>
      <c r="J5585" s="19">
        <v>0.5</v>
      </c>
      <c r="K5585" s="19" t="s">
        <v>44</v>
      </c>
      <c r="L5585" s="19" t="s">
        <v>89</v>
      </c>
      <c r="M5585" s="15" t="s">
        <v>1932</v>
      </c>
      <c r="N5585" s="15" t="s">
        <v>36</v>
      </c>
      <c r="O5585" s="15" t="s">
        <v>114</v>
      </c>
      <c r="P5585" s="20" t="s">
        <v>786</v>
      </c>
      <c r="Q5585" s="15" t="s">
        <v>83</v>
      </c>
      <c r="R5585" s="4"/>
      <c r="S5585" s="4"/>
    </row>
    <row r="5586" spans="1:19" ht="21" customHeight="1" x14ac:dyDescent="0.25">
      <c r="A5586" s="14">
        <f>DATE(2012,12,31)-597</f>
        <v>40677</v>
      </c>
      <c r="B5586" s="15" t="s">
        <v>1921</v>
      </c>
      <c r="C5586" s="15" t="s">
        <v>31</v>
      </c>
      <c r="D5586" s="16">
        <v>9</v>
      </c>
      <c r="E5586" s="17">
        <v>79.25</v>
      </c>
      <c r="F5586" s="16">
        <v>0</v>
      </c>
      <c r="G5586" s="15" t="s">
        <v>101</v>
      </c>
      <c r="H5586" s="18">
        <v>-13.25</v>
      </c>
      <c r="I5586" s="19">
        <v>7.64</v>
      </c>
      <c r="J5586" s="19">
        <v>5.83</v>
      </c>
      <c r="K5586" s="19" t="s">
        <v>44</v>
      </c>
      <c r="L5586" s="19" t="s">
        <v>120</v>
      </c>
      <c r="M5586" s="15" t="s">
        <v>2025</v>
      </c>
      <c r="N5586" s="15" t="s">
        <v>36</v>
      </c>
      <c r="O5586" s="15" t="s">
        <v>117</v>
      </c>
      <c r="P5586" s="20" t="s">
        <v>188</v>
      </c>
      <c r="Q5586" s="15" t="s">
        <v>79</v>
      </c>
      <c r="R5586" s="4"/>
      <c r="S5586" s="4"/>
    </row>
    <row r="5587" spans="1:19" ht="21" customHeight="1" x14ac:dyDescent="0.25">
      <c r="A5587" s="14">
        <f>DATE(2012,12,31)-380</f>
        <v>40894</v>
      </c>
      <c r="B5587" s="15" t="s">
        <v>770</v>
      </c>
      <c r="C5587" s="15" t="s">
        <v>43</v>
      </c>
      <c r="D5587" s="16">
        <v>33</v>
      </c>
      <c r="E5587" s="17">
        <v>1283.68</v>
      </c>
      <c r="F5587" s="16">
        <v>0.08</v>
      </c>
      <c r="G5587" s="15" t="s">
        <v>32</v>
      </c>
      <c r="H5587" s="18">
        <v>202.47</v>
      </c>
      <c r="I5587" s="19">
        <v>39.979999999999997</v>
      </c>
      <c r="J5587" s="19">
        <v>9.1999999999999993</v>
      </c>
      <c r="K5587" s="19" t="s">
        <v>44</v>
      </c>
      <c r="L5587" s="19" t="s">
        <v>89</v>
      </c>
      <c r="M5587" s="15" t="s">
        <v>1932</v>
      </c>
      <c r="N5587" s="15" t="s">
        <v>54</v>
      </c>
      <c r="O5587" s="15" t="s">
        <v>55</v>
      </c>
      <c r="P5587" s="20" t="s">
        <v>1693</v>
      </c>
      <c r="Q5587" s="15" t="s">
        <v>79</v>
      </c>
      <c r="R5587" s="4"/>
      <c r="S5587" s="4"/>
    </row>
    <row r="5588" spans="1:19" ht="21" customHeight="1" x14ac:dyDescent="0.25">
      <c r="A5588" s="14">
        <f>DATE(2012,12,31)-380</f>
        <v>40894</v>
      </c>
      <c r="B5588" s="15" t="s">
        <v>770</v>
      </c>
      <c r="C5588" s="15" t="s">
        <v>43</v>
      </c>
      <c r="D5588" s="16">
        <v>28</v>
      </c>
      <c r="E5588" s="17">
        <v>169.46</v>
      </c>
      <c r="F5588" s="16">
        <v>0.02</v>
      </c>
      <c r="G5588" s="15" t="s">
        <v>32</v>
      </c>
      <c r="H5588" s="18">
        <v>34.24</v>
      </c>
      <c r="I5588" s="19">
        <v>5.84</v>
      </c>
      <c r="J5588" s="19">
        <v>1.2</v>
      </c>
      <c r="K5588" s="19" t="s">
        <v>44</v>
      </c>
      <c r="L5588" s="19" t="s">
        <v>80</v>
      </c>
      <c r="M5588" s="15" t="s">
        <v>2179</v>
      </c>
      <c r="N5588" s="15" t="s">
        <v>36</v>
      </c>
      <c r="O5588" s="15" t="s">
        <v>77</v>
      </c>
      <c r="P5588" s="20" t="s">
        <v>1400</v>
      </c>
      <c r="Q5588" s="15" t="s">
        <v>79</v>
      </c>
      <c r="R5588" s="4"/>
      <c r="S5588" s="4"/>
    </row>
    <row r="5589" spans="1:19" ht="21" customHeight="1" x14ac:dyDescent="0.25">
      <c r="A5589" s="14">
        <f>DATE(2012,12,31)-362</f>
        <v>40912</v>
      </c>
      <c r="B5589" s="15" t="s">
        <v>872</v>
      </c>
      <c r="C5589" s="15" t="s">
        <v>31</v>
      </c>
      <c r="D5589" s="16">
        <v>15</v>
      </c>
      <c r="E5589" s="17">
        <v>742.8</v>
      </c>
      <c r="F5589" s="16">
        <v>0.02</v>
      </c>
      <c r="G5589" s="15" t="s">
        <v>32</v>
      </c>
      <c r="H5589" s="18">
        <v>265.87</v>
      </c>
      <c r="I5589" s="19">
        <v>49.34</v>
      </c>
      <c r="J5589" s="19">
        <v>10.25</v>
      </c>
      <c r="K5589" s="19" t="s">
        <v>44</v>
      </c>
      <c r="L5589" s="19" t="s">
        <v>89</v>
      </c>
      <c r="M5589" s="15" t="s">
        <v>1932</v>
      </c>
      <c r="N5589" s="15" t="s">
        <v>54</v>
      </c>
      <c r="O5589" s="15" t="s">
        <v>55</v>
      </c>
      <c r="P5589" s="20" t="s">
        <v>1283</v>
      </c>
      <c r="Q5589" s="15" t="s">
        <v>39</v>
      </c>
      <c r="R5589" s="4"/>
      <c r="S5589" s="4"/>
    </row>
    <row r="5590" spans="1:19" ht="21" customHeight="1" x14ac:dyDescent="0.25">
      <c r="A5590" s="14">
        <f>DATE(2012,12,31)-1169</f>
        <v>40105</v>
      </c>
      <c r="B5590" s="15" t="s">
        <v>346</v>
      </c>
      <c r="C5590" s="15" t="s">
        <v>51</v>
      </c>
      <c r="D5590" s="16">
        <v>10</v>
      </c>
      <c r="E5590" s="17">
        <v>1351.653</v>
      </c>
      <c r="F5590" s="16">
        <v>0.01</v>
      </c>
      <c r="G5590" s="15" t="s">
        <v>101</v>
      </c>
      <c r="H5590" s="18">
        <v>-202.851</v>
      </c>
      <c r="I5590" s="19">
        <v>155.99</v>
      </c>
      <c r="J5590" s="19">
        <v>8.99</v>
      </c>
      <c r="K5590" s="19" t="s">
        <v>44</v>
      </c>
      <c r="L5590" s="19" t="s">
        <v>120</v>
      </c>
      <c r="M5590" s="15" t="s">
        <v>2262</v>
      </c>
      <c r="N5590" s="15" t="s">
        <v>64</v>
      </c>
      <c r="O5590" s="15" t="s">
        <v>65</v>
      </c>
      <c r="P5590" s="20" t="s">
        <v>82</v>
      </c>
      <c r="Q5590" s="15" t="s">
        <v>83</v>
      </c>
      <c r="R5590" s="4"/>
      <c r="S5590" s="4"/>
    </row>
    <row r="5591" spans="1:19" ht="21" customHeight="1" x14ac:dyDescent="0.25">
      <c r="A5591" s="14">
        <f>DATE(2012,12,31)-1169</f>
        <v>40105</v>
      </c>
      <c r="B5591" s="15" t="s">
        <v>346</v>
      </c>
      <c r="C5591" s="15" t="s">
        <v>51</v>
      </c>
      <c r="D5591" s="16">
        <v>9</v>
      </c>
      <c r="E5591" s="17">
        <v>63</v>
      </c>
      <c r="F5591" s="16">
        <v>0.01</v>
      </c>
      <c r="G5591" s="15" t="s">
        <v>32</v>
      </c>
      <c r="H5591" s="18">
        <v>-17.48</v>
      </c>
      <c r="I5591" s="19">
        <v>5.98</v>
      </c>
      <c r="J5591" s="19">
        <v>5.46</v>
      </c>
      <c r="K5591" s="19" t="s">
        <v>124</v>
      </c>
      <c r="L5591" s="19" t="s">
        <v>160</v>
      </c>
      <c r="M5591" s="15" t="s">
        <v>2181</v>
      </c>
      <c r="N5591" s="15" t="s">
        <v>36</v>
      </c>
      <c r="O5591" s="15" t="s">
        <v>117</v>
      </c>
      <c r="P5591" s="20" t="s">
        <v>1879</v>
      </c>
      <c r="Q5591" s="15" t="s">
        <v>83</v>
      </c>
      <c r="R5591" s="4"/>
      <c r="S5591" s="4"/>
    </row>
    <row r="5592" spans="1:19" ht="21" customHeight="1" x14ac:dyDescent="0.25">
      <c r="A5592" s="14">
        <f>DATE(2012,12,31)-885</f>
        <v>40389</v>
      </c>
      <c r="B5592" s="15" t="s">
        <v>1094</v>
      </c>
      <c r="C5592" s="15" t="s">
        <v>43</v>
      </c>
      <c r="D5592" s="16">
        <v>10</v>
      </c>
      <c r="E5592" s="17">
        <v>1004.89</v>
      </c>
      <c r="F5592" s="16">
        <v>0</v>
      </c>
      <c r="G5592" s="15" t="s">
        <v>58</v>
      </c>
      <c r="H5592" s="18">
        <v>-189.02</v>
      </c>
      <c r="I5592" s="19">
        <v>89.99</v>
      </c>
      <c r="J5592" s="19">
        <v>42</v>
      </c>
      <c r="K5592" s="19" t="s">
        <v>124</v>
      </c>
      <c r="L5592" s="19" t="s">
        <v>125</v>
      </c>
      <c r="M5592" s="15" t="s">
        <v>2223</v>
      </c>
      <c r="N5592" s="15" t="s">
        <v>54</v>
      </c>
      <c r="O5592" s="15" t="s">
        <v>252</v>
      </c>
      <c r="P5592" s="20" t="s">
        <v>848</v>
      </c>
      <c r="Q5592" s="15" t="s">
        <v>181</v>
      </c>
      <c r="R5592" s="4"/>
      <c r="S5592" s="4"/>
    </row>
    <row r="5593" spans="1:19" ht="21" customHeight="1" x14ac:dyDescent="0.25">
      <c r="A5593" s="14">
        <f>DATE(2012,12,31)-885</f>
        <v>40389</v>
      </c>
      <c r="B5593" s="15" t="s">
        <v>1094</v>
      </c>
      <c r="C5593" s="15" t="s">
        <v>43</v>
      </c>
      <c r="D5593" s="16">
        <v>47</v>
      </c>
      <c r="E5593" s="17">
        <v>329.06</v>
      </c>
      <c r="F5593" s="16">
        <v>0.08</v>
      </c>
      <c r="G5593" s="15" t="s">
        <v>32</v>
      </c>
      <c r="H5593" s="18">
        <v>-175.15</v>
      </c>
      <c r="I5593" s="19">
        <v>7.28</v>
      </c>
      <c r="J5593" s="19">
        <v>7.98</v>
      </c>
      <c r="K5593" s="19" t="s">
        <v>33</v>
      </c>
      <c r="L5593" s="19" t="s">
        <v>128</v>
      </c>
      <c r="M5593" s="15" t="s">
        <v>129</v>
      </c>
      <c r="N5593" s="15" t="s">
        <v>54</v>
      </c>
      <c r="O5593" s="15" t="s">
        <v>55</v>
      </c>
      <c r="P5593" s="20" t="s">
        <v>147</v>
      </c>
      <c r="Q5593" s="15" t="s">
        <v>79</v>
      </c>
      <c r="R5593" s="4"/>
      <c r="S5593" s="4"/>
    </row>
    <row r="5594" spans="1:19" ht="21" customHeight="1" x14ac:dyDescent="0.25">
      <c r="A5594" s="14">
        <f>DATE(2012,12,31)-241</f>
        <v>41033</v>
      </c>
      <c r="B5594" s="15" t="s">
        <v>140</v>
      </c>
      <c r="C5594" s="15" t="s">
        <v>31</v>
      </c>
      <c r="D5594" s="16">
        <v>5</v>
      </c>
      <c r="E5594" s="17">
        <v>14.61</v>
      </c>
      <c r="F5594" s="16">
        <v>0.03</v>
      </c>
      <c r="G5594" s="15" t="s">
        <v>32</v>
      </c>
      <c r="H5594" s="18">
        <v>1.17</v>
      </c>
      <c r="I5594" s="19">
        <v>2.88</v>
      </c>
      <c r="J5594" s="19">
        <v>0.5</v>
      </c>
      <c r="K5594" s="19" t="s">
        <v>33</v>
      </c>
      <c r="L5594" s="19" t="s">
        <v>128</v>
      </c>
      <c r="M5594" s="15" t="s">
        <v>129</v>
      </c>
      <c r="N5594" s="15" t="s">
        <v>36</v>
      </c>
      <c r="O5594" s="15" t="s">
        <v>114</v>
      </c>
      <c r="P5594" s="20" t="s">
        <v>671</v>
      </c>
      <c r="Q5594" s="15" t="s">
        <v>83</v>
      </c>
      <c r="R5594" s="4"/>
      <c r="S5594" s="4"/>
    </row>
    <row r="5595" spans="1:19" ht="21" customHeight="1" x14ac:dyDescent="0.25">
      <c r="A5595" s="14">
        <f>DATE(2012,12,31)-241</f>
        <v>41033</v>
      </c>
      <c r="B5595" s="15" t="s">
        <v>140</v>
      </c>
      <c r="C5595" s="15" t="s">
        <v>31</v>
      </c>
      <c r="D5595" s="16">
        <v>4</v>
      </c>
      <c r="E5595" s="17">
        <v>665.76250000000005</v>
      </c>
      <c r="F5595" s="16">
        <v>0.03</v>
      </c>
      <c r="G5595" s="15" t="s">
        <v>32</v>
      </c>
      <c r="H5595" s="18">
        <v>-773.34399999999994</v>
      </c>
      <c r="I5595" s="19">
        <v>195.99</v>
      </c>
      <c r="J5595" s="19">
        <v>8.99</v>
      </c>
      <c r="K5595" s="19" t="s">
        <v>33</v>
      </c>
      <c r="L5595" s="19" t="s">
        <v>145</v>
      </c>
      <c r="M5595" s="15" t="s">
        <v>2248</v>
      </c>
      <c r="N5595" s="15" t="s">
        <v>64</v>
      </c>
      <c r="O5595" s="15" t="s">
        <v>65</v>
      </c>
      <c r="P5595" s="20" t="s">
        <v>387</v>
      </c>
      <c r="Q5595" s="15" t="s">
        <v>83</v>
      </c>
      <c r="R5595" s="4"/>
      <c r="S5595" s="4"/>
    </row>
    <row r="5596" spans="1:19" ht="21" customHeight="1" x14ac:dyDescent="0.25">
      <c r="A5596" s="14">
        <f>DATE(2012,12,31)-92</f>
        <v>41182</v>
      </c>
      <c r="B5596" s="15" t="s">
        <v>474</v>
      </c>
      <c r="C5596" s="15" t="s">
        <v>85</v>
      </c>
      <c r="D5596" s="16">
        <v>39</v>
      </c>
      <c r="E5596" s="17">
        <v>856.15</v>
      </c>
      <c r="F5596" s="16">
        <v>0.03</v>
      </c>
      <c r="G5596" s="15" t="s">
        <v>101</v>
      </c>
      <c r="H5596" s="18">
        <v>330.02949999999998</v>
      </c>
      <c r="I5596" s="19">
        <v>21.38</v>
      </c>
      <c r="J5596" s="19">
        <v>2.99</v>
      </c>
      <c r="K5596" s="19" t="s">
        <v>33</v>
      </c>
      <c r="L5596" s="19" t="s">
        <v>93</v>
      </c>
      <c r="M5596" s="15" t="s">
        <v>94</v>
      </c>
      <c r="N5596" s="15" t="s">
        <v>36</v>
      </c>
      <c r="O5596" s="15" t="s">
        <v>170</v>
      </c>
      <c r="P5596" s="20" t="s">
        <v>2063</v>
      </c>
      <c r="Q5596" s="15" t="s">
        <v>83</v>
      </c>
      <c r="R5596" s="4"/>
      <c r="S5596" s="4"/>
    </row>
    <row r="5597" spans="1:19" ht="21" customHeight="1" x14ac:dyDescent="0.25">
      <c r="A5597" s="14">
        <f>DATE(2012,12,31)-283</f>
        <v>40991</v>
      </c>
      <c r="B5597" s="15" t="s">
        <v>820</v>
      </c>
      <c r="C5597" s="15" t="s">
        <v>51</v>
      </c>
      <c r="D5597" s="16">
        <v>35</v>
      </c>
      <c r="E5597" s="17">
        <v>253.15</v>
      </c>
      <c r="F5597" s="16">
        <v>0.03</v>
      </c>
      <c r="G5597" s="15" t="s">
        <v>32</v>
      </c>
      <c r="H5597" s="18">
        <v>-72.430000000000007</v>
      </c>
      <c r="I5597" s="19">
        <v>7.28</v>
      </c>
      <c r="J5597" s="19">
        <v>3.52</v>
      </c>
      <c r="K5597" s="19" t="s">
        <v>33</v>
      </c>
      <c r="L5597" s="19" t="s">
        <v>93</v>
      </c>
      <c r="M5597" s="15" t="s">
        <v>94</v>
      </c>
      <c r="N5597" s="15" t="s">
        <v>64</v>
      </c>
      <c r="O5597" s="15" t="s">
        <v>72</v>
      </c>
      <c r="P5597" s="20" t="s">
        <v>968</v>
      </c>
      <c r="Q5597" s="15" t="s">
        <v>49</v>
      </c>
      <c r="R5597" s="4"/>
      <c r="S5597" s="4"/>
    </row>
    <row r="5598" spans="1:19" ht="21" customHeight="1" x14ac:dyDescent="0.25">
      <c r="A5598" s="14">
        <f>DATE(2012,12,31)-783</f>
        <v>40491</v>
      </c>
      <c r="B5598" s="15" t="s">
        <v>921</v>
      </c>
      <c r="C5598" s="15" t="s">
        <v>85</v>
      </c>
      <c r="D5598" s="16">
        <v>43</v>
      </c>
      <c r="E5598" s="17">
        <v>2337.89</v>
      </c>
      <c r="F5598" s="16">
        <v>0.09</v>
      </c>
      <c r="G5598" s="15" t="s">
        <v>101</v>
      </c>
      <c r="H5598" s="18">
        <v>729.34</v>
      </c>
      <c r="I5598" s="19">
        <v>55.48</v>
      </c>
      <c r="J5598" s="19">
        <v>14.3</v>
      </c>
      <c r="K5598" s="19" t="s">
        <v>97</v>
      </c>
      <c r="L5598" s="19" t="s">
        <v>98</v>
      </c>
      <c r="M5598" s="15" t="s">
        <v>2217</v>
      </c>
      <c r="N5598" s="15" t="s">
        <v>36</v>
      </c>
      <c r="O5598" s="15" t="s">
        <v>117</v>
      </c>
      <c r="P5598" s="20" t="s">
        <v>402</v>
      </c>
      <c r="Q5598" s="15" t="s">
        <v>83</v>
      </c>
      <c r="R5598" s="4"/>
      <c r="S5598" s="4"/>
    </row>
    <row r="5599" spans="1:19" ht="21" customHeight="1" x14ac:dyDescent="0.25">
      <c r="A5599" s="14">
        <f>DATE(2012,12,31)-509</f>
        <v>40765</v>
      </c>
      <c r="B5599" s="15" t="s">
        <v>1905</v>
      </c>
      <c r="C5599" s="15" t="s">
        <v>51</v>
      </c>
      <c r="D5599" s="16">
        <v>31</v>
      </c>
      <c r="E5599" s="17">
        <v>615.58000000000004</v>
      </c>
      <c r="F5599" s="16">
        <v>0.04</v>
      </c>
      <c r="G5599" s="15" t="s">
        <v>32</v>
      </c>
      <c r="H5599" s="18">
        <v>168.0025</v>
      </c>
      <c r="I5599" s="19">
        <v>18.989999999999998</v>
      </c>
      <c r="J5599" s="19">
        <v>5.23</v>
      </c>
      <c r="K5599" s="19" t="s">
        <v>97</v>
      </c>
      <c r="L5599" s="19" t="s">
        <v>195</v>
      </c>
      <c r="M5599" s="15" t="s">
        <v>2138</v>
      </c>
      <c r="N5599" s="15" t="s">
        <v>36</v>
      </c>
      <c r="O5599" s="15" t="s">
        <v>170</v>
      </c>
      <c r="P5599" s="20" t="s">
        <v>2009</v>
      </c>
      <c r="Q5599" s="15" t="s">
        <v>83</v>
      </c>
      <c r="R5599" s="4"/>
      <c r="S5599" s="4"/>
    </row>
    <row r="5600" spans="1:19" ht="21" customHeight="1" x14ac:dyDescent="0.25">
      <c r="A5600" s="14">
        <f>DATE(2012,12,31)-509</f>
        <v>40765</v>
      </c>
      <c r="B5600" s="15" t="s">
        <v>1905</v>
      </c>
      <c r="C5600" s="15" t="s">
        <v>51</v>
      </c>
      <c r="D5600" s="16">
        <v>41</v>
      </c>
      <c r="E5600" s="17">
        <v>8387.1</v>
      </c>
      <c r="F5600" s="16">
        <v>0.1</v>
      </c>
      <c r="G5600" s="15" t="s">
        <v>32</v>
      </c>
      <c r="H5600" s="18">
        <v>2113.9499999999998</v>
      </c>
      <c r="I5600" s="19">
        <v>218.08</v>
      </c>
      <c r="J5600" s="19">
        <v>18.059999999999999</v>
      </c>
      <c r="K5600" s="19" t="s">
        <v>97</v>
      </c>
      <c r="L5600" s="19" t="s">
        <v>98</v>
      </c>
      <c r="M5600" s="15" t="s">
        <v>2217</v>
      </c>
      <c r="N5600" s="15" t="s">
        <v>54</v>
      </c>
      <c r="O5600" s="15" t="s">
        <v>252</v>
      </c>
      <c r="P5600" s="20" t="s">
        <v>253</v>
      </c>
      <c r="Q5600" s="15" t="s">
        <v>39</v>
      </c>
      <c r="R5600" s="4"/>
      <c r="S5600" s="4"/>
    </row>
    <row r="5601" spans="1:19" ht="21" customHeight="1" x14ac:dyDescent="0.25">
      <c r="A5601" s="14">
        <f>DATE(2012,12,31)-509</f>
        <v>40765</v>
      </c>
      <c r="B5601" s="15" t="s">
        <v>1905</v>
      </c>
      <c r="C5601" s="15" t="s">
        <v>51</v>
      </c>
      <c r="D5601" s="16">
        <v>6</v>
      </c>
      <c r="E5601" s="17">
        <v>126.02</v>
      </c>
      <c r="F5601" s="16">
        <v>0.09</v>
      </c>
      <c r="G5601" s="15" t="s">
        <v>32</v>
      </c>
      <c r="H5601" s="18">
        <v>66.97</v>
      </c>
      <c r="I5601" s="19">
        <v>20.239999999999998</v>
      </c>
      <c r="J5601" s="19">
        <v>6.67</v>
      </c>
      <c r="K5601" s="19" t="s">
        <v>97</v>
      </c>
      <c r="L5601" s="19" t="s">
        <v>132</v>
      </c>
      <c r="M5601" s="15" t="s">
        <v>133</v>
      </c>
      <c r="N5601" s="15" t="s">
        <v>54</v>
      </c>
      <c r="O5601" s="15" t="s">
        <v>55</v>
      </c>
      <c r="P5601" s="20" t="s">
        <v>960</v>
      </c>
      <c r="Q5601" s="15" t="s">
        <v>49</v>
      </c>
      <c r="R5601" s="4"/>
      <c r="S5601" s="4"/>
    </row>
    <row r="5602" spans="1:19" ht="21" customHeight="1" x14ac:dyDescent="0.25">
      <c r="A5602" s="14">
        <f>DATE(2012,12,31)-509</f>
        <v>40765</v>
      </c>
      <c r="B5602" s="15" t="s">
        <v>1905</v>
      </c>
      <c r="C5602" s="15" t="s">
        <v>51</v>
      </c>
      <c r="D5602" s="16">
        <v>30</v>
      </c>
      <c r="E5602" s="17">
        <v>68.14</v>
      </c>
      <c r="F5602" s="16">
        <v>0</v>
      </c>
      <c r="G5602" s="15" t="s">
        <v>32</v>
      </c>
      <c r="H5602" s="18">
        <v>6.37</v>
      </c>
      <c r="I5602" s="19">
        <v>2.1800000000000002</v>
      </c>
      <c r="J5602" s="19">
        <v>0.78</v>
      </c>
      <c r="K5602" s="19" t="s">
        <v>97</v>
      </c>
      <c r="L5602" s="19" t="s">
        <v>283</v>
      </c>
      <c r="M5602" s="15" t="s">
        <v>2205</v>
      </c>
      <c r="N5602" s="15" t="s">
        <v>36</v>
      </c>
      <c r="O5602" s="15" t="s">
        <v>105</v>
      </c>
      <c r="P5602" s="20" t="s">
        <v>1706</v>
      </c>
      <c r="Q5602" s="15" t="s">
        <v>79</v>
      </c>
      <c r="R5602" s="4"/>
      <c r="S5602" s="4"/>
    </row>
    <row r="5603" spans="1:19" ht="21" customHeight="1" x14ac:dyDescent="0.25">
      <c r="A5603" s="14">
        <f>DATE(2012,12,31)-206</f>
        <v>41068</v>
      </c>
      <c r="B5603" s="15" t="s">
        <v>1675</v>
      </c>
      <c r="C5603" s="15" t="s">
        <v>43</v>
      </c>
      <c r="D5603" s="16">
        <v>2</v>
      </c>
      <c r="E5603" s="17">
        <v>738.8</v>
      </c>
      <c r="F5603" s="16">
        <v>0.06</v>
      </c>
      <c r="G5603" s="15" t="s">
        <v>58</v>
      </c>
      <c r="H5603" s="18">
        <v>-473.66</v>
      </c>
      <c r="I5603" s="19">
        <v>328.14</v>
      </c>
      <c r="J5603" s="19">
        <v>91.05</v>
      </c>
      <c r="K5603" s="19" t="s">
        <v>97</v>
      </c>
      <c r="L5603" s="19" t="s">
        <v>195</v>
      </c>
      <c r="M5603" s="15" t="s">
        <v>2138</v>
      </c>
      <c r="N5603" s="15" t="s">
        <v>36</v>
      </c>
      <c r="O5603" s="15" t="s">
        <v>176</v>
      </c>
      <c r="P5603" s="20" t="s">
        <v>549</v>
      </c>
      <c r="Q5603" s="15" t="s">
        <v>181</v>
      </c>
      <c r="R5603" s="4"/>
      <c r="S5603" s="4"/>
    </row>
    <row r="5604" spans="1:19" ht="21" customHeight="1" x14ac:dyDescent="0.25">
      <c r="A5604" s="14">
        <f>DATE(2012,12,31)-206</f>
        <v>41068</v>
      </c>
      <c r="B5604" s="15" t="s">
        <v>1675</v>
      </c>
      <c r="C5604" s="15" t="s">
        <v>43</v>
      </c>
      <c r="D5604" s="16">
        <v>48</v>
      </c>
      <c r="E5604" s="17">
        <v>2750.7105000000001</v>
      </c>
      <c r="F5604" s="16">
        <v>0</v>
      </c>
      <c r="G5604" s="15" t="s">
        <v>32</v>
      </c>
      <c r="H5604" s="18">
        <v>791.90099999999995</v>
      </c>
      <c r="I5604" s="19">
        <v>65.989999999999995</v>
      </c>
      <c r="J5604" s="19">
        <v>5.26</v>
      </c>
      <c r="K5604" s="19" t="s">
        <v>97</v>
      </c>
      <c r="L5604" s="19" t="s">
        <v>132</v>
      </c>
      <c r="M5604" s="15" t="s">
        <v>133</v>
      </c>
      <c r="N5604" s="15" t="s">
        <v>64</v>
      </c>
      <c r="O5604" s="15" t="s">
        <v>65</v>
      </c>
      <c r="P5604" s="20" t="s">
        <v>488</v>
      </c>
      <c r="Q5604" s="15" t="s">
        <v>83</v>
      </c>
      <c r="R5604" s="4"/>
      <c r="S5604" s="4"/>
    </row>
    <row r="5605" spans="1:19" ht="21" customHeight="1" x14ac:dyDescent="0.25">
      <c r="A5605" s="14">
        <f>DATE(2012,12,31)-1129</f>
        <v>40145</v>
      </c>
      <c r="B5605" s="15" t="s">
        <v>1692</v>
      </c>
      <c r="C5605" s="15" t="s">
        <v>51</v>
      </c>
      <c r="D5605" s="16">
        <v>20</v>
      </c>
      <c r="E5605" s="17">
        <v>835.48</v>
      </c>
      <c r="F5605" s="16">
        <v>0.06</v>
      </c>
      <c r="G5605" s="15" t="s">
        <v>32</v>
      </c>
      <c r="H5605" s="18">
        <v>-58.13</v>
      </c>
      <c r="I5605" s="19">
        <v>43.57</v>
      </c>
      <c r="J5605" s="19">
        <v>16.36</v>
      </c>
      <c r="K5605" s="19" t="s">
        <v>97</v>
      </c>
      <c r="L5605" s="19" t="s">
        <v>98</v>
      </c>
      <c r="M5605" s="15" t="s">
        <v>2217</v>
      </c>
      <c r="N5605" s="15" t="s">
        <v>36</v>
      </c>
      <c r="O5605" s="15" t="s">
        <v>37</v>
      </c>
      <c r="P5605" s="20" t="s">
        <v>1371</v>
      </c>
      <c r="Q5605" s="15" t="s">
        <v>83</v>
      </c>
      <c r="R5605" s="4"/>
      <c r="S5605" s="4"/>
    </row>
    <row r="5606" spans="1:19" ht="21" customHeight="1" x14ac:dyDescent="0.25">
      <c r="A5606" s="14">
        <f>DATE(2012,12,31)-1274</f>
        <v>40000</v>
      </c>
      <c r="B5606" s="15" t="s">
        <v>138</v>
      </c>
      <c r="C5606" s="15" t="s">
        <v>85</v>
      </c>
      <c r="D5606" s="16">
        <v>6</v>
      </c>
      <c r="E5606" s="17">
        <v>63.61</v>
      </c>
      <c r="F5606" s="16">
        <v>0.01</v>
      </c>
      <c r="G5606" s="15" t="s">
        <v>32</v>
      </c>
      <c r="H5606" s="18">
        <v>7.59</v>
      </c>
      <c r="I5606" s="19">
        <v>10.06</v>
      </c>
      <c r="J5606" s="19">
        <v>2.06</v>
      </c>
      <c r="K5606" s="19" t="s">
        <v>97</v>
      </c>
      <c r="L5606" s="19" t="s">
        <v>98</v>
      </c>
      <c r="M5606" s="15" t="s">
        <v>2217</v>
      </c>
      <c r="N5606" s="15" t="s">
        <v>36</v>
      </c>
      <c r="O5606" s="15" t="s">
        <v>117</v>
      </c>
      <c r="P5606" s="20" t="s">
        <v>837</v>
      </c>
      <c r="Q5606" s="15" t="s">
        <v>79</v>
      </c>
      <c r="R5606" s="4"/>
      <c r="S5606" s="4"/>
    </row>
    <row r="5607" spans="1:19" ht="21" customHeight="1" x14ac:dyDescent="0.25">
      <c r="A5607" s="14">
        <f>DATE(2012,12,31)-1274</f>
        <v>40000</v>
      </c>
      <c r="B5607" s="15" t="s">
        <v>138</v>
      </c>
      <c r="C5607" s="15" t="s">
        <v>85</v>
      </c>
      <c r="D5607" s="16">
        <v>9</v>
      </c>
      <c r="E5607" s="17">
        <v>519.95349999999996</v>
      </c>
      <c r="F5607" s="16">
        <v>0</v>
      </c>
      <c r="G5607" s="15" t="s">
        <v>32</v>
      </c>
      <c r="H5607" s="18">
        <v>-107.98699999999999</v>
      </c>
      <c r="I5607" s="19">
        <v>65.989999999999995</v>
      </c>
      <c r="J5607" s="19">
        <v>5.92</v>
      </c>
      <c r="K5607" s="19" t="s">
        <v>97</v>
      </c>
      <c r="L5607" s="19" t="s">
        <v>98</v>
      </c>
      <c r="M5607" s="15" t="s">
        <v>2217</v>
      </c>
      <c r="N5607" s="15" t="s">
        <v>64</v>
      </c>
      <c r="O5607" s="15" t="s">
        <v>65</v>
      </c>
      <c r="P5607" s="20" t="s">
        <v>1135</v>
      </c>
      <c r="Q5607" s="15" t="s">
        <v>83</v>
      </c>
      <c r="R5607" s="4"/>
      <c r="S5607" s="4"/>
    </row>
    <row r="5608" spans="1:19" ht="21" customHeight="1" x14ac:dyDescent="0.25">
      <c r="A5608" s="14">
        <f>DATE(2012,12,31)-1274</f>
        <v>40000</v>
      </c>
      <c r="B5608" s="15" t="s">
        <v>138</v>
      </c>
      <c r="C5608" s="15" t="s">
        <v>85</v>
      </c>
      <c r="D5608" s="16">
        <v>41</v>
      </c>
      <c r="E5608" s="17">
        <v>5636.3074999999999</v>
      </c>
      <c r="F5608" s="16">
        <v>0.04</v>
      </c>
      <c r="G5608" s="15" t="s">
        <v>32</v>
      </c>
      <c r="H5608" s="18">
        <v>1595.673</v>
      </c>
      <c r="I5608" s="19">
        <v>155.99</v>
      </c>
      <c r="J5608" s="19">
        <v>8.99</v>
      </c>
      <c r="K5608" s="19" t="s">
        <v>97</v>
      </c>
      <c r="L5608" s="19" t="s">
        <v>283</v>
      </c>
      <c r="M5608" s="15" t="s">
        <v>2205</v>
      </c>
      <c r="N5608" s="15" t="s">
        <v>64</v>
      </c>
      <c r="O5608" s="15" t="s">
        <v>65</v>
      </c>
      <c r="P5608" s="20" t="s">
        <v>82</v>
      </c>
      <c r="Q5608" s="15" t="s">
        <v>83</v>
      </c>
      <c r="R5608" s="4"/>
      <c r="S5608" s="4"/>
    </row>
    <row r="5609" spans="1:19" ht="21" customHeight="1" x14ac:dyDescent="0.25">
      <c r="A5609" s="14">
        <f>DATE(2012,12,31)-607</f>
        <v>40667</v>
      </c>
      <c r="B5609" s="15" t="s">
        <v>1000</v>
      </c>
      <c r="C5609" s="15" t="s">
        <v>43</v>
      </c>
      <c r="D5609" s="16">
        <v>8</v>
      </c>
      <c r="E5609" s="17">
        <v>955.29</v>
      </c>
      <c r="F5609" s="16">
        <v>0.05</v>
      </c>
      <c r="G5609" s="15" t="s">
        <v>58</v>
      </c>
      <c r="H5609" s="18">
        <v>-286.1952</v>
      </c>
      <c r="I5609" s="19">
        <v>115.99</v>
      </c>
      <c r="J5609" s="19">
        <v>56.14</v>
      </c>
      <c r="K5609" s="19" t="s">
        <v>124</v>
      </c>
      <c r="L5609" s="19" t="s">
        <v>160</v>
      </c>
      <c r="M5609" s="15" t="s">
        <v>2181</v>
      </c>
      <c r="N5609" s="15" t="s">
        <v>64</v>
      </c>
      <c r="O5609" s="15" t="s">
        <v>122</v>
      </c>
      <c r="P5609" s="20" t="s">
        <v>306</v>
      </c>
      <c r="Q5609" s="15" t="s">
        <v>181</v>
      </c>
      <c r="R5609" s="4"/>
      <c r="S5609" s="4"/>
    </row>
    <row r="5610" spans="1:19" ht="21" customHeight="1" x14ac:dyDescent="0.25">
      <c r="A5610" s="14">
        <f>DATE(2012,12,31)-918</f>
        <v>40356</v>
      </c>
      <c r="B5610" s="15" t="s">
        <v>506</v>
      </c>
      <c r="C5610" s="15" t="s">
        <v>51</v>
      </c>
      <c r="D5610" s="16">
        <v>14</v>
      </c>
      <c r="E5610" s="17">
        <v>125.31</v>
      </c>
      <c r="F5610" s="16">
        <v>0</v>
      </c>
      <c r="G5610" s="15" t="s">
        <v>32</v>
      </c>
      <c r="H5610" s="18">
        <v>26.24</v>
      </c>
      <c r="I5610" s="19">
        <v>7.96</v>
      </c>
      <c r="J5610" s="19">
        <v>4.95</v>
      </c>
      <c r="K5610" s="19" t="s">
        <v>124</v>
      </c>
      <c r="L5610" s="19" t="s">
        <v>164</v>
      </c>
      <c r="M5610" s="15" t="s">
        <v>2257</v>
      </c>
      <c r="N5610" s="15" t="s">
        <v>54</v>
      </c>
      <c r="O5610" s="15" t="s">
        <v>55</v>
      </c>
      <c r="P5610" s="20" t="s">
        <v>1114</v>
      </c>
      <c r="Q5610" s="15" t="s">
        <v>83</v>
      </c>
      <c r="R5610" s="4"/>
      <c r="S5610" s="4"/>
    </row>
    <row r="5611" spans="1:19" ht="21" customHeight="1" x14ac:dyDescent="0.25">
      <c r="A5611" s="14">
        <f>DATE(2012,12,31)-918</f>
        <v>40356</v>
      </c>
      <c r="B5611" s="15" t="s">
        <v>506</v>
      </c>
      <c r="C5611" s="15" t="s">
        <v>51</v>
      </c>
      <c r="D5611" s="16">
        <v>45</v>
      </c>
      <c r="E5611" s="17">
        <v>11277.05</v>
      </c>
      <c r="F5611" s="16">
        <v>0.01</v>
      </c>
      <c r="G5611" s="15" t="s">
        <v>58</v>
      </c>
      <c r="H5611" s="18">
        <v>3497.45</v>
      </c>
      <c r="I5611" s="19">
        <v>264.98</v>
      </c>
      <c r="J5611" s="19">
        <v>17.86</v>
      </c>
      <c r="K5611" s="19" t="s">
        <v>124</v>
      </c>
      <c r="L5611" s="19" t="s">
        <v>493</v>
      </c>
      <c r="M5611" s="15" t="s">
        <v>2259</v>
      </c>
      <c r="N5611" s="15" t="s">
        <v>64</v>
      </c>
      <c r="O5611" s="15" t="s">
        <v>122</v>
      </c>
      <c r="P5611" s="20" t="s">
        <v>780</v>
      </c>
      <c r="Q5611" s="15" t="s">
        <v>181</v>
      </c>
      <c r="R5611" s="4"/>
      <c r="S5611" s="4"/>
    </row>
    <row r="5612" spans="1:19" ht="21" customHeight="1" x14ac:dyDescent="0.25">
      <c r="A5612" s="14">
        <f>DATE(2012,12,31)-918</f>
        <v>40356</v>
      </c>
      <c r="B5612" s="15" t="s">
        <v>506</v>
      </c>
      <c r="C5612" s="15" t="s">
        <v>51</v>
      </c>
      <c r="D5612" s="16">
        <v>43</v>
      </c>
      <c r="E5612" s="17">
        <v>110.64</v>
      </c>
      <c r="F5612" s="16">
        <v>0.06</v>
      </c>
      <c r="G5612" s="15" t="s">
        <v>32</v>
      </c>
      <c r="H5612" s="18">
        <v>-62.6</v>
      </c>
      <c r="I5612" s="19">
        <v>2.6</v>
      </c>
      <c r="J5612" s="19">
        <v>2.4</v>
      </c>
      <c r="K5612" s="19" t="s">
        <v>124</v>
      </c>
      <c r="L5612" s="19" t="s">
        <v>160</v>
      </c>
      <c r="M5612" s="15" t="s">
        <v>2181</v>
      </c>
      <c r="N5612" s="15" t="s">
        <v>36</v>
      </c>
      <c r="O5612" s="15" t="s">
        <v>77</v>
      </c>
      <c r="P5612" s="20" t="s">
        <v>1783</v>
      </c>
      <c r="Q5612" s="15" t="s">
        <v>79</v>
      </c>
      <c r="R5612" s="4"/>
      <c r="S5612" s="4"/>
    </row>
    <row r="5613" spans="1:19" ht="21" customHeight="1" x14ac:dyDescent="0.25">
      <c r="A5613" s="14">
        <f>DATE(2012,12,31)-1375</f>
        <v>39899</v>
      </c>
      <c r="B5613" s="15" t="s">
        <v>1152</v>
      </c>
      <c r="C5613" s="15" t="s">
        <v>51</v>
      </c>
      <c r="D5613" s="16">
        <v>7</v>
      </c>
      <c r="E5613" s="17">
        <v>140.59</v>
      </c>
      <c r="F5613" s="16">
        <v>0.01</v>
      </c>
      <c r="G5613" s="15" t="s">
        <v>32</v>
      </c>
      <c r="H5613" s="18">
        <v>-35.878799999999998</v>
      </c>
      <c r="I5613" s="19">
        <v>17.98</v>
      </c>
      <c r="J5613" s="19">
        <v>8.51</v>
      </c>
      <c r="K5613" s="19" t="s">
        <v>124</v>
      </c>
      <c r="L5613" s="19" t="s">
        <v>160</v>
      </c>
      <c r="M5613" s="15" t="s">
        <v>2181</v>
      </c>
      <c r="N5613" s="15" t="s">
        <v>64</v>
      </c>
      <c r="O5613" s="15" t="s">
        <v>122</v>
      </c>
      <c r="P5613" s="20" t="s">
        <v>1357</v>
      </c>
      <c r="Q5613" s="15" t="s">
        <v>57</v>
      </c>
      <c r="R5613" s="4"/>
      <c r="S5613" s="4"/>
    </row>
    <row r="5614" spans="1:19" ht="21" customHeight="1" x14ac:dyDescent="0.25">
      <c r="A5614" s="14">
        <f>DATE(2012,12,31)-1303</f>
        <v>39971</v>
      </c>
      <c r="B5614" s="15" t="s">
        <v>1596</v>
      </c>
      <c r="C5614" s="15" t="s">
        <v>31</v>
      </c>
      <c r="D5614" s="16">
        <v>33</v>
      </c>
      <c r="E5614" s="17">
        <v>1683.69</v>
      </c>
      <c r="F5614" s="16">
        <v>0.02</v>
      </c>
      <c r="G5614" s="15" t="s">
        <v>32</v>
      </c>
      <c r="H5614" s="18">
        <v>809.97</v>
      </c>
      <c r="I5614" s="19">
        <v>48.04</v>
      </c>
      <c r="J5614" s="19">
        <v>5.79</v>
      </c>
      <c r="K5614" s="19" t="s">
        <v>124</v>
      </c>
      <c r="L5614" s="19" t="s">
        <v>493</v>
      </c>
      <c r="M5614" s="15" t="s">
        <v>2259</v>
      </c>
      <c r="N5614" s="15" t="s">
        <v>36</v>
      </c>
      <c r="O5614" s="15" t="s">
        <v>117</v>
      </c>
      <c r="P5614" s="20" t="s">
        <v>1984</v>
      </c>
      <c r="Q5614" s="15" t="s">
        <v>83</v>
      </c>
      <c r="R5614" s="4"/>
      <c r="S5614" s="4"/>
    </row>
    <row r="5615" spans="1:19" ht="21" customHeight="1" x14ac:dyDescent="0.25">
      <c r="A5615" s="14">
        <f>DATE(2012,12,31)-1303</f>
        <v>39971</v>
      </c>
      <c r="B5615" s="15" t="s">
        <v>1596</v>
      </c>
      <c r="C5615" s="15" t="s">
        <v>31</v>
      </c>
      <c r="D5615" s="16">
        <v>48</v>
      </c>
      <c r="E5615" s="17">
        <v>2208.31</v>
      </c>
      <c r="F5615" s="16">
        <v>0.04</v>
      </c>
      <c r="G5615" s="15" t="s">
        <v>32</v>
      </c>
      <c r="H5615" s="18">
        <v>569.08000000000004</v>
      </c>
      <c r="I5615" s="19">
        <v>45.98</v>
      </c>
      <c r="J5615" s="19">
        <v>4.8</v>
      </c>
      <c r="K5615" s="19" t="s">
        <v>124</v>
      </c>
      <c r="L5615" s="19" t="s">
        <v>160</v>
      </c>
      <c r="M5615" s="15" t="s">
        <v>2181</v>
      </c>
      <c r="N5615" s="15" t="s">
        <v>54</v>
      </c>
      <c r="O5615" s="15" t="s">
        <v>55</v>
      </c>
      <c r="P5615" s="20" t="s">
        <v>1296</v>
      </c>
      <c r="Q5615" s="15" t="s">
        <v>79</v>
      </c>
      <c r="R5615" s="4"/>
      <c r="S5615" s="4"/>
    </row>
    <row r="5616" spans="1:19" ht="21" customHeight="1" x14ac:dyDescent="0.25">
      <c r="A5616" s="14">
        <f>DATE(2012,12,31)-102</f>
        <v>41172</v>
      </c>
      <c r="B5616" s="15" t="s">
        <v>1458</v>
      </c>
      <c r="C5616" s="15" t="s">
        <v>43</v>
      </c>
      <c r="D5616" s="16">
        <v>19</v>
      </c>
      <c r="E5616" s="17">
        <v>82.43</v>
      </c>
      <c r="F5616" s="16">
        <v>0.04</v>
      </c>
      <c r="G5616" s="15" t="s">
        <v>32</v>
      </c>
      <c r="H5616" s="18">
        <v>-94.76</v>
      </c>
      <c r="I5616" s="19">
        <v>4.0599999999999996</v>
      </c>
      <c r="J5616" s="19">
        <v>6.89</v>
      </c>
      <c r="K5616" s="19" t="s">
        <v>124</v>
      </c>
      <c r="L5616" s="19" t="s">
        <v>160</v>
      </c>
      <c r="M5616" s="15" t="s">
        <v>2181</v>
      </c>
      <c r="N5616" s="15" t="s">
        <v>36</v>
      </c>
      <c r="O5616" s="15" t="s">
        <v>176</v>
      </c>
      <c r="P5616" s="20" t="s">
        <v>1222</v>
      </c>
      <c r="Q5616" s="15" t="s">
        <v>83</v>
      </c>
      <c r="R5616" s="4"/>
      <c r="S5616" s="4"/>
    </row>
    <row r="5617" spans="1:19" ht="21" customHeight="1" x14ac:dyDescent="0.25">
      <c r="A5617" s="14">
        <f>DATE(2012,12,31)-102</f>
        <v>41172</v>
      </c>
      <c r="B5617" s="15" t="s">
        <v>1458</v>
      </c>
      <c r="C5617" s="15" t="s">
        <v>43</v>
      </c>
      <c r="D5617" s="16">
        <v>31</v>
      </c>
      <c r="E5617" s="17">
        <v>295.97000000000003</v>
      </c>
      <c r="F5617" s="16">
        <v>0.02</v>
      </c>
      <c r="G5617" s="15" t="s">
        <v>32</v>
      </c>
      <c r="H5617" s="18">
        <v>5.0149999999999997</v>
      </c>
      <c r="I5617" s="19">
        <v>8.85</v>
      </c>
      <c r="J5617" s="19">
        <v>5.6</v>
      </c>
      <c r="K5617" s="19" t="s">
        <v>124</v>
      </c>
      <c r="L5617" s="19" t="s">
        <v>160</v>
      </c>
      <c r="M5617" s="15" t="s">
        <v>2181</v>
      </c>
      <c r="N5617" s="15" t="s">
        <v>36</v>
      </c>
      <c r="O5617" s="15" t="s">
        <v>170</v>
      </c>
      <c r="P5617" s="20" t="s">
        <v>1218</v>
      </c>
      <c r="Q5617" s="15" t="s">
        <v>83</v>
      </c>
      <c r="R5617" s="4"/>
      <c r="S5617" s="4"/>
    </row>
    <row r="5618" spans="1:19" ht="21" customHeight="1" x14ac:dyDescent="0.25">
      <c r="A5618" s="14">
        <f>DATE(2012,12,31)-102</f>
        <v>41172</v>
      </c>
      <c r="B5618" s="15" t="s">
        <v>1458</v>
      </c>
      <c r="C5618" s="15" t="s">
        <v>43</v>
      </c>
      <c r="D5618" s="16">
        <v>29</v>
      </c>
      <c r="E5618" s="17">
        <v>94.5</v>
      </c>
      <c r="F5618" s="16">
        <v>0.02</v>
      </c>
      <c r="G5618" s="15" t="s">
        <v>32</v>
      </c>
      <c r="H5618" s="18">
        <v>39.9</v>
      </c>
      <c r="I5618" s="19">
        <v>3.15</v>
      </c>
      <c r="J5618" s="19">
        <v>0.5</v>
      </c>
      <c r="K5618" s="19" t="s">
        <v>124</v>
      </c>
      <c r="L5618" s="19" t="s">
        <v>164</v>
      </c>
      <c r="M5618" s="15" t="s">
        <v>2257</v>
      </c>
      <c r="N5618" s="15" t="s">
        <v>36</v>
      </c>
      <c r="O5618" s="15" t="s">
        <v>114</v>
      </c>
      <c r="P5618" s="20" t="s">
        <v>1718</v>
      </c>
      <c r="Q5618" s="15" t="s">
        <v>83</v>
      </c>
      <c r="R5618" s="4"/>
      <c r="S5618" s="4"/>
    </row>
    <row r="5619" spans="1:19" ht="21" customHeight="1" x14ac:dyDescent="0.25">
      <c r="A5619" s="14">
        <f>DATE(2012,12,31)-120</f>
        <v>41154</v>
      </c>
      <c r="B5619" s="15" t="s">
        <v>1916</v>
      </c>
      <c r="C5619" s="15" t="s">
        <v>31</v>
      </c>
      <c r="D5619" s="16">
        <v>50</v>
      </c>
      <c r="E5619" s="17">
        <v>2026.42</v>
      </c>
      <c r="F5619" s="16">
        <v>0.03</v>
      </c>
      <c r="G5619" s="15" t="s">
        <v>32</v>
      </c>
      <c r="H5619" s="18">
        <v>655.36</v>
      </c>
      <c r="I5619" s="19">
        <v>39.979999999999997</v>
      </c>
      <c r="J5619" s="19">
        <v>9.83</v>
      </c>
      <c r="K5619" s="19" t="s">
        <v>124</v>
      </c>
      <c r="L5619" s="19" t="s">
        <v>125</v>
      </c>
      <c r="M5619" s="15" t="s">
        <v>2223</v>
      </c>
      <c r="N5619" s="15" t="s">
        <v>36</v>
      </c>
      <c r="O5619" s="15" t="s">
        <v>189</v>
      </c>
      <c r="P5619" s="20" t="s">
        <v>1614</v>
      </c>
      <c r="Q5619" s="15" t="s">
        <v>83</v>
      </c>
      <c r="R5619" s="4"/>
      <c r="S5619" s="4"/>
    </row>
    <row r="5620" spans="1:19" ht="21" customHeight="1" x14ac:dyDescent="0.25">
      <c r="A5620" s="14">
        <f>DATE(2012,12,31)-120</f>
        <v>41154</v>
      </c>
      <c r="B5620" s="15" t="s">
        <v>1916</v>
      </c>
      <c r="C5620" s="15" t="s">
        <v>31</v>
      </c>
      <c r="D5620" s="16">
        <v>31</v>
      </c>
      <c r="E5620" s="17">
        <v>3413.4555</v>
      </c>
      <c r="F5620" s="16">
        <v>0.03</v>
      </c>
      <c r="G5620" s="15" t="s">
        <v>32</v>
      </c>
      <c r="H5620" s="18">
        <v>868.47299999999996</v>
      </c>
      <c r="I5620" s="19">
        <v>125.99</v>
      </c>
      <c r="J5620" s="19">
        <v>2.5</v>
      </c>
      <c r="K5620" s="19" t="s">
        <v>124</v>
      </c>
      <c r="L5620" s="19" t="s">
        <v>164</v>
      </c>
      <c r="M5620" s="15" t="s">
        <v>2257</v>
      </c>
      <c r="N5620" s="15" t="s">
        <v>64</v>
      </c>
      <c r="O5620" s="15" t="s">
        <v>65</v>
      </c>
      <c r="P5620" s="20" t="s">
        <v>1340</v>
      </c>
      <c r="Q5620" s="15" t="s">
        <v>83</v>
      </c>
      <c r="R5620" s="4"/>
      <c r="S5620" s="4"/>
    </row>
    <row r="5621" spans="1:19" ht="21" customHeight="1" x14ac:dyDescent="0.25">
      <c r="A5621" s="14">
        <f>DATE(2012,12,31)-1290</f>
        <v>39984</v>
      </c>
      <c r="B5621" s="15" t="s">
        <v>1253</v>
      </c>
      <c r="C5621" s="15" t="s">
        <v>43</v>
      </c>
      <c r="D5621" s="16">
        <v>40</v>
      </c>
      <c r="E5621" s="17">
        <v>323.63</v>
      </c>
      <c r="F5621" s="16">
        <v>0.05</v>
      </c>
      <c r="G5621" s="15" t="s">
        <v>32</v>
      </c>
      <c r="H5621" s="18">
        <v>-205.49349999999998</v>
      </c>
      <c r="I5621" s="19">
        <v>8.0399999999999991</v>
      </c>
      <c r="J5621" s="19">
        <v>8.94</v>
      </c>
      <c r="K5621" s="19" t="s">
        <v>124</v>
      </c>
      <c r="L5621" s="19" t="s">
        <v>164</v>
      </c>
      <c r="M5621" s="15" t="s">
        <v>2257</v>
      </c>
      <c r="N5621" s="15" t="s">
        <v>36</v>
      </c>
      <c r="O5621" s="15" t="s">
        <v>170</v>
      </c>
      <c r="P5621" s="20" t="s">
        <v>995</v>
      </c>
      <c r="Q5621" s="15" t="s">
        <v>83</v>
      </c>
      <c r="R5621" s="4"/>
      <c r="S5621" s="4"/>
    </row>
    <row r="5622" spans="1:19" ht="21" customHeight="1" x14ac:dyDescent="0.25">
      <c r="A5622" s="14">
        <f>DATE(2012,12,31)-333</f>
        <v>40941</v>
      </c>
      <c r="B5622" s="15" t="s">
        <v>932</v>
      </c>
      <c r="C5622" s="15" t="s">
        <v>85</v>
      </c>
      <c r="D5622" s="16">
        <v>48</v>
      </c>
      <c r="E5622" s="17">
        <v>314.33999999999997</v>
      </c>
      <c r="F5622" s="16">
        <v>0.03</v>
      </c>
      <c r="G5622" s="15" t="s">
        <v>32</v>
      </c>
      <c r="H5622" s="18">
        <v>-130.5</v>
      </c>
      <c r="I5622" s="19">
        <v>6.48</v>
      </c>
      <c r="J5622" s="19">
        <v>6.6</v>
      </c>
      <c r="K5622" s="19" t="s">
        <v>124</v>
      </c>
      <c r="L5622" s="19" t="s">
        <v>164</v>
      </c>
      <c r="M5622" s="15" t="s">
        <v>2257</v>
      </c>
      <c r="N5622" s="15" t="s">
        <v>36</v>
      </c>
      <c r="O5622" s="15" t="s">
        <v>117</v>
      </c>
      <c r="P5622" s="20" t="s">
        <v>745</v>
      </c>
      <c r="Q5622" s="15" t="s">
        <v>83</v>
      </c>
      <c r="R5622" s="4"/>
      <c r="S5622" s="4"/>
    </row>
    <row r="5623" spans="1:19" ht="21" customHeight="1" x14ac:dyDescent="0.25">
      <c r="A5623" s="14">
        <f>DATE(2012,12,31)-1362</f>
        <v>39912</v>
      </c>
      <c r="B5623" s="15" t="s">
        <v>305</v>
      </c>
      <c r="C5623" s="15" t="s">
        <v>31</v>
      </c>
      <c r="D5623" s="16">
        <v>43</v>
      </c>
      <c r="E5623" s="17">
        <v>4075.3760000000002</v>
      </c>
      <c r="F5623" s="16">
        <v>0.05</v>
      </c>
      <c r="G5623" s="15" t="s">
        <v>32</v>
      </c>
      <c r="H5623" s="18">
        <v>841.72500000000002</v>
      </c>
      <c r="I5623" s="19">
        <v>115.99</v>
      </c>
      <c r="J5623" s="19">
        <v>8.99</v>
      </c>
      <c r="K5623" s="19" t="s">
        <v>124</v>
      </c>
      <c r="L5623" s="19" t="s">
        <v>168</v>
      </c>
      <c r="M5623" s="15" t="s">
        <v>2244</v>
      </c>
      <c r="N5623" s="15" t="s">
        <v>64</v>
      </c>
      <c r="O5623" s="15" t="s">
        <v>65</v>
      </c>
      <c r="P5623" s="20" t="s">
        <v>2135</v>
      </c>
      <c r="Q5623" s="15" t="s">
        <v>83</v>
      </c>
      <c r="R5623" s="4"/>
      <c r="S5623" s="4"/>
    </row>
    <row r="5624" spans="1:19" ht="21" customHeight="1" x14ac:dyDescent="0.25">
      <c r="A5624" s="14">
        <f>DATE(2012,12,31)-1095</f>
        <v>40179</v>
      </c>
      <c r="B5624" s="15" t="s">
        <v>548</v>
      </c>
      <c r="C5624" s="15" t="s">
        <v>85</v>
      </c>
      <c r="D5624" s="16">
        <v>43</v>
      </c>
      <c r="E5624" s="17">
        <v>294.13</v>
      </c>
      <c r="F5624" s="16">
        <v>0.01</v>
      </c>
      <c r="G5624" s="15" t="s">
        <v>32</v>
      </c>
      <c r="H5624" s="18">
        <v>-123.07</v>
      </c>
      <c r="I5624" s="19">
        <v>6.68</v>
      </c>
      <c r="J5624" s="19">
        <v>6.92</v>
      </c>
      <c r="K5624" s="19" t="s">
        <v>44</v>
      </c>
      <c r="L5624" s="19" t="s">
        <v>80</v>
      </c>
      <c r="M5624" s="15" t="s">
        <v>2179</v>
      </c>
      <c r="N5624" s="15" t="s">
        <v>36</v>
      </c>
      <c r="O5624" s="15" t="s">
        <v>117</v>
      </c>
      <c r="P5624" s="20" t="s">
        <v>878</v>
      </c>
      <c r="Q5624" s="15" t="s">
        <v>83</v>
      </c>
      <c r="R5624" s="4"/>
      <c r="S5624" s="4"/>
    </row>
    <row r="5625" spans="1:19" ht="21" customHeight="1" x14ac:dyDescent="0.25">
      <c r="A5625" s="14">
        <f>DATE(2012,12,31)-743</f>
        <v>40531</v>
      </c>
      <c r="B5625" s="15" t="s">
        <v>1963</v>
      </c>
      <c r="C5625" s="15" t="s">
        <v>85</v>
      </c>
      <c r="D5625" s="16">
        <v>38</v>
      </c>
      <c r="E5625" s="17">
        <v>1554.21</v>
      </c>
      <c r="F5625" s="16">
        <v>0.08</v>
      </c>
      <c r="G5625" s="15" t="s">
        <v>101</v>
      </c>
      <c r="H5625" s="18">
        <v>114.45</v>
      </c>
      <c r="I5625" s="19">
        <v>41.32</v>
      </c>
      <c r="J5625" s="19">
        <v>8.66</v>
      </c>
      <c r="K5625" s="19" t="s">
        <v>124</v>
      </c>
      <c r="L5625" s="19" t="s">
        <v>319</v>
      </c>
      <c r="M5625" s="15" t="s">
        <v>2239</v>
      </c>
      <c r="N5625" s="15" t="s">
        <v>54</v>
      </c>
      <c r="O5625" s="15" t="s">
        <v>55</v>
      </c>
      <c r="P5625" s="20" t="s">
        <v>298</v>
      </c>
      <c r="Q5625" s="15" t="s">
        <v>57</v>
      </c>
      <c r="R5625" s="4"/>
      <c r="S5625" s="4"/>
    </row>
    <row r="5626" spans="1:19" ht="21" customHeight="1" x14ac:dyDescent="0.25">
      <c r="A5626" s="14">
        <f>DATE(2012,12,31)-743</f>
        <v>40531</v>
      </c>
      <c r="B5626" s="15" t="s">
        <v>1963</v>
      </c>
      <c r="C5626" s="15" t="s">
        <v>85</v>
      </c>
      <c r="D5626" s="16">
        <v>22</v>
      </c>
      <c r="E5626" s="17">
        <v>1295.502</v>
      </c>
      <c r="F5626" s="16">
        <v>0.01</v>
      </c>
      <c r="G5626" s="15" t="s">
        <v>101</v>
      </c>
      <c r="H5626" s="18">
        <v>224.85599999999999</v>
      </c>
      <c r="I5626" s="19">
        <v>65.989999999999995</v>
      </c>
      <c r="J5626" s="19">
        <v>3.99</v>
      </c>
      <c r="K5626" s="19" t="s">
        <v>124</v>
      </c>
      <c r="L5626" s="19" t="s">
        <v>319</v>
      </c>
      <c r="M5626" s="15" t="s">
        <v>2239</v>
      </c>
      <c r="N5626" s="15" t="s">
        <v>64</v>
      </c>
      <c r="O5626" s="15" t="s">
        <v>65</v>
      </c>
      <c r="P5626" s="20" t="s">
        <v>689</v>
      </c>
      <c r="Q5626" s="15" t="s">
        <v>83</v>
      </c>
      <c r="R5626" s="4"/>
      <c r="S5626" s="4"/>
    </row>
    <row r="5627" spans="1:19" ht="21" customHeight="1" x14ac:dyDescent="0.25">
      <c r="A5627" s="14">
        <f>DATE(2012,12,31)-1126</f>
        <v>40148</v>
      </c>
      <c r="B5627" s="15" t="s">
        <v>1924</v>
      </c>
      <c r="C5627" s="15" t="s">
        <v>43</v>
      </c>
      <c r="D5627" s="16">
        <v>47</v>
      </c>
      <c r="E5627" s="17">
        <v>4387.24</v>
      </c>
      <c r="F5627" s="16">
        <v>0.09</v>
      </c>
      <c r="G5627" s="15" t="s">
        <v>32</v>
      </c>
      <c r="H5627" s="18">
        <v>-286.47000000000003</v>
      </c>
      <c r="I5627" s="19">
        <v>95.43</v>
      </c>
      <c r="J5627" s="19">
        <v>19.989999999999998</v>
      </c>
      <c r="K5627" s="19" t="s">
        <v>44</v>
      </c>
      <c r="L5627" s="19" t="s">
        <v>52</v>
      </c>
      <c r="M5627" s="15" t="s">
        <v>2240</v>
      </c>
      <c r="N5627" s="15" t="s">
        <v>36</v>
      </c>
      <c r="O5627" s="15" t="s">
        <v>37</v>
      </c>
      <c r="P5627" s="20" t="s">
        <v>379</v>
      </c>
      <c r="Q5627" s="15" t="s">
        <v>83</v>
      </c>
      <c r="R5627" s="4"/>
      <c r="S5627" s="4"/>
    </row>
    <row r="5628" spans="1:19" ht="21" customHeight="1" x14ac:dyDescent="0.25">
      <c r="A5628" s="14">
        <f>DATE(2012,12,31)-1212</f>
        <v>40062</v>
      </c>
      <c r="B5628" s="15" t="s">
        <v>1223</v>
      </c>
      <c r="C5628" s="15" t="s">
        <v>85</v>
      </c>
      <c r="D5628" s="16">
        <v>44</v>
      </c>
      <c r="E5628" s="17">
        <v>447.42</v>
      </c>
      <c r="F5628" s="16">
        <v>0.05</v>
      </c>
      <c r="G5628" s="15" t="s">
        <v>32</v>
      </c>
      <c r="H5628" s="18">
        <v>41.3</v>
      </c>
      <c r="I5628" s="19">
        <v>9.99</v>
      </c>
      <c r="J5628" s="19">
        <v>4.78</v>
      </c>
      <c r="K5628" s="19" t="s">
        <v>44</v>
      </c>
      <c r="L5628" s="19" t="s">
        <v>52</v>
      </c>
      <c r="M5628" s="15" t="s">
        <v>2240</v>
      </c>
      <c r="N5628" s="15" t="s">
        <v>36</v>
      </c>
      <c r="O5628" s="15" t="s">
        <v>117</v>
      </c>
      <c r="P5628" s="20" t="s">
        <v>2118</v>
      </c>
      <c r="Q5628" s="15" t="s">
        <v>83</v>
      </c>
      <c r="R5628" s="4"/>
      <c r="S5628" s="4"/>
    </row>
    <row r="5629" spans="1:19" ht="21" customHeight="1" x14ac:dyDescent="0.25">
      <c r="A5629" s="14">
        <f>DATE(2012,12,31)-1403</f>
        <v>39871</v>
      </c>
      <c r="B5629" s="15" t="s">
        <v>1961</v>
      </c>
      <c r="C5629" s="15" t="s">
        <v>31</v>
      </c>
      <c r="D5629" s="16">
        <v>14</v>
      </c>
      <c r="E5629" s="17">
        <v>71.47</v>
      </c>
      <c r="F5629" s="16">
        <v>0.06</v>
      </c>
      <c r="G5629" s="15" t="s">
        <v>32</v>
      </c>
      <c r="H5629" s="18">
        <v>-62.73</v>
      </c>
      <c r="I5629" s="19">
        <v>4.9800000000000004</v>
      </c>
      <c r="J5629" s="19">
        <v>4.62</v>
      </c>
      <c r="K5629" s="19" t="s">
        <v>44</v>
      </c>
      <c r="L5629" s="19" t="s">
        <v>236</v>
      </c>
      <c r="M5629" s="15" t="s">
        <v>2246</v>
      </c>
      <c r="N5629" s="15" t="s">
        <v>64</v>
      </c>
      <c r="O5629" s="15" t="s">
        <v>72</v>
      </c>
      <c r="P5629" s="20" t="s">
        <v>139</v>
      </c>
      <c r="Q5629" s="15" t="s">
        <v>49</v>
      </c>
      <c r="R5629" s="4"/>
      <c r="S5629" s="4"/>
    </row>
    <row r="5630" spans="1:19" ht="21" customHeight="1" x14ac:dyDescent="0.25">
      <c r="A5630" s="14">
        <f>DATE(2012,12,31)-1403</f>
        <v>39871</v>
      </c>
      <c r="B5630" s="15" t="s">
        <v>1961</v>
      </c>
      <c r="C5630" s="15" t="s">
        <v>31</v>
      </c>
      <c r="D5630" s="16">
        <v>10</v>
      </c>
      <c r="E5630" s="17">
        <v>1372.14</v>
      </c>
      <c r="F5630" s="16">
        <v>0.06</v>
      </c>
      <c r="G5630" s="15" t="s">
        <v>58</v>
      </c>
      <c r="H5630" s="18">
        <v>-340.98</v>
      </c>
      <c r="I5630" s="19">
        <v>130.97999999999999</v>
      </c>
      <c r="J5630" s="19">
        <v>54.74</v>
      </c>
      <c r="K5630" s="19" t="s">
        <v>44</v>
      </c>
      <c r="L5630" s="19" t="s">
        <v>52</v>
      </c>
      <c r="M5630" s="15" t="s">
        <v>2240</v>
      </c>
      <c r="N5630" s="15" t="s">
        <v>54</v>
      </c>
      <c r="O5630" s="15" t="s">
        <v>134</v>
      </c>
      <c r="P5630" s="20" t="s">
        <v>135</v>
      </c>
      <c r="Q5630" s="15" t="s">
        <v>63</v>
      </c>
      <c r="R5630" s="4"/>
      <c r="S5630" s="4"/>
    </row>
    <row r="5631" spans="1:19" ht="21" customHeight="1" x14ac:dyDescent="0.25">
      <c r="A5631" s="14">
        <f>DATE(2012,12,31)-1002</f>
        <v>40272</v>
      </c>
      <c r="B5631" s="15" t="s">
        <v>1342</v>
      </c>
      <c r="C5631" s="15" t="s">
        <v>43</v>
      </c>
      <c r="D5631" s="16">
        <v>29</v>
      </c>
      <c r="E5631" s="17">
        <v>125.41</v>
      </c>
      <c r="F5631" s="16">
        <v>0.08</v>
      </c>
      <c r="G5631" s="15" t="s">
        <v>32</v>
      </c>
      <c r="H5631" s="18">
        <v>-127.006</v>
      </c>
      <c r="I5631" s="19">
        <v>4.38</v>
      </c>
      <c r="J5631" s="19">
        <v>6.21</v>
      </c>
      <c r="K5631" s="19" t="s">
        <v>44</v>
      </c>
      <c r="L5631" s="19" t="s">
        <v>52</v>
      </c>
      <c r="M5631" s="15" t="s">
        <v>2240</v>
      </c>
      <c r="N5631" s="15" t="s">
        <v>36</v>
      </c>
      <c r="O5631" s="15" t="s">
        <v>170</v>
      </c>
      <c r="P5631" s="20" t="s">
        <v>2254</v>
      </c>
      <c r="Q5631" s="15" t="s">
        <v>83</v>
      </c>
      <c r="R5631" s="4"/>
      <c r="S5631" s="4"/>
    </row>
    <row r="5632" spans="1:19" ht="21" customHeight="1" x14ac:dyDescent="0.25">
      <c r="A5632" s="14">
        <f>DATE(2012,12,31)-1002</f>
        <v>40272</v>
      </c>
      <c r="B5632" s="15" t="s">
        <v>1342</v>
      </c>
      <c r="C5632" s="15" t="s">
        <v>43</v>
      </c>
      <c r="D5632" s="16">
        <v>49</v>
      </c>
      <c r="E5632" s="17">
        <v>3170.52</v>
      </c>
      <c r="F5632" s="16">
        <v>0.08</v>
      </c>
      <c r="G5632" s="15" t="s">
        <v>32</v>
      </c>
      <c r="H5632" s="18">
        <v>379.11</v>
      </c>
      <c r="I5632" s="19">
        <v>64.98</v>
      </c>
      <c r="J5632" s="19">
        <v>6.88</v>
      </c>
      <c r="K5632" s="19" t="s">
        <v>44</v>
      </c>
      <c r="L5632" s="19" t="s">
        <v>52</v>
      </c>
      <c r="M5632" s="15" t="s">
        <v>2240</v>
      </c>
      <c r="N5632" s="15" t="s">
        <v>36</v>
      </c>
      <c r="O5632" s="15" t="s">
        <v>37</v>
      </c>
      <c r="P5632" s="20" t="s">
        <v>727</v>
      </c>
      <c r="Q5632" s="15" t="s">
        <v>83</v>
      </c>
      <c r="R5632" s="4"/>
      <c r="S5632" s="4"/>
    </row>
    <row r="5633" spans="1:19" ht="21" customHeight="1" x14ac:dyDescent="0.25">
      <c r="A5633" s="14">
        <f>DATE(2012,12,31)-1002</f>
        <v>40272</v>
      </c>
      <c r="B5633" s="15" t="s">
        <v>1342</v>
      </c>
      <c r="C5633" s="15" t="s">
        <v>43</v>
      </c>
      <c r="D5633" s="16">
        <v>20</v>
      </c>
      <c r="E5633" s="17">
        <v>2488.4769999999999</v>
      </c>
      <c r="F5633" s="16">
        <v>0.08</v>
      </c>
      <c r="G5633" s="15" t="s">
        <v>32</v>
      </c>
      <c r="H5633" s="18">
        <v>142.55099999999999</v>
      </c>
      <c r="I5633" s="19">
        <v>155.99</v>
      </c>
      <c r="J5633" s="19">
        <v>8.99</v>
      </c>
      <c r="K5633" s="19" t="s">
        <v>44</v>
      </c>
      <c r="L5633" s="19" t="s">
        <v>52</v>
      </c>
      <c r="M5633" s="15" t="s">
        <v>2240</v>
      </c>
      <c r="N5633" s="15" t="s">
        <v>64</v>
      </c>
      <c r="O5633" s="15" t="s">
        <v>65</v>
      </c>
      <c r="P5633" s="20" t="s">
        <v>82</v>
      </c>
      <c r="Q5633" s="15" t="s">
        <v>83</v>
      </c>
      <c r="R5633" s="4"/>
      <c r="S5633" s="4"/>
    </row>
    <row r="5634" spans="1:19" ht="21" customHeight="1" x14ac:dyDescent="0.25">
      <c r="A5634" s="14">
        <f>DATE(2012,12,31)-1043</f>
        <v>40231</v>
      </c>
      <c r="B5634" s="15" t="s">
        <v>562</v>
      </c>
      <c r="C5634" s="15" t="s">
        <v>85</v>
      </c>
      <c r="D5634" s="16">
        <v>5</v>
      </c>
      <c r="E5634" s="17">
        <v>16.239999999999998</v>
      </c>
      <c r="F5634" s="16">
        <v>0.01</v>
      </c>
      <c r="G5634" s="15" t="s">
        <v>32</v>
      </c>
      <c r="H5634" s="18">
        <v>0.35000000000000053</v>
      </c>
      <c r="I5634" s="19">
        <v>2.88</v>
      </c>
      <c r="J5634" s="19">
        <v>0.99</v>
      </c>
      <c r="K5634" s="19" t="s">
        <v>44</v>
      </c>
      <c r="L5634" s="19" t="s">
        <v>52</v>
      </c>
      <c r="M5634" s="15" t="s">
        <v>2240</v>
      </c>
      <c r="N5634" s="15" t="s">
        <v>36</v>
      </c>
      <c r="O5634" s="15" t="s">
        <v>114</v>
      </c>
      <c r="P5634" s="20" t="s">
        <v>853</v>
      </c>
      <c r="Q5634" s="15" t="s">
        <v>83</v>
      </c>
      <c r="R5634" s="4"/>
      <c r="S5634" s="4"/>
    </row>
    <row r="5635" spans="1:19" ht="21" customHeight="1" x14ac:dyDescent="0.25">
      <c r="A5635" s="14">
        <f>DATE(2012,12,31)-262</f>
        <v>41012</v>
      </c>
      <c r="B5635" s="15" t="s">
        <v>1266</v>
      </c>
      <c r="C5635" s="15" t="s">
        <v>51</v>
      </c>
      <c r="D5635" s="16">
        <v>43</v>
      </c>
      <c r="E5635" s="17">
        <v>16269.82</v>
      </c>
      <c r="F5635" s="16">
        <v>0.08</v>
      </c>
      <c r="G5635" s="15" t="s">
        <v>32</v>
      </c>
      <c r="H5635" s="18">
        <v>7050.3335000000006</v>
      </c>
      <c r="I5635" s="19">
        <v>387.99</v>
      </c>
      <c r="J5635" s="19">
        <v>19.989999999999998</v>
      </c>
      <c r="K5635" s="19" t="s">
        <v>44</v>
      </c>
      <c r="L5635" s="19" t="s">
        <v>52</v>
      </c>
      <c r="M5635" s="15" t="s">
        <v>2240</v>
      </c>
      <c r="N5635" s="15" t="s">
        <v>36</v>
      </c>
      <c r="O5635" s="15" t="s">
        <v>170</v>
      </c>
      <c r="P5635" s="20" t="s">
        <v>1649</v>
      </c>
      <c r="Q5635" s="15" t="s">
        <v>83</v>
      </c>
      <c r="R5635" s="4"/>
      <c r="S5635" s="4"/>
    </row>
    <row r="5636" spans="1:19" ht="21" customHeight="1" x14ac:dyDescent="0.25">
      <c r="A5636" s="14">
        <f>DATE(2012,12,31)-262</f>
        <v>41012</v>
      </c>
      <c r="B5636" s="15" t="s">
        <v>1266</v>
      </c>
      <c r="C5636" s="15" t="s">
        <v>51</v>
      </c>
      <c r="D5636" s="16">
        <v>46</v>
      </c>
      <c r="E5636" s="17">
        <v>876.59</v>
      </c>
      <c r="F5636" s="16">
        <v>0.05</v>
      </c>
      <c r="G5636" s="15" t="s">
        <v>32</v>
      </c>
      <c r="H5636" s="18">
        <v>233.59699999999998</v>
      </c>
      <c r="I5636" s="19">
        <v>18.989999999999998</v>
      </c>
      <c r="J5636" s="19">
        <v>5.23</v>
      </c>
      <c r="K5636" s="19" t="s">
        <v>44</v>
      </c>
      <c r="L5636" s="19" t="s">
        <v>236</v>
      </c>
      <c r="M5636" s="15" t="s">
        <v>2246</v>
      </c>
      <c r="N5636" s="15" t="s">
        <v>36</v>
      </c>
      <c r="O5636" s="15" t="s">
        <v>170</v>
      </c>
      <c r="P5636" s="20" t="s">
        <v>2009</v>
      </c>
      <c r="Q5636" s="15" t="s">
        <v>83</v>
      </c>
      <c r="R5636" s="4"/>
      <c r="S5636" s="4"/>
    </row>
    <row r="5637" spans="1:19" ht="21" customHeight="1" x14ac:dyDescent="0.25">
      <c r="A5637" s="14">
        <f>DATE(2012,12,31)-262</f>
        <v>41012</v>
      </c>
      <c r="B5637" s="15" t="s">
        <v>1266</v>
      </c>
      <c r="C5637" s="15" t="s">
        <v>51</v>
      </c>
      <c r="D5637" s="16">
        <v>41</v>
      </c>
      <c r="E5637" s="17">
        <v>5000.87</v>
      </c>
      <c r="F5637" s="16">
        <v>0.04</v>
      </c>
      <c r="G5637" s="15" t="s">
        <v>58</v>
      </c>
      <c r="H5637" s="18">
        <v>-593.23</v>
      </c>
      <c r="I5637" s="19">
        <v>124.49</v>
      </c>
      <c r="J5637" s="19">
        <v>51.94</v>
      </c>
      <c r="K5637" s="19" t="s">
        <v>44</v>
      </c>
      <c r="L5637" s="19" t="s">
        <v>52</v>
      </c>
      <c r="M5637" s="15" t="s">
        <v>2240</v>
      </c>
      <c r="N5637" s="15" t="s">
        <v>54</v>
      </c>
      <c r="O5637" s="15" t="s">
        <v>61</v>
      </c>
      <c r="P5637" s="20" t="s">
        <v>220</v>
      </c>
      <c r="Q5637" s="15" t="s">
        <v>63</v>
      </c>
      <c r="R5637" s="4"/>
      <c r="S5637" s="4"/>
    </row>
    <row r="5638" spans="1:19" ht="21" customHeight="1" x14ac:dyDescent="0.25">
      <c r="A5638" s="14">
        <f>DATE(2012,12,31)-137</f>
        <v>41137</v>
      </c>
      <c r="B5638" s="15" t="s">
        <v>1166</v>
      </c>
      <c r="C5638" s="15" t="s">
        <v>85</v>
      </c>
      <c r="D5638" s="16">
        <v>41</v>
      </c>
      <c r="E5638" s="17">
        <v>90.88</v>
      </c>
      <c r="F5638" s="16">
        <v>0.04</v>
      </c>
      <c r="G5638" s="15" t="s">
        <v>32</v>
      </c>
      <c r="H5638" s="18">
        <v>8.06</v>
      </c>
      <c r="I5638" s="19">
        <v>2.1800000000000002</v>
      </c>
      <c r="J5638" s="19">
        <v>0.78</v>
      </c>
      <c r="K5638" s="19" t="s">
        <v>44</v>
      </c>
      <c r="L5638" s="19" t="s">
        <v>52</v>
      </c>
      <c r="M5638" s="15" t="s">
        <v>2240</v>
      </c>
      <c r="N5638" s="15" t="s">
        <v>36</v>
      </c>
      <c r="O5638" s="15" t="s">
        <v>105</v>
      </c>
      <c r="P5638" s="20" t="s">
        <v>1706</v>
      </c>
      <c r="Q5638" s="15" t="s">
        <v>79</v>
      </c>
      <c r="R5638" s="4"/>
      <c r="S5638" s="4"/>
    </row>
    <row r="5639" spans="1:19" ht="21" customHeight="1" x14ac:dyDescent="0.25">
      <c r="A5639" s="14">
        <f>DATE(2012,12,31)-667</f>
        <v>40607</v>
      </c>
      <c r="B5639" s="15" t="s">
        <v>1755</v>
      </c>
      <c r="C5639" s="15" t="s">
        <v>43</v>
      </c>
      <c r="D5639" s="16">
        <v>50</v>
      </c>
      <c r="E5639" s="17">
        <v>7663.74</v>
      </c>
      <c r="F5639" s="16">
        <v>0</v>
      </c>
      <c r="G5639" s="15" t="s">
        <v>58</v>
      </c>
      <c r="H5639" s="18">
        <v>-375.33210000000008</v>
      </c>
      <c r="I5639" s="19">
        <v>150.97999999999999</v>
      </c>
      <c r="J5639" s="19">
        <v>39.25</v>
      </c>
      <c r="K5639" s="19" t="s">
        <v>44</v>
      </c>
      <c r="L5639" s="19" t="s">
        <v>52</v>
      </c>
      <c r="M5639" s="15" t="s">
        <v>2240</v>
      </c>
      <c r="N5639" s="15" t="s">
        <v>54</v>
      </c>
      <c r="O5639" s="15" t="s">
        <v>61</v>
      </c>
      <c r="P5639" s="20" t="s">
        <v>941</v>
      </c>
      <c r="Q5639" s="15" t="s">
        <v>63</v>
      </c>
      <c r="R5639" s="4"/>
      <c r="S5639" s="4"/>
    </row>
    <row r="5640" spans="1:19" ht="21" customHeight="1" x14ac:dyDescent="0.25">
      <c r="A5640" s="14">
        <f>DATE(2012,12,31)-1428</f>
        <v>39846</v>
      </c>
      <c r="B5640" s="15" t="s">
        <v>552</v>
      </c>
      <c r="C5640" s="15" t="s">
        <v>43</v>
      </c>
      <c r="D5640" s="16">
        <v>44</v>
      </c>
      <c r="E5640" s="17">
        <v>363.92</v>
      </c>
      <c r="F5640" s="16">
        <v>0</v>
      </c>
      <c r="G5640" s="15" t="s">
        <v>32</v>
      </c>
      <c r="H5640" s="18">
        <v>-144.56</v>
      </c>
      <c r="I5640" s="19">
        <v>8.09</v>
      </c>
      <c r="J5640" s="19">
        <v>7.96</v>
      </c>
      <c r="K5640" s="19" t="s">
        <v>44</v>
      </c>
      <c r="L5640" s="19" t="s">
        <v>236</v>
      </c>
      <c r="M5640" s="15" t="s">
        <v>2246</v>
      </c>
      <c r="N5640" s="15" t="s">
        <v>54</v>
      </c>
      <c r="O5640" s="15" t="s">
        <v>55</v>
      </c>
      <c r="P5640" s="20" t="s">
        <v>1155</v>
      </c>
      <c r="Q5640" s="15" t="s">
        <v>83</v>
      </c>
      <c r="R5640" s="4"/>
      <c r="S5640" s="4"/>
    </row>
    <row r="5641" spans="1:19" ht="21" customHeight="1" x14ac:dyDescent="0.25">
      <c r="A5641" s="14">
        <f>DATE(2012,12,31)-1385</f>
        <v>39889</v>
      </c>
      <c r="B5641" s="15" t="s">
        <v>498</v>
      </c>
      <c r="C5641" s="15" t="s">
        <v>85</v>
      </c>
      <c r="D5641" s="16">
        <v>25</v>
      </c>
      <c r="E5641" s="17">
        <v>82.21</v>
      </c>
      <c r="F5641" s="16">
        <v>0.04</v>
      </c>
      <c r="G5641" s="15" t="s">
        <v>32</v>
      </c>
      <c r="H5641" s="18">
        <v>15.25</v>
      </c>
      <c r="I5641" s="19">
        <v>3.38</v>
      </c>
      <c r="J5641" s="19">
        <v>1.0900000000000001</v>
      </c>
      <c r="K5641" s="19" t="s">
        <v>44</v>
      </c>
      <c r="L5641" s="19" t="s">
        <v>52</v>
      </c>
      <c r="M5641" s="15" t="s">
        <v>2240</v>
      </c>
      <c r="N5641" s="15" t="s">
        <v>36</v>
      </c>
      <c r="O5641" s="15" t="s">
        <v>117</v>
      </c>
      <c r="P5641" s="20" t="s">
        <v>1979</v>
      </c>
      <c r="Q5641" s="15" t="s">
        <v>79</v>
      </c>
      <c r="R5641" s="4"/>
      <c r="S5641" s="4"/>
    </row>
    <row r="5642" spans="1:19" ht="21" customHeight="1" x14ac:dyDescent="0.25">
      <c r="A5642" s="14">
        <f>DATE(2012,12,31)-855</f>
        <v>40419</v>
      </c>
      <c r="B5642" s="15" t="s">
        <v>1342</v>
      </c>
      <c r="C5642" s="15" t="s">
        <v>31</v>
      </c>
      <c r="D5642" s="16">
        <v>12</v>
      </c>
      <c r="E5642" s="17">
        <v>378.84</v>
      </c>
      <c r="F5642" s="16">
        <v>0.05</v>
      </c>
      <c r="G5642" s="15" t="s">
        <v>32</v>
      </c>
      <c r="H5642" s="18">
        <v>-99.38</v>
      </c>
      <c r="I5642" s="19">
        <v>30.73</v>
      </c>
      <c r="J5642" s="19">
        <v>4</v>
      </c>
      <c r="K5642" s="19" t="s">
        <v>44</v>
      </c>
      <c r="L5642" s="19" t="s">
        <v>52</v>
      </c>
      <c r="M5642" s="15" t="s">
        <v>2240</v>
      </c>
      <c r="N5642" s="15" t="s">
        <v>64</v>
      </c>
      <c r="O5642" s="15" t="s">
        <v>72</v>
      </c>
      <c r="P5642" s="20" t="s">
        <v>971</v>
      </c>
      <c r="Q5642" s="15" t="s">
        <v>83</v>
      </c>
      <c r="R5642" s="4"/>
      <c r="S5642" s="4"/>
    </row>
    <row r="5643" spans="1:19" ht="21" customHeight="1" x14ac:dyDescent="0.25">
      <c r="A5643" s="14">
        <f>DATE(2012,12,31)-1331</f>
        <v>39943</v>
      </c>
      <c r="B5643" s="15" t="s">
        <v>785</v>
      </c>
      <c r="C5643" s="15" t="s">
        <v>31</v>
      </c>
      <c r="D5643" s="16">
        <v>23</v>
      </c>
      <c r="E5643" s="17">
        <v>753.75</v>
      </c>
      <c r="F5643" s="16">
        <v>0.1</v>
      </c>
      <c r="G5643" s="15" t="s">
        <v>32</v>
      </c>
      <c r="H5643" s="18">
        <v>31.17</v>
      </c>
      <c r="I5643" s="19">
        <v>34.99</v>
      </c>
      <c r="J5643" s="19">
        <v>7.73</v>
      </c>
      <c r="K5643" s="19" t="s">
        <v>44</v>
      </c>
      <c r="L5643" s="19" t="s">
        <v>236</v>
      </c>
      <c r="M5643" s="15" t="s">
        <v>2246</v>
      </c>
      <c r="N5643" s="15" t="s">
        <v>36</v>
      </c>
      <c r="O5643" s="15" t="s">
        <v>77</v>
      </c>
      <c r="P5643" s="20" t="s">
        <v>2113</v>
      </c>
      <c r="Q5643" s="15" t="s">
        <v>83</v>
      </c>
      <c r="R5643" s="4"/>
      <c r="S5643" s="4"/>
    </row>
    <row r="5644" spans="1:19" ht="21" customHeight="1" x14ac:dyDescent="0.25">
      <c r="A5644" s="14">
        <f>DATE(2012,12,31)-676</f>
        <v>40598</v>
      </c>
      <c r="B5644" s="15" t="s">
        <v>1839</v>
      </c>
      <c r="C5644" s="15" t="s">
        <v>31</v>
      </c>
      <c r="D5644" s="16">
        <v>50</v>
      </c>
      <c r="E5644" s="17">
        <v>7778.7579999999998</v>
      </c>
      <c r="F5644" s="16">
        <v>0</v>
      </c>
      <c r="G5644" s="15" t="s">
        <v>32</v>
      </c>
      <c r="H5644" s="18">
        <v>2547.297</v>
      </c>
      <c r="I5644" s="19">
        <v>175.99</v>
      </c>
      <c r="J5644" s="19">
        <v>4.99</v>
      </c>
      <c r="K5644" s="19" t="s">
        <v>44</v>
      </c>
      <c r="L5644" s="19" t="s">
        <v>52</v>
      </c>
      <c r="M5644" s="15" t="s">
        <v>2240</v>
      </c>
      <c r="N5644" s="15" t="s">
        <v>64</v>
      </c>
      <c r="O5644" s="15" t="s">
        <v>65</v>
      </c>
      <c r="P5644" s="20" t="s">
        <v>452</v>
      </c>
      <c r="Q5644" s="15" t="s">
        <v>83</v>
      </c>
      <c r="R5644" s="4"/>
      <c r="S5644" s="4"/>
    </row>
    <row r="5645" spans="1:19" ht="21" customHeight="1" x14ac:dyDescent="0.25">
      <c r="A5645" s="14">
        <f>DATE(2012,12,31)-588</f>
        <v>40686</v>
      </c>
      <c r="B5645" s="15" t="s">
        <v>782</v>
      </c>
      <c r="C5645" s="15" t="s">
        <v>85</v>
      </c>
      <c r="D5645" s="16">
        <v>42</v>
      </c>
      <c r="E5645" s="17">
        <v>113.33</v>
      </c>
      <c r="F5645" s="16">
        <v>7.0000000000000007E-2</v>
      </c>
      <c r="G5645" s="15" t="s">
        <v>32</v>
      </c>
      <c r="H5645" s="18">
        <v>-0.40250000000000002</v>
      </c>
      <c r="I5645" s="19">
        <v>2.78</v>
      </c>
      <c r="J5645" s="19">
        <v>1.49</v>
      </c>
      <c r="K5645" s="19" t="s">
        <v>44</v>
      </c>
      <c r="L5645" s="19" t="s">
        <v>52</v>
      </c>
      <c r="M5645" s="15" t="s">
        <v>2240</v>
      </c>
      <c r="N5645" s="15" t="s">
        <v>36</v>
      </c>
      <c r="O5645" s="15" t="s">
        <v>170</v>
      </c>
      <c r="P5645" s="20" t="s">
        <v>1672</v>
      </c>
      <c r="Q5645" s="15" t="s">
        <v>83</v>
      </c>
      <c r="R5645" s="4"/>
      <c r="S5645" s="4"/>
    </row>
    <row r="5646" spans="1:19" ht="21" customHeight="1" x14ac:dyDescent="0.25">
      <c r="A5646" s="14">
        <f>DATE(2012,12,31)-204</f>
        <v>41070</v>
      </c>
      <c r="B5646" s="15" t="s">
        <v>659</v>
      </c>
      <c r="C5646" s="15" t="s">
        <v>51</v>
      </c>
      <c r="D5646" s="16">
        <v>5</v>
      </c>
      <c r="E5646" s="17">
        <v>169.27</v>
      </c>
      <c r="F5646" s="16">
        <v>0.1</v>
      </c>
      <c r="G5646" s="15" t="s">
        <v>32</v>
      </c>
      <c r="H5646" s="18">
        <v>-41.66</v>
      </c>
      <c r="I5646" s="19">
        <v>34.58</v>
      </c>
      <c r="J5646" s="19">
        <v>8.99</v>
      </c>
      <c r="K5646" s="19" t="s">
        <v>44</v>
      </c>
      <c r="L5646" s="19" t="s">
        <v>52</v>
      </c>
      <c r="M5646" s="15" t="s">
        <v>2240</v>
      </c>
      <c r="N5646" s="15" t="s">
        <v>36</v>
      </c>
      <c r="O5646" s="15" t="s">
        <v>77</v>
      </c>
      <c r="P5646" s="20" t="s">
        <v>241</v>
      </c>
      <c r="Q5646" s="15" t="s">
        <v>49</v>
      </c>
      <c r="R5646" s="4"/>
      <c r="S5646" s="4"/>
    </row>
    <row r="5647" spans="1:19" ht="21" customHeight="1" x14ac:dyDescent="0.25">
      <c r="A5647" s="14">
        <f>DATE(2012,12,31)-207</f>
        <v>41067</v>
      </c>
      <c r="B5647" s="15" t="s">
        <v>491</v>
      </c>
      <c r="C5647" s="15" t="s">
        <v>51</v>
      </c>
      <c r="D5647" s="16">
        <v>16</v>
      </c>
      <c r="E5647" s="17">
        <v>28.65</v>
      </c>
      <c r="F5647" s="16">
        <v>0.02</v>
      </c>
      <c r="G5647" s="15" t="s">
        <v>32</v>
      </c>
      <c r="H5647" s="18">
        <v>-23.86</v>
      </c>
      <c r="I5647" s="19">
        <v>1.7</v>
      </c>
      <c r="J5647" s="19">
        <v>1.99</v>
      </c>
      <c r="K5647" s="19" t="s">
        <v>44</v>
      </c>
      <c r="L5647" s="19" t="s">
        <v>52</v>
      </c>
      <c r="M5647" s="15" t="s">
        <v>2240</v>
      </c>
      <c r="N5647" s="15" t="s">
        <v>64</v>
      </c>
      <c r="O5647" s="15" t="s">
        <v>72</v>
      </c>
      <c r="P5647" s="20" t="s">
        <v>1852</v>
      </c>
      <c r="Q5647" s="15" t="s">
        <v>49</v>
      </c>
      <c r="R5647" s="4"/>
      <c r="S5647" s="4"/>
    </row>
    <row r="5648" spans="1:19" ht="21" customHeight="1" x14ac:dyDescent="0.25">
      <c r="A5648" s="14">
        <f>DATE(2012,12,31)-207</f>
        <v>41067</v>
      </c>
      <c r="B5648" s="15" t="s">
        <v>491</v>
      </c>
      <c r="C5648" s="15" t="s">
        <v>51</v>
      </c>
      <c r="D5648" s="16">
        <v>12</v>
      </c>
      <c r="E5648" s="17">
        <v>201.535</v>
      </c>
      <c r="F5648" s="16">
        <v>0.09</v>
      </c>
      <c r="G5648" s="15" t="s">
        <v>32</v>
      </c>
      <c r="H5648" s="18">
        <v>-122.617</v>
      </c>
      <c r="I5648" s="19">
        <v>20.99</v>
      </c>
      <c r="J5648" s="19">
        <v>3.3</v>
      </c>
      <c r="K5648" s="19" t="s">
        <v>44</v>
      </c>
      <c r="L5648" s="19" t="s">
        <v>52</v>
      </c>
      <c r="M5648" s="15" t="s">
        <v>2240</v>
      </c>
      <c r="N5648" s="15" t="s">
        <v>64</v>
      </c>
      <c r="O5648" s="15" t="s">
        <v>65</v>
      </c>
      <c r="P5648" s="20" t="s">
        <v>769</v>
      </c>
      <c r="Q5648" s="15" t="s">
        <v>49</v>
      </c>
      <c r="R5648" s="4"/>
      <c r="S5648" s="4"/>
    </row>
    <row r="5649" spans="1:19" ht="21" customHeight="1" x14ac:dyDescent="0.25">
      <c r="A5649" s="14">
        <f>DATE(2012,12,31)-97</f>
        <v>41177</v>
      </c>
      <c r="B5649" s="15" t="s">
        <v>270</v>
      </c>
      <c r="C5649" s="15" t="s">
        <v>43</v>
      </c>
      <c r="D5649" s="16">
        <v>35</v>
      </c>
      <c r="E5649" s="17">
        <v>224.58</v>
      </c>
      <c r="F5649" s="16">
        <v>0.03</v>
      </c>
      <c r="G5649" s="15" t="s">
        <v>32</v>
      </c>
      <c r="H5649" s="18">
        <v>108.49</v>
      </c>
      <c r="I5649" s="19">
        <v>6.3</v>
      </c>
      <c r="J5649" s="19">
        <v>0.5</v>
      </c>
      <c r="K5649" s="19" t="s">
        <v>44</v>
      </c>
      <c r="L5649" s="19" t="s">
        <v>52</v>
      </c>
      <c r="M5649" s="15" t="s">
        <v>2240</v>
      </c>
      <c r="N5649" s="15" t="s">
        <v>36</v>
      </c>
      <c r="O5649" s="15" t="s">
        <v>114</v>
      </c>
      <c r="P5649" s="20" t="s">
        <v>703</v>
      </c>
      <c r="Q5649" s="15" t="s">
        <v>83</v>
      </c>
      <c r="R5649" s="4"/>
      <c r="S5649" s="4"/>
    </row>
    <row r="5650" spans="1:19" ht="21" customHeight="1" x14ac:dyDescent="0.25">
      <c r="A5650" s="14">
        <f>DATE(2012,12,31)-97</f>
        <v>41177</v>
      </c>
      <c r="B5650" s="15" t="s">
        <v>270</v>
      </c>
      <c r="C5650" s="15" t="s">
        <v>43</v>
      </c>
      <c r="D5650" s="16">
        <v>36</v>
      </c>
      <c r="E5650" s="17">
        <v>138.59</v>
      </c>
      <c r="F5650" s="16">
        <v>0.01</v>
      </c>
      <c r="G5650" s="15" t="s">
        <v>32</v>
      </c>
      <c r="H5650" s="18">
        <v>62.73</v>
      </c>
      <c r="I5650" s="19">
        <v>3.69</v>
      </c>
      <c r="J5650" s="19">
        <v>0.5</v>
      </c>
      <c r="K5650" s="19" t="s">
        <v>44</v>
      </c>
      <c r="L5650" s="19" t="s">
        <v>52</v>
      </c>
      <c r="M5650" s="15" t="s">
        <v>2240</v>
      </c>
      <c r="N5650" s="15" t="s">
        <v>36</v>
      </c>
      <c r="O5650" s="15" t="s">
        <v>114</v>
      </c>
      <c r="P5650" s="20" t="s">
        <v>224</v>
      </c>
      <c r="Q5650" s="15" t="s">
        <v>83</v>
      </c>
      <c r="R5650" s="4"/>
      <c r="S5650" s="4"/>
    </row>
    <row r="5651" spans="1:19" ht="21" customHeight="1" x14ac:dyDescent="0.25">
      <c r="A5651" s="14">
        <f>DATE(2012,12,31)-97</f>
        <v>41177</v>
      </c>
      <c r="B5651" s="15" t="s">
        <v>270</v>
      </c>
      <c r="C5651" s="15" t="s">
        <v>43</v>
      </c>
      <c r="D5651" s="16">
        <v>19</v>
      </c>
      <c r="E5651" s="17">
        <v>97.06</v>
      </c>
      <c r="F5651" s="16">
        <v>0.05</v>
      </c>
      <c r="G5651" s="15" t="s">
        <v>32</v>
      </c>
      <c r="H5651" s="18">
        <v>-7.36</v>
      </c>
      <c r="I5651" s="19">
        <v>5.0599999999999996</v>
      </c>
      <c r="J5651" s="19">
        <v>2.99</v>
      </c>
      <c r="K5651" s="19" t="s">
        <v>44</v>
      </c>
      <c r="L5651" s="19" t="s">
        <v>52</v>
      </c>
      <c r="M5651" s="15" t="s">
        <v>2240</v>
      </c>
      <c r="N5651" s="15" t="s">
        <v>36</v>
      </c>
      <c r="O5651" s="15" t="s">
        <v>170</v>
      </c>
      <c r="P5651" s="20" t="s">
        <v>2263</v>
      </c>
      <c r="Q5651" s="15" t="s">
        <v>83</v>
      </c>
      <c r="R5651" s="4"/>
      <c r="S5651" s="4"/>
    </row>
    <row r="5652" spans="1:19" ht="21" customHeight="1" x14ac:dyDescent="0.25">
      <c r="A5652" s="14">
        <f>DATE(2012,12,31)-676</f>
        <v>40598</v>
      </c>
      <c r="B5652" s="15" t="s">
        <v>2264</v>
      </c>
      <c r="C5652" s="15" t="s">
        <v>85</v>
      </c>
      <c r="D5652" s="16">
        <v>46</v>
      </c>
      <c r="E5652" s="17">
        <v>1736.53</v>
      </c>
      <c r="F5652" s="16">
        <v>0.1</v>
      </c>
      <c r="G5652" s="15" t="s">
        <v>32</v>
      </c>
      <c r="H5652" s="18">
        <v>457.03</v>
      </c>
      <c r="I5652" s="19">
        <v>39.479999999999997</v>
      </c>
      <c r="J5652" s="19">
        <v>3.99</v>
      </c>
      <c r="K5652" s="19" t="s">
        <v>44</v>
      </c>
      <c r="L5652" s="19" t="s">
        <v>52</v>
      </c>
      <c r="M5652" s="15" t="s">
        <v>2240</v>
      </c>
      <c r="N5652" s="15" t="s">
        <v>36</v>
      </c>
      <c r="O5652" s="15" t="s">
        <v>176</v>
      </c>
      <c r="P5652" s="20" t="s">
        <v>1634</v>
      </c>
      <c r="Q5652" s="15" t="s">
        <v>83</v>
      </c>
      <c r="R5652" s="4"/>
      <c r="S5652" s="4"/>
    </row>
    <row r="5653" spans="1:19" ht="21" customHeight="1" x14ac:dyDescent="0.25">
      <c r="A5653" s="14">
        <f>DATE(2012,12,31)-890</f>
        <v>40384</v>
      </c>
      <c r="B5653" s="15" t="s">
        <v>1258</v>
      </c>
      <c r="C5653" s="15" t="s">
        <v>51</v>
      </c>
      <c r="D5653" s="16">
        <v>20</v>
      </c>
      <c r="E5653" s="17">
        <v>873.82</v>
      </c>
      <c r="F5653" s="16">
        <v>0.1</v>
      </c>
      <c r="G5653" s="15" t="s">
        <v>32</v>
      </c>
      <c r="H5653" s="18">
        <v>244.45</v>
      </c>
      <c r="I5653" s="19">
        <v>45.98</v>
      </c>
      <c r="J5653" s="19">
        <v>4.8</v>
      </c>
      <c r="K5653" s="19" t="s">
        <v>44</v>
      </c>
      <c r="L5653" s="19" t="s">
        <v>52</v>
      </c>
      <c r="M5653" s="15" t="s">
        <v>2240</v>
      </c>
      <c r="N5653" s="15" t="s">
        <v>54</v>
      </c>
      <c r="O5653" s="15" t="s">
        <v>55</v>
      </c>
      <c r="P5653" s="20" t="s">
        <v>1296</v>
      </c>
      <c r="Q5653" s="15" t="s">
        <v>79</v>
      </c>
      <c r="R5653" s="4"/>
      <c r="S5653" s="4"/>
    </row>
    <row r="5654" spans="1:19" ht="21" customHeight="1" x14ac:dyDescent="0.25">
      <c r="A5654" s="14">
        <f>DATE(2012,12,31)-890</f>
        <v>40384</v>
      </c>
      <c r="B5654" s="15" t="s">
        <v>1258</v>
      </c>
      <c r="C5654" s="15" t="s">
        <v>51</v>
      </c>
      <c r="D5654" s="16">
        <v>9</v>
      </c>
      <c r="E5654" s="17">
        <v>130.43</v>
      </c>
      <c r="F5654" s="16">
        <v>0.03</v>
      </c>
      <c r="G5654" s="15" t="s">
        <v>32</v>
      </c>
      <c r="H5654" s="18">
        <v>-8.6999999999999993</v>
      </c>
      <c r="I5654" s="19">
        <v>13.48</v>
      </c>
      <c r="J5654" s="19">
        <v>4.51</v>
      </c>
      <c r="K5654" s="19" t="s">
        <v>44</v>
      </c>
      <c r="L5654" s="19" t="s">
        <v>52</v>
      </c>
      <c r="M5654" s="15" t="s">
        <v>2240</v>
      </c>
      <c r="N5654" s="15" t="s">
        <v>36</v>
      </c>
      <c r="O5654" s="15" t="s">
        <v>37</v>
      </c>
      <c r="P5654" s="20" t="s">
        <v>515</v>
      </c>
      <c r="Q5654" s="15" t="s">
        <v>83</v>
      </c>
      <c r="R5654" s="4"/>
      <c r="S5654" s="4"/>
    </row>
    <row r="5655" spans="1:19" ht="21" customHeight="1" x14ac:dyDescent="0.25">
      <c r="A5655" s="14">
        <f>DATE(2012,12,31)-1295</f>
        <v>39979</v>
      </c>
      <c r="B5655" s="15" t="s">
        <v>1152</v>
      </c>
      <c r="C5655" s="15" t="s">
        <v>43</v>
      </c>
      <c r="D5655" s="16">
        <v>35</v>
      </c>
      <c r="E5655" s="17">
        <v>157.99</v>
      </c>
      <c r="F5655" s="16">
        <v>0.03</v>
      </c>
      <c r="G5655" s="15" t="s">
        <v>32</v>
      </c>
      <c r="H5655" s="18">
        <v>-105.547</v>
      </c>
      <c r="I5655" s="19">
        <v>4.24</v>
      </c>
      <c r="J5655" s="19">
        <v>5.41</v>
      </c>
      <c r="K5655" s="19" t="s">
        <v>44</v>
      </c>
      <c r="L5655" s="19" t="s">
        <v>52</v>
      </c>
      <c r="M5655" s="15" t="s">
        <v>2240</v>
      </c>
      <c r="N5655" s="15" t="s">
        <v>36</v>
      </c>
      <c r="O5655" s="15" t="s">
        <v>170</v>
      </c>
      <c r="P5655" s="20" t="s">
        <v>415</v>
      </c>
      <c r="Q5655" s="15" t="s">
        <v>83</v>
      </c>
      <c r="R5655" s="4"/>
      <c r="S5655" s="4"/>
    </row>
    <row r="5656" spans="1:19" ht="21" customHeight="1" x14ac:dyDescent="0.25">
      <c r="A5656" s="14">
        <f>DATE(2012,12,31)-1295</f>
        <v>39979</v>
      </c>
      <c r="B5656" s="15" t="s">
        <v>1152</v>
      </c>
      <c r="C5656" s="15" t="s">
        <v>43</v>
      </c>
      <c r="D5656" s="16">
        <v>48</v>
      </c>
      <c r="E5656" s="17">
        <v>141.59</v>
      </c>
      <c r="F5656" s="16">
        <v>0.04</v>
      </c>
      <c r="G5656" s="15" t="s">
        <v>32</v>
      </c>
      <c r="H5656" s="18">
        <v>20.260000000000002</v>
      </c>
      <c r="I5656" s="19">
        <v>2.94</v>
      </c>
      <c r="J5656" s="19">
        <v>0.7</v>
      </c>
      <c r="K5656" s="19" t="s">
        <v>33</v>
      </c>
      <c r="L5656" s="19" t="s">
        <v>59</v>
      </c>
      <c r="M5656" s="15" t="s">
        <v>2227</v>
      </c>
      <c r="N5656" s="15" t="s">
        <v>36</v>
      </c>
      <c r="O5656" s="15" t="s">
        <v>77</v>
      </c>
      <c r="P5656" s="20" t="s">
        <v>987</v>
      </c>
      <c r="Q5656" s="15" t="s">
        <v>79</v>
      </c>
      <c r="R5656" s="4"/>
      <c r="S5656" s="4"/>
    </row>
    <row r="5657" spans="1:19" ht="21" customHeight="1" x14ac:dyDescent="0.25">
      <c r="A5657" s="14">
        <f>DATE(2012,12,31)-123</f>
        <v>41151</v>
      </c>
      <c r="B5657" s="15" t="s">
        <v>1456</v>
      </c>
      <c r="C5657" s="15" t="s">
        <v>43</v>
      </c>
      <c r="D5657" s="16">
        <v>45</v>
      </c>
      <c r="E5657" s="17">
        <v>188.77</v>
      </c>
      <c r="F5657" s="16">
        <v>0.02</v>
      </c>
      <c r="G5657" s="15" t="s">
        <v>32</v>
      </c>
      <c r="H5657" s="18">
        <v>21.93</v>
      </c>
      <c r="I5657" s="19">
        <v>4.13</v>
      </c>
      <c r="J5657" s="19">
        <v>1.17</v>
      </c>
      <c r="K5657" s="19" t="s">
        <v>44</v>
      </c>
      <c r="L5657" s="19" t="s">
        <v>89</v>
      </c>
      <c r="M5657" s="15" t="s">
        <v>1932</v>
      </c>
      <c r="N5657" s="15" t="s">
        <v>36</v>
      </c>
      <c r="O5657" s="15" t="s">
        <v>77</v>
      </c>
      <c r="P5657" s="20" t="s">
        <v>1802</v>
      </c>
      <c r="Q5657" s="15" t="s">
        <v>79</v>
      </c>
      <c r="R5657" s="4"/>
      <c r="S5657" s="4"/>
    </row>
    <row r="5658" spans="1:19" ht="21" customHeight="1" x14ac:dyDescent="0.25">
      <c r="A5658" s="14">
        <f>DATE(2012,12,31)-31</f>
        <v>41243</v>
      </c>
      <c r="B5658" s="15" t="s">
        <v>1680</v>
      </c>
      <c r="C5658" s="15" t="s">
        <v>31</v>
      </c>
      <c r="D5658" s="16">
        <v>9</v>
      </c>
      <c r="E5658" s="17">
        <v>23300.12</v>
      </c>
      <c r="F5658" s="16">
        <v>0.06</v>
      </c>
      <c r="G5658" s="15" t="s">
        <v>58</v>
      </c>
      <c r="H5658" s="18">
        <v>-217.46519999999845</v>
      </c>
      <c r="I5658" s="19">
        <v>2550.14</v>
      </c>
      <c r="J5658" s="19">
        <v>29.7</v>
      </c>
      <c r="K5658" s="19" t="s">
        <v>124</v>
      </c>
      <c r="L5658" s="19" t="s">
        <v>160</v>
      </c>
      <c r="M5658" s="15" t="s">
        <v>2181</v>
      </c>
      <c r="N5658" s="15" t="s">
        <v>64</v>
      </c>
      <c r="O5658" s="15" t="s">
        <v>122</v>
      </c>
      <c r="P5658" s="20" t="s">
        <v>731</v>
      </c>
      <c r="Q5658" s="15" t="s">
        <v>181</v>
      </c>
      <c r="R5658" s="4"/>
      <c r="S5658" s="4"/>
    </row>
    <row r="5659" spans="1:19" ht="21" customHeight="1" x14ac:dyDescent="0.25">
      <c r="A5659" s="14">
        <f>DATE(2012,12,31)-662</f>
        <v>40612</v>
      </c>
      <c r="B5659" s="15" t="s">
        <v>725</v>
      </c>
      <c r="C5659" s="15" t="s">
        <v>85</v>
      </c>
      <c r="D5659" s="16">
        <v>47</v>
      </c>
      <c r="E5659" s="17">
        <v>603.69000000000005</v>
      </c>
      <c r="F5659" s="16">
        <v>0</v>
      </c>
      <c r="G5659" s="15" t="s">
        <v>101</v>
      </c>
      <c r="H5659" s="18">
        <v>131.38999999999999</v>
      </c>
      <c r="I5659" s="19">
        <v>12.28</v>
      </c>
      <c r="J5659" s="19">
        <v>4.8600000000000003</v>
      </c>
      <c r="K5659" s="19" t="s">
        <v>33</v>
      </c>
      <c r="L5659" s="19" t="s">
        <v>59</v>
      </c>
      <c r="M5659" s="15" t="s">
        <v>2227</v>
      </c>
      <c r="N5659" s="15" t="s">
        <v>36</v>
      </c>
      <c r="O5659" s="15" t="s">
        <v>117</v>
      </c>
      <c r="P5659" s="20" t="s">
        <v>2123</v>
      </c>
      <c r="Q5659" s="15" t="s">
        <v>83</v>
      </c>
      <c r="R5659" s="4"/>
      <c r="S5659" s="4"/>
    </row>
    <row r="5660" spans="1:19" ht="21" customHeight="1" x14ac:dyDescent="0.25">
      <c r="A5660" s="14">
        <f>DATE(2012,12,31)-938</f>
        <v>40336</v>
      </c>
      <c r="B5660" s="15" t="s">
        <v>1990</v>
      </c>
      <c r="C5660" s="15" t="s">
        <v>43</v>
      </c>
      <c r="D5660" s="16">
        <v>10</v>
      </c>
      <c r="E5660" s="17">
        <v>568.33550000000002</v>
      </c>
      <c r="F5660" s="16">
        <v>0.02</v>
      </c>
      <c r="G5660" s="15" t="s">
        <v>32</v>
      </c>
      <c r="H5660" s="18">
        <v>-147.35599999999999</v>
      </c>
      <c r="I5660" s="19">
        <v>65.989999999999995</v>
      </c>
      <c r="J5660" s="19">
        <v>8.99</v>
      </c>
      <c r="K5660" s="19" t="s">
        <v>69</v>
      </c>
      <c r="L5660" s="19" t="s">
        <v>70</v>
      </c>
      <c r="M5660" s="15" t="s">
        <v>2230</v>
      </c>
      <c r="N5660" s="15" t="s">
        <v>64</v>
      </c>
      <c r="O5660" s="15" t="s">
        <v>65</v>
      </c>
      <c r="P5660" s="20" t="s">
        <v>1234</v>
      </c>
      <c r="Q5660" s="15" t="s">
        <v>83</v>
      </c>
      <c r="R5660" s="4"/>
      <c r="S5660" s="4"/>
    </row>
    <row r="5661" spans="1:19" ht="21" customHeight="1" x14ac:dyDescent="0.25">
      <c r="A5661" s="14">
        <f>DATE(2012,12,31)-318</f>
        <v>40956</v>
      </c>
      <c r="B5661" s="15" t="s">
        <v>1421</v>
      </c>
      <c r="C5661" s="15" t="s">
        <v>51</v>
      </c>
      <c r="D5661" s="16">
        <v>49</v>
      </c>
      <c r="E5661" s="17">
        <v>21141.07</v>
      </c>
      <c r="F5661" s="16">
        <v>0.06</v>
      </c>
      <c r="G5661" s="15" t="s">
        <v>32</v>
      </c>
      <c r="H5661" s="18">
        <v>6225.36</v>
      </c>
      <c r="I5661" s="19">
        <v>449.99</v>
      </c>
      <c r="J5661" s="19">
        <v>24.49</v>
      </c>
      <c r="K5661" s="19" t="s">
        <v>69</v>
      </c>
      <c r="L5661" s="19" t="s">
        <v>70</v>
      </c>
      <c r="M5661" s="15" t="s">
        <v>2230</v>
      </c>
      <c r="N5661" s="15" t="s">
        <v>64</v>
      </c>
      <c r="O5661" s="15" t="s">
        <v>460</v>
      </c>
      <c r="P5661" s="20" t="s">
        <v>511</v>
      </c>
      <c r="Q5661" s="15" t="s">
        <v>39</v>
      </c>
      <c r="R5661" s="4"/>
      <c r="S5661" s="4"/>
    </row>
    <row r="5662" spans="1:19" ht="21" customHeight="1" x14ac:dyDescent="0.25">
      <c r="A5662" s="14">
        <f>DATE(2012,12,31)-318</f>
        <v>40956</v>
      </c>
      <c r="B5662" s="15" t="s">
        <v>1421</v>
      </c>
      <c r="C5662" s="15" t="s">
        <v>51</v>
      </c>
      <c r="D5662" s="16">
        <v>4</v>
      </c>
      <c r="E5662" s="17">
        <v>76.865499999999997</v>
      </c>
      <c r="F5662" s="16">
        <v>0.04</v>
      </c>
      <c r="G5662" s="15" t="s">
        <v>101</v>
      </c>
      <c r="H5662" s="18">
        <v>-54.505000000000003</v>
      </c>
      <c r="I5662" s="19">
        <v>20.99</v>
      </c>
      <c r="J5662" s="19">
        <v>0.99</v>
      </c>
      <c r="K5662" s="19" t="s">
        <v>69</v>
      </c>
      <c r="L5662" s="19" t="s">
        <v>75</v>
      </c>
      <c r="M5662" s="15" t="s">
        <v>2231</v>
      </c>
      <c r="N5662" s="15" t="s">
        <v>64</v>
      </c>
      <c r="O5662" s="15" t="s">
        <v>65</v>
      </c>
      <c r="P5662" s="20" t="s">
        <v>1101</v>
      </c>
      <c r="Q5662" s="15" t="s">
        <v>79</v>
      </c>
      <c r="R5662" s="4"/>
      <c r="S5662" s="4"/>
    </row>
    <row r="5663" spans="1:19" ht="21" customHeight="1" x14ac:dyDescent="0.25">
      <c r="A5663" s="14">
        <f>DATE(2012,12,31)-318</f>
        <v>40956</v>
      </c>
      <c r="B5663" s="15" t="s">
        <v>655</v>
      </c>
      <c r="C5663" s="15" t="s">
        <v>31</v>
      </c>
      <c r="D5663" s="16">
        <v>38</v>
      </c>
      <c r="E5663" s="17">
        <v>2157.3085000000001</v>
      </c>
      <c r="F5663" s="16">
        <v>0</v>
      </c>
      <c r="G5663" s="15" t="s">
        <v>32</v>
      </c>
      <c r="H5663" s="18">
        <v>519.24600000000009</v>
      </c>
      <c r="I5663" s="19">
        <v>65.989999999999995</v>
      </c>
      <c r="J5663" s="19">
        <v>5.31</v>
      </c>
      <c r="K5663" s="19" t="s">
        <v>44</v>
      </c>
      <c r="L5663" s="19" t="s">
        <v>45</v>
      </c>
      <c r="M5663" s="15" t="s">
        <v>2236</v>
      </c>
      <c r="N5663" s="15" t="s">
        <v>64</v>
      </c>
      <c r="O5663" s="15" t="s">
        <v>65</v>
      </c>
      <c r="P5663" s="20" t="s">
        <v>1376</v>
      </c>
      <c r="Q5663" s="15" t="s">
        <v>83</v>
      </c>
      <c r="R5663" s="4"/>
      <c r="S5663" s="4"/>
    </row>
    <row r="5664" spans="1:19" ht="21" customHeight="1" x14ac:dyDescent="0.25">
      <c r="A5664" s="14">
        <f>DATE(2012,12,31)-986</f>
        <v>40288</v>
      </c>
      <c r="B5664" s="15" t="s">
        <v>1342</v>
      </c>
      <c r="C5664" s="15" t="s">
        <v>31</v>
      </c>
      <c r="D5664" s="16">
        <v>1</v>
      </c>
      <c r="E5664" s="17">
        <v>200.38</v>
      </c>
      <c r="F5664" s="16">
        <v>0.02</v>
      </c>
      <c r="G5664" s="15" t="s">
        <v>58</v>
      </c>
      <c r="H5664" s="18">
        <v>-90.41</v>
      </c>
      <c r="I5664" s="19">
        <v>160.97999999999999</v>
      </c>
      <c r="J5664" s="19">
        <v>30</v>
      </c>
      <c r="K5664" s="19" t="s">
        <v>33</v>
      </c>
      <c r="L5664" s="19" t="s">
        <v>93</v>
      </c>
      <c r="M5664" s="15" t="s">
        <v>94</v>
      </c>
      <c r="N5664" s="15" t="s">
        <v>54</v>
      </c>
      <c r="O5664" s="15" t="s">
        <v>252</v>
      </c>
      <c r="P5664" s="20" t="s">
        <v>726</v>
      </c>
      <c r="Q5664" s="15" t="s">
        <v>181</v>
      </c>
      <c r="R5664" s="4"/>
      <c r="S5664" s="4"/>
    </row>
    <row r="5665" spans="1:19" ht="21" customHeight="1" x14ac:dyDescent="0.25">
      <c r="A5665" s="14">
        <f>DATE(2012,12,31)-986</f>
        <v>40288</v>
      </c>
      <c r="B5665" s="15" t="s">
        <v>1342</v>
      </c>
      <c r="C5665" s="15" t="s">
        <v>31</v>
      </c>
      <c r="D5665" s="16">
        <v>2</v>
      </c>
      <c r="E5665" s="17">
        <v>128.52000000000001</v>
      </c>
      <c r="F5665" s="16">
        <v>0.1</v>
      </c>
      <c r="G5665" s="15" t="s">
        <v>32</v>
      </c>
      <c r="H5665" s="18">
        <v>-110.07</v>
      </c>
      <c r="I5665" s="19">
        <v>64.98</v>
      </c>
      <c r="J5665" s="19">
        <v>6.88</v>
      </c>
      <c r="K5665" s="19" t="s">
        <v>124</v>
      </c>
      <c r="L5665" s="19" t="s">
        <v>493</v>
      </c>
      <c r="M5665" s="15" t="s">
        <v>2259</v>
      </c>
      <c r="N5665" s="15" t="s">
        <v>36</v>
      </c>
      <c r="O5665" s="15" t="s">
        <v>37</v>
      </c>
      <c r="P5665" s="20" t="s">
        <v>727</v>
      </c>
      <c r="Q5665" s="15" t="s">
        <v>83</v>
      </c>
      <c r="R5665" s="4"/>
      <c r="S5665" s="4"/>
    </row>
    <row r="5666" spans="1:19" ht="21" customHeight="1" x14ac:dyDescent="0.25">
      <c r="A5666" s="14">
        <f>DATE(2012,12,31)-986</f>
        <v>40288</v>
      </c>
      <c r="B5666" s="15" t="s">
        <v>1342</v>
      </c>
      <c r="C5666" s="15" t="s">
        <v>31</v>
      </c>
      <c r="D5666" s="16">
        <v>24</v>
      </c>
      <c r="E5666" s="17">
        <v>6717.7839999999997</v>
      </c>
      <c r="F5666" s="16">
        <v>0</v>
      </c>
      <c r="G5666" s="15" t="s">
        <v>58</v>
      </c>
      <c r="H5666" s="18">
        <v>1903.1</v>
      </c>
      <c r="I5666" s="19">
        <v>348.21</v>
      </c>
      <c r="J5666" s="19">
        <v>40.19</v>
      </c>
      <c r="K5666" s="19" t="s">
        <v>124</v>
      </c>
      <c r="L5666" s="19" t="s">
        <v>160</v>
      </c>
      <c r="M5666" s="15" t="s">
        <v>2181</v>
      </c>
      <c r="N5666" s="15" t="s">
        <v>54</v>
      </c>
      <c r="O5666" s="15" t="s">
        <v>61</v>
      </c>
      <c r="P5666" s="20" t="s">
        <v>1141</v>
      </c>
      <c r="Q5666" s="15" t="s">
        <v>63</v>
      </c>
      <c r="R5666" s="4"/>
      <c r="S5666" s="4"/>
    </row>
    <row r="5667" spans="1:19" ht="21" customHeight="1" x14ac:dyDescent="0.25">
      <c r="A5667" s="14">
        <f>DATE(2012,12,31)-1452</f>
        <v>39822</v>
      </c>
      <c r="B5667" s="15" t="s">
        <v>331</v>
      </c>
      <c r="C5667" s="15" t="s">
        <v>31</v>
      </c>
      <c r="D5667" s="16">
        <v>47</v>
      </c>
      <c r="E5667" s="17">
        <v>117.88</v>
      </c>
      <c r="F5667" s="16">
        <v>0.1</v>
      </c>
      <c r="G5667" s="15" t="s">
        <v>32</v>
      </c>
      <c r="H5667" s="18">
        <v>-71</v>
      </c>
      <c r="I5667" s="19">
        <v>2.6</v>
      </c>
      <c r="J5667" s="19">
        <v>2.4</v>
      </c>
      <c r="K5667" s="19" t="s">
        <v>124</v>
      </c>
      <c r="L5667" s="19" t="s">
        <v>125</v>
      </c>
      <c r="M5667" s="15" t="s">
        <v>2265</v>
      </c>
      <c r="N5667" s="15" t="s">
        <v>36</v>
      </c>
      <c r="O5667" s="15" t="s">
        <v>77</v>
      </c>
      <c r="P5667" s="20" t="s">
        <v>1783</v>
      </c>
      <c r="Q5667" s="15" t="s">
        <v>79</v>
      </c>
      <c r="R5667" s="4"/>
      <c r="S5667" s="4"/>
    </row>
    <row r="5668" spans="1:19" ht="21" customHeight="1" x14ac:dyDescent="0.25">
      <c r="A5668" s="14">
        <f>DATE(2012,12,31)-330</f>
        <v>40944</v>
      </c>
      <c r="B5668" s="15" t="s">
        <v>1483</v>
      </c>
      <c r="C5668" s="15" t="s">
        <v>31</v>
      </c>
      <c r="D5668" s="16">
        <v>46</v>
      </c>
      <c r="E5668" s="17">
        <v>557.35</v>
      </c>
      <c r="F5668" s="16">
        <v>0</v>
      </c>
      <c r="G5668" s="15" t="s">
        <v>32</v>
      </c>
      <c r="H5668" s="18">
        <v>-9.1884999999999994</v>
      </c>
      <c r="I5668" s="19">
        <v>11.5</v>
      </c>
      <c r="J5668" s="19">
        <v>7.19</v>
      </c>
      <c r="K5668" s="19" t="s">
        <v>124</v>
      </c>
      <c r="L5668" s="19" t="s">
        <v>319</v>
      </c>
      <c r="M5668" s="15" t="s">
        <v>2239</v>
      </c>
      <c r="N5668" s="15" t="s">
        <v>36</v>
      </c>
      <c r="O5668" s="15" t="s">
        <v>170</v>
      </c>
      <c r="P5668" s="20" t="s">
        <v>596</v>
      </c>
      <c r="Q5668" s="15" t="s">
        <v>83</v>
      </c>
      <c r="R5668" s="4"/>
      <c r="S5668" s="4"/>
    </row>
    <row r="5669" spans="1:19" ht="21" customHeight="1" x14ac:dyDescent="0.25">
      <c r="A5669" s="14">
        <f>DATE(2012,12,31)-330</f>
        <v>40944</v>
      </c>
      <c r="B5669" s="15" t="s">
        <v>1483</v>
      </c>
      <c r="C5669" s="15" t="s">
        <v>31</v>
      </c>
      <c r="D5669" s="16">
        <v>50</v>
      </c>
      <c r="E5669" s="17">
        <v>490.87</v>
      </c>
      <c r="F5669" s="16">
        <v>0</v>
      </c>
      <c r="G5669" s="15" t="s">
        <v>32</v>
      </c>
      <c r="H5669" s="18">
        <v>190.93</v>
      </c>
      <c r="I5669" s="19">
        <v>9.68</v>
      </c>
      <c r="J5669" s="19">
        <v>2.0299999999999998</v>
      </c>
      <c r="K5669" s="19" t="s">
        <v>44</v>
      </c>
      <c r="L5669" s="19" t="s">
        <v>52</v>
      </c>
      <c r="M5669" s="15" t="s">
        <v>2240</v>
      </c>
      <c r="N5669" s="15" t="s">
        <v>36</v>
      </c>
      <c r="O5669" s="15" t="s">
        <v>117</v>
      </c>
      <c r="P5669" s="20" t="s">
        <v>1060</v>
      </c>
      <c r="Q5669" s="15" t="s">
        <v>79</v>
      </c>
      <c r="R5669" s="4"/>
      <c r="S5669" s="4"/>
    </row>
    <row r="5670" spans="1:19" ht="21" customHeight="1" x14ac:dyDescent="0.25">
      <c r="A5670" s="14">
        <f>DATE(2012,12,31)-331</f>
        <v>40943</v>
      </c>
      <c r="B5670" s="15" t="s">
        <v>789</v>
      </c>
      <c r="C5670" s="15" t="s">
        <v>31</v>
      </c>
      <c r="D5670" s="16">
        <v>47</v>
      </c>
      <c r="E5670" s="17">
        <v>1001.17</v>
      </c>
      <c r="F5670" s="16">
        <v>0</v>
      </c>
      <c r="G5670" s="15" t="s">
        <v>32</v>
      </c>
      <c r="H5670" s="18">
        <v>333.18</v>
      </c>
      <c r="I5670" s="19">
        <v>19.98</v>
      </c>
      <c r="J5670" s="19">
        <v>5.77</v>
      </c>
      <c r="K5670" s="19" t="s">
        <v>33</v>
      </c>
      <c r="L5670" s="19" t="s">
        <v>128</v>
      </c>
      <c r="M5670" s="15" t="s">
        <v>129</v>
      </c>
      <c r="N5670" s="15" t="s">
        <v>36</v>
      </c>
      <c r="O5670" s="15" t="s">
        <v>117</v>
      </c>
      <c r="P5670" s="20" t="s">
        <v>1535</v>
      </c>
      <c r="Q5670" s="15" t="s">
        <v>83</v>
      </c>
      <c r="R5670" s="4"/>
      <c r="S5670" s="4"/>
    </row>
    <row r="5671" spans="1:19" ht="21" customHeight="1" x14ac:dyDescent="0.25">
      <c r="A5671" s="14">
        <f>DATE(2012,12,31)-1430</f>
        <v>39844</v>
      </c>
      <c r="B5671" s="15" t="s">
        <v>1781</v>
      </c>
      <c r="C5671" s="15" t="s">
        <v>31</v>
      </c>
      <c r="D5671" s="16">
        <v>46</v>
      </c>
      <c r="E5671" s="17">
        <v>2188.06</v>
      </c>
      <c r="F5671" s="16">
        <v>0.1</v>
      </c>
      <c r="G5671" s="15" t="s">
        <v>101</v>
      </c>
      <c r="H5671" s="18">
        <v>33.770000000000003</v>
      </c>
      <c r="I5671" s="19">
        <v>49.99</v>
      </c>
      <c r="J5671" s="19">
        <v>19.989999999999998</v>
      </c>
      <c r="K5671" s="19" t="s">
        <v>69</v>
      </c>
      <c r="L5671" s="19" t="s">
        <v>215</v>
      </c>
      <c r="M5671" s="15" t="s">
        <v>2197</v>
      </c>
      <c r="N5671" s="15" t="s">
        <v>64</v>
      </c>
      <c r="O5671" s="15" t="s">
        <v>72</v>
      </c>
      <c r="P5671" s="20" t="s">
        <v>1263</v>
      </c>
      <c r="Q5671" s="15" t="s">
        <v>83</v>
      </c>
      <c r="R5671" s="4"/>
      <c r="S5671" s="4"/>
    </row>
    <row r="5672" spans="1:19" ht="21" customHeight="1" x14ac:dyDescent="0.25">
      <c r="A5672" s="14">
        <f>DATE(2012,12,31)-697</f>
        <v>40577</v>
      </c>
      <c r="B5672" s="15" t="s">
        <v>330</v>
      </c>
      <c r="C5672" s="15" t="s">
        <v>85</v>
      </c>
      <c r="D5672" s="16">
        <v>46</v>
      </c>
      <c r="E5672" s="17">
        <v>412.37</v>
      </c>
      <c r="F5672" s="16">
        <v>0.06</v>
      </c>
      <c r="G5672" s="15" t="s">
        <v>101</v>
      </c>
      <c r="H5672" s="18">
        <v>2.71</v>
      </c>
      <c r="I5672" s="19">
        <v>8.67</v>
      </c>
      <c r="J5672" s="19">
        <v>3.5</v>
      </c>
      <c r="K5672" s="19" t="s">
        <v>33</v>
      </c>
      <c r="L5672" s="19" t="s">
        <v>34</v>
      </c>
      <c r="M5672" s="15" t="s">
        <v>2043</v>
      </c>
      <c r="N5672" s="15" t="s">
        <v>36</v>
      </c>
      <c r="O5672" s="15" t="s">
        <v>176</v>
      </c>
      <c r="P5672" s="20" t="s">
        <v>841</v>
      </c>
      <c r="Q5672" s="15" t="s">
        <v>83</v>
      </c>
      <c r="R5672" s="4"/>
      <c r="S5672" s="4"/>
    </row>
    <row r="5673" spans="1:19" ht="21" customHeight="1" x14ac:dyDescent="0.25">
      <c r="A5673" s="14">
        <f>DATE(2012,12,31)-829</f>
        <v>40445</v>
      </c>
      <c r="B5673" s="15" t="s">
        <v>1926</v>
      </c>
      <c r="C5673" s="15" t="s">
        <v>43</v>
      </c>
      <c r="D5673" s="16">
        <v>7</v>
      </c>
      <c r="E5673" s="17">
        <v>353.02</v>
      </c>
      <c r="F5673" s="16">
        <v>0</v>
      </c>
      <c r="G5673" s="15" t="s">
        <v>32</v>
      </c>
      <c r="H5673" s="18">
        <v>72.55</v>
      </c>
      <c r="I5673" s="19">
        <v>46.89</v>
      </c>
      <c r="J5673" s="19">
        <v>5.0999999999999996</v>
      </c>
      <c r="K5673" s="19" t="s">
        <v>69</v>
      </c>
      <c r="L5673" s="19" t="s">
        <v>70</v>
      </c>
      <c r="M5673" s="15" t="s">
        <v>2230</v>
      </c>
      <c r="N5673" s="15" t="s">
        <v>36</v>
      </c>
      <c r="O5673" s="15" t="s">
        <v>176</v>
      </c>
      <c r="P5673" s="20" t="s">
        <v>1451</v>
      </c>
      <c r="Q5673" s="15" t="s">
        <v>57</v>
      </c>
      <c r="R5673" s="4"/>
      <c r="S5673" s="4"/>
    </row>
    <row r="5674" spans="1:19" ht="21" customHeight="1" x14ac:dyDescent="0.25">
      <c r="A5674" s="14">
        <f>DATE(2012,12,31)-1421</f>
        <v>39853</v>
      </c>
      <c r="B5674" s="15" t="s">
        <v>1043</v>
      </c>
      <c r="C5674" s="15" t="s">
        <v>31</v>
      </c>
      <c r="D5674" s="16">
        <v>43</v>
      </c>
      <c r="E5674" s="17">
        <v>10318.719999999999</v>
      </c>
      <c r="F5674" s="16">
        <v>0.01</v>
      </c>
      <c r="G5674" s="15" t="s">
        <v>58</v>
      </c>
      <c r="H5674" s="18">
        <v>1445.36</v>
      </c>
      <c r="I5674" s="19">
        <v>240.98</v>
      </c>
      <c r="J5674" s="19">
        <v>60.2</v>
      </c>
      <c r="K5674" s="19" t="s">
        <v>44</v>
      </c>
      <c r="L5674" s="19" t="s">
        <v>120</v>
      </c>
      <c r="M5674" s="15" t="s">
        <v>2262</v>
      </c>
      <c r="N5674" s="15" t="s">
        <v>54</v>
      </c>
      <c r="O5674" s="15" t="s">
        <v>134</v>
      </c>
      <c r="P5674" s="20" t="s">
        <v>1552</v>
      </c>
      <c r="Q5674" s="15" t="s">
        <v>63</v>
      </c>
      <c r="R5674" s="4"/>
      <c r="S5674" s="4"/>
    </row>
    <row r="5675" spans="1:19" ht="21" customHeight="1" x14ac:dyDescent="0.25">
      <c r="A5675" s="14">
        <f>DATE(2012,12,31)-243</f>
        <v>41031</v>
      </c>
      <c r="B5675" s="15" t="s">
        <v>555</v>
      </c>
      <c r="C5675" s="15" t="s">
        <v>31</v>
      </c>
      <c r="D5675" s="16">
        <v>24</v>
      </c>
      <c r="E5675" s="17">
        <v>222.43</v>
      </c>
      <c r="F5675" s="16">
        <v>0.06</v>
      </c>
      <c r="G5675" s="15" t="s">
        <v>32</v>
      </c>
      <c r="H5675" s="18">
        <v>-119.31</v>
      </c>
      <c r="I5675" s="19">
        <v>9.06</v>
      </c>
      <c r="J5675" s="19">
        <v>9.86</v>
      </c>
      <c r="K5675" s="19" t="s">
        <v>124</v>
      </c>
      <c r="L5675" s="19" t="s">
        <v>160</v>
      </c>
      <c r="M5675" s="15" t="s">
        <v>2181</v>
      </c>
      <c r="N5675" s="15" t="s">
        <v>36</v>
      </c>
      <c r="O5675" s="15" t="s">
        <v>117</v>
      </c>
      <c r="P5675" s="20" t="s">
        <v>1976</v>
      </c>
      <c r="Q5675" s="15" t="s">
        <v>83</v>
      </c>
      <c r="R5675" s="4"/>
      <c r="S5675" s="4"/>
    </row>
    <row r="5676" spans="1:19" ht="21" customHeight="1" x14ac:dyDescent="0.25">
      <c r="A5676" s="14">
        <f>DATE(2012,12,31)-312</f>
        <v>40962</v>
      </c>
      <c r="B5676" s="15" t="s">
        <v>1639</v>
      </c>
      <c r="C5676" s="15" t="s">
        <v>31</v>
      </c>
      <c r="D5676" s="16">
        <v>26</v>
      </c>
      <c r="E5676" s="17">
        <v>1363</v>
      </c>
      <c r="F5676" s="16">
        <v>0.04</v>
      </c>
      <c r="G5676" s="15" t="s">
        <v>58</v>
      </c>
      <c r="H5676" s="18">
        <v>149.83000000000001</v>
      </c>
      <c r="I5676" s="19">
        <v>50.98</v>
      </c>
      <c r="J5676" s="19">
        <v>14.19</v>
      </c>
      <c r="K5676" s="19" t="s">
        <v>124</v>
      </c>
      <c r="L5676" s="19" t="s">
        <v>160</v>
      </c>
      <c r="M5676" s="15" t="s">
        <v>2181</v>
      </c>
      <c r="N5676" s="15" t="s">
        <v>54</v>
      </c>
      <c r="O5676" s="15" t="s">
        <v>252</v>
      </c>
      <c r="P5676" s="20" t="s">
        <v>1117</v>
      </c>
      <c r="Q5676" s="15" t="s">
        <v>181</v>
      </c>
      <c r="R5676" s="4"/>
      <c r="S5676" s="4"/>
    </row>
    <row r="5677" spans="1:19" ht="21" customHeight="1" x14ac:dyDescent="0.25">
      <c r="A5677" s="14">
        <f>DATE(2012,12,31)-312</f>
        <v>40962</v>
      </c>
      <c r="B5677" s="15" t="s">
        <v>1639</v>
      </c>
      <c r="C5677" s="15" t="s">
        <v>31</v>
      </c>
      <c r="D5677" s="16">
        <v>36</v>
      </c>
      <c r="E5677" s="17">
        <v>4698.5</v>
      </c>
      <c r="F5677" s="16">
        <v>0.04</v>
      </c>
      <c r="G5677" s="15" t="s">
        <v>58</v>
      </c>
      <c r="H5677" s="18">
        <v>-219.375</v>
      </c>
      <c r="I5677" s="19">
        <v>124.49</v>
      </c>
      <c r="J5677" s="19">
        <v>51.94</v>
      </c>
      <c r="K5677" s="19" t="s">
        <v>124</v>
      </c>
      <c r="L5677" s="19" t="s">
        <v>168</v>
      </c>
      <c r="M5677" s="15" t="s">
        <v>2244</v>
      </c>
      <c r="N5677" s="15" t="s">
        <v>54</v>
      </c>
      <c r="O5677" s="15" t="s">
        <v>61</v>
      </c>
      <c r="P5677" s="20" t="s">
        <v>220</v>
      </c>
      <c r="Q5677" s="15" t="s">
        <v>63</v>
      </c>
      <c r="R5677" s="4"/>
      <c r="S5677" s="4"/>
    </row>
    <row r="5678" spans="1:19" ht="21" customHeight="1" x14ac:dyDescent="0.25">
      <c r="A5678" s="14">
        <f>DATE(2012,12,31)-312</f>
        <v>40962</v>
      </c>
      <c r="B5678" s="15" t="s">
        <v>1639</v>
      </c>
      <c r="C5678" s="15" t="s">
        <v>31</v>
      </c>
      <c r="D5678" s="16">
        <v>16</v>
      </c>
      <c r="E5678" s="17">
        <v>347.47</v>
      </c>
      <c r="F5678" s="16">
        <v>0.09</v>
      </c>
      <c r="G5678" s="15" t="s">
        <v>32</v>
      </c>
      <c r="H5678" s="18">
        <v>-86.203999999999994</v>
      </c>
      <c r="I5678" s="19">
        <v>22.38</v>
      </c>
      <c r="J5678" s="19">
        <v>15.1</v>
      </c>
      <c r="K5678" s="19" t="s">
        <v>124</v>
      </c>
      <c r="L5678" s="19" t="s">
        <v>158</v>
      </c>
      <c r="M5678" s="15" t="s">
        <v>158</v>
      </c>
      <c r="N5678" s="15" t="s">
        <v>36</v>
      </c>
      <c r="O5678" s="15" t="s">
        <v>170</v>
      </c>
      <c r="P5678" s="20" t="s">
        <v>893</v>
      </c>
      <c r="Q5678" s="15" t="s">
        <v>83</v>
      </c>
      <c r="R5678" s="4"/>
      <c r="S5678" s="4"/>
    </row>
    <row r="5679" spans="1:19" ht="21" customHeight="1" x14ac:dyDescent="0.25">
      <c r="A5679" s="14">
        <f>DATE(2012,12,31)-449</f>
        <v>40825</v>
      </c>
      <c r="B5679" s="15" t="s">
        <v>1054</v>
      </c>
      <c r="C5679" s="15" t="s">
        <v>31</v>
      </c>
      <c r="D5679" s="16">
        <v>10</v>
      </c>
      <c r="E5679" s="17">
        <v>109.37</v>
      </c>
      <c r="F5679" s="16">
        <v>0.1</v>
      </c>
      <c r="G5679" s="15" t="s">
        <v>32</v>
      </c>
      <c r="H5679" s="18">
        <v>-21.66</v>
      </c>
      <c r="I5679" s="19">
        <v>10.89</v>
      </c>
      <c r="J5679" s="19">
        <v>4.5</v>
      </c>
      <c r="K5679" s="19" t="s">
        <v>33</v>
      </c>
      <c r="L5679" s="19" t="s">
        <v>145</v>
      </c>
      <c r="M5679" s="15" t="s">
        <v>2248</v>
      </c>
      <c r="N5679" s="15" t="s">
        <v>36</v>
      </c>
      <c r="O5679" s="15" t="s">
        <v>176</v>
      </c>
      <c r="P5679" s="20" t="s">
        <v>250</v>
      </c>
      <c r="Q5679" s="15" t="s">
        <v>83</v>
      </c>
      <c r="R5679" s="4"/>
      <c r="S5679" s="4"/>
    </row>
    <row r="5680" spans="1:19" ht="21" customHeight="1" x14ac:dyDescent="0.25">
      <c r="A5680" s="14">
        <f>DATE(2012,12,31)-449</f>
        <v>40825</v>
      </c>
      <c r="B5680" s="15" t="s">
        <v>1054</v>
      </c>
      <c r="C5680" s="15" t="s">
        <v>31</v>
      </c>
      <c r="D5680" s="16">
        <v>43</v>
      </c>
      <c r="E5680" s="17">
        <v>1461.1</v>
      </c>
      <c r="F5680" s="16">
        <v>0.01</v>
      </c>
      <c r="G5680" s="15" t="s">
        <v>32</v>
      </c>
      <c r="H5680" s="18">
        <v>674.46</v>
      </c>
      <c r="I5680" s="19">
        <v>31.78</v>
      </c>
      <c r="J5680" s="19">
        <v>1.99</v>
      </c>
      <c r="K5680" s="19" t="s">
        <v>69</v>
      </c>
      <c r="L5680" s="19" t="s">
        <v>70</v>
      </c>
      <c r="M5680" s="15" t="s">
        <v>2230</v>
      </c>
      <c r="N5680" s="15" t="s">
        <v>64</v>
      </c>
      <c r="O5680" s="15" t="s">
        <v>72</v>
      </c>
      <c r="P5680" s="20" t="s">
        <v>421</v>
      </c>
      <c r="Q5680" s="15" t="s">
        <v>49</v>
      </c>
      <c r="R5680" s="4"/>
      <c r="S5680" s="4"/>
    </row>
    <row r="5681" spans="1:19" ht="21" customHeight="1" x14ac:dyDescent="0.25">
      <c r="A5681" s="14">
        <f>DATE(2012,12,31)-449</f>
        <v>40825</v>
      </c>
      <c r="B5681" s="15" t="s">
        <v>1054</v>
      </c>
      <c r="C5681" s="15" t="s">
        <v>31</v>
      </c>
      <c r="D5681" s="16">
        <v>1</v>
      </c>
      <c r="E5681" s="17">
        <v>9.75</v>
      </c>
      <c r="F5681" s="16">
        <v>0</v>
      </c>
      <c r="G5681" s="15" t="s">
        <v>32</v>
      </c>
      <c r="H5681" s="18">
        <v>-6.72</v>
      </c>
      <c r="I5681" s="19">
        <v>4.9800000000000004</v>
      </c>
      <c r="J5681" s="19">
        <v>4.72</v>
      </c>
      <c r="K5681" s="19" t="s">
        <v>69</v>
      </c>
      <c r="L5681" s="19" t="s">
        <v>75</v>
      </c>
      <c r="M5681" s="15" t="s">
        <v>2231</v>
      </c>
      <c r="N5681" s="15" t="s">
        <v>36</v>
      </c>
      <c r="O5681" s="15" t="s">
        <v>117</v>
      </c>
      <c r="P5681" s="20" t="s">
        <v>308</v>
      </c>
      <c r="Q5681" s="15" t="s">
        <v>83</v>
      </c>
      <c r="R5681" s="4"/>
      <c r="S5681" s="4"/>
    </row>
    <row r="5682" spans="1:19" ht="21" customHeight="1" x14ac:dyDescent="0.25">
      <c r="A5682" s="14">
        <f>DATE(2012,12,31)-1173</f>
        <v>40101</v>
      </c>
      <c r="B5682" s="15" t="s">
        <v>704</v>
      </c>
      <c r="C5682" s="15" t="s">
        <v>85</v>
      </c>
      <c r="D5682" s="16">
        <v>23</v>
      </c>
      <c r="E5682" s="17">
        <v>1404.22</v>
      </c>
      <c r="F5682" s="16">
        <v>0.1</v>
      </c>
      <c r="G5682" s="15" t="s">
        <v>32</v>
      </c>
      <c r="H5682" s="18">
        <v>202.87</v>
      </c>
      <c r="I5682" s="19">
        <v>63.94</v>
      </c>
      <c r="J5682" s="19">
        <v>14.48</v>
      </c>
      <c r="K5682" s="19" t="s">
        <v>111</v>
      </c>
      <c r="L5682" s="19" t="s">
        <v>112</v>
      </c>
      <c r="M5682" s="15" t="s">
        <v>2198</v>
      </c>
      <c r="N5682" s="15" t="s">
        <v>54</v>
      </c>
      <c r="O5682" s="15" t="s">
        <v>55</v>
      </c>
      <c r="P5682" s="20" t="s">
        <v>1787</v>
      </c>
      <c r="Q5682" s="15" t="s">
        <v>83</v>
      </c>
      <c r="R5682" s="4"/>
      <c r="S5682" s="4"/>
    </row>
    <row r="5683" spans="1:19" ht="21" customHeight="1" x14ac:dyDescent="0.25">
      <c r="A5683" s="14">
        <f>DATE(2012,12,31)-1072</f>
        <v>40202</v>
      </c>
      <c r="B5683" s="15" t="s">
        <v>151</v>
      </c>
      <c r="C5683" s="15" t="s">
        <v>85</v>
      </c>
      <c r="D5683" s="16">
        <v>28</v>
      </c>
      <c r="E5683" s="17">
        <v>1581.23</v>
      </c>
      <c r="F5683" s="16">
        <v>0.03</v>
      </c>
      <c r="G5683" s="15" t="s">
        <v>32</v>
      </c>
      <c r="H5683" s="18">
        <v>760.79</v>
      </c>
      <c r="I5683" s="19">
        <v>55.98</v>
      </c>
      <c r="J5683" s="19">
        <v>5.15</v>
      </c>
      <c r="K5683" s="19" t="s">
        <v>44</v>
      </c>
      <c r="L5683" s="19" t="s">
        <v>89</v>
      </c>
      <c r="M5683" s="15" t="s">
        <v>1932</v>
      </c>
      <c r="N5683" s="15" t="s">
        <v>36</v>
      </c>
      <c r="O5683" s="15" t="s">
        <v>117</v>
      </c>
      <c r="P5683" s="20" t="s">
        <v>1650</v>
      </c>
      <c r="Q5683" s="15" t="s">
        <v>83</v>
      </c>
      <c r="R5683" s="4"/>
      <c r="S5683" s="4"/>
    </row>
    <row r="5684" spans="1:19" ht="21" customHeight="1" x14ac:dyDescent="0.25">
      <c r="A5684" s="14">
        <f>DATE(2012,12,31)-996</f>
        <v>40278</v>
      </c>
      <c r="B5684" s="15" t="s">
        <v>1199</v>
      </c>
      <c r="C5684" s="15" t="s">
        <v>43</v>
      </c>
      <c r="D5684" s="16">
        <v>8</v>
      </c>
      <c r="E5684" s="17">
        <v>184.07</v>
      </c>
      <c r="F5684" s="16">
        <v>0.04</v>
      </c>
      <c r="G5684" s="15" t="s">
        <v>32</v>
      </c>
      <c r="H5684" s="18">
        <v>75.63</v>
      </c>
      <c r="I5684" s="19">
        <v>22.98</v>
      </c>
      <c r="J5684" s="19">
        <v>7.58</v>
      </c>
      <c r="K5684" s="19" t="s">
        <v>44</v>
      </c>
      <c r="L5684" s="19" t="s">
        <v>45</v>
      </c>
      <c r="M5684" s="15" t="s">
        <v>2236</v>
      </c>
      <c r="N5684" s="15" t="s">
        <v>54</v>
      </c>
      <c r="O5684" s="15" t="s">
        <v>55</v>
      </c>
      <c r="P5684" s="20" t="s">
        <v>579</v>
      </c>
      <c r="Q5684" s="15" t="s">
        <v>83</v>
      </c>
      <c r="R5684" s="4"/>
      <c r="S5684" s="4"/>
    </row>
    <row r="5685" spans="1:19" ht="21" customHeight="1" x14ac:dyDescent="0.25">
      <c r="A5685" s="14">
        <f>DATE(2012,12,31)-670</f>
        <v>40604</v>
      </c>
      <c r="B5685" s="15" t="s">
        <v>762</v>
      </c>
      <c r="C5685" s="15" t="s">
        <v>51</v>
      </c>
      <c r="D5685" s="16">
        <v>50</v>
      </c>
      <c r="E5685" s="17">
        <v>421.36</v>
      </c>
      <c r="F5685" s="16">
        <v>7.0000000000000007E-2</v>
      </c>
      <c r="G5685" s="15" t="s">
        <v>32</v>
      </c>
      <c r="H5685" s="18">
        <v>-75.17</v>
      </c>
      <c r="I5685" s="19">
        <v>8.6199999999999992</v>
      </c>
      <c r="J5685" s="19">
        <v>4.5</v>
      </c>
      <c r="K5685" s="19" t="s">
        <v>44</v>
      </c>
      <c r="L5685" s="19" t="s">
        <v>45</v>
      </c>
      <c r="M5685" s="15" t="s">
        <v>2236</v>
      </c>
      <c r="N5685" s="15" t="s">
        <v>36</v>
      </c>
      <c r="O5685" s="15" t="s">
        <v>176</v>
      </c>
      <c r="P5685" s="20" t="s">
        <v>1358</v>
      </c>
      <c r="Q5685" s="15" t="s">
        <v>83</v>
      </c>
      <c r="R5685" s="4"/>
      <c r="S5685" s="4"/>
    </row>
    <row r="5686" spans="1:19" ht="21" customHeight="1" x14ac:dyDescent="0.25">
      <c r="A5686" s="14">
        <f>DATE(2012,12,31)-120</f>
        <v>41154</v>
      </c>
      <c r="B5686" s="15" t="s">
        <v>144</v>
      </c>
      <c r="C5686" s="15" t="s">
        <v>51</v>
      </c>
      <c r="D5686" s="16">
        <v>34</v>
      </c>
      <c r="E5686" s="17">
        <v>3130.2015000000001</v>
      </c>
      <c r="F5686" s="16">
        <v>7.0000000000000007E-2</v>
      </c>
      <c r="G5686" s="15" t="s">
        <v>101</v>
      </c>
      <c r="H5686" s="18">
        <v>692.77499999999998</v>
      </c>
      <c r="I5686" s="19">
        <v>115.99</v>
      </c>
      <c r="J5686" s="19">
        <v>2.5</v>
      </c>
      <c r="K5686" s="19" t="s">
        <v>33</v>
      </c>
      <c r="L5686" s="19" t="s">
        <v>145</v>
      </c>
      <c r="M5686" s="15" t="s">
        <v>2248</v>
      </c>
      <c r="N5686" s="15" t="s">
        <v>64</v>
      </c>
      <c r="O5686" s="15" t="s">
        <v>65</v>
      </c>
      <c r="P5686" s="20" t="s">
        <v>2071</v>
      </c>
      <c r="Q5686" s="15" t="s">
        <v>83</v>
      </c>
      <c r="R5686" s="4"/>
      <c r="S5686" s="4"/>
    </row>
    <row r="5687" spans="1:19" ht="21" customHeight="1" x14ac:dyDescent="0.25">
      <c r="A5687" s="14">
        <f>DATE(2012,12,31)-817</f>
        <v>40457</v>
      </c>
      <c r="B5687" s="15" t="s">
        <v>468</v>
      </c>
      <c r="C5687" s="15" t="s">
        <v>43</v>
      </c>
      <c r="D5687" s="16">
        <v>30</v>
      </c>
      <c r="E5687" s="17">
        <v>4506.8500000000004</v>
      </c>
      <c r="F5687" s="16">
        <v>0.1</v>
      </c>
      <c r="G5687" s="15" t="s">
        <v>58</v>
      </c>
      <c r="H5687" s="18">
        <v>290.66000000000003</v>
      </c>
      <c r="I5687" s="19">
        <v>160.97999999999999</v>
      </c>
      <c r="J5687" s="19">
        <v>30</v>
      </c>
      <c r="K5687" s="19" t="s">
        <v>33</v>
      </c>
      <c r="L5687" s="19" t="s">
        <v>59</v>
      </c>
      <c r="M5687" s="15" t="s">
        <v>2227</v>
      </c>
      <c r="N5687" s="15" t="s">
        <v>54</v>
      </c>
      <c r="O5687" s="15" t="s">
        <v>252</v>
      </c>
      <c r="P5687" s="20" t="s">
        <v>726</v>
      </c>
      <c r="Q5687" s="15" t="s">
        <v>181</v>
      </c>
      <c r="R5687" s="4"/>
      <c r="S5687" s="4"/>
    </row>
    <row r="5688" spans="1:19" ht="21" customHeight="1" x14ac:dyDescent="0.25">
      <c r="A5688" s="14">
        <f>DATE(2012,12,31)-817</f>
        <v>40457</v>
      </c>
      <c r="B5688" s="15" t="s">
        <v>468</v>
      </c>
      <c r="C5688" s="15" t="s">
        <v>43</v>
      </c>
      <c r="D5688" s="16">
        <v>16</v>
      </c>
      <c r="E5688" s="17">
        <v>2110.37</v>
      </c>
      <c r="F5688" s="16">
        <v>0</v>
      </c>
      <c r="G5688" s="15" t="s">
        <v>58</v>
      </c>
      <c r="H5688" s="18">
        <v>-14.415900000000001</v>
      </c>
      <c r="I5688" s="19">
        <v>119.99</v>
      </c>
      <c r="J5688" s="19">
        <v>56.14</v>
      </c>
      <c r="K5688" s="19" t="s">
        <v>33</v>
      </c>
      <c r="L5688" s="19" t="s">
        <v>145</v>
      </c>
      <c r="M5688" s="15" t="s">
        <v>2248</v>
      </c>
      <c r="N5688" s="15" t="s">
        <v>64</v>
      </c>
      <c r="O5688" s="15" t="s">
        <v>122</v>
      </c>
      <c r="P5688" s="20" t="s">
        <v>1542</v>
      </c>
      <c r="Q5688" s="15" t="s">
        <v>63</v>
      </c>
      <c r="R5688" s="4"/>
      <c r="S5688" s="4"/>
    </row>
    <row r="5689" spans="1:19" ht="21" customHeight="1" x14ac:dyDescent="0.25">
      <c r="A5689" s="14">
        <f>DATE(2012,12,31)-817</f>
        <v>40457</v>
      </c>
      <c r="B5689" s="15" t="s">
        <v>468</v>
      </c>
      <c r="C5689" s="15" t="s">
        <v>43</v>
      </c>
      <c r="D5689" s="16">
        <v>34</v>
      </c>
      <c r="E5689" s="17">
        <v>1094.9105</v>
      </c>
      <c r="F5689" s="16">
        <v>0.02</v>
      </c>
      <c r="G5689" s="15" t="s">
        <v>32</v>
      </c>
      <c r="H5689" s="18">
        <v>-112.123</v>
      </c>
      <c r="I5689" s="19">
        <v>35.99</v>
      </c>
      <c r="J5689" s="19">
        <v>5</v>
      </c>
      <c r="K5689" s="19" t="s">
        <v>33</v>
      </c>
      <c r="L5689" s="19" t="s">
        <v>59</v>
      </c>
      <c r="M5689" s="15" t="s">
        <v>2227</v>
      </c>
      <c r="N5689" s="15" t="s">
        <v>64</v>
      </c>
      <c r="O5689" s="15" t="s">
        <v>65</v>
      </c>
      <c r="P5689" s="20" t="s">
        <v>1745</v>
      </c>
      <c r="Q5689" s="15" t="s">
        <v>83</v>
      </c>
      <c r="R5689" s="4"/>
      <c r="S5689" s="4"/>
    </row>
    <row r="5690" spans="1:19" ht="21" customHeight="1" x14ac:dyDescent="0.25">
      <c r="A5690" s="14">
        <f>DATE(2012,12,31)-1280</f>
        <v>39994</v>
      </c>
      <c r="B5690" s="15" t="s">
        <v>637</v>
      </c>
      <c r="C5690" s="15" t="s">
        <v>31</v>
      </c>
      <c r="D5690" s="16">
        <v>14</v>
      </c>
      <c r="E5690" s="17">
        <v>890.9</v>
      </c>
      <c r="F5690" s="16">
        <v>0.05</v>
      </c>
      <c r="G5690" s="15" t="s">
        <v>101</v>
      </c>
      <c r="H5690" s="18">
        <v>404.29</v>
      </c>
      <c r="I5690" s="19">
        <v>63.94</v>
      </c>
      <c r="J5690" s="19">
        <v>14.48</v>
      </c>
      <c r="K5690" s="19" t="s">
        <v>69</v>
      </c>
      <c r="L5690" s="19" t="s">
        <v>75</v>
      </c>
      <c r="M5690" s="15" t="s">
        <v>2231</v>
      </c>
      <c r="N5690" s="15" t="s">
        <v>54</v>
      </c>
      <c r="O5690" s="15" t="s">
        <v>55</v>
      </c>
      <c r="P5690" s="20" t="s">
        <v>1787</v>
      </c>
      <c r="Q5690" s="15" t="s">
        <v>83</v>
      </c>
      <c r="R5690" s="4"/>
      <c r="S5690" s="4"/>
    </row>
    <row r="5691" spans="1:19" ht="21" customHeight="1" x14ac:dyDescent="0.25">
      <c r="A5691" s="14">
        <f>DATE(2012,12,31)-722</f>
        <v>40552</v>
      </c>
      <c r="B5691" s="15" t="s">
        <v>204</v>
      </c>
      <c r="C5691" s="15" t="s">
        <v>31</v>
      </c>
      <c r="D5691" s="16">
        <v>50</v>
      </c>
      <c r="E5691" s="17">
        <v>839.07</v>
      </c>
      <c r="F5691" s="16">
        <v>0.06</v>
      </c>
      <c r="G5691" s="15" t="s">
        <v>32</v>
      </c>
      <c r="H5691" s="18">
        <v>212.7295</v>
      </c>
      <c r="I5691" s="19">
        <v>16.739999999999998</v>
      </c>
      <c r="J5691" s="19">
        <v>5.08</v>
      </c>
      <c r="K5691" s="19" t="s">
        <v>69</v>
      </c>
      <c r="L5691" s="19" t="s">
        <v>70</v>
      </c>
      <c r="M5691" s="15" t="s">
        <v>2230</v>
      </c>
      <c r="N5691" s="15" t="s">
        <v>36</v>
      </c>
      <c r="O5691" s="15" t="s">
        <v>170</v>
      </c>
      <c r="P5691" s="20" t="s">
        <v>2059</v>
      </c>
      <c r="Q5691" s="15" t="s">
        <v>83</v>
      </c>
      <c r="R5691" s="4"/>
      <c r="S5691" s="4"/>
    </row>
    <row r="5692" spans="1:19" ht="21" customHeight="1" x14ac:dyDescent="0.25">
      <c r="A5692" s="14">
        <f>DATE(2012,12,31)-722</f>
        <v>40552</v>
      </c>
      <c r="B5692" s="15" t="s">
        <v>204</v>
      </c>
      <c r="C5692" s="15" t="s">
        <v>31</v>
      </c>
      <c r="D5692" s="16">
        <v>45</v>
      </c>
      <c r="E5692" s="17">
        <v>5643.49</v>
      </c>
      <c r="F5692" s="16">
        <v>0.05</v>
      </c>
      <c r="G5692" s="15" t="s">
        <v>58</v>
      </c>
      <c r="H5692" s="18">
        <v>-1857.06</v>
      </c>
      <c r="I5692" s="19">
        <v>122.99</v>
      </c>
      <c r="J5692" s="19">
        <v>70.2</v>
      </c>
      <c r="K5692" s="19" t="s">
        <v>69</v>
      </c>
      <c r="L5692" s="19" t="s">
        <v>215</v>
      </c>
      <c r="M5692" s="15" t="s">
        <v>2197</v>
      </c>
      <c r="N5692" s="15" t="s">
        <v>54</v>
      </c>
      <c r="O5692" s="15" t="s">
        <v>252</v>
      </c>
      <c r="P5692" s="20" t="s">
        <v>819</v>
      </c>
      <c r="Q5692" s="15" t="s">
        <v>181</v>
      </c>
      <c r="R5692" s="4"/>
      <c r="S5692" s="4"/>
    </row>
    <row r="5693" spans="1:19" ht="21" customHeight="1" x14ac:dyDescent="0.25">
      <c r="A5693" s="14">
        <f>DATE(2012,12,31)-863</f>
        <v>40411</v>
      </c>
      <c r="B5693" s="15" t="s">
        <v>1938</v>
      </c>
      <c r="C5693" s="15" t="s">
        <v>43</v>
      </c>
      <c r="D5693" s="16">
        <v>24</v>
      </c>
      <c r="E5693" s="17">
        <v>3201.16</v>
      </c>
      <c r="F5693" s="16">
        <v>0.06</v>
      </c>
      <c r="G5693" s="15" t="s">
        <v>32</v>
      </c>
      <c r="H5693" s="18">
        <v>405.5</v>
      </c>
      <c r="I5693" s="19">
        <v>140.81</v>
      </c>
      <c r="J5693" s="19">
        <v>24.49</v>
      </c>
      <c r="K5693" s="19" t="s">
        <v>69</v>
      </c>
      <c r="L5693" s="19" t="s">
        <v>215</v>
      </c>
      <c r="M5693" s="15" t="s">
        <v>2197</v>
      </c>
      <c r="N5693" s="15" t="s">
        <v>54</v>
      </c>
      <c r="O5693" s="15" t="s">
        <v>252</v>
      </c>
      <c r="P5693" s="20" t="s">
        <v>1392</v>
      </c>
      <c r="Q5693" s="15" t="s">
        <v>39</v>
      </c>
      <c r="R5693" s="4"/>
      <c r="S5693" s="4"/>
    </row>
    <row r="5694" spans="1:19" ht="21" customHeight="1" x14ac:dyDescent="0.25">
      <c r="A5694" s="14">
        <f>DATE(2012,12,31)-1362</f>
        <v>39912</v>
      </c>
      <c r="B5694" s="15" t="s">
        <v>1310</v>
      </c>
      <c r="C5694" s="15" t="s">
        <v>43</v>
      </c>
      <c r="D5694" s="16">
        <v>31</v>
      </c>
      <c r="E5694" s="17">
        <v>449.47</v>
      </c>
      <c r="F5694" s="16">
        <v>0.05</v>
      </c>
      <c r="G5694" s="15" t="s">
        <v>32</v>
      </c>
      <c r="H5694" s="18">
        <v>-190.49</v>
      </c>
      <c r="I5694" s="19">
        <v>14.81</v>
      </c>
      <c r="J5694" s="19">
        <v>13.32</v>
      </c>
      <c r="K5694" s="19" t="s">
        <v>111</v>
      </c>
      <c r="L5694" s="19" t="s">
        <v>112</v>
      </c>
      <c r="M5694" s="15" t="s">
        <v>2198</v>
      </c>
      <c r="N5694" s="15" t="s">
        <v>36</v>
      </c>
      <c r="O5694" s="15" t="s">
        <v>176</v>
      </c>
      <c r="P5694" s="20" t="s">
        <v>638</v>
      </c>
      <c r="Q5694" s="15" t="s">
        <v>83</v>
      </c>
      <c r="R5694" s="4"/>
      <c r="S5694" s="4"/>
    </row>
    <row r="5695" spans="1:19" ht="21" customHeight="1" x14ac:dyDescent="0.25">
      <c r="A5695" s="14">
        <f>DATE(2012,12,31)-1362</f>
        <v>39912</v>
      </c>
      <c r="B5695" s="15" t="s">
        <v>1310</v>
      </c>
      <c r="C5695" s="15" t="s">
        <v>43</v>
      </c>
      <c r="D5695" s="16">
        <v>29</v>
      </c>
      <c r="E5695" s="17">
        <v>80.61</v>
      </c>
      <c r="F5695" s="16">
        <v>0.08</v>
      </c>
      <c r="G5695" s="15" t="s">
        <v>32</v>
      </c>
      <c r="H5695" s="18">
        <v>-8.77</v>
      </c>
      <c r="I5695" s="19">
        <v>2.78</v>
      </c>
      <c r="J5695" s="19">
        <v>1.25</v>
      </c>
      <c r="K5695" s="19" t="s">
        <v>44</v>
      </c>
      <c r="L5695" s="19" t="s">
        <v>89</v>
      </c>
      <c r="M5695" s="15" t="s">
        <v>1932</v>
      </c>
      <c r="N5695" s="15" t="s">
        <v>36</v>
      </c>
      <c r="O5695" s="15" t="s">
        <v>77</v>
      </c>
      <c r="P5695" s="20" t="s">
        <v>822</v>
      </c>
      <c r="Q5695" s="15" t="s">
        <v>79</v>
      </c>
      <c r="R5695" s="4"/>
      <c r="S5695" s="4"/>
    </row>
    <row r="5696" spans="1:19" ht="21" customHeight="1" x14ac:dyDescent="0.25">
      <c r="A5696" s="14">
        <f>DATE(2012,12,31)-811</f>
        <v>40463</v>
      </c>
      <c r="B5696" s="15" t="s">
        <v>441</v>
      </c>
      <c r="C5696" s="15" t="s">
        <v>85</v>
      </c>
      <c r="D5696" s="16">
        <v>4</v>
      </c>
      <c r="E5696" s="17">
        <v>29.05</v>
      </c>
      <c r="F5696" s="16">
        <v>0.08</v>
      </c>
      <c r="G5696" s="15" t="s">
        <v>101</v>
      </c>
      <c r="H5696" s="18">
        <v>-20.9</v>
      </c>
      <c r="I5696" s="19">
        <v>4.9800000000000004</v>
      </c>
      <c r="J5696" s="19">
        <v>4.32</v>
      </c>
      <c r="K5696" s="19" t="s">
        <v>44</v>
      </c>
      <c r="L5696" s="19" t="s">
        <v>89</v>
      </c>
      <c r="M5696" s="15" t="s">
        <v>1932</v>
      </c>
      <c r="N5696" s="15" t="s">
        <v>64</v>
      </c>
      <c r="O5696" s="15" t="s">
        <v>72</v>
      </c>
      <c r="P5696" s="20" t="s">
        <v>1799</v>
      </c>
      <c r="Q5696" s="15" t="s">
        <v>49</v>
      </c>
      <c r="R5696" s="4"/>
      <c r="S5696" s="4"/>
    </row>
    <row r="5697" spans="1:19" ht="21" customHeight="1" x14ac:dyDescent="0.25">
      <c r="A5697" s="14">
        <f>DATE(2012,12,31)-1153</f>
        <v>40121</v>
      </c>
      <c r="B5697" s="15" t="s">
        <v>1278</v>
      </c>
      <c r="C5697" s="15" t="s">
        <v>85</v>
      </c>
      <c r="D5697" s="16">
        <v>36</v>
      </c>
      <c r="E5697" s="17">
        <v>331.37</v>
      </c>
      <c r="F5697" s="16">
        <v>0.03</v>
      </c>
      <c r="G5697" s="15" t="s">
        <v>101</v>
      </c>
      <c r="H5697" s="18">
        <v>-172.17</v>
      </c>
      <c r="I5697" s="19">
        <v>9.06</v>
      </c>
      <c r="J5697" s="19">
        <v>9.86</v>
      </c>
      <c r="K5697" s="19" t="s">
        <v>33</v>
      </c>
      <c r="L5697" s="19" t="s">
        <v>93</v>
      </c>
      <c r="M5697" s="15" t="s">
        <v>94</v>
      </c>
      <c r="N5697" s="15" t="s">
        <v>36</v>
      </c>
      <c r="O5697" s="15" t="s">
        <v>117</v>
      </c>
      <c r="P5697" s="20" t="s">
        <v>1976</v>
      </c>
      <c r="Q5697" s="15" t="s">
        <v>83</v>
      </c>
      <c r="R5697" s="4"/>
      <c r="S5697" s="4"/>
    </row>
    <row r="5698" spans="1:19" ht="21" customHeight="1" x14ac:dyDescent="0.25">
      <c r="A5698" s="14">
        <f>DATE(2012,12,31)-1153</f>
        <v>40121</v>
      </c>
      <c r="B5698" s="15" t="s">
        <v>1278</v>
      </c>
      <c r="C5698" s="15" t="s">
        <v>85</v>
      </c>
      <c r="D5698" s="16">
        <v>26</v>
      </c>
      <c r="E5698" s="17">
        <v>78.03</v>
      </c>
      <c r="F5698" s="16">
        <v>0.05</v>
      </c>
      <c r="G5698" s="15" t="s">
        <v>32</v>
      </c>
      <c r="H5698" s="18">
        <v>0.51</v>
      </c>
      <c r="I5698" s="19">
        <v>2.94</v>
      </c>
      <c r="J5698" s="19">
        <v>1.05</v>
      </c>
      <c r="K5698" s="19" t="s">
        <v>97</v>
      </c>
      <c r="L5698" s="19" t="s">
        <v>98</v>
      </c>
      <c r="M5698" s="15" t="s">
        <v>2217</v>
      </c>
      <c r="N5698" s="15" t="s">
        <v>36</v>
      </c>
      <c r="O5698" s="15" t="s">
        <v>77</v>
      </c>
      <c r="P5698" s="20" t="s">
        <v>2266</v>
      </c>
      <c r="Q5698" s="15" t="s">
        <v>79</v>
      </c>
      <c r="R5698" s="4"/>
      <c r="S5698" s="4"/>
    </row>
    <row r="5699" spans="1:19" ht="21" customHeight="1" x14ac:dyDescent="0.25">
      <c r="A5699" s="14">
        <f>DATE(2012,12,31)-35</f>
        <v>41239</v>
      </c>
      <c r="B5699" s="15" t="s">
        <v>392</v>
      </c>
      <c r="C5699" s="15" t="s">
        <v>43</v>
      </c>
      <c r="D5699" s="16">
        <v>26</v>
      </c>
      <c r="E5699" s="17">
        <v>78.09</v>
      </c>
      <c r="F5699" s="16">
        <v>0.01</v>
      </c>
      <c r="G5699" s="15" t="s">
        <v>32</v>
      </c>
      <c r="H5699" s="18">
        <v>19.63</v>
      </c>
      <c r="I5699" s="19">
        <v>2.88</v>
      </c>
      <c r="J5699" s="19">
        <v>0.99</v>
      </c>
      <c r="K5699" s="19" t="s">
        <v>124</v>
      </c>
      <c r="L5699" s="19" t="s">
        <v>493</v>
      </c>
      <c r="M5699" s="15" t="s">
        <v>2259</v>
      </c>
      <c r="N5699" s="15" t="s">
        <v>36</v>
      </c>
      <c r="O5699" s="15" t="s">
        <v>114</v>
      </c>
      <c r="P5699" s="20" t="s">
        <v>1153</v>
      </c>
      <c r="Q5699" s="15" t="s">
        <v>83</v>
      </c>
      <c r="R5699" s="4"/>
      <c r="S5699" s="4"/>
    </row>
    <row r="5700" spans="1:19" ht="21" customHeight="1" x14ac:dyDescent="0.25">
      <c r="A5700" s="14">
        <f>DATE(2012,12,31)-35</f>
        <v>41239</v>
      </c>
      <c r="B5700" s="15" t="s">
        <v>392</v>
      </c>
      <c r="C5700" s="15" t="s">
        <v>43</v>
      </c>
      <c r="D5700" s="16">
        <v>4</v>
      </c>
      <c r="E5700" s="17">
        <v>42.77</v>
      </c>
      <c r="F5700" s="16">
        <v>0.04</v>
      </c>
      <c r="G5700" s="15" t="s">
        <v>32</v>
      </c>
      <c r="H5700" s="18">
        <v>-1.19</v>
      </c>
      <c r="I5700" s="19">
        <v>10.14</v>
      </c>
      <c r="J5700" s="19">
        <v>2.27</v>
      </c>
      <c r="K5700" s="19" t="s">
        <v>124</v>
      </c>
      <c r="L5700" s="19" t="s">
        <v>160</v>
      </c>
      <c r="M5700" s="15" t="s">
        <v>2181</v>
      </c>
      <c r="N5700" s="15" t="s">
        <v>36</v>
      </c>
      <c r="O5700" s="15" t="s">
        <v>117</v>
      </c>
      <c r="P5700" s="20" t="s">
        <v>1448</v>
      </c>
      <c r="Q5700" s="15" t="s">
        <v>79</v>
      </c>
      <c r="R5700" s="4"/>
      <c r="S5700" s="4"/>
    </row>
    <row r="5701" spans="1:19" ht="21" customHeight="1" x14ac:dyDescent="0.25">
      <c r="A5701" s="14">
        <f>DATE(2012,12,31)-922</f>
        <v>40352</v>
      </c>
      <c r="B5701" s="15" t="s">
        <v>1233</v>
      </c>
      <c r="C5701" s="15" t="s">
        <v>51</v>
      </c>
      <c r="D5701" s="16">
        <v>23</v>
      </c>
      <c r="E5701" s="17">
        <v>1484.49</v>
      </c>
      <c r="F5701" s="16">
        <v>0.09</v>
      </c>
      <c r="G5701" s="15" t="s">
        <v>32</v>
      </c>
      <c r="H5701" s="18">
        <v>230.50300000000001</v>
      </c>
      <c r="I5701" s="19">
        <v>67.28</v>
      </c>
      <c r="J5701" s="19">
        <v>19.989999999999998</v>
      </c>
      <c r="K5701" s="19" t="s">
        <v>124</v>
      </c>
      <c r="L5701" s="19" t="s">
        <v>160</v>
      </c>
      <c r="M5701" s="15" t="s">
        <v>2181</v>
      </c>
      <c r="N5701" s="15" t="s">
        <v>36</v>
      </c>
      <c r="O5701" s="15" t="s">
        <v>170</v>
      </c>
      <c r="P5701" s="20" t="s">
        <v>821</v>
      </c>
      <c r="Q5701" s="15" t="s">
        <v>83</v>
      </c>
      <c r="R5701" s="4"/>
      <c r="S5701" s="4"/>
    </row>
    <row r="5702" spans="1:19" ht="21" customHeight="1" x14ac:dyDescent="0.25">
      <c r="A5702" s="14">
        <f>DATE(2012,12,31)-922</f>
        <v>40352</v>
      </c>
      <c r="B5702" s="15" t="s">
        <v>1233</v>
      </c>
      <c r="C5702" s="15" t="s">
        <v>51</v>
      </c>
      <c r="D5702" s="16">
        <v>18</v>
      </c>
      <c r="E5702" s="17">
        <v>740.49</v>
      </c>
      <c r="F5702" s="16">
        <v>0.1</v>
      </c>
      <c r="G5702" s="15" t="s">
        <v>32</v>
      </c>
      <c r="H5702" s="18">
        <v>88.9</v>
      </c>
      <c r="I5702" s="19">
        <v>42.76</v>
      </c>
      <c r="J5702" s="19">
        <v>6.22</v>
      </c>
      <c r="K5702" s="19" t="s">
        <v>124</v>
      </c>
      <c r="L5702" s="19" t="s">
        <v>160</v>
      </c>
      <c r="M5702" s="15" t="s">
        <v>2181</v>
      </c>
      <c r="N5702" s="15" t="s">
        <v>36</v>
      </c>
      <c r="O5702" s="15" t="s">
        <v>37</v>
      </c>
      <c r="P5702" s="20" t="s">
        <v>275</v>
      </c>
      <c r="Q5702" s="15" t="s">
        <v>83</v>
      </c>
      <c r="R5702" s="4"/>
      <c r="S5702" s="4"/>
    </row>
    <row r="5703" spans="1:19" ht="21" customHeight="1" x14ac:dyDescent="0.25">
      <c r="A5703" s="14">
        <f>DATE(2012,12,31)-598</f>
        <v>40676</v>
      </c>
      <c r="B5703" s="15" t="s">
        <v>944</v>
      </c>
      <c r="C5703" s="15" t="s">
        <v>85</v>
      </c>
      <c r="D5703" s="16">
        <v>42</v>
      </c>
      <c r="E5703" s="17">
        <v>152.55000000000001</v>
      </c>
      <c r="F5703" s="16">
        <v>0.06</v>
      </c>
      <c r="G5703" s="15" t="s">
        <v>32</v>
      </c>
      <c r="H5703" s="18">
        <v>-20.27</v>
      </c>
      <c r="I5703" s="19">
        <v>3.69</v>
      </c>
      <c r="J5703" s="19">
        <v>2.5</v>
      </c>
      <c r="K5703" s="19" t="s">
        <v>44</v>
      </c>
      <c r="L5703" s="19" t="s">
        <v>236</v>
      </c>
      <c r="M5703" s="15" t="s">
        <v>2246</v>
      </c>
      <c r="N5703" s="15" t="s">
        <v>36</v>
      </c>
      <c r="O5703" s="15" t="s">
        <v>189</v>
      </c>
      <c r="P5703" s="20" t="s">
        <v>1871</v>
      </c>
      <c r="Q5703" s="15" t="s">
        <v>83</v>
      </c>
      <c r="R5703" s="4"/>
      <c r="S5703" s="4"/>
    </row>
    <row r="5704" spans="1:19" ht="21" customHeight="1" x14ac:dyDescent="0.25">
      <c r="A5704" s="14">
        <f>DATE(2012,12,31)-598</f>
        <v>40676</v>
      </c>
      <c r="B5704" s="15" t="s">
        <v>944</v>
      </c>
      <c r="C5704" s="15" t="s">
        <v>85</v>
      </c>
      <c r="D5704" s="16">
        <v>36</v>
      </c>
      <c r="E5704" s="17">
        <v>152.96</v>
      </c>
      <c r="F5704" s="16">
        <v>0.09</v>
      </c>
      <c r="G5704" s="15" t="s">
        <v>32</v>
      </c>
      <c r="H5704" s="18">
        <v>-123.87</v>
      </c>
      <c r="I5704" s="19">
        <v>4.28</v>
      </c>
      <c r="J5704" s="19">
        <v>5.74</v>
      </c>
      <c r="K5704" s="19" t="s">
        <v>44</v>
      </c>
      <c r="L5704" s="19" t="s">
        <v>52</v>
      </c>
      <c r="M5704" s="15" t="s">
        <v>2240</v>
      </c>
      <c r="N5704" s="15" t="s">
        <v>36</v>
      </c>
      <c r="O5704" s="15" t="s">
        <v>117</v>
      </c>
      <c r="P5704" s="20" t="s">
        <v>1747</v>
      </c>
      <c r="Q5704" s="15" t="s">
        <v>83</v>
      </c>
      <c r="R5704" s="4"/>
      <c r="S5704" s="4"/>
    </row>
    <row r="5705" spans="1:19" ht="21" customHeight="1" x14ac:dyDescent="0.25">
      <c r="A5705" s="14">
        <f>DATE(2012,12,31)-1458</f>
        <v>39816</v>
      </c>
      <c r="B5705" s="15" t="s">
        <v>823</v>
      </c>
      <c r="C5705" s="15" t="s">
        <v>51</v>
      </c>
      <c r="D5705" s="16">
        <v>29</v>
      </c>
      <c r="E5705" s="17">
        <v>172.51</v>
      </c>
      <c r="F5705" s="16">
        <v>0.03</v>
      </c>
      <c r="G5705" s="15" t="s">
        <v>32</v>
      </c>
      <c r="H5705" s="18">
        <v>12.554499999999999</v>
      </c>
      <c r="I5705" s="19">
        <v>5.58</v>
      </c>
      <c r="J5705" s="19">
        <v>2.99</v>
      </c>
      <c r="K5705" s="19" t="s">
        <v>44</v>
      </c>
      <c r="L5705" s="19" t="s">
        <v>52</v>
      </c>
      <c r="M5705" s="15" t="s">
        <v>2240</v>
      </c>
      <c r="N5705" s="15" t="s">
        <v>36</v>
      </c>
      <c r="O5705" s="15" t="s">
        <v>170</v>
      </c>
      <c r="P5705" s="20" t="s">
        <v>2267</v>
      </c>
      <c r="Q5705" s="15" t="s">
        <v>83</v>
      </c>
      <c r="R5705" s="4"/>
      <c r="S5705" s="4"/>
    </row>
    <row r="5706" spans="1:19" ht="21" customHeight="1" x14ac:dyDescent="0.25">
      <c r="A5706" s="14">
        <f>DATE(2012,12,31)-1458</f>
        <v>39816</v>
      </c>
      <c r="B5706" s="15" t="s">
        <v>823</v>
      </c>
      <c r="C5706" s="15" t="s">
        <v>51</v>
      </c>
      <c r="D5706" s="16">
        <v>4</v>
      </c>
      <c r="E5706" s="17">
        <v>698</v>
      </c>
      <c r="F5706" s="16">
        <v>0.09</v>
      </c>
      <c r="G5706" s="15" t="s">
        <v>58</v>
      </c>
      <c r="H5706" s="18">
        <v>-93.16</v>
      </c>
      <c r="I5706" s="19">
        <v>212.6</v>
      </c>
      <c r="J5706" s="19">
        <v>52.2</v>
      </c>
      <c r="K5706" s="19" t="s">
        <v>44</v>
      </c>
      <c r="L5706" s="19" t="s">
        <v>52</v>
      </c>
      <c r="M5706" s="15" t="s">
        <v>2240</v>
      </c>
      <c r="N5706" s="15" t="s">
        <v>54</v>
      </c>
      <c r="O5706" s="15" t="s">
        <v>61</v>
      </c>
      <c r="P5706" s="20" t="s">
        <v>615</v>
      </c>
      <c r="Q5706" s="15" t="s">
        <v>63</v>
      </c>
      <c r="R5706" s="4"/>
      <c r="S5706" s="4"/>
    </row>
    <row r="5707" spans="1:19" ht="21" customHeight="1" x14ac:dyDescent="0.25">
      <c r="A5707" s="14">
        <f>DATE(2012,12,31)-1108</f>
        <v>40166</v>
      </c>
      <c r="B5707" s="15" t="s">
        <v>398</v>
      </c>
      <c r="C5707" s="15" t="s">
        <v>43</v>
      </c>
      <c r="D5707" s="16">
        <v>48</v>
      </c>
      <c r="E5707" s="17">
        <v>201.98</v>
      </c>
      <c r="F5707" s="16">
        <v>0.05</v>
      </c>
      <c r="G5707" s="15" t="s">
        <v>101</v>
      </c>
      <c r="H5707" s="18">
        <v>-245.67</v>
      </c>
      <c r="I5707" s="19">
        <v>4.0599999999999996</v>
      </c>
      <c r="J5707" s="19">
        <v>6.89</v>
      </c>
      <c r="K5707" s="19" t="s">
        <v>44</v>
      </c>
      <c r="L5707" s="19" t="s">
        <v>89</v>
      </c>
      <c r="M5707" s="15" t="s">
        <v>1932</v>
      </c>
      <c r="N5707" s="15" t="s">
        <v>36</v>
      </c>
      <c r="O5707" s="15" t="s">
        <v>176</v>
      </c>
      <c r="P5707" s="20" t="s">
        <v>1222</v>
      </c>
      <c r="Q5707" s="15" t="s">
        <v>83</v>
      </c>
      <c r="R5707" s="4"/>
      <c r="S5707" s="4"/>
    </row>
    <row r="5708" spans="1:19" ht="21" customHeight="1" x14ac:dyDescent="0.25">
      <c r="A5708" s="14">
        <f>DATE(2012,12,31)-163</f>
        <v>41111</v>
      </c>
      <c r="B5708" s="15" t="s">
        <v>420</v>
      </c>
      <c r="C5708" s="15" t="s">
        <v>43</v>
      </c>
      <c r="D5708" s="16">
        <v>4</v>
      </c>
      <c r="E5708" s="17">
        <v>240.49</v>
      </c>
      <c r="F5708" s="16">
        <v>0.05</v>
      </c>
      <c r="G5708" s="15" t="s">
        <v>32</v>
      </c>
      <c r="H5708" s="18">
        <v>-53.9</v>
      </c>
      <c r="I5708" s="19">
        <v>56.96</v>
      </c>
      <c r="J5708" s="19">
        <v>13.22</v>
      </c>
      <c r="K5708" s="19" t="s">
        <v>44</v>
      </c>
      <c r="L5708" s="19" t="s">
        <v>80</v>
      </c>
      <c r="M5708" s="15" t="s">
        <v>2179</v>
      </c>
      <c r="N5708" s="15" t="s">
        <v>36</v>
      </c>
      <c r="O5708" s="15" t="s">
        <v>176</v>
      </c>
      <c r="P5708" s="20" t="s">
        <v>904</v>
      </c>
      <c r="Q5708" s="15" t="s">
        <v>83</v>
      </c>
      <c r="R5708" s="4"/>
      <c r="S5708" s="4"/>
    </row>
    <row r="5709" spans="1:19" ht="21" customHeight="1" x14ac:dyDescent="0.25">
      <c r="A5709" s="14">
        <f>DATE(2012,12,31)-682</f>
        <v>40592</v>
      </c>
      <c r="B5709" s="15" t="s">
        <v>1508</v>
      </c>
      <c r="C5709" s="15" t="s">
        <v>51</v>
      </c>
      <c r="D5709" s="16">
        <v>28</v>
      </c>
      <c r="E5709" s="17">
        <v>2905.3</v>
      </c>
      <c r="F5709" s="16">
        <v>0</v>
      </c>
      <c r="G5709" s="15" t="s">
        <v>101</v>
      </c>
      <c r="H5709" s="18">
        <v>1704</v>
      </c>
      <c r="I5709" s="19">
        <v>98.31</v>
      </c>
      <c r="J5709" s="19">
        <v>0.49</v>
      </c>
      <c r="K5709" s="19" t="s">
        <v>33</v>
      </c>
      <c r="L5709" s="19" t="s">
        <v>93</v>
      </c>
      <c r="M5709" s="15" t="s">
        <v>94</v>
      </c>
      <c r="N5709" s="15" t="s">
        <v>36</v>
      </c>
      <c r="O5709" s="15" t="s">
        <v>114</v>
      </c>
      <c r="P5709" s="20" t="s">
        <v>2268</v>
      </c>
      <c r="Q5709" s="15" t="s">
        <v>83</v>
      </c>
      <c r="R5709" s="4"/>
      <c r="S5709" s="4"/>
    </row>
    <row r="5710" spans="1:19" ht="21" customHeight="1" x14ac:dyDescent="0.25">
      <c r="A5710" s="14">
        <f>DATE(2012,12,31)-160</f>
        <v>41114</v>
      </c>
      <c r="B5710" s="15" t="s">
        <v>716</v>
      </c>
      <c r="C5710" s="15" t="s">
        <v>85</v>
      </c>
      <c r="D5710" s="16">
        <v>17</v>
      </c>
      <c r="E5710" s="17">
        <v>67.73</v>
      </c>
      <c r="F5710" s="16">
        <v>0.1</v>
      </c>
      <c r="G5710" s="15" t="s">
        <v>32</v>
      </c>
      <c r="H5710" s="18">
        <v>2.44</v>
      </c>
      <c r="I5710" s="19">
        <v>4.28</v>
      </c>
      <c r="J5710" s="19">
        <v>0.94</v>
      </c>
      <c r="K5710" s="19" t="s">
        <v>33</v>
      </c>
      <c r="L5710" s="19" t="s">
        <v>93</v>
      </c>
      <c r="M5710" s="15" t="s">
        <v>94</v>
      </c>
      <c r="N5710" s="15" t="s">
        <v>36</v>
      </c>
      <c r="O5710" s="15" t="s">
        <v>77</v>
      </c>
      <c r="P5710" s="20" t="s">
        <v>600</v>
      </c>
      <c r="Q5710" s="15" t="s">
        <v>79</v>
      </c>
      <c r="R5710" s="4"/>
      <c r="S5710" s="4"/>
    </row>
    <row r="5711" spans="1:19" ht="21" customHeight="1" x14ac:dyDescent="0.25">
      <c r="A5711" s="14">
        <f>DATE(2012,12,31)-721</f>
        <v>40553</v>
      </c>
      <c r="B5711" s="15" t="s">
        <v>1410</v>
      </c>
      <c r="C5711" s="15" t="s">
        <v>51</v>
      </c>
      <c r="D5711" s="16">
        <v>22</v>
      </c>
      <c r="E5711" s="17">
        <v>59.08</v>
      </c>
      <c r="F5711" s="16">
        <v>0.1</v>
      </c>
      <c r="G5711" s="15" t="s">
        <v>32</v>
      </c>
      <c r="H5711" s="18">
        <v>-2.6105</v>
      </c>
      <c r="I5711" s="19">
        <v>2.88</v>
      </c>
      <c r="J5711" s="19">
        <v>1.49</v>
      </c>
      <c r="K5711" s="19" t="s">
        <v>33</v>
      </c>
      <c r="L5711" s="19" t="s">
        <v>128</v>
      </c>
      <c r="M5711" s="15" t="s">
        <v>129</v>
      </c>
      <c r="N5711" s="15" t="s">
        <v>36</v>
      </c>
      <c r="O5711" s="15" t="s">
        <v>170</v>
      </c>
      <c r="P5711" s="20" t="s">
        <v>806</v>
      </c>
      <c r="Q5711" s="15" t="s">
        <v>83</v>
      </c>
      <c r="R5711" s="4"/>
      <c r="S5711" s="4"/>
    </row>
    <row r="5712" spans="1:19" ht="21" customHeight="1" x14ac:dyDescent="0.25">
      <c r="A5712" s="14">
        <f>DATE(2012,12,31)-721</f>
        <v>40553</v>
      </c>
      <c r="B5712" s="15" t="s">
        <v>1410</v>
      </c>
      <c r="C5712" s="15" t="s">
        <v>51</v>
      </c>
      <c r="D5712" s="16">
        <v>50</v>
      </c>
      <c r="E5712" s="17">
        <v>886.36299999999994</v>
      </c>
      <c r="F5712" s="16">
        <v>0.08</v>
      </c>
      <c r="G5712" s="15" t="s">
        <v>32</v>
      </c>
      <c r="H5712" s="18">
        <v>450.01799999999997</v>
      </c>
      <c r="I5712" s="19">
        <v>20.99</v>
      </c>
      <c r="J5712" s="19">
        <v>0.99</v>
      </c>
      <c r="K5712" s="19" t="s">
        <v>97</v>
      </c>
      <c r="L5712" s="19" t="s">
        <v>132</v>
      </c>
      <c r="M5712" s="15" t="s">
        <v>133</v>
      </c>
      <c r="N5712" s="15" t="s">
        <v>64</v>
      </c>
      <c r="O5712" s="15" t="s">
        <v>65</v>
      </c>
      <c r="P5712" s="20" t="s">
        <v>1101</v>
      </c>
      <c r="Q5712" s="15" t="s">
        <v>79</v>
      </c>
      <c r="R5712" s="4"/>
      <c r="S5712" s="4"/>
    </row>
    <row r="5713" spans="1:19" ht="21" customHeight="1" x14ac:dyDescent="0.25">
      <c r="A5713" s="14">
        <f>DATE(2012,12,31)-532</f>
        <v>40742</v>
      </c>
      <c r="B5713" s="15" t="s">
        <v>359</v>
      </c>
      <c r="C5713" s="15" t="s">
        <v>85</v>
      </c>
      <c r="D5713" s="16">
        <v>39</v>
      </c>
      <c r="E5713" s="17">
        <v>2192.4389999999999</v>
      </c>
      <c r="F5713" s="16">
        <v>0.06</v>
      </c>
      <c r="G5713" s="15" t="s">
        <v>101</v>
      </c>
      <c r="H5713" s="18">
        <v>517.81500000000005</v>
      </c>
      <c r="I5713" s="19">
        <v>65.989999999999995</v>
      </c>
      <c r="J5713" s="19">
        <v>3.99</v>
      </c>
      <c r="K5713" s="19" t="s">
        <v>124</v>
      </c>
      <c r="L5713" s="19" t="s">
        <v>160</v>
      </c>
      <c r="M5713" s="15" t="s">
        <v>2181</v>
      </c>
      <c r="N5713" s="15" t="s">
        <v>64</v>
      </c>
      <c r="O5713" s="15" t="s">
        <v>65</v>
      </c>
      <c r="P5713" s="20" t="s">
        <v>689</v>
      </c>
      <c r="Q5713" s="15" t="s">
        <v>83</v>
      </c>
      <c r="R5713" s="4"/>
      <c r="S5713" s="4"/>
    </row>
    <row r="5714" spans="1:19" ht="21" customHeight="1" x14ac:dyDescent="0.25">
      <c r="A5714" s="14">
        <f>DATE(2012,12,31)-620</f>
        <v>40654</v>
      </c>
      <c r="B5714" s="15" t="s">
        <v>1558</v>
      </c>
      <c r="C5714" s="15" t="s">
        <v>43</v>
      </c>
      <c r="D5714" s="16">
        <v>43</v>
      </c>
      <c r="E5714" s="17">
        <v>1243.8800000000001</v>
      </c>
      <c r="F5714" s="16">
        <v>0.1</v>
      </c>
      <c r="G5714" s="15" t="s">
        <v>32</v>
      </c>
      <c r="H5714" s="18">
        <v>22.71</v>
      </c>
      <c r="I5714" s="19">
        <v>30.98</v>
      </c>
      <c r="J5714" s="19">
        <v>8.99</v>
      </c>
      <c r="K5714" s="19" t="s">
        <v>124</v>
      </c>
      <c r="L5714" s="19" t="s">
        <v>125</v>
      </c>
      <c r="M5714" s="15" t="s">
        <v>2265</v>
      </c>
      <c r="N5714" s="15" t="s">
        <v>36</v>
      </c>
      <c r="O5714" s="15" t="s">
        <v>77</v>
      </c>
      <c r="P5714" s="20" t="s">
        <v>497</v>
      </c>
      <c r="Q5714" s="15" t="s">
        <v>49</v>
      </c>
      <c r="R5714" s="4"/>
      <c r="S5714" s="4"/>
    </row>
    <row r="5715" spans="1:19" ht="21" customHeight="1" x14ac:dyDescent="0.25">
      <c r="A5715" s="14">
        <f>DATE(2012,12,31)-390</f>
        <v>40884</v>
      </c>
      <c r="B5715" s="15" t="s">
        <v>288</v>
      </c>
      <c r="C5715" s="15" t="s">
        <v>85</v>
      </c>
      <c r="D5715" s="16">
        <v>19</v>
      </c>
      <c r="E5715" s="17">
        <v>7608.88</v>
      </c>
      <c r="F5715" s="16">
        <v>0.06</v>
      </c>
      <c r="G5715" s="15" t="s">
        <v>101</v>
      </c>
      <c r="H5715" s="18">
        <v>3049.4515000000001</v>
      </c>
      <c r="I5715" s="19">
        <v>420.98</v>
      </c>
      <c r="J5715" s="19">
        <v>19.989999999999998</v>
      </c>
      <c r="K5715" s="19" t="s">
        <v>44</v>
      </c>
      <c r="L5715" s="19" t="s">
        <v>52</v>
      </c>
      <c r="M5715" s="15" t="s">
        <v>2240</v>
      </c>
      <c r="N5715" s="15" t="s">
        <v>36</v>
      </c>
      <c r="O5715" s="15" t="s">
        <v>170</v>
      </c>
      <c r="P5715" s="20" t="s">
        <v>466</v>
      </c>
      <c r="Q5715" s="15" t="s">
        <v>83</v>
      </c>
      <c r="R5715" s="4"/>
      <c r="S5715" s="4"/>
    </row>
    <row r="5716" spans="1:19" ht="21" customHeight="1" x14ac:dyDescent="0.25">
      <c r="A5716" s="14">
        <f>DATE(2012,12,31)-390</f>
        <v>40884</v>
      </c>
      <c r="B5716" s="15" t="s">
        <v>288</v>
      </c>
      <c r="C5716" s="15" t="s">
        <v>85</v>
      </c>
      <c r="D5716" s="16">
        <v>50</v>
      </c>
      <c r="E5716" s="17">
        <v>1270.03</v>
      </c>
      <c r="F5716" s="16">
        <v>0.1</v>
      </c>
      <c r="G5716" s="15" t="s">
        <v>32</v>
      </c>
      <c r="H5716" s="18">
        <v>221.81</v>
      </c>
      <c r="I5716" s="19">
        <v>26.48</v>
      </c>
      <c r="J5716" s="19">
        <v>6.93</v>
      </c>
      <c r="K5716" s="19" t="s">
        <v>33</v>
      </c>
      <c r="L5716" s="19" t="s">
        <v>59</v>
      </c>
      <c r="M5716" s="15" t="s">
        <v>2227</v>
      </c>
      <c r="N5716" s="15" t="s">
        <v>54</v>
      </c>
      <c r="O5716" s="15" t="s">
        <v>55</v>
      </c>
      <c r="P5716" s="20" t="s">
        <v>1248</v>
      </c>
      <c r="Q5716" s="15" t="s">
        <v>83</v>
      </c>
      <c r="R5716" s="4"/>
      <c r="S5716" s="4"/>
    </row>
    <row r="5717" spans="1:19" ht="21" customHeight="1" x14ac:dyDescent="0.25">
      <c r="A5717" s="14">
        <f>DATE(2012,12,31)-1100</f>
        <v>40174</v>
      </c>
      <c r="B5717" s="15" t="s">
        <v>1688</v>
      </c>
      <c r="C5717" s="15" t="s">
        <v>43</v>
      </c>
      <c r="D5717" s="16">
        <v>36</v>
      </c>
      <c r="E5717" s="17">
        <v>222.25</v>
      </c>
      <c r="F5717" s="16">
        <v>0.05</v>
      </c>
      <c r="G5717" s="15" t="s">
        <v>32</v>
      </c>
      <c r="H5717" s="18">
        <v>-63.77</v>
      </c>
      <c r="I5717" s="19">
        <v>5.98</v>
      </c>
      <c r="J5717" s="19">
        <v>5.46</v>
      </c>
      <c r="K5717" s="19" t="s">
        <v>33</v>
      </c>
      <c r="L5717" s="19" t="s">
        <v>93</v>
      </c>
      <c r="M5717" s="15" t="s">
        <v>94</v>
      </c>
      <c r="N5717" s="15" t="s">
        <v>36</v>
      </c>
      <c r="O5717" s="15" t="s">
        <v>117</v>
      </c>
      <c r="P5717" s="20" t="s">
        <v>1879</v>
      </c>
      <c r="Q5717" s="15" t="s">
        <v>83</v>
      </c>
      <c r="R5717" s="4"/>
      <c r="S5717" s="4"/>
    </row>
    <row r="5718" spans="1:19" ht="21" customHeight="1" x14ac:dyDescent="0.25">
      <c r="A5718" s="14">
        <f>DATE(2012,12,31)-1100</f>
        <v>40174</v>
      </c>
      <c r="B5718" s="15" t="s">
        <v>1688</v>
      </c>
      <c r="C5718" s="15" t="s">
        <v>43</v>
      </c>
      <c r="D5718" s="16">
        <v>7</v>
      </c>
      <c r="E5718" s="17">
        <v>388.71350000000001</v>
      </c>
      <c r="F5718" s="16">
        <v>0.01</v>
      </c>
      <c r="G5718" s="15" t="s">
        <v>32</v>
      </c>
      <c r="H5718" s="18">
        <v>-190.42100000000002</v>
      </c>
      <c r="I5718" s="19">
        <v>65.989999999999995</v>
      </c>
      <c r="J5718" s="19">
        <v>3.99</v>
      </c>
      <c r="K5718" s="19" t="s">
        <v>33</v>
      </c>
      <c r="L5718" s="19" t="s">
        <v>59</v>
      </c>
      <c r="M5718" s="15" t="s">
        <v>2227</v>
      </c>
      <c r="N5718" s="15" t="s">
        <v>64</v>
      </c>
      <c r="O5718" s="15" t="s">
        <v>65</v>
      </c>
      <c r="P5718" s="20" t="s">
        <v>689</v>
      </c>
      <c r="Q5718" s="15" t="s">
        <v>83</v>
      </c>
      <c r="R5718" s="4"/>
      <c r="S5718" s="4"/>
    </row>
    <row r="5719" spans="1:19" ht="21" customHeight="1" x14ac:dyDescent="0.25">
      <c r="A5719" s="14">
        <f>DATE(2012,12,31)-836</f>
        <v>40438</v>
      </c>
      <c r="B5719" s="15" t="s">
        <v>2176</v>
      </c>
      <c r="C5719" s="15" t="s">
        <v>85</v>
      </c>
      <c r="D5719" s="16">
        <v>41</v>
      </c>
      <c r="E5719" s="17">
        <v>405.83</v>
      </c>
      <c r="F5719" s="16">
        <v>0.06</v>
      </c>
      <c r="G5719" s="15" t="s">
        <v>32</v>
      </c>
      <c r="H5719" s="18">
        <v>178.86</v>
      </c>
      <c r="I5719" s="19">
        <v>9.9</v>
      </c>
      <c r="J5719" s="19">
        <v>1.39</v>
      </c>
      <c r="K5719" s="19" t="s">
        <v>33</v>
      </c>
      <c r="L5719" s="19" t="s">
        <v>59</v>
      </c>
      <c r="M5719" s="15" t="s">
        <v>2269</v>
      </c>
      <c r="N5719" s="15" t="s">
        <v>36</v>
      </c>
      <c r="O5719" s="15" t="s">
        <v>189</v>
      </c>
      <c r="P5719" s="20" t="s">
        <v>190</v>
      </c>
      <c r="Q5719" s="15" t="s">
        <v>83</v>
      </c>
      <c r="R5719" s="4"/>
      <c r="S5719" s="4"/>
    </row>
    <row r="5720" spans="1:19" ht="21" customHeight="1" x14ac:dyDescent="0.25">
      <c r="A5720" s="14">
        <f>DATE(2012,12,31)-1389</f>
        <v>39885</v>
      </c>
      <c r="B5720" s="15" t="s">
        <v>336</v>
      </c>
      <c r="C5720" s="15" t="s">
        <v>85</v>
      </c>
      <c r="D5720" s="16">
        <v>3</v>
      </c>
      <c r="E5720" s="17">
        <v>17.52</v>
      </c>
      <c r="F5720" s="16">
        <v>0.05</v>
      </c>
      <c r="G5720" s="15" t="s">
        <v>32</v>
      </c>
      <c r="H5720" s="18">
        <v>-12.1555</v>
      </c>
      <c r="I5720" s="19">
        <v>4.13</v>
      </c>
      <c r="J5720" s="19">
        <v>5.04</v>
      </c>
      <c r="K5720" s="19" t="s">
        <v>33</v>
      </c>
      <c r="L5720" s="19" t="s">
        <v>93</v>
      </c>
      <c r="M5720" s="15" t="s">
        <v>94</v>
      </c>
      <c r="N5720" s="15" t="s">
        <v>36</v>
      </c>
      <c r="O5720" s="15" t="s">
        <v>170</v>
      </c>
      <c r="P5720" s="20" t="s">
        <v>519</v>
      </c>
      <c r="Q5720" s="15" t="s">
        <v>83</v>
      </c>
      <c r="R5720" s="4"/>
      <c r="S5720" s="4"/>
    </row>
    <row r="5721" spans="1:19" ht="21" customHeight="1" x14ac:dyDescent="0.25">
      <c r="A5721" s="14">
        <f>DATE(2012,12,31)-741</f>
        <v>40533</v>
      </c>
      <c r="B5721" s="15" t="s">
        <v>355</v>
      </c>
      <c r="C5721" s="15" t="s">
        <v>85</v>
      </c>
      <c r="D5721" s="16">
        <v>38</v>
      </c>
      <c r="E5721" s="17">
        <v>82.93</v>
      </c>
      <c r="F5721" s="16">
        <v>0.08</v>
      </c>
      <c r="G5721" s="15" t="s">
        <v>32</v>
      </c>
      <c r="H5721" s="18">
        <v>-10.32</v>
      </c>
      <c r="I5721" s="19">
        <v>2.1800000000000002</v>
      </c>
      <c r="J5721" s="19">
        <v>1.38</v>
      </c>
      <c r="K5721" s="19" t="s">
        <v>33</v>
      </c>
      <c r="L5721" s="19" t="s">
        <v>59</v>
      </c>
      <c r="M5721" s="15" t="s">
        <v>2269</v>
      </c>
      <c r="N5721" s="15" t="s">
        <v>36</v>
      </c>
      <c r="O5721" s="15" t="s">
        <v>105</v>
      </c>
      <c r="P5721" s="20" t="s">
        <v>1741</v>
      </c>
      <c r="Q5721" s="15" t="s">
        <v>79</v>
      </c>
      <c r="R5721" s="4"/>
      <c r="S5721" s="4"/>
    </row>
    <row r="5722" spans="1:19" ht="21" customHeight="1" x14ac:dyDescent="0.25">
      <c r="A5722" s="14">
        <f>DATE(2012,12,31)-1365</f>
        <v>39909</v>
      </c>
      <c r="B5722" s="15" t="s">
        <v>1310</v>
      </c>
      <c r="C5722" s="15" t="s">
        <v>31</v>
      </c>
      <c r="D5722" s="16">
        <v>39</v>
      </c>
      <c r="E5722" s="17">
        <v>2413.5300000000002</v>
      </c>
      <c r="F5722" s="16">
        <v>0.06</v>
      </c>
      <c r="G5722" s="15" t="s">
        <v>32</v>
      </c>
      <c r="H5722" s="18">
        <v>544.04</v>
      </c>
      <c r="I5722" s="19">
        <v>60.65</v>
      </c>
      <c r="J5722" s="19">
        <v>12.23</v>
      </c>
      <c r="K5722" s="19" t="s">
        <v>33</v>
      </c>
      <c r="L5722" s="19" t="s">
        <v>59</v>
      </c>
      <c r="M5722" s="15" t="s">
        <v>2269</v>
      </c>
      <c r="N5722" s="15" t="s">
        <v>54</v>
      </c>
      <c r="O5722" s="15" t="s">
        <v>55</v>
      </c>
      <c r="P5722" s="20" t="s">
        <v>1317</v>
      </c>
      <c r="Q5722" s="15" t="s">
        <v>57</v>
      </c>
      <c r="R5722" s="4"/>
      <c r="S5722" s="4"/>
    </row>
    <row r="5723" spans="1:19" ht="21" customHeight="1" x14ac:dyDescent="0.25">
      <c r="A5723" s="14">
        <f>DATE(2012,12,31)-1271</f>
        <v>40003</v>
      </c>
      <c r="B5723" s="15" t="s">
        <v>1903</v>
      </c>
      <c r="C5723" s="15" t="s">
        <v>85</v>
      </c>
      <c r="D5723" s="16">
        <v>45</v>
      </c>
      <c r="E5723" s="17">
        <v>6944.0920000000006</v>
      </c>
      <c r="F5723" s="16">
        <v>0.06</v>
      </c>
      <c r="G5723" s="15" t="s">
        <v>101</v>
      </c>
      <c r="H5723" s="18">
        <v>1820.952</v>
      </c>
      <c r="I5723" s="19">
        <v>179.99</v>
      </c>
      <c r="J5723" s="19">
        <v>13.99</v>
      </c>
      <c r="K5723" s="19" t="s">
        <v>33</v>
      </c>
      <c r="L5723" s="19" t="s">
        <v>145</v>
      </c>
      <c r="M5723" s="15" t="s">
        <v>2248</v>
      </c>
      <c r="N5723" s="15" t="s">
        <v>64</v>
      </c>
      <c r="O5723" s="15" t="s">
        <v>65</v>
      </c>
      <c r="P5723" s="20" t="s">
        <v>205</v>
      </c>
      <c r="Q5723" s="15" t="s">
        <v>57</v>
      </c>
      <c r="R5723" s="4"/>
      <c r="S5723" s="4"/>
    </row>
    <row r="5724" spans="1:19" ht="21" customHeight="1" x14ac:dyDescent="0.25">
      <c r="A5724" s="14">
        <f>DATE(2012,12,31)-134</f>
        <v>41140</v>
      </c>
      <c r="B5724" s="15" t="s">
        <v>286</v>
      </c>
      <c r="C5724" s="15" t="s">
        <v>43</v>
      </c>
      <c r="D5724" s="16">
        <v>29</v>
      </c>
      <c r="E5724" s="17">
        <v>573.97</v>
      </c>
      <c r="F5724" s="16">
        <v>0.05</v>
      </c>
      <c r="G5724" s="15" t="s">
        <v>32</v>
      </c>
      <c r="H5724" s="18">
        <v>55.82</v>
      </c>
      <c r="I5724" s="19">
        <v>18.97</v>
      </c>
      <c r="J5724" s="19">
        <v>9.5399999999999991</v>
      </c>
      <c r="K5724" s="19" t="s">
        <v>33</v>
      </c>
      <c r="L5724" s="19" t="s">
        <v>59</v>
      </c>
      <c r="M5724" s="15" t="s">
        <v>2269</v>
      </c>
      <c r="N5724" s="15" t="s">
        <v>36</v>
      </c>
      <c r="O5724" s="15" t="s">
        <v>117</v>
      </c>
      <c r="P5724" s="20" t="s">
        <v>281</v>
      </c>
      <c r="Q5724" s="15" t="s">
        <v>83</v>
      </c>
      <c r="R5724" s="4"/>
      <c r="S5724" s="4"/>
    </row>
    <row r="5725" spans="1:19" ht="21" customHeight="1" x14ac:dyDescent="0.25">
      <c r="A5725" s="14">
        <f>DATE(2012,12,31)-134</f>
        <v>41140</v>
      </c>
      <c r="B5725" s="15" t="s">
        <v>286</v>
      </c>
      <c r="C5725" s="15" t="s">
        <v>43</v>
      </c>
      <c r="D5725" s="16">
        <v>39</v>
      </c>
      <c r="E5725" s="17">
        <v>223.79</v>
      </c>
      <c r="F5725" s="16">
        <v>0.01</v>
      </c>
      <c r="G5725" s="15" t="s">
        <v>32</v>
      </c>
      <c r="H5725" s="18">
        <v>-89.88</v>
      </c>
      <c r="I5725" s="19">
        <v>5.28</v>
      </c>
      <c r="J5725" s="19">
        <v>5.66</v>
      </c>
      <c r="K5725" s="19" t="s">
        <v>33</v>
      </c>
      <c r="L5725" s="19" t="s">
        <v>145</v>
      </c>
      <c r="M5725" s="15" t="s">
        <v>2248</v>
      </c>
      <c r="N5725" s="15" t="s">
        <v>36</v>
      </c>
      <c r="O5725" s="15" t="s">
        <v>117</v>
      </c>
      <c r="P5725" s="20" t="s">
        <v>2153</v>
      </c>
      <c r="Q5725" s="15" t="s">
        <v>83</v>
      </c>
      <c r="R5725" s="4"/>
      <c r="S5725" s="4"/>
    </row>
    <row r="5726" spans="1:19" ht="21" customHeight="1" x14ac:dyDescent="0.25">
      <c r="A5726" s="14">
        <f>DATE(2012,12,31)-278</f>
        <v>40996</v>
      </c>
      <c r="B5726" s="15" t="s">
        <v>307</v>
      </c>
      <c r="C5726" s="15" t="s">
        <v>43</v>
      </c>
      <c r="D5726" s="16">
        <v>12</v>
      </c>
      <c r="E5726" s="17">
        <v>66.83</v>
      </c>
      <c r="F5726" s="16">
        <v>0.02</v>
      </c>
      <c r="G5726" s="15" t="s">
        <v>101</v>
      </c>
      <c r="H5726" s="18">
        <v>-24.31</v>
      </c>
      <c r="I5726" s="19">
        <v>4.28</v>
      </c>
      <c r="J5726" s="19">
        <v>5.17</v>
      </c>
      <c r="K5726" s="19" t="s">
        <v>33</v>
      </c>
      <c r="L5726" s="19" t="s">
        <v>59</v>
      </c>
      <c r="M5726" s="15" t="s">
        <v>2269</v>
      </c>
      <c r="N5726" s="15" t="s">
        <v>36</v>
      </c>
      <c r="O5726" s="15" t="s">
        <v>117</v>
      </c>
      <c r="P5726" s="20" t="s">
        <v>1882</v>
      </c>
      <c r="Q5726" s="15" t="s">
        <v>83</v>
      </c>
      <c r="R5726" s="4"/>
      <c r="S5726" s="4"/>
    </row>
    <row r="5727" spans="1:19" ht="21" customHeight="1" x14ac:dyDescent="0.25">
      <c r="A5727" s="14">
        <f>DATE(2012,12,31)-278</f>
        <v>40996</v>
      </c>
      <c r="B5727" s="15" t="s">
        <v>307</v>
      </c>
      <c r="C5727" s="15" t="s">
        <v>43</v>
      </c>
      <c r="D5727" s="16">
        <v>43</v>
      </c>
      <c r="E5727" s="17">
        <v>1407.5150000000001</v>
      </c>
      <c r="F5727" s="16">
        <v>0</v>
      </c>
      <c r="G5727" s="15" t="s">
        <v>32</v>
      </c>
      <c r="H5727" s="18">
        <v>657.45</v>
      </c>
      <c r="I5727" s="19">
        <v>35.99</v>
      </c>
      <c r="J5727" s="19">
        <v>3.3</v>
      </c>
      <c r="K5727" s="19" t="s">
        <v>33</v>
      </c>
      <c r="L5727" s="19" t="s">
        <v>59</v>
      </c>
      <c r="M5727" s="15" t="s">
        <v>2269</v>
      </c>
      <c r="N5727" s="15" t="s">
        <v>64</v>
      </c>
      <c r="O5727" s="15" t="s">
        <v>65</v>
      </c>
      <c r="P5727" s="20" t="s">
        <v>1720</v>
      </c>
      <c r="Q5727" s="15" t="s">
        <v>49</v>
      </c>
      <c r="R5727" s="4"/>
      <c r="S5727" s="4"/>
    </row>
    <row r="5728" spans="1:19" ht="21" customHeight="1" x14ac:dyDescent="0.25">
      <c r="A5728" s="14">
        <f>DATE(2012,12,31)-672</f>
        <v>40602</v>
      </c>
      <c r="B5728" s="15" t="s">
        <v>2127</v>
      </c>
      <c r="C5728" s="15" t="s">
        <v>51</v>
      </c>
      <c r="D5728" s="16">
        <v>9</v>
      </c>
      <c r="E5728" s="17">
        <v>19.2</v>
      </c>
      <c r="F5728" s="16">
        <v>0.1</v>
      </c>
      <c r="G5728" s="15" t="s">
        <v>32</v>
      </c>
      <c r="H5728" s="18">
        <v>-6.84</v>
      </c>
      <c r="I5728" s="19">
        <v>2.21</v>
      </c>
      <c r="J5728" s="19">
        <v>1.1200000000000001</v>
      </c>
      <c r="K5728" s="19" t="s">
        <v>33</v>
      </c>
      <c r="L5728" s="19" t="s">
        <v>145</v>
      </c>
      <c r="M5728" s="15" t="s">
        <v>2248</v>
      </c>
      <c r="N5728" s="15" t="s">
        <v>36</v>
      </c>
      <c r="O5728" s="15" t="s">
        <v>77</v>
      </c>
      <c r="P5728" s="20" t="s">
        <v>1790</v>
      </c>
      <c r="Q5728" s="15" t="s">
        <v>79</v>
      </c>
      <c r="R5728" s="4"/>
      <c r="S5728" s="4"/>
    </row>
    <row r="5729" spans="1:19" ht="21" customHeight="1" x14ac:dyDescent="0.25">
      <c r="A5729" s="14">
        <f>DATE(2012,12,31)-636</f>
        <v>40638</v>
      </c>
      <c r="B5729" s="15" t="s">
        <v>990</v>
      </c>
      <c r="C5729" s="15" t="s">
        <v>85</v>
      </c>
      <c r="D5729" s="16">
        <v>23</v>
      </c>
      <c r="E5729" s="17">
        <v>258.74</v>
      </c>
      <c r="F5729" s="16">
        <v>0.05</v>
      </c>
      <c r="G5729" s="15" t="s">
        <v>32</v>
      </c>
      <c r="H5729" s="18">
        <v>10.8</v>
      </c>
      <c r="I5729" s="19">
        <v>11.58</v>
      </c>
      <c r="J5729" s="19">
        <v>5.72</v>
      </c>
      <c r="K5729" s="19" t="s">
        <v>33</v>
      </c>
      <c r="L5729" s="19" t="s">
        <v>145</v>
      </c>
      <c r="M5729" s="15" t="s">
        <v>2248</v>
      </c>
      <c r="N5729" s="15" t="s">
        <v>36</v>
      </c>
      <c r="O5729" s="15" t="s">
        <v>189</v>
      </c>
      <c r="P5729" s="20" t="s">
        <v>977</v>
      </c>
      <c r="Q5729" s="15" t="s">
        <v>83</v>
      </c>
      <c r="R5729" s="4"/>
      <c r="S5729" s="4"/>
    </row>
    <row r="5730" spans="1:19" ht="21" customHeight="1" x14ac:dyDescent="0.25">
      <c r="A5730" s="14">
        <f>DATE(2012,12,31)-1232</f>
        <v>40042</v>
      </c>
      <c r="B5730" s="15" t="s">
        <v>1817</v>
      </c>
      <c r="C5730" s="15" t="s">
        <v>51</v>
      </c>
      <c r="D5730" s="16">
        <v>47</v>
      </c>
      <c r="E5730" s="17">
        <v>1982.16</v>
      </c>
      <c r="F5730" s="16">
        <v>0.03</v>
      </c>
      <c r="G5730" s="15" t="s">
        <v>32</v>
      </c>
      <c r="H5730" s="18">
        <v>267.10000000000002</v>
      </c>
      <c r="I5730" s="19">
        <v>40.99</v>
      </c>
      <c r="J5730" s="19">
        <v>19.989999999999998</v>
      </c>
      <c r="K5730" s="19" t="s">
        <v>33</v>
      </c>
      <c r="L5730" s="19" t="s">
        <v>145</v>
      </c>
      <c r="M5730" s="15" t="s">
        <v>2248</v>
      </c>
      <c r="N5730" s="15" t="s">
        <v>36</v>
      </c>
      <c r="O5730" s="15" t="s">
        <v>117</v>
      </c>
      <c r="P5730" s="20" t="s">
        <v>619</v>
      </c>
      <c r="Q5730" s="15" t="s">
        <v>83</v>
      </c>
      <c r="R5730" s="4"/>
      <c r="S5730" s="4"/>
    </row>
    <row r="5731" spans="1:19" ht="21" customHeight="1" x14ac:dyDescent="0.25">
      <c r="A5731" s="14">
        <f>DATE(2012,12,31)-63</f>
        <v>41211</v>
      </c>
      <c r="B5731" s="15" t="s">
        <v>468</v>
      </c>
      <c r="C5731" s="15" t="s">
        <v>31</v>
      </c>
      <c r="D5731" s="16">
        <v>16</v>
      </c>
      <c r="E5731" s="17">
        <v>1617.91</v>
      </c>
      <c r="F5731" s="16">
        <v>0.04</v>
      </c>
      <c r="G5731" s="15" t="s">
        <v>58</v>
      </c>
      <c r="H5731" s="18">
        <v>-159.21</v>
      </c>
      <c r="I5731" s="19">
        <v>100.98</v>
      </c>
      <c r="J5731" s="19">
        <v>35.840000000000003</v>
      </c>
      <c r="K5731" s="19" t="s">
        <v>69</v>
      </c>
      <c r="L5731" s="19" t="s">
        <v>70</v>
      </c>
      <c r="M5731" s="15" t="s">
        <v>2230</v>
      </c>
      <c r="N5731" s="15" t="s">
        <v>54</v>
      </c>
      <c r="O5731" s="15" t="s">
        <v>134</v>
      </c>
      <c r="P5731" s="20" t="s">
        <v>440</v>
      </c>
      <c r="Q5731" s="15" t="s">
        <v>63</v>
      </c>
      <c r="R5731" s="4"/>
      <c r="S5731" s="4"/>
    </row>
    <row r="5732" spans="1:19" ht="21" customHeight="1" x14ac:dyDescent="0.25">
      <c r="A5732" s="14">
        <f>DATE(2012,12,31)-318</f>
        <v>40956</v>
      </c>
      <c r="B5732" s="15" t="s">
        <v>245</v>
      </c>
      <c r="C5732" s="15" t="s">
        <v>31</v>
      </c>
      <c r="D5732" s="16">
        <v>14</v>
      </c>
      <c r="E5732" s="17">
        <v>157.49</v>
      </c>
      <c r="F5732" s="16">
        <v>0.02</v>
      </c>
      <c r="G5732" s="15" t="s">
        <v>32</v>
      </c>
      <c r="H5732" s="18">
        <v>62.54</v>
      </c>
      <c r="I5732" s="19">
        <v>10.94</v>
      </c>
      <c r="J5732" s="19">
        <v>1.39</v>
      </c>
      <c r="K5732" s="19" t="s">
        <v>69</v>
      </c>
      <c r="L5732" s="19" t="s">
        <v>70</v>
      </c>
      <c r="M5732" s="15" t="s">
        <v>2230</v>
      </c>
      <c r="N5732" s="15" t="s">
        <v>36</v>
      </c>
      <c r="O5732" s="15" t="s">
        <v>189</v>
      </c>
      <c r="P5732" s="20" t="s">
        <v>2110</v>
      </c>
      <c r="Q5732" s="15" t="s">
        <v>83</v>
      </c>
      <c r="R5732" s="4"/>
      <c r="S5732" s="4"/>
    </row>
    <row r="5733" spans="1:19" ht="21" customHeight="1" x14ac:dyDescent="0.25">
      <c r="A5733" s="14">
        <f>DATE(2012,12,31)-978</f>
        <v>40296</v>
      </c>
      <c r="B5733" s="15" t="s">
        <v>1682</v>
      </c>
      <c r="C5733" s="15" t="s">
        <v>31</v>
      </c>
      <c r="D5733" s="16">
        <v>42</v>
      </c>
      <c r="E5733" s="17">
        <v>2753.07</v>
      </c>
      <c r="F5733" s="16">
        <v>7.0000000000000007E-2</v>
      </c>
      <c r="G5733" s="15" t="s">
        <v>32</v>
      </c>
      <c r="H5733" s="18">
        <v>551.33550000000002</v>
      </c>
      <c r="I5733" s="19">
        <v>67.28</v>
      </c>
      <c r="J5733" s="19">
        <v>19.989999999999998</v>
      </c>
      <c r="K5733" s="19" t="s">
        <v>69</v>
      </c>
      <c r="L5733" s="19" t="s">
        <v>70</v>
      </c>
      <c r="M5733" s="15" t="s">
        <v>2230</v>
      </c>
      <c r="N5733" s="15" t="s">
        <v>36</v>
      </c>
      <c r="O5733" s="15" t="s">
        <v>170</v>
      </c>
      <c r="P5733" s="20" t="s">
        <v>821</v>
      </c>
      <c r="Q5733" s="15" t="s">
        <v>83</v>
      </c>
      <c r="R5733" s="4"/>
      <c r="S5733" s="4"/>
    </row>
    <row r="5734" spans="1:19" ht="21" customHeight="1" x14ac:dyDescent="0.25">
      <c r="A5734" s="14">
        <f>DATE(2012,12,31)-1454</f>
        <v>39820</v>
      </c>
      <c r="B5734" s="15" t="s">
        <v>2220</v>
      </c>
      <c r="C5734" s="15" t="s">
        <v>31</v>
      </c>
      <c r="D5734" s="16">
        <v>6</v>
      </c>
      <c r="E5734" s="17">
        <v>11.57</v>
      </c>
      <c r="F5734" s="16">
        <v>0.01</v>
      </c>
      <c r="G5734" s="15" t="s">
        <v>32</v>
      </c>
      <c r="H5734" s="18">
        <v>-2.06</v>
      </c>
      <c r="I5734" s="19">
        <v>1.76</v>
      </c>
      <c r="J5734" s="19">
        <v>0.7</v>
      </c>
      <c r="K5734" s="19" t="s">
        <v>69</v>
      </c>
      <c r="L5734" s="19" t="s">
        <v>70</v>
      </c>
      <c r="M5734" s="15" t="s">
        <v>2230</v>
      </c>
      <c r="N5734" s="15" t="s">
        <v>36</v>
      </c>
      <c r="O5734" s="15" t="s">
        <v>77</v>
      </c>
      <c r="P5734" s="20" t="s">
        <v>526</v>
      </c>
      <c r="Q5734" s="15" t="s">
        <v>79</v>
      </c>
      <c r="R5734" s="4"/>
      <c r="S5734" s="4"/>
    </row>
    <row r="5735" spans="1:19" ht="21" customHeight="1" x14ac:dyDescent="0.25">
      <c r="A5735" s="14">
        <f>DATE(2012,12,31)-345</f>
        <v>40929</v>
      </c>
      <c r="B5735" s="15" t="s">
        <v>1894</v>
      </c>
      <c r="C5735" s="15" t="s">
        <v>85</v>
      </c>
      <c r="D5735" s="16">
        <v>40</v>
      </c>
      <c r="E5735" s="17">
        <v>111.04</v>
      </c>
      <c r="F5735" s="16">
        <v>0.08</v>
      </c>
      <c r="G5735" s="15" t="s">
        <v>101</v>
      </c>
      <c r="H5735" s="18">
        <v>45.1</v>
      </c>
      <c r="I5735" s="19">
        <v>2.61</v>
      </c>
      <c r="J5735" s="19">
        <v>0.5</v>
      </c>
      <c r="K5735" s="19" t="s">
        <v>69</v>
      </c>
      <c r="L5735" s="19" t="s">
        <v>70</v>
      </c>
      <c r="M5735" s="15" t="s">
        <v>2230</v>
      </c>
      <c r="N5735" s="15" t="s">
        <v>36</v>
      </c>
      <c r="O5735" s="15" t="s">
        <v>114</v>
      </c>
      <c r="P5735" s="20" t="s">
        <v>593</v>
      </c>
      <c r="Q5735" s="15" t="s">
        <v>83</v>
      </c>
      <c r="R5735" s="4"/>
      <c r="S5735" s="4"/>
    </row>
    <row r="5736" spans="1:19" ht="21" customHeight="1" x14ac:dyDescent="0.25">
      <c r="A5736" s="14">
        <f>DATE(2012,12,31)-1299</f>
        <v>39975</v>
      </c>
      <c r="B5736" s="15" t="s">
        <v>1933</v>
      </c>
      <c r="C5736" s="15" t="s">
        <v>51</v>
      </c>
      <c r="D5736" s="16">
        <v>26</v>
      </c>
      <c r="E5736" s="17">
        <v>1495.184</v>
      </c>
      <c r="F5736" s="16">
        <v>0</v>
      </c>
      <c r="G5736" s="15" t="s">
        <v>32</v>
      </c>
      <c r="H5736" s="18">
        <v>211.08599999999998</v>
      </c>
      <c r="I5736" s="19">
        <v>65.989999999999995</v>
      </c>
      <c r="J5736" s="19">
        <v>8.99</v>
      </c>
      <c r="K5736" s="19" t="s">
        <v>69</v>
      </c>
      <c r="L5736" s="19" t="s">
        <v>70</v>
      </c>
      <c r="M5736" s="15" t="s">
        <v>2230</v>
      </c>
      <c r="N5736" s="15" t="s">
        <v>64</v>
      </c>
      <c r="O5736" s="15" t="s">
        <v>65</v>
      </c>
      <c r="P5736" s="20" t="s">
        <v>692</v>
      </c>
      <c r="Q5736" s="15" t="s">
        <v>83</v>
      </c>
      <c r="R5736" s="4"/>
      <c r="S5736" s="4"/>
    </row>
    <row r="5737" spans="1:19" ht="21" customHeight="1" x14ac:dyDescent="0.25">
      <c r="A5737" s="14">
        <f>DATE(2012,12,31)-1176</f>
        <v>40098</v>
      </c>
      <c r="B5737" s="15" t="s">
        <v>1793</v>
      </c>
      <c r="C5737" s="15" t="s">
        <v>43</v>
      </c>
      <c r="D5737" s="16">
        <v>15</v>
      </c>
      <c r="E5737" s="17">
        <v>103.55</v>
      </c>
      <c r="F5737" s="16">
        <v>0.03</v>
      </c>
      <c r="G5737" s="15" t="s">
        <v>32</v>
      </c>
      <c r="H5737" s="18">
        <v>19.59</v>
      </c>
      <c r="I5737" s="19">
        <v>6.68</v>
      </c>
      <c r="J5737" s="19">
        <v>1.5</v>
      </c>
      <c r="K5737" s="19" t="s">
        <v>69</v>
      </c>
      <c r="L5737" s="19" t="s">
        <v>70</v>
      </c>
      <c r="M5737" s="15" t="s">
        <v>2230</v>
      </c>
      <c r="N5737" s="15" t="s">
        <v>36</v>
      </c>
      <c r="O5737" s="15" t="s">
        <v>77</v>
      </c>
      <c r="P5737" s="20" t="s">
        <v>857</v>
      </c>
      <c r="Q5737" s="15" t="s">
        <v>79</v>
      </c>
      <c r="R5737" s="4"/>
      <c r="S5737" s="4"/>
    </row>
    <row r="5738" spans="1:19" ht="21" customHeight="1" x14ac:dyDescent="0.25">
      <c r="A5738" s="14">
        <f>DATE(2012,12,31)-625</f>
        <v>40649</v>
      </c>
      <c r="B5738" s="15" t="s">
        <v>1919</v>
      </c>
      <c r="C5738" s="15" t="s">
        <v>31</v>
      </c>
      <c r="D5738" s="16">
        <v>19</v>
      </c>
      <c r="E5738" s="17">
        <v>217.69</v>
      </c>
      <c r="F5738" s="16">
        <v>0.09</v>
      </c>
      <c r="G5738" s="15" t="s">
        <v>32</v>
      </c>
      <c r="H5738" s="18">
        <v>-11.66</v>
      </c>
      <c r="I5738" s="19">
        <v>11.33</v>
      </c>
      <c r="J5738" s="19">
        <v>6.12</v>
      </c>
      <c r="K5738" s="19" t="s">
        <v>69</v>
      </c>
      <c r="L5738" s="19" t="s">
        <v>70</v>
      </c>
      <c r="M5738" s="15" t="s">
        <v>2230</v>
      </c>
      <c r="N5738" s="15" t="s">
        <v>36</v>
      </c>
      <c r="O5738" s="15" t="s">
        <v>176</v>
      </c>
      <c r="P5738" s="20" t="s">
        <v>1042</v>
      </c>
      <c r="Q5738" s="15" t="s">
        <v>57</v>
      </c>
      <c r="R5738" s="4"/>
      <c r="S5738" s="4"/>
    </row>
    <row r="5739" spans="1:19" ht="21" customHeight="1" x14ac:dyDescent="0.25">
      <c r="A5739" s="14">
        <f>DATE(2012,12,31)-322</f>
        <v>40952</v>
      </c>
      <c r="B5739" s="15" t="s">
        <v>1866</v>
      </c>
      <c r="C5739" s="15" t="s">
        <v>85</v>
      </c>
      <c r="D5739" s="16">
        <v>15</v>
      </c>
      <c r="E5739" s="17">
        <v>128.27000000000001</v>
      </c>
      <c r="F5739" s="16">
        <v>0</v>
      </c>
      <c r="G5739" s="15" t="s">
        <v>32</v>
      </c>
      <c r="H5739" s="18">
        <v>22.85</v>
      </c>
      <c r="I5739" s="19">
        <v>7.89</v>
      </c>
      <c r="J5739" s="19">
        <v>2.82</v>
      </c>
      <c r="K5739" s="19" t="s">
        <v>69</v>
      </c>
      <c r="L5739" s="19" t="s">
        <v>75</v>
      </c>
      <c r="M5739" s="15" t="s">
        <v>2231</v>
      </c>
      <c r="N5739" s="15" t="s">
        <v>36</v>
      </c>
      <c r="O5739" s="15" t="s">
        <v>105</v>
      </c>
      <c r="P5739" s="20" t="s">
        <v>2022</v>
      </c>
      <c r="Q5739" s="15" t="s">
        <v>79</v>
      </c>
      <c r="R5739" s="4"/>
      <c r="S5739" s="4"/>
    </row>
    <row r="5740" spans="1:19" ht="21" customHeight="1" x14ac:dyDescent="0.25">
      <c r="A5740" s="14">
        <f>DATE(2012,12,31)-775</f>
        <v>40499</v>
      </c>
      <c r="B5740" s="15" t="s">
        <v>489</v>
      </c>
      <c r="C5740" s="15" t="s">
        <v>31</v>
      </c>
      <c r="D5740" s="16">
        <v>23</v>
      </c>
      <c r="E5740" s="17">
        <v>279.63</v>
      </c>
      <c r="F5740" s="16">
        <v>7.0000000000000007E-2</v>
      </c>
      <c r="G5740" s="15" t="s">
        <v>32</v>
      </c>
      <c r="H5740" s="18">
        <v>61.69</v>
      </c>
      <c r="I5740" s="19">
        <v>12.58</v>
      </c>
      <c r="J5740" s="19">
        <v>5.16</v>
      </c>
      <c r="K5740" s="19" t="s">
        <v>69</v>
      </c>
      <c r="L5740" s="19" t="s">
        <v>75</v>
      </c>
      <c r="M5740" s="15" t="s">
        <v>2231</v>
      </c>
      <c r="N5740" s="15" t="s">
        <v>54</v>
      </c>
      <c r="O5740" s="15" t="s">
        <v>55</v>
      </c>
      <c r="P5740" s="20" t="s">
        <v>840</v>
      </c>
      <c r="Q5740" s="15" t="s">
        <v>83</v>
      </c>
      <c r="R5740" s="4"/>
      <c r="S5740" s="4"/>
    </row>
    <row r="5741" spans="1:19" ht="21" customHeight="1" x14ac:dyDescent="0.25">
      <c r="A5741" s="14">
        <f>DATE(2012,12,31)-758</f>
        <v>40516</v>
      </c>
      <c r="B5741" s="15" t="s">
        <v>1924</v>
      </c>
      <c r="C5741" s="15" t="s">
        <v>43</v>
      </c>
      <c r="D5741" s="16">
        <v>41</v>
      </c>
      <c r="E5741" s="17">
        <v>260.31</v>
      </c>
      <c r="F5741" s="16">
        <v>0.05</v>
      </c>
      <c r="G5741" s="15" t="s">
        <v>32</v>
      </c>
      <c r="H5741" s="18">
        <v>-175.26</v>
      </c>
      <c r="I5741" s="19">
        <v>6.48</v>
      </c>
      <c r="J5741" s="19">
        <v>7.91</v>
      </c>
      <c r="K5741" s="19" t="s">
        <v>69</v>
      </c>
      <c r="L5741" s="19" t="s">
        <v>70</v>
      </c>
      <c r="M5741" s="15" t="s">
        <v>2230</v>
      </c>
      <c r="N5741" s="15" t="s">
        <v>36</v>
      </c>
      <c r="O5741" s="15" t="s">
        <v>117</v>
      </c>
      <c r="P5741" s="20" t="s">
        <v>547</v>
      </c>
      <c r="Q5741" s="15" t="s">
        <v>83</v>
      </c>
      <c r="R5741" s="4"/>
      <c r="S5741" s="4"/>
    </row>
    <row r="5742" spans="1:19" ht="21" customHeight="1" x14ac:dyDescent="0.25">
      <c r="A5742" s="14">
        <f>DATE(2012,12,31)-758</f>
        <v>40516</v>
      </c>
      <c r="B5742" s="15" t="s">
        <v>1924</v>
      </c>
      <c r="C5742" s="15" t="s">
        <v>43</v>
      </c>
      <c r="D5742" s="16">
        <v>18</v>
      </c>
      <c r="E5742" s="17">
        <v>101.34</v>
      </c>
      <c r="F5742" s="16">
        <v>0.06</v>
      </c>
      <c r="G5742" s="15" t="s">
        <v>32</v>
      </c>
      <c r="H5742" s="18">
        <v>26.11</v>
      </c>
      <c r="I5742" s="19">
        <v>5.68</v>
      </c>
      <c r="J5742" s="19">
        <v>1.39</v>
      </c>
      <c r="K5742" s="19" t="s">
        <v>69</v>
      </c>
      <c r="L5742" s="19" t="s">
        <v>75</v>
      </c>
      <c r="M5742" s="15" t="s">
        <v>2231</v>
      </c>
      <c r="N5742" s="15" t="s">
        <v>36</v>
      </c>
      <c r="O5742" s="15" t="s">
        <v>189</v>
      </c>
      <c r="P5742" s="20" t="s">
        <v>202</v>
      </c>
      <c r="Q5742" s="15" t="s">
        <v>83</v>
      </c>
      <c r="R5742" s="4"/>
      <c r="S5742" s="4"/>
    </row>
    <row r="5743" spans="1:19" ht="21" customHeight="1" x14ac:dyDescent="0.25">
      <c r="A5743" s="14">
        <f>DATE(2012,12,31)-183</f>
        <v>41091</v>
      </c>
      <c r="B5743" s="15" t="s">
        <v>1580</v>
      </c>
      <c r="C5743" s="15" t="s">
        <v>43</v>
      </c>
      <c r="D5743" s="16">
        <v>20</v>
      </c>
      <c r="E5743" s="17">
        <v>129.16</v>
      </c>
      <c r="F5743" s="16">
        <v>7.0000000000000007E-2</v>
      </c>
      <c r="G5743" s="15" t="s">
        <v>32</v>
      </c>
      <c r="H5743" s="18">
        <v>-56.15</v>
      </c>
      <c r="I5743" s="19">
        <v>6.48</v>
      </c>
      <c r="J5743" s="19">
        <v>6.22</v>
      </c>
      <c r="K5743" s="19" t="s">
        <v>69</v>
      </c>
      <c r="L5743" s="19" t="s">
        <v>70</v>
      </c>
      <c r="M5743" s="15" t="s">
        <v>2230</v>
      </c>
      <c r="N5743" s="15" t="s">
        <v>36</v>
      </c>
      <c r="O5743" s="15" t="s">
        <v>117</v>
      </c>
      <c r="P5743" s="20" t="s">
        <v>1323</v>
      </c>
      <c r="Q5743" s="15" t="s">
        <v>83</v>
      </c>
      <c r="R5743" s="4"/>
      <c r="S5743" s="4"/>
    </row>
    <row r="5744" spans="1:19" ht="21" customHeight="1" x14ac:dyDescent="0.25">
      <c r="A5744" s="14">
        <f>DATE(2012,12,31)-119</f>
        <v>41155</v>
      </c>
      <c r="B5744" s="15" t="s">
        <v>946</v>
      </c>
      <c r="C5744" s="15" t="s">
        <v>51</v>
      </c>
      <c r="D5744" s="16">
        <v>28</v>
      </c>
      <c r="E5744" s="17">
        <v>3361.02</v>
      </c>
      <c r="F5744" s="16">
        <v>0.04</v>
      </c>
      <c r="G5744" s="15" t="s">
        <v>58</v>
      </c>
      <c r="H5744" s="18">
        <v>26.05</v>
      </c>
      <c r="I5744" s="19">
        <v>115.99</v>
      </c>
      <c r="J5744" s="19">
        <v>56.14</v>
      </c>
      <c r="K5744" s="19" t="s">
        <v>69</v>
      </c>
      <c r="L5744" s="19" t="s">
        <v>75</v>
      </c>
      <c r="M5744" s="15" t="s">
        <v>2231</v>
      </c>
      <c r="N5744" s="15" t="s">
        <v>64</v>
      </c>
      <c r="O5744" s="15" t="s">
        <v>122</v>
      </c>
      <c r="P5744" s="20" t="s">
        <v>306</v>
      </c>
      <c r="Q5744" s="15" t="s">
        <v>181</v>
      </c>
      <c r="R5744" s="4"/>
      <c r="S5744" s="4"/>
    </row>
    <row r="5745" spans="1:19" ht="21" customHeight="1" x14ac:dyDescent="0.25">
      <c r="A5745" s="14">
        <f>DATE(2012,12,31)-628</f>
        <v>40646</v>
      </c>
      <c r="B5745" s="15" t="s">
        <v>1270</v>
      </c>
      <c r="C5745" s="15" t="s">
        <v>31</v>
      </c>
      <c r="D5745" s="16">
        <v>22</v>
      </c>
      <c r="E5745" s="17">
        <v>83.02</v>
      </c>
      <c r="F5745" s="16">
        <v>0.08</v>
      </c>
      <c r="G5745" s="15" t="s">
        <v>32</v>
      </c>
      <c r="H5745" s="18">
        <v>9.2394999999999996</v>
      </c>
      <c r="I5745" s="19">
        <v>3.8</v>
      </c>
      <c r="J5745" s="19">
        <v>1.49</v>
      </c>
      <c r="K5745" s="19" t="s">
        <v>69</v>
      </c>
      <c r="L5745" s="19" t="s">
        <v>215</v>
      </c>
      <c r="M5745" s="15" t="s">
        <v>2197</v>
      </c>
      <c r="N5745" s="15" t="s">
        <v>36</v>
      </c>
      <c r="O5745" s="15" t="s">
        <v>170</v>
      </c>
      <c r="P5745" s="20" t="s">
        <v>611</v>
      </c>
      <c r="Q5745" s="15" t="s">
        <v>83</v>
      </c>
      <c r="R5745" s="4"/>
      <c r="S5745" s="4"/>
    </row>
    <row r="5746" spans="1:19" ht="21" customHeight="1" x14ac:dyDescent="0.25">
      <c r="A5746" s="14">
        <f>DATE(2012,12,31)-628</f>
        <v>40646</v>
      </c>
      <c r="B5746" s="15" t="s">
        <v>1270</v>
      </c>
      <c r="C5746" s="15" t="s">
        <v>31</v>
      </c>
      <c r="D5746" s="16">
        <v>35</v>
      </c>
      <c r="E5746" s="17">
        <v>10278.790000000001</v>
      </c>
      <c r="F5746" s="16">
        <v>0.04</v>
      </c>
      <c r="G5746" s="15" t="s">
        <v>58</v>
      </c>
      <c r="H5746" s="18">
        <v>1512.07</v>
      </c>
      <c r="I5746" s="19">
        <v>300.98</v>
      </c>
      <c r="J5746" s="19">
        <v>64.73</v>
      </c>
      <c r="K5746" s="19" t="s">
        <v>111</v>
      </c>
      <c r="L5746" s="19" t="s">
        <v>112</v>
      </c>
      <c r="M5746" s="15" t="s">
        <v>2198</v>
      </c>
      <c r="N5746" s="15" t="s">
        <v>54</v>
      </c>
      <c r="O5746" s="15" t="s">
        <v>252</v>
      </c>
      <c r="P5746" s="20" t="s">
        <v>1015</v>
      </c>
      <c r="Q5746" s="15" t="s">
        <v>181</v>
      </c>
      <c r="R5746" s="4"/>
      <c r="S5746" s="4"/>
    </row>
    <row r="5747" spans="1:19" ht="21" customHeight="1" x14ac:dyDescent="0.25">
      <c r="A5747" s="14">
        <f>DATE(2012,12,31)-1025</f>
        <v>40249</v>
      </c>
      <c r="B5747" s="15" t="s">
        <v>191</v>
      </c>
      <c r="C5747" s="15" t="s">
        <v>85</v>
      </c>
      <c r="D5747" s="16">
        <v>36</v>
      </c>
      <c r="E5747" s="17">
        <v>4273.8</v>
      </c>
      <c r="F5747" s="16">
        <v>0.06</v>
      </c>
      <c r="G5747" s="15" t="s">
        <v>58</v>
      </c>
      <c r="H5747" s="18">
        <v>-1775.83</v>
      </c>
      <c r="I5747" s="19">
        <v>122.99</v>
      </c>
      <c r="J5747" s="19">
        <v>70.2</v>
      </c>
      <c r="K5747" s="19" t="s">
        <v>111</v>
      </c>
      <c r="L5747" s="19" t="s">
        <v>112</v>
      </c>
      <c r="M5747" s="15" t="s">
        <v>2270</v>
      </c>
      <c r="N5747" s="15" t="s">
        <v>54</v>
      </c>
      <c r="O5747" s="15" t="s">
        <v>252</v>
      </c>
      <c r="P5747" s="20" t="s">
        <v>819</v>
      </c>
      <c r="Q5747" s="15" t="s">
        <v>181</v>
      </c>
      <c r="R5747" s="4"/>
      <c r="S5747" s="4"/>
    </row>
    <row r="5748" spans="1:19" ht="21" customHeight="1" x14ac:dyDescent="0.25">
      <c r="A5748" s="14">
        <f>DATE(2012,12,31)-482</f>
        <v>40792</v>
      </c>
      <c r="B5748" s="15" t="s">
        <v>1360</v>
      </c>
      <c r="C5748" s="15" t="s">
        <v>85</v>
      </c>
      <c r="D5748" s="16">
        <v>8</v>
      </c>
      <c r="E5748" s="17">
        <v>53.14</v>
      </c>
      <c r="F5748" s="16">
        <v>0</v>
      </c>
      <c r="G5748" s="15" t="s">
        <v>32</v>
      </c>
      <c r="H5748" s="18">
        <v>-41.262</v>
      </c>
      <c r="I5748" s="19">
        <v>5.4</v>
      </c>
      <c r="J5748" s="19">
        <v>7.78</v>
      </c>
      <c r="K5748" s="19" t="s">
        <v>111</v>
      </c>
      <c r="L5748" s="19" t="s">
        <v>407</v>
      </c>
      <c r="M5748" s="15" t="s">
        <v>407</v>
      </c>
      <c r="N5748" s="15" t="s">
        <v>36</v>
      </c>
      <c r="O5748" s="15" t="s">
        <v>170</v>
      </c>
      <c r="P5748" s="20" t="s">
        <v>186</v>
      </c>
      <c r="Q5748" s="15" t="s">
        <v>83</v>
      </c>
      <c r="R5748" s="4"/>
      <c r="S5748" s="4"/>
    </row>
    <row r="5749" spans="1:19" ht="21" customHeight="1" x14ac:dyDescent="0.25">
      <c r="A5749" s="14">
        <f>DATE(2012,12,31)-1008</f>
        <v>40266</v>
      </c>
      <c r="B5749" s="15" t="s">
        <v>1824</v>
      </c>
      <c r="C5749" s="15" t="s">
        <v>51</v>
      </c>
      <c r="D5749" s="16">
        <v>22</v>
      </c>
      <c r="E5749" s="17">
        <v>447.23</v>
      </c>
      <c r="F5749" s="16">
        <v>0.03</v>
      </c>
      <c r="G5749" s="15" t="s">
        <v>32</v>
      </c>
      <c r="H5749" s="18">
        <v>122.78</v>
      </c>
      <c r="I5749" s="19">
        <v>20.239999999999998</v>
      </c>
      <c r="J5749" s="19">
        <v>6.67</v>
      </c>
      <c r="K5749" s="19" t="s">
        <v>111</v>
      </c>
      <c r="L5749" s="19" t="s">
        <v>258</v>
      </c>
      <c r="M5749" s="15" t="s">
        <v>259</v>
      </c>
      <c r="N5749" s="15" t="s">
        <v>54</v>
      </c>
      <c r="O5749" s="15" t="s">
        <v>55</v>
      </c>
      <c r="P5749" s="20" t="s">
        <v>960</v>
      </c>
      <c r="Q5749" s="15" t="s">
        <v>49</v>
      </c>
      <c r="R5749" s="4"/>
      <c r="S5749" s="4"/>
    </row>
    <row r="5750" spans="1:19" ht="21" customHeight="1" x14ac:dyDescent="0.25">
      <c r="A5750" s="14">
        <f>DATE(2012,12,31)-900</f>
        <v>40374</v>
      </c>
      <c r="B5750" s="15" t="s">
        <v>1030</v>
      </c>
      <c r="C5750" s="15" t="s">
        <v>31</v>
      </c>
      <c r="D5750" s="16">
        <v>48</v>
      </c>
      <c r="E5750" s="17">
        <v>2688.0825</v>
      </c>
      <c r="F5750" s="16">
        <v>0.04</v>
      </c>
      <c r="G5750" s="15" t="s">
        <v>32</v>
      </c>
      <c r="H5750" s="18">
        <v>844.82100000000003</v>
      </c>
      <c r="I5750" s="19">
        <v>65.989999999999995</v>
      </c>
      <c r="J5750" s="19">
        <v>2.5</v>
      </c>
      <c r="K5750" s="19" t="s">
        <v>111</v>
      </c>
      <c r="L5750" s="19" t="s">
        <v>112</v>
      </c>
      <c r="M5750" s="15" t="s">
        <v>2270</v>
      </c>
      <c r="N5750" s="15" t="s">
        <v>64</v>
      </c>
      <c r="O5750" s="15" t="s">
        <v>65</v>
      </c>
      <c r="P5750" s="20" t="s">
        <v>1912</v>
      </c>
      <c r="Q5750" s="15" t="s">
        <v>83</v>
      </c>
      <c r="R5750" s="4"/>
      <c r="S5750" s="4"/>
    </row>
    <row r="5751" spans="1:19" ht="21" customHeight="1" x14ac:dyDescent="0.25">
      <c r="A5751" s="14">
        <f>DATE(2012,12,31)-1133</f>
        <v>40141</v>
      </c>
      <c r="B5751" s="15" t="s">
        <v>633</v>
      </c>
      <c r="C5751" s="15" t="s">
        <v>51</v>
      </c>
      <c r="D5751" s="16">
        <v>26</v>
      </c>
      <c r="E5751" s="17">
        <v>393.59</v>
      </c>
      <c r="F5751" s="16">
        <v>0.06</v>
      </c>
      <c r="G5751" s="15" t="s">
        <v>32</v>
      </c>
      <c r="H5751" s="18">
        <v>-8.0845000000000002</v>
      </c>
      <c r="I5751" s="19">
        <v>15.01</v>
      </c>
      <c r="J5751" s="19">
        <v>8.4</v>
      </c>
      <c r="K5751" s="19" t="s">
        <v>111</v>
      </c>
      <c r="L5751" s="19" t="s">
        <v>112</v>
      </c>
      <c r="M5751" s="15" t="s">
        <v>2270</v>
      </c>
      <c r="N5751" s="15" t="s">
        <v>36</v>
      </c>
      <c r="O5751" s="15" t="s">
        <v>170</v>
      </c>
      <c r="P5751" s="20" t="s">
        <v>1304</v>
      </c>
      <c r="Q5751" s="15" t="s">
        <v>83</v>
      </c>
      <c r="R5751" s="4"/>
      <c r="S5751" s="4"/>
    </row>
    <row r="5752" spans="1:19" ht="21" customHeight="1" x14ac:dyDescent="0.25">
      <c r="A5752" s="14">
        <f>DATE(2012,12,31)-1133</f>
        <v>40141</v>
      </c>
      <c r="B5752" s="15" t="s">
        <v>633</v>
      </c>
      <c r="C5752" s="15" t="s">
        <v>51</v>
      </c>
      <c r="D5752" s="16">
        <v>14</v>
      </c>
      <c r="E5752" s="17">
        <v>551.17999999999995</v>
      </c>
      <c r="F5752" s="16">
        <v>0.09</v>
      </c>
      <c r="G5752" s="15" t="s">
        <v>32</v>
      </c>
      <c r="H5752" s="18">
        <v>-326.97000000000003</v>
      </c>
      <c r="I5752" s="19">
        <v>40.479999999999997</v>
      </c>
      <c r="J5752" s="19">
        <v>19.989999999999998</v>
      </c>
      <c r="K5752" s="19" t="s">
        <v>111</v>
      </c>
      <c r="L5752" s="19" t="s">
        <v>442</v>
      </c>
      <c r="M5752" s="15" t="s">
        <v>2222</v>
      </c>
      <c r="N5752" s="15" t="s">
        <v>64</v>
      </c>
      <c r="O5752" s="15" t="s">
        <v>72</v>
      </c>
      <c r="P5752" s="20" t="s">
        <v>1247</v>
      </c>
      <c r="Q5752" s="15" t="s">
        <v>83</v>
      </c>
      <c r="R5752" s="4"/>
      <c r="S5752" s="4"/>
    </row>
    <row r="5753" spans="1:19" ht="21" customHeight="1" x14ac:dyDescent="0.25">
      <c r="A5753" s="14">
        <f>DATE(2012,12,31)-1133</f>
        <v>40141</v>
      </c>
      <c r="B5753" s="15" t="s">
        <v>633</v>
      </c>
      <c r="C5753" s="15" t="s">
        <v>51</v>
      </c>
      <c r="D5753" s="16">
        <v>1</v>
      </c>
      <c r="E5753" s="17">
        <v>18.73</v>
      </c>
      <c r="F5753" s="16">
        <v>0.05</v>
      </c>
      <c r="G5753" s="15" t="s">
        <v>32</v>
      </c>
      <c r="H5753" s="18">
        <v>-6.68</v>
      </c>
      <c r="I5753" s="19">
        <v>12.28</v>
      </c>
      <c r="J5753" s="19">
        <v>6.13</v>
      </c>
      <c r="K5753" s="19" t="s">
        <v>111</v>
      </c>
      <c r="L5753" s="19" t="s">
        <v>112</v>
      </c>
      <c r="M5753" s="15" t="s">
        <v>2270</v>
      </c>
      <c r="N5753" s="15" t="s">
        <v>36</v>
      </c>
      <c r="O5753" s="15" t="s">
        <v>37</v>
      </c>
      <c r="P5753" s="20" t="s">
        <v>1707</v>
      </c>
      <c r="Q5753" s="15" t="s">
        <v>83</v>
      </c>
      <c r="R5753" s="4"/>
      <c r="S5753" s="4"/>
    </row>
    <row r="5754" spans="1:19" ht="21" customHeight="1" x14ac:dyDescent="0.25">
      <c r="A5754" s="14">
        <f>DATE(2012,12,31)-35</f>
        <v>41239</v>
      </c>
      <c r="B5754" s="15" t="s">
        <v>2172</v>
      </c>
      <c r="C5754" s="15" t="s">
        <v>43</v>
      </c>
      <c r="D5754" s="16">
        <v>40</v>
      </c>
      <c r="E5754" s="17">
        <v>323.95999999999998</v>
      </c>
      <c r="F5754" s="16">
        <v>7.0000000000000007E-2</v>
      </c>
      <c r="G5754" s="15" t="s">
        <v>32</v>
      </c>
      <c r="H5754" s="18">
        <v>-136.82</v>
      </c>
      <c r="I5754" s="19">
        <v>8.09</v>
      </c>
      <c r="J5754" s="19">
        <v>7.96</v>
      </c>
      <c r="K5754" s="19" t="s">
        <v>44</v>
      </c>
      <c r="L5754" s="19" t="s">
        <v>89</v>
      </c>
      <c r="M5754" s="15" t="s">
        <v>1932</v>
      </c>
      <c r="N5754" s="15" t="s">
        <v>54</v>
      </c>
      <c r="O5754" s="15" t="s">
        <v>55</v>
      </c>
      <c r="P5754" s="20" t="s">
        <v>1155</v>
      </c>
      <c r="Q5754" s="15" t="s">
        <v>83</v>
      </c>
      <c r="R5754" s="4"/>
      <c r="S5754" s="4"/>
    </row>
    <row r="5755" spans="1:19" ht="21" customHeight="1" x14ac:dyDescent="0.25">
      <c r="A5755" s="14">
        <f>DATE(2012,12,31)-35</f>
        <v>41239</v>
      </c>
      <c r="B5755" s="15" t="s">
        <v>2172</v>
      </c>
      <c r="C5755" s="15" t="s">
        <v>43</v>
      </c>
      <c r="D5755" s="16">
        <v>10</v>
      </c>
      <c r="E5755" s="17">
        <v>175.85649999999998</v>
      </c>
      <c r="F5755" s="16">
        <v>0.03</v>
      </c>
      <c r="G5755" s="15" t="s">
        <v>32</v>
      </c>
      <c r="H5755" s="18">
        <v>-93.257999999999996</v>
      </c>
      <c r="I5755" s="19">
        <v>20.99</v>
      </c>
      <c r="J5755" s="19">
        <v>1.25</v>
      </c>
      <c r="K5755" s="19" t="s">
        <v>44</v>
      </c>
      <c r="L5755" s="19" t="s">
        <v>89</v>
      </c>
      <c r="M5755" s="15" t="s">
        <v>1932</v>
      </c>
      <c r="N5755" s="15" t="s">
        <v>64</v>
      </c>
      <c r="O5755" s="15" t="s">
        <v>65</v>
      </c>
      <c r="P5755" s="20" t="s">
        <v>1261</v>
      </c>
      <c r="Q5755" s="15" t="s">
        <v>49</v>
      </c>
      <c r="R5755" s="4"/>
      <c r="S5755" s="4"/>
    </row>
    <row r="5756" spans="1:19" ht="21" customHeight="1" x14ac:dyDescent="0.25">
      <c r="A5756" s="14">
        <f>DATE(2012,12,31)-275</f>
        <v>40999</v>
      </c>
      <c r="B5756" s="15" t="s">
        <v>311</v>
      </c>
      <c r="C5756" s="15" t="s">
        <v>85</v>
      </c>
      <c r="D5756" s="16">
        <v>23</v>
      </c>
      <c r="E5756" s="17">
        <v>2732.01</v>
      </c>
      <c r="F5756" s="16">
        <v>0.04</v>
      </c>
      <c r="G5756" s="15" t="s">
        <v>58</v>
      </c>
      <c r="H5756" s="18">
        <v>-100.4676</v>
      </c>
      <c r="I5756" s="19">
        <v>119.99</v>
      </c>
      <c r="J5756" s="19">
        <v>56.14</v>
      </c>
      <c r="K5756" s="19" t="s">
        <v>44</v>
      </c>
      <c r="L5756" s="19" t="s">
        <v>45</v>
      </c>
      <c r="M5756" s="15" t="s">
        <v>2236</v>
      </c>
      <c r="N5756" s="15" t="s">
        <v>64</v>
      </c>
      <c r="O5756" s="15" t="s">
        <v>122</v>
      </c>
      <c r="P5756" s="20" t="s">
        <v>1542</v>
      </c>
      <c r="Q5756" s="15" t="s">
        <v>63</v>
      </c>
      <c r="R5756" s="4"/>
      <c r="S5756" s="4"/>
    </row>
    <row r="5757" spans="1:19" ht="21" customHeight="1" x14ac:dyDescent="0.25">
      <c r="A5757" s="14">
        <f>DATE(2012,12,31)-953</f>
        <v>40321</v>
      </c>
      <c r="B5757" s="15" t="s">
        <v>1758</v>
      </c>
      <c r="C5757" s="15" t="s">
        <v>51</v>
      </c>
      <c r="D5757" s="16">
        <v>3</v>
      </c>
      <c r="E5757" s="17">
        <v>907.18</v>
      </c>
      <c r="F5757" s="16">
        <v>0.06</v>
      </c>
      <c r="G5757" s="15" t="s">
        <v>32</v>
      </c>
      <c r="H5757" s="18">
        <v>-236.6</v>
      </c>
      <c r="I5757" s="19">
        <v>300.64999999999998</v>
      </c>
      <c r="J5757" s="19">
        <v>24.49</v>
      </c>
      <c r="K5757" s="19" t="s">
        <v>44</v>
      </c>
      <c r="L5757" s="19" t="s">
        <v>89</v>
      </c>
      <c r="M5757" s="15" t="s">
        <v>1932</v>
      </c>
      <c r="N5757" s="15" t="s">
        <v>36</v>
      </c>
      <c r="O5757" s="15" t="s">
        <v>176</v>
      </c>
      <c r="P5757" s="20" t="s">
        <v>934</v>
      </c>
      <c r="Q5757" s="15" t="s">
        <v>39</v>
      </c>
      <c r="R5757" s="4"/>
      <c r="S5757" s="4"/>
    </row>
    <row r="5758" spans="1:19" ht="21" customHeight="1" x14ac:dyDescent="0.25">
      <c r="A5758" s="14">
        <f>DATE(2012,12,31)-386</f>
        <v>40888</v>
      </c>
      <c r="B5758" s="15" t="s">
        <v>1970</v>
      </c>
      <c r="C5758" s="15" t="s">
        <v>85</v>
      </c>
      <c r="D5758" s="16">
        <v>43</v>
      </c>
      <c r="E5758" s="17">
        <v>12858.88</v>
      </c>
      <c r="F5758" s="16">
        <v>0.08</v>
      </c>
      <c r="G5758" s="15" t="s">
        <v>32</v>
      </c>
      <c r="H5758" s="18">
        <v>4833.2700000000004</v>
      </c>
      <c r="I5758" s="19">
        <v>300.97000000000003</v>
      </c>
      <c r="J5758" s="19">
        <v>7.18</v>
      </c>
      <c r="K5758" s="19" t="s">
        <v>44</v>
      </c>
      <c r="L5758" s="19" t="s">
        <v>80</v>
      </c>
      <c r="M5758" s="15" t="s">
        <v>2179</v>
      </c>
      <c r="N5758" s="15" t="s">
        <v>64</v>
      </c>
      <c r="O5758" s="15" t="s">
        <v>72</v>
      </c>
      <c r="P5758" s="20" t="s">
        <v>717</v>
      </c>
      <c r="Q5758" s="15" t="s">
        <v>83</v>
      </c>
      <c r="R5758" s="4"/>
      <c r="S5758" s="4"/>
    </row>
    <row r="5759" spans="1:19" ht="21" customHeight="1" x14ac:dyDescent="0.25">
      <c r="A5759" s="14">
        <f>DATE(2012,12,31)-386</f>
        <v>40888</v>
      </c>
      <c r="B5759" s="15" t="s">
        <v>1970</v>
      </c>
      <c r="C5759" s="15" t="s">
        <v>85</v>
      </c>
      <c r="D5759" s="16">
        <v>28</v>
      </c>
      <c r="E5759" s="17">
        <v>146.69</v>
      </c>
      <c r="F5759" s="16">
        <v>0</v>
      </c>
      <c r="G5759" s="15" t="s">
        <v>32</v>
      </c>
      <c r="H5759" s="18">
        <v>-64.05</v>
      </c>
      <c r="I5759" s="19">
        <v>4.95</v>
      </c>
      <c r="J5759" s="19">
        <v>5.32</v>
      </c>
      <c r="K5759" s="19" t="s">
        <v>44</v>
      </c>
      <c r="L5759" s="19" t="s">
        <v>45</v>
      </c>
      <c r="M5759" s="15" t="s">
        <v>2236</v>
      </c>
      <c r="N5759" s="15" t="s">
        <v>54</v>
      </c>
      <c r="O5759" s="15" t="s">
        <v>55</v>
      </c>
      <c r="P5759" s="20" t="s">
        <v>1734</v>
      </c>
      <c r="Q5759" s="15" t="s">
        <v>83</v>
      </c>
      <c r="R5759" s="4"/>
      <c r="S5759" s="4"/>
    </row>
    <row r="5760" spans="1:19" ht="21" customHeight="1" x14ac:dyDescent="0.25">
      <c r="A5760" s="14">
        <f>DATE(2012,12,31)-475</f>
        <v>40799</v>
      </c>
      <c r="B5760" s="15" t="s">
        <v>1438</v>
      </c>
      <c r="C5760" s="15" t="s">
        <v>43</v>
      </c>
      <c r="D5760" s="16">
        <v>32</v>
      </c>
      <c r="E5760" s="17">
        <v>294.04000000000002</v>
      </c>
      <c r="F5760" s="16">
        <v>0.03</v>
      </c>
      <c r="G5760" s="15" t="s">
        <v>32</v>
      </c>
      <c r="H5760" s="18">
        <v>-5.5314999999999994</v>
      </c>
      <c r="I5760" s="19">
        <v>8.85</v>
      </c>
      <c r="J5760" s="19">
        <v>5.6</v>
      </c>
      <c r="K5760" s="19" t="s">
        <v>44</v>
      </c>
      <c r="L5760" s="19" t="s">
        <v>89</v>
      </c>
      <c r="M5760" s="15" t="s">
        <v>1932</v>
      </c>
      <c r="N5760" s="15" t="s">
        <v>36</v>
      </c>
      <c r="O5760" s="15" t="s">
        <v>170</v>
      </c>
      <c r="P5760" s="20" t="s">
        <v>1218</v>
      </c>
      <c r="Q5760" s="15" t="s">
        <v>83</v>
      </c>
      <c r="R5760" s="4"/>
      <c r="S5760" s="4"/>
    </row>
    <row r="5761" spans="1:19" ht="21" customHeight="1" x14ac:dyDescent="0.25">
      <c r="A5761" s="14">
        <f>DATE(2012,12,31)-475</f>
        <v>40799</v>
      </c>
      <c r="B5761" s="15" t="s">
        <v>1438</v>
      </c>
      <c r="C5761" s="15" t="s">
        <v>43</v>
      </c>
      <c r="D5761" s="16">
        <v>18</v>
      </c>
      <c r="E5761" s="17">
        <v>2022.65</v>
      </c>
      <c r="F5761" s="16">
        <v>0.05</v>
      </c>
      <c r="G5761" s="15" t="s">
        <v>58</v>
      </c>
      <c r="H5761" s="18">
        <v>-157.63</v>
      </c>
      <c r="I5761" s="19">
        <v>110.98</v>
      </c>
      <c r="J5761" s="19">
        <v>30</v>
      </c>
      <c r="K5761" s="19" t="s">
        <v>44</v>
      </c>
      <c r="L5761" s="19" t="s">
        <v>45</v>
      </c>
      <c r="M5761" s="15" t="s">
        <v>2236</v>
      </c>
      <c r="N5761" s="15" t="s">
        <v>54</v>
      </c>
      <c r="O5761" s="15" t="s">
        <v>252</v>
      </c>
      <c r="P5761" s="20" t="s">
        <v>1877</v>
      </c>
      <c r="Q5761" s="15" t="s">
        <v>181</v>
      </c>
      <c r="R5761" s="4"/>
      <c r="S5761" s="4"/>
    </row>
    <row r="5762" spans="1:19" ht="21" customHeight="1" x14ac:dyDescent="0.25">
      <c r="A5762" s="14">
        <f>DATE(2012,12,31)-486</f>
        <v>40788</v>
      </c>
      <c r="B5762" s="15" t="s">
        <v>223</v>
      </c>
      <c r="C5762" s="15" t="s">
        <v>43</v>
      </c>
      <c r="D5762" s="16">
        <v>21</v>
      </c>
      <c r="E5762" s="17">
        <v>155.72999999999999</v>
      </c>
      <c r="F5762" s="16">
        <v>0.03</v>
      </c>
      <c r="G5762" s="15" t="s">
        <v>101</v>
      </c>
      <c r="H5762" s="18">
        <v>42.86</v>
      </c>
      <c r="I5762" s="19">
        <v>7.4</v>
      </c>
      <c r="J5762" s="19">
        <v>1.71</v>
      </c>
      <c r="K5762" s="19" t="s">
        <v>44</v>
      </c>
      <c r="L5762" s="19" t="s">
        <v>45</v>
      </c>
      <c r="M5762" s="15" t="s">
        <v>2236</v>
      </c>
      <c r="N5762" s="15" t="s">
        <v>36</v>
      </c>
      <c r="O5762" s="15" t="s">
        <v>117</v>
      </c>
      <c r="P5762" s="20" t="s">
        <v>1560</v>
      </c>
      <c r="Q5762" s="15" t="s">
        <v>79</v>
      </c>
      <c r="R5762" s="4"/>
      <c r="S5762" s="4"/>
    </row>
    <row r="5763" spans="1:19" ht="21" customHeight="1" x14ac:dyDescent="0.25">
      <c r="A5763" s="14">
        <f>DATE(2012,12,31)-155</f>
        <v>41119</v>
      </c>
      <c r="B5763" s="15" t="s">
        <v>307</v>
      </c>
      <c r="C5763" s="15" t="s">
        <v>85</v>
      </c>
      <c r="D5763" s="16">
        <v>40</v>
      </c>
      <c r="E5763" s="17">
        <v>273.14</v>
      </c>
      <c r="F5763" s="16">
        <v>0.02</v>
      </c>
      <c r="G5763" s="15" t="s">
        <v>32</v>
      </c>
      <c r="H5763" s="18">
        <v>-96.9</v>
      </c>
      <c r="I5763" s="19">
        <v>6.6</v>
      </c>
      <c r="J5763" s="19">
        <v>4.07</v>
      </c>
      <c r="K5763" s="19" t="s">
        <v>44</v>
      </c>
      <c r="L5763" s="19" t="s">
        <v>89</v>
      </c>
      <c r="M5763" s="15" t="s">
        <v>1932</v>
      </c>
      <c r="N5763" s="15" t="s">
        <v>64</v>
      </c>
      <c r="O5763" s="15" t="s">
        <v>72</v>
      </c>
      <c r="P5763" s="20" t="s">
        <v>1591</v>
      </c>
      <c r="Q5763" s="15" t="s">
        <v>49</v>
      </c>
      <c r="R5763" s="4"/>
      <c r="S5763" s="4"/>
    </row>
    <row r="5764" spans="1:19" ht="21" customHeight="1" x14ac:dyDescent="0.25">
      <c r="A5764" s="14">
        <f>DATE(2012,12,31)-155</f>
        <v>41119</v>
      </c>
      <c r="B5764" s="15" t="s">
        <v>307</v>
      </c>
      <c r="C5764" s="15" t="s">
        <v>85</v>
      </c>
      <c r="D5764" s="16">
        <v>22</v>
      </c>
      <c r="E5764" s="17">
        <v>3100.1115</v>
      </c>
      <c r="F5764" s="16">
        <v>0.02</v>
      </c>
      <c r="G5764" s="15" t="s">
        <v>101</v>
      </c>
      <c r="H5764" s="18">
        <v>567.36899999999991</v>
      </c>
      <c r="I5764" s="19">
        <v>155.99</v>
      </c>
      <c r="J5764" s="19">
        <v>8.08</v>
      </c>
      <c r="K5764" s="19" t="s">
        <v>44</v>
      </c>
      <c r="L5764" s="19" t="s">
        <v>89</v>
      </c>
      <c r="M5764" s="15" t="s">
        <v>1932</v>
      </c>
      <c r="N5764" s="15" t="s">
        <v>64</v>
      </c>
      <c r="O5764" s="15" t="s">
        <v>65</v>
      </c>
      <c r="P5764" s="20" t="s">
        <v>1934</v>
      </c>
      <c r="Q5764" s="15" t="s">
        <v>83</v>
      </c>
      <c r="R5764" s="4"/>
      <c r="S5764" s="4"/>
    </row>
    <row r="5765" spans="1:19" ht="21" customHeight="1" x14ac:dyDescent="0.25">
      <c r="A5765" s="14">
        <f>DATE(2012,12,31)-1273</f>
        <v>40001</v>
      </c>
      <c r="B5765" s="15" t="s">
        <v>527</v>
      </c>
      <c r="C5765" s="15" t="s">
        <v>31</v>
      </c>
      <c r="D5765" s="16">
        <v>25</v>
      </c>
      <c r="E5765" s="17">
        <v>192.18</v>
      </c>
      <c r="F5765" s="16">
        <v>0.02</v>
      </c>
      <c r="G5765" s="15" t="s">
        <v>32</v>
      </c>
      <c r="H5765" s="18">
        <v>-48.875</v>
      </c>
      <c r="I5765" s="19">
        <v>7.1</v>
      </c>
      <c r="J5765" s="19">
        <v>6.05</v>
      </c>
      <c r="K5765" s="19" t="s">
        <v>44</v>
      </c>
      <c r="L5765" s="19" t="s">
        <v>89</v>
      </c>
      <c r="M5765" s="15" t="s">
        <v>1932</v>
      </c>
      <c r="N5765" s="15" t="s">
        <v>36</v>
      </c>
      <c r="O5765" s="15" t="s">
        <v>170</v>
      </c>
      <c r="P5765" s="20" t="s">
        <v>913</v>
      </c>
      <c r="Q5765" s="15" t="s">
        <v>83</v>
      </c>
      <c r="R5765" s="4"/>
      <c r="S5765" s="4"/>
    </row>
    <row r="5766" spans="1:19" ht="21" customHeight="1" x14ac:dyDescent="0.25">
      <c r="A5766" s="14">
        <f>DATE(2012,12,31)-1206</f>
        <v>40068</v>
      </c>
      <c r="B5766" s="15" t="s">
        <v>674</v>
      </c>
      <c r="C5766" s="15" t="s">
        <v>31</v>
      </c>
      <c r="D5766" s="16">
        <v>4</v>
      </c>
      <c r="E5766" s="17">
        <v>292.34050000000002</v>
      </c>
      <c r="F5766" s="16">
        <v>0.01</v>
      </c>
      <c r="G5766" s="15" t="s">
        <v>32</v>
      </c>
      <c r="H5766" s="18">
        <v>-420.58499999999998</v>
      </c>
      <c r="I5766" s="19">
        <v>85.99</v>
      </c>
      <c r="J5766" s="19">
        <v>0.99</v>
      </c>
      <c r="K5766" s="19" t="s">
        <v>44</v>
      </c>
      <c r="L5766" s="19" t="s">
        <v>45</v>
      </c>
      <c r="M5766" s="15" t="s">
        <v>2236</v>
      </c>
      <c r="N5766" s="15" t="s">
        <v>64</v>
      </c>
      <c r="O5766" s="15" t="s">
        <v>65</v>
      </c>
      <c r="P5766" s="20" t="s">
        <v>213</v>
      </c>
      <c r="Q5766" s="15" t="s">
        <v>79</v>
      </c>
      <c r="R5766" s="4"/>
      <c r="S5766" s="4"/>
    </row>
    <row r="5767" spans="1:19" ht="21" customHeight="1" x14ac:dyDescent="0.25">
      <c r="A5767" s="14">
        <f>DATE(2012,12,31)-218</f>
        <v>41056</v>
      </c>
      <c r="B5767" s="15" t="s">
        <v>1537</v>
      </c>
      <c r="C5767" s="15" t="s">
        <v>51</v>
      </c>
      <c r="D5767" s="16">
        <v>37</v>
      </c>
      <c r="E5767" s="17">
        <v>95.43</v>
      </c>
      <c r="F5767" s="16">
        <v>0.06</v>
      </c>
      <c r="G5767" s="15" t="s">
        <v>32</v>
      </c>
      <c r="H5767" s="18">
        <v>-103.96</v>
      </c>
      <c r="I5767" s="19">
        <v>2.52</v>
      </c>
      <c r="J5767" s="19">
        <v>4.28</v>
      </c>
      <c r="K5767" s="19" t="s">
        <v>44</v>
      </c>
      <c r="L5767" s="19" t="s">
        <v>120</v>
      </c>
      <c r="M5767" s="15" t="s">
        <v>2262</v>
      </c>
      <c r="N5767" s="15" t="s">
        <v>36</v>
      </c>
      <c r="O5767" s="15" t="s">
        <v>77</v>
      </c>
      <c r="P5767" s="20" t="s">
        <v>1568</v>
      </c>
      <c r="Q5767" s="15" t="s">
        <v>79</v>
      </c>
      <c r="R5767" s="4"/>
      <c r="S5767" s="4"/>
    </row>
    <row r="5768" spans="1:19" ht="21" customHeight="1" x14ac:dyDescent="0.25">
      <c r="A5768" s="14">
        <f>DATE(2012,12,31)-414</f>
        <v>40860</v>
      </c>
      <c r="B5768" s="15" t="s">
        <v>1944</v>
      </c>
      <c r="C5768" s="15" t="s">
        <v>43</v>
      </c>
      <c r="D5768" s="16">
        <v>28</v>
      </c>
      <c r="E5768" s="17">
        <v>49.49</v>
      </c>
      <c r="F5768" s="16">
        <v>0.01</v>
      </c>
      <c r="G5768" s="15" t="s">
        <v>32</v>
      </c>
      <c r="H5768" s="18">
        <v>-1.23</v>
      </c>
      <c r="I5768" s="19">
        <v>1.76</v>
      </c>
      <c r="J5768" s="19">
        <v>0.7</v>
      </c>
      <c r="K5768" s="19" t="s">
        <v>44</v>
      </c>
      <c r="L5768" s="19" t="s">
        <v>45</v>
      </c>
      <c r="M5768" s="15" t="s">
        <v>2236</v>
      </c>
      <c r="N5768" s="15" t="s">
        <v>36</v>
      </c>
      <c r="O5768" s="15" t="s">
        <v>77</v>
      </c>
      <c r="P5768" s="20" t="s">
        <v>295</v>
      </c>
      <c r="Q5768" s="15" t="s">
        <v>79</v>
      </c>
      <c r="R5768" s="4"/>
      <c r="S5768" s="4"/>
    </row>
    <row r="5769" spans="1:19" ht="21" customHeight="1" x14ac:dyDescent="0.25">
      <c r="A5769" s="14">
        <f>DATE(2012,12,31)-414</f>
        <v>40860</v>
      </c>
      <c r="B5769" s="15" t="s">
        <v>1944</v>
      </c>
      <c r="C5769" s="15" t="s">
        <v>43</v>
      </c>
      <c r="D5769" s="16">
        <v>11</v>
      </c>
      <c r="E5769" s="17">
        <v>404.14949999999999</v>
      </c>
      <c r="F5769" s="16">
        <v>7.0000000000000007E-2</v>
      </c>
      <c r="G5769" s="15" t="s">
        <v>32</v>
      </c>
      <c r="H5769" s="18">
        <v>-107.503</v>
      </c>
      <c r="I5769" s="19">
        <v>45.99</v>
      </c>
      <c r="J5769" s="19">
        <v>4.99</v>
      </c>
      <c r="K5769" s="19" t="s">
        <v>44</v>
      </c>
      <c r="L5769" s="19" t="s">
        <v>89</v>
      </c>
      <c r="M5769" s="15" t="s">
        <v>1932</v>
      </c>
      <c r="N5769" s="15" t="s">
        <v>64</v>
      </c>
      <c r="O5769" s="15" t="s">
        <v>65</v>
      </c>
      <c r="P5769" s="20" t="s">
        <v>1539</v>
      </c>
      <c r="Q5769" s="15" t="s">
        <v>83</v>
      </c>
      <c r="R5769" s="4"/>
      <c r="S5769" s="4"/>
    </row>
    <row r="5770" spans="1:19" ht="21" customHeight="1" x14ac:dyDescent="0.25">
      <c r="A5770" s="14">
        <f>DATE(2012,12,31)-642</f>
        <v>40632</v>
      </c>
      <c r="B5770" s="15" t="s">
        <v>1589</v>
      </c>
      <c r="C5770" s="15" t="s">
        <v>85</v>
      </c>
      <c r="D5770" s="16">
        <v>7</v>
      </c>
      <c r="E5770" s="17">
        <v>23.84</v>
      </c>
      <c r="F5770" s="16">
        <v>0.02</v>
      </c>
      <c r="G5770" s="15" t="s">
        <v>32</v>
      </c>
      <c r="H5770" s="18">
        <v>5.88</v>
      </c>
      <c r="I5770" s="19">
        <v>3.15</v>
      </c>
      <c r="J5770" s="19">
        <v>0.5</v>
      </c>
      <c r="K5770" s="19" t="s">
        <v>44</v>
      </c>
      <c r="L5770" s="19" t="s">
        <v>45</v>
      </c>
      <c r="M5770" s="15" t="s">
        <v>2236</v>
      </c>
      <c r="N5770" s="15" t="s">
        <v>36</v>
      </c>
      <c r="O5770" s="15" t="s">
        <v>114</v>
      </c>
      <c r="P5770" s="20" t="s">
        <v>1718</v>
      </c>
      <c r="Q5770" s="15" t="s">
        <v>83</v>
      </c>
      <c r="R5770" s="4"/>
      <c r="S5770" s="4"/>
    </row>
    <row r="5771" spans="1:19" ht="21" customHeight="1" x14ac:dyDescent="0.25">
      <c r="A5771" s="14">
        <f>DATE(2012,12,31)-680</f>
        <v>40594</v>
      </c>
      <c r="B5771" s="15" t="s">
        <v>1241</v>
      </c>
      <c r="C5771" s="15" t="s">
        <v>85</v>
      </c>
      <c r="D5771" s="16">
        <v>28</v>
      </c>
      <c r="E5771" s="17">
        <v>1553.66</v>
      </c>
      <c r="F5771" s="16">
        <v>0.03</v>
      </c>
      <c r="G5771" s="15" t="s">
        <v>32</v>
      </c>
      <c r="H5771" s="18">
        <v>547.48</v>
      </c>
      <c r="I5771" s="19">
        <v>54.48</v>
      </c>
      <c r="J5771" s="19">
        <v>0.99</v>
      </c>
      <c r="K5771" s="19" t="s">
        <v>44</v>
      </c>
      <c r="L5771" s="19" t="s">
        <v>45</v>
      </c>
      <c r="M5771" s="15" t="s">
        <v>2271</v>
      </c>
      <c r="N5771" s="15" t="s">
        <v>36</v>
      </c>
      <c r="O5771" s="15" t="s">
        <v>176</v>
      </c>
      <c r="P5771" s="20" t="s">
        <v>1352</v>
      </c>
      <c r="Q5771" s="15" t="s">
        <v>83</v>
      </c>
      <c r="R5771" s="4"/>
      <c r="S5771" s="4"/>
    </row>
    <row r="5772" spans="1:19" ht="21" customHeight="1" x14ac:dyDescent="0.25">
      <c r="A5772" s="14">
        <f>DATE(2012,12,31)-680</f>
        <v>40594</v>
      </c>
      <c r="B5772" s="15" t="s">
        <v>1241</v>
      </c>
      <c r="C5772" s="15" t="s">
        <v>85</v>
      </c>
      <c r="D5772" s="16">
        <v>30</v>
      </c>
      <c r="E5772" s="17">
        <v>3276.9964999999997</v>
      </c>
      <c r="F5772" s="16">
        <v>0</v>
      </c>
      <c r="G5772" s="15" t="s">
        <v>32</v>
      </c>
      <c r="H5772" s="18">
        <v>653.05799999999999</v>
      </c>
      <c r="I5772" s="19">
        <v>125.99</v>
      </c>
      <c r="J5772" s="19">
        <v>8.99</v>
      </c>
      <c r="K5772" s="19" t="s">
        <v>44</v>
      </c>
      <c r="L5772" s="19" t="s">
        <v>45</v>
      </c>
      <c r="M5772" s="15" t="s">
        <v>2271</v>
      </c>
      <c r="N5772" s="15" t="s">
        <v>64</v>
      </c>
      <c r="O5772" s="15" t="s">
        <v>65</v>
      </c>
      <c r="P5772" s="20" t="s">
        <v>1553</v>
      </c>
      <c r="Q5772" s="15" t="s">
        <v>83</v>
      </c>
      <c r="R5772" s="4"/>
      <c r="S5772" s="4"/>
    </row>
    <row r="5773" spans="1:19" ht="21" customHeight="1" x14ac:dyDescent="0.25">
      <c r="A5773" s="14">
        <f>DATE(2012,12,31)-588</f>
        <v>40686</v>
      </c>
      <c r="B5773" s="15" t="s">
        <v>1075</v>
      </c>
      <c r="C5773" s="15" t="s">
        <v>85</v>
      </c>
      <c r="D5773" s="16">
        <v>40</v>
      </c>
      <c r="E5773" s="17">
        <v>301.12</v>
      </c>
      <c r="F5773" s="16">
        <v>0</v>
      </c>
      <c r="G5773" s="15" t="s">
        <v>32</v>
      </c>
      <c r="H5773" s="18">
        <v>-206.05</v>
      </c>
      <c r="I5773" s="19">
        <v>6.84</v>
      </c>
      <c r="J5773" s="19">
        <v>8.3699999999999992</v>
      </c>
      <c r="K5773" s="19" t="s">
        <v>33</v>
      </c>
      <c r="L5773" s="19" t="s">
        <v>128</v>
      </c>
      <c r="M5773" s="15" t="s">
        <v>129</v>
      </c>
      <c r="N5773" s="15" t="s">
        <v>36</v>
      </c>
      <c r="O5773" s="15" t="s">
        <v>47</v>
      </c>
      <c r="P5773" s="20" t="s">
        <v>1182</v>
      </c>
      <c r="Q5773" s="15" t="s">
        <v>49</v>
      </c>
      <c r="R5773" s="4"/>
      <c r="S5773" s="4"/>
    </row>
    <row r="5774" spans="1:19" ht="21" customHeight="1" x14ac:dyDescent="0.25">
      <c r="A5774" s="14">
        <f>DATE(2012,12,31)-1137</f>
        <v>40137</v>
      </c>
      <c r="B5774" s="15" t="s">
        <v>1605</v>
      </c>
      <c r="C5774" s="15" t="s">
        <v>85</v>
      </c>
      <c r="D5774" s="16">
        <v>48</v>
      </c>
      <c r="E5774" s="17">
        <v>7227.42</v>
      </c>
      <c r="F5774" s="16">
        <v>0.09</v>
      </c>
      <c r="G5774" s="15" t="s">
        <v>58</v>
      </c>
      <c r="H5774" s="18">
        <v>-385.00447700000007</v>
      </c>
      <c r="I5774" s="19">
        <v>159.31</v>
      </c>
      <c r="J5774" s="19">
        <v>60</v>
      </c>
      <c r="K5774" s="19" t="s">
        <v>33</v>
      </c>
      <c r="L5774" s="19" t="s">
        <v>128</v>
      </c>
      <c r="M5774" s="15" t="s">
        <v>129</v>
      </c>
      <c r="N5774" s="15" t="s">
        <v>54</v>
      </c>
      <c r="O5774" s="15" t="s">
        <v>61</v>
      </c>
      <c r="P5774" s="20" t="s">
        <v>679</v>
      </c>
      <c r="Q5774" s="15" t="s">
        <v>181</v>
      </c>
      <c r="R5774" s="4"/>
      <c r="S5774" s="4"/>
    </row>
    <row r="5775" spans="1:19" ht="21" customHeight="1" x14ac:dyDescent="0.25">
      <c r="A5775" s="14">
        <f>DATE(2012,12,31)-1137</f>
        <v>40137</v>
      </c>
      <c r="B5775" s="15" t="s">
        <v>1605</v>
      </c>
      <c r="C5775" s="15" t="s">
        <v>85</v>
      </c>
      <c r="D5775" s="16">
        <v>39</v>
      </c>
      <c r="E5775" s="17">
        <v>1836.1869999999997</v>
      </c>
      <c r="F5775" s="16">
        <v>0.06</v>
      </c>
      <c r="G5775" s="15" t="s">
        <v>32</v>
      </c>
      <c r="H5775" s="18">
        <v>-139.84299999999999</v>
      </c>
      <c r="I5775" s="19">
        <v>55.99</v>
      </c>
      <c r="J5775" s="19">
        <v>5</v>
      </c>
      <c r="K5775" s="19" t="s">
        <v>33</v>
      </c>
      <c r="L5775" s="19" t="s">
        <v>93</v>
      </c>
      <c r="M5775" s="15" t="s">
        <v>94</v>
      </c>
      <c r="N5775" s="15" t="s">
        <v>64</v>
      </c>
      <c r="O5775" s="15" t="s">
        <v>65</v>
      </c>
      <c r="P5775" s="20" t="s">
        <v>1377</v>
      </c>
      <c r="Q5775" s="15" t="s">
        <v>49</v>
      </c>
      <c r="R5775" s="4"/>
      <c r="S5775" s="4"/>
    </row>
    <row r="5776" spans="1:19" ht="21" customHeight="1" x14ac:dyDescent="0.25">
      <c r="A5776" s="14">
        <f>DATE(2012,12,31)-1137</f>
        <v>40137</v>
      </c>
      <c r="B5776" s="15" t="s">
        <v>1605</v>
      </c>
      <c r="C5776" s="15" t="s">
        <v>85</v>
      </c>
      <c r="D5776" s="16">
        <v>29</v>
      </c>
      <c r="E5776" s="17">
        <v>843.55</v>
      </c>
      <c r="F5776" s="16">
        <v>0.08</v>
      </c>
      <c r="G5776" s="15" t="s">
        <v>32</v>
      </c>
      <c r="H5776" s="18">
        <v>168.76</v>
      </c>
      <c r="I5776" s="19">
        <v>30.98</v>
      </c>
      <c r="J5776" s="19">
        <v>8.74</v>
      </c>
      <c r="K5776" s="19" t="s">
        <v>97</v>
      </c>
      <c r="L5776" s="19" t="s">
        <v>98</v>
      </c>
      <c r="M5776" s="15" t="s">
        <v>2217</v>
      </c>
      <c r="N5776" s="15" t="s">
        <v>36</v>
      </c>
      <c r="O5776" s="15" t="s">
        <v>117</v>
      </c>
      <c r="P5776" s="20" t="s">
        <v>464</v>
      </c>
      <c r="Q5776" s="15" t="s">
        <v>83</v>
      </c>
      <c r="R5776" s="4"/>
      <c r="S5776" s="4"/>
    </row>
    <row r="5777" spans="1:19" ht="21" customHeight="1" x14ac:dyDescent="0.25">
      <c r="A5777" s="14">
        <f>DATE(2012,12,31)-83</f>
        <v>41191</v>
      </c>
      <c r="B5777" s="15" t="s">
        <v>950</v>
      </c>
      <c r="C5777" s="15" t="s">
        <v>51</v>
      </c>
      <c r="D5777" s="16">
        <v>42</v>
      </c>
      <c r="E5777" s="17">
        <v>793.04</v>
      </c>
      <c r="F5777" s="16">
        <v>0.1</v>
      </c>
      <c r="G5777" s="15" t="s">
        <v>32</v>
      </c>
      <c r="H5777" s="18">
        <v>323.07650000000001</v>
      </c>
      <c r="I5777" s="19">
        <v>20.98</v>
      </c>
      <c r="J5777" s="19">
        <v>1.49</v>
      </c>
      <c r="K5777" s="19" t="s">
        <v>97</v>
      </c>
      <c r="L5777" s="19" t="s">
        <v>567</v>
      </c>
      <c r="M5777" s="15" t="s">
        <v>568</v>
      </c>
      <c r="N5777" s="15" t="s">
        <v>36</v>
      </c>
      <c r="O5777" s="15" t="s">
        <v>170</v>
      </c>
      <c r="P5777" s="20" t="s">
        <v>1102</v>
      </c>
      <c r="Q5777" s="15" t="s">
        <v>83</v>
      </c>
      <c r="R5777" s="4"/>
      <c r="S5777" s="4"/>
    </row>
    <row r="5778" spans="1:19" ht="21" customHeight="1" x14ac:dyDescent="0.25">
      <c r="A5778" s="14">
        <f>DATE(2012,12,31)-1350</f>
        <v>39924</v>
      </c>
      <c r="B5778" s="15" t="s">
        <v>965</v>
      </c>
      <c r="C5778" s="15" t="s">
        <v>31</v>
      </c>
      <c r="D5778" s="16">
        <v>12</v>
      </c>
      <c r="E5778" s="17">
        <v>382.29</v>
      </c>
      <c r="F5778" s="16">
        <v>0.05</v>
      </c>
      <c r="G5778" s="15" t="s">
        <v>101</v>
      </c>
      <c r="H5778" s="18">
        <v>61.47</v>
      </c>
      <c r="I5778" s="19">
        <v>30.98</v>
      </c>
      <c r="J5778" s="19">
        <v>9.18</v>
      </c>
      <c r="K5778" s="19" t="s">
        <v>97</v>
      </c>
      <c r="L5778" s="19" t="s">
        <v>98</v>
      </c>
      <c r="M5778" s="15" t="s">
        <v>2217</v>
      </c>
      <c r="N5778" s="15" t="s">
        <v>36</v>
      </c>
      <c r="O5778" s="15" t="s">
        <v>117</v>
      </c>
      <c r="P5778" s="20" t="s">
        <v>1904</v>
      </c>
      <c r="Q5778" s="15" t="s">
        <v>83</v>
      </c>
      <c r="R5778" s="4"/>
      <c r="S5778" s="4"/>
    </row>
    <row r="5779" spans="1:19" ht="21" customHeight="1" x14ac:dyDescent="0.25">
      <c r="A5779" s="14">
        <f>DATE(2012,12,31)-1350</f>
        <v>39924</v>
      </c>
      <c r="B5779" s="15" t="s">
        <v>965</v>
      </c>
      <c r="C5779" s="15" t="s">
        <v>31</v>
      </c>
      <c r="D5779" s="16">
        <v>37</v>
      </c>
      <c r="E5779" s="17">
        <v>881.74</v>
      </c>
      <c r="F5779" s="16">
        <v>0.05</v>
      </c>
      <c r="G5779" s="15" t="s">
        <v>32</v>
      </c>
      <c r="H5779" s="18">
        <v>18.27</v>
      </c>
      <c r="I5779" s="19">
        <v>22.99</v>
      </c>
      <c r="J5779" s="19">
        <v>8.99</v>
      </c>
      <c r="K5779" s="19" t="s">
        <v>97</v>
      </c>
      <c r="L5779" s="19" t="s">
        <v>195</v>
      </c>
      <c r="M5779" s="15" t="s">
        <v>2138</v>
      </c>
      <c r="N5779" s="15" t="s">
        <v>36</v>
      </c>
      <c r="O5779" s="15" t="s">
        <v>77</v>
      </c>
      <c r="P5779" s="20" t="s">
        <v>1501</v>
      </c>
      <c r="Q5779" s="15" t="s">
        <v>49</v>
      </c>
      <c r="R5779" s="4"/>
      <c r="S5779" s="4"/>
    </row>
    <row r="5780" spans="1:19" ht="21" customHeight="1" x14ac:dyDescent="0.25">
      <c r="A5780" s="14">
        <f>DATE(2012,12,31)-1350</f>
        <v>39924</v>
      </c>
      <c r="B5780" s="15" t="s">
        <v>965</v>
      </c>
      <c r="C5780" s="15" t="s">
        <v>31</v>
      </c>
      <c r="D5780" s="16">
        <v>1</v>
      </c>
      <c r="E5780" s="17">
        <v>22.61</v>
      </c>
      <c r="F5780" s="16">
        <v>0.03</v>
      </c>
      <c r="G5780" s="15" t="s">
        <v>32</v>
      </c>
      <c r="H5780" s="18">
        <v>-8.4</v>
      </c>
      <c r="I5780" s="19">
        <v>14.97</v>
      </c>
      <c r="J5780" s="19">
        <v>7.51</v>
      </c>
      <c r="K5780" s="19" t="s">
        <v>97</v>
      </c>
      <c r="L5780" s="19" t="s">
        <v>98</v>
      </c>
      <c r="M5780" s="15" t="s">
        <v>2217</v>
      </c>
      <c r="N5780" s="15" t="s">
        <v>36</v>
      </c>
      <c r="O5780" s="15" t="s">
        <v>37</v>
      </c>
      <c r="P5780" s="20" t="s">
        <v>1640</v>
      </c>
      <c r="Q5780" s="15" t="s">
        <v>83</v>
      </c>
      <c r="R5780" s="4"/>
      <c r="S5780" s="4"/>
    </row>
    <row r="5781" spans="1:19" ht="21" customHeight="1" x14ac:dyDescent="0.25">
      <c r="A5781" s="14">
        <f>DATE(2012,12,31)-1350</f>
        <v>39924</v>
      </c>
      <c r="B5781" s="15" t="s">
        <v>965</v>
      </c>
      <c r="C5781" s="15" t="s">
        <v>31</v>
      </c>
      <c r="D5781" s="16">
        <v>33</v>
      </c>
      <c r="E5781" s="17">
        <v>7384.18</v>
      </c>
      <c r="F5781" s="16">
        <v>0.04</v>
      </c>
      <c r="G5781" s="15" t="s">
        <v>58</v>
      </c>
      <c r="H5781" s="18">
        <v>-513.79042000000004</v>
      </c>
      <c r="I5781" s="19">
        <v>212.6</v>
      </c>
      <c r="J5781" s="19">
        <v>110.2</v>
      </c>
      <c r="K5781" s="19" t="s">
        <v>97</v>
      </c>
      <c r="L5781" s="19" t="s">
        <v>195</v>
      </c>
      <c r="M5781" s="15" t="s">
        <v>2138</v>
      </c>
      <c r="N5781" s="15" t="s">
        <v>54</v>
      </c>
      <c r="O5781" s="15" t="s">
        <v>61</v>
      </c>
      <c r="P5781" s="20" t="s">
        <v>615</v>
      </c>
      <c r="Q5781" s="15" t="s">
        <v>63</v>
      </c>
      <c r="R5781" s="4"/>
      <c r="S5781" s="4"/>
    </row>
    <row r="5782" spans="1:19" ht="21" customHeight="1" x14ac:dyDescent="0.25">
      <c r="A5782" s="14">
        <f>DATE(2012,12,31)-1339</f>
        <v>39935</v>
      </c>
      <c r="B5782" s="15" t="s">
        <v>580</v>
      </c>
      <c r="C5782" s="15" t="s">
        <v>85</v>
      </c>
      <c r="D5782" s="16">
        <v>43</v>
      </c>
      <c r="E5782" s="17">
        <v>1233.22</v>
      </c>
      <c r="F5782" s="16">
        <v>0.05</v>
      </c>
      <c r="G5782" s="15" t="s">
        <v>32</v>
      </c>
      <c r="H5782" s="18">
        <v>385.46</v>
      </c>
      <c r="I5782" s="19">
        <v>29.89</v>
      </c>
      <c r="J5782" s="19">
        <v>1.99</v>
      </c>
      <c r="K5782" s="19" t="s">
        <v>97</v>
      </c>
      <c r="L5782" s="19" t="s">
        <v>283</v>
      </c>
      <c r="M5782" s="15" t="s">
        <v>2205</v>
      </c>
      <c r="N5782" s="15" t="s">
        <v>64</v>
      </c>
      <c r="O5782" s="15" t="s">
        <v>72</v>
      </c>
      <c r="P5782" s="20" t="s">
        <v>825</v>
      </c>
      <c r="Q5782" s="15" t="s">
        <v>49</v>
      </c>
      <c r="R5782" s="4"/>
      <c r="S5782" s="4"/>
    </row>
    <row r="5783" spans="1:19" ht="21" customHeight="1" x14ac:dyDescent="0.25">
      <c r="A5783" s="14">
        <f>DATE(2012,12,31)-1339</f>
        <v>39935</v>
      </c>
      <c r="B5783" s="15" t="s">
        <v>580</v>
      </c>
      <c r="C5783" s="15" t="s">
        <v>85</v>
      </c>
      <c r="D5783" s="16">
        <v>39</v>
      </c>
      <c r="E5783" s="17">
        <v>144.82</v>
      </c>
      <c r="F5783" s="16">
        <v>0.08</v>
      </c>
      <c r="G5783" s="15" t="s">
        <v>32</v>
      </c>
      <c r="H5783" s="18">
        <v>28.4</v>
      </c>
      <c r="I5783" s="19">
        <v>4</v>
      </c>
      <c r="J5783" s="19">
        <v>1.3</v>
      </c>
      <c r="K5783" s="19" t="s">
        <v>97</v>
      </c>
      <c r="L5783" s="19" t="s">
        <v>132</v>
      </c>
      <c r="M5783" s="15" t="s">
        <v>133</v>
      </c>
      <c r="N5783" s="15" t="s">
        <v>36</v>
      </c>
      <c r="O5783" s="15" t="s">
        <v>117</v>
      </c>
      <c r="P5783" s="20" t="s">
        <v>958</v>
      </c>
      <c r="Q5783" s="15" t="s">
        <v>79</v>
      </c>
      <c r="R5783" s="4"/>
      <c r="S5783" s="4"/>
    </row>
    <row r="5784" spans="1:19" ht="21" customHeight="1" x14ac:dyDescent="0.25">
      <c r="A5784" s="14">
        <f>DATE(2012,12,31)-622</f>
        <v>40652</v>
      </c>
      <c r="B5784" s="15" t="s">
        <v>1876</v>
      </c>
      <c r="C5784" s="15" t="s">
        <v>85</v>
      </c>
      <c r="D5784" s="16">
        <v>8</v>
      </c>
      <c r="E5784" s="17">
        <v>709.37</v>
      </c>
      <c r="F5784" s="16">
        <v>0.1</v>
      </c>
      <c r="G5784" s="15" t="s">
        <v>58</v>
      </c>
      <c r="H5784" s="18">
        <v>-281.76</v>
      </c>
      <c r="I5784" s="19">
        <v>89.99</v>
      </c>
      <c r="J5784" s="19">
        <v>42</v>
      </c>
      <c r="K5784" s="19" t="s">
        <v>124</v>
      </c>
      <c r="L5784" s="19" t="s">
        <v>160</v>
      </c>
      <c r="M5784" s="15" t="s">
        <v>2181</v>
      </c>
      <c r="N5784" s="15" t="s">
        <v>54</v>
      </c>
      <c r="O5784" s="15" t="s">
        <v>252</v>
      </c>
      <c r="P5784" s="20" t="s">
        <v>848</v>
      </c>
      <c r="Q5784" s="15" t="s">
        <v>181</v>
      </c>
      <c r="R5784" s="4"/>
      <c r="S5784" s="4"/>
    </row>
    <row r="5785" spans="1:19" ht="21" customHeight="1" x14ac:dyDescent="0.25">
      <c r="A5785" s="14">
        <f>DATE(2012,12,31)-622</f>
        <v>40652</v>
      </c>
      <c r="B5785" s="15" t="s">
        <v>1876</v>
      </c>
      <c r="C5785" s="15" t="s">
        <v>85</v>
      </c>
      <c r="D5785" s="16">
        <v>19</v>
      </c>
      <c r="E5785" s="17">
        <v>59.76</v>
      </c>
      <c r="F5785" s="16">
        <v>0.1</v>
      </c>
      <c r="G5785" s="15" t="s">
        <v>101</v>
      </c>
      <c r="H5785" s="18">
        <v>-33.11</v>
      </c>
      <c r="I5785" s="19">
        <v>3.14</v>
      </c>
      <c r="J5785" s="19">
        <v>1.92</v>
      </c>
      <c r="K5785" s="19" t="s">
        <v>124</v>
      </c>
      <c r="L5785" s="19" t="s">
        <v>493</v>
      </c>
      <c r="M5785" s="15" t="s">
        <v>2259</v>
      </c>
      <c r="N5785" s="15" t="s">
        <v>36</v>
      </c>
      <c r="O5785" s="15" t="s">
        <v>47</v>
      </c>
      <c r="P5785" s="20" t="s">
        <v>148</v>
      </c>
      <c r="Q5785" s="15" t="s">
        <v>79</v>
      </c>
      <c r="R5785" s="4"/>
      <c r="S5785" s="4"/>
    </row>
    <row r="5786" spans="1:19" ht="21" customHeight="1" x14ac:dyDescent="0.25">
      <c r="A5786" s="14">
        <f>DATE(2012,12,31)-280</f>
        <v>40994</v>
      </c>
      <c r="B5786" s="15" t="s">
        <v>201</v>
      </c>
      <c r="C5786" s="15" t="s">
        <v>85</v>
      </c>
      <c r="D5786" s="16">
        <v>4</v>
      </c>
      <c r="E5786" s="17">
        <v>137.54</v>
      </c>
      <c r="F5786" s="16">
        <v>0.08</v>
      </c>
      <c r="G5786" s="15" t="s">
        <v>32</v>
      </c>
      <c r="H5786" s="18">
        <v>-138.84</v>
      </c>
      <c r="I5786" s="19">
        <v>34.979999999999997</v>
      </c>
      <c r="J5786" s="19">
        <v>7.53</v>
      </c>
      <c r="K5786" s="19" t="s">
        <v>124</v>
      </c>
      <c r="L5786" s="19" t="s">
        <v>493</v>
      </c>
      <c r="M5786" s="15" t="s">
        <v>2259</v>
      </c>
      <c r="N5786" s="15" t="s">
        <v>64</v>
      </c>
      <c r="O5786" s="15" t="s">
        <v>72</v>
      </c>
      <c r="P5786" s="20" t="s">
        <v>1694</v>
      </c>
      <c r="Q5786" s="15" t="s">
        <v>83</v>
      </c>
      <c r="R5786" s="4"/>
      <c r="S5786" s="4"/>
    </row>
    <row r="5787" spans="1:19" ht="21" customHeight="1" x14ac:dyDescent="0.25">
      <c r="A5787" s="14">
        <f>DATE(2012,12,31)-839</f>
        <v>40435</v>
      </c>
      <c r="B5787" s="15" t="s">
        <v>705</v>
      </c>
      <c r="C5787" s="15" t="s">
        <v>85</v>
      </c>
      <c r="D5787" s="16">
        <v>26</v>
      </c>
      <c r="E5787" s="17">
        <v>363.16</v>
      </c>
      <c r="F5787" s="16">
        <v>0.08</v>
      </c>
      <c r="G5787" s="15" t="s">
        <v>101</v>
      </c>
      <c r="H5787" s="18">
        <v>3.9185000000000003</v>
      </c>
      <c r="I5787" s="19">
        <v>14.27</v>
      </c>
      <c r="J5787" s="19">
        <v>7.27</v>
      </c>
      <c r="K5787" s="19" t="s">
        <v>124</v>
      </c>
      <c r="L5787" s="19" t="s">
        <v>160</v>
      </c>
      <c r="M5787" s="15" t="s">
        <v>2181</v>
      </c>
      <c r="N5787" s="15" t="s">
        <v>36</v>
      </c>
      <c r="O5787" s="15" t="s">
        <v>170</v>
      </c>
      <c r="P5787" s="20" t="s">
        <v>1224</v>
      </c>
      <c r="Q5787" s="15" t="s">
        <v>83</v>
      </c>
      <c r="R5787" s="4"/>
      <c r="S5787" s="4"/>
    </row>
    <row r="5788" spans="1:19" ht="21" customHeight="1" x14ac:dyDescent="0.25">
      <c r="A5788" s="14">
        <f>DATE(2012,12,31)-839</f>
        <v>40435</v>
      </c>
      <c r="B5788" s="15" t="s">
        <v>705</v>
      </c>
      <c r="C5788" s="15" t="s">
        <v>85</v>
      </c>
      <c r="D5788" s="16">
        <v>45</v>
      </c>
      <c r="E5788" s="17">
        <v>12571.63</v>
      </c>
      <c r="F5788" s="16">
        <v>0.09</v>
      </c>
      <c r="G5788" s="15" t="s">
        <v>32</v>
      </c>
      <c r="H5788" s="18">
        <v>5455.96</v>
      </c>
      <c r="I5788" s="19">
        <v>300.98</v>
      </c>
      <c r="J5788" s="19">
        <v>13.99</v>
      </c>
      <c r="K5788" s="19" t="s">
        <v>124</v>
      </c>
      <c r="L5788" s="19" t="s">
        <v>493</v>
      </c>
      <c r="M5788" s="15" t="s">
        <v>2259</v>
      </c>
      <c r="N5788" s="15" t="s">
        <v>64</v>
      </c>
      <c r="O5788" s="15" t="s">
        <v>122</v>
      </c>
      <c r="P5788" s="20" t="s">
        <v>1868</v>
      </c>
      <c r="Q5788" s="15" t="s">
        <v>57</v>
      </c>
      <c r="R5788" s="4"/>
      <c r="S5788" s="4"/>
    </row>
    <row r="5789" spans="1:19" ht="21" customHeight="1" x14ac:dyDescent="0.25">
      <c r="A5789" s="14">
        <f>DATE(2012,12,31)-839</f>
        <v>40435</v>
      </c>
      <c r="B5789" s="15" t="s">
        <v>705</v>
      </c>
      <c r="C5789" s="15" t="s">
        <v>85</v>
      </c>
      <c r="D5789" s="16">
        <v>21</v>
      </c>
      <c r="E5789" s="17">
        <v>128.86000000000001</v>
      </c>
      <c r="F5789" s="16">
        <v>0</v>
      </c>
      <c r="G5789" s="15" t="s">
        <v>101</v>
      </c>
      <c r="H5789" s="18">
        <v>24.53</v>
      </c>
      <c r="I5789" s="19">
        <v>5.84</v>
      </c>
      <c r="J5789" s="19">
        <v>1.2</v>
      </c>
      <c r="K5789" s="19" t="s">
        <v>124</v>
      </c>
      <c r="L5789" s="19" t="s">
        <v>160</v>
      </c>
      <c r="M5789" s="15" t="s">
        <v>2181</v>
      </c>
      <c r="N5789" s="15" t="s">
        <v>36</v>
      </c>
      <c r="O5789" s="15" t="s">
        <v>77</v>
      </c>
      <c r="P5789" s="20" t="s">
        <v>1400</v>
      </c>
      <c r="Q5789" s="15" t="s">
        <v>79</v>
      </c>
      <c r="R5789" s="4"/>
      <c r="S5789" s="4"/>
    </row>
    <row r="5790" spans="1:19" ht="21" customHeight="1" x14ac:dyDescent="0.25">
      <c r="A5790" s="14">
        <f>DATE(2012,12,31)-839</f>
        <v>40435</v>
      </c>
      <c r="B5790" s="15" t="s">
        <v>705</v>
      </c>
      <c r="C5790" s="15" t="s">
        <v>85</v>
      </c>
      <c r="D5790" s="16">
        <v>45</v>
      </c>
      <c r="E5790" s="17">
        <v>17884.53</v>
      </c>
      <c r="F5790" s="16">
        <v>0.04</v>
      </c>
      <c r="G5790" s="15" t="s">
        <v>58</v>
      </c>
      <c r="H5790" s="18">
        <v>2357.86</v>
      </c>
      <c r="I5790" s="19">
        <v>400.98</v>
      </c>
      <c r="J5790" s="19">
        <v>42.52</v>
      </c>
      <c r="K5790" s="19" t="s">
        <v>124</v>
      </c>
      <c r="L5790" s="19" t="s">
        <v>493</v>
      </c>
      <c r="M5790" s="15" t="s">
        <v>2259</v>
      </c>
      <c r="N5790" s="15" t="s">
        <v>54</v>
      </c>
      <c r="O5790" s="15" t="s">
        <v>61</v>
      </c>
      <c r="P5790" s="20" t="s">
        <v>1001</v>
      </c>
      <c r="Q5790" s="15" t="s">
        <v>63</v>
      </c>
      <c r="R5790" s="4"/>
      <c r="S5790" s="4"/>
    </row>
    <row r="5791" spans="1:19" ht="21" customHeight="1" x14ac:dyDescent="0.25">
      <c r="A5791" s="14">
        <f>DATE(2012,12,31)-40</f>
        <v>41234</v>
      </c>
      <c r="B5791" s="15" t="s">
        <v>273</v>
      </c>
      <c r="C5791" s="15" t="s">
        <v>31</v>
      </c>
      <c r="D5791" s="16">
        <v>22</v>
      </c>
      <c r="E5791" s="17">
        <v>483.96</v>
      </c>
      <c r="F5791" s="16">
        <v>0.01</v>
      </c>
      <c r="G5791" s="15" t="s">
        <v>32</v>
      </c>
      <c r="H5791" s="18">
        <v>-34.090000000000003</v>
      </c>
      <c r="I5791" s="19">
        <v>21.38</v>
      </c>
      <c r="J5791" s="19">
        <v>8.99</v>
      </c>
      <c r="K5791" s="19" t="s">
        <v>124</v>
      </c>
      <c r="L5791" s="19" t="s">
        <v>125</v>
      </c>
      <c r="M5791" s="15" t="s">
        <v>2265</v>
      </c>
      <c r="N5791" s="15" t="s">
        <v>36</v>
      </c>
      <c r="O5791" s="15" t="s">
        <v>77</v>
      </c>
      <c r="P5791" s="20" t="s">
        <v>948</v>
      </c>
      <c r="Q5791" s="15" t="s">
        <v>49</v>
      </c>
      <c r="R5791" s="4"/>
      <c r="S5791" s="4"/>
    </row>
    <row r="5792" spans="1:19" ht="21" customHeight="1" x14ac:dyDescent="0.25">
      <c r="A5792" s="14">
        <f>DATE(2012,12,31)-40</f>
        <v>41234</v>
      </c>
      <c r="B5792" s="15" t="s">
        <v>273</v>
      </c>
      <c r="C5792" s="15" t="s">
        <v>31</v>
      </c>
      <c r="D5792" s="16">
        <v>10</v>
      </c>
      <c r="E5792" s="17">
        <v>308.36299999999994</v>
      </c>
      <c r="F5792" s="16">
        <v>0.04</v>
      </c>
      <c r="G5792" s="15" t="s">
        <v>32</v>
      </c>
      <c r="H5792" s="18">
        <v>42.272999999999954</v>
      </c>
      <c r="I5792" s="19">
        <v>35.99</v>
      </c>
      <c r="J5792" s="19">
        <v>0.99</v>
      </c>
      <c r="K5792" s="19" t="s">
        <v>124</v>
      </c>
      <c r="L5792" s="19" t="s">
        <v>164</v>
      </c>
      <c r="M5792" s="15" t="s">
        <v>2257</v>
      </c>
      <c r="N5792" s="15" t="s">
        <v>64</v>
      </c>
      <c r="O5792" s="15" t="s">
        <v>65</v>
      </c>
      <c r="P5792" s="20" t="s">
        <v>647</v>
      </c>
      <c r="Q5792" s="15" t="s">
        <v>49</v>
      </c>
      <c r="R5792" s="4"/>
      <c r="S5792" s="4"/>
    </row>
    <row r="5793" spans="1:19" ht="21" customHeight="1" x14ac:dyDescent="0.25">
      <c r="A5793" s="14">
        <f>DATE(2012,12,31)-40</f>
        <v>41234</v>
      </c>
      <c r="B5793" s="15" t="s">
        <v>273</v>
      </c>
      <c r="C5793" s="15" t="s">
        <v>31</v>
      </c>
      <c r="D5793" s="16">
        <v>26</v>
      </c>
      <c r="E5793" s="17">
        <v>1911.4034999999999</v>
      </c>
      <c r="F5793" s="16">
        <v>0.06</v>
      </c>
      <c r="G5793" s="15" t="s">
        <v>32</v>
      </c>
      <c r="H5793" s="18">
        <v>822.88800000000003</v>
      </c>
      <c r="I5793" s="19">
        <v>85.99</v>
      </c>
      <c r="J5793" s="19">
        <v>1.25</v>
      </c>
      <c r="K5793" s="19" t="s">
        <v>44</v>
      </c>
      <c r="L5793" s="19" t="s">
        <v>80</v>
      </c>
      <c r="M5793" s="15" t="s">
        <v>2179</v>
      </c>
      <c r="N5793" s="15" t="s">
        <v>64</v>
      </c>
      <c r="O5793" s="15" t="s">
        <v>65</v>
      </c>
      <c r="P5793" s="20" t="s">
        <v>685</v>
      </c>
      <c r="Q5793" s="15" t="s">
        <v>49</v>
      </c>
      <c r="R5793" s="4"/>
      <c r="S5793" s="4"/>
    </row>
    <row r="5794" spans="1:19" ht="21" customHeight="1" x14ac:dyDescent="0.25">
      <c r="A5794" s="14">
        <f>DATE(2012,12,31)-1317</f>
        <v>39957</v>
      </c>
      <c r="B5794" s="15" t="s">
        <v>390</v>
      </c>
      <c r="C5794" s="15" t="s">
        <v>85</v>
      </c>
      <c r="D5794" s="16">
        <v>32</v>
      </c>
      <c r="E5794" s="17">
        <v>6310.69</v>
      </c>
      <c r="F5794" s="16">
        <v>0.1</v>
      </c>
      <c r="G5794" s="15" t="s">
        <v>101</v>
      </c>
      <c r="H5794" s="18">
        <v>1318.83</v>
      </c>
      <c r="I5794" s="19">
        <v>218.08</v>
      </c>
      <c r="J5794" s="19">
        <v>18.059999999999999</v>
      </c>
      <c r="K5794" s="19" t="s">
        <v>69</v>
      </c>
      <c r="L5794" s="19" t="s">
        <v>70</v>
      </c>
      <c r="M5794" s="15" t="s">
        <v>2230</v>
      </c>
      <c r="N5794" s="15" t="s">
        <v>54</v>
      </c>
      <c r="O5794" s="15" t="s">
        <v>252</v>
      </c>
      <c r="P5794" s="20" t="s">
        <v>253</v>
      </c>
      <c r="Q5794" s="15" t="s">
        <v>39</v>
      </c>
      <c r="R5794" s="4"/>
      <c r="S5794" s="4"/>
    </row>
    <row r="5795" spans="1:19" ht="21" customHeight="1" x14ac:dyDescent="0.25">
      <c r="A5795" s="14">
        <f>DATE(2012,12,31)-1455</f>
        <v>39819</v>
      </c>
      <c r="B5795" s="15" t="s">
        <v>470</v>
      </c>
      <c r="C5795" s="15" t="s">
        <v>31</v>
      </c>
      <c r="D5795" s="16">
        <v>46</v>
      </c>
      <c r="E5795" s="17">
        <v>298.97000000000003</v>
      </c>
      <c r="F5795" s="16">
        <v>0.09</v>
      </c>
      <c r="G5795" s="15" t="s">
        <v>32</v>
      </c>
      <c r="H5795" s="18">
        <v>-225.86</v>
      </c>
      <c r="I5795" s="19">
        <v>6.48</v>
      </c>
      <c r="J5795" s="19">
        <v>8.73</v>
      </c>
      <c r="K5795" s="19" t="s">
        <v>44</v>
      </c>
      <c r="L5795" s="19" t="s">
        <v>52</v>
      </c>
      <c r="M5795" s="15" t="s">
        <v>2240</v>
      </c>
      <c r="N5795" s="15" t="s">
        <v>36</v>
      </c>
      <c r="O5795" s="15" t="s">
        <v>117</v>
      </c>
      <c r="P5795" s="20" t="s">
        <v>880</v>
      </c>
      <c r="Q5795" s="15" t="s">
        <v>83</v>
      </c>
      <c r="R5795" s="4"/>
      <c r="S5795" s="4"/>
    </row>
    <row r="5796" spans="1:19" ht="21" customHeight="1" x14ac:dyDescent="0.25">
      <c r="A5796" s="14">
        <f>DATE(2012,12,31)-1455</f>
        <v>39819</v>
      </c>
      <c r="B5796" s="15" t="s">
        <v>470</v>
      </c>
      <c r="C5796" s="15" t="s">
        <v>31</v>
      </c>
      <c r="D5796" s="16">
        <v>6</v>
      </c>
      <c r="E5796" s="17">
        <v>159.05000000000001</v>
      </c>
      <c r="F5796" s="16">
        <v>0.05</v>
      </c>
      <c r="G5796" s="15" t="s">
        <v>32</v>
      </c>
      <c r="H5796" s="18">
        <v>-153.46</v>
      </c>
      <c r="I5796" s="19">
        <v>20.34</v>
      </c>
      <c r="J5796" s="19">
        <v>35</v>
      </c>
      <c r="K5796" s="19" t="s">
        <v>44</v>
      </c>
      <c r="L5796" s="19" t="s">
        <v>52</v>
      </c>
      <c r="M5796" s="15" t="s">
        <v>2240</v>
      </c>
      <c r="N5796" s="15" t="s">
        <v>36</v>
      </c>
      <c r="O5796" s="15" t="s">
        <v>37</v>
      </c>
      <c r="P5796" s="20" t="s">
        <v>1690</v>
      </c>
      <c r="Q5796" s="15" t="s">
        <v>39</v>
      </c>
      <c r="R5796" s="4"/>
      <c r="S5796" s="4"/>
    </row>
    <row r="5797" spans="1:19" ht="21" customHeight="1" x14ac:dyDescent="0.25">
      <c r="A5797" s="14">
        <f>DATE(2012,12,31)-177</f>
        <v>41097</v>
      </c>
      <c r="B5797" s="15" t="s">
        <v>1282</v>
      </c>
      <c r="C5797" s="15" t="s">
        <v>31</v>
      </c>
      <c r="D5797" s="16">
        <v>35</v>
      </c>
      <c r="E5797" s="17">
        <v>870.75</v>
      </c>
      <c r="F5797" s="16">
        <v>0.09</v>
      </c>
      <c r="G5797" s="15" t="s">
        <v>32</v>
      </c>
      <c r="H5797" s="18">
        <v>100.5</v>
      </c>
      <c r="I5797" s="19">
        <v>26.64</v>
      </c>
      <c r="J5797" s="19">
        <v>5.3</v>
      </c>
      <c r="K5797" s="19" t="s">
        <v>44</v>
      </c>
      <c r="L5797" s="19" t="s">
        <v>52</v>
      </c>
      <c r="M5797" s="15" t="s">
        <v>2240</v>
      </c>
      <c r="N5797" s="15" t="s">
        <v>54</v>
      </c>
      <c r="O5797" s="15" t="s">
        <v>252</v>
      </c>
      <c r="P5797" s="20" t="s">
        <v>2130</v>
      </c>
      <c r="Q5797" s="15" t="s">
        <v>57</v>
      </c>
      <c r="R5797" s="4"/>
      <c r="S5797" s="4"/>
    </row>
    <row r="5798" spans="1:19" ht="21" customHeight="1" x14ac:dyDescent="0.25">
      <c r="A5798" s="14">
        <f>DATE(2012,12,31)-177</f>
        <v>41097</v>
      </c>
      <c r="B5798" s="15" t="s">
        <v>1282</v>
      </c>
      <c r="C5798" s="15" t="s">
        <v>31</v>
      </c>
      <c r="D5798" s="16">
        <v>13</v>
      </c>
      <c r="E5798" s="17">
        <v>43.37</v>
      </c>
      <c r="F5798" s="16">
        <v>0.02</v>
      </c>
      <c r="G5798" s="15" t="s">
        <v>32</v>
      </c>
      <c r="H5798" s="18">
        <v>9.5299999999999994</v>
      </c>
      <c r="I5798" s="19">
        <v>3.08</v>
      </c>
      <c r="J5798" s="19">
        <v>0.99</v>
      </c>
      <c r="K5798" s="19" t="s">
        <v>44</v>
      </c>
      <c r="L5798" s="19" t="s">
        <v>52</v>
      </c>
      <c r="M5798" s="15" t="s">
        <v>2240</v>
      </c>
      <c r="N5798" s="15" t="s">
        <v>54</v>
      </c>
      <c r="O5798" s="15" t="s">
        <v>55</v>
      </c>
      <c r="P5798" s="20" t="s">
        <v>1171</v>
      </c>
      <c r="Q5798" s="15" t="s">
        <v>57</v>
      </c>
      <c r="R5798" s="4"/>
      <c r="S5798" s="4"/>
    </row>
    <row r="5799" spans="1:19" ht="21" customHeight="1" x14ac:dyDescent="0.25">
      <c r="A5799" s="14">
        <f>DATE(2012,12,31)-1044</f>
        <v>40230</v>
      </c>
      <c r="B5799" s="15" t="s">
        <v>1282</v>
      </c>
      <c r="C5799" s="15" t="s">
        <v>43</v>
      </c>
      <c r="D5799" s="16">
        <v>29</v>
      </c>
      <c r="E5799" s="17">
        <v>61.22</v>
      </c>
      <c r="F5799" s="16">
        <v>0.06</v>
      </c>
      <c r="G5799" s="15" t="s">
        <v>101</v>
      </c>
      <c r="H5799" s="18">
        <v>-76.88</v>
      </c>
      <c r="I5799" s="19">
        <v>1.74</v>
      </c>
      <c r="J5799" s="19">
        <v>4.08</v>
      </c>
      <c r="K5799" s="19" t="s">
        <v>44</v>
      </c>
      <c r="L5799" s="19" t="s">
        <v>52</v>
      </c>
      <c r="M5799" s="15" t="s">
        <v>2240</v>
      </c>
      <c r="N5799" s="15" t="s">
        <v>54</v>
      </c>
      <c r="O5799" s="15" t="s">
        <v>55</v>
      </c>
      <c r="P5799" s="20" t="s">
        <v>935</v>
      </c>
      <c r="Q5799" s="15" t="s">
        <v>49</v>
      </c>
      <c r="R5799" s="4"/>
      <c r="S5799" s="4"/>
    </row>
    <row r="5800" spans="1:19" ht="21" customHeight="1" x14ac:dyDescent="0.25">
      <c r="A5800" s="14">
        <f>DATE(2012,12,31)-756</f>
        <v>40518</v>
      </c>
      <c r="B5800" s="15" t="s">
        <v>204</v>
      </c>
      <c r="C5800" s="15" t="s">
        <v>31</v>
      </c>
      <c r="D5800" s="16">
        <v>27</v>
      </c>
      <c r="E5800" s="17">
        <v>322.45999999999998</v>
      </c>
      <c r="F5800" s="16">
        <v>0.04</v>
      </c>
      <c r="G5800" s="15" t="s">
        <v>32</v>
      </c>
      <c r="H5800" s="18">
        <v>54.29</v>
      </c>
      <c r="I5800" s="19">
        <v>11.34</v>
      </c>
      <c r="J5800" s="19">
        <v>5.01</v>
      </c>
      <c r="K5800" s="19" t="s">
        <v>44</v>
      </c>
      <c r="L5800" s="19" t="s">
        <v>52</v>
      </c>
      <c r="M5800" s="15" t="s">
        <v>2240</v>
      </c>
      <c r="N5800" s="15" t="s">
        <v>36</v>
      </c>
      <c r="O5800" s="15" t="s">
        <v>117</v>
      </c>
      <c r="P5800" s="20" t="s">
        <v>1425</v>
      </c>
      <c r="Q5800" s="15" t="s">
        <v>83</v>
      </c>
      <c r="R5800" s="4"/>
      <c r="S5800" s="4"/>
    </row>
    <row r="5801" spans="1:19" ht="21" customHeight="1" x14ac:dyDescent="0.25">
      <c r="A5801" s="14">
        <f>DATE(2012,12,31)-485</f>
        <v>40789</v>
      </c>
      <c r="B5801" s="15" t="s">
        <v>1748</v>
      </c>
      <c r="C5801" s="15" t="s">
        <v>51</v>
      </c>
      <c r="D5801" s="16">
        <v>49</v>
      </c>
      <c r="E5801" s="17">
        <v>3702.92</v>
      </c>
      <c r="F5801" s="16">
        <v>0.03</v>
      </c>
      <c r="G5801" s="15" t="s">
        <v>32</v>
      </c>
      <c r="H5801" s="18">
        <v>541.91999999999996</v>
      </c>
      <c r="I5801" s="19">
        <v>76.72</v>
      </c>
      <c r="J5801" s="19">
        <v>19.95</v>
      </c>
      <c r="K5801" s="19" t="s">
        <v>44</v>
      </c>
      <c r="L5801" s="19" t="s">
        <v>52</v>
      </c>
      <c r="M5801" s="15" t="s">
        <v>2240</v>
      </c>
      <c r="N5801" s="15" t="s">
        <v>36</v>
      </c>
      <c r="O5801" s="15" t="s">
        <v>176</v>
      </c>
      <c r="P5801" s="20" t="s">
        <v>1016</v>
      </c>
      <c r="Q5801" s="15" t="s">
        <v>39</v>
      </c>
      <c r="R5801" s="4"/>
      <c r="S5801" s="4"/>
    </row>
    <row r="5802" spans="1:19" ht="21" customHeight="1" x14ac:dyDescent="0.25">
      <c r="A5802" s="14">
        <f>DATE(2012,12,31)-485</f>
        <v>40789</v>
      </c>
      <c r="B5802" s="15" t="s">
        <v>1748</v>
      </c>
      <c r="C5802" s="15" t="s">
        <v>51</v>
      </c>
      <c r="D5802" s="16">
        <v>29</v>
      </c>
      <c r="E5802" s="17">
        <v>53.99</v>
      </c>
      <c r="F5802" s="16">
        <v>0.1</v>
      </c>
      <c r="G5802" s="15" t="s">
        <v>32</v>
      </c>
      <c r="H5802" s="18">
        <v>-15.1225</v>
      </c>
      <c r="I5802" s="19">
        <v>1.88</v>
      </c>
      <c r="J5802" s="19">
        <v>1.49</v>
      </c>
      <c r="K5802" s="19" t="s">
        <v>44</v>
      </c>
      <c r="L5802" s="19" t="s">
        <v>52</v>
      </c>
      <c r="M5802" s="15" t="s">
        <v>2240</v>
      </c>
      <c r="N5802" s="15" t="s">
        <v>36</v>
      </c>
      <c r="O5802" s="15" t="s">
        <v>170</v>
      </c>
      <c r="P5802" s="20" t="s">
        <v>1353</v>
      </c>
      <c r="Q5802" s="15" t="s">
        <v>83</v>
      </c>
      <c r="R5802" s="4"/>
      <c r="S5802" s="4"/>
    </row>
    <row r="5803" spans="1:19" ht="21" customHeight="1" x14ac:dyDescent="0.25">
      <c r="A5803" s="14">
        <f>DATE(2012,12,31)-1400</f>
        <v>39874</v>
      </c>
      <c r="B5803" s="15" t="s">
        <v>655</v>
      </c>
      <c r="C5803" s="15" t="s">
        <v>85</v>
      </c>
      <c r="D5803" s="16">
        <v>29</v>
      </c>
      <c r="E5803" s="17">
        <v>862.2</v>
      </c>
      <c r="F5803" s="16">
        <v>0.1</v>
      </c>
      <c r="G5803" s="15" t="s">
        <v>32</v>
      </c>
      <c r="H5803" s="18">
        <v>-45.1</v>
      </c>
      <c r="I5803" s="19">
        <v>30.73</v>
      </c>
      <c r="J5803" s="19">
        <v>4</v>
      </c>
      <c r="K5803" s="19" t="s">
        <v>44</v>
      </c>
      <c r="L5803" s="19" t="s">
        <v>52</v>
      </c>
      <c r="M5803" s="15" t="s">
        <v>2240</v>
      </c>
      <c r="N5803" s="15" t="s">
        <v>64</v>
      </c>
      <c r="O5803" s="15" t="s">
        <v>72</v>
      </c>
      <c r="P5803" s="20" t="s">
        <v>971</v>
      </c>
      <c r="Q5803" s="15" t="s">
        <v>83</v>
      </c>
      <c r="R5803" s="4"/>
      <c r="S5803" s="4"/>
    </row>
    <row r="5804" spans="1:19" ht="21" customHeight="1" x14ac:dyDescent="0.25">
      <c r="A5804" s="14">
        <f>DATE(2012,12,31)-1341</f>
        <v>39933</v>
      </c>
      <c r="B5804" s="15" t="s">
        <v>311</v>
      </c>
      <c r="C5804" s="15" t="s">
        <v>31</v>
      </c>
      <c r="D5804" s="16">
        <v>43</v>
      </c>
      <c r="E5804" s="17">
        <v>938.37</v>
      </c>
      <c r="F5804" s="16">
        <v>0.02</v>
      </c>
      <c r="G5804" s="15" t="s">
        <v>32</v>
      </c>
      <c r="H5804" s="18">
        <v>251.17</v>
      </c>
      <c r="I5804" s="19">
        <v>21.98</v>
      </c>
      <c r="J5804" s="19">
        <v>2.87</v>
      </c>
      <c r="K5804" s="19" t="s">
        <v>44</v>
      </c>
      <c r="L5804" s="19" t="s">
        <v>52</v>
      </c>
      <c r="M5804" s="15" t="s">
        <v>2240</v>
      </c>
      <c r="N5804" s="15" t="s">
        <v>36</v>
      </c>
      <c r="O5804" s="15" t="s">
        <v>77</v>
      </c>
      <c r="P5804" s="20" t="s">
        <v>715</v>
      </c>
      <c r="Q5804" s="15" t="s">
        <v>49</v>
      </c>
      <c r="R5804" s="4"/>
      <c r="S5804" s="4"/>
    </row>
    <row r="5805" spans="1:19" ht="21" customHeight="1" x14ac:dyDescent="0.25">
      <c r="A5805" s="14">
        <f>DATE(2012,12,31)-625</f>
        <v>40649</v>
      </c>
      <c r="B5805" s="15" t="s">
        <v>416</v>
      </c>
      <c r="C5805" s="15" t="s">
        <v>85</v>
      </c>
      <c r="D5805" s="16">
        <v>39</v>
      </c>
      <c r="E5805" s="17">
        <v>3854.4</v>
      </c>
      <c r="F5805" s="16">
        <v>0.09</v>
      </c>
      <c r="G5805" s="15" t="s">
        <v>32</v>
      </c>
      <c r="H5805" s="18">
        <v>1116.98</v>
      </c>
      <c r="I5805" s="19">
        <v>107.53</v>
      </c>
      <c r="J5805" s="19">
        <v>5.81</v>
      </c>
      <c r="K5805" s="19" t="s">
        <v>44</v>
      </c>
      <c r="L5805" s="19" t="s">
        <v>52</v>
      </c>
      <c r="M5805" s="15" t="s">
        <v>2240</v>
      </c>
      <c r="N5805" s="15" t="s">
        <v>54</v>
      </c>
      <c r="O5805" s="15" t="s">
        <v>55</v>
      </c>
      <c r="P5805" s="20" t="s">
        <v>56</v>
      </c>
      <c r="Q5805" s="15" t="s">
        <v>57</v>
      </c>
      <c r="R5805" s="4"/>
      <c r="S5805" s="4"/>
    </row>
    <row r="5806" spans="1:19" ht="21" customHeight="1" x14ac:dyDescent="0.25">
      <c r="A5806" s="14">
        <f>DATE(2012,12,31)-466</f>
        <v>40808</v>
      </c>
      <c r="B5806" s="15" t="s">
        <v>2105</v>
      </c>
      <c r="C5806" s="15" t="s">
        <v>51</v>
      </c>
      <c r="D5806" s="16">
        <v>7</v>
      </c>
      <c r="E5806" s="17">
        <v>120.03</v>
      </c>
      <c r="F5806" s="16">
        <v>0.02</v>
      </c>
      <c r="G5806" s="15" t="s">
        <v>32</v>
      </c>
      <c r="H5806" s="18">
        <v>-56.06</v>
      </c>
      <c r="I5806" s="19">
        <v>15.7</v>
      </c>
      <c r="J5806" s="19">
        <v>11.25</v>
      </c>
      <c r="K5806" s="19" t="s">
        <v>44</v>
      </c>
      <c r="L5806" s="19" t="s">
        <v>52</v>
      </c>
      <c r="M5806" s="15" t="s">
        <v>2240</v>
      </c>
      <c r="N5806" s="15" t="s">
        <v>36</v>
      </c>
      <c r="O5806" s="15" t="s">
        <v>37</v>
      </c>
      <c r="P5806" s="20" t="s">
        <v>242</v>
      </c>
      <c r="Q5806" s="15" t="s">
        <v>83</v>
      </c>
      <c r="R5806" s="4"/>
      <c r="S5806" s="4"/>
    </row>
    <row r="5807" spans="1:19" ht="21" customHeight="1" x14ac:dyDescent="0.25">
      <c r="A5807" s="14">
        <f>DATE(2012,12,31)-1121</f>
        <v>40153</v>
      </c>
      <c r="B5807" s="15" t="s">
        <v>1687</v>
      </c>
      <c r="C5807" s="15" t="s">
        <v>85</v>
      </c>
      <c r="D5807" s="16">
        <v>2</v>
      </c>
      <c r="E5807" s="17">
        <v>18.809999999999999</v>
      </c>
      <c r="F5807" s="16">
        <v>0.08</v>
      </c>
      <c r="G5807" s="15" t="s">
        <v>32</v>
      </c>
      <c r="H5807" s="18">
        <v>-12.83</v>
      </c>
      <c r="I5807" s="19">
        <v>5.78</v>
      </c>
      <c r="J5807" s="19">
        <v>7.96</v>
      </c>
      <c r="K5807" s="19" t="s">
        <v>44</v>
      </c>
      <c r="L5807" s="19" t="s">
        <v>52</v>
      </c>
      <c r="M5807" s="15" t="s">
        <v>2240</v>
      </c>
      <c r="N5807" s="15" t="s">
        <v>36</v>
      </c>
      <c r="O5807" s="15" t="s">
        <v>117</v>
      </c>
      <c r="P5807" s="20" t="s">
        <v>1017</v>
      </c>
      <c r="Q5807" s="15" t="s">
        <v>83</v>
      </c>
      <c r="R5807" s="4"/>
      <c r="S5807" s="4"/>
    </row>
    <row r="5808" spans="1:19" ht="21" customHeight="1" x14ac:dyDescent="0.25">
      <c r="A5808" s="14">
        <f>DATE(2012,12,31)-770</f>
        <v>40504</v>
      </c>
      <c r="B5808" s="15" t="s">
        <v>492</v>
      </c>
      <c r="C5808" s="15" t="s">
        <v>51</v>
      </c>
      <c r="D5808" s="16">
        <v>33</v>
      </c>
      <c r="E5808" s="17">
        <v>553.3415</v>
      </c>
      <c r="F5808" s="16">
        <v>0.08</v>
      </c>
      <c r="G5808" s="15" t="s">
        <v>32</v>
      </c>
      <c r="H5808" s="18">
        <v>-67.704999999999998</v>
      </c>
      <c r="I5808" s="19">
        <v>20.99</v>
      </c>
      <c r="J5808" s="19">
        <v>0.99</v>
      </c>
      <c r="K5808" s="19" t="s">
        <v>44</v>
      </c>
      <c r="L5808" s="19" t="s">
        <v>52</v>
      </c>
      <c r="M5808" s="15" t="s">
        <v>2240</v>
      </c>
      <c r="N5808" s="15" t="s">
        <v>64</v>
      </c>
      <c r="O5808" s="15" t="s">
        <v>65</v>
      </c>
      <c r="P5808" s="20" t="s">
        <v>1811</v>
      </c>
      <c r="Q5808" s="15" t="s">
        <v>49</v>
      </c>
      <c r="R5808" s="4"/>
      <c r="S5808" s="4"/>
    </row>
    <row r="5809" spans="1:19" ht="21" customHeight="1" x14ac:dyDescent="0.25">
      <c r="A5809" s="14">
        <f>DATE(2012,12,31)-770</f>
        <v>40504</v>
      </c>
      <c r="B5809" s="15" t="s">
        <v>492</v>
      </c>
      <c r="C5809" s="15" t="s">
        <v>51</v>
      </c>
      <c r="D5809" s="16">
        <v>13</v>
      </c>
      <c r="E5809" s="17">
        <v>142.12</v>
      </c>
      <c r="F5809" s="16">
        <v>0.01</v>
      </c>
      <c r="G5809" s="15" t="s">
        <v>101</v>
      </c>
      <c r="H5809" s="18">
        <v>54.91</v>
      </c>
      <c r="I5809" s="19">
        <v>9.7799999999999994</v>
      </c>
      <c r="J5809" s="19">
        <v>1.39</v>
      </c>
      <c r="K5809" s="19" t="s">
        <v>44</v>
      </c>
      <c r="L5809" s="19" t="s">
        <v>236</v>
      </c>
      <c r="M5809" s="15" t="s">
        <v>2246</v>
      </c>
      <c r="N5809" s="15" t="s">
        <v>36</v>
      </c>
      <c r="O5809" s="15" t="s">
        <v>189</v>
      </c>
      <c r="P5809" s="20" t="s">
        <v>917</v>
      </c>
      <c r="Q5809" s="15" t="s">
        <v>83</v>
      </c>
      <c r="R5809" s="4"/>
      <c r="S5809" s="4"/>
    </row>
    <row r="5810" spans="1:19" ht="21" customHeight="1" x14ac:dyDescent="0.25">
      <c r="A5810" s="14">
        <f>DATE(2012,12,31)-823</f>
        <v>40451</v>
      </c>
      <c r="B5810" s="15" t="s">
        <v>342</v>
      </c>
      <c r="C5810" s="15" t="s">
        <v>31</v>
      </c>
      <c r="D5810" s="16">
        <v>9</v>
      </c>
      <c r="E5810" s="17">
        <v>52.93</v>
      </c>
      <c r="F5810" s="16">
        <v>0</v>
      </c>
      <c r="G5810" s="15" t="s">
        <v>32</v>
      </c>
      <c r="H5810" s="18">
        <v>5.34</v>
      </c>
      <c r="I5810" s="19">
        <v>5.58</v>
      </c>
      <c r="J5810" s="19">
        <v>0.7</v>
      </c>
      <c r="K5810" s="19" t="s">
        <v>124</v>
      </c>
      <c r="L5810" s="19" t="s">
        <v>164</v>
      </c>
      <c r="M5810" s="15" t="s">
        <v>2257</v>
      </c>
      <c r="N5810" s="15" t="s">
        <v>36</v>
      </c>
      <c r="O5810" s="15" t="s">
        <v>77</v>
      </c>
      <c r="P5810" s="20" t="s">
        <v>159</v>
      </c>
      <c r="Q5810" s="15" t="s">
        <v>79</v>
      </c>
      <c r="R5810" s="4"/>
      <c r="S5810" s="4"/>
    </row>
    <row r="5811" spans="1:19" ht="21" customHeight="1" x14ac:dyDescent="0.25">
      <c r="A5811" s="14">
        <f>DATE(2012,12,31)-823</f>
        <v>40451</v>
      </c>
      <c r="B5811" s="15" t="s">
        <v>342</v>
      </c>
      <c r="C5811" s="15" t="s">
        <v>31</v>
      </c>
      <c r="D5811" s="16">
        <v>25</v>
      </c>
      <c r="E5811" s="17">
        <v>145.13</v>
      </c>
      <c r="F5811" s="16">
        <v>0.03</v>
      </c>
      <c r="G5811" s="15" t="s">
        <v>32</v>
      </c>
      <c r="H5811" s="18">
        <v>-42.45</v>
      </c>
      <c r="I5811" s="19">
        <v>5.78</v>
      </c>
      <c r="J5811" s="19">
        <v>4.96</v>
      </c>
      <c r="K5811" s="19" t="s">
        <v>33</v>
      </c>
      <c r="L5811" s="19" t="s">
        <v>59</v>
      </c>
      <c r="M5811" s="15" t="s">
        <v>2269</v>
      </c>
      <c r="N5811" s="15" t="s">
        <v>36</v>
      </c>
      <c r="O5811" s="15" t="s">
        <v>117</v>
      </c>
      <c r="P5811" s="20" t="s">
        <v>636</v>
      </c>
      <c r="Q5811" s="15" t="s">
        <v>83</v>
      </c>
      <c r="R5811" s="4"/>
      <c r="S5811" s="4"/>
    </row>
    <row r="5812" spans="1:19" ht="21" customHeight="1" x14ac:dyDescent="0.25">
      <c r="A5812" s="14">
        <f>DATE(2012,12,31)-1266</f>
        <v>40008</v>
      </c>
      <c r="B5812" s="15" t="s">
        <v>887</v>
      </c>
      <c r="C5812" s="15" t="s">
        <v>31</v>
      </c>
      <c r="D5812" s="16">
        <v>30</v>
      </c>
      <c r="E5812" s="17">
        <v>189.04</v>
      </c>
      <c r="F5812" s="16">
        <v>0.03</v>
      </c>
      <c r="G5812" s="15" t="s">
        <v>32</v>
      </c>
      <c r="H5812" s="18">
        <v>66.28</v>
      </c>
      <c r="I5812" s="19">
        <v>6.45</v>
      </c>
      <c r="J5812" s="19">
        <v>1.34</v>
      </c>
      <c r="K5812" s="19" t="s">
        <v>69</v>
      </c>
      <c r="L5812" s="19" t="s">
        <v>75</v>
      </c>
      <c r="M5812" s="15" t="s">
        <v>2231</v>
      </c>
      <c r="N5812" s="15" t="s">
        <v>36</v>
      </c>
      <c r="O5812" s="15" t="s">
        <v>117</v>
      </c>
      <c r="P5812" s="20" t="s">
        <v>1880</v>
      </c>
      <c r="Q5812" s="15" t="s">
        <v>79</v>
      </c>
      <c r="R5812" s="4"/>
      <c r="S5812" s="4"/>
    </row>
    <row r="5813" spans="1:19" ht="21" customHeight="1" x14ac:dyDescent="0.25">
      <c r="A5813" s="14">
        <f>DATE(2012,12,31)-1279</f>
        <v>39995</v>
      </c>
      <c r="B5813" s="15" t="s">
        <v>2108</v>
      </c>
      <c r="C5813" s="15" t="s">
        <v>43</v>
      </c>
      <c r="D5813" s="16">
        <v>8</v>
      </c>
      <c r="E5813" s="17">
        <v>253.26</v>
      </c>
      <c r="F5813" s="16">
        <v>0.02</v>
      </c>
      <c r="G5813" s="15" t="s">
        <v>32</v>
      </c>
      <c r="H5813" s="18">
        <v>49.657000000000004</v>
      </c>
      <c r="I5813" s="19">
        <v>29.17</v>
      </c>
      <c r="J5813" s="19">
        <v>6.27</v>
      </c>
      <c r="K5813" s="19" t="s">
        <v>69</v>
      </c>
      <c r="L5813" s="19" t="s">
        <v>75</v>
      </c>
      <c r="M5813" s="15" t="s">
        <v>2231</v>
      </c>
      <c r="N5813" s="15" t="s">
        <v>36</v>
      </c>
      <c r="O5813" s="15" t="s">
        <v>170</v>
      </c>
      <c r="P5813" s="20" t="s">
        <v>1063</v>
      </c>
      <c r="Q5813" s="15" t="s">
        <v>83</v>
      </c>
      <c r="R5813" s="4"/>
      <c r="S5813" s="4"/>
    </row>
    <row r="5814" spans="1:19" ht="21" customHeight="1" x14ac:dyDescent="0.25">
      <c r="A5814" s="14">
        <f>DATE(2012,12,31)-1279</f>
        <v>39995</v>
      </c>
      <c r="B5814" s="15" t="s">
        <v>2108</v>
      </c>
      <c r="C5814" s="15" t="s">
        <v>43</v>
      </c>
      <c r="D5814" s="16">
        <v>45</v>
      </c>
      <c r="E5814" s="17">
        <v>6865.0720000000001</v>
      </c>
      <c r="F5814" s="16">
        <v>0</v>
      </c>
      <c r="G5814" s="15" t="s">
        <v>58</v>
      </c>
      <c r="H5814" s="18">
        <v>1117.24</v>
      </c>
      <c r="I5814" s="19">
        <v>179.29</v>
      </c>
      <c r="J5814" s="19">
        <v>29.21</v>
      </c>
      <c r="K5814" s="19" t="s">
        <v>69</v>
      </c>
      <c r="L5814" s="19" t="s">
        <v>215</v>
      </c>
      <c r="M5814" s="15" t="s">
        <v>2197</v>
      </c>
      <c r="N5814" s="15" t="s">
        <v>54</v>
      </c>
      <c r="O5814" s="15" t="s">
        <v>61</v>
      </c>
      <c r="P5814" s="20" t="s">
        <v>592</v>
      </c>
      <c r="Q5814" s="15" t="s">
        <v>63</v>
      </c>
      <c r="R5814" s="4"/>
      <c r="S5814" s="4"/>
    </row>
    <row r="5815" spans="1:19" ht="21" customHeight="1" x14ac:dyDescent="0.25">
      <c r="A5815" s="14">
        <f>DATE(2012,12,31)-537</f>
        <v>40737</v>
      </c>
      <c r="B5815" s="15" t="s">
        <v>678</v>
      </c>
      <c r="C5815" s="15" t="s">
        <v>51</v>
      </c>
      <c r="D5815" s="16">
        <v>23</v>
      </c>
      <c r="E5815" s="17">
        <v>1314.64</v>
      </c>
      <c r="F5815" s="16">
        <v>0.03</v>
      </c>
      <c r="G5815" s="15" t="s">
        <v>101</v>
      </c>
      <c r="H5815" s="18">
        <v>575.38</v>
      </c>
      <c r="I5815" s="19">
        <v>55.48</v>
      </c>
      <c r="J5815" s="19">
        <v>6.79</v>
      </c>
      <c r="K5815" s="19" t="s">
        <v>33</v>
      </c>
      <c r="L5815" s="19" t="s">
        <v>128</v>
      </c>
      <c r="M5815" s="15" t="s">
        <v>129</v>
      </c>
      <c r="N5815" s="15" t="s">
        <v>36</v>
      </c>
      <c r="O5815" s="15" t="s">
        <v>117</v>
      </c>
      <c r="P5815" s="20" t="s">
        <v>1482</v>
      </c>
      <c r="Q5815" s="15" t="s">
        <v>83</v>
      </c>
      <c r="R5815" s="4"/>
      <c r="S5815" s="4"/>
    </row>
    <row r="5816" spans="1:19" ht="21" customHeight="1" x14ac:dyDescent="0.25">
      <c r="A5816" s="14">
        <f>DATE(2012,12,31)-1206</f>
        <v>40068</v>
      </c>
      <c r="B5816" s="15" t="s">
        <v>1450</v>
      </c>
      <c r="C5816" s="15" t="s">
        <v>85</v>
      </c>
      <c r="D5816" s="16">
        <v>4</v>
      </c>
      <c r="E5816" s="17">
        <v>345.57</v>
      </c>
      <c r="F5816" s="16">
        <v>0.06</v>
      </c>
      <c r="G5816" s="15" t="s">
        <v>32</v>
      </c>
      <c r="H5816" s="18">
        <v>-218.77</v>
      </c>
      <c r="I5816" s="19">
        <v>80.98</v>
      </c>
      <c r="J5816" s="19">
        <v>35</v>
      </c>
      <c r="K5816" s="19" t="s">
        <v>124</v>
      </c>
      <c r="L5816" s="19" t="s">
        <v>158</v>
      </c>
      <c r="M5816" s="15" t="s">
        <v>158</v>
      </c>
      <c r="N5816" s="15" t="s">
        <v>36</v>
      </c>
      <c r="O5816" s="15" t="s">
        <v>37</v>
      </c>
      <c r="P5816" s="20" t="s">
        <v>1383</v>
      </c>
      <c r="Q5816" s="15" t="s">
        <v>39</v>
      </c>
      <c r="R5816" s="4"/>
      <c r="S5816" s="4"/>
    </row>
    <row r="5817" spans="1:19" ht="21" customHeight="1" x14ac:dyDescent="0.25">
      <c r="A5817" s="14">
        <f>DATE(2012,12,31)-1334</f>
        <v>39940</v>
      </c>
      <c r="B5817" s="15" t="s">
        <v>812</v>
      </c>
      <c r="C5817" s="15" t="s">
        <v>85</v>
      </c>
      <c r="D5817" s="16">
        <v>5</v>
      </c>
      <c r="E5817" s="17">
        <v>1455.49</v>
      </c>
      <c r="F5817" s="16">
        <v>7.0000000000000007E-2</v>
      </c>
      <c r="G5817" s="15" t="s">
        <v>32</v>
      </c>
      <c r="H5817" s="18">
        <v>-807.59</v>
      </c>
      <c r="I5817" s="19">
        <v>300.97000000000003</v>
      </c>
      <c r="J5817" s="19">
        <v>7.18</v>
      </c>
      <c r="K5817" s="19" t="s">
        <v>69</v>
      </c>
      <c r="L5817" s="19" t="s">
        <v>70</v>
      </c>
      <c r="M5817" s="15" t="s">
        <v>2230</v>
      </c>
      <c r="N5817" s="15" t="s">
        <v>64</v>
      </c>
      <c r="O5817" s="15" t="s">
        <v>72</v>
      </c>
      <c r="P5817" s="20" t="s">
        <v>717</v>
      </c>
      <c r="Q5817" s="15" t="s">
        <v>83</v>
      </c>
      <c r="R5817" s="4"/>
      <c r="S5817" s="4"/>
    </row>
    <row r="5818" spans="1:19" ht="21" customHeight="1" x14ac:dyDescent="0.25">
      <c r="A5818" s="14">
        <f>DATE(2012,12,31)-721</f>
        <v>40553</v>
      </c>
      <c r="B5818" s="15" t="s">
        <v>1935</v>
      </c>
      <c r="C5818" s="15" t="s">
        <v>85</v>
      </c>
      <c r="D5818" s="16">
        <v>17</v>
      </c>
      <c r="E5818" s="17">
        <v>1782.68</v>
      </c>
      <c r="F5818" s="16">
        <v>0.08</v>
      </c>
      <c r="G5818" s="15" t="s">
        <v>32</v>
      </c>
      <c r="H5818" s="18">
        <v>280.64</v>
      </c>
      <c r="I5818" s="19">
        <v>107.53</v>
      </c>
      <c r="J5818" s="19">
        <v>5.81</v>
      </c>
      <c r="K5818" s="19" t="s">
        <v>69</v>
      </c>
      <c r="L5818" s="19" t="s">
        <v>215</v>
      </c>
      <c r="M5818" s="15" t="s">
        <v>2197</v>
      </c>
      <c r="N5818" s="15" t="s">
        <v>54</v>
      </c>
      <c r="O5818" s="15" t="s">
        <v>55</v>
      </c>
      <c r="P5818" s="20" t="s">
        <v>56</v>
      </c>
      <c r="Q5818" s="15" t="s">
        <v>57</v>
      </c>
      <c r="R5818" s="4"/>
      <c r="S5818" s="4"/>
    </row>
    <row r="5819" spans="1:19" ht="21" customHeight="1" x14ac:dyDescent="0.25">
      <c r="A5819" s="14">
        <f>DATE(2012,12,31)-1170</f>
        <v>40104</v>
      </c>
      <c r="B5819" s="15" t="s">
        <v>1043</v>
      </c>
      <c r="C5819" s="15" t="s">
        <v>31</v>
      </c>
      <c r="D5819" s="16">
        <v>22</v>
      </c>
      <c r="E5819" s="17">
        <v>1333.19</v>
      </c>
      <c r="F5819" s="16">
        <v>0.01</v>
      </c>
      <c r="G5819" s="15" t="s">
        <v>32</v>
      </c>
      <c r="H5819" s="18">
        <v>331.48</v>
      </c>
      <c r="I5819" s="19">
        <v>60.65</v>
      </c>
      <c r="J5819" s="19">
        <v>12.23</v>
      </c>
      <c r="K5819" s="19" t="s">
        <v>44</v>
      </c>
      <c r="L5819" s="19" t="s">
        <v>120</v>
      </c>
      <c r="M5819" s="15" t="s">
        <v>2262</v>
      </c>
      <c r="N5819" s="15" t="s">
        <v>54</v>
      </c>
      <c r="O5819" s="15" t="s">
        <v>55</v>
      </c>
      <c r="P5819" s="20" t="s">
        <v>1317</v>
      </c>
      <c r="Q5819" s="15" t="s">
        <v>57</v>
      </c>
      <c r="R5819" s="4"/>
      <c r="S5819" s="4"/>
    </row>
    <row r="5820" spans="1:19" ht="21" customHeight="1" x14ac:dyDescent="0.25">
      <c r="A5820" s="14">
        <f>DATE(2012,12,31)-1276</f>
        <v>39998</v>
      </c>
      <c r="B5820" s="15" t="s">
        <v>672</v>
      </c>
      <c r="C5820" s="15" t="s">
        <v>85</v>
      </c>
      <c r="D5820" s="16">
        <v>39</v>
      </c>
      <c r="E5820" s="17">
        <v>916.05</v>
      </c>
      <c r="F5820" s="16">
        <v>0.08</v>
      </c>
      <c r="G5820" s="15" t="s">
        <v>32</v>
      </c>
      <c r="H5820" s="18">
        <v>-21.896000000000001</v>
      </c>
      <c r="I5820" s="19">
        <v>24.92</v>
      </c>
      <c r="J5820" s="19">
        <v>12.98</v>
      </c>
      <c r="K5820" s="19" t="s">
        <v>44</v>
      </c>
      <c r="L5820" s="19" t="s">
        <v>89</v>
      </c>
      <c r="M5820" s="15" t="s">
        <v>1932</v>
      </c>
      <c r="N5820" s="15" t="s">
        <v>36</v>
      </c>
      <c r="O5820" s="15" t="s">
        <v>170</v>
      </c>
      <c r="P5820" s="20" t="s">
        <v>171</v>
      </c>
      <c r="Q5820" s="15" t="s">
        <v>83</v>
      </c>
      <c r="R5820" s="4"/>
      <c r="S5820" s="4"/>
    </row>
    <row r="5821" spans="1:19" ht="21" customHeight="1" x14ac:dyDescent="0.25">
      <c r="A5821" s="14">
        <f>DATE(2012,12,31)-106</f>
        <v>41168</v>
      </c>
      <c r="B5821" s="15" t="s">
        <v>1767</v>
      </c>
      <c r="C5821" s="15" t="s">
        <v>85</v>
      </c>
      <c r="D5821" s="16">
        <v>40</v>
      </c>
      <c r="E5821" s="17">
        <v>260.95999999999998</v>
      </c>
      <c r="F5821" s="16">
        <v>0.09</v>
      </c>
      <c r="G5821" s="15" t="s">
        <v>32</v>
      </c>
      <c r="H5821" s="18">
        <v>-96.7</v>
      </c>
      <c r="I5821" s="19">
        <v>6.48</v>
      </c>
      <c r="J5821" s="19">
        <v>6.22</v>
      </c>
      <c r="K5821" s="19" t="s">
        <v>44</v>
      </c>
      <c r="L5821" s="19" t="s">
        <v>89</v>
      </c>
      <c r="M5821" s="15" t="s">
        <v>1932</v>
      </c>
      <c r="N5821" s="15" t="s">
        <v>36</v>
      </c>
      <c r="O5821" s="15" t="s">
        <v>117</v>
      </c>
      <c r="P5821" s="20" t="s">
        <v>1323</v>
      </c>
      <c r="Q5821" s="15" t="s">
        <v>83</v>
      </c>
      <c r="R5821" s="4"/>
      <c r="S5821" s="4"/>
    </row>
    <row r="5822" spans="1:19" ht="21" customHeight="1" x14ac:dyDescent="0.25">
      <c r="A5822" s="14">
        <f>DATE(2012,12,31)-335</f>
        <v>40939</v>
      </c>
      <c r="B5822" s="15" t="s">
        <v>1897</v>
      </c>
      <c r="C5822" s="15" t="s">
        <v>43</v>
      </c>
      <c r="D5822" s="16">
        <v>21</v>
      </c>
      <c r="E5822" s="17">
        <v>787.63</v>
      </c>
      <c r="F5822" s="16">
        <v>0.05</v>
      </c>
      <c r="G5822" s="15" t="s">
        <v>32</v>
      </c>
      <c r="H5822" s="18">
        <v>140.22</v>
      </c>
      <c r="I5822" s="19">
        <v>39.479999999999997</v>
      </c>
      <c r="J5822" s="19">
        <v>1.99</v>
      </c>
      <c r="K5822" s="19" t="s">
        <v>33</v>
      </c>
      <c r="L5822" s="19" t="s">
        <v>128</v>
      </c>
      <c r="M5822" s="15" t="s">
        <v>129</v>
      </c>
      <c r="N5822" s="15" t="s">
        <v>64</v>
      </c>
      <c r="O5822" s="15" t="s">
        <v>72</v>
      </c>
      <c r="P5822" s="20" t="s">
        <v>218</v>
      </c>
      <c r="Q5822" s="15" t="s">
        <v>49</v>
      </c>
      <c r="R5822" s="4"/>
      <c r="S5822" s="4"/>
    </row>
    <row r="5823" spans="1:19" ht="21" customHeight="1" x14ac:dyDescent="0.25">
      <c r="A5823" s="14">
        <f>DATE(2012,12,31)-1259</f>
        <v>40015</v>
      </c>
      <c r="B5823" s="15" t="s">
        <v>1023</v>
      </c>
      <c r="C5823" s="15" t="s">
        <v>43</v>
      </c>
      <c r="D5823" s="16">
        <v>8</v>
      </c>
      <c r="E5823" s="17">
        <v>121.74</v>
      </c>
      <c r="F5823" s="16">
        <v>0.01</v>
      </c>
      <c r="G5823" s="15" t="s">
        <v>32</v>
      </c>
      <c r="H5823" s="18">
        <v>21.003500000000003</v>
      </c>
      <c r="I5823" s="19">
        <v>14.28</v>
      </c>
      <c r="J5823" s="19">
        <v>2.99</v>
      </c>
      <c r="K5823" s="19" t="s">
        <v>33</v>
      </c>
      <c r="L5823" s="19" t="s">
        <v>128</v>
      </c>
      <c r="M5823" s="15" t="s">
        <v>129</v>
      </c>
      <c r="N5823" s="15" t="s">
        <v>36</v>
      </c>
      <c r="O5823" s="15" t="s">
        <v>170</v>
      </c>
      <c r="P5823" s="20" t="s">
        <v>2186</v>
      </c>
      <c r="Q5823" s="15" t="s">
        <v>83</v>
      </c>
      <c r="R5823" s="4"/>
      <c r="S5823" s="4"/>
    </row>
    <row r="5824" spans="1:19" ht="21" customHeight="1" x14ac:dyDescent="0.25">
      <c r="A5824" s="14">
        <f>DATE(2012,12,31)-1259</f>
        <v>40015</v>
      </c>
      <c r="B5824" s="15" t="s">
        <v>1023</v>
      </c>
      <c r="C5824" s="15" t="s">
        <v>43</v>
      </c>
      <c r="D5824" s="16">
        <v>4</v>
      </c>
      <c r="E5824" s="17">
        <v>700.36599999999999</v>
      </c>
      <c r="F5824" s="16">
        <v>0</v>
      </c>
      <c r="G5824" s="15" t="s">
        <v>32</v>
      </c>
      <c r="H5824" s="18">
        <v>-787.69900000000007</v>
      </c>
      <c r="I5824" s="19">
        <v>205.99</v>
      </c>
      <c r="J5824" s="19">
        <v>5.99</v>
      </c>
      <c r="K5824" s="19" t="s">
        <v>33</v>
      </c>
      <c r="L5824" s="19" t="s">
        <v>128</v>
      </c>
      <c r="M5824" s="15" t="s">
        <v>129</v>
      </c>
      <c r="N5824" s="15" t="s">
        <v>64</v>
      </c>
      <c r="O5824" s="15" t="s">
        <v>65</v>
      </c>
      <c r="P5824" s="20" t="s">
        <v>107</v>
      </c>
      <c r="Q5824" s="15" t="s">
        <v>83</v>
      </c>
      <c r="R5824" s="4"/>
      <c r="S5824" s="4"/>
    </row>
    <row r="5825" spans="1:19" ht="21" customHeight="1" x14ac:dyDescent="0.25">
      <c r="A5825" s="14">
        <f>DATE(2012,12,31)-449</f>
        <v>40825</v>
      </c>
      <c r="B5825" s="15" t="s">
        <v>1480</v>
      </c>
      <c r="C5825" s="15" t="s">
        <v>31</v>
      </c>
      <c r="D5825" s="16">
        <v>21</v>
      </c>
      <c r="E5825" s="17">
        <v>1223.1099999999999</v>
      </c>
      <c r="F5825" s="16">
        <v>0</v>
      </c>
      <c r="G5825" s="15" t="s">
        <v>101</v>
      </c>
      <c r="H5825" s="18">
        <v>161.72</v>
      </c>
      <c r="I5825" s="19">
        <v>56.96</v>
      </c>
      <c r="J5825" s="19">
        <v>13.22</v>
      </c>
      <c r="K5825" s="19" t="s">
        <v>97</v>
      </c>
      <c r="L5825" s="19" t="s">
        <v>98</v>
      </c>
      <c r="M5825" s="15" t="s">
        <v>2217</v>
      </c>
      <c r="N5825" s="15" t="s">
        <v>36</v>
      </c>
      <c r="O5825" s="15" t="s">
        <v>176</v>
      </c>
      <c r="P5825" s="20" t="s">
        <v>904</v>
      </c>
      <c r="Q5825" s="15" t="s">
        <v>83</v>
      </c>
      <c r="R5825" s="4"/>
      <c r="S5825" s="4"/>
    </row>
    <row r="5826" spans="1:19" ht="21" customHeight="1" x14ac:dyDescent="0.25">
      <c r="A5826" s="14">
        <f>DATE(2012,12,31)-333</f>
        <v>40941</v>
      </c>
      <c r="B5826" s="15" t="s">
        <v>1828</v>
      </c>
      <c r="C5826" s="15" t="s">
        <v>85</v>
      </c>
      <c r="D5826" s="16">
        <v>36</v>
      </c>
      <c r="E5826" s="17">
        <v>66.41</v>
      </c>
      <c r="F5826" s="16">
        <v>0.04</v>
      </c>
      <c r="G5826" s="15" t="s">
        <v>32</v>
      </c>
      <c r="H5826" s="18">
        <v>0.37</v>
      </c>
      <c r="I5826" s="19">
        <v>1.88</v>
      </c>
      <c r="J5826" s="19">
        <v>0.79</v>
      </c>
      <c r="K5826" s="19" t="s">
        <v>97</v>
      </c>
      <c r="L5826" s="19" t="s">
        <v>98</v>
      </c>
      <c r="M5826" s="15" t="s">
        <v>2217</v>
      </c>
      <c r="N5826" s="15" t="s">
        <v>36</v>
      </c>
      <c r="O5826" s="15" t="s">
        <v>105</v>
      </c>
      <c r="P5826" s="20" t="s">
        <v>2272</v>
      </c>
      <c r="Q5826" s="15" t="s">
        <v>79</v>
      </c>
      <c r="R5826" s="4"/>
      <c r="S5826" s="4"/>
    </row>
    <row r="5827" spans="1:19" ht="21" customHeight="1" x14ac:dyDescent="0.25">
      <c r="A5827" s="14">
        <f>DATE(2012,12,31)-380</f>
        <v>40894</v>
      </c>
      <c r="B5827" s="15" t="s">
        <v>1342</v>
      </c>
      <c r="C5827" s="15" t="s">
        <v>85</v>
      </c>
      <c r="D5827" s="16">
        <v>44</v>
      </c>
      <c r="E5827" s="17">
        <v>346.2</v>
      </c>
      <c r="F5827" s="16">
        <v>0</v>
      </c>
      <c r="G5827" s="15" t="s">
        <v>101</v>
      </c>
      <c r="H5827" s="18">
        <v>-335.685</v>
      </c>
      <c r="I5827" s="19">
        <v>7.38</v>
      </c>
      <c r="J5827" s="19">
        <v>11.51</v>
      </c>
      <c r="K5827" s="19" t="s">
        <v>124</v>
      </c>
      <c r="L5827" s="19" t="s">
        <v>160</v>
      </c>
      <c r="M5827" s="15" t="s">
        <v>2181</v>
      </c>
      <c r="N5827" s="15" t="s">
        <v>36</v>
      </c>
      <c r="O5827" s="15" t="s">
        <v>170</v>
      </c>
      <c r="P5827" s="20" t="s">
        <v>1646</v>
      </c>
      <c r="Q5827" s="15" t="s">
        <v>83</v>
      </c>
      <c r="R5827" s="4"/>
      <c r="S5827" s="4"/>
    </row>
    <row r="5828" spans="1:19" ht="21" customHeight="1" x14ac:dyDescent="0.25">
      <c r="A5828" s="14">
        <f>DATE(2012,12,31)-380</f>
        <v>40894</v>
      </c>
      <c r="B5828" s="15" t="s">
        <v>1342</v>
      </c>
      <c r="C5828" s="15" t="s">
        <v>85</v>
      </c>
      <c r="D5828" s="16">
        <v>4</v>
      </c>
      <c r="E5828" s="17">
        <v>85.96</v>
      </c>
      <c r="F5828" s="16">
        <v>0.08</v>
      </c>
      <c r="G5828" s="15" t="s">
        <v>101</v>
      </c>
      <c r="H5828" s="18">
        <v>-7.48</v>
      </c>
      <c r="I5828" s="19">
        <v>20.239999999999998</v>
      </c>
      <c r="J5828" s="19">
        <v>8.99</v>
      </c>
      <c r="K5828" s="19" t="s">
        <v>124</v>
      </c>
      <c r="L5828" s="19" t="s">
        <v>125</v>
      </c>
      <c r="M5828" s="15" t="s">
        <v>2265</v>
      </c>
      <c r="N5828" s="15" t="s">
        <v>54</v>
      </c>
      <c r="O5828" s="15" t="s">
        <v>55</v>
      </c>
      <c r="P5828" s="20" t="s">
        <v>2193</v>
      </c>
      <c r="Q5828" s="15" t="s">
        <v>49</v>
      </c>
      <c r="R5828" s="4"/>
      <c r="S5828" s="4"/>
    </row>
    <row r="5829" spans="1:19" ht="21" customHeight="1" x14ac:dyDescent="0.25">
      <c r="A5829" s="14">
        <f>DATE(2012,12,31)-380</f>
        <v>40894</v>
      </c>
      <c r="B5829" s="15" t="s">
        <v>1342</v>
      </c>
      <c r="C5829" s="15" t="s">
        <v>85</v>
      </c>
      <c r="D5829" s="16">
        <v>39</v>
      </c>
      <c r="E5829" s="17">
        <v>475.52</v>
      </c>
      <c r="F5829" s="16">
        <v>7.0000000000000007E-2</v>
      </c>
      <c r="G5829" s="15" t="s">
        <v>32</v>
      </c>
      <c r="H5829" s="18">
        <v>-70.430000000000007</v>
      </c>
      <c r="I5829" s="19">
        <v>12.44</v>
      </c>
      <c r="J5829" s="19">
        <v>6.27</v>
      </c>
      <c r="K5829" s="19" t="s">
        <v>124</v>
      </c>
      <c r="L5829" s="19" t="s">
        <v>164</v>
      </c>
      <c r="M5829" s="15" t="s">
        <v>2257</v>
      </c>
      <c r="N5829" s="15" t="s">
        <v>36</v>
      </c>
      <c r="O5829" s="15" t="s">
        <v>37</v>
      </c>
      <c r="P5829" s="20" t="s">
        <v>143</v>
      </c>
      <c r="Q5829" s="15" t="s">
        <v>57</v>
      </c>
      <c r="R5829" s="4"/>
      <c r="S5829" s="4"/>
    </row>
    <row r="5830" spans="1:19" ht="21" customHeight="1" x14ac:dyDescent="0.25">
      <c r="A5830" s="14">
        <f>DATE(2012,12,31)-968</f>
        <v>40306</v>
      </c>
      <c r="B5830" s="15" t="s">
        <v>1784</v>
      </c>
      <c r="C5830" s="15" t="s">
        <v>85</v>
      </c>
      <c r="D5830" s="16">
        <v>1</v>
      </c>
      <c r="E5830" s="17">
        <v>423.3</v>
      </c>
      <c r="F5830" s="16">
        <v>0.01</v>
      </c>
      <c r="G5830" s="15" t="s">
        <v>32</v>
      </c>
      <c r="H5830" s="18">
        <v>-259.01</v>
      </c>
      <c r="I5830" s="19">
        <v>419.19</v>
      </c>
      <c r="J5830" s="19">
        <v>19.989999999999998</v>
      </c>
      <c r="K5830" s="19" t="s">
        <v>124</v>
      </c>
      <c r="L5830" s="19" t="s">
        <v>158</v>
      </c>
      <c r="M5830" s="15" t="s">
        <v>158</v>
      </c>
      <c r="N5830" s="15" t="s">
        <v>36</v>
      </c>
      <c r="O5830" s="15" t="s">
        <v>37</v>
      </c>
      <c r="P5830" s="20" t="s">
        <v>1168</v>
      </c>
      <c r="Q5830" s="15" t="s">
        <v>83</v>
      </c>
      <c r="R5830" s="4"/>
      <c r="S5830" s="4"/>
    </row>
    <row r="5831" spans="1:19" ht="21" customHeight="1" x14ac:dyDescent="0.25">
      <c r="A5831" s="14">
        <f>DATE(2012,12,31)-830</f>
        <v>40444</v>
      </c>
      <c r="B5831" s="15" t="s">
        <v>1830</v>
      </c>
      <c r="C5831" s="15" t="s">
        <v>43</v>
      </c>
      <c r="D5831" s="16">
        <v>48</v>
      </c>
      <c r="E5831" s="17">
        <v>8273.2795000000006</v>
      </c>
      <c r="F5831" s="16">
        <v>0.08</v>
      </c>
      <c r="G5831" s="15" t="s">
        <v>32</v>
      </c>
      <c r="H5831" s="18">
        <v>2461.3110000000001</v>
      </c>
      <c r="I5831" s="19">
        <v>205.99</v>
      </c>
      <c r="J5831" s="19">
        <v>8.99</v>
      </c>
      <c r="K5831" s="19" t="s">
        <v>44</v>
      </c>
      <c r="L5831" s="19" t="s">
        <v>45</v>
      </c>
      <c r="M5831" s="15" t="s">
        <v>2271</v>
      </c>
      <c r="N5831" s="15" t="s">
        <v>64</v>
      </c>
      <c r="O5831" s="15" t="s">
        <v>65</v>
      </c>
      <c r="P5831" s="20" t="s">
        <v>1464</v>
      </c>
      <c r="Q5831" s="15" t="s">
        <v>83</v>
      </c>
      <c r="R5831" s="4"/>
      <c r="S5831" s="4"/>
    </row>
    <row r="5832" spans="1:19" ht="21" customHeight="1" x14ac:dyDescent="0.25">
      <c r="A5832" s="14">
        <f>DATE(2012,12,31)-63</f>
        <v>41211</v>
      </c>
      <c r="B5832" s="15" t="s">
        <v>472</v>
      </c>
      <c r="C5832" s="15" t="s">
        <v>43</v>
      </c>
      <c r="D5832" s="16">
        <v>30</v>
      </c>
      <c r="E5832" s="17">
        <v>5454.51</v>
      </c>
      <c r="F5832" s="16">
        <v>0.03</v>
      </c>
      <c r="G5832" s="15" t="s">
        <v>58</v>
      </c>
      <c r="H5832" s="18">
        <v>446.26</v>
      </c>
      <c r="I5832" s="19">
        <v>180.98</v>
      </c>
      <c r="J5832" s="19">
        <v>30</v>
      </c>
      <c r="K5832" s="19" t="s">
        <v>44</v>
      </c>
      <c r="L5832" s="19" t="s">
        <v>52</v>
      </c>
      <c r="M5832" s="15" t="s">
        <v>2240</v>
      </c>
      <c r="N5832" s="15" t="s">
        <v>54</v>
      </c>
      <c r="O5832" s="15" t="s">
        <v>252</v>
      </c>
      <c r="P5832" s="20" t="s">
        <v>1543</v>
      </c>
      <c r="Q5832" s="15" t="s">
        <v>181</v>
      </c>
      <c r="R5832" s="4"/>
      <c r="S5832" s="4"/>
    </row>
    <row r="5833" spans="1:19" ht="21" customHeight="1" x14ac:dyDescent="0.25">
      <c r="A5833" s="14">
        <f>DATE(2012,12,31)-63</f>
        <v>41211</v>
      </c>
      <c r="B5833" s="15" t="s">
        <v>472</v>
      </c>
      <c r="C5833" s="15" t="s">
        <v>43</v>
      </c>
      <c r="D5833" s="16">
        <v>42</v>
      </c>
      <c r="E5833" s="17">
        <v>1264.17</v>
      </c>
      <c r="F5833" s="16">
        <v>0.05</v>
      </c>
      <c r="G5833" s="15" t="s">
        <v>32</v>
      </c>
      <c r="H5833" s="18">
        <v>433.34</v>
      </c>
      <c r="I5833" s="19">
        <v>29.89</v>
      </c>
      <c r="J5833" s="19">
        <v>1.99</v>
      </c>
      <c r="K5833" s="19" t="s">
        <v>44</v>
      </c>
      <c r="L5833" s="19" t="s">
        <v>52</v>
      </c>
      <c r="M5833" s="15" t="s">
        <v>2240</v>
      </c>
      <c r="N5833" s="15" t="s">
        <v>64</v>
      </c>
      <c r="O5833" s="15" t="s">
        <v>72</v>
      </c>
      <c r="P5833" s="20" t="s">
        <v>825</v>
      </c>
      <c r="Q5833" s="15" t="s">
        <v>49</v>
      </c>
      <c r="R5833" s="4"/>
      <c r="S5833" s="4"/>
    </row>
    <row r="5834" spans="1:19" ht="21" customHeight="1" x14ac:dyDescent="0.25">
      <c r="A5834" s="14">
        <f>DATE(2012,12,31)-964</f>
        <v>40310</v>
      </c>
      <c r="B5834" s="15" t="s">
        <v>1356</v>
      </c>
      <c r="C5834" s="15" t="s">
        <v>31</v>
      </c>
      <c r="D5834" s="16">
        <v>36</v>
      </c>
      <c r="E5834" s="17">
        <v>1449.45</v>
      </c>
      <c r="F5834" s="16">
        <v>0.04</v>
      </c>
      <c r="G5834" s="15" t="s">
        <v>32</v>
      </c>
      <c r="H5834" s="18">
        <v>620.06650000000002</v>
      </c>
      <c r="I5834" s="19">
        <v>41.94</v>
      </c>
      <c r="J5834" s="19">
        <v>2.99</v>
      </c>
      <c r="K5834" s="19" t="s">
        <v>44</v>
      </c>
      <c r="L5834" s="19" t="s">
        <v>52</v>
      </c>
      <c r="M5834" s="15" t="s">
        <v>2240</v>
      </c>
      <c r="N5834" s="15" t="s">
        <v>36</v>
      </c>
      <c r="O5834" s="15" t="s">
        <v>170</v>
      </c>
      <c r="P5834" s="20" t="s">
        <v>1469</v>
      </c>
      <c r="Q5834" s="15" t="s">
        <v>83</v>
      </c>
      <c r="R5834" s="4"/>
      <c r="S5834" s="4"/>
    </row>
    <row r="5835" spans="1:19" ht="21" customHeight="1" x14ac:dyDescent="0.25">
      <c r="A5835" s="14">
        <f>DATE(2012,12,31)-964</f>
        <v>40310</v>
      </c>
      <c r="B5835" s="15" t="s">
        <v>1356</v>
      </c>
      <c r="C5835" s="15" t="s">
        <v>31</v>
      </c>
      <c r="D5835" s="16">
        <v>38</v>
      </c>
      <c r="E5835" s="17">
        <v>2702.3</v>
      </c>
      <c r="F5835" s="16">
        <v>0.03</v>
      </c>
      <c r="G5835" s="15" t="s">
        <v>58</v>
      </c>
      <c r="H5835" s="18">
        <v>-1330.78</v>
      </c>
      <c r="I5835" s="19">
        <v>70.98</v>
      </c>
      <c r="J5835" s="19">
        <v>59.81</v>
      </c>
      <c r="K5835" s="19" t="s">
        <v>33</v>
      </c>
      <c r="L5835" s="19" t="s">
        <v>59</v>
      </c>
      <c r="M5835" s="15" t="s">
        <v>2269</v>
      </c>
      <c r="N5835" s="15" t="s">
        <v>54</v>
      </c>
      <c r="O5835" s="15" t="s">
        <v>252</v>
      </c>
      <c r="P5835" s="20" t="s">
        <v>2255</v>
      </c>
      <c r="Q5835" s="15" t="s">
        <v>181</v>
      </c>
      <c r="R5835" s="4"/>
      <c r="S5835" s="4"/>
    </row>
    <row r="5836" spans="1:19" ht="21" customHeight="1" x14ac:dyDescent="0.25">
      <c r="A5836" s="14">
        <f>DATE(2012,12,31)-529</f>
        <v>40745</v>
      </c>
      <c r="B5836" s="15" t="s">
        <v>1058</v>
      </c>
      <c r="C5836" s="15" t="s">
        <v>43</v>
      </c>
      <c r="D5836" s="16">
        <v>1</v>
      </c>
      <c r="E5836" s="17">
        <v>18.920000000000002</v>
      </c>
      <c r="F5836" s="16">
        <v>0</v>
      </c>
      <c r="G5836" s="15" t="s">
        <v>32</v>
      </c>
      <c r="H5836" s="18">
        <v>-18.250499999999999</v>
      </c>
      <c r="I5836" s="19">
        <v>11.5</v>
      </c>
      <c r="J5836" s="19">
        <v>7.19</v>
      </c>
      <c r="K5836" s="19" t="s">
        <v>69</v>
      </c>
      <c r="L5836" s="19" t="s">
        <v>75</v>
      </c>
      <c r="M5836" s="15" t="s">
        <v>2231</v>
      </c>
      <c r="N5836" s="15" t="s">
        <v>36</v>
      </c>
      <c r="O5836" s="15" t="s">
        <v>170</v>
      </c>
      <c r="P5836" s="20" t="s">
        <v>596</v>
      </c>
      <c r="Q5836" s="15" t="s">
        <v>83</v>
      </c>
      <c r="R5836" s="4"/>
      <c r="S5836" s="4"/>
    </row>
    <row r="5837" spans="1:19" ht="21" customHeight="1" x14ac:dyDescent="0.25">
      <c r="A5837" s="14">
        <f>DATE(2012,12,31)-1201</f>
        <v>40073</v>
      </c>
      <c r="B5837" s="15" t="s">
        <v>465</v>
      </c>
      <c r="C5837" s="15" t="s">
        <v>43</v>
      </c>
      <c r="D5837" s="16">
        <v>47</v>
      </c>
      <c r="E5837" s="17">
        <v>263.81</v>
      </c>
      <c r="F5837" s="16">
        <v>0.03</v>
      </c>
      <c r="G5837" s="15" t="s">
        <v>32</v>
      </c>
      <c r="H5837" s="18">
        <v>-237.54400000000001</v>
      </c>
      <c r="I5837" s="19">
        <v>5.4</v>
      </c>
      <c r="J5837" s="19">
        <v>7.78</v>
      </c>
      <c r="K5837" s="19" t="s">
        <v>44</v>
      </c>
      <c r="L5837" s="19" t="s">
        <v>120</v>
      </c>
      <c r="M5837" s="15" t="s">
        <v>2262</v>
      </c>
      <c r="N5837" s="15" t="s">
        <v>36</v>
      </c>
      <c r="O5837" s="15" t="s">
        <v>170</v>
      </c>
      <c r="P5837" s="20" t="s">
        <v>186</v>
      </c>
      <c r="Q5837" s="15" t="s">
        <v>83</v>
      </c>
      <c r="R5837" s="4"/>
      <c r="S5837" s="4"/>
    </row>
    <row r="5838" spans="1:19" ht="21" customHeight="1" x14ac:dyDescent="0.25">
      <c r="A5838" s="14">
        <f>DATE(2012,12,31)-411</f>
        <v>40863</v>
      </c>
      <c r="B5838" s="15" t="s">
        <v>667</v>
      </c>
      <c r="C5838" s="15" t="s">
        <v>31</v>
      </c>
      <c r="D5838" s="16">
        <v>17</v>
      </c>
      <c r="E5838" s="17">
        <v>10134.549999999999</v>
      </c>
      <c r="F5838" s="16">
        <v>0.08</v>
      </c>
      <c r="G5838" s="15" t="s">
        <v>32</v>
      </c>
      <c r="H5838" s="18">
        <v>-597.21</v>
      </c>
      <c r="I5838" s="19">
        <v>599.99</v>
      </c>
      <c r="J5838" s="19">
        <v>24.49</v>
      </c>
      <c r="K5838" s="19" t="s">
        <v>44</v>
      </c>
      <c r="L5838" s="19" t="s">
        <v>120</v>
      </c>
      <c r="M5838" s="15" t="s">
        <v>2262</v>
      </c>
      <c r="N5838" s="15" t="s">
        <v>64</v>
      </c>
      <c r="O5838" s="15" t="s">
        <v>460</v>
      </c>
      <c r="P5838" s="20" t="s">
        <v>597</v>
      </c>
      <c r="Q5838" s="15" t="s">
        <v>39</v>
      </c>
      <c r="R5838" s="4"/>
      <c r="S5838" s="4"/>
    </row>
    <row r="5839" spans="1:19" ht="21" customHeight="1" x14ac:dyDescent="0.25">
      <c r="A5839" s="14">
        <f>DATE(2012,12,31)-411</f>
        <v>40863</v>
      </c>
      <c r="B5839" s="15" t="s">
        <v>667</v>
      </c>
      <c r="C5839" s="15" t="s">
        <v>31</v>
      </c>
      <c r="D5839" s="16">
        <v>46</v>
      </c>
      <c r="E5839" s="17">
        <v>1765.64</v>
      </c>
      <c r="F5839" s="16">
        <v>0.08</v>
      </c>
      <c r="G5839" s="15" t="s">
        <v>32</v>
      </c>
      <c r="H5839" s="18">
        <v>108.65</v>
      </c>
      <c r="I5839" s="19">
        <v>40.97</v>
      </c>
      <c r="J5839" s="19">
        <v>14.45</v>
      </c>
      <c r="K5839" s="19" t="s">
        <v>33</v>
      </c>
      <c r="L5839" s="19" t="s">
        <v>128</v>
      </c>
      <c r="M5839" s="15" t="s">
        <v>129</v>
      </c>
      <c r="N5839" s="15" t="s">
        <v>54</v>
      </c>
      <c r="O5839" s="15" t="s">
        <v>55</v>
      </c>
      <c r="P5839" s="20" t="s">
        <v>508</v>
      </c>
      <c r="Q5839" s="15" t="s">
        <v>39</v>
      </c>
      <c r="R5839" s="4"/>
      <c r="S5839" s="4"/>
    </row>
    <row r="5840" spans="1:19" ht="21" customHeight="1" x14ac:dyDescent="0.25">
      <c r="A5840" s="14">
        <f>DATE(2012,12,31)-411</f>
        <v>40863</v>
      </c>
      <c r="B5840" s="15" t="s">
        <v>667</v>
      </c>
      <c r="C5840" s="15" t="s">
        <v>31</v>
      </c>
      <c r="D5840" s="16">
        <v>23</v>
      </c>
      <c r="E5840" s="17">
        <v>156.5</v>
      </c>
      <c r="F5840" s="16">
        <v>0.01</v>
      </c>
      <c r="G5840" s="15" t="s">
        <v>32</v>
      </c>
      <c r="H5840" s="18">
        <v>-49.6</v>
      </c>
      <c r="I5840" s="19">
        <v>6.48</v>
      </c>
      <c r="J5840" s="19">
        <v>6</v>
      </c>
      <c r="K5840" s="19" t="s">
        <v>124</v>
      </c>
      <c r="L5840" s="19" t="s">
        <v>160</v>
      </c>
      <c r="M5840" s="15" t="s">
        <v>2181</v>
      </c>
      <c r="N5840" s="15" t="s">
        <v>36</v>
      </c>
      <c r="O5840" s="15" t="s">
        <v>117</v>
      </c>
      <c r="P5840" s="20" t="s">
        <v>862</v>
      </c>
      <c r="Q5840" s="15" t="s">
        <v>83</v>
      </c>
      <c r="R5840" s="4"/>
      <c r="S5840" s="4"/>
    </row>
    <row r="5841" spans="1:19" ht="21" customHeight="1" x14ac:dyDescent="0.25">
      <c r="A5841" s="14">
        <f>DATE(2012,12,31)-1147</f>
        <v>40127</v>
      </c>
      <c r="B5841" s="15" t="s">
        <v>1237</v>
      </c>
      <c r="C5841" s="15" t="s">
        <v>31</v>
      </c>
      <c r="D5841" s="16">
        <v>10</v>
      </c>
      <c r="E5841" s="17">
        <v>80.92</v>
      </c>
      <c r="F5841" s="16">
        <v>0.09</v>
      </c>
      <c r="G5841" s="15" t="s">
        <v>32</v>
      </c>
      <c r="H5841" s="18">
        <v>-20.16</v>
      </c>
      <c r="I5841" s="19">
        <v>7.64</v>
      </c>
      <c r="J5841" s="19">
        <v>5.83</v>
      </c>
      <c r="K5841" s="19" t="s">
        <v>44</v>
      </c>
      <c r="L5841" s="19" t="s">
        <v>52</v>
      </c>
      <c r="M5841" s="15" t="s">
        <v>2240</v>
      </c>
      <c r="N5841" s="15" t="s">
        <v>36</v>
      </c>
      <c r="O5841" s="15" t="s">
        <v>117</v>
      </c>
      <c r="P5841" s="20" t="s">
        <v>188</v>
      </c>
      <c r="Q5841" s="15" t="s">
        <v>79</v>
      </c>
      <c r="R5841" s="4"/>
      <c r="S5841" s="4"/>
    </row>
    <row r="5842" spans="1:19" ht="21" customHeight="1" x14ac:dyDescent="0.25">
      <c r="A5842" s="14">
        <f>DATE(2012,12,31)-1196</f>
        <v>40078</v>
      </c>
      <c r="B5842" s="15" t="s">
        <v>311</v>
      </c>
      <c r="C5842" s="15" t="s">
        <v>51</v>
      </c>
      <c r="D5842" s="16">
        <v>20</v>
      </c>
      <c r="E5842" s="17">
        <v>92.94</v>
      </c>
      <c r="F5842" s="16">
        <v>0.09</v>
      </c>
      <c r="G5842" s="15" t="s">
        <v>32</v>
      </c>
      <c r="H5842" s="18">
        <v>37.770000000000003</v>
      </c>
      <c r="I5842" s="19">
        <v>4.91</v>
      </c>
      <c r="J5842" s="19">
        <v>0.5</v>
      </c>
      <c r="K5842" s="19" t="s">
        <v>33</v>
      </c>
      <c r="L5842" s="19" t="s">
        <v>59</v>
      </c>
      <c r="M5842" s="15" t="s">
        <v>2269</v>
      </c>
      <c r="N5842" s="15" t="s">
        <v>36</v>
      </c>
      <c r="O5842" s="15" t="s">
        <v>114</v>
      </c>
      <c r="P5842" s="20" t="s">
        <v>400</v>
      </c>
      <c r="Q5842" s="15" t="s">
        <v>83</v>
      </c>
      <c r="R5842" s="4"/>
      <c r="S5842" s="4"/>
    </row>
    <row r="5843" spans="1:19" ht="21" customHeight="1" x14ac:dyDescent="0.25">
      <c r="A5843" s="14">
        <f>DATE(2012,12,31)-1196</f>
        <v>40078</v>
      </c>
      <c r="B5843" s="15" t="s">
        <v>311</v>
      </c>
      <c r="C5843" s="15" t="s">
        <v>51</v>
      </c>
      <c r="D5843" s="16">
        <v>19</v>
      </c>
      <c r="E5843" s="17">
        <v>6070.96</v>
      </c>
      <c r="F5843" s="16">
        <v>0.01</v>
      </c>
      <c r="G5843" s="15" t="s">
        <v>58</v>
      </c>
      <c r="H5843" s="18">
        <v>173.48</v>
      </c>
      <c r="I5843" s="19">
        <v>296.18</v>
      </c>
      <c r="J5843" s="19">
        <v>54.12</v>
      </c>
      <c r="K5843" s="19" t="s">
        <v>33</v>
      </c>
      <c r="L5843" s="19" t="s">
        <v>59</v>
      </c>
      <c r="M5843" s="15" t="s">
        <v>2269</v>
      </c>
      <c r="N5843" s="15" t="s">
        <v>54</v>
      </c>
      <c r="O5843" s="15" t="s">
        <v>61</v>
      </c>
      <c r="P5843" s="20" t="s">
        <v>345</v>
      </c>
      <c r="Q5843" s="15" t="s">
        <v>63</v>
      </c>
      <c r="R5843" s="4"/>
      <c r="S5843" s="4"/>
    </row>
    <row r="5844" spans="1:19" ht="21" customHeight="1" x14ac:dyDescent="0.25">
      <c r="A5844" s="14">
        <f>DATE(2012,12,31)-343</f>
        <v>40931</v>
      </c>
      <c r="B5844" s="15" t="s">
        <v>529</v>
      </c>
      <c r="C5844" s="15" t="s">
        <v>85</v>
      </c>
      <c r="D5844" s="16">
        <v>41</v>
      </c>
      <c r="E5844" s="17">
        <v>221.08</v>
      </c>
      <c r="F5844" s="16">
        <v>0</v>
      </c>
      <c r="G5844" s="15" t="s">
        <v>32</v>
      </c>
      <c r="H5844" s="18">
        <v>-108.20350000000001</v>
      </c>
      <c r="I5844" s="19">
        <v>4.91</v>
      </c>
      <c r="J5844" s="19">
        <v>5.68</v>
      </c>
      <c r="K5844" s="19" t="s">
        <v>33</v>
      </c>
      <c r="L5844" s="19" t="s">
        <v>145</v>
      </c>
      <c r="M5844" s="15" t="s">
        <v>2248</v>
      </c>
      <c r="N5844" s="15" t="s">
        <v>36</v>
      </c>
      <c r="O5844" s="15" t="s">
        <v>170</v>
      </c>
      <c r="P5844" s="20" t="s">
        <v>1284</v>
      </c>
      <c r="Q5844" s="15" t="s">
        <v>83</v>
      </c>
      <c r="R5844" s="4"/>
      <c r="S5844" s="4"/>
    </row>
    <row r="5845" spans="1:19" ht="21" customHeight="1" x14ac:dyDescent="0.25">
      <c r="A5845" s="14">
        <f>DATE(2012,12,31)-1073</f>
        <v>40201</v>
      </c>
      <c r="B5845" s="15" t="s">
        <v>104</v>
      </c>
      <c r="C5845" s="15" t="s">
        <v>31</v>
      </c>
      <c r="D5845" s="16">
        <v>48</v>
      </c>
      <c r="E5845" s="17">
        <v>280.87</v>
      </c>
      <c r="F5845" s="16">
        <v>0.01</v>
      </c>
      <c r="G5845" s="15" t="s">
        <v>101</v>
      </c>
      <c r="H5845" s="18">
        <v>-214.15299999999999</v>
      </c>
      <c r="I5845" s="19">
        <v>5.38</v>
      </c>
      <c r="J5845" s="19">
        <v>7.57</v>
      </c>
      <c r="K5845" s="19" t="s">
        <v>33</v>
      </c>
      <c r="L5845" s="19" t="s">
        <v>34</v>
      </c>
      <c r="M5845" s="15" t="s">
        <v>2273</v>
      </c>
      <c r="N5845" s="15" t="s">
        <v>36</v>
      </c>
      <c r="O5845" s="15" t="s">
        <v>170</v>
      </c>
      <c r="P5845" s="20" t="s">
        <v>2031</v>
      </c>
      <c r="Q5845" s="15" t="s">
        <v>83</v>
      </c>
      <c r="R5845" s="4"/>
      <c r="S5845" s="4"/>
    </row>
    <row r="5846" spans="1:19" ht="21" customHeight="1" x14ac:dyDescent="0.25">
      <c r="A5846" s="14">
        <f>DATE(2012,12,31)-1351</f>
        <v>39923</v>
      </c>
      <c r="B5846" s="15" t="s">
        <v>1582</v>
      </c>
      <c r="C5846" s="15" t="s">
        <v>43</v>
      </c>
      <c r="D5846" s="16">
        <v>35</v>
      </c>
      <c r="E5846" s="17">
        <v>3640.83</v>
      </c>
      <c r="F5846" s="16">
        <v>0</v>
      </c>
      <c r="G5846" s="15" t="s">
        <v>58</v>
      </c>
      <c r="H5846" s="18">
        <v>-6.8000000000000114</v>
      </c>
      <c r="I5846" s="19">
        <v>100.98</v>
      </c>
      <c r="J5846" s="19">
        <v>35.840000000000003</v>
      </c>
      <c r="K5846" s="19" t="s">
        <v>33</v>
      </c>
      <c r="L5846" s="19" t="s">
        <v>34</v>
      </c>
      <c r="M5846" s="15" t="s">
        <v>2273</v>
      </c>
      <c r="N5846" s="15" t="s">
        <v>54</v>
      </c>
      <c r="O5846" s="15" t="s">
        <v>134</v>
      </c>
      <c r="P5846" s="20" t="s">
        <v>440</v>
      </c>
      <c r="Q5846" s="15" t="s">
        <v>63</v>
      </c>
      <c r="R5846" s="4"/>
      <c r="S5846" s="4"/>
    </row>
    <row r="5847" spans="1:19" ht="21" customHeight="1" x14ac:dyDescent="0.25">
      <c r="A5847" s="14">
        <f>DATE(2012,12,31)-1351</f>
        <v>39923</v>
      </c>
      <c r="B5847" s="15" t="s">
        <v>1582</v>
      </c>
      <c r="C5847" s="15" t="s">
        <v>43</v>
      </c>
      <c r="D5847" s="16">
        <v>50</v>
      </c>
      <c r="E5847" s="17">
        <v>225.94</v>
      </c>
      <c r="F5847" s="16">
        <v>0.09</v>
      </c>
      <c r="G5847" s="15" t="s">
        <v>32</v>
      </c>
      <c r="H5847" s="18">
        <v>-89.13</v>
      </c>
      <c r="I5847" s="19">
        <v>4.7699999999999996</v>
      </c>
      <c r="J5847" s="19">
        <v>2.39</v>
      </c>
      <c r="K5847" s="19" t="s">
        <v>33</v>
      </c>
      <c r="L5847" s="19" t="s">
        <v>145</v>
      </c>
      <c r="M5847" s="15" t="s">
        <v>2248</v>
      </c>
      <c r="N5847" s="15" t="s">
        <v>64</v>
      </c>
      <c r="O5847" s="15" t="s">
        <v>72</v>
      </c>
      <c r="P5847" s="20" t="s">
        <v>1328</v>
      </c>
      <c r="Q5847" s="15" t="s">
        <v>49</v>
      </c>
      <c r="R5847" s="4"/>
      <c r="S5847" s="4"/>
    </row>
    <row r="5848" spans="1:19" ht="21" customHeight="1" x14ac:dyDescent="0.25">
      <c r="A5848" s="14">
        <f>DATE(2012,12,31)-945</f>
        <v>40329</v>
      </c>
      <c r="B5848" s="15" t="s">
        <v>1605</v>
      </c>
      <c r="C5848" s="15" t="s">
        <v>51</v>
      </c>
      <c r="D5848" s="16">
        <v>48</v>
      </c>
      <c r="E5848" s="17">
        <v>92.25</v>
      </c>
      <c r="F5848" s="16">
        <v>7.0000000000000007E-2</v>
      </c>
      <c r="G5848" s="15" t="s">
        <v>32</v>
      </c>
      <c r="H5848" s="18">
        <v>-104.8</v>
      </c>
      <c r="I5848" s="19">
        <v>1.86</v>
      </c>
      <c r="J5848" s="19">
        <v>2.58</v>
      </c>
      <c r="K5848" s="19" t="s">
        <v>33</v>
      </c>
      <c r="L5848" s="19" t="s">
        <v>145</v>
      </c>
      <c r="M5848" s="15" t="s">
        <v>2248</v>
      </c>
      <c r="N5848" s="15" t="s">
        <v>36</v>
      </c>
      <c r="O5848" s="15" t="s">
        <v>105</v>
      </c>
      <c r="P5848" s="20" t="s">
        <v>106</v>
      </c>
      <c r="Q5848" s="15" t="s">
        <v>79</v>
      </c>
      <c r="R5848" s="4"/>
      <c r="S5848" s="4"/>
    </row>
    <row r="5849" spans="1:19" ht="21" customHeight="1" x14ac:dyDescent="0.25">
      <c r="A5849" s="14">
        <f>DATE(2012,12,31)-64</f>
        <v>41210</v>
      </c>
      <c r="B5849" s="15" t="s">
        <v>558</v>
      </c>
      <c r="C5849" s="15" t="s">
        <v>85</v>
      </c>
      <c r="D5849" s="16">
        <v>20</v>
      </c>
      <c r="E5849" s="17">
        <v>302.94</v>
      </c>
      <c r="F5849" s="16">
        <v>7.0000000000000007E-2</v>
      </c>
      <c r="G5849" s="15" t="s">
        <v>32</v>
      </c>
      <c r="H5849" s="18">
        <v>-30.2</v>
      </c>
      <c r="I5849" s="19">
        <v>15.51</v>
      </c>
      <c r="J5849" s="19">
        <v>5.8</v>
      </c>
      <c r="K5849" s="19" t="s">
        <v>33</v>
      </c>
      <c r="L5849" s="19" t="s">
        <v>34</v>
      </c>
      <c r="M5849" s="15" t="s">
        <v>2273</v>
      </c>
      <c r="N5849" s="15" t="s">
        <v>36</v>
      </c>
      <c r="O5849" s="15" t="s">
        <v>37</v>
      </c>
      <c r="P5849" s="20" t="s">
        <v>2203</v>
      </c>
      <c r="Q5849" s="15" t="s">
        <v>83</v>
      </c>
      <c r="R5849" s="4"/>
      <c r="S5849" s="4"/>
    </row>
    <row r="5850" spans="1:19" ht="21" customHeight="1" x14ac:dyDescent="0.25">
      <c r="A5850" s="14">
        <f>DATE(2012,12,31)-829</f>
        <v>40445</v>
      </c>
      <c r="B5850" s="15" t="s">
        <v>178</v>
      </c>
      <c r="C5850" s="15" t="s">
        <v>51</v>
      </c>
      <c r="D5850" s="16">
        <v>39</v>
      </c>
      <c r="E5850" s="17">
        <v>18561.310000000001</v>
      </c>
      <c r="F5850" s="16">
        <v>0.05</v>
      </c>
      <c r="G5850" s="15" t="s">
        <v>58</v>
      </c>
      <c r="H5850" s="18">
        <v>4822.42</v>
      </c>
      <c r="I5850" s="19">
        <v>500.98</v>
      </c>
      <c r="J5850" s="19">
        <v>26</v>
      </c>
      <c r="K5850" s="19" t="s">
        <v>33</v>
      </c>
      <c r="L5850" s="19" t="s">
        <v>59</v>
      </c>
      <c r="M5850" s="15" t="s">
        <v>2269</v>
      </c>
      <c r="N5850" s="15" t="s">
        <v>54</v>
      </c>
      <c r="O5850" s="15" t="s">
        <v>252</v>
      </c>
      <c r="P5850" s="20" t="s">
        <v>577</v>
      </c>
      <c r="Q5850" s="15" t="s">
        <v>181</v>
      </c>
      <c r="R5850" s="4"/>
      <c r="S5850" s="4"/>
    </row>
    <row r="5851" spans="1:19" ht="21" customHeight="1" x14ac:dyDescent="0.25">
      <c r="A5851" s="14">
        <f>DATE(2012,12,31)-608</f>
        <v>40666</v>
      </c>
      <c r="B5851" s="15" t="s">
        <v>741</v>
      </c>
      <c r="C5851" s="15" t="s">
        <v>51</v>
      </c>
      <c r="D5851" s="16">
        <v>24</v>
      </c>
      <c r="E5851" s="17">
        <v>41.85</v>
      </c>
      <c r="F5851" s="16">
        <v>0.04</v>
      </c>
      <c r="G5851" s="15" t="s">
        <v>101</v>
      </c>
      <c r="H5851" s="18">
        <v>-8.44</v>
      </c>
      <c r="I5851" s="19">
        <v>1.6</v>
      </c>
      <c r="J5851" s="19">
        <v>1.29</v>
      </c>
      <c r="K5851" s="19" t="s">
        <v>33</v>
      </c>
      <c r="L5851" s="19" t="s">
        <v>145</v>
      </c>
      <c r="M5851" s="15" t="s">
        <v>2248</v>
      </c>
      <c r="N5851" s="15" t="s">
        <v>36</v>
      </c>
      <c r="O5851" s="15" t="s">
        <v>77</v>
      </c>
      <c r="P5851" s="20" t="s">
        <v>2099</v>
      </c>
      <c r="Q5851" s="15" t="s">
        <v>79</v>
      </c>
      <c r="R5851" s="4"/>
      <c r="S5851" s="4"/>
    </row>
    <row r="5852" spans="1:19" ht="21" customHeight="1" x14ac:dyDescent="0.25">
      <c r="A5852" s="14">
        <f>DATE(2012,12,31)-608</f>
        <v>40666</v>
      </c>
      <c r="B5852" s="15" t="s">
        <v>741</v>
      </c>
      <c r="C5852" s="15" t="s">
        <v>51</v>
      </c>
      <c r="D5852" s="16">
        <v>41</v>
      </c>
      <c r="E5852" s="17">
        <v>2303.7125000000001</v>
      </c>
      <c r="F5852" s="16">
        <v>0.04</v>
      </c>
      <c r="G5852" s="15" t="s">
        <v>32</v>
      </c>
      <c r="H5852" s="18">
        <v>398.22300000000001</v>
      </c>
      <c r="I5852" s="19">
        <v>65.989999999999995</v>
      </c>
      <c r="J5852" s="19">
        <v>8.99</v>
      </c>
      <c r="K5852" s="19" t="s">
        <v>33</v>
      </c>
      <c r="L5852" s="19" t="s">
        <v>59</v>
      </c>
      <c r="M5852" s="15" t="s">
        <v>2269</v>
      </c>
      <c r="N5852" s="15" t="s">
        <v>64</v>
      </c>
      <c r="O5852" s="15" t="s">
        <v>65</v>
      </c>
      <c r="P5852" s="20" t="s">
        <v>1408</v>
      </c>
      <c r="Q5852" s="15" t="s">
        <v>83</v>
      </c>
      <c r="R5852" s="4"/>
      <c r="S5852" s="4"/>
    </row>
    <row r="5853" spans="1:19" ht="21" customHeight="1" x14ac:dyDescent="0.25">
      <c r="A5853" s="14">
        <f>DATE(2012,12,31)-1192</f>
        <v>40082</v>
      </c>
      <c r="B5853" s="15" t="s">
        <v>1334</v>
      </c>
      <c r="C5853" s="15" t="s">
        <v>51</v>
      </c>
      <c r="D5853" s="16">
        <v>47</v>
      </c>
      <c r="E5853" s="17">
        <v>6181.48</v>
      </c>
      <c r="F5853" s="16">
        <v>0.03</v>
      </c>
      <c r="G5853" s="15" t="s">
        <v>58</v>
      </c>
      <c r="H5853" s="18">
        <v>-194.83</v>
      </c>
      <c r="I5853" s="19">
        <v>124.49</v>
      </c>
      <c r="J5853" s="19">
        <v>51.94</v>
      </c>
      <c r="K5853" s="19" t="s">
        <v>33</v>
      </c>
      <c r="L5853" s="19" t="s">
        <v>59</v>
      </c>
      <c r="M5853" s="15" t="s">
        <v>2269</v>
      </c>
      <c r="N5853" s="15" t="s">
        <v>54</v>
      </c>
      <c r="O5853" s="15" t="s">
        <v>61</v>
      </c>
      <c r="P5853" s="20" t="s">
        <v>220</v>
      </c>
      <c r="Q5853" s="15" t="s">
        <v>63</v>
      </c>
      <c r="R5853" s="4"/>
      <c r="S5853" s="4"/>
    </row>
    <row r="5854" spans="1:19" ht="21" customHeight="1" x14ac:dyDescent="0.25">
      <c r="A5854" s="14">
        <f>DATE(2012,12,31)-1424</f>
        <v>39850</v>
      </c>
      <c r="B5854" s="15" t="s">
        <v>1589</v>
      </c>
      <c r="C5854" s="15" t="s">
        <v>31</v>
      </c>
      <c r="D5854" s="16">
        <v>45</v>
      </c>
      <c r="E5854" s="17">
        <v>7548.65</v>
      </c>
      <c r="F5854" s="16">
        <v>0.03</v>
      </c>
      <c r="G5854" s="15" t="s">
        <v>58</v>
      </c>
      <c r="H5854" s="18">
        <v>1385.35</v>
      </c>
      <c r="I5854" s="19">
        <v>160.97999999999999</v>
      </c>
      <c r="J5854" s="19">
        <v>30</v>
      </c>
      <c r="K5854" s="19" t="s">
        <v>33</v>
      </c>
      <c r="L5854" s="19" t="s">
        <v>59</v>
      </c>
      <c r="M5854" s="15" t="s">
        <v>2269</v>
      </c>
      <c r="N5854" s="15" t="s">
        <v>54</v>
      </c>
      <c r="O5854" s="15" t="s">
        <v>252</v>
      </c>
      <c r="P5854" s="20" t="s">
        <v>726</v>
      </c>
      <c r="Q5854" s="15" t="s">
        <v>181</v>
      </c>
      <c r="R5854" s="4"/>
      <c r="S5854" s="4"/>
    </row>
    <row r="5855" spans="1:19" ht="21" customHeight="1" x14ac:dyDescent="0.25">
      <c r="A5855" s="14">
        <f>DATE(2012,12,31)-1424</f>
        <v>39850</v>
      </c>
      <c r="B5855" s="15" t="s">
        <v>1589</v>
      </c>
      <c r="C5855" s="15" t="s">
        <v>31</v>
      </c>
      <c r="D5855" s="16">
        <v>24</v>
      </c>
      <c r="E5855" s="17">
        <v>1318.8684999999998</v>
      </c>
      <c r="F5855" s="16">
        <v>0.03</v>
      </c>
      <c r="G5855" s="15" t="s">
        <v>32</v>
      </c>
      <c r="H5855" s="18">
        <v>172.33199999999999</v>
      </c>
      <c r="I5855" s="19">
        <v>65.989999999999995</v>
      </c>
      <c r="J5855" s="19">
        <v>3.99</v>
      </c>
      <c r="K5855" s="19" t="s">
        <v>33</v>
      </c>
      <c r="L5855" s="19" t="s">
        <v>59</v>
      </c>
      <c r="M5855" s="15" t="s">
        <v>2269</v>
      </c>
      <c r="N5855" s="15" t="s">
        <v>64</v>
      </c>
      <c r="O5855" s="15" t="s">
        <v>65</v>
      </c>
      <c r="P5855" s="20" t="s">
        <v>689</v>
      </c>
      <c r="Q5855" s="15" t="s">
        <v>83</v>
      </c>
      <c r="R5855" s="4"/>
      <c r="S5855" s="4"/>
    </row>
    <row r="5856" spans="1:19" ht="21" customHeight="1" x14ac:dyDescent="0.25">
      <c r="A5856" s="14">
        <f>DATE(2012,12,31)-894</f>
        <v>40380</v>
      </c>
      <c r="B5856" s="15" t="s">
        <v>322</v>
      </c>
      <c r="C5856" s="15" t="s">
        <v>85</v>
      </c>
      <c r="D5856" s="16">
        <v>49</v>
      </c>
      <c r="E5856" s="17">
        <v>617.34</v>
      </c>
      <c r="F5856" s="16">
        <v>0.06</v>
      </c>
      <c r="G5856" s="15" t="s">
        <v>32</v>
      </c>
      <c r="H5856" s="18">
        <v>47.1</v>
      </c>
      <c r="I5856" s="19">
        <v>12.28</v>
      </c>
      <c r="J5856" s="19">
        <v>6.47</v>
      </c>
      <c r="K5856" s="19" t="s">
        <v>69</v>
      </c>
      <c r="L5856" s="19" t="s">
        <v>70</v>
      </c>
      <c r="M5856" s="15" t="s">
        <v>2230</v>
      </c>
      <c r="N5856" s="15" t="s">
        <v>36</v>
      </c>
      <c r="O5856" s="15" t="s">
        <v>117</v>
      </c>
      <c r="P5856" s="20" t="s">
        <v>832</v>
      </c>
      <c r="Q5856" s="15" t="s">
        <v>83</v>
      </c>
      <c r="R5856" s="4"/>
      <c r="S5856" s="4"/>
    </row>
    <row r="5857" spans="1:19" ht="21" customHeight="1" x14ac:dyDescent="0.25">
      <c r="A5857" s="14">
        <f>DATE(2012,12,31)-894</f>
        <v>40380</v>
      </c>
      <c r="B5857" s="15" t="s">
        <v>1037</v>
      </c>
      <c r="C5857" s="15" t="s">
        <v>85</v>
      </c>
      <c r="D5857" s="16">
        <v>16</v>
      </c>
      <c r="E5857" s="17">
        <v>60.76</v>
      </c>
      <c r="F5857" s="16">
        <v>0.03</v>
      </c>
      <c r="G5857" s="15" t="s">
        <v>32</v>
      </c>
      <c r="H5857" s="18">
        <v>5.25</v>
      </c>
      <c r="I5857" s="19">
        <v>3.7</v>
      </c>
      <c r="J5857" s="19">
        <v>1.61</v>
      </c>
      <c r="K5857" s="19" t="s">
        <v>69</v>
      </c>
      <c r="L5857" s="19" t="s">
        <v>70</v>
      </c>
      <c r="M5857" s="15" t="s">
        <v>2230</v>
      </c>
      <c r="N5857" s="15" t="s">
        <v>54</v>
      </c>
      <c r="O5857" s="15" t="s">
        <v>55</v>
      </c>
      <c r="P5857" s="20" t="s">
        <v>1814</v>
      </c>
      <c r="Q5857" s="15" t="s">
        <v>79</v>
      </c>
      <c r="R5857" s="4"/>
      <c r="S5857" s="4"/>
    </row>
    <row r="5858" spans="1:19" ht="21" customHeight="1" x14ac:dyDescent="0.25">
      <c r="A5858" s="14">
        <f>DATE(2012,12,31)-759</f>
        <v>40515</v>
      </c>
      <c r="B5858" s="15" t="s">
        <v>288</v>
      </c>
      <c r="C5858" s="15" t="s">
        <v>43</v>
      </c>
      <c r="D5858" s="16">
        <v>24</v>
      </c>
      <c r="E5858" s="17">
        <v>2289.92</v>
      </c>
      <c r="F5858" s="16">
        <v>0.09</v>
      </c>
      <c r="G5858" s="15" t="s">
        <v>32</v>
      </c>
      <c r="H5858" s="18">
        <v>1037.55</v>
      </c>
      <c r="I5858" s="19">
        <v>104.85</v>
      </c>
      <c r="J5858" s="19">
        <v>4.6500000000000004</v>
      </c>
      <c r="K5858" s="19" t="s">
        <v>69</v>
      </c>
      <c r="L5858" s="19" t="s">
        <v>70</v>
      </c>
      <c r="M5858" s="15" t="s">
        <v>2230</v>
      </c>
      <c r="N5858" s="15" t="s">
        <v>36</v>
      </c>
      <c r="O5858" s="15" t="s">
        <v>117</v>
      </c>
      <c r="P5858" s="20" t="s">
        <v>1265</v>
      </c>
      <c r="Q5858" s="15" t="s">
        <v>83</v>
      </c>
      <c r="R5858" s="4"/>
      <c r="S5858" s="4"/>
    </row>
    <row r="5859" spans="1:19" ht="21" customHeight="1" x14ac:dyDescent="0.25">
      <c r="A5859" s="14">
        <f>DATE(2012,12,31)-574</f>
        <v>40700</v>
      </c>
      <c r="B5859" s="15" t="s">
        <v>1713</v>
      </c>
      <c r="C5859" s="15" t="s">
        <v>31</v>
      </c>
      <c r="D5859" s="16">
        <v>42</v>
      </c>
      <c r="E5859" s="17">
        <v>906.07</v>
      </c>
      <c r="F5859" s="16">
        <v>0</v>
      </c>
      <c r="G5859" s="15" t="s">
        <v>32</v>
      </c>
      <c r="H5859" s="18">
        <v>-2.66</v>
      </c>
      <c r="I5859" s="19">
        <v>20.149999999999999</v>
      </c>
      <c r="J5859" s="19">
        <v>8.99</v>
      </c>
      <c r="K5859" s="19" t="s">
        <v>69</v>
      </c>
      <c r="L5859" s="19" t="s">
        <v>70</v>
      </c>
      <c r="M5859" s="15" t="s">
        <v>2230</v>
      </c>
      <c r="N5859" s="15" t="s">
        <v>36</v>
      </c>
      <c r="O5859" s="15" t="s">
        <v>77</v>
      </c>
      <c r="P5859" s="20" t="s">
        <v>897</v>
      </c>
      <c r="Q5859" s="15" t="s">
        <v>49</v>
      </c>
      <c r="R5859" s="4"/>
      <c r="S5859" s="4"/>
    </row>
    <row r="5860" spans="1:19" ht="21" customHeight="1" x14ac:dyDescent="0.25">
      <c r="A5860" s="14">
        <f>DATE(2012,12,31)-833</f>
        <v>40441</v>
      </c>
      <c r="B5860" s="15" t="s">
        <v>1916</v>
      </c>
      <c r="C5860" s="15" t="s">
        <v>51</v>
      </c>
      <c r="D5860" s="16">
        <v>23</v>
      </c>
      <c r="E5860" s="17">
        <v>283.82</v>
      </c>
      <c r="F5860" s="16">
        <v>0.01</v>
      </c>
      <c r="G5860" s="15" t="s">
        <v>32</v>
      </c>
      <c r="H5860" s="18">
        <v>-38.94</v>
      </c>
      <c r="I5860" s="19">
        <v>11.97</v>
      </c>
      <c r="J5860" s="19">
        <v>5.81</v>
      </c>
      <c r="K5860" s="19" t="s">
        <v>69</v>
      </c>
      <c r="L5860" s="19" t="s">
        <v>70</v>
      </c>
      <c r="M5860" s="15" t="s">
        <v>2230</v>
      </c>
      <c r="N5860" s="15" t="s">
        <v>36</v>
      </c>
      <c r="O5860" s="15" t="s">
        <v>77</v>
      </c>
      <c r="P5860" s="20" t="s">
        <v>467</v>
      </c>
      <c r="Q5860" s="15" t="s">
        <v>49</v>
      </c>
      <c r="R5860" s="4"/>
      <c r="S5860" s="4"/>
    </row>
    <row r="5861" spans="1:19" ht="21" customHeight="1" x14ac:dyDescent="0.25">
      <c r="A5861" s="14">
        <f>DATE(2012,12,31)-1420</f>
        <v>39854</v>
      </c>
      <c r="B5861" s="15" t="s">
        <v>779</v>
      </c>
      <c r="C5861" s="15" t="s">
        <v>85</v>
      </c>
      <c r="D5861" s="16">
        <v>22</v>
      </c>
      <c r="E5861" s="17">
        <v>138.24</v>
      </c>
      <c r="F5861" s="16">
        <v>0.06</v>
      </c>
      <c r="G5861" s="15" t="s">
        <v>32</v>
      </c>
      <c r="H5861" s="18">
        <v>-48.219499999999996</v>
      </c>
      <c r="I5861" s="19">
        <v>6.37</v>
      </c>
      <c r="J5861" s="19">
        <v>5.19</v>
      </c>
      <c r="K5861" s="19" t="s">
        <v>69</v>
      </c>
      <c r="L5861" s="19" t="s">
        <v>75</v>
      </c>
      <c r="M5861" s="15" t="s">
        <v>2231</v>
      </c>
      <c r="N5861" s="15" t="s">
        <v>36</v>
      </c>
      <c r="O5861" s="15" t="s">
        <v>170</v>
      </c>
      <c r="P5861" s="20" t="s">
        <v>383</v>
      </c>
      <c r="Q5861" s="15" t="s">
        <v>83</v>
      </c>
      <c r="R5861" s="4"/>
      <c r="S5861" s="4"/>
    </row>
    <row r="5862" spans="1:19" ht="21" customHeight="1" x14ac:dyDescent="0.25">
      <c r="A5862" s="14">
        <f>DATE(2012,12,31)-737</f>
        <v>40537</v>
      </c>
      <c r="B5862" s="15" t="s">
        <v>728</v>
      </c>
      <c r="C5862" s="15" t="s">
        <v>85</v>
      </c>
      <c r="D5862" s="16">
        <v>4</v>
      </c>
      <c r="E5862" s="17">
        <v>114.57</v>
      </c>
      <c r="F5862" s="16">
        <v>0.02</v>
      </c>
      <c r="G5862" s="15" t="s">
        <v>32</v>
      </c>
      <c r="H5862" s="18">
        <v>-29.980499999999999</v>
      </c>
      <c r="I5862" s="19">
        <v>24.92</v>
      </c>
      <c r="J5862" s="19">
        <v>12.98</v>
      </c>
      <c r="K5862" s="19" t="s">
        <v>69</v>
      </c>
      <c r="L5862" s="19" t="s">
        <v>75</v>
      </c>
      <c r="M5862" s="15" t="s">
        <v>2231</v>
      </c>
      <c r="N5862" s="15" t="s">
        <v>36</v>
      </c>
      <c r="O5862" s="15" t="s">
        <v>170</v>
      </c>
      <c r="P5862" s="20" t="s">
        <v>171</v>
      </c>
      <c r="Q5862" s="15" t="s">
        <v>83</v>
      </c>
      <c r="R5862" s="4"/>
      <c r="S5862" s="4"/>
    </row>
    <row r="5863" spans="1:19" ht="21" customHeight="1" x14ac:dyDescent="0.25">
      <c r="A5863" s="14">
        <f>DATE(2012,12,31)-1287</f>
        <v>39987</v>
      </c>
      <c r="B5863" s="15" t="s">
        <v>775</v>
      </c>
      <c r="C5863" s="15" t="s">
        <v>51</v>
      </c>
      <c r="D5863" s="16">
        <v>23</v>
      </c>
      <c r="E5863" s="17">
        <v>4514.8599999999997</v>
      </c>
      <c r="F5863" s="16">
        <v>0.09</v>
      </c>
      <c r="G5863" s="15" t="s">
        <v>58</v>
      </c>
      <c r="H5863" s="18">
        <v>-641.09</v>
      </c>
      <c r="I5863" s="19">
        <v>200.98</v>
      </c>
      <c r="J5863" s="19">
        <v>55.96</v>
      </c>
      <c r="K5863" s="19" t="s">
        <v>69</v>
      </c>
      <c r="L5863" s="19" t="s">
        <v>70</v>
      </c>
      <c r="M5863" s="15" t="s">
        <v>2230</v>
      </c>
      <c r="N5863" s="15" t="s">
        <v>54</v>
      </c>
      <c r="O5863" s="15" t="s">
        <v>134</v>
      </c>
      <c r="P5863" s="20" t="s">
        <v>2044</v>
      </c>
      <c r="Q5863" s="15" t="s">
        <v>63</v>
      </c>
      <c r="R5863" s="4"/>
      <c r="S5863" s="4"/>
    </row>
    <row r="5864" spans="1:19" ht="21" customHeight="1" x14ac:dyDescent="0.25">
      <c r="A5864" s="14">
        <f>DATE(2012,12,31)-1287</f>
        <v>39987</v>
      </c>
      <c r="B5864" s="15" t="s">
        <v>775</v>
      </c>
      <c r="C5864" s="15" t="s">
        <v>51</v>
      </c>
      <c r="D5864" s="16">
        <v>30</v>
      </c>
      <c r="E5864" s="17">
        <v>79.14</v>
      </c>
      <c r="F5864" s="16">
        <v>0.09</v>
      </c>
      <c r="G5864" s="15" t="s">
        <v>32</v>
      </c>
      <c r="H5864" s="18">
        <v>-4.7300000000000004</v>
      </c>
      <c r="I5864" s="19">
        <v>2.78</v>
      </c>
      <c r="J5864" s="19">
        <v>0.97</v>
      </c>
      <c r="K5864" s="19" t="s">
        <v>69</v>
      </c>
      <c r="L5864" s="19" t="s">
        <v>215</v>
      </c>
      <c r="M5864" s="15" t="s">
        <v>2197</v>
      </c>
      <c r="N5864" s="15" t="s">
        <v>36</v>
      </c>
      <c r="O5864" s="15" t="s">
        <v>77</v>
      </c>
      <c r="P5864" s="20" t="s">
        <v>2274</v>
      </c>
      <c r="Q5864" s="15" t="s">
        <v>79</v>
      </c>
      <c r="R5864" s="4"/>
      <c r="S5864" s="4"/>
    </row>
    <row r="5865" spans="1:19" ht="21" customHeight="1" x14ac:dyDescent="0.25">
      <c r="A5865" s="14">
        <f>DATE(2012,12,31)-1108</f>
        <v>40166</v>
      </c>
      <c r="B5865" s="15" t="s">
        <v>559</v>
      </c>
      <c r="C5865" s="15" t="s">
        <v>85</v>
      </c>
      <c r="D5865" s="16">
        <v>36</v>
      </c>
      <c r="E5865" s="17">
        <v>4115.74</v>
      </c>
      <c r="F5865" s="16">
        <v>0.1</v>
      </c>
      <c r="G5865" s="15" t="s">
        <v>32</v>
      </c>
      <c r="H5865" s="18">
        <v>1719.4735000000001</v>
      </c>
      <c r="I5865" s="19">
        <v>120.98</v>
      </c>
      <c r="J5865" s="19">
        <v>9.07</v>
      </c>
      <c r="K5865" s="19" t="s">
        <v>69</v>
      </c>
      <c r="L5865" s="19" t="s">
        <v>215</v>
      </c>
      <c r="M5865" s="15" t="s">
        <v>2197</v>
      </c>
      <c r="N5865" s="15" t="s">
        <v>36</v>
      </c>
      <c r="O5865" s="15" t="s">
        <v>170</v>
      </c>
      <c r="P5865" s="20" t="s">
        <v>1445</v>
      </c>
      <c r="Q5865" s="15" t="s">
        <v>83</v>
      </c>
      <c r="R5865" s="4"/>
      <c r="S5865" s="4"/>
    </row>
    <row r="5866" spans="1:19" ht="21" customHeight="1" x14ac:dyDescent="0.25">
      <c r="A5866" s="14">
        <f>DATE(2012,12,31)-761</f>
        <v>40513</v>
      </c>
      <c r="B5866" s="15" t="s">
        <v>823</v>
      </c>
      <c r="C5866" s="15" t="s">
        <v>31</v>
      </c>
      <c r="D5866" s="16">
        <v>34</v>
      </c>
      <c r="E5866" s="17">
        <v>1541.4580000000001</v>
      </c>
      <c r="F5866" s="16">
        <v>0.05</v>
      </c>
      <c r="G5866" s="15" t="s">
        <v>32</v>
      </c>
      <c r="H5866" s="18">
        <v>-238.161</v>
      </c>
      <c r="I5866" s="19">
        <v>55.99</v>
      </c>
      <c r="J5866" s="19">
        <v>5</v>
      </c>
      <c r="K5866" s="19" t="s">
        <v>69</v>
      </c>
      <c r="L5866" s="19" t="s">
        <v>215</v>
      </c>
      <c r="M5866" s="15" t="s">
        <v>2197</v>
      </c>
      <c r="N5866" s="15" t="s">
        <v>64</v>
      </c>
      <c r="O5866" s="15" t="s">
        <v>65</v>
      </c>
      <c r="P5866" s="20" t="s">
        <v>1377</v>
      </c>
      <c r="Q5866" s="15" t="s">
        <v>49</v>
      </c>
      <c r="R5866" s="4"/>
      <c r="S5866" s="4"/>
    </row>
    <row r="5867" spans="1:19" ht="21" customHeight="1" x14ac:dyDescent="0.25">
      <c r="A5867" s="14">
        <f>DATE(2012,12,31)-783</f>
        <v>40491</v>
      </c>
      <c r="B5867" s="15" t="s">
        <v>286</v>
      </c>
      <c r="C5867" s="15" t="s">
        <v>31</v>
      </c>
      <c r="D5867" s="16">
        <v>29</v>
      </c>
      <c r="E5867" s="17">
        <v>3636.91</v>
      </c>
      <c r="F5867" s="16">
        <v>0</v>
      </c>
      <c r="G5867" s="15" t="s">
        <v>58</v>
      </c>
      <c r="H5867" s="18">
        <v>-1284.24</v>
      </c>
      <c r="I5867" s="19">
        <v>122.99</v>
      </c>
      <c r="J5867" s="19">
        <v>70.2</v>
      </c>
      <c r="K5867" s="19" t="s">
        <v>69</v>
      </c>
      <c r="L5867" s="19" t="s">
        <v>215</v>
      </c>
      <c r="M5867" s="15" t="s">
        <v>2275</v>
      </c>
      <c r="N5867" s="15" t="s">
        <v>54</v>
      </c>
      <c r="O5867" s="15" t="s">
        <v>252</v>
      </c>
      <c r="P5867" s="20" t="s">
        <v>819</v>
      </c>
      <c r="Q5867" s="15" t="s">
        <v>181</v>
      </c>
      <c r="R5867" s="4"/>
      <c r="S5867" s="4"/>
    </row>
    <row r="5868" spans="1:19" ht="21" customHeight="1" x14ac:dyDescent="0.25">
      <c r="A5868" s="14">
        <f>DATE(2012,12,31)-23</f>
        <v>41251</v>
      </c>
      <c r="B5868" s="15" t="s">
        <v>307</v>
      </c>
      <c r="C5868" s="15" t="s">
        <v>43</v>
      </c>
      <c r="D5868" s="16">
        <v>7</v>
      </c>
      <c r="E5868" s="17">
        <v>57.35</v>
      </c>
      <c r="F5868" s="16">
        <v>0.06</v>
      </c>
      <c r="G5868" s="15" t="s">
        <v>32</v>
      </c>
      <c r="H5868" s="18">
        <v>-28.55</v>
      </c>
      <c r="I5868" s="19">
        <v>8.33</v>
      </c>
      <c r="J5868" s="19">
        <v>1.99</v>
      </c>
      <c r="K5868" s="19" t="s">
        <v>69</v>
      </c>
      <c r="L5868" s="19" t="s">
        <v>215</v>
      </c>
      <c r="M5868" s="15" t="s">
        <v>2275</v>
      </c>
      <c r="N5868" s="15" t="s">
        <v>64</v>
      </c>
      <c r="O5868" s="15" t="s">
        <v>72</v>
      </c>
      <c r="P5868" s="20" t="s">
        <v>966</v>
      </c>
      <c r="Q5868" s="15" t="s">
        <v>49</v>
      </c>
      <c r="R5868" s="4"/>
      <c r="S5868" s="4"/>
    </row>
    <row r="5869" spans="1:19" ht="21" customHeight="1" x14ac:dyDescent="0.25">
      <c r="A5869" s="14">
        <f>DATE(2012,12,31)-23</f>
        <v>41251</v>
      </c>
      <c r="B5869" s="15" t="s">
        <v>307</v>
      </c>
      <c r="C5869" s="15" t="s">
        <v>43</v>
      </c>
      <c r="D5869" s="16">
        <v>10</v>
      </c>
      <c r="E5869" s="17">
        <v>371.45</v>
      </c>
      <c r="F5869" s="16">
        <v>0.01</v>
      </c>
      <c r="G5869" s="15" t="s">
        <v>32</v>
      </c>
      <c r="H5869" s="18">
        <v>17.73</v>
      </c>
      <c r="I5869" s="19">
        <v>34.99</v>
      </c>
      <c r="J5869" s="19">
        <v>7.73</v>
      </c>
      <c r="K5869" s="19" t="s">
        <v>111</v>
      </c>
      <c r="L5869" s="19" t="s">
        <v>442</v>
      </c>
      <c r="M5869" s="15" t="s">
        <v>2222</v>
      </c>
      <c r="N5869" s="15" t="s">
        <v>36</v>
      </c>
      <c r="O5869" s="15" t="s">
        <v>77</v>
      </c>
      <c r="P5869" s="20" t="s">
        <v>2113</v>
      </c>
      <c r="Q5869" s="15" t="s">
        <v>83</v>
      </c>
      <c r="R5869" s="4"/>
      <c r="S5869" s="4"/>
    </row>
    <row r="5870" spans="1:19" ht="21" customHeight="1" x14ac:dyDescent="0.25">
      <c r="A5870" s="14">
        <f>DATE(2012,12,31)-1235</f>
        <v>40039</v>
      </c>
      <c r="B5870" s="15" t="s">
        <v>1733</v>
      </c>
      <c r="C5870" s="15" t="s">
        <v>85</v>
      </c>
      <c r="D5870" s="16">
        <v>47</v>
      </c>
      <c r="E5870" s="17">
        <v>5294.48</v>
      </c>
      <c r="F5870" s="16">
        <v>0.03</v>
      </c>
      <c r="G5870" s="15" t="s">
        <v>32</v>
      </c>
      <c r="H5870" s="18">
        <v>1521.31</v>
      </c>
      <c r="I5870" s="19">
        <v>107.53</v>
      </c>
      <c r="J5870" s="19">
        <v>5.81</v>
      </c>
      <c r="K5870" s="19" t="s">
        <v>44</v>
      </c>
      <c r="L5870" s="19" t="s">
        <v>89</v>
      </c>
      <c r="M5870" s="15" t="s">
        <v>1932</v>
      </c>
      <c r="N5870" s="15" t="s">
        <v>54</v>
      </c>
      <c r="O5870" s="15" t="s">
        <v>55</v>
      </c>
      <c r="P5870" s="20" t="s">
        <v>56</v>
      </c>
      <c r="Q5870" s="15" t="s">
        <v>57</v>
      </c>
      <c r="R5870" s="4"/>
      <c r="S5870" s="4"/>
    </row>
    <row r="5871" spans="1:19" ht="21" customHeight="1" x14ac:dyDescent="0.25">
      <c r="A5871" s="14">
        <f>DATE(2012,12,31)-1235</f>
        <v>40039</v>
      </c>
      <c r="B5871" s="15" t="s">
        <v>1733</v>
      </c>
      <c r="C5871" s="15" t="s">
        <v>85</v>
      </c>
      <c r="D5871" s="16">
        <v>25</v>
      </c>
      <c r="E5871" s="17">
        <v>423.15</v>
      </c>
      <c r="F5871" s="16">
        <v>0.05</v>
      </c>
      <c r="G5871" s="15" t="s">
        <v>32</v>
      </c>
      <c r="H5871" s="18">
        <v>-47.28</v>
      </c>
      <c r="I5871" s="19">
        <v>16.98</v>
      </c>
      <c r="J5871" s="19">
        <v>7.78</v>
      </c>
      <c r="K5871" s="19" t="s">
        <v>44</v>
      </c>
      <c r="L5871" s="19" t="s">
        <v>89</v>
      </c>
      <c r="M5871" s="15" t="s">
        <v>1932</v>
      </c>
      <c r="N5871" s="15" t="s">
        <v>36</v>
      </c>
      <c r="O5871" s="15" t="s">
        <v>77</v>
      </c>
      <c r="P5871" s="20" t="s">
        <v>2276</v>
      </c>
      <c r="Q5871" s="15" t="s">
        <v>49</v>
      </c>
      <c r="R5871" s="4"/>
      <c r="S5871" s="4"/>
    </row>
    <row r="5872" spans="1:19" ht="21" customHeight="1" x14ac:dyDescent="0.25">
      <c r="A5872" s="14">
        <f>DATE(2012,12,31)-1235</f>
        <v>40039</v>
      </c>
      <c r="B5872" s="15" t="s">
        <v>1733</v>
      </c>
      <c r="C5872" s="15" t="s">
        <v>85</v>
      </c>
      <c r="D5872" s="16">
        <v>27</v>
      </c>
      <c r="E5872" s="17">
        <v>2762.857</v>
      </c>
      <c r="F5872" s="16">
        <v>0.03</v>
      </c>
      <c r="G5872" s="15" t="s">
        <v>32</v>
      </c>
      <c r="H5872" s="18">
        <v>722.24099999999999</v>
      </c>
      <c r="I5872" s="19">
        <v>115.99</v>
      </c>
      <c r="J5872" s="19">
        <v>4.2300000000000004</v>
      </c>
      <c r="K5872" s="19" t="s">
        <v>44</v>
      </c>
      <c r="L5872" s="19" t="s">
        <v>89</v>
      </c>
      <c r="M5872" s="15" t="s">
        <v>1932</v>
      </c>
      <c r="N5872" s="15" t="s">
        <v>64</v>
      </c>
      <c r="O5872" s="15" t="s">
        <v>65</v>
      </c>
      <c r="P5872" s="20" t="s">
        <v>206</v>
      </c>
      <c r="Q5872" s="15" t="s">
        <v>83</v>
      </c>
      <c r="R5872" s="4"/>
      <c r="S5872" s="4"/>
    </row>
    <row r="5873" spans="1:19" ht="21" customHeight="1" x14ac:dyDescent="0.25">
      <c r="A5873" s="14">
        <f>DATE(2012,12,31)-393</f>
        <v>40881</v>
      </c>
      <c r="B5873" s="15" t="s">
        <v>1564</v>
      </c>
      <c r="C5873" s="15" t="s">
        <v>85</v>
      </c>
      <c r="D5873" s="16">
        <v>5</v>
      </c>
      <c r="E5873" s="17">
        <v>54.8</v>
      </c>
      <c r="F5873" s="16">
        <v>0</v>
      </c>
      <c r="G5873" s="15" t="s">
        <v>32</v>
      </c>
      <c r="H5873" s="18">
        <v>-15.3</v>
      </c>
      <c r="I5873" s="19">
        <v>9.7799999999999994</v>
      </c>
      <c r="J5873" s="19">
        <v>1.99</v>
      </c>
      <c r="K5873" s="19" t="s">
        <v>44</v>
      </c>
      <c r="L5873" s="19" t="s">
        <v>45</v>
      </c>
      <c r="M5873" s="15" t="s">
        <v>2271</v>
      </c>
      <c r="N5873" s="15" t="s">
        <v>64</v>
      </c>
      <c r="O5873" s="15" t="s">
        <v>72</v>
      </c>
      <c r="P5873" s="20" t="s">
        <v>1487</v>
      </c>
      <c r="Q5873" s="15" t="s">
        <v>49</v>
      </c>
      <c r="R5873" s="4"/>
      <c r="S5873" s="4"/>
    </row>
    <row r="5874" spans="1:19" ht="21" customHeight="1" x14ac:dyDescent="0.25">
      <c r="A5874" s="14">
        <f>DATE(2012,12,31)-393</f>
        <v>40881</v>
      </c>
      <c r="B5874" s="15" t="s">
        <v>1564</v>
      </c>
      <c r="C5874" s="15" t="s">
        <v>85</v>
      </c>
      <c r="D5874" s="16">
        <v>40</v>
      </c>
      <c r="E5874" s="17">
        <v>1038.19</v>
      </c>
      <c r="F5874" s="16">
        <v>7.0000000000000007E-2</v>
      </c>
      <c r="G5874" s="15" t="s">
        <v>32</v>
      </c>
      <c r="H5874" s="18">
        <v>230.69</v>
      </c>
      <c r="I5874" s="19">
        <v>25.98</v>
      </c>
      <c r="J5874" s="19">
        <v>4.08</v>
      </c>
      <c r="K5874" s="19" t="s">
        <v>44</v>
      </c>
      <c r="L5874" s="19" t="s">
        <v>120</v>
      </c>
      <c r="M5874" s="15" t="s">
        <v>2262</v>
      </c>
      <c r="N5874" s="15" t="s">
        <v>36</v>
      </c>
      <c r="O5874" s="15" t="s">
        <v>77</v>
      </c>
      <c r="P5874" s="20" t="s">
        <v>2277</v>
      </c>
      <c r="Q5874" s="15" t="s">
        <v>49</v>
      </c>
      <c r="R5874" s="4"/>
      <c r="S5874" s="4"/>
    </row>
    <row r="5875" spans="1:19" ht="21" customHeight="1" x14ac:dyDescent="0.25">
      <c r="A5875" s="14">
        <f>DATE(2012,12,31)-303</f>
        <v>40971</v>
      </c>
      <c r="B5875" s="15" t="s">
        <v>1536</v>
      </c>
      <c r="C5875" s="15" t="s">
        <v>85</v>
      </c>
      <c r="D5875" s="16">
        <v>26</v>
      </c>
      <c r="E5875" s="17">
        <v>596.15599999999995</v>
      </c>
      <c r="F5875" s="16">
        <v>0.1</v>
      </c>
      <c r="G5875" s="15" t="s">
        <v>101</v>
      </c>
      <c r="H5875" s="18">
        <v>-97.921999999999997</v>
      </c>
      <c r="I5875" s="19">
        <v>28.99</v>
      </c>
      <c r="J5875" s="19">
        <v>8.59</v>
      </c>
      <c r="K5875" s="19" t="s">
        <v>44</v>
      </c>
      <c r="L5875" s="19" t="s">
        <v>120</v>
      </c>
      <c r="M5875" s="15" t="s">
        <v>2262</v>
      </c>
      <c r="N5875" s="15" t="s">
        <v>64</v>
      </c>
      <c r="O5875" s="15" t="s">
        <v>65</v>
      </c>
      <c r="P5875" s="20" t="s">
        <v>1604</v>
      </c>
      <c r="Q5875" s="15" t="s">
        <v>57</v>
      </c>
      <c r="R5875" s="4"/>
      <c r="S5875" s="4"/>
    </row>
    <row r="5876" spans="1:19" ht="21" customHeight="1" x14ac:dyDescent="0.25">
      <c r="A5876" s="14">
        <f>DATE(2012,12,31)-194</f>
        <v>41080</v>
      </c>
      <c r="B5876" s="15" t="s">
        <v>2149</v>
      </c>
      <c r="C5876" s="15" t="s">
        <v>51</v>
      </c>
      <c r="D5876" s="16">
        <v>18</v>
      </c>
      <c r="E5876" s="17">
        <v>1062.2194999999999</v>
      </c>
      <c r="F5876" s="16">
        <v>0.03</v>
      </c>
      <c r="G5876" s="15" t="s">
        <v>32</v>
      </c>
      <c r="H5876" s="18">
        <v>132.37200000000001</v>
      </c>
      <c r="I5876" s="19">
        <v>65.989999999999995</v>
      </c>
      <c r="J5876" s="19">
        <v>5.31</v>
      </c>
      <c r="K5876" s="19" t="s">
        <v>44</v>
      </c>
      <c r="L5876" s="19" t="s">
        <v>45</v>
      </c>
      <c r="M5876" s="15" t="s">
        <v>2271</v>
      </c>
      <c r="N5876" s="15" t="s">
        <v>64</v>
      </c>
      <c r="O5876" s="15" t="s">
        <v>65</v>
      </c>
      <c r="P5876" s="20" t="s">
        <v>1376</v>
      </c>
      <c r="Q5876" s="15" t="s">
        <v>83</v>
      </c>
      <c r="R5876" s="4"/>
      <c r="S5876" s="4"/>
    </row>
    <row r="5877" spans="1:19" ht="21" customHeight="1" x14ac:dyDescent="0.25">
      <c r="A5877" s="14">
        <f>DATE(2012,12,31)-28</f>
        <v>41246</v>
      </c>
      <c r="B5877" s="15" t="s">
        <v>2211</v>
      </c>
      <c r="C5877" s="15" t="s">
        <v>85</v>
      </c>
      <c r="D5877" s="16">
        <v>49</v>
      </c>
      <c r="E5877" s="17">
        <v>638.91</v>
      </c>
      <c r="F5877" s="16">
        <v>0.02</v>
      </c>
      <c r="G5877" s="15" t="s">
        <v>32</v>
      </c>
      <c r="H5877" s="18">
        <v>77.48</v>
      </c>
      <c r="I5877" s="19">
        <v>12.98</v>
      </c>
      <c r="J5877" s="19">
        <v>3.14</v>
      </c>
      <c r="K5877" s="19" t="s">
        <v>44</v>
      </c>
      <c r="L5877" s="19" t="s">
        <v>120</v>
      </c>
      <c r="M5877" s="15" t="s">
        <v>2262</v>
      </c>
      <c r="N5877" s="15" t="s">
        <v>36</v>
      </c>
      <c r="O5877" s="15" t="s">
        <v>47</v>
      </c>
      <c r="P5877" s="20" t="s">
        <v>152</v>
      </c>
      <c r="Q5877" s="15" t="s">
        <v>49</v>
      </c>
      <c r="R5877" s="4"/>
      <c r="S5877" s="4"/>
    </row>
    <row r="5878" spans="1:19" ht="21" customHeight="1" x14ac:dyDescent="0.25">
      <c r="A5878" s="14">
        <f>DATE(2012,12,31)-1267</f>
        <v>40007</v>
      </c>
      <c r="B5878" s="15" t="s">
        <v>1950</v>
      </c>
      <c r="C5878" s="15" t="s">
        <v>43</v>
      </c>
      <c r="D5878" s="16">
        <v>45</v>
      </c>
      <c r="E5878" s="17">
        <v>237.28</v>
      </c>
      <c r="F5878" s="16">
        <v>0.03</v>
      </c>
      <c r="G5878" s="15" t="s">
        <v>101</v>
      </c>
      <c r="H5878" s="18">
        <v>-2088.6799999999998</v>
      </c>
      <c r="I5878" s="19">
        <v>4.4800000000000004</v>
      </c>
      <c r="J5878" s="19">
        <v>49</v>
      </c>
      <c r="K5878" s="19" t="s">
        <v>44</v>
      </c>
      <c r="L5878" s="19" t="s">
        <v>89</v>
      </c>
      <c r="M5878" s="15" t="s">
        <v>2278</v>
      </c>
      <c r="N5878" s="15" t="s">
        <v>36</v>
      </c>
      <c r="O5878" s="15" t="s">
        <v>176</v>
      </c>
      <c r="P5878" s="20" t="s">
        <v>314</v>
      </c>
      <c r="Q5878" s="15" t="s">
        <v>39</v>
      </c>
      <c r="R5878" s="4"/>
      <c r="S5878" s="4"/>
    </row>
    <row r="5879" spans="1:19" ht="21" customHeight="1" x14ac:dyDescent="0.25">
      <c r="A5879" s="14">
        <f>DATE(2012,12,31)-740</f>
        <v>40534</v>
      </c>
      <c r="B5879" s="15" t="s">
        <v>1014</v>
      </c>
      <c r="C5879" s="15" t="s">
        <v>43</v>
      </c>
      <c r="D5879" s="16">
        <v>21</v>
      </c>
      <c r="E5879" s="17">
        <v>3323.44</v>
      </c>
      <c r="F5879" s="16">
        <v>0.03</v>
      </c>
      <c r="G5879" s="15" t="s">
        <v>32</v>
      </c>
      <c r="H5879" s="18">
        <v>99.879999999999939</v>
      </c>
      <c r="I5879" s="19">
        <v>152.47999999999999</v>
      </c>
      <c r="J5879" s="19">
        <v>4</v>
      </c>
      <c r="K5879" s="19" t="s">
        <v>44</v>
      </c>
      <c r="L5879" s="19" t="s">
        <v>89</v>
      </c>
      <c r="M5879" s="15" t="s">
        <v>2278</v>
      </c>
      <c r="N5879" s="15" t="s">
        <v>64</v>
      </c>
      <c r="O5879" s="15" t="s">
        <v>72</v>
      </c>
      <c r="P5879" s="20" t="s">
        <v>473</v>
      </c>
      <c r="Q5879" s="15" t="s">
        <v>83</v>
      </c>
      <c r="R5879" s="4"/>
      <c r="S5879" s="4"/>
    </row>
    <row r="5880" spans="1:19" ht="21" customHeight="1" x14ac:dyDescent="0.25">
      <c r="A5880" s="14">
        <f>DATE(2012,12,31)-740</f>
        <v>40534</v>
      </c>
      <c r="B5880" s="15" t="s">
        <v>1014</v>
      </c>
      <c r="C5880" s="15" t="s">
        <v>43</v>
      </c>
      <c r="D5880" s="16">
        <v>5</v>
      </c>
      <c r="E5880" s="17">
        <v>27.9</v>
      </c>
      <c r="F5880" s="16">
        <v>0.02</v>
      </c>
      <c r="G5880" s="15" t="s">
        <v>32</v>
      </c>
      <c r="H5880" s="18">
        <v>-22.82</v>
      </c>
      <c r="I5880" s="19">
        <v>4.28</v>
      </c>
      <c r="J5880" s="19">
        <v>6.72</v>
      </c>
      <c r="K5880" s="19" t="s">
        <v>44</v>
      </c>
      <c r="L5880" s="19" t="s">
        <v>89</v>
      </c>
      <c r="M5880" s="15" t="s">
        <v>2278</v>
      </c>
      <c r="N5880" s="15" t="s">
        <v>36</v>
      </c>
      <c r="O5880" s="15" t="s">
        <v>117</v>
      </c>
      <c r="P5880" s="20" t="s">
        <v>792</v>
      </c>
      <c r="Q5880" s="15" t="s">
        <v>83</v>
      </c>
      <c r="R5880" s="4"/>
      <c r="S5880" s="4"/>
    </row>
    <row r="5881" spans="1:19" ht="21" customHeight="1" x14ac:dyDescent="0.25">
      <c r="A5881" s="14">
        <f>DATE(2012,12,31)-1188</f>
        <v>40086</v>
      </c>
      <c r="B5881" s="15" t="s">
        <v>552</v>
      </c>
      <c r="C5881" s="15" t="s">
        <v>51</v>
      </c>
      <c r="D5881" s="16">
        <v>28</v>
      </c>
      <c r="E5881" s="17">
        <v>23106.46</v>
      </c>
      <c r="F5881" s="16">
        <v>0.08</v>
      </c>
      <c r="G5881" s="15" t="s">
        <v>32</v>
      </c>
      <c r="H5881" s="18">
        <v>9527.4715000000015</v>
      </c>
      <c r="I5881" s="19">
        <v>896.99</v>
      </c>
      <c r="J5881" s="19">
        <v>19.989999999999998</v>
      </c>
      <c r="K5881" s="19" t="s">
        <v>44</v>
      </c>
      <c r="L5881" s="19" t="s">
        <v>89</v>
      </c>
      <c r="M5881" s="15" t="s">
        <v>2278</v>
      </c>
      <c r="N5881" s="15" t="s">
        <v>36</v>
      </c>
      <c r="O5881" s="15" t="s">
        <v>170</v>
      </c>
      <c r="P5881" s="20" t="s">
        <v>414</v>
      </c>
      <c r="Q5881" s="15" t="s">
        <v>83</v>
      </c>
      <c r="R5881" s="4"/>
      <c r="S5881" s="4"/>
    </row>
    <row r="5882" spans="1:19" ht="21" customHeight="1" x14ac:dyDescent="0.25">
      <c r="A5882" s="14">
        <f>DATE(2012,12,31)-1188</f>
        <v>40086</v>
      </c>
      <c r="B5882" s="15" t="s">
        <v>552</v>
      </c>
      <c r="C5882" s="15" t="s">
        <v>51</v>
      </c>
      <c r="D5882" s="16">
        <v>10</v>
      </c>
      <c r="E5882" s="17">
        <v>2549.58</v>
      </c>
      <c r="F5882" s="16">
        <v>0.02</v>
      </c>
      <c r="G5882" s="15" t="s">
        <v>58</v>
      </c>
      <c r="H5882" s="18">
        <v>41.53</v>
      </c>
      <c r="I5882" s="19">
        <v>243.98</v>
      </c>
      <c r="J5882" s="19">
        <v>62.94</v>
      </c>
      <c r="K5882" s="19" t="s">
        <v>44</v>
      </c>
      <c r="L5882" s="19" t="s">
        <v>45</v>
      </c>
      <c r="M5882" s="15" t="s">
        <v>2271</v>
      </c>
      <c r="N5882" s="15" t="s">
        <v>54</v>
      </c>
      <c r="O5882" s="15" t="s">
        <v>252</v>
      </c>
      <c r="P5882" s="20" t="s">
        <v>1316</v>
      </c>
      <c r="Q5882" s="15" t="s">
        <v>181</v>
      </c>
      <c r="R5882" s="4"/>
      <c r="S5882" s="4"/>
    </row>
    <row r="5883" spans="1:19" ht="21" customHeight="1" x14ac:dyDescent="0.25">
      <c r="A5883" s="14">
        <f>DATE(2012,12,31)-339</f>
        <v>40935</v>
      </c>
      <c r="B5883" s="15" t="s">
        <v>1599</v>
      </c>
      <c r="C5883" s="15" t="s">
        <v>31</v>
      </c>
      <c r="D5883" s="16">
        <v>21</v>
      </c>
      <c r="E5883" s="17">
        <v>6688.66</v>
      </c>
      <c r="F5883" s="16">
        <v>0.04</v>
      </c>
      <c r="G5883" s="15" t="s">
        <v>32</v>
      </c>
      <c r="H5883" s="18">
        <v>2648.0814999999998</v>
      </c>
      <c r="I5883" s="19">
        <v>315.98</v>
      </c>
      <c r="J5883" s="19">
        <v>19.989999999999998</v>
      </c>
      <c r="K5883" s="19" t="s">
        <v>44</v>
      </c>
      <c r="L5883" s="19" t="s">
        <v>89</v>
      </c>
      <c r="M5883" s="15" t="s">
        <v>2278</v>
      </c>
      <c r="N5883" s="15" t="s">
        <v>36</v>
      </c>
      <c r="O5883" s="15" t="s">
        <v>170</v>
      </c>
      <c r="P5883" s="20" t="s">
        <v>503</v>
      </c>
      <c r="Q5883" s="15" t="s">
        <v>83</v>
      </c>
      <c r="R5883" s="4"/>
      <c r="S5883" s="4"/>
    </row>
    <row r="5884" spans="1:19" ht="21" customHeight="1" x14ac:dyDescent="0.25">
      <c r="A5884" s="14">
        <f>DATE(2012,12,31)-339</f>
        <v>40935</v>
      </c>
      <c r="B5884" s="15" t="s">
        <v>1599</v>
      </c>
      <c r="C5884" s="15" t="s">
        <v>31</v>
      </c>
      <c r="D5884" s="16">
        <v>22</v>
      </c>
      <c r="E5884" s="17">
        <v>247.45</v>
      </c>
      <c r="F5884" s="16">
        <v>0</v>
      </c>
      <c r="G5884" s="15" t="s">
        <v>32</v>
      </c>
      <c r="H5884" s="18">
        <v>-133.18</v>
      </c>
      <c r="I5884" s="19">
        <v>9.98</v>
      </c>
      <c r="J5884" s="19">
        <v>12.52</v>
      </c>
      <c r="K5884" s="19" t="s">
        <v>44</v>
      </c>
      <c r="L5884" s="19" t="s">
        <v>120</v>
      </c>
      <c r="M5884" s="15" t="s">
        <v>2262</v>
      </c>
      <c r="N5884" s="15" t="s">
        <v>54</v>
      </c>
      <c r="O5884" s="15" t="s">
        <v>55</v>
      </c>
      <c r="P5884" s="20" t="s">
        <v>1999</v>
      </c>
      <c r="Q5884" s="15" t="s">
        <v>83</v>
      </c>
      <c r="R5884" s="4"/>
      <c r="S5884" s="4"/>
    </row>
    <row r="5885" spans="1:19" ht="21" customHeight="1" x14ac:dyDescent="0.25">
      <c r="A5885" s="14">
        <f>DATE(2012,12,31)-339</f>
        <v>40935</v>
      </c>
      <c r="B5885" s="15" t="s">
        <v>1599</v>
      </c>
      <c r="C5885" s="15" t="s">
        <v>31</v>
      </c>
      <c r="D5885" s="16">
        <v>7</v>
      </c>
      <c r="E5885" s="17">
        <v>685.72050000000002</v>
      </c>
      <c r="F5885" s="16">
        <v>0.08</v>
      </c>
      <c r="G5885" s="15" t="s">
        <v>32</v>
      </c>
      <c r="H5885" s="18">
        <v>-278.87200000000001</v>
      </c>
      <c r="I5885" s="19">
        <v>115.99</v>
      </c>
      <c r="J5885" s="19">
        <v>2.5</v>
      </c>
      <c r="K5885" s="19" t="s">
        <v>44</v>
      </c>
      <c r="L5885" s="19" t="s">
        <v>45</v>
      </c>
      <c r="M5885" s="15" t="s">
        <v>2271</v>
      </c>
      <c r="N5885" s="15" t="s">
        <v>64</v>
      </c>
      <c r="O5885" s="15" t="s">
        <v>65</v>
      </c>
      <c r="P5885" s="20" t="s">
        <v>870</v>
      </c>
      <c r="Q5885" s="15" t="s">
        <v>83</v>
      </c>
      <c r="R5885" s="4"/>
      <c r="S5885" s="4"/>
    </row>
    <row r="5886" spans="1:19" ht="21" customHeight="1" x14ac:dyDescent="0.25">
      <c r="A5886" s="14">
        <f>DATE(2012,12,31)-339</f>
        <v>40935</v>
      </c>
      <c r="B5886" s="15" t="s">
        <v>1599</v>
      </c>
      <c r="C5886" s="15" t="s">
        <v>31</v>
      </c>
      <c r="D5886" s="16">
        <v>40</v>
      </c>
      <c r="E5886" s="17">
        <v>3232.1334999999999</v>
      </c>
      <c r="F5886" s="16">
        <v>0.05</v>
      </c>
      <c r="G5886" s="15" t="s">
        <v>32</v>
      </c>
      <c r="H5886" s="18">
        <v>696.95100000000002</v>
      </c>
      <c r="I5886" s="19">
        <v>95.99</v>
      </c>
      <c r="J5886" s="19">
        <v>8.99</v>
      </c>
      <c r="K5886" s="19" t="s">
        <v>44</v>
      </c>
      <c r="L5886" s="19" t="s">
        <v>120</v>
      </c>
      <c r="M5886" s="15" t="s">
        <v>2262</v>
      </c>
      <c r="N5886" s="15" t="s">
        <v>64</v>
      </c>
      <c r="O5886" s="15" t="s">
        <v>65</v>
      </c>
      <c r="P5886" s="20" t="s">
        <v>1521</v>
      </c>
      <c r="Q5886" s="15" t="s">
        <v>83</v>
      </c>
      <c r="R5886" s="4"/>
      <c r="S5886" s="4"/>
    </row>
    <row r="5887" spans="1:19" ht="21" customHeight="1" x14ac:dyDescent="0.25">
      <c r="A5887" s="14">
        <f>DATE(2012,12,31)-1183</f>
        <v>40091</v>
      </c>
      <c r="B5887" s="15" t="s">
        <v>273</v>
      </c>
      <c r="C5887" s="15" t="s">
        <v>43</v>
      </c>
      <c r="D5887" s="16">
        <v>16</v>
      </c>
      <c r="E5887" s="17">
        <v>5105.0600000000004</v>
      </c>
      <c r="F5887" s="16">
        <v>0.03</v>
      </c>
      <c r="G5887" s="15" t="s">
        <v>58</v>
      </c>
      <c r="H5887" s="18">
        <v>467.12430000000006</v>
      </c>
      <c r="I5887" s="19">
        <v>320.64</v>
      </c>
      <c r="J5887" s="19">
        <v>29.2</v>
      </c>
      <c r="K5887" s="19" t="s">
        <v>44</v>
      </c>
      <c r="L5887" s="19" t="s">
        <v>120</v>
      </c>
      <c r="M5887" s="15" t="s">
        <v>2262</v>
      </c>
      <c r="N5887" s="15" t="s">
        <v>54</v>
      </c>
      <c r="O5887" s="15" t="s">
        <v>61</v>
      </c>
      <c r="P5887" s="20" t="s">
        <v>1280</v>
      </c>
      <c r="Q5887" s="15" t="s">
        <v>63</v>
      </c>
      <c r="R5887" s="4"/>
      <c r="S5887" s="4"/>
    </row>
    <row r="5888" spans="1:19" ht="21" customHeight="1" x14ac:dyDescent="0.25">
      <c r="A5888" s="14">
        <f>DATE(2012,12,31)-1118</f>
        <v>40156</v>
      </c>
      <c r="B5888" s="15" t="s">
        <v>2159</v>
      </c>
      <c r="C5888" s="15" t="s">
        <v>85</v>
      </c>
      <c r="D5888" s="16">
        <v>41</v>
      </c>
      <c r="E5888" s="17">
        <v>204.99</v>
      </c>
      <c r="F5888" s="16">
        <v>0.03</v>
      </c>
      <c r="G5888" s="15" t="s">
        <v>32</v>
      </c>
      <c r="H5888" s="18">
        <v>-95.990499999999997</v>
      </c>
      <c r="I5888" s="19">
        <v>4.9800000000000004</v>
      </c>
      <c r="J5888" s="19">
        <v>4.95</v>
      </c>
      <c r="K5888" s="19" t="s">
        <v>44</v>
      </c>
      <c r="L5888" s="19" t="s">
        <v>120</v>
      </c>
      <c r="M5888" s="15" t="s">
        <v>2262</v>
      </c>
      <c r="N5888" s="15" t="s">
        <v>36</v>
      </c>
      <c r="O5888" s="15" t="s">
        <v>170</v>
      </c>
      <c r="P5888" s="20" t="s">
        <v>1570</v>
      </c>
      <c r="Q5888" s="15" t="s">
        <v>83</v>
      </c>
      <c r="R5888" s="4"/>
      <c r="S5888" s="4"/>
    </row>
    <row r="5889" spans="1:19" ht="21" customHeight="1" x14ac:dyDescent="0.25">
      <c r="A5889" s="14">
        <f>DATE(2012,12,31)-111</f>
        <v>41163</v>
      </c>
      <c r="B5889" s="15" t="s">
        <v>364</v>
      </c>
      <c r="C5889" s="15" t="s">
        <v>85</v>
      </c>
      <c r="D5889" s="16">
        <v>7</v>
      </c>
      <c r="E5889" s="17">
        <v>273.42</v>
      </c>
      <c r="F5889" s="16">
        <v>0</v>
      </c>
      <c r="G5889" s="15" t="s">
        <v>32</v>
      </c>
      <c r="H5889" s="18">
        <v>10.064</v>
      </c>
      <c r="I5889" s="19">
        <v>34.54</v>
      </c>
      <c r="J5889" s="19">
        <v>14.72</v>
      </c>
      <c r="K5889" s="19" t="s">
        <v>44</v>
      </c>
      <c r="L5889" s="19" t="s">
        <v>89</v>
      </c>
      <c r="M5889" s="15" t="s">
        <v>2278</v>
      </c>
      <c r="N5889" s="15" t="s">
        <v>36</v>
      </c>
      <c r="O5889" s="15" t="s">
        <v>170</v>
      </c>
      <c r="P5889" s="20" t="s">
        <v>1306</v>
      </c>
      <c r="Q5889" s="15" t="s">
        <v>83</v>
      </c>
      <c r="R5889" s="4"/>
      <c r="S5889" s="4"/>
    </row>
    <row r="5890" spans="1:19" ht="21" customHeight="1" x14ac:dyDescent="0.25">
      <c r="A5890" s="14">
        <f>DATE(2012,12,31)-111</f>
        <v>41163</v>
      </c>
      <c r="B5890" s="15" t="s">
        <v>364</v>
      </c>
      <c r="C5890" s="15" t="s">
        <v>85</v>
      </c>
      <c r="D5890" s="16">
        <v>10</v>
      </c>
      <c r="E5890" s="17">
        <v>5158.09</v>
      </c>
      <c r="F5890" s="16">
        <v>0.01</v>
      </c>
      <c r="G5890" s="15" t="s">
        <v>58</v>
      </c>
      <c r="H5890" s="18">
        <v>969.05</v>
      </c>
      <c r="I5890" s="19">
        <v>500.98</v>
      </c>
      <c r="J5890" s="19">
        <v>28.14</v>
      </c>
      <c r="K5890" s="19" t="s">
        <v>33</v>
      </c>
      <c r="L5890" s="19" t="s">
        <v>93</v>
      </c>
      <c r="M5890" s="15" t="s">
        <v>94</v>
      </c>
      <c r="N5890" s="15" t="s">
        <v>64</v>
      </c>
      <c r="O5890" s="15" t="s">
        <v>122</v>
      </c>
      <c r="P5890" s="20" t="s">
        <v>231</v>
      </c>
      <c r="Q5890" s="15" t="s">
        <v>181</v>
      </c>
      <c r="R5890" s="4"/>
      <c r="S5890" s="4"/>
    </row>
    <row r="5891" spans="1:19" ht="21" customHeight="1" x14ac:dyDescent="0.25">
      <c r="A5891" s="14">
        <f>DATE(2012,12,31)-584</f>
        <v>40690</v>
      </c>
      <c r="B5891" s="15" t="s">
        <v>1467</v>
      </c>
      <c r="C5891" s="15" t="s">
        <v>85</v>
      </c>
      <c r="D5891" s="16">
        <v>48</v>
      </c>
      <c r="E5891" s="17">
        <v>836.59</v>
      </c>
      <c r="F5891" s="16">
        <v>0.06</v>
      </c>
      <c r="G5891" s="15" t="s">
        <v>32</v>
      </c>
      <c r="H5891" s="18">
        <v>-106.8</v>
      </c>
      <c r="I5891" s="19">
        <v>17.989999999999998</v>
      </c>
      <c r="J5891" s="19">
        <v>8.65</v>
      </c>
      <c r="K5891" s="19" t="s">
        <v>33</v>
      </c>
      <c r="L5891" s="19" t="s">
        <v>93</v>
      </c>
      <c r="M5891" s="15" t="s">
        <v>94</v>
      </c>
      <c r="N5891" s="15" t="s">
        <v>36</v>
      </c>
      <c r="O5891" s="15" t="s">
        <v>77</v>
      </c>
      <c r="P5891" s="20" t="s">
        <v>1248</v>
      </c>
      <c r="Q5891" s="15" t="s">
        <v>83</v>
      </c>
      <c r="R5891" s="4"/>
      <c r="S5891" s="4"/>
    </row>
    <row r="5892" spans="1:19" ht="21" customHeight="1" x14ac:dyDescent="0.25">
      <c r="A5892" s="14">
        <f>DATE(2012,12,31)-584</f>
        <v>40690</v>
      </c>
      <c r="B5892" s="15" t="s">
        <v>1456</v>
      </c>
      <c r="C5892" s="15" t="s">
        <v>85</v>
      </c>
      <c r="D5892" s="16">
        <v>21</v>
      </c>
      <c r="E5892" s="17">
        <v>58.14</v>
      </c>
      <c r="F5892" s="16">
        <v>0.04</v>
      </c>
      <c r="G5892" s="15" t="s">
        <v>32</v>
      </c>
      <c r="H5892" s="18">
        <v>-2.23</v>
      </c>
      <c r="I5892" s="19">
        <v>2.78</v>
      </c>
      <c r="J5892" s="19">
        <v>0.97</v>
      </c>
      <c r="K5892" s="19" t="s">
        <v>33</v>
      </c>
      <c r="L5892" s="19" t="s">
        <v>128</v>
      </c>
      <c r="M5892" s="15" t="s">
        <v>129</v>
      </c>
      <c r="N5892" s="15" t="s">
        <v>36</v>
      </c>
      <c r="O5892" s="15" t="s">
        <v>77</v>
      </c>
      <c r="P5892" s="20" t="s">
        <v>2170</v>
      </c>
      <c r="Q5892" s="15" t="s">
        <v>79</v>
      </c>
      <c r="R5892" s="4"/>
      <c r="S5892" s="4"/>
    </row>
    <row r="5893" spans="1:19" ht="21" customHeight="1" x14ac:dyDescent="0.25">
      <c r="A5893" s="14">
        <f>DATE(2012,12,31)-584</f>
        <v>40690</v>
      </c>
      <c r="B5893" s="15" t="s">
        <v>1456</v>
      </c>
      <c r="C5893" s="15" t="s">
        <v>85</v>
      </c>
      <c r="D5893" s="16">
        <v>49</v>
      </c>
      <c r="E5893" s="17">
        <v>891.60749999999996</v>
      </c>
      <c r="F5893" s="16">
        <v>0.06</v>
      </c>
      <c r="G5893" s="15" t="s">
        <v>32</v>
      </c>
      <c r="H5893" s="18">
        <v>100.59299999999999</v>
      </c>
      <c r="I5893" s="19">
        <v>20.99</v>
      </c>
      <c r="J5893" s="19">
        <v>4.8099999999999996</v>
      </c>
      <c r="K5893" s="19" t="s">
        <v>33</v>
      </c>
      <c r="L5893" s="19" t="s">
        <v>128</v>
      </c>
      <c r="M5893" s="15" t="s">
        <v>129</v>
      </c>
      <c r="N5893" s="15" t="s">
        <v>64</v>
      </c>
      <c r="O5893" s="15" t="s">
        <v>65</v>
      </c>
      <c r="P5893" s="20" t="s">
        <v>2274</v>
      </c>
      <c r="Q5893" s="15" t="s">
        <v>57</v>
      </c>
      <c r="R5893" s="4"/>
      <c r="S5893" s="4"/>
    </row>
    <row r="5894" spans="1:19" ht="21" customHeight="1" x14ac:dyDescent="0.25">
      <c r="A5894" s="14">
        <f>DATE(2012,12,31)-1287</f>
        <v>39987</v>
      </c>
      <c r="B5894" s="15" t="s">
        <v>1456</v>
      </c>
      <c r="C5894" s="15" t="s">
        <v>51</v>
      </c>
      <c r="D5894" s="16">
        <v>21</v>
      </c>
      <c r="E5894" s="17">
        <v>1130.8059999999998</v>
      </c>
      <c r="F5894" s="16">
        <v>0.04</v>
      </c>
      <c r="G5894" s="15" t="s">
        <v>32</v>
      </c>
      <c r="H5894" s="18">
        <v>95.147999999999996</v>
      </c>
      <c r="I5894" s="19">
        <v>65.989999999999995</v>
      </c>
      <c r="J5894" s="19">
        <v>4.99</v>
      </c>
      <c r="K5894" s="19" t="s">
        <v>97</v>
      </c>
      <c r="L5894" s="19" t="s">
        <v>195</v>
      </c>
      <c r="M5894" s="15" t="s">
        <v>2138</v>
      </c>
      <c r="N5894" s="15" t="s">
        <v>64</v>
      </c>
      <c r="O5894" s="15" t="s">
        <v>65</v>
      </c>
      <c r="P5894" s="20" t="s">
        <v>654</v>
      </c>
      <c r="Q5894" s="15" t="s">
        <v>83</v>
      </c>
      <c r="R5894" s="4"/>
      <c r="S5894" s="4"/>
    </row>
    <row r="5895" spans="1:19" ht="21" customHeight="1" x14ac:dyDescent="0.25">
      <c r="A5895" s="14">
        <f>DATE(2012,12,31)-911</f>
        <v>40363</v>
      </c>
      <c r="B5895" s="15" t="s">
        <v>96</v>
      </c>
      <c r="C5895" s="15" t="s">
        <v>43</v>
      </c>
      <c r="D5895" s="16">
        <v>8</v>
      </c>
      <c r="E5895" s="17">
        <v>157.51</v>
      </c>
      <c r="F5895" s="16">
        <v>0.01</v>
      </c>
      <c r="G5895" s="15" t="s">
        <v>32</v>
      </c>
      <c r="H5895" s="18">
        <v>46.478000000000002</v>
      </c>
      <c r="I5895" s="19">
        <v>18.940000000000001</v>
      </c>
      <c r="J5895" s="19">
        <v>1.49</v>
      </c>
      <c r="K5895" s="19" t="s">
        <v>97</v>
      </c>
      <c r="L5895" s="19" t="s">
        <v>567</v>
      </c>
      <c r="M5895" s="15" t="s">
        <v>568</v>
      </c>
      <c r="N5895" s="15" t="s">
        <v>36</v>
      </c>
      <c r="O5895" s="15" t="s">
        <v>170</v>
      </c>
      <c r="P5895" s="20" t="s">
        <v>1705</v>
      </c>
      <c r="Q5895" s="15" t="s">
        <v>83</v>
      </c>
      <c r="R5895" s="4"/>
      <c r="S5895" s="4"/>
    </row>
    <row r="5896" spans="1:19" ht="21" customHeight="1" x14ac:dyDescent="0.25">
      <c r="A5896" s="14">
        <f>DATE(2012,12,31)-911</f>
        <v>40363</v>
      </c>
      <c r="B5896" s="15" t="s">
        <v>667</v>
      </c>
      <c r="C5896" s="15" t="s">
        <v>43</v>
      </c>
      <c r="D5896" s="16">
        <v>33</v>
      </c>
      <c r="E5896" s="17">
        <v>97.78</v>
      </c>
      <c r="F5896" s="16">
        <v>0.09</v>
      </c>
      <c r="G5896" s="15" t="s">
        <v>32</v>
      </c>
      <c r="H5896" s="18">
        <v>-31.22</v>
      </c>
      <c r="I5896" s="19">
        <v>2.98</v>
      </c>
      <c r="J5896" s="19">
        <v>2.0299999999999998</v>
      </c>
      <c r="K5896" s="19" t="s">
        <v>97</v>
      </c>
      <c r="L5896" s="19" t="s">
        <v>195</v>
      </c>
      <c r="M5896" s="15" t="s">
        <v>2138</v>
      </c>
      <c r="N5896" s="15" t="s">
        <v>36</v>
      </c>
      <c r="O5896" s="15" t="s">
        <v>77</v>
      </c>
      <c r="P5896" s="20" t="s">
        <v>1246</v>
      </c>
      <c r="Q5896" s="15" t="s">
        <v>79</v>
      </c>
      <c r="R5896" s="4"/>
      <c r="S5896" s="4"/>
    </row>
    <row r="5897" spans="1:19" ht="21" customHeight="1" x14ac:dyDescent="0.25">
      <c r="A5897" s="14">
        <f>DATE(2012,12,31)-1227</f>
        <v>40047</v>
      </c>
      <c r="B5897" s="15" t="s">
        <v>667</v>
      </c>
      <c r="C5897" s="15" t="s">
        <v>85</v>
      </c>
      <c r="D5897" s="16">
        <v>43</v>
      </c>
      <c r="E5897" s="17">
        <v>3277.39</v>
      </c>
      <c r="F5897" s="16">
        <v>0.02</v>
      </c>
      <c r="G5897" s="15" t="s">
        <v>32</v>
      </c>
      <c r="H5897" s="18">
        <v>286.01</v>
      </c>
      <c r="I5897" s="19">
        <v>73.98</v>
      </c>
      <c r="J5897" s="19">
        <v>4</v>
      </c>
      <c r="K5897" s="19" t="s">
        <v>97</v>
      </c>
      <c r="L5897" s="19" t="s">
        <v>98</v>
      </c>
      <c r="M5897" s="15" t="s">
        <v>2279</v>
      </c>
      <c r="N5897" s="15" t="s">
        <v>64</v>
      </c>
      <c r="O5897" s="15" t="s">
        <v>72</v>
      </c>
      <c r="P5897" s="20" t="s">
        <v>1972</v>
      </c>
      <c r="Q5897" s="15" t="s">
        <v>83</v>
      </c>
      <c r="R5897" s="4"/>
      <c r="S5897" s="4"/>
    </row>
    <row r="5898" spans="1:19" ht="21" customHeight="1" x14ac:dyDescent="0.25">
      <c r="A5898" s="14">
        <f>DATE(2012,12,31)-1227</f>
        <v>40047</v>
      </c>
      <c r="B5898" s="15" t="s">
        <v>398</v>
      </c>
      <c r="C5898" s="15" t="s">
        <v>85</v>
      </c>
      <c r="D5898" s="16">
        <v>50</v>
      </c>
      <c r="E5898" s="17">
        <v>7817.45</v>
      </c>
      <c r="F5898" s="16">
        <v>0.03</v>
      </c>
      <c r="G5898" s="15" t="s">
        <v>58</v>
      </c>
      <c r="H5898" s="18">
        <v>-1303.5999999999999</v>
      </c>
      <c r="I5898" s="19">
        <v>150.88999999999999</v>
      </c>
      <c r="J5898" s="19">
        <v>60.2</v>
      </c>
      <c r="K5898" s="19" t="s">
        <v>97</v>
      </c>
      <c r="L5898" s="19" t="s">
        <v>195</v>
      </c>
      <c r="M5898" s="15" t="s">
        <v>2138</v>
      </c>
      <c r="N5898" s="15" t="s">
        <v>54</v>
      </c>
      <c r="O5898" s="15" t="s">
        <v>252</v>
      </c>
      <c r="P5898" s="20" t="s">
        <v>566</v>
      </c>
      <c r="Q5898" s="15" t="s">
        <v>181</v>
      </c>
      <c r="R5898" s="4"/>
      <c r="S5898" s="4"/>
    </row>
    <row r="5899" spans="1:19" ht="21" customHeight="1" x14ac:dyDescent="0.25">
      <c r="A5899" s="14">
        <f>DATE(2012,12,31)-807</f>
        <v>40467</v>
      </c>
      <c r="B5899" s="15" t="s">
        <v>1485</v>
      </c>
      <c r="C5899" s="15" t="s">
        <v>85</v>
      </c>
      <c r="D5899" s="16">
        <v>4</v>
      </c>
      <c r="E5899" s="17">
        <v>63.93</v>
      </c>
      <c r="F5899" s="16">
        <v>0.03</v>
      </c>
      <c r="G5899" s="15" t="s">
        <v>101</v>
      </c>
      <c r="H5899" s="18">
        <v>40.630000000000003</v>
      </c>
      <c r="I5899" s="19">
        <v>9.77</v>
      </c>
      <c r="J5899" s="19">
        <v>6.02</v>
      </c>
      <c r="K5899" s="19" t="s">
        <v>124</v>
      </c>
      <c r="L5899" s="19" t="s">
        <v>160</v>
      </c>
      <c r="M5899" s="15" t="s">
        <v>2181</v>
      </c>
      <c r="N5899" s="15" t="s">
        <v>54</v>
      </c>
      <c r="O5899" s="15" t="s">
        <v>55</v>
      </c>
      <c r="P5899" s="20" t="s">
        <v>255</v>
      </c>
      <c r="Q5899" s="15" t="s">
        <v>57</v>
      </c>
      <c r="R5899" s="4"/>
      <c r="S5899" s="4"/>
    </row>
    <row r="5900" spans="1:19" ht="21" customHeight="1" x14ac:dyDescent="0.25">
      <c r="A5900" s="14">
        <f>DATE(2012,12,31)-807</f>
        <v>40467</v>
      </c>
      <c r="B5900" s="15" t="s">
        <v>1596</v>
      </c>
      <c r="C5900" s="15" t="s">
        <v>85</v>
      </c>
      <c r="D5900" s="16">
        <v>2</v>
      </c>
      <c r="E5900" s="17">
        <v>570.98</v>
      </c>
      <c r="F5900" s="16">
        <v>0.05</v>
      </c>
      <c r="G5900" s="15" t="s">
        <v>58</v>
      </c>
      <c r="H5900" s="18">
        <v>-340.48</v>
      </c>
      <c r="I5900" s="19">
        <v>258.98</v>
      </c>
      <c r="J5900" s="19">
        <v>54.31</v>
      </c>
      <c r="K5900" s="19" t="s">
        <v>124</v>
      </c>
      <c r="L5900" s="19" t="s">
        <v>493</v>
      </c>
      <c r="M5900" s="15" t="s">
        <v>2259</v>
      </c>
      <c r="N5900" s="15" t="s">
        <v>54</v>
      </c>
      <c r="O5900" s="15" t="s">
        <v>252</v>
      </c>
      <c r="P5900" s="20" t="s">
        <v>1171</v>
      </c>
      <c r="Q5900" s="15" t="s">
        <v>181</v>
      </c>
      <c r="R5900" s="4"/>
      <c r="S5900" s="4"/>
    </row>
    <row r="5901" spans="1:19" ht="21" customHeight="1" x14ac:dyDescent="0.25">
      <c r="A5901" s="14">
        <f>DATE(2012,12,31)-318</f>
        <v>40956</v>
      </c>
      <c r="B5901" s="15" t="s">
        <v>1596</v>
      </c>
      <c r="C5901" s="15" t="s">
        <v>31</v>
      </c>
      <c r="D5901" s="16">
        <v>42</v>
      </c>
      <c r="E5901" s="17">
        <v>5361.08</v>
      </c>
      <c r="F5901" s="16">
        <v>0</v>
      </c>
      <c r="G5901" s="15" t="s">
        <v>58</v>
      </c>
      <c r="H5901" s="18">
        <v>1841.92</v>
      </c>
      <c r="I5901" s="19">
        <v>120.97</v>
      </c>
      <c r="J5901" s="19">
        <v>26.3</v>
      </c>
      <c r="K5901" s="19" t="s">
        <v>124</v>
      </c>
      <c r="L5901" s="19" t="s">
        <v>493</v>
      </c>
      <c r="M5901" s="15" t="s">
        <v>2259</v>
      </c>
      <c r="N5901" s="15" t="s">
        <v>64</v>
      </c>
      <c r="O5901" s="15" t="s">
        <v>122</v>
      </c>
      <c r="P5901" s="20" t="s">
        <v>1723</v>
      </c>
      <c r="Q5901" s="15" t="s">
        <v>181</v>
      </c>
      <c r="R5901" s="4"/>
      <c r="S5901" s="4"/>
    </row>
    <row r="5902" spans="1:19" ht="21" customHeight="1" x14ac:dyDescent="0.25">
      <c r="A5902" s="14">
        <f>DATE(2012,12,31)-163</f>
        <v>41111</v>
      </c>
      <c r="B5902" s="15" t="s">
        <v>875</v>
      </c>
      <c r="C5902" s="15" t="s">
        <v>43</v>
      </c>
      <c r="D5902" s="16">
        <v>43</v>
      </c>
      <c r="E5902" s="17">
        <v>3441.09</v>
      </c>
      <c r="F5902" s="16">
        <v>0.03</v>
      </c>
      <c r="G5902" s="15" t="s">
        <v>58</v>
      </c>
      <c r="H5902" s="18">
        <v>431.95</v>
      </c>
      <c r="I5902" s="19">
        <v>80.97</v>
      </c>
      <c r="J5902" s="19">
        <v>30.06</v>
      </c>
      <c r="K5902" s="19" t="s">
        <v>124</v>
      </c>
      <c r="L5902" s="19" t="s">
        <v>160</v>
      </c>
      <c r="M5902" s="15" t="s">
        <v>2181</v>
      </c>
      <c r="N5902" s="15" t="s">
        <v>64</v>
      </c>
      <c r="O5902" s="15" t="s">
        <v>122</v>
      </c>
      <c r="P5902" s="20" t="s">
        <v>1878</v>
      </c>
      <c r="Q5902" s="15" t="s">
        <v>63</v>
      </c>
      <c r="R5902" s="4"/>
      <c r="S5902" s="4"/>
    </row>
    <row r="5903" spans="1:19" ht="21" customHeight="1" x14ac:dyDescent="0.25">
      <c r="A5903" s="14">
        <f>DATE(2012,12,31)-163</f>
        <v>41111</v>
      </c>
      <c r="B5903" s="15" t="s">
        <v>892</v>
      </c>
      <c r="C5903" s="15" t="s">
        <v>43</v>
      </c>
      <c r="D5903" s="16">
        <v>38</v>
      </c>
      <c r="E5903" s="17">
        <v>209.61</v>
      </c>
      <c r="F5903" s="16">
        <v>0.05</v>
      </c>
      <c r="G5903" s="15" t="s">
        <v>32</v>
      </c>
      <c r="H5903" s="18">
        <v>-96.29</v>
      </c>
      <c r="I5903" s="19">
        <v>5.28</v>
      </c>
      <c r="J5903" s="19">
        <v>5.66</v>
      </c>
      <c r="K5903" s="19" t="s">
        <v>124</v>
      </c>
      <c r="L5903" s="19" t="s">
        <v>160</v>
      </c>
      <c r="M5903" s="15" t="s">
        <v>2181</v>
      </c>
      <c r="N5903" s="15" t="s">
        <v>36</v>
      </c>
      <c r="O5903" s="15" t="s">
        <v>117</v>
      </c>
      <c r="P5903" s="20" t="s">
        <v>1545</v>
      </c>
      <c r="Q5903" s="15" t="s">
        <v>83</v>
      </c>
      <c r="R5903" s="4"/>
      <c r="S5903" s="4"/>
    </row>
    <row r="5904" spans="1:19" ht="21" customHeight="1" x14ac:dyDescent="0.25">
      <c r="A5904" s="14">
        <f>DATE(2012,12,31)-605</f>
        <v>40669</v>
      </c>
      <c r="B5904" s="15" t="s">
        <v>892</v>
      </c>
      <c r="C5904" s="15" t="s">
        <v>31</v>
      </c>
      <c r="D5904" s="16">
        <v>45</v>
      </c>
      <c r="E5904" s="17">
        <v>461.05</v>
      </c>
      <c r="F5904" s="16">
        <v>0.04</v>
      </c>
      <c r="G5904" s="15" t="s">
        <v>101</v>
      </c>
      <c r="H5904" s="18">
        <v>-38.39</v>
      </c>
      <c r="I5904" s="19">
        <v>9.65</v>
      </c>
      <c r="J5904" s="19">
        <v>6.22</v>
      </c>
      <c r="K5904" s="19" t="s">
        <v>124</v>
      </c>
      <c r="L5904" s="19" t="s">
        <v>164</v>
      </c>
      <c r="M5904" s="15" t="s">
        <v>2257</v>
      </c>
      <c r="N5904" s="15" t="s">
        <v>54</v>
      </c>
      <c r="O5904" s="15" t="s">
        <v>55</v>
      </c>
      <c r="P5904" s="20" t="s">
        <v>2153</v>
      </c>
      <c r="Q5904" s="15" t="s">
        <v>83</v>
      </c>
      <c r="R5904" s="4"/>
      <c r="S5904" s="4"/>
    </row>
    <row r="5905" spans="1:19" ht="21" customHeight="1" x14ac:dyDescent="0.25">
      <c r="A5905" s="14">
        <f>DATE(2012,12,31)-766</f>
        <v>40508</v>
      </c>
      <c r="B5905" s="15" t="s">
        <v>705</v>
      </c>
      <c r="C5905" s="15" t="s">
        <v>31</v>
      </c>
      <c r="D5905" s="16">
        <v>24</v>
      </c>
      <c r="E5905" s="17">
        <v>475.9</v>
      </c>
      <c r="F5905" s="16">
        <v>0.02</v>
      </c>
      <c r="G5905" s="15" t="s">
        <v>32</v>
      </c>
      <c r="H5905" s="18">
        <v>110.44</v>
      </c>
      <c r="I5905" s="19">
        <v>19.98</v>
      </c>
      <c r="J5905" s="19">
        <v>5.97</v>
      </c>
      <c r="K5905" s="19" t="s">
        <v>124</v>
      </c>
      <c r="L5905" s="19" t="s">
        <v>164</v>
      </c>
      <c r="M5905" s="15" t="s">
        <v>2257</v>
      </c>
      <c r="N5905" s="15" t="s">
        <v>36</v>
      </c>
      <c r="O5905" s="15" t="s">
        <v>117</v>
      </c>
      <c r="P5905" s="20" t="s">
        <v>490</v>
      </c>
      <c r="Q5905" s="15" t="s">
        <v>83</v>
      </c>
      <c r="R5905" s="4"/>
      <c r="S5905" s="4"/>
    </row>
    <row r="5906" spans="1:19" ht="21" customHeight="1" x14ac:dyDescent="0.25">
      <c r="A5906" s="14">
        <f>DATE(2012,12,31)-1402</f>
        <v>39872</v>
      </c>
      <c r="B5906" s="15" t="s">
        <v>1567</v>
      </c>
      <c r="C5906" s="15" t="s">
        <v>31</v>
      </c>
      <c r="D5906" s="16">
        <v>18</v>
      </c>
      <c r="E5906" s="17">
        <v>1979.47</v>
      </c>
      <c r="F5906" s="16">
        <v>0.1</v>
      </c>
      <c r="G5906" s="15" t="s">
        <v>32</v>
      </c>
      <c r="H5906" s="18">
        <v>690.26800000000003</v>
      </c>
      <c r="I5906" s="19">
        <v>120.98</v>
      </c>
      <c r="J5906" s="19">
        <v>9.07</v>
      </c>
      <c r="K5906" s="19" t="s">
        <v>44</v>
      </c>
      <c r="L5906" s="19" t="s">
        <v>80</v>
      </c>
      <c r="M5906" s="15" t="s">
        <v>2179</v>
      </c>
      <c r="N5906" s="15" t="s">
        <v>36</v>
      </c>
      <c r="O5906" s="15" t="s">
        <v>170</v>
      </c>
      <c r="P5906" s="20" t="s">
        <v>1347</v>
      </c>
      <c r="Q5906" s="15" t="s">
        <v>83</v>
      </c>
      <c r="R5906" s="4"/>
      <c r="S5906" s="4"/>
    </row>
    <row r="5907" spans="1:19" ht="21" customHeight="1" x14ac:dyDescent="0.25">
      <c r="A5907" s="14">
        <f>DATE(2012,12,31)-1402</f>
        <v>39872</v>
      </c>
      <c r="B5907" s="15" t="s">
        <v>942</v>
      </c>
      <c r="C5907" s="15" t="s">
        <v>31</v>
      </c>
      <c r="D5907" s="16">
        <v>23</v>
      </c>
      <c r="E5907" s="17">
        <v>187.8</v>
      </c>
      <c r="F5907" s="16">
        <v>0.08</v>
      </c>
      <c r="G5907" s="15" t="s">
        <v>101</v>
      </c>
      <c r="H5907" s="18">
        <v>-41.83</v>
      </c>
      <c r="I5907" s="19">
        <v>8.32</v>
      </c>
      <c r="J5907" s="19">
        <v>2.38</v>
      </c>
      <c r="K5907" s="19" t="s">
        <v>124</v>
      </c>
      <c r="L5907" s="19" t="s">
        <v>319</v>
      </c>
      <c r="M5907" s="15" t="s">
        <v>2239</v>
      </c>
      <c r="N5907" s="15" t="s">
        <v>64</v>
      </c>
      <c r="O5907" s="15" t="s">
        <v>72</v>
      </c>
      <c r="P5907" s="20" t="s">
        <v>1445</v>
      </c>
      <c r="Q5907" s="15" t="s">
        <v>49</v>
      </c>
      <c r="R5907" s="4"/>
      <c r="S5907" s="4"/>
    </row>
    <row r="5908" spans="1:19" ht="21" customHeight="1" x14ac:dyDescent="0.25">
      <c r="A5908" s="14">
        <f>DATE(2012,12,31)-1402</f>
        <v>39872</v>
      </c>
      <c r="B5908" s="15" t="s">
        <v>942</v>
      </c>
      <c r="C5908" s="15" t="s">
        <v>31</v>
      </c>
      <c r="D5908" s="16">
        <v>29</v>
      </c>
      <c r="E5908" s="17">
        <v>2823.0369999999998</v>
      </c>
      <c r="F5908" s="16">
        <v>0.1</v>
      </c>
      <c r="G5908" s="15" t="s">
        <v>32</v>
      </c>
      <c r="H5908" s="18">
        <v>372.40199999999999</v>
      </c>
      <c r="I5908" s="19">
        <v>125.99</v>
      </c>
      <c r="J5908" s="19">
        <v>4.2</v>
      </c>
      <c r="K5908" s="19" t="s">
        <v>124</v>
      </c>
      <c r="L5908" s="19" t="s">
        <v>319</v>
      </c>
      <c r="M5908" s="15" t="s">
        <v>2239</v>
      </c>
      <c r="N5908" s="15" t="s">
        <v>64</v>
      </c>
      <c r="O5908" s="15" t="s">
        <v>65</v>
      </c>
      <c r="P5908" s="20" t="s">
        <v>876</v>
      </c>
      <c r="Q5908" s="15" t="s">
        <v>83</v>
      </c>
      <c r="R5908" s="4"/>
      <c r="S5908" s="4"/>
    </row>
    <row r="5909" spans="1:19" ht="21" customHeight="1" x14ac:dyDescent="0.25">
      <c r="A5909" s="14">
        <f>DATE(2012,12,31)-589</f>
        <v>40685</v>
      </c>
      <c r="B5909" s="15" t="s">
        <v>942</v>
      </c>
      <c r="C5909" s="15" t="s">
        <v>51</v>
      </c>
      <c r="D5909" s="16">
        <v>22</v>
      </c>
      <c r="E5909" s="17">
        <v>846.59</v>
      </c>
      <c r="F5909" s="16">
        <v>0.08</v>
      </c>
      <c r="G5909" s="15" t="s">
        <v>32</v>
      </c>
      <c r="H5909" s="18">
        <v>-1.9499999999999886</v>
      </c>
      <c r="I5909" s="19">
        <v>40.89</v>
      </c>
      <c r="J5909" s="19">
        <v>18.98</v>
      </c>
      <c r="K5909" s="19" t="s">
        <v>44</v>
      </c>
      <c r="L5909" s="19" t="s">
        <v>52</v>
      </c>
      <c r="M5909" s="15" t="s">
        <v>2240</v>
      </c>
      <c r="N5909" s="15" t="s">
        <v>54</v>
      </c>
      <c r="O5909" s="15" t="s">
        <v>55</v>
      </c>
      <c r="P5909" s="20" t="s">
        <v>264</v>
      </c>
      <c r="Q5909" s="15" t="s">
        <v>83</v>
      </c>
      <c r="R5909" s="4"/>
      <c r="S5909" s="4"/>
    </row>
    <row r="5910" spans="1:19" ht="21" customHeight="1" x14ac:dyDescent="0.25">
      <c r="A5910" s="14">
        <f>DATE(2012,12,31)-721</f>
        <v>40553</v>
      </c>
      <c r="B5910" s="15" t="s">
        <v>88</v>
      </c>
      <c r="C5910" s="15" t="s">
        <v>85</v>
      </c>
      <c r="D5910" s="16">
        <v>8</v>
      </c>
      <c r="E5910" s="17">
        <v>27663.919999999998</v>
      </c>
      <c r="F5910" s="16">
        <v>0.05</v>
      </c>
      <c r="G5910" s="15" t="s">
        <v>32</v>
      </c>
      <c r="H5910" s="18">
        <v>-391.92</v>
      </c>
      <c r="I5910" s="19">
        <v>3499.99</v>
      </c>
      <c r="J5910" s="19">
        <v>24.49</v>
      </c>
      <c r="K5910" s="19" t="s">
        <v>44</v>
      </c>
      <c r="L5910" s="19" t="s">
        <v>52</v>
      </c>
      <c r="M5910" s="15" t="s">
        <v>2240</v>
      </c>
      <c r="N5910" s="15" t="s">
        <v>64</v>
      </c>
      <c r="O5910" s="15" t="s">
        <v>460</v>
      </c>
      <c r="P5910" s="20" t="s">
        <v>632</v>
      </c>
      <c r="Q5910" s="15" t="s">
        <v>39</v>
      </c>
      <c r="R5910" s="4"/>
      <c r="S5910" s="4"/>
    </row>
    <row r="5911" spans="1:19" ht="21" customHeight="1" x14ac:dyDescent="0.25">
      <c r="A5911" s="14">
        <f>DATE(2012,12,31)-312</f>
        <v>40962</v>
      </c>
      <c r="B5911" s="15" t="s">
        <v>1575</v>
      </c>
      <c r="C5911" s="15" t="s">
        <v>85</v>
      </c>
      <c r="D5911" s="16">
        <v>32</v>
      </c>
      <c r="E5911" s="17">
        <v>16313.51</v>
      </c>
      <c r="F5911" s="16">
        <v>0.04</v>
      </c>
      <c r="G5911" s="15" t="s">
        <v>58</v>
      </c>
      <c r="H5911" s="18">
        <v>4860.7299999999996</v>
      </c>
      <c r="I5911" s="19">
        <v>500.98</v>
      </c>
      <c r="J5911" s="19">
        <v>26</v>
      </c>
      <c r="K5911" s="19" t="s">
        <v>44</v>
      </c>
      <c r="L5911" s="19" t="s">
        <v>52</v>
      </c>
      <c r="M5911" s="15" t="s">
        <v>2240</v>
      </c>
      <c r="N5911" s="15" t="s">
        <v>54</v>
      </c>
      <c r="O5911" s="15" t="s">
        <v>252</v>
      </c>
      <c r="P5911" s="20" t="s">
        <v>1763</v>
      </c>
      <c r="Q5911" s="15" t="s">
        <v>181</v>
      </c>
      <c r="R5911" s="4"/>
      <c r="S5911" s="4"/>
    </row>
    <row r="5912" spans="1:19" ht="21" customHeight="1" x14ac:dyDescent="0.25">
      <c r="A5912" s="14">
        <f>DATE(2012,12,31)-312</f>
        <v>40962</v>
      </c>
      <c r="B5912" s="15" t="s">
        <v>1154</v>
      </c>
      <c r="C5912" s="15" t="s">
        <v>85</v>
      </c>
      <c r="D5912" s="16">
        <v>29</v>
      </c>
      <c r="E5912" s="17">
        <v>337.38</v>
      </c>
      <c r="F5912" s="16">
        <v>0.04</v>
      </c>
      <c r="G5912" s="15" t="s">
        <v>101</v>
      </c>
      <c r="H5912" s="18">
        <v>-5.45</v>
      </c>
      <c r="I5912" s="19">
        <v>11.58</v>
      </c>
      <c r="J5912" s="19">
        <v>6.97</v>
      </c>
      <c r="K5912" s="19" t="s">
        <v>44</v>
      </c>
      <c r="L5912" s="19" t="s">
        <v>52</v>
      </c>
      <c r="M5912" s="15" t="s">
        <v>2240</v>
      </c>
      <c r="N5912" s="15" t="s">
        <v>36</v>
      </c>
      <c r="O5912" s="15" t="s">
        <v>189</v>
      </c>
      <c r="P5912" s="20" t="s">
        <v>577</v>
      </c>
      <c r="Q5912" s="15" t="s">
        <v>83</v>
      </c>
      <c r="R5912" s="4"/>
      <c r="S5912" s="4"/>
    </row>
    <row r="5913" spans="1:19" ht="21" customHeight="1" x14ac:dyDescent="0.25">
      <c r="A5913" s="14">
        <f>DATE(2012,12,31)-695</f>
        <v>40579</v>
      </c>
      <c r="B5913" s="15" t="s">
        <v>1154</v>
      </c>
      <c r="C5913" s="15" t="s">
        <v>51</v>
      </c>
      <c r="D5913" s="16">
        <v>17</v>
      </c>
      <c r="E5913" s="17">
        <v>112.57</v>
      </c>
      <c r="F5913" s="16">
        <v>0.08</v>
      </c>
      <c r="G5913" s="15" t="s">
        <v>32</v>
      </c>
      <c r="H5913" s="18">
        <v>-28.53</v>
      </c>
      <c r="I5913" s="19">
        <v>6.48</v>
      </c>
      <c r="J5913" s="19">
        <v>5.14</v>
      </c>
      <c r="K5913" s="19" t="s">
        <v>44</v>
      </c>
      <c r="L5913" s="19" t="s">
        <v>80</v>
      </c>
      <c r="M5913" s="15" t="s">
        <v>2179</v>
      </c>
      <c r="N5913" s="15" t="s">
        <v>36</v>
      </c>
      <c r="O5913" s="15" t="s">
        <v>117</v>
      </c>
      <c r="P5913" s="20" t="s">
        <v>977</v>
      </c>
      <c r="Q5913" s="15" t="s">
        <v>83</v>
      </c>
      <c r="R5913" s="4"/>
      <c r="S5913" s="4"/>
    </row>
    <row r="5914" spans="1:19" ht="21" customHeight="1" x14ac:dyDescent="0.25">
      <c r="A5914" s="14">
        <f>DATE(2012,12,31)-695</f>
        <v>40579</v>
      </c>
      <c r="B5914" s="15" t="s">
        <v>1933</v>
      </c>
      <c r="C5914" s="15" t="s">
        <v>51</v>
      </c>
      <c r="D5914" s="16">
        <v>43</v>
      </c>
      <c r="E5914" s="17">
        <v>1562.69</v>
      </c>
      <c r="F5914" s="16">
        <v>0</v>
      </c>
      <c r="G5914" s="15" t="s">
        <v>32</v>
      </c>
      <c r="H5914" s="18">
        <v>287.74</v>
      </c>
      <c r="I5914" s="19">
        <v>34.76</v>
      </c>
      <c r="J5914" s="19">
        <v>8.2200000000000006</v>
      </c>
      <c r="K5914" s="19" t="s">
        <v>44</v>
      </c>
      <c r="L5914" s="19" t="s">
        <v>52</v>
      </c>
      <c r="M5914" s="15" t="s">
        <v>2240</v>
      </c>
      <c r="N5914" s="15" t="s">
        <v>36</v>
      </c>
      <c r="O5914" s="15" t="s">
        <v>37</v>
      </c>
      <c r="P5914" s="20" t="s">
        <v>302</v>
      </c>
      <c r="Q5914" s="15" t="s">
        <v>83</v>
      </c>
      <c r="R5914" s="4"/>
      <c r="S5914" s="4"/>
    </row>
    <row r="5915" spans="1:19" ht="21" customHeight="1" x14ac:dyDescent="0.25">
      <c r="A5915" s="14">
        <f>DATE(2012,12,31)-171</f>
        <v>41103</v>
      </c>
      <c r="B5915" s="15" t="s">
        <v>1933</v>
      </c>
      <c r="C5915" s="15" t="s">
        <v>43</v>
      </c>
      <c r="D5915" s="16">
        <v>46</v>
      </c>
      <c r="E5915" s="17">
        <v>2332.23</v>
      </c>
      <c r="F5915" s="16">
        <v>0.02</v>
      </c>
      <c r="G5915" s="15" t="s">
        <v>101</v>
      </c>
      <c r="H5915" s="18">
        <v>1085.93</v>
      </c>
      <c r="I5915" s="19">
        <v>48.04</v>
      </c>
      <c r="J5915" s="19">
        <v>7.23</v>
      </c>
      <c r="K5915" s="19" t="s">
        <v>44</v>
      </c>
      <c r="L5915" s="19" t="s">
        <v>52</v>
      </c>
      <c r="M5915" s="15" t="s">
        <v>2240</v>
      </c>
      <c r="N5915" s="15" t="s">
        <v>36</v>
      </c>
      <c r="O5915" s="15" t="s">
        <v>117</v>
      </c>
      <c r="P5915" s="20" t="s">
        <v>694</v>
      </c>
      <c r="Q5915" s="15" t="s">
        <v>83</v>
      </c>
      <c r="R5915" s="4"/>
      <c r="S5915" s="4"/>
    </row>
    <row r="5916" spans="1:19" ht="21" customHeight="1" x14ac:dyDescent="0.25">
      <c r="A5916" s="14">
        <f>DATE(2012,12,31)-385</f>
        <v>40889</v>
      </c>
      <c r="B5916" s="15" t="s">
        <v>167</v>
      </c>
      <c r="C5916" s="15" t="s">
        <v>85</v>
      </c>
      <c r="D5916" s="16">
        <v>22</v>
      </c>
      <c r="E5916" s="17">
        <v>364.69</v>
      </c>
      <c r="F5916" s="16">
        <v>0.06</v>
      </c>
      <c r="G5916" s="15" t="s">
        <v>101</v>
      </c>
      <c r="H5916" s="18">
        <v>-22.4</v>
      </c>
      <c r="I5916" s="19">
        <v>16.91</v>
      </c>
      <c r="J5916" s="19">
        <v>6.25</v>
      </c>
      <c r="K5916" s="19" t="s">
        <v>44</v>
      </c>
      <c r="L5916" s="19" t="s">
        <v>52</v>
      </c>
      <c r="M5916" s="15" t="s">
        <v>2240</v>
      </c>
      <c r="N5916" s="15" t="s">
        <v>36</v>
      </c>
      <c r="O5916" s="15" t="s">
        <v>37</v>
      </c>
      <c r="P5916" s="20" t="s">
        <v>891</v>
      </c>
      <c r="Q5916" s="15" t="s">
        <v>83</v>
      </c>
      <c r="R5916" s="4"/>
      <c r="S5916" s="4"/>
    </row>
    <row r="5917" spans="1:19" ht="21" customHeight="1" x14ac:dyDescent="0.25">
      <c r="A5917" s="14">
        <f>DATE(2012,12,31)-385</f>
        <v>40889</v>
      </c>
      <c r="B5917" s="15" t="s">
        <v>2280</v>
      </c>
      <c r="C5917" s="15" t="s">
        <v>85</v>
      </c>
      <c r="D5917" s="16">
        <v>16</v>
      </c>
      <c r="E5917" s="17">
        <v>86.3</v>
      </c>
      <c r="F5917" s="16">
        <v>0</v>
      </c>
      <c r="G5917" s="15" t="s">
        <v>32</v>
      </c>
      <c r="H5917" s="18">
        <v>-68.67</v>
      </c>
      <c r="I5917" s="19">
        <v>4.8899999999999997</v>
      </c>
      <c r="J5917" s="19">
        <v>4.93</v>
      </c>
      <c r="K5917" s="19" t="s">
        <v>44</v>
      </c>
      <c r="L5917" s="19" t="s">
        <v>52</v>
      </c>
      <c r="M5917" s="15" t="s">
        <v>2240</v>
      </c>
      <c r="N5917" s="15" t="s">
        <v>64</v>
      </c>
      <c r="O5917" s="15" t="s">
        <v>72</v>
      </c>
      <c r="P5917" s="20" t="s">
        <v>1586</v>
      </c>
      <c r="Q5917" s="15" t="s">
        <v>49</v>
      </c>
      <c r="R5917" s="4"/>
      <c r="S5917" s="4"/>
    </row>
    <row r="5918" spans="1:19" ht="21" customHeight="1" x14ac:dyDescent="0.25">
      <c r="A5918" s="14">
        <f>DATE(2012,12,31)-437</f>
        <v>40837</v>
      </c>
      <c r="B5918" s="15" t="s">
        <v>2280</v>
      </c>
      <c r="C5918" s="15" t="s">
        <v>43</v>
      </c>
      <c r="D5918" s="16">
        <v>25</v>
      </c>
      <c r="E5918" s="17">
        <v>6481.0480000000007</v>
      </c>
      <c r="F5918" s="16">
        <v>0.05</v>
      </c>
      <c r="G5918" s="15" t="s">
        <v>58</v>
      </c>
      <c r="H5918" s="18">
        <v>1760.11</v>
      </c>
      <c r="I5918" s="19">
        <v>320.64</v>
      </c>
      <c r="J5918" s="19">
        <v>29.2</v>
      </c>
      <c r="K5918" s="19" t="s">
        <v>44</v>
      </c>
      <c r="L5918" s="19" t="s">
        <v>45</v>
      </c>
      <c r="M5918" s="15" t="s">
        <v>2271</v>
      </c>
      <c r="N5918" s="15" t="s">
        <v>54</v>
      </c>
      <c r="O5918" s="15" t="s">
        <v>61</v>
      </c>
      <c r="P5918" s="20" t="s">
        <v>480</v>
      </c>
      <c r="Q5918" s="15" t="s">
        <v>63</v>
      </c>
      <c r="R5918" s="4"/>
      <c r="S5918" s="4"/>
    </row>
    <row r="5919" spans="1:19" ht="21" customHeight="1" x14ac:dyDescent="0.25">
      <c r="A5919" s="14">
        <f>DATE(2012,12,31)-1426</f>
        <v>39848</v>
      </c>
      <c r="B5919" s="15" t="s">
        <v>2127</v>
      </c>
      <c r="C5919" s="15" t="s">
        <v>31</v>
      </c>
      <c r="D5919" s="16">
        <v>33</v>
      </c>
      <c r="E5919" s="17">
        <v>4610.3500000000004</v>
      </c>
      <c r="F5919" s="16">
        <v>0.08</v>
      </c>
      <c r="G5919" s="15" t="s">
        <v>58</v>
      </c>
      <c r="H5919" s="18">
        <v>751.58</v>
      </c>
      <c r="I5919" s="19">
        <v>145.44999999999999</v>
      </c>
      <c r="J5919" s="19">
        <v>17.850000000000001</v>
      </c>
      <c r="K5919" s="19" t="s">
        <v>44</v>
      </c>
      <c r="L5919" s="19" t="s">
        <v>52</v>
      </c>
      <c r="M5919" s="15" t="s">
        <v>2240</v>
      </c>
      <c r="N5919" s="15" t="s">
        <v>64</v>
      </c>
      <c r="O5919" s="15" t="s">
        <v>122</v>
      </c>
      <c r="P5919" s="20" t="s">
        <v>1280</v>
      </c>
      <c r="Q5919" s="15" t="s">
        <v>181</v>
      </c>
      <c r="R5919" s="4"/>
      <c r="S5919" s="4"/>
    </row>
    <row r="5920" spans="1:19" ht="21" customHeight="1" x14ac:dyDescent="0.25">
      <c r="A5920" s="14">
        <f>DATE(2012,12,31)-1426</f>
        <v>39848</v>
      </c>
      <c r="B5920" s="15" t="s">
        <v>167</v>
      </c>
      <c r="C5920" s="15" t="s">
        <v>31</v>
      </c>
      <c r="D5920" s="16">
        <v>18</v>
      </c>
      <c r="E5920" s="17">
        <v>610.07000000000005</v>
      </c>
      <c r="F5920" s="16">
        <v>7.0000000000000007E-2</v>
      </c>
      <c r="G5920" s="15" t="s">
        <v>58</v>
      </c>
      <c r="H5920" s="18">
        <v>-157.56</v>
      </c>
      <c r="I5920" s="19">
        <v>33.94</v>
      </c>
      <c r="J5920" s="19">
        <v>19.190000000000001</v>
      </c>
      <c r="K5920" s="19" t="s">
        <v>44</v>
      </c>
      <c r="L5920" s="19" t="s">
        <v>52</v>
      </c>
      <c r="M5920" s="15" t="s">
        <v>2240</v>
      </c>
      <c r="N5920" s="15" t="s">
        <v>54</v>
      </c>
      <c r="O5920" s="15" t="s">
        <v>252</v>
      </c>
      <c r="P5920" s="20" t="s">
        <v>299</v>
      </c>
      <c r="Q5920" s="15" t="s">
        <v>181</v>
      </c>
      <c r="R5920" s="4"/>
      <c r="S5920" s="4"/>
    </row>
    <row r="5921" spans="1:19" ht="21" customHeight="1" x14ac:dyDescent="0.25">
      <c r="A5921" s="14">
        <f>DATE(2012,12,31)-1426</f>
        <v>39848</v>
      </c>
      <c r="B5921" s="15" t="s">
        <v>167</v>
      </c>
      <c r="C5921" s="15" t="s">
        <v>31</v>
      </c>
      <c r="D5921" s="16">
        <v>14</v>
      </c>
      <c r="E5921" s="17">
        <v>181.49</v>
      </c>
      <c r="F5921" s="16">
        <v>0.1</v>
      </c>
      <c r="G5921" s="15" t="s">
        <v>32</v>
      </c>
      <c r="H5921" s="18">
        <v>-29.54</v>
      </c>
      <c r="I5921" s="19">
        <v>13.43</v>
      </c>
      <c r="J5921" s="19">
        <v>5.5</v>
      </c>
      <c r="K5921" s="19" t="s">
        <v>44</v>
      </c>
      <c r="L5921" s="19" t="s">
        <v>52</v>
      </c>
      <c r="M5921" s="15" t="s">
        <v>2240</v>
      </c>
      <c r="N5921" s="15" t="s">
        <v>36</v>
      </c>
      <c r="O5921" s="15" t="s">
        <v>37</v>
      </c>
      <c r="P5921" s="20" t="s">
        <v>2045</v>
      </c>
      <c r="Q5921" s="15" t="s">
        <v>83</v>
      </c>
      <c r="R5921" s="4"/>
      <c r="S5921" s="4"/>
    </row>
    <row r="5922" spans="1:19" ht="21" customHeight="1" x14ac:dyDescent="0.25">
      <c r="A5922" s="14">
        <f>DATE(2012,12,31)-379</f>
        <v>40895</v>
      </c>
      <c r="B5922" s="15" t="s">
        <v>167</v>
      </c>
      <c r="C5922" s="15" t="s">
        <v>31</v>
      </c>
      <c r="D5922" s="16">
        <v>36</v>
      </c>
      <c r="E5922" s="17">
        <v>1773.86</v>
      </c>
      <c r="F5922" s="16">
        <v>0.06</v>
      </c>
      <c r="G5922" s="15" t="s">
        <v>58</v>
      </c>
      <c r="H5922" s="18">
        <v>133.30000000000001</v>
      </c>
      <c r="I5922" s="19">
        <v>50.98</v>
      </c>
      <c r="J5922" s="19">
        <v>14.19</v>
      </c>
      <c r="K5922" s="19" t="s">
        <v>44</v>
      </c>
      <c r="L5922" s="19" t="s">
        <v>52</v>
      </c>
      <c r="M5922" s="15" t="s">
        <v>2240</v>
      </c>
      <c r="N5922" s="15" t="s">
        <v>54</v>
      </c>
      <c r="O5922" s="15" t="s">
        <v>252</v>
      </c>
      <c r="P5922" s="20" t="s">
        <v>1109</v>
      </c>
      <c r="Q5922" s="15" t="s">
        <v>181</v>
      </c>
      <c r="R5922" s="4"/>
      <c r="S5922" s="4"/>
    </row>
    <row r="5923" spans="1:19" ht="21" customHeight="1" x14ac:dyDescent="0.25">
      <c r="A5923" s="14">
        <f>DATE(2012,12,31)-379</f>
        <v>40895</v>
      </c>
      <c r="B5923" s="15" t="s">
        <v>696</v>
      </c>
      <c r="C5923" s="15" t="s">
        <v>31</v>
      </c>
      <c r="D5923" s="16">
        <v>35</v>
      </c>
      <c r="E5923" s="17">
        <v>543.22</v>
      </c>
      <c r="F5923" s="16">
        <v>0</v>
      </c>
      <c r="G5923" s="15" t="s">
        <v>32</v>
      </c>
      <c r="H5923" s="18">
        <v>68.44</v>
      </c>
      <c r="I5923" s="19">
        <v>14.58</v>
      </c>
      <c r="J5923" s="19">
        <v>7.4</v>
      </c>
      <c r="K5923" s="19" t="s">
        <v>44</v>
      </c>
      <c r="L5923" s="19" t="s">
        <v>52</v>
      </c>
      <c r="M5923" s="15" t="s">
        <v>2240</v>
      </c>
      <c r="N5923" s="15" t="s">
        <v>54</v>
      </c>
      <c r="O5923" s="15" t="s">
        <v>55</v>
      </c>
      <c r="P5923" s="20" t="s">
        <v>1117</v>
      </c>
      <c r="Q5923" s="15" t="s">
        <v>83</v>
      </c>
      <c r="R5923" s="4"/>
      <c r="S5923" s="4"/>
    </row>
    <row r="5924" spans="1:19" ht="21" customHeight="1" x14ac:dyDescent="0.25">
      <c r="A5924" s="14">
        <f>DATE(2012,12,31)-379</f>
        <v>40895</v>
      </c>
      <c r="B5924" s="15" t="s">
        <v>696</v>
      </c>
      <c r="C5924" s="15" t="s">
        <v>31</v>
      </c>
      <c r="D5924" s="16">
        <v>18</v>
      </c>
      <c r="E5924" s="17">
        <v>813.9</v>
      </c>
      <c r="F5924" s="16">
        <v>0.06</v>
      </c>
      <c r="G5924" s="15" t="s">
        <v>32</v>
      </c>
      <c r="H5924" s="18">
        <v>256.66000000000003</v>
      </c>
      <c r="I5924" s="19">
        <v>45.98</v>
      </c>
      <c r="J5924" s="19">
        <v>4.8</v>
      </c>
      <c r="K5924" s="19" t="s">
        <v>69</v>
      </c>
      <c r="L5924" s="19" t="s">
        <v>70</v>
      </c>
      <c r="M5924" s="15" t="s">
        <v>2230</v>
      </c>
      <c r="N5924" s="15" t="s">
        <v>54</v>
      </c>
      <c r="O5924" s="15" t="s">
        <v>55</v>
      </c>
      <c r="P5924" s="20" t="s">
        <v>352</v>
      </c>
      <c r="Q5924" s="15" t="s">
        <v>79</v>
      </c>
      <c r="R5924" s="4"/>
      <c r="S5924" s="4"/>
    </row>
    <row r="5925" spans="1:19" ht="21" customHeight="1" x14ac:dyDescent="0.25">
      <c r="A5925" s="14">
        <f>DATE(2012,12,31)-1194</f>
        <v>40080</v>
      </c>
      <c r="B5925" s="15" t="s">
        <v>696</v>
      </c>
      <c r="C5925" s="15" t="s">
        <v>85</v>
      </c>
      <c r="D5925" s="16">
        <v>45</v>
      </c>
      <c r="E5925" s="17">
        <v>338.85</v>
      </c>
      <c r="F5925" s="16">
        <v>0.04</v>
      </c>
      <c r="G5925" s="15" t="s">
        <v>32</v>
      </c>
      <c r="H5925" s="18">
        <v>-170.17699999999999</v>
      </c>
      <c r="I5925" s="19">
        <v>7.3</v>
      </c>
      <c r="J5925" s="19">
        <v>7.72</v>
      </c>
      <c r="K5925" s="19" t="s">
        <v>69</v>
      </c>
      <c r="L5925" s="19" t="s">
        <v>70</v>
      </c>
      <c r="M5925" s="15" t="s">
        <v>2230</v>
      </c>
      <c r="N5925" s="15" t="s">
        <v>36</v>
      </c>
      <c r="O5925" s="15" t="s">
        <v>170</v>
      </c>
      <c r="P5925" s="20" t="s">
        <v>1296</v>
      </c>
      <c r="Q5925" s="15" t="s">
        <v>83</v>
      </c>
      <c r="R5925" s="4"/>
      <c r="S5925" s="4"/>
    </row>
    <row r="5926" spans="1:19" ht="21" customHeight="1" x14ac:dyDescent="0.25">
      <c r="A5926" s="14">
        <f>DATE(2012,12,31)-1194</f>
        <v>40080</v>
      </c>
      <c r="B5926" s="15" t="s">
        <v>1450</v>
      </c>
      <c r="C5926" s="15" t="s">
        <v>85</v>
      </c>
      <c r="D5926" s="16">
        <v>11</v>
      </c>
      <c r="E5926" s="17">
        <v>43.25</v>
      </c>
      <c r="F5926" s="16">
        <v>0.06</v>
      </c>
      <c r="G5926" s="15" t="s">
        <v>32</v>
      </c>
      <c r="H5926" s="18">
        <v>-9.68</v>
      </c>
      <c r="I5926" s="19">
        <v>3.95</v>
      </c>
      <c r="J5926" s="19">
        <v>2</v>
      </c>
      <c r="K5926" s="19" t="s">
        <v>33</v>
      </c>
      <c r="L5926" s="19" t="s">
        <v>145</v>
      </c>
      <c r="M5926" s="15" t="s">
        <v>2248</v>
      </c>
      <c r="N5926" s="15" t="s">
        <v>36</v>
      </c>
      <c r="O5926" s="15" t="s">
        <v>105</v>
      </c>
      <c r="P5926" s="20" t="s">
        <v>274</v>
      </c>
      <c r="Q5926" s="15" t="s">
        <v>79</v>
      </c>
      <c r="R5926" s="4"/>
      <c r="S5926" s="4"/>
    </row>
    <row r="5927" spans="1:19" ht="21" customHeight="1" x14ac:dyDescent="0.25">
      <c r="A5927" s="14">
        <f>DATE(2012,12,31)-108</f>
        <v>41166</v>
      </c>
      <c r="B5927" s="15" t="s">
        <v>1450</v>
      </c>
      <c r="C5927" s="15" t="s">
        <v>85</v>
      </c>
      <c r="D5927" s="16">
        <v>32</v>
      </c>
      <c r="E5927" s="17">
        <v>94.55</v>
      </c>
      <c r="F5927" s="16">
        <v>0.01</v>
      </c>
      <c r="G5927" s="15" t="s">
        <v>32</v>
      </c>
      <c r="H5927" s="18">
        <v>6.7404999999999999</v>
      </c>
      <c r="I5927" s="19">
        <v>2.88</v>
      </c>
      <c r="J5927" s="19">
        <v>1.49</v>
      </c>
      <c r="K5927" s="19" t="s">
        <v>44</v>
      </c>
      <c r="L5927" s="19" t="s">
        <v>89</v>
      </c>
      <c r="M5927" s="15" t="s">
        <v>2278</v>
      </c>
      <c r="N5927" s="15" t="s">
        <v>36</v>
      </c>
      <c r="O5927" s="15" t="s">
        <v>170</v>
      </c>
      <c r="P5927" s="20" t="s">
        <v>329</v>
      </c>
      <c r="Q5927" s="15" t="s">
        <v>83</v>
      </c>
      <c r="R5927" s="4"/>
      <c r="S5927" s="4"/>
    </row>
    <row r="5928" spans="1:19" ht="21" customHeight="1" x14ac:dyDescent="0.25">
      <c r="A5928" s="14">
        <f>DATE(2012,12,31)-721</f>
        <v>40553</v>
      </c>
      <c r="B5928" s="15" t="s">
        <v>1585</v>
      </c>
      <c r="C5928" s="15" t="s">
        <v>31</v>
      </c>
      <c r="D5928" s="16">
        <v>36</v>
      </c>
      <c r="E5928" s="17">
        <v>188.34</v>
      </c>
      <c r="F5928" s="16">
        <v>0.04</v>
      </c>
      <c r="G5928" s="15" t="s">
        <v>32</v>
      </c>
      <c r="H5928" s="18">
        <v>-110.1585</v>
      </c>
      <c r="I5928" s="19">
        <v>5.18</v>
      </c>
      <c r="J5928" s="19">
        <v>5.74</v>
      </c>
      <c r="K5928" s="19" t="s">
        <v>44</v>
      </c>
      <c r="L5928" s="19" t="s">
        <v>89</v>
      </c>
      <c r="M5928" s="15" t="s">
        <v>2278</v>
      </c>
      <c r="N5928" s="15" t="s">
        <v>36</v>
      </c>
      <c r="O5928" s="15" t="s">
        <v>170</v>
      </c>
      <c r="P5928" s="20" t="s">
        <v>806</v>
      </c>
      <c r="Q5928" s="15" t="s">
        <v>83</v>
      </c>
      <c r="R5928" s="4"/>
      <c r="S5928" s="4"/>
    </row>
    <row r="5929" spans="1:19" ht="21" customHeight="1" x14ac:dyDescent="0.25">
      <c r="A5929" s="14">
        <f>DATE(2012,12,31)-721</f>
        <v>40553</v>
      </c>
      <c r="B5929" s="15" t="s">
        <v>1354</v>
      </c>
      <c r="C5929" s="15" t="s">
        <v>31</v>
      </c>
      <c r="D5929" s="16">
        <v>3</v>
      </c>
      <c r="E5929" s="17">
        <v>32.49</v>
      </c>
      <c r="F5929" s="16">
        <v>0.08</v>
      </c>
      <c r="G5929" s="15" t="s">
        <v>32</v>
      </c>
      <c r="H5929" s="18">
        <v>-5.05</v>
      </c>
      <c r="I5929" s="19">
        <v>10.94</v>
      </c>
      <c r="J5929" s="19">
        <v>1.39</v>
      </c>
      <c r="K5929" s="19" t="s">
        <v>33</v>
      </c>
      <c r="L5929" s="19" t="s">
        <v>93</v>
      </c>
      <c r="M5929" s="15" t="s">
        <v>94</v>
      </c>
      <c r="N5929" s="15" t="s">
        <v>36</v>
      </c>
      <c r="O5929" s="15" t="s">
        <v>189</v>
      </c>
      <c r="P5929" s="20" t="s">
        <v>427</v>
      </c>
      <c r="Q5929" s="15" t="s">
        <v>83</v>
      </c>
      <c r="R5929" s="4"/>
      <c r="S5929" s="4"/>
    </row>
    <row r="5930" spans="1:19" ht="21" customHeight="1" x14ac:dyDescent="0.25">
      <c r="A5930" s="14">
        <f>DATE(2012,12,31)-721</f>
        <v>40553</v>
      </c>
      <c r="B5930" s="15" t="s">
        <v>1354</v>
      </c>
      <c r="C5930" s="15" t="s">
        <v>31</v>
      </c>
      <c r="D5930" s="16">
        <v>26</v>
      </c>
      <c r="E5930" s="17">
        <v>1493.8579999999999</v>
      </c>
      <c r="F5930" s="16">
        <v>0.02</v>
      </c>
      <c r="G5930" s="15" t="s">
        <v>32</v>
      </c>
      <c r="H5930" s="18">
        <v>183.24</v>
      </c>
      <c r="I5930" s="19">
        <v>65.989999999999995</v>
      </c>
      <c r="J5930" s="19">
        <v>8.8000000000000007</v>
      </c>
      <c r="K5930" s="19" t="s">
        <v>124</v>
      </c>
      <c r="L5930" s="19" t="s">
        <v>164</v>
      </c>
      <c r="M5930" s="15" t="s">
        <v>2257</v>
      </c>
      <c r="N5930" s="15" t="s">
        <v>64</v>
      </c>
      <c r="O5930" s="15" t="s">
        <v>65</v>
      </c>
      <c r="P5930" s="20" t="s">
        <v>2110</v>
      </c>
      <c r="Q5930" s="15" t="s">
        <v>83</v>
      </c>
      <c r="R5930" s="4"/>
      <c r="S5930" s="4"/>
    </row>
    <row r="5931" spans="1:19" ht="21" customHeight="1" x14ac:dyDescent="0.25">
      <c r="A5931" s="14">
        <f>DATE(2012,12,31)-379</f>
        <v>40895</v>
      </c>
      <c r="B5931" s="15" t="s">
        <v>1354</v>
      </c>
      <c r="C5931" s="15" t="s">
        <v>85</v>
      </c>
      <c r="D5931" s="16">
        <v>15</v>
      </c>
      <c r="E5931" s="17">
        <v>76.42</v>
      </c>
      <c r="F5931" s="16">
        <v>0.03</v>
      </c>
      <c r="G5931" s="15" t="s">
        <v>32</v>
      </c>
      <c r="H5931" s="18">
        <v>-3.95</v>
      </c>
      <c r="I5931" s="19">
        <v>4.76</v>
      </c>
      <c r="J5931" s="19">
        <v>3.01</v>
      </c>
      <c r="K5931" s="19" t="s">
        <v>124</v>
      </c>
      <c r="L5931" s="19" t="s">
        <v>160</v>
      </c>
      <c r="M5931" s="15" t="s">
        <v>2281</v>
      </c>
      <c r="N5931" s="15" t="s">
        <v>36</v>
      </c>
      <c r="O5931" s="15" t="s">
        <v>117</v>
      </c>
      <c r="P5931" s="20" t="s">
        <v>2041</v>
      </c>
      <c r="Q5931" s="15" t="s">
        <v>79</v>
      </c>
      <c r="R5931" s="4"/>
      <c r="S5931" s="4"/>
    </row>
    <row r="5932" spans="1:19" ht="21" customHeight="1" x14ac:dyDescent="0.25">
      <c r="A5932" s="14">
        <f>DATE(2012,12,31)-386</f>
        <v>40888</v>
      </c>
      <c r="B5932" s="15" t="s">
        <v>322</v>
      </c>
      <c r="C5932" s="15" t="s">
        <v>85</v>
      </c>
      <c r="D5932" s="16">
        <v>38</v>
      </c>
      <c r="E5932" s="17">
        <v>5526.16</v>
      </c>
      <c r="F5932" s="16">
        <v>0.03</v>
      </c>
      <c r="G5932" s="15" t="s">
        <v>32</v>
      </c>
      <c r="H5932" s="18">
        <v>1263.98</v>
      </c>
      <c r="I5932" s="19">
        <v>140.81</v>
      </c>
      <c r="J5932" s="19">
        <v>24.49</v>
      </c>
      <c r="K5932" s="19" t="s">
        <v>33</v>
      </c>
      <c r="L5932" s="19" t="s">
        <v>59</v>
      </c>
      <c r="M5932" s="15" t="s">
        <v>2269</v>
      </c>
      <c r="N5932" s="15" t="s">
        <v>54</v>
      </c>
      <c r="O5932" s="15" t="s">
        <v>252</v>
      </c>
      <c r="P5932" s="20" t="s">
        <v>1331</v>
      </c>
      <c r="Q5932" s="15" t="s">
        <v>39</v>
      </c>
      <c r="R5932" s="4"/>
      <c r="S5932" s="4"/>
    </row>
    <row r="5933" spans="1:19" ht="21" customHeight="1" x14ac:dyDescent="0.25">
      <c r="A5933" s="14">
        <f>DATE(2012,12,31)-386</f>
        <v>40888</v>
      </c>
      <c r="B5933" s="15" t="s">
        <v>1454</v>
      </c>
      <c r="C5933" s="15" t="s">
        <v>85</v>
      </c>
      <c r="D5933" s="16">
        <v>36</v>
      </c>
      <c r="E5933" s="17">
        <v>236.89</v>
      </c>
      <c r="F5933" s="16">
        <v>0.04</v>
      </c>
      <c r="G5933" s="15" t="s">
        <v>32</v>
      </c>
      <c r="H5933" s="18">
        <v>-86.3</v>
      </c>
      <c r="I5933" s="19">
        <v>6.48</v>
      </c>
      <c r="J5933" s="19">
        <v>6.22</v>
      </c>
      <c r="K5933" s="19" t="s">
        <v>44</v>
      </c>
      <c r="L5933" s="19" t="s">
        <v>120</v>
      </c>
      <c r="M5933" s="15" t="s">
        <v>2262</v>
      </c>
      <c r="N5933" s="15" t="s">
        <v>36</v>
      </c>
      <c r="O5933" s="15" t="s">
        <v>117</v>
      </c>
      <c r="P5933" s="20" t="s">
        <v>1392</v>
      </c>
      <c r="Q5933" s="15" t="s">
        <v>83</v>
      </c>
      <c r="R5933" s="4"/>
      <c r="S5933" s="4"/>
    </row>
    <row r="5934" spans="1:19" ht="21" customHeight="1" x14ac:dyDescent="0.25">
      <c r="A5934" s="14">
        <f>DATE(2012,12,31)-386</f>
        <v>40888</v>
      </c>
      <c r="B5934" s="15" t="s">
        <v>1454</v>
      </c>
      <c r="C5934" s="15" t="s">
        <v>85</v>
      </c>
      <c r="D5934" s="16">
        <v>33</v>
      </c>
      <c r="E5934" s="17">
        <v>68.42</v>
      </c>
      <c r="F5934" s="16">
        <v>0.05</v>
      </c>
      <c r="G5934" s="15" t="s">
        <v>32</v>
      </c>
      <c r="H5934" s="18">
        <v>-57.97</v>
      </c>
      <c r="I5934" s="19">
        <v>2.08</v>
      </c>
      <c r="J5934" s="19">
        <v>2.56</v>
      </c>
      <c r="K5934" s="19" t="s">
        <v>44</v>
      </c>
      <c r="L5934" s="19" t="s">
        <v>52</v>
      </c>
      <c r="M5934" s="15" t="s">
        <v>2240</v>
      </c>
      <c r="N5934" s="15" t="s">
        <v>36</v>
      </c>
      <c r="O5934" s="15" t="s">
        <v>47</v>
      </c>
      <c r="P5934" s="20" t="s">
        <v>1323</v>
      </c>
      <c r="Q5934" s="15" t="s">
        <v>49</v>
      </c>
      <c r="R5934" s="4"/>
      <c r="S5934" s="4"/>
    </row>
    <row r="5935" spans="1:19" ht="21" customHeight="1" x14ac:dyDescent="0.25">
      <c r="A5935" s="14">
        <f>DATE(2012,12,31)-893</f>
        <v>40381</v>
      </c>
      <c r="B5935" s="15" t="s">
        <v>1454</v>
      </c>
      <c r="C5935" s="15" t="s">
        <v>51</v>
      </c>
      <c r="D5935" s="16">
        <v>18</v>
      </c>
      <c r="E5935" s="17">
        <v>50.15</v>
      </c>
      <c r="F5935" s="16">
        <v>0.09</v>
      </c>
      <c r="G5935" s="15" t="s">
        <v>32</v>
      </c>
      <c r="H5935" s="18">
        <v>-2.39</v>
      </c>
      <c r="I5935" s="19">
        <v>2.78</v>
      </c>
      <c r="J5935" s="19">
        <v>0.97</v>
      </c>
      <c r="K5935" s="19" t="s">
        <v>33</v>
      </c>
      <c r="L5935" s="19" t="s">
        <v>59</v>
      </c>
      <c r="M5935" s="15" t="s">
        <v>2269</v>
      </c>
      <c r="N5935" s="15" t="s">
        <v>36</v>
      </c>
      <c r="O5935" s="15" t="s">
        <v>77</v>
      </c>
      <c r="P5935" s="20" t="s">
        <v>48</v>
      </c>
      <c r="Q5935" s="15" t="s">
        <v>79</v>
      </c>
      <c r="R5935" s="4"/>
      <c r="S5935" s="4"/>
    </row>
    <row r="5936" spans="1:19" ht="21" customHeight="1" x14ac:dyDescent="0.25">
      <c r="A5936" s="14">
        <f>DATE(2012,12,31)-738</f>
        <v>40536</v>
      </c>
      <c r="B5936" s="15" t="s">
        <v>867</v>
      </c>
      <c r="C5936" s="15" t="s">
        <v>43</v>
      </c>
      <c r="D5936" s="16">
        <v>16</v>
      </c>
      <c r="E5936" s="17">
        <v>2744.3609999999999</v>
      </c>
      <c r="F5936" s="16">
        <v>0.01</v>
      </c>
      <c r="G5936" s="15" t="s">
        <v>32</v>
      </c>
      <c r="H5936" s="18">
        <v>201.03300000000002</v>
      </c>
      <c r="I5936" s="19">
        <v>195.99</v>
      </c>
      <c r="J5936" s="19">
        <v>8.99</v>
      </c>
      <c r="K5936" s="19" t="s">
        <v>33</v>
      </c>
      <c r="L5936" s="19" t="s">
        <v>145</v>
      </c>
      <c r="M5936" s="15" t="s">
        <v>2248</v>
      </c>
      <c r="N5936" s="15" t="s">
        <v>64</v>
      </c>
      <c r="O5936" s="15" t="s">
        <v>65</v>
      </c>
      <c r="P5936" s="20" t="s">
        <v>1430</v>
      </c>
      <c r="Q5936" s="15" t="s">
        <v>83</v>
      </c>
      <c r="R5936" s="4"/>
      <c r="S5936" s="4"/>
    </row>
    <row r="5937" spans="1:19" ht="21" customHeight="1" x14ac:dyDescent="0.25">
      <c r="A5937" s="14">
        <f>DATE(2012,12,31)-317</f>
        <v>40957</v>
      </c>
      <c r="B5937" s="15" t="s">
        <v>286</v>
      </c>
      <c r="C5937" s="15" t="s">
        <v>85</v>
      </c>
      <c r="D5937" s="16">
        <v>21</v>
      </c>
      <c r="E5937" s="17">
        <v>673.92</v>
      </c>
      <c r="F5937" s="16">
        <v>0.01</v>
      </c>
      <c r="G5937" s="15" t="s">
        <v>32</v>
      </c>
      <c r="H5937" s="18">
        <v>224.71</v>
      </c>
      <c r="I5937" s="19">
        <v>31.78</v>
      </c>
      <c r="J5937" s="19">
        <v>1.99</v>
      </c>
      <c r="K5937" s="19" t="s">
        <v>44</v>
      </c>
      <c r="L5937" s="19" t="s">
        <v>89</v>
      </c>
      <c r="M5937" s="15" t="s">
        <v>2278</v>
      </c>
      <c r="N5937" s="15" t="s">
        <v>64</v>
      </c>
      <c r="O5937" s="15" t="s">
        <v>72</v>
      </c>
      <c r="P5937" s="20" t="s">
        <v>387</v>
      </c>
      <c r="Q5937" s="15" t="s">
        <v>49</v>
      </c>
      <c r="R5937" s="4"/>
      <c r="S5937" s="4"/>
    </row>
    <row r="5938" spans="1:19" ht="21" customHeight="1" x14ac:dyDescent="0.25">
      <c r="A5938" s="14">
        <f>DATE(2012,12,31)-317</f>
        <v>40957</v>
      </c>
      <c r="B5938" s="15" t="s">
        <v>394</v>
      </c>
      <c r="C5938" s="15" t="s">
        <v>85</v>
      </c>
      <c r="D5938" s="16">
        <v>19</v>
      </c>
      <c r="E5938" s="17">
        <v>540.55999999999995</v>
      </c>
      <c r="F5938" s="16">
        <v>0.02</v>
      </c>
      <c r="G5938" s="15" t="s">
        <v>32</v>
      </c>
      <c r="H5938" s="18">
        <v>-93.46</v>
      </c>
      <c r="I5938" s="19">
        <v>28.28</v>
      </c>
      <c r="J5938" s="19">
        <v>13.99</v>
      </c>
      <c r="K5938" s="19" t="s">
        <v>124</v>
      </c>
      <c r="L5938" s="19" t="s">
        <v>493</v>
      </c>
      <c r="M5938" s="15" t="s">
        <v>2259</v>
      </c>
      <c r="N5938" s="15" t="s">
        <v>36</v>
      </c>
      <c r="O5938" s="15" t="s">
        <v>37</v>
      </c>
      <c r="P5938" s="20" t="s">
        <v>421</v>
      </c>
      <c r="Q5938" s="15" t="s">
        <v>57</v>
      </c>
      <c r="R5938" s="4"/>
      <c r="S5938" s="4"/>
    </row>
    <row r="5939" spans="1:19" ht="21" customHeight="1" x14ac:dyDescent="0.25">
      <c r="A5939" s="14">
        <f>DATE(2012,12,31)-1145</f>
        <v>40129</v>
      </c>
      <c r="B5939" s="15" t="s">
        <v>394</v>
      </c>
      <c r="C5939" s="15" t="s">
        <v>85</v>
      </c>
      <c r="D5939" s="16">
        <v>10</v>
      </c>
      <c r="E5939" s="17">
        <v>670.03</v>
      </c>
      <c r="F5939" s="16">
        <v>0.01</v>
      </c>
      <c r="G5939" s="15" t="s">
        <v>101</v>
      </c>
      <c r="H5939" s="18">
        <v>-326.47000000000003</v>
      </c>
      <c r="I5939" s="19">
        <v>64.650000000000006</v>
      </c>
      <c r="J5939" s="19">
        <v>35</v>
      </c>
      <c r="K5939" s="19" t="s">
        <v>44</v>
      </c>
      <c r="L5939" s="19" t="s">
        <v>52</v>
      </c>
      <c r="M5939" s="15" t="s">
        <v>2240</v>
      </c>
      <c r="N5939" s="15" t="s">
        <v>36</v>
      </c>
      <c r="O5939" s="15" t="s">
        <v>37</v>
      </c>
      <c r="P5939" s="20" t="s">
        <v>883</v>
      </c>
      <c r="Q5939" s="15" t="s">
        <v>39</v>
      </c>
      <c r="R5939" s="4"/>
      <c r="S5939" s="4"/>
    </row>
    <row r="5940" spans="1:19" ht="21" customHeight="1" x14ac:dyDescent="0.25">
      <c r="A5940" s="14">
        <f>DATE(2012,12,31)-438</f>
        <v>40836</v>
      </c>
      <c r="B5940" s="15" t="s">
        <v>138</v>
      </c>
      <c r="C5940" s="15" t="s">
        <v>85</v>
      </c>
      <c r="D5940" s="16">
        <v>11</v>
      </c>
      <c r="E5940" s="17">
        <v>45.31</v>
      </c>
      <c r="F5940" s="16">
        <v>7.0000000000000007E-2</v>
      </c>
      <c r="G5940" s="15" t="s">
        <v>32</v>
      </c>
      <c r="H5940" s="18">
        <v>-10.64</v>
      </c>
      <c r="I5940" s="19">
        <v>3.98</v>
      </c>
      <c r="J5940" s="19">
        <v>2.97</v>
      </c>
      <c r="K5940" s="19" t="s">
        <v>124</v>
      </c>
      <c r="L5940" s="19" t="s">
        <v>164</v>
      </c>
      <c r="M5940" s="15" t="s">
        <v>2257</v>
      </c>
      <c r="N5940" s="15" t="s">
        <v>36</v>
      </c>
      <c r="O5940" s="15" t="s">
        <v>117</v>
      </c>
      <c r="P5940" s="20" t="s">
        <v>1245</v>
      </c>
      <c r="Q5940" s="15" t="s">
        <v>79</v>
      </c>
      <c r="R5940" s="4"/>
      <c r="S5940" s="4"/>
    </row>
    <row r="5941" spans="1:19" ht="21" customHeight="1" x14ac:dyDescent="0.25">
      <c r="A5941" s="14">
        <f>DATE(2012,12,31)-747</f>
        <v>40527</v>
      </c>
      <c r="B5941" s="15" t="s">
        <v>1410</v>
      </c>
      <c r="C5941" s="15" t="s">
        <v>51</v>
      </c>
      <c r="D5941" s="16">
        <v>35</v>
      </c>
      <c r="E5941" s="17">
        <v>4408.6695</v>
      </c>
      <c r="F5941" s="16">
        <v>0.05</v>
      </c>
      <c r="G5941" s="15" t="s">
        <v>32</v>
      </c>
      <c r="H5941" s="18">
        <v>1140.6690000000001</v>
      </c>
      <c r="I5941" s="19">
        <v>155.99</v>
      </c>
      <c r="J5941" s="19">
        <v>3.9</v>
      </c>
      <c r="K5941" s="19" t="s">
        <v>33</v>
      </c>
      <c r="L5941" s="19" t="s">
        <v>145</v>
      </c>
      <c r="M5941" s="15" t="s">
        <v>2248</v>
      </c>
      <c r="N5941" s="15" t="s">
        <v>64</v>
      </c>
      <c r="O5941" s="15" t="s">
        <v>65</v>
      </c>
      <c r="P5941" s="20" t="s">
        <v>1047</v>
      </c>
      <c r="Q5941" s="15" t="s">
        <v>83</v>
      </c>
      <c r="R5941" s="4"/>
      <c r="S5941" s="4"/>
    </row>
    <row r="5942" spans="1:19" ht="21" customHeight="1" x14ac:dyDescent="0.25">
      <c r="A5942" s="14">
        <f>DATE(2012,12,31)-215</f>
        <v>41059</v>
      </c>
      <c r="B5942" s="15" t="s">
        <v>732</v>
      </c>
      <c r="C5942" s="15" t="s">
        <v>43</v>
      </c>
      <c r="D5942" s="16">
        <v>49</v>
      </c>
      <c r="E5942" s="17">
        <v>1201.934</v>
      </c>
      <c r="F5942" s="16">
        <v>0.03</v>
      </c>
      <c r="G5942" s="15" t="s">
        <v>32</v>
      </c>
      <c r="H5942" s="18">
        <v>47.420999999999999</v>
      </c>
      <c r="I5942" s="19">
        <v>28.99</v>
      </c>
      <c r="J5942" s="19">
        <v>8.59</v>
      </c>
      <c r="K5942" s="19" t="s">
        <v>33</v>
      </c>
      <c r="L5942" s="19" t="s">
        <v>145</v>
      </c>
      <c r="M5942" s="15" t="s">
        <v>2248</v>
      </c>
      <c r="N5942" s="15" t="s">
        <v>64</v>
      </c>
      <c r="O5942" s="15" t="s">
        <v>65</v>
      </c>
      <c r="P5942" s="20" t="s">
        <v>686</v>
      </c>
      <c r="Q5942" s="15" t="s">
        <v>57</v>
      </c>
      <c r="R5942" s="4"/>
      <c r="S5942" s="4"/>
    </row>
    <row r="5943" spans="1:19" ht="21" customHeight="1" x14ac:dyDescent="0.25">
      <c r="A5943" s="14">
        <f>DATE(2012,12,31)-215</f>
        <v>41059</v>
      </c>
      <c r="B5943" s="15" t="s">
        <v>1054</v>
      </c>
      <c r="C5943" s="15" t="s">
        <v>43</v>
      </c>
      <c r="D5943" s="16">
        <v>38</v>
      </c>
      <c r="E5943" s="17">
        <v>395.84</v>
      </c>
      <c r="F5943" s="16">
        <v>0</v>
      </c>
      <c r="G5943" s="15" t="s">
        <v>32</v>
      </c>
      <c r="H5943" s="18">
        <v>8.42</v>
      </c>
      <c r="I5943" s="19">
        <v>9.77</v>
      </c>
      <c r="J5943" s="19">
        <v>6.02</v>
      </c>
      <c r="K5943" s="19" t="s">
        <v>33</v>
      </c>
      <c r="L5943" s="19" t="s">
        <v>59</v>
      </c>
      <c r="M5943" s="15" t="s">
        <v>2269</v>
      </c>
      <c r="N5943" s="15" t="s">
        <v>54</v>
      </c>
      <c r="O5943" s="15" t="s">
        <v>55</v>
      </c>
      <c r="P5943" s="20" t="s">
        <v>1604</v>
      </c>
      <c r="Q5943" s="15" t="s">
        <v>57</v>
      </c>
      <c r="R5943" s="4"/>
      <c r="S5943" s="4"/>
    </row>
    <row r="5944" spans="1:19" ht="21" customHeight="1" x14ac:dyDescent="0.25">
      <c r="A5944" s="14">
        <f>DATE(2012,12,31)-1008</f>
        <v>40266</v>
      </c>
      <c r="B5944" s="15" t="s">
        <v>1054</v>
      </c>
      <c r="C5944" s="15" t="s">
        <v>51</v>
      </c>
      <c r="D5944" s="16">
        <v>5</v>
      </c>
      <c r="E5944" s="17">
        <v>324.55</v>
      </c>
      <c r="F5944" s="16">
        <v>0.08</v>
      </c>
      <c r="G5944" s="15" t="s">
        <v>32</v>
      </c>
      <c r="H5944" s="18">
        <v>-12.82</v>
      </c>
      <c r="I5944" s="19">
        <v>67.84</v>
      </c>
      <c r="J5944" s="19">
        <v>0.99</v>
      </c>
      <c r="K5944" s="19" t="s">
        <v>33</v>
      </c>
      <c r="L5944" s="19" t="s">
        <v>128</v>
      </c>
      <c r="M5944" s="15" t="s">
        <v>129</v>
      </c>
      <c r="N5944" s="15" t="s">
        <v>36</v>
      </c>
      <c r="O5944" s="15" t="s">
        <v>176</v>
      </c>
      <c r="P5944" s="20" t="s">
        <v>1171</v>
      </c>
      <c r="Q5944" s="15" t="s">
        <v>83</v>
      </c>
      <c r="R5944" s="4"/>
      <c r="S5944" s="4"/>
    </row>
    <row r="5945" spans="1:19" ht="21" customHeight="1" x14ac:dyDescent="0.25">
      <c r="A5945" s="14">
        <f>DATE(2012,12,31)-1008</f>
        <v>40266</v>
      </c>
      <c r="B5945" s="15" t="s">
        <v>655</v>
      </c>
      <c r="C5945" s="15" t="s">
        <v>51</v>
      </c>
      <c r="D5945" s="16">
        <v>31</v>
      </c>
      <c r="E5945" s="17">
        <v>8901.7800000000007</v>
      </c>
      <c r="F5945" s="16">
        <v>0.04</v>
      </c>
      <c r="G5945" s="15" t="s">
        <v>32</v>
      </c>
      <c r="H5945" s="18">
        <v>2795.36</v>
      </c>
      <c r="I5945" s="19">
        <v>276.2</v>
      </c>
      <c r="J5945" s="19">
        <v>24.49</v>
      </c>
      <c r="K5945" s="19" t="s">
        <v>124</v>
      </c>
      <c r="L5945" s="19" t="s">
        <v>158</v>
      </c>
      <c r="M5945" s="15" t="s">
        <v>158</v>
      </c>
      <c r="N5945" s="15" t="s">
        <v>54</v>
      </c>
      <c r="O5945" s="15" t="s">
        <v>252</v>
      </c>
      <c r="P5945" s="20" t="s">
        <v>2021</v>
      </c>
      <c r="Q5945" s="15" t="s">
        <v>39</v>
      </c>
      <c r="R5945" s="4"/>
      <c r="S5945" s="4"/>
    </row>
    <row r="5946" spans="1:19" ht="21" customHeight="1" x14ac:dyDescent="0.25">
      <c r="A5946" s="14">
        <f>DATE(2012,12,31)-651</f>
        <v>40623</v>
      </c>
      <c r="B5946" s="15" t="s">
        <v>655</v>
      </c>
      <c r="C5946" s="15" t="s">
        <v>85</v>
      </c>
      <c r="D5946" s="16">
        <v>46</v>
      </c>
      <c r="E5946" s="17">
        <v>110.96</v>
      </c>
      <c r="F5946" s="16">
        <v>0.08</v>
      </c>
      <c r="G5946" s="15" t="s">
        <v>32</v>
      </c>
      <c r="H5946" s="18">
        <v>35.92</v>
      </c>
      <c r="I5946" s="19">
        <v>2.61</v>
      </c>
      <c r="J5946" s="19">
        <v>0.5</v>
      </c>
      <c r="K5946" s="19" t="s">
        <v>124</v>
      </c>
      <c r="L5946" s="19" t="s">
        <v>158</v>
      </c>
      <c r="M5946" s="15" t="s">
        <v>158</v>
      </c>
      <c r="N5946" s="15" t="s">
        <v>36</v>
      </c>
      <c r="O5946" s="15" t="s">
        <v>114</v>
      </c>
      <c r="P5946" s="20" t="s">
        <v>524</v>
      </c>
      <c r="Q5946" s="15" t="s">
        <v>83</v>
      </c>
      <c r="R5946" s="4"/>
      <c r="S5946" s="4"/>
    </row>
    <row r="5947" spans="1:19" ht="21" customHeight="1" x14ac:dyDescent="0.25">
      <c r="A5947" s="14">
        <f>DATE(2012,12,31)-587</f>
        <v>40687</v>
      </c>
      <c r="B5947" s="15" t="s">
        <v>836</v>
      </c>
      <c r="C5947" s="15" t="s">
        <v>31</v>
      </c>
      <c r="D5947" s="16">
        <v>46</v>
      </c>
      <c r="E5947" s="17">
        <v>569.91999999999996</v>
      </c>
      <c r="F5947" s="16">
        <v>0.03</v>
      </c>
      <c r="G5947" s="15" t="s">
        <v>32</v>
      </c>
      <c r="H5947" s="18">
        <v>154.09</v>
      </c>
      <c r="I5947" s="19">
        <v>12.22</v>
      </c>
      <c r="J5947" s="19">
        <v>2.85</v>
      </c>
      <c r="K5947" s="19" t="s">
        <v>33</v>
      </c>
      <c r="L5947" s="19" t="s">
        <v>93</v>
      </c>
      <c r="M5947" s="15" t="s">
        <v>94</v>
      </c>
      <c r="N5947" s="15" t="s">
        <v>54</v>
      </c>
      <c r="O5947" s="15" t="s">
        <v>55</v>
      </c>
      <c r="P5947" s="20" t="s">
        <v>593</v>
      </c>
      <c r="Q5947" s="15" t="s">
        <v>49</v>
      </c>
      <c r="R5947" s="4"/>
      <c r="S5947" s="4"/>
    </row>
    <row r="5948" spans="1:19" ht="21" customHeight="1" x14ac:dyDescent="0.25">
      <c r="A5948" s="14">
        <f>DATE(2012,12,31)-587</f>
        <v>40687</v>
      </c>
      <c r="B5948" s="15" t="s">
        <v>1066</v>
      </c>
      <c r="C5948" s="15" t="s">
        <v>31</v>
      </c>
      <c r="D5948" s="16">
        <v>28</v>
      </c>
      <c r="E5948" s="17">
        <v>183.65</v>
      </c>
      <c r="F5948" s="16">
        <v>0.02</v>
      </c>
      <c r="G5948" s="15" t="s">
        <v>32</v>
      </c>
      <c r="H5948" s="18">
        <v>-59.96</v>
      </c>
      <c r="I5948" s="19">
        <v>6.48</v>
      </c>
      <c r="J5948" s="19">
        <v>5.84</v>
      </c>
      <c r="K5948" s="19" t="s">
        <v>33</v>
      </c>
      <c r="L5948" s="19" t="s">
        <v>59</v>
      </c>
      <c r="M5948" s="15" t="s">
        <v>2269</v>
      </c>
      <c r="N5948" s="15" t="s">
        <v>36</v>
      </c>
      <c r="O5948" s="15" t="s">
        <v>117</v>
      </c>
      <c r="P5948" s="20" t="s">
        <v>1073</v>
      </c>
      <c r="Q5948" s="15" t="s">
        <v>83</v>
      </c>
      <c r="R5948" s="4"/>
      <c r="S5948" s="4"/>
    </row>
    <row r="5949" spans="1:19" ht="21" customHeight="1" x14ac:dyDescent="0.25">
      <c r="A5949" s="14">
        <f>DATE(2012,12,31)-1370</f>
        <v>39904</v>
      </c>
      <c r="B5949" s="15" t="s">
        <v>1066</v>
      </c>
      <c r="C5949" s="15" t="s">
        <v>43</v>
      </c>
      <c r="D5949" s="16">
        <v>23</v>
      </c>
      <c r="E5949" s="17">
        <v>265.31</v>
      </c>
      <c r="F5949" s="16">
        <v>0.09</v>
      </c>
      <c r="G5949" s="15" t="s">
        <v>101</v>
      </c>
      <c r="H5949" s="18">
        <v>-33.189</v>
      </c>
      <c r="I5949" s="19">
        <v>11.5</v>
      </c>
      <c r="J5949" s="19">
        <v>7.19</v>
      </c>
      <c r="K5949" s="19" t="s">
        <v>33</v>
      </c>
      <c r="L5949" s="19" t="s">
        <v>59</v>
      </c>
      <c r="M5949" s="15" t="s">
        <v>2269</v>
      </c>
      <c r="N5949" s="15" t="s">
        <v>36</v>
      </c>
      <c r="O5949" s="15" t="s">
        <v>170</v>
      </c>
      <c r="P5949" s="20" t="s">
        <v>2039</v>
      </c>
      <c r="Q5949" s="15" t="s">
        <v>83</v>
      </c>
      <c r="R5949" s="4"/>
      <c r="S5949" s="4"/>
    </row>
    <row r="5950" spans="1:19" ht="21" customHeight="1" x14ac:dyDescent="0.25">
      <c r="A5950" s="14">
        <f>DATE(2012,12,31)-1370</f>
        <v>39904</v>
      </c>
      <c r="B5950" s="15" t="s">
        <v>303</v>
      </c>
      <c r="C5950" s="15" t="s">
        <v>43</v>
      </c>
      <c r="D5950" s="16">
        <v>15</v>
      </c>
      <c r="E5950" s="17">
        <v>1444.88</v>
      </c>
      <c r="F5950" s="16">
        <v>0.1</v>
      </c>
      <c r="G5950" s="15" t="s">
        <v>32</v>
      </c>
      <c r="H5950" s="18">
        <v>236.61</v>
      </c>
      <c r="I5950" s="19">
        <v>100.97</v>
      </c>
      <c r="J5950" s="19">
        <v>7.18</v>
      </c>
      <c r="K5950" s="19" t="s">
        <v>33</v>
      </c>
      <c r="L5950" s="19" t="s">
        <v>34</v>
      </c>
      <c r="M5950" s="15" t="s">
        <v>2273</v>
      </c>
      <c r="N5950" s="15" t="s">
        <v>64</v>
      </c>
      <c r="O5950" s="15" t="s">
        <v>72</v>
      </c>
      <c r="P5950" s="20" t="s">
        <v>596</v>
      </c>
      <c r="Q5950" s="15" t="s">
        <v>83</v>
      </c>
      <c r="R5950" s="4"/>
      <c r="S5950" s="4"/>
    </row>
    <row r="5951" spans="1:19" ht="21" customHeight="1" x14ac:dyDescent="0.25">
      <c r="A5951" s="14">
        <f>DATE(2012,12,31)-1370</f>
        <v>39904</v>
      </c>
      <c r="B5951" s="15" t="s">
        <v>303</v>
      </c>
      <c r="C5951" s="15" t="s">
        <v>43</v>
      </c>
      <c r="D5951" s="16">
        <v>23</v>
      </c>
      <c r="E5951" s="17">
        <v>2287.1</v>
      </c>
      <c r="F5951" s="16">
        <v>7.0000000000000007E-2</v>
      </c>
      <c r="G5951" s="15" t="s">
        <v>32</v>
      </c>
      <c r="H5951" s="18">
        <v>231.49</v>
      </c>
      <c r="I5951" s="19">
        <v>99.99</v>
      </c>
      <c r="J5951" s="19">
        <v>19.989999999999998</v>
      </c>
      <c r="K5951" s="19" t="s">
        <v>33</v>
      </c>
      <c r="L5951" s="19" t="s">
        <v>145</v>
      </c>
      <c r="M5951" s="15" t="s">
        <v>2248</v>
      </c>
      <c r="N5951" s="15" t="s">
        <v>64</v>
      </c>
      <c r="O5951" s="15" t="s">
        <v>122</v>
      </c>
      <c r="P5951" s="20" t="s">
        <v>2047</v>
      </c>
      <c r="Q5951" s="15" t="s">
        <v>83</v>
      </c>
      <c r="R5951" s="4"/>
      <c r="S5951" s="4"/>
    </row>
    <row r="5952" spans="1:19" ht="21" customHeight="1" x14ac:dyDescent="0.25">
      <c r="A5952" s="14">
        <f>DATE(2012,12,31)-295</f>
        <v>40979</v>
      </c>
      <c r="B5952" s="15" t="s">
        <v>303</v>
      </c>
      <c r="C5952" s="15" t="s">
        <v>85</v>
      </c>
      <c r="D5952" s="16">
        <v>42</v>
      </c>
      <c r="E5952" s="17">
        <v>1876.09</v>
      </c>
      <c r="F5952" s="16">
        <v>0.02</v>
      </c>
      <c r="G5952" s="15" t="s">
        <v>32</v>
      </c>
      <c r="H5952" s="18">
        <v>809.7355</v>
      </c>
      <c r="I5952" s="19">
        <v>43.41</v>
      </c>
      <c r="J5952" s="19">
        <v>2.99</v>
      </c>
      <c r="K5952" s="19" t="s">
        <v>69</v>
      </c>
      <c r="L5952" s="19" t="s">
        <v>215</v>
      </c>
      <c r="M5952" s="15" t="s">
        <v>2275</v>
      </c>
      <c r="N5952" s="15" t="s">
        <v>36</v>
      </c>
      <c r="O5952" s="15" t="s">
        <v>170</v>
      </c>
      <c r="P5952" s="20" t="s">
        <v>1309</v>
      </c>
      <c r="Q5952" s="15" t="s">
        <v>83</v>
      </c>
      <c r="R5952" s="4"/>
      <c r="S5952" s="4"/>
    </row>
    <row r="5953" spans="1:19" ht="21" customHeight="1" x14ac:dyDescent="0.25">
      <c r="A5953" s="14">
        <f>DATE(2012,12,31)-295</f>
        <v>40979</v>
      </c>
      <c r="B5953" s="15" t="s">
        <v>1129</v>
      </c>
      <c r="C5953" s="15" t="s">
        <v>85</v>
      </c>
      <c r="D5953" s="16">
        <v>19</v>
      </c>
      <c r="E5953" s="17">
        <v>145.26</v>
      </c>
      <c r="F5953" s="16">
        <v>0.05</v>
      </c>
      <c r="G5953" s="15" t="s">
        <v>32</v>
      </c>
      <c r="H5953" s="18">
        <v>-35.75</v>
      </c>
      <c r="I5953" s="19">
        <v>7.35</v>
      </c>
      <c r="J5953" s="19">
        <v>5.96</v>
      </c>
      <c r="K5953" s="19" t="s">
        <v>111</v>
      </c>
      <c r="L5953" s="19" t="s">
        <v>112</v>
      </c>
      <c r="M5953" s="15" t="s">
        <v>2270</v>
      </c>
      <c r="N5953" s="15" t="s">
        <v>36</v>
      </c>
      <c r="O5953" s="15" t="s">
        <v>117</v>
      </c>
      <c r="P5953" s="20" t="s">
        <v>962</v>
      </c>
      <c r="Q5953" s="15" t="s">
        <v>83</v>
      </c>
      <c r="R5953" s="4"/>
      <c r="S5953" s="4"/>
    </row>
    <row r="5954" spans="1:19" ht="21" customHeight="1" x14ac:dyDescent="0.25">
      <c r="A5954" s="14">
        <f>DATE(2012,12,31)-249</f>
        <v>41025</v>
      </c>
      <c r="B5954" s="15" t="s">
        <v>1129</v>
      </c>
      <c r="C5954" s="15" t="s">
        <v>43</v>
      </c>
      <c r="D5954" s="16">
        <v>40</v>
      </c>
      <c r="E5954" s="17">
        <v>3060.37</v>
      </c>
      <c r="F5954" s="16">
        <v>7.0000000000000007E-2</v>
      </c>
      <c r="G5954" s="15" t="s">
        <v>32</v>
      </c>
      <c r="H5954" s="18">
        <v>234.03</v>
      </c>
      <c r="I5954" s="19">
        <v>77.510000000000005</v>
      </c>
      <c r="J5954" s="19">
        <v>4</v>
      </c>
      <c r="K5954" s="19" t="s">
        <v>44</v>
      </c>
      <c r="L5954" s="19" t="s">
        <v>89</v>
      </c>
      <c r="M5954" s="15" t="s">
        <v>2278</v>
      </c>
      <c r="N5954" s="15" t="s">
        <v>64</v>
      </c>
      <c r="O5954" s="15" t="s">
        <v>72</v>
      </c>
      <c r="P5954" s="20" t="s">
        <v>801</v>
      </c>
      <c r="Q5954" s="15" t="s">
        <v>83</v>
      </c>
      <c r="R5954" s="4"/>
      <c r="S5954" s="4"/>
    </row>
    <row r="5955" spans="1:19" ht="21" customHeight="1" x14ac:dyDescent="0.25">
      <c r="A5955" s="14">
        <f>DATE(2012,12,31)-249</f>
        <v>41025</v>
      </c>
      <c r="B5955" s="15" t="s">
        <v>476</v>
      </c>
      <c r="C5955" s="15" t="s">
        <v>43</v>
      </c>
      <c r="D5955" s="16">
        <v>5</v>
      </c>
      <c r="E5955" s="17">
        <v>25.31</v>
      </c>
      <c r="F5955" s="16">
        <v>0.05</v>
      </c>
      <c r="G5955" s="15" t="s">
        <v>32</v>
      </c>
      <c r="H5955" s="18">
        <v>-0.5</v>
      </c>
      <c r="I5955" s="19">
        <v>4.84</v>
      </c>
      <c r="J5955" s="19">
        <v>0.71</v>
      </c>
      <c r="K5955" s="19" t="s">
        <v>44</v>
      </c>
      <c r="L5955" s="19" t="s">
        <v>120</v>
      </c>
      <c r="M5955" s="15" t="s">
        <v>2262</v>
      </c>
      <c r="N5955" s="15" t="s">
        <v>36</v>
      </c>
      <c r="O5955" s="15" t="s">
        <v>77</v>
      </c>
      <c r="P5955" s="20" t="s">
        <v>2007</v>
      </c>
      <c r="Q5955" s="15" t="s">
        <v>79</v>
      </c>
      <c r="R5955" s="4"/>
      <c r="S5955" s="4"/>
    </row>
    <row r="5956" spans="1:19" ht="21" customHeight="1" x14ac:dyDescent="0.25">
      <c r="A5956" s="14">
        <f>DATE(2012,12,31)-485</f>
        <v>40789</v>
      </c>
      <c r="B5956" s="15" t="s">
        <v>476</v>
      </c>
      <c r="C5956" s="15" t="s">
        <v>51</v>
      </c>
      <c r="D5956" s="16">
        <v>23</v>
      </c>
      <c r="E5956" s="17">
        <v>2296.7600000000002</v>
      </c>
      <c r="F5956" s="16">
        <v>0.01</v>
      </c>
      <c r="G5956" s="15" t="s">
        <v>32</v>
      </c>
      <c r="H5956" s="18">
        <v>241.15</v>
      </c>
      <c r="I5956" s="19">
        <v>99.99</v>
      </c>
      <c r="J5956" s="19">
        <v>19.989999999999998</v>
      </c>
      <c r="K5956" s="19" t="s">
        <v>44</v>
      </c>
      <c r="L5956" s="19" t="s">
        <v>89</v>
      </c>
      <c r="M5956" s="15" t="s">
        <v>2278</v>
      </c>
      <c r="N5956" s="15" t="s">
        <v>64</v>
      </c>
      <c r="O5956" s="15" t="s">
        <v>72</v>
      </c>
      <c r="P5956" s="20" t="s">
        <v>901</v>
      </c>
      <c r="Q5956" s="15" t="s">
        <v>83</v>
      </c>
      <c r="R5956" s="4"/>
      <c r="S5956" s="4"/>
    </row>
    <row r="5957" spans="1:19" ht="21" customHeight="1" x14ac:dyDescent="0.25">
      <c r="A5957" s="14">
        <f>DATE(2012,12,31)-485</f>
        <v>40789</v>
      </c>
      <c r="B5957" s="15" t="s">
        <v>426</v>
      </c>
      <c r="C5957" s="15" t="s">
        <v>51</v>
      </c>
      <c r="D5957" s="16">
        <v>45</v>
      </c>
      <c r="E5957" s="17">
        <v>508.49</v>
      </c>
      <c r="F5957" s="16">
        <v>0.1</v>
      </c>
      <c r="G5957" s="15" t="s">
        <v>101</v>
      </c>
      <c r="H5957" s="18">
        <v>-28.81</v>
      </c>
      <c r="I5957" s="19">
        <v>12.07</v>
      </c>
      <c r="J5957" s="19">
        <v>6.2</v>
      </c>
      <c r="K5957" s="19" t="s">
        <v>44</v>
      </c>
      <c r="L5957" s="19" t="s">
        <v>89</v>
      </c>
      <c r="M5957" s="15" t="s">
        <v>2278</v>
      </c>
      <c r="N5957" s="15" t="s">
        <v>54</v>
      </c>
      <c r="O5957" s="15" t="s">
        <v>55</v>
      </c>
      <c r="P5957" s="20" t="s">
        <v>496</v>
      </c>
      <c r="Q5957" s="15" t="s">
        <v>79</v>
      </c>
      <c r="R5957" s="4"/>
      <c r="S5957" s="4"/>
    </row>
    <row r="5958" spans="1:19" ht="21" customHeight="1" x14ac:dyDescent="0.25">
      <c r="A5958" s="14">
        <f>DATE(2012,12,31)-1280</f>
        <v>39994</v>
      </c>
      <c r="B5958" s="15" t="s">
        <v>426</v>
      </c>
      <c r="C5958" s="15" t="s">
        <v>43</v>
      </c>
      <c r="D5958" s="16">
        <v>44</v>
      </c>
      <c r="E5958" s="17">
        <v>1431</v>
      </c>
      <c r="F5958" s="16">
        <v>0.02</v>
      </c>
      <c r="G5958" s="15" t="s">
        <v>101</v>
      </c>
      <c r="H5958" s="18">
        <v>-55.78</v>
      </c>
      <c r="I5958" s="19">
        <v>30.98</v>
      </c>
      <c r="J5958" s="19">
        <v>6.5</v>
      </c>
      <c r="K5958" s="19" t="s">
        <v>33</v>
      </c>
      <c r="L5958" s="19" t="s">
        <v>93</v>
      </c>
      <c r="M5958" s="15" t="s">
        <v>94</v>
      </c>
      <c r="N5958" s="15" t="s">
        <v>64</v>
      </c>
      <c r="O5958" s="15" t="s">
        <v>72</v>
      </c>
      <c r="P5958" s="20" t="s">
        <v>829</v>
      </c>
      <c r="Q5958" s="15" t="s">
        <v>83</v>
      </c>
      <c r="R5958" s="4"/>
      <c r="S5958" s="4"/>
    </row>
    <row r="5959" spans="1:19" ht="21" customHeight="1" x14ac:dyDescent="0.25">
      <c r="A5959" s="14">
        <f>DATE(2012,12,31)-108</f>
        <v>41166</v>
      </c>
      <c r="B5959" s="15" t="s">
        <v>472</v>
      </c>
      <c r="C5959" s="15" t="s">
        <v>51</v>
      </c>
      <c r="D5959" s="16">
        <v>4</v>
      </c>
      <c r="E5959" s="17">
        <v>36.46</v>
      </c>
      <c r="F5959" s="16">
        <v>0.1</v>
      </c>
      <c r="G5959" s="15" t="s">
        <v>32</v>
      </c>
      <c r="H5959" s="18">
        <v>-7.4060000000000006</v>
      </c>
      <c r="I5959" s="19">
        <v>8.69</v>
      </c>
      <c r="J5959" s="19">
        <v>2.99</v>
      </c>
      <c r="K5959" s="19" t="s">
        <v>33</v>
      </c>
      <c r="L5959" s="19" t="s">
        <v>128</v>
      </c>
      <c r="M5959" s="15" t="s">
        <v>129</v>
      </c>
      <c r="N5959" s="15" t="s">
        <v>36</v>
      </c>
      <c r="O5959" s="15" t="s">
        <v>170</v>
      </c>
      <c r="P5959" s="20" t="s">
        <v>1346</v>
      </c>
      <c r="Q5959" s="15" t="s">
        <v>83</v>
      </c>
      <c r="R5959" s="4"/>
      <c r="S5959" s="4"/>
    </row>
    <row r="5960" spans="1:19" ht="21" customHeight="1" x14ac:dyDescent="0.25">
      <c r="A5960" s="14">
        <f>DATE(2012,12,31)-108</f>
        <v>41166</v>
      </c>
      <c r="B5960" s="15" t="s">
        <v>369</v>
      </c>
      <c r="C5960" s="15" t="s">
        <v>51</v>
      </c>
      <c r="D5960" s="16">
        <v>19</v>
      </c>
      <c r="E5960" s="17">
        <v>773.83</v>
      </c>
      <c r="F5960" s="16">
        <v>0.06</v>
      </c>
      <c r="G5960" s="15" t="s">
        <v>32</v>
      </c>
      <c r="H5960" s="18">
        <v>146.79</v>
      </c>
      <c r="I5960" s="19">
        <v>40.98</v>
      </c>
      <c r="J5960" s="19">
        <v>5.33</v>
      </c>
      <c r="K5960" s="19" t="s">
        <v>33</v>
      </c>
      <c r="L5960" s="19" t="s">
        <v>128</v>
      </c>
      <c r="M5960" s="15" t="s">
        <v>129</v>
      </c>
      <c r="N5960" s="15" t="s">
        <v>36</v>
      </c>
      <c r="O5960" s="15" t="s">
        <v>176</v>
      </c>
      <c r="P5960" s="20" t="s">
        <v>193</v>
      </c>
      <c r="Q5960" s="15" t="s">
        <v>83</v>
      </c>
      <c r="R5960" s="4"/>
      <c r="S5960" s="4"/>
    </row>
    <row r="5961" spans="1:19" ht="21" customHeight="1" x14ac:dyDescent="0.25">
      <c r="A5961" s="14">
        <f>DATE(2012,12,31)-108</f>
        <v>41166</v>
      </c>
      <c r="B5961" s="15" t="s">
        <v>369</v>
      </c>
      <c r="C5961" s="15" t="s">
        <v>51</v>
      </c>
      <c r="D5961" s="16">
        <v>18</v>
      </c>
      <c r="E5961" s="17">
        <v>47.4</v>
      </c>
      <c r="F5961" s="16">
        <v>0.03</v>
      </c>
      <c r="G5961" s="15" t="s">
        <v>32</v>
      </c>
      <c r="H5961" s="18">
        <v>-63.03</v>
      </c>
      <c r="I5961" s="19">
        <v>2.2799999999999998</v>
      </c>
      <c r="J5961" s="19">
        <v>5.2</v>
      </c>
      <c r="K5961" s="19" t="s">
        <v>97</v>
      </c>
      <c r="L5961" s="19" t="s">
        <v>98</v>
      </c>
      <c r="M5961" s="15" t="s">
        <v>2279</v>
      </c>
      <c r="N5961" s="15" t="s">
        <v>36</v>
      </c>
      <c r="O5961" s="15" t="s">
        <v>77</v>
      </c>
      <c r="P5961" s="20" t="s">
        <v>588</v>
      </c>
      <c r="Q5961" s="15" t="s">
        <v>79</v>
      </c>
      <c r="R5961" s="4"/>
      <c r="S5961" s="4"/>
    </row>
    <row r="5962" spans="1:19" ht="21" customHeight="1" x14ac:dyDescent="0.25">
      <c r="A5962" s="14">
        <f>DATE(2012,12,31)-1298</f>
        <v>39976</v>
      </c>
      <c r="B5962" s="15" t="s">
        <v>369</v>
      </c>
      <c r="C5962" s="15" t="s">
        <v>85</v>
      </c>
      <c r="D5962" s="16">
        <v>16</v>
      </c>
      <c r="E5962" s="17">
        <v>79.98</v>
      </c>
      <c r="F5962" s="16">
        <v>0.09</v>
      </c>
      <c r="G5962" s="15" t="s">
        <v>32</v>
      </c>
      <c r="H5962" s="18">
        <v>-56.56</v>
      </c>
      <c r="I5962" s="19">
        <v>4.8600000000000003</v>
      </c>
      <c r="J5962" s="19">
        <v>7.1</v>
      </c>
      <c r="K5962" s="19" t="s">
        <v>97</v>
      </c>
      <c r="L5962" s="19" t="s">
        <v>98</v>
      </c>
      <c r="M5962" s="15" t="s">
        <v>2279</v>
      </c>
      <c r="N5962" s="15" t="s">
        <v>54</v>
      </c>
      <c r="O5962" s="15" t="s">
        <v>55</v>
      </c>
      <c r="P5962" s="20" t="s">
        <v>1474</v>
      </c>
      <c r="Q5962" s="15" t="s">
        <v>83</v>
      </c>
      <c r="R5962" s="4"/>
      <c r="S5962" s="4"/>
    </row>
    <row r="5963" spans="1:19" ht="21" customHeight="1" x14ac:dyDescent="0.25">
      <c r="A5963" s="14">
        <f>DATE(2012,12,31)-1243</f>
        <v>40031</v>
      </c>
      <c r="B5963" s="15" t="s">
        <v>553</v>
      </c>
      <c r="C5963" s="15" t="s">
        <v>31</v>
      </c>
      <c r="D5963" s="16">
        <v>41</v>
      </c>
      <c r="E5963" s="17">
        <v>854.23</v>
      </c>
      <c r="F5963" s="16">
        <v>0.01</v>
      </c>
      <c r="G5963" s="15" t="s">
        <v>32</v>
      </c>
      <c r="H5963" s="18">
        <v>67.14</v>
      </c>
      <c r="I5963" s="19">
        <v>20.48</v>
      </c>
      <c r="J5963" s="19">
        <v>6.32</v>
      </c>
      <c r="K5963" s="19" t="s">
        <v>69</v>
      </c>
      <c r="L5963" s="19" t="s">
        <v>75</v>
      </c>
      <c r="M5963" s="15" t="s">
        <v>2231</v>
      </c>
      <c r="N5963" s="15" t="s">
        <v>36</v>
      </c>
      <c r="O5963" s="15" t="s">
        <v>176</v>
      </c>
      <c r="P5963" s="20" t="s">
        <v>2282</v>
      </c>
      <c r="Q5963" s="15" t="s">
        <v>83</v>
      </c>
      <c r="R5963" s="4"/>
      <c r="S5963" s="4"/>
    </row>
    <row r="5964" spans="1:19" ht="21" customHeight="1" x14ac:dyDescent="0.25">
      <c r="A5964" s="14">
        <f>DATE(2012,12,31)-1243</f>
        <v>40031</v>
      </c>
      <c r="B5964" s="15" t="s">
        <v>1292</v>
      </c>
      <c r="C5964" s="15" t="s">
        <v>31</v>
      </c>
      <c r="D5964" s="16">
        <v>26</v>
      </c>
      <c r="E5964" s="17">
        <v>47.91</v>
      </c>
      <c r="F5964" s="16">
        <v>0.09</v>
      </c>
      <c r="G5964" s="15" t="s">
        <v>32</v>
      </c>
      <c r="H5964" s="18">
        <v>-58.83</v>
      </c>
      <c r="I5964" s="19">
        <v>1.86</v>
      </c>
      <c r="J5964" s="19">
        <v>2.58</v>
      </c>
      <c r="K5964" s="19" t="s">
        <v>124</v>
      </c>
      <c r="L5964" s="19" t="s">
        <v>160</v>
      </c>
      <c r="M5964" s="15" t="s">
        <v>2281</v>
      </c>
      <c r="N5964" s="15" t="s">
        <v>36</v>
      </c>
      <c r="O5964" s="15" t="s">
        <v>105</v>
      </c>
      <c r="P5964" s="20" t="s">
        <v>1087</v>
      </c>
      <c r="Q5964" s="15" t="s">
        <v>79</v>
      </c>
      <c r="R5964" s="4"/>
      <c r="S5964" s="4"/>
    </row>
    <row r="5965" spans="1:19" ht="21" customHeight="1" x14ac:dyDescent="0.25">
      <c r="A5965" s="14">
        <f>DATE(2012,12,31)-1243</f>
        <v>40031</v>
      </c>
      <c r="B5965" s="15" t="s">
        <v>1292</v>
      </c>
      <c r="C5965" s="15" t="s">
        <v>31</v>
      </c>
      <c r="D5965" s="16">
        <v>38</v>
      </c>
      <c r="E5965" s="17">
        <v>6427.2579999999998</v>
      </c>
      <c r="F5965" s="16">
        <v>0.08</v>
      </c>
      <c r="G5965" s="15" t="s">
        <v>32</v>
      </c>
      <c r="H5965" s="18">
        <v>1636.4069999999999</v>
      </c>
      <c r="I5965" s="19">
        <v>205.99</v>
      </c>
      <c r="J5965" s="19">
        <v>2.5</v>
      </c>
      <c r="K5965" s="19" t="s">
        <v>124</v>
      </c>
      <c r="L5965" s="19" t="s">
        <v>160</v>
      </c>
      <c r="M5965" s="15" t="s">
        <v>2281</v>
      </c>
      <c r="N5965" s="15" t="s">
        <v>64</v>
      </c>
      <c r="O5965" s="15" t="s">
        <v>65</v>
      </c>
      <c r="P5965" s="20" t="s">
        <v>106</v>
      </c>
      <c r="Q5965" s="15" t="s">
        <v>83</v>
      </c>
      <c r="R5965" s="4"/>
      <c r="S5965" s="4"/>
    </row>
    <row r="5966" spans="1:19" ht="21" customHeight="1" x14ac:dyDescent="0.25">
      <c r="A5966" s="14">
        <f>DATE(2012,12,31)-1259</f>
        <v>40015</v>
      </c>
      <c r="B5966" s="15" t="s">
        <v>1292</v>
      </c>
      <c r="C5966" s="15" t="s">
        <v>85</v>
      </c>
      <c r="D5966" s="16">
        <v>20</v>
      </c>
      <c r="E5966" s="17">
        <v>3361.7584999999999</v>
      </c>
      <c r="F5966" s="16">
        <v>0.04</v>
      </c>
      <c r="G5966" s="15" t="s">
        <v>32</v>
      </c>
      <c r="H5966" s="18">
        <v>394.35300000000001</v>
      </c>
      <c r="I5966" s="19">
        <v>205.99</v>
      </c>
      <c r="J5966" s="19">
        <v>8.99</v>
      </c>
      <c r="K5966" s="19" t="s">
        <v>124</v>
      </c>
      <c r="L5966" s="19" t="s">
        <v>160</v>
      </c>
      <c r="M5966" s="15" t="s">
        <v>2281</v>
      </c>
      <c r="N5966" s="15" t="s">
        <v>64</v>
      </c>
      <c r="O5966" s="15" t="s">
        <v>65</v>
      </c>
      <c r="P5966" s="20" t="s">
        <v>1529</v>
      </c>
      <c r="Q5966" s="15" t="s">
        <v>83</v>
      </c>
      <c r="R5966" s="4"/>
      <c r="S5966" s="4"/>
    </row>
    <row r="5967" spans="1:19" ht="21" customHeight="1" x14ac:dyDescent="0.25">
      <c r="A5967" s="14">
        <f>DATE(2012,12,31)-1155</f>
        <v>40119</v>
      </c>
      <c r="B5967" s="15" t="s">
        <v>817</v>
      </c>
      <c r="C5967" s="15" t="s">
        <v>43</v>
      </c>
      <c r="D5967" s="16">
        <v>14</v>
      </c>
      <c r="E5967" s="17">
        <v>63.91</v>
      </c>
      <c r="F5967" s="16">
        <v>0.04</v>
      </c>
      <c r="G5967" s="15" t="s">
        <v>32</v>
      </c>
      <c r="H5967" s="18">
        <v>-44.47</v>
      </c>
      <c r="I5967" s="19">
        <v>4.1399999999999997</v>
      </c>
      <c r="J5967" s="19">
        <v>6.6</v>
      </c>
      <c r="K5967" s="19" t="s">
        <v>124</v>
      </c>
      <c r="L5967" s="19" t="s">
        <v>125</v>
      </c>
      <c r="M5967" s="15" t="s">
        <v>2265</v>
      </c>
      <c r="N5967" s="15" t="s">
        <v>54</v>
      </c>
      <c r="O5967" s="15" t="s">
        <v>55</v>
      </c>
      <c r="P5967" s="20" t="s">
        <v>1464</v>
      </c>
      <c r="Q5967" s="15" t="s">
        <v>83</v>
      </c>
      <c r="R5967" s="4"/>
      <c r="S5967" s="4"/>
    </row>
    <row r="5968" spans="1:19" ht="21" customHeight="1" x14ac:dyDescent="0.25">
      <c r="A5968" s="14">
        <f>DATE(2012,12,31)-1155</f>
        <v>40119</v>
      </c>
      <c r="B5968" s="15" t="s">
        <v>643</v>
      </c>
      <c r="C5968" s="15" t="s">
        <v>43</v>
      </c>
      <c r="D5968" s="16">
        <v>32</v>
      </c>
      <c r="E5968" s="17">
        <v>1909.0064999999997</v>
      </c>
      <c r="F5968" s="16">
        <v>0.01</v>
      </c>
      <c r="G5968" s="15" t="s">
        <v>32</v>
      </c>
      <c r="H5968" s="18">
        <v>344.13299999999998</v>
      </c>
      <c r="I5968" s="19">
        <v>65.989999999999995</v>
      </c>
      <c r="J5968" s="19">
        <v>8.99</v>
      </c>
      <c r="K5968" s="19" t="s">
        <v>44</v>
      </c>
      <c r="L5968" s="19" t="s">
        <v>52</v>
      </c>
      <c r="M5968" s="15" t="s">
        <v>2240</v>
      </c>
      <c r="N5968" s="15" t="s">
        <v>64</v>
      </c>
      <c r="O5968" s="15" t="s">
        <v>65</v>
      </c>
      <c r="P5968" s="20" t="s">
        <v>1673</v>
      </c>
      <c r="Q5968" s="15" t="s">
        <v>83</v>
      </c>
      <c r="R5968" s="4"/>
      <c r="S5968" s="4"/>
    </row>
    <row r="5969" spans="1:19" ht="21" customHeight="1" x14ac:dyDescent="0.25">
      <c r="A5969" s="14">
        <f>DATE(2012,12,31)-1418</f>
        <v>39856</v>
      </c>
      <c r="B5969" s="15" t="s">
        <v>643</v>
      </c>
      <c r="C5969" s="15" t="s">
        <v>85</v>
      </c>
      <c r="D5969" s="16">
        <v>31</v>
      </c>
      <c r="E5969" s="17">
        <v>206.54</v>
      </c>
      <c r="F5969" s="16">
        <v>0.02</v>
      </c>
      <c r="G5969" s="15" t="s">
        <v>32</v>
      </c>
      <c r="H5969" s="18">
        <v>-178.82</v>
      </c>
      <c r="I5969" s="19">
        <v>6.48</v>
      </c>
      <c r="J5969" s="19">
        <v>9.68</v>
      </c>
      <c r="K5969" s="19" t="s">
        <v>44</v>
      </c>
      <c r="L5969" s="19" t="s">
        <v>52</v>
      </c>
      <c r="M5969" s="15" t="s">
        <v>2240</v>
      </c>
      <c r="N5969" s="15" t="s">
        <v>36</v>
      </c>
      <c r="O5969" s="15" t="s">
        <v>117</v>
      </c>
      <c r="P5969" s="20" t="s">
        <v>469</v>
      </c>
      <c r="Q5969" s="15" t="s">
        <v>83</v>
      </c>
      <c r="R5969" s="4"/>
      <c r="S5969" s="4"/>
    </row>
    <row r="5970" spans="1:19" ht="21" customHeight="1" x14ac:dyDescent="0.25">
      <c r="A5970" s="14">
        <f>DATE(2012,12,31)-1214</f>
        <v>40060</v>
      </c>
      <c r="B5970" s="15" t="s">
        <v>799</v>
      </c>
      <c r="C5970" s="15" t="s">
        <v>43</v>
      </c>
      <c r="D5970" s="16">
        <v>43</v>
      </c>
      <c r="E5970" s="17">
        <v>9501.6240000000016</v>
      </c>
      <c r="F5970" s="16">
        <v>7.0000000000000007E-2</v>
      </c>
      <c r="G5970" s="15" t="s">
        <v>58</v>
      </c>
      <c r="H5970" s="18">
        <v>-686.45</v>
      </c>
      <c r="I5970" s="19">
        <v>286.85000000000002</v>
      </c>
      <c r="J5970" s="19">
        <v>61.76</v>
      </c>
      <c r="K5970" s="19" t="s">
        <v>44</v>
      </c>
      <c r="L5970" s="19" t="s">
        <v>236</v>
      </c>
      <c r="M5970" s="15" t="s">
        <v>2246</v>
      </c>
      <c r="N5970" s="15" t="s">
        <v>54</v>
      </c>
      <c r="O5970" s="15" t="s">
        <v>61</v>
      </c>
      <c r="P5970" s="20" t="s">
        <v>1803</v>
      </c>
      <c r="Q5970" s="15" t="s">
        <v>63</v>
      </c>
      <c r="R5970" s="4"/>
      <c r="S5970" s="4"/>
    </row>
    <row r="5971" spans="1:19" ht="21" customHeight="1" x14ac:dyDescent="0.25">
      <c r="A5971" s="14">
        <f>DATE(2012,12,31)-1214</f>
        <v>40060</v>
      </c>
      <c r="B5971" s="15" t="s">
        <v>286</v>
      </c>
      <c r="C5971" s="15" t="s">
        <v>43</v>
      </c>
      <c r="D5971" s="16">
        <v>25</v>
      </c>
      <c r="E5971" s="17">
        <v>318.14</v>
      </c>
      <c r="F5971" s="16">
        <v>0.01</v>
      </c>
      <c r="G5971" s="15" t="s">
        <v>32</v>
      </c>
      <c r="H5971" s="18">
        <v>49.67</v>
      </c>
      <c r="I5971" s="19">
        <v>12.28</v>
      </c>
      <c r="J5971" s="19">
        <v>5.09</v>
      </c>
      <c r="K5971" s="19" t="s">
        <v>44</v>
      </c>
      <c r="L5971" s="19" t="s">
        <v>52</v>
      </c>
      <c r="M5971" s="15" t="s">
        <v>2240</v>
      </c>
      <c r="N5971" s="15" t="s">
        <v>36</v>
      </c>
      <c r="O5971" s="15" t="s">
        <v>117</v>
      </c>
      <c r="P5971" s="20" t="s">
        <v>1194</v>
      </c>
      <c r="Q5971" s="15" t="s">
        <v>83</v>
      </c>
      <c r="R5971" s="4"/>
      <c r="S5971" s="4"/>
    </row>
    <row r="5972" spans="1:19" ht="21" customHeight="1" x14ac:dyDescent="0.25">
      <c r="A5972" s="14">
        <f>DATE(2012,12,31)-1235</f>
        <v>40039</v>
      </c>
      <c r="B5972" s="15" t="s">
        <v>286</v>
      </c>
      <c r="C5972" s="15" t="s">
        <v>85</v>
      </c>
      <c r="D5972" s="16">
        <v>46</v>
      </c>
      <c r="E5972" s="17">
        <v>3412.08</v>
      </c>
      <c r="F5972" s="16">
        <v>0.04</v>
      </c>
      <c r="G5972" s="15" t="s">
        <v>58</v>
      </c>
      <c r="H5972" s="18">
        <v>239.23</v>
      </c>
      <c r="I5972" s="19">
        <v>70.98</v>
      </c>
      <c r="J5972" s="19">
        <v>26.85</v>
      </c>
      <c r="K5972" s="19" t="s">
        <v>69</v>
      </c>
      <c r="L5972" s="19" t="s">
        <v>75</v>
      </c>
      <c r="M5972" s="15" t="s">
        <v>2231</v>
      </c>
      <c r="N5972" s="15" t="s">
        <v>54</v>
      </c>
      <c r="O5972" s="15" t="s">
        <v>134</v>
      </c>
      <c r="P5972" s="20" t="s">
        <v>1958</v>
      </c>
      <c r="Q5972" s="15" t="s">
        <v>63</v>
      </c>
      <c r="R5972" s="4"/>
      <c r="S5972" s="4"/>
    </row>
    <row r="5973" spans="1:19" ht="21" customHeight="1" x14ac:dyDescent="0.25">
      <c r="A5973" s="14">
        <f>DATE(2012,12,31)-1235</f>
        <v>40039</v>
      </c>
      <c r="B5973" s="15" t="s">
        <v>1574</v>
      </c>
      <c r="C5973" s="15" t="s">
        <v>85</v>
      </c>
      <c r="D5973" s="16">
        <v>31</v>
      </c>
      <c r="E5973" s="17">
        <v>1311.68</v>
      </c>
      <c r="F5973" s="16">
        <v>0.03</v>
      </c>
      <c r="G5973" s="15" t="s">
        <v>32</v>
      </c>
      <c r="H5973" s="18">
        <v>230.37</v>
      </c>
      <c r="I5973" s="19">
        <v>40.99</v>
      </c>
      <c r="J5973" s="19">
        <v>17.48</v>
      </c>
      <c r="K5973" s="19" t="s">
        <v>69</v>
      </c>
      <c r="L5973" s="19" t="s">
        <v>215</v>
      </c>
      <c r="M5973" s="15" t="s">
        <v>2275</v>
      </c>
      <c r="N5973" s="15" t="s">
        <v>36</v>
      </c>
      <c r="O5973" s="15" t="s">
        <v>117</v>
      </c>
      <c r="P5973" s="20" t="s">
        <v>2150</v>
      </c>
      <c r="Q5973" s="15" t="s">
        <v>83</v>
      </c>
      <c r="R5973" s="4"/>
      <c r="S5973" s="4"/>
    </row>
    <row r="5974" spans="1:19" ht="21" customHeight="1" x14ac:dyDescent="0.25">
      <c r="A5974" s="14">
        <f>DATE(2012,12,31)-879</f>
        <v>40395</v>
      </c>
      <c r="B5974" s="15" t="s">
        <v>1574</v>
      </c>
      <c r="C5974" s="15" t="s">
        <v>85</v>
      </c>
      <c r="D5974" s="16">
        <v>44</v>
      </c>
      <c r="E5974" s="17">
        <v>786.26</v>
      </c>
      <c r="F5974" s="16">
        <v>0.01</v>
      </c>
      <c r="G5974" s="15" t="s">
        <v>32</v>
      </c>
      <c r="H5974" s="18">
        <v>274.98</v>
      </c>
      <c r="I5974" s="19">
        <v>17.48</v>
      </c>
      <c r="J5974" s="19">
        <v>1.99</v>
      </c>
      <c r="K5974" s="19" t="s">
        <v>44</v>
      </c>
      <c r="L5974" s="19" t="s">
        <v>120</v>
      </c>
      <c r="M5974" s="15" t="s">
        <v>2262</v>
      </c>
      <c r="N5974" s="15" t="s">
        <v>64</v>
      </c>
      <c r="O5974" s="15" t="s">
        <v>72</v>
      </c>
      <c r="P5974" s="20" t="s">
        <v>583</v>
      </c>
      <c r="Q5974" s="15" t="s">
        <v>49</v>
      </c>
      <c r="R5974" s="4"/>
      <c r="S5974" s="4"/>
    </row>
    <row r="5975" spans="1:19" ht="21" customHeight="1" x14ac:dyDescent="0.25">
      <c r="A5975" s="14">
        <f>DATE(2012,12,31)-406</f>
        <v>40868</v>
      </c>
      <c r="B5975" s="15" t="s">
        <v>1821</v>
      </c>
      <c r="C5975" s="15" t="s">
        <v>51</v>
      </c>
      <c r="D5975" s="16">
        <v>33</v>
      </c>
      <c r="E5975" s="17">
        <v>125.27</v>
      </c>
      <c r="F5975" s="16">
        <v>7.0000000000000007E-2</v>
      </c>
      <c r="G5975" s="15" t="s">
        <v>32</v>
      </c>
      <c r="H5975" s="18">
        <v>-105.83450000000001</v>
      </c>
      <c r="I5975" s="19">
        <v>3.81</v>
      </c>
      <c r="J5975" s="19">
        <v>4.83</v>
      </c>
      <c r="K5975" s="19" t="s">
        <v>33</v>
      </c>
      <c r="L5975" s="19" t="s">
        <v>128</v>
      </c>
      <c r="M5975" s="15" t="s">
        <v>129</v>
      </c>
      <c r="N5975" s="15" t="s">
        <v>36</v>
      </c>
      <c r="O5975" s="15" t="s">
        <v>170</v>
      </c>
      <c r="P5975" s="20" t="s">
        <v>1989</v>
      </c>
      <c r="Q5975" s="15" t="s">
        <v>83</v>
      </c>
      <c r="R5975" s="4"/>
      <c r="S5975" s="4"/>
    </row>
    <row r="5976" spans="1:19" ht="21" customHeight="1" x14ac:dyDescent="0.25">
      <c r="A5976" s="14">
        <f>DATE(2012,12,31)-502</f>
        <v>40772</v>
      </c>
      <c r="B5976" s="15" t="s">
        <v>2016</v>
      </c>
      <c r="C5976" s="15" t="s">
        <v>43</v>
      </c>
      <c r="D5976" s="16">
        <v>11</v>
      </c>
      <c r="E5976" s="17">
        <v>127.32</v>
      </c>
      <c r="F5976" s="16">
        <v>0.1</v>
      </c>
      <c r="G5976" s="15" t="s">
        <v>101</v>
      </c>
      <c r="H5976" s="18">
        <v>22.958500000000001</v>
      </c>
      <c r="I5976" s="19">
        <v>10.91</v>
      </c>
      <c r="J5976" s="19">
        <v>2.99</v>
      </c>
      <c r="K5976" s="19" t="s">
        <v>33</v>
      </c>
      <c r="L5976" s="19" t="s">
        <v>93</v>
      </c>
      <c r="M5976" s="15" t="s">
        <v>94</v>
      </c>
      <c r="N5976" s="15" t="s">
        <v>36</v>
      </c>
      <c r="O5976" s="15" t="s">
        <v>170</v>
      </c>
      <c r="P5976" s="20" t="s">
        <v>2283</v>
      </c>
      <c r="Q5976" s="15" t="s">
        <v>83</v>
      </c>
      <c r="R5976" s="4"/>
      <c r="S5976" s="4"/>
    </row>
    <row r="5977" spans="1:19" ht="21" customHeight="1" x14ac:dyDescent="0.25">
      <c r="A5977" s="14">
        <f>DATE(2012,12,31)-167</f>
        <v>41107</v>
      </c>
      <c r="B5977" s="15" t="s">
        <v>131</v>
      </c>
      <c r="C5977" s="15" t="s">
        <v>85</v>
      </c>
      <c r="D5977" s="16">
        <v>21</v>
      </c>
      <c r="E5977" s="17">
        <v>205.32</v>
      </c>
      <c r="F5977" s="16">
        <v>0.08</v>
      </c>
      <c r="G5977" s="15" t="s">
        <v>101</v>
      </c>
      <c r="H5977" s="18">
        <v>37.299999999999997</v>
      </c>
      <c r="I5977" s="19">
        <v>10.01</v>
      </c>
      <c r="J5977" s="19">
        <v>1.99</v>
      </c>
      <c r="K5977" s="19" t="s">
        <v>33</v>
      </c>
      <c r="L5977" s="19" t="s">
        <v>145</v>
      </c>
      <c r="M5977" s="15" t="s">
        <v>2248</v>
      </c>
      <c r="N5977" s="15" t="s">
        <v>64</v>
      </c>
      <c r="O5977" s="15" t="s">
        <v>72</v>
      </c>
      <c r="P5977" s="20" t="s">
        <v>554</v>
      </c>
      <c r="Q5977" s="15" t="s">
        <v>49</v>
      </c>
      <c r="R5977" s="4"/>
      <c r="S5977" s="4"/>
    </row>
    <row r="5978" spans="1:19" ht="21" customHeight="1" x14ac:dyDescent="0.25">
      <c r="A5978" s="14">
        <f>DATE(2012,12,31)-167</f>
        <v>41107</v>
      </c>
      <c r="B5978" s="15" t="s">
        <v>1311</v>
      </c>
      <c r="C5978" s="15" t="s">
        <v>85</v>
      </c>
      <c r="D5978" s="16">
        <v>47</v>
      </c>
      <c r="E5978" s="17">
        <v>807.6</v>
      </c>
      <c r="F5978" s="16">
        <v>0</v>
      </c>
      <c r="G5978" s="15" t="s">
        <v>32</v>
      </c>
      <c r="H5978" s="18">
        <v>214.30200000000002</v>
      </c>
      <c r="I5978" s="19">
        <v>16.739999999999998</v>
      </c>
      <c r="J5978" s="19">
        <v>5.08</v>
      </c>
      <c r="K5978" s="19" t="s">
        <v>33</v>
      </c>
      <c r="L5978" s="19" t="s">
        <v>145</v>
      </c>
      <c r="M5978" s="15" t="s">
        <v>2248</v>
      </c>
      <c r="N5978" s="15" t="s">
        <v>36</v>
      </c>
      <c r="O5978" s="15" t="s">
        <v>170</v>
      </c>
      <c r="P5978" s="20" t="s">
        <v>471</v>
      </c>
      <c r="Q5978" s="15" t="s">
        <v>83</v>
      </c>
      <c r="R5978" s="4"/>
      <c r="S5978" s="4"/>
    </row>
    <row r="5979" spans="1:19" ht="21" customHeight="1" x14ac:dyDescent="0.25">
      <c r="A5979" s="14">
        <f>DATE(2012,12,31)-167</f>
        <v>41107</v>
      </c>
      <c r="B5979" s="15" t="s">
        <v>1311</v>
      </c>
      <c r="C5979" s="15" t="s">
        <v>85</v>
      </c>
      <c r="D5979" s="16">
        <v>11</v>
      </c>
      <c r="E5979" s="17">
        <v>694.17</v>
      </c>
      <c r="F5979" s="16">
        <v>0</v>
      </c>
      <c r="G5979" s="15" t="s">
        <v>32</v>
      </c>
      <c r="H5979" s="18">
        <v>174.21600000000001</v>
      </c>
      <c r="I5979" s="19">
        <v>59.78</v>
      </c>
      <c r="J5979" s="19">
        <v>10.29</v>
      </c>
      <c r="K5979" s="19" t="s">
        <v>33</v>
      </c>
      <c r="L5979" s="19" t="s">
        <v>34</v>
      </c>
      <c r="M5979" s="15" t="s">
        <v>2273</v>
      </c>
      <c r="N5979" s="15" t="s">
        <v>36</v>
      </c>
      <c r="O5979" s="15" t="s">
        <v>170</v>
      </c>
      <c r="P5979" s="20" t="s">
        <v>2059</v>
      </c>
      <c r="Q5979" s="15" t="s">
        <v>83</v>
      </c>
      <c r="R5979" s="4"/>
      <c r="S5979" s="4"/>
    </row>
    <row r="5980" spans="1:19" ht="21" customHeight="1" x14ac:dyDescent="0.25">
      <c r="A5980" s="14">
        <f>DATE(2012,12,31)-822</f>
        <v>40452</v>
      </c>
      <c r="B5980" s="15" t="s">
        <v>1311</v>
      </c>
      <c r="C5980" s="15" t="s">
        <v>51</v>
      </c>
      <c r="D5980" s="16">
        <v>45</v>
      </c>
      <c r="E5980" s="17">
        <v>138.44999999999999</v>
      </c>
      <c r="F5980" s="16">
        <v>0.03</v>
      </c>
      <c r="G5980" s="15" t="s">
        <v>101</v>
      </c>
      <c r="H5980" s="18">
        <v>24.34</v>
      </c>
      <c r="I5980" s="19">
        <v>2.94</v>
      </c>
      <c r="J5980" s="19">
        <v>0.7</v>
      </c>
      <c r="K5980" s="19" t="s">
        <v>33</v>
      </c>
      <c r="L5980" s="19" t="s">
        <v>59</v>
      </c>
      <c r="M5980" s="15" t="s">
        <v>2269</v>
      </c>
      <c r="N5980" s="15" t="s">
        <v>36</v>
      </c>
      <c r="O5980" s="15" t="s">
        <v>77</v>
      </c>
      <c r="P5980" s="20" t="s">
        <v>1335</v>
      </c>
      <c r="Q5980" s="15" t="s">
        <v>79</v>
      </c>
      <c r="R5980" s="4"/>
      <c r="S5980" s="4"/>
    </row>
    <row r="5981" spans="1:19" ht="21" customHeight="1" x14ac:dyDescent="0.25">
      <c r="A5981" s="14">
        <f>DATE(2012,12,31)-144</f>
        <v>41130</v>
      </c>
      <c r="B5981" s="15" t="s">
        <v>367</v>
      </c>
      <c r="C5981" s="15" t="s">
        <v>31</v>
      </c>
      <c r="D5981" s="16">
        <v>44</v>
      </c>
      <c r="E5981" s="17">
        <v>865.27</v>
      </c>
      <c r="F5981" s="16">
        <v>0.03</v>
      </c>
      <c r="G5981" s="15" t="s">
        <v>32</v>
      </c>
      <c r="H5981" s="18">
        <v>11.55</v>
      </c>
      <c r="I5981" s="19">
        <v>19.98</v>
      </c>
      <c r="J5981" s="19">
        <v>4</v>
      </c>
      <c r="K5981" s="19" t="s">
        <v>33</v>
      </c>
      <c r="L5981" s="19" t="s">
        <v>145</v>
      </c>
      <c r="M5981" s="15" t="s">
        <v>2248</v>
      </c>
      <c r="N5981" s="15" t="s">
        <v>64</v>
      </c>
      <c r="O5981" s="15" t="s">
        <v>72</v>
      </c>
      <c r="P5981" s="20" t="s">
        <v>987</v>
      </c>
      <c r="Q5981" s="15" t="s">
        <v>83</v>
      </c>
      <c r="R5981" s="4"/>
      <c r="S5981" s="4"/>
    </row>
    <row r="5982" spans="1:19" ht="21" customHeight="1" x14ac:dyDescent="0.25">
      <c r="A5982" s="14">
        <f>DATE(2012,12,31)-144</f>
        <v>41130</v>
      </c>
      <c r="B5982" s="15" t="s">
        <v>824</v>
      </c>
      <c r="C5982" s="15" t="s">
        <v>31</v>
      </c>
      <c r="D5982" s="16">
        <v>41</v>
      </c>
      <c r="E5982" s="17">
        <v>429.28</v>
      </c>
      <c r="F5982" s="16">
        <v>0.06</v>
      </c>
      <c r="G5982" s="15" t="s">
        <v>32</v>
      </c>
      <c r="H5982" s="18">
        <v>-168.95</v>
      </c>
      <c r="I5982" s="19">
        <v>10.97</v>
      </c>
      <c r="J5982" s="19">
        <v>6.5</v>
      </c>
      <c r="K5982" s="19" t="s">
        <v>33</v>
      </c>
      <c r="L5982" s="19" t="s">
        <v>59</v>
      </c>
      <c r="M5982" s="15" t="s">
        <v>2269</v>
      </c>
      <c r="N5982" s="15" t="s">
        <v>64</v>
      </c>
      <c r="O5982" s="15" t="s">
        <v>72</v>
      </c>
      <c r="P5982" s="20" t="s">
        <v>805</v>
      </c>
      <c r="Q5982" s="15" t="s">
        <v>83</v>
      </c>
      <c r="R5982" s="4"/>
      <c r="S5982" s="4"/>
    </row>
    <row r="5983" spans="1:19" ht="21" customHeight="1" x14ac:dyDescent="0.25">
      <c r="A5983" s="14">
        <f>DATE(2012,12,31)-1290</f>
        <v>39984</v>
      </c>
      <c r="B5983" s="15" t="s">
        <v>824</v>
      </c>
      <c r="C5983" s="15" t="s">
        <v>43</v>
      </c>
      <c r="D5983" s="16">
        <v>38</v>
      </c>
      <c r="E5983" s="17">
        <v>117.84</v>
      </c>
      <c r="F5983" s="16">
        <v>0.04</v>
      </c>
      <c r="G5983" s="15" t="s">
        <v>32</v>
      </c>
      <c r="H5983" s="18">
        <v>30.76</v>
      </c>
      <c r="I5983" s="19">
        <v>3.08</v>
      </c>
      <c r="J5983" s="19">
        <v>0.99</v>
      </c>
      <c r="K5983" s="19" t="s">
        <v>33</v>
      </c>
      <c r="L5983" s="19" t="s">
        <v>128</v>
      </c>
      <c r="M5983" s="15" t="s">
        <v>129</v>
      </c>
      <c r="N5983" s="15" t="s">
        <v>36</v>
      </c>
      <c r="O5983" s="15" t="s">
        <v>114</v>
      </c>
      <c r="P5983" s="20" t="s">
        <v>354</v>
      </c>
      <c r="Q5983" s="15" t="s">
        <v>83</v>
      </c>
      <c r="R5983" s="4"/>
      <c r="S5983" s="4"/>
    </row>
    <row r="5984" spans="1:19" ht="21" customHeight="1" x14ac:dyDescent="0.25">
      <c r="A5984" s="14">
        <f>DATE(2012,12,31)-1290</f>
        <v>39984</v>
      </c>
      <c r="B5984" s="15" t="s">
        <v>2136</v>
      </c>
      <c r="C5984" s="15" t="s">
        <v>43</v>
      </c>
      <c r="D5984" s="16">
        <v>47</v>
      </c>
      <c r="E5984" s="17">
        <v>121.2</v>
      </c>
      <c r="F5984" s="16">
        <v>0.1</v>
      </c>
      <c r="G5984" s="15" t="s">
        <v>32</v>
      </c>
      <c r="H5984" s="18">
        <v>-20.2</v>
      </c>
      <c r="I5984" s="19">
        <v>2.78</v>
      </c>
      <c r="J5984" s="19">
        <v>1.25</v>
      </c>
      <c r="K5984" s="19" t="s">
        <v>33</v>
      </c>
      <c r="L5984" s="19" t="s">
        <v>59</v>
      </c>
      <c r="M5984" s="15" t="s">
        <v>2269</v>
      </c>
      <c r="N5984" s="15" t="s">
        <v>36</v>
      </c>
      <c r="O5984" s="15" t="s">
        <v>77</v>
      </c>
      <c r="P5984" s="20" t="s">
        <v>262</v>
      </c>
      <c r="Q5984" s="15" t="s">
        <v>79</v>
      </c>
      <c r="R5984" s="4"/>
      <c r="S5984" s="4"/>
    </row>
    <row r="5985" spans="1:19" ht="21" customHeight="1" x14ac:dyDescent="0.25">
      <c r="A5985" s="14">
        <f>DATE(2012,12,31)-1075</f>
        <v>40199</v>
      </c>
      <c r="B5985" s="15" t="s">
        <v>2136</v>
      </c>
      <c r="C5985" s="15" t="s">
        <v>51</v>
      </c>
      <c r="D5985" s="16">
        <v>13</v>
      </c>
      <c r="E5985" s="17">
        <v>81.680000000000007</v>
      </c>
      <c r="F5985" s="16">
        <v>0.08</v>
      </c>
      <c r="G5985" s="15" t="s">
        <v>32</v>
      </c>
      <c r="H5985" s="18">
        <v>-25.22</v>
      </c>
      <c r="I5985" s="19">
        <v>5.98</v>
      </c>
      <c r="J5985" s="19">
        <v>5.15</v>
      </c>
      <c r="K5985" s="19" t="s">
        <v>33</v>
      </c>
      <c r="L5985" s="19" t="s">
        <v>59</v>
      </c>
      <c r="M5985" s="15" t="s">
        <v>2269</v>
      </c>
      <c r="N5985" s="15" t="s">
        <v>36</v>
      </c>
      <c r="O5985" s="15" t="s">
        <v>117</v>
      </c>
      <c r="P5985" s="20" t="s">
        <v>822</v>
      </c>
      <c r="Q5985" s="15" t="s">
        <v>83</v>
      </c>
      <c r="R5985" s="4"/>
      <c r="S5985" s="4"/>
    </row>
    <row r="5986" spans="1:19" ht="21" customHeight="1" x14ac:dyDescent="0.25">
      <c r="A5986" s="14">
        <f>DATE(2012,12,31)-144</f>
        <v>41130</v>
      </c>
      <c r="B5986" s="15" t="s">
        <v>1123</v>
      </c>
      <c r="C5986" s="15" t="s">
        <v>85</v>
      </c>
      <c r="D5986" s="16">
        <v>30</v>
      </c>
      <c r="E5986" s="17">
        <v>10994.74</v>
      </c>
      <c r="F5986" s="16">
        <v>0.09</v>
      </c>
      <c r="G5986" s="15" t="s">
        <v>58</v>
      </c>
      <c r="H5986" s="18">
        <v>3612.58</v>
      </c>
      <c r="I5986" s="19">
        <v>400.97</v>
      </c>
      <c r="J5986" s="19">
        <v>48.26</v>
      </c>
      <c r="K5986" s="19" t="s">
        <v>33</v>
      </c>
      <c r="L5986" s="19" t="s">
        <v>93</v>
      </c>
      <c r="M5986" s="15" t="s">
        <v>94</v>
      </c>
      <c r="N5986" s="15" t="s">
        <v>64</v>
      </c>
      <c r="O5986" s="15" t="s">
        <v>122</v>
      </c>
      <c r="P5986" s="20" t="s">
        <v>155</v>
      </c>
      <c r="Q5986" s="15" t="s">
        <v>63</v>
      </c>
      <c r="R5986" s="4"/>
      <c r="S5986" s="4"/>
    </row>
    <row r="5987" spans="1:19" ht="21" customHeight="1" x14ac:dyDescent="0.25">
      <c r="A5987" s="14">
        <f>DATE(2012,12,31)-301</f>
        <v>40973</v>
      </c>
      <c r="B5987" s="15" t="s">
        <v>523</v>
      </c>
      <c r="C5987" s="15" t="s">
        <v>85</v>
      </c>
      <c r="D5987" s="16">
        <v>43</v>
      </c>
      <c r="E5987" s="17">
        <v>19461.8</v>
      </c>
      <c r="F5987" s="16">
        <v>0.06</v>
      </c>
      <c r="G5987" s="15" t="s">
        <v>58</v>
      </c>
      <c r="H5987" s="18">
        <v>7752.01</v>
      </c>
      <c r="I5987" s="19">
        <v>449.99</v>
      </c>
      <c r="J5987" s="19">
        <v>49</v>
      </c>
      <c r="K5987" s="19" t="s">
        <v>33</v>
      </c>
      <c r="L5987" s="19" t="s">
        <v>59</v>
      </c>
      <c r="M5987" s="15" t="s">
        <v>2269</v>
      </c>
      <c r="N5987" s="15" t="s">
        <v>64</v>
      </c>
      <c r="O5987" s="15" t="s">
        <v>460</v>
      </c>
      <c r="P5987" s="20" t="s">
        <v>1937</v>
      </c>
      <c r="Q5987" s="15" t="s">
        <v>181</v>
      </c>
      <c r="R5987" s="4"/>
      <c r="S5987" s="4"/>
    </row>
    <row r="5988" spans="1:19" ht="21" customHeight="1" x14ac:dyDescent="0.25">
      <c r="A5988" s="14">
        <f>DATE(2012,12,31)-301</f>
        <v>40973</v>
      </c>
      <c r="B5988" s="15" t="s">
        <v>1715</v>
      </c>
      <c r="C5988" s="15" t="s">
        <v>85</v>
      </c>
      <c r="D5988" s="16">
        <v>14</v>
      </c>
      <c r="E5988" s="17">
        <v>313.85000000000002</v>
      </c>
      <c r="F5988" s="16">
        <v>0.03</v>
      </c>
      <c r="G5988" s="15" t="s">
        <v>32</v>
      </c>
      <c r="H5988" s="18">
        <v>-31.37</v>
      </c>
      <c r="I5988" s="19">
        <v>21.38</v>
      </c>
      <c r="J5988" s="19">
        <v>8.99</v>
      </c>
      <c r="K5988" s="19" t="s">
        <v>33</v>
      </c>
      <c r="L5988" s="19" t="s">
        <v>145</v>
      </c>
      <c r="M5988" s="15" t="s">
        <v>2248</v>
      </c>
      <c r="N5988" s="15" t="s">
        <v>36</v>
      </c>
      <c r="O5988" s="15" t="s">
        <v>77</v>
      </c>
      <c r="P5988" s="20" t="s">
        <v>511</v>
      </c>
      <c r="Q5988" s="15" t="s">
        <v>49</v>
      </c>
      <c r="R5988" s="4"/>
      <c r="S5988" s="4"/>
    </row>
    <row r="5989" spans="1:19" ht="21" customHeight="1" x14ac:dyDescent="0.25">
      <c r="A5989" s="14">
        <f>DATE(2012,12,31)-926</f>
        <v>40348</v>
      </c>
      <c r="B5989" s="15" t="s">
        <v>1715</v>
      </c>
      <c r="C5989" s="15" t="s">
        <v>43</v>
      </c>
      <c r="D5989" s="16">
        <v>28</v>
      </c>
      <c r="E5989" s="17">
        <v>164.5</v>
      </c>
      <c r="F5989" s="16">
        <v>0.01</v>
      </c>
      <c r="G5989" s="15" t="s">
        <v>32</v>
      </c>
      <c r="H5989" s="18">
        <v>62.68</v>
      </c>
      <c r="I5989" s="19">
        <v>5.84</v>
      </c>
      <c r="J5989" s="19">
        <v>1</v>
      </c>
      <c r="K5989" s="19" t="s">
        <v>33</v>
      </c>
      <c r="L5989" s="19" t="s">
        <v>93</v>
      </c>
      <c r="M5989" s="15" t="s">
        <v>94</v>
      </c>
      <c r="N5989" s="15" t="s">
        <v>36</v>
      </c>
      <c r="O5989" s="15" t="s">
        <v>77</v>
      </c>
      <c r="P5989" s="20" t="s">
        <v>948</v>
      </c>
      <c r="Q5989" s="15" t="s">
        <v>79</v>
      </c>
      <c r="R5989" s="4"/>
      <c r="S5989" s="4"/>
    </row>
    <row r="5990" spans="1:19" ht="21" customHeight="1" x14ac:dyDescent="0.25">
      <c r="A5990" s="14">
        <f>DATE(2012,12,31)-741</f>
        <v>40533</v>
      </c>
      <c r="B5990" s="15" t="s">
        <v>309</v>
      </c>
      <c r="C5990" s="15" t="s">
        <v>85</v>
      </c>
      <c r="D5990" s="16">
        <v>15</v>
      </c>
      <c r="E5990" s="17">
        <v>102.32</v>
      </c>
      <c r="F5990" s="16">
        <v>0.08</v>
      </c>
      <c r="G5990" s="15" t="s">
        <v>32</v>
      </c>
      <c r="H5990" s="18">
        <v>-32.700000000000003</v>
      </c>
      <c r="I5990" s="19">
        <v>6.48</v>
      </c>
      <c r="J5990" s="19">
        <v>5.74</v>
      </c>
      <c r="K5990" s="19" t="s">
        <v>33</v>
      </c>
      <c r="L5990" s="19" t="s">
        <v>59</v>
      </c>
      <c r="M5990" s="15" t="s">
        <v>2269</v>
      </c>
      <c r="N5990" s="15" t="s">
        <v>36</v>
      </c>
      <c r="O5990" s="15" t="s">
        <v>117</v>
      </c>
      <c r="P5990" s="20" t="s">
        <v>1148</v>
      </c>
      <c r="Q5990" s="15" t="s">
        <v>83</v>
      </c>
      <c r="R5990" s="4"/>
      <c r="S5990" s="4"/>
    </row>
    <row r="5991" spans="1:19" ht="21" customHeight="1" x14ac:dyDescent="0.25">
      <c r="A5991" s="14">
        <f>DATE(2012,12,31)-809</f>
        <v>40465</v>
      </c>
      <c r="B5991" s="15" t="s">
        <v>88</v>
      </c>
      <c r="C5991" s="15" t="s">
        <v>51</v>
      </c>
      <c r="D5991" s="16">
        <v>10</v>
      </c>
      <c r="E5991" s="17">
        <v>238.88</v>
      </c>
      <c r="F5991" s="16">
        <v>0.01</v>
      </c>
      <c r="G5991" s="15" t="s">
        <v>32</v>
      </c>
      <c r="H5991" s="18">
        <v>-48.207999999999998</v>
      </c>
      <c r="I5991" s="19">
        <v>22.38</v>
      </c>
      <c r="J5991" s="19">
        <v>15.1</v>
      </c>
      <c r="K5991" s="19" t="s">
        <v>33</v>
      </c>
      <c r="L5991" s="19" t="s">
        <v>145</v>
      </c>
      <c r="M5991" s="15" t="s">
        <v>2248</v>
      </c>
      <c r="N5991" s="15" t="s">
        <v>36</v>
      </c>
      <c r="O5991" s="15" t="s">
        <v>170</v>
      </c>
      <c r="P5991" s="20" t="s">
        <v>1559</v>
      </c>
      <c r="Q5991" s="15" t="s">
        <v>83</v>
      </c>
      <c r="R5991" s="4"/>
      <c r="S5991" s="4"/>
    </row>
    <row r="5992" spans="1:19" ht="21" customHeight="1" x14ac:dyDescent="0.25">
      <c r="A5992" s="14">
        <f>DATE(2012,12,31)-809</f>
        <v>40465</v>
      </c>
      <c r="B5992" s="15" t="s">
        <v>1402</v>
      </c>
      <c r="C5992" s="15" t="s">
        <v>51</v>
      </c>
      <c r="D5992" s="16">
        <v>39</v>
      </c>
      <c r="E5992" s="17">
        <v>1235.29</v>
      </c>
      <c r="F5992" s="16">
        <v>0</v>
      </c>
      <c r="G5992" s="15" t="s">
        <v>101</v>
      </c>
      <c r="H5992" s="18">
        <v>53.63</v>
      </c>
      <c r="I5992" s="19">
        <v>30.98</v>
      </c>
      <c r="J5992" s="19">
        <v>6.5</v>
      </c>
      <c r="K5992" s="19" t="s">
        <v>33</v>
      </c>
      <c r="L5992" s="19" t="s">
        <v>145</v>
      </c>
      <c r="M5992" s="15" t="s">
        <v>2248</v>
      </c>
      <c r="N5992" s="15" t="s">
        <v>64</v>
      </c>
      <c r="O5992" s="15" t="s">
        <v>72</v>
      </c>
      <c r="P5992" s="20" t="s">
        <v>893</v>
      </c>
      <c r="Q5992" s="15" t="s">
        <v>83</v>
      </c>
      <c r="R5992" s="4"/>
      <c r="S5992" s="4"/>
    </row>
    <row r="5993" spans="1:19" ht="21" customHeight="1" x14ac:dyDescent="0.25">
      <c r="A5993" s="14">
        <f>DATE(2012,12,31)-809</f>
        <v>40465</v>
      </c>
      <c r="B5993" s="15" t="s">
        <v>1402</v>
      </c>
      <c r="C5993" s="15" t="s">
        <v>51</v>
      </c>
      <c r="D5993" s="16">
        <v>12</v>
      </c>
      <c r="E5993" s="17">
        <v>1928.3269999999998</v>
      </c>
      <c r="F5993" s="16">
        <v>0.09</v>
      </c>
      <c r="G5993" s="15" t="s">
        <v>32</v>
      </c>
      <c r="H5993" s="18">
        <v>-253.374</v>
      </c>
      <c r="I5993" s="19">
        <v>195.99</v>
      </c>
      <c r="J5993" s="19">
        <v>8.99</v>
      </c>
      <c r="K5993" s="19" t="s">
        <v>33</v>
      </c>
      <c r="L5993" s="19" t="s">
        <v>145</v>
      </c>
      <c r="M5993" s="15" t="s">
        <v>2248</v>
      </c>
      <c r="N5993" s="15" t="s">
        <v>64</v>
      </c>
      <c r="O5993" s="15" t="s">
        <v>65</v>
      </c>
      <c r="P5993" s="20" t="s">
        <v>706</v>
      </c>
      <c r="Q5993" s="15" t="s">
        <v>83</v>
      </c>
      <c r="R5993" s="4"/>
      <c r="S5993" s="4"/>
    </row>
    <row r="5994" spans="1:19" ht="21" customHeight="1" x14ac:dyDescent="0.25">
      <c r="A5994" s="14">
        <f>DATE(2012,12,31)-53</f>
        <v>41221</v>
      </c>
      <c r="B5994" s="15" t="s">
        <v>1402</v>
      </c>
      <c r="C5994" s="15" t="s">
        <v>43</v>
      </c>
      <c r="D5994" s="16">
        <v>31</v>
      </c>
      <c r="E5994" s="17">
        <v>934.87</v>
      </c>
      <c r="F5994" s="16">
        <v>0.09</v>
      </c>
      <c r="G5994" s="15" t="s">
        <v>32</v>
      </c>
      <c r="H5994" s="18">
        <v>98.6935</v>
      </c>
      <c r="I5994" s="19">
        <v>31.74</v>
      </c>
      <c r="J5994" s="19">
        <v>12.62</v>
      </c>
      <c r="K5994" s="19" t="s">
        <v>69</v>
      </c>
      <c r="L5994" s="19" t="s">
        <v>75</v>
      </c>
      <c r="M5994" s="15" t="s">
        <v>2231</v>
      </c>
      <c r="N5994" s="15" t="s">
        <v>36</v>
      </c>
      <c r="O5994" s="15" t="s">
        <v>170</v>
      </c>
      <c r="P5994" s="20" t="s">
        <v>387</v>
      </c>
      <c r="Q5994" s="15" t="s">
        <v>83</v>
      </c>
      <c r="R5994" s="4"/>
      <c r="S5994" s="4"/>
    </row>
    <row r="5995" spans="1:19" ht="21" customHeight="1" x14ac:dyDescent="0.25">
      <c r="A5995" s="14">
        <f>DATE(2012,12,31)-53</f>
        <v>41221</v>
      </c>
      <c r="B5995" s="15" t="s">
        <v>392</v>
      </c>
      <c r="C5995" s="15" t="s">
        <v>43</v>
      </c>
      <c r="D5995" s="16">
        <v>18</v>
      </c>
      <c r="E5995" s="17">
        <v>2130.8200000000002</v>
      </c>
      <c r="F5995" s="16">
        <v>0.05</v>
      </c>
      <c r="G5995" s="15" t="s">
        <v>32</v>
      </c>
      <c r="H5995" s="18">
        <v>818.91549999999995</v>
      </c>
      <c r="I5995" s="19">
        <v>120.98</v>
      </c>
      <c r="J5995" s="19">
        <v>9.07</v>
      </c>
      <c r="K5995" s="19" t="s">
        <v>69</v>
      </c>
      <c r="L5995" s="19" t="s">
        <v>70</v>
      </c>
      <c r="M5995" s="15" t="s">
        <v>2230</v>
      </c>
      <c r="N5995" s="15" t="s">
        <v>36</v>
      </c>
      <c r="O5995" s="15" t="s">
        <v>170</v>
      </c>
      <c r="P5995" s="20" t="s">
        <v>1344</v>
      </c>
      <c r="Q5995" s="15" t="s">
        <v>83</v>
      </c>
      <c r="R5995" s="4"/>
      <c r="S5995" s="4"/>
    </row>
    <row r="5996" spans="1:19" ht="21" customHeight="1" x14ac:dyDescent="0.25">
      <c r="A5996" s="14">
        <f>DATE(2012,12,31)-297</f>
        <v>40977</v>
      </c>
      <c r="B5996" s="15" t="s">
        <v>392</v>
      </c>
      <c r="C5996" s="15" t="s">
        <v>31</v>
      </c>
      <c r="D5996" s="16">
        <v>23</v>
      </c>
      <c r="E5996" s="17">
        <v>44.89</v>
      </c>
      <c r="F5996" s="16">
        <v>0.09</v>
      </c>
      <c r="G5996" s="15" t="s">
        <v>32</v>
      </c>
      <c r="H5996" s="18">
        <v>-17.13</v>
      </c>
      <c r="I5996" s="19">
        <v>1.95</v>
      </c>
      <c r="J5996" s="19">
        <v>1.63</v>
      </c>
      <c r="K5996" s="19" t="s">
        <v>69</v>
      </c>
      <c r="L5996" s="19" t="s">
        <v>75</v>
      </c>
      <c r="M5996" s="15" t="s">
        <v>2231</v>
      </c>
      <c r="N5996" s="15" t="s">
        <v>36</v>
      </c>
      <c r="O5996" s="15" t="s">
        <v>77</v>
      </c>
      <c r="P5996" s="20" t="s">
        <v>1445</v>
      </c>
      <c r="Q5996" s="15" t="s">
        <v>79</v>
      </c>
      <c r="R5996" s="4"/>
      <c r="S5996" s="4"/>
    </row>
    <row r="5997" spans="1:19" ht="21" customHeight="1" x14ac:dyDescent="0.25">
      <c r="A5997" s="14">
        <f>DATE(2012,12,31)-1060</f>
        <v>40214</v>
      </c>
      <c r="B5997" s="15" t="s">
        <v>1792</v>
      </c>
      <c r="C5997" s="15" t="s">
        <v>43</v>
      </c>
      <c r="D5997" s="16">
        <v>39</v>
      </c>
      <c r="E5997" s="17">
        <v>1836.06</v>
      </c>
      <c r="F5997" s="16">
        <v>0.04</v>
      </c>
      <c r="G5997" s="15" t="s">
        <v>32</v>
      </c>
      <c r="H5997" s="18">
        <v>437.07</v>
      </c>
      <c r="I5997" s="19">
        <v>48.92</v>
      </c>
      <c r="J5997" s="19">
        <v>4.5</v>
      </c>
      <c r="K5997" s="19" t="s">
        <v>69</v>
      </c>
      <c r="L5997" s="19" t="s">
        <v>70</v>
      </c>
      <c r="M5997" s="15" t="s">
        <v>2230</v>
      </c>
      <c r="N5997" s="15" t="s">
        <v>36</v>
      </c>
      <c r="O5997" s="15" t="s">
        <v>176</v>
      </c>
      <c r="P5997" s="20" t="s">
        <v>1176</v>
      </c>
      <c r="Q5997" s="15" t="s">
        <v>83</v>
      </c>
      <c r="R5997" s="4"/>
      <c r="S5997" s="4"/>
    </row>
    <row r="5998" spans="1:19" ht="21" customHeight="1" x14ac:dyDescent="0.25">
      <c r="A5998" s="14">
        <f>DATE(2012,12,31)-1060</f>
        <v>40214</v>
      </c>
      <c r="B5998" s="15" t="s">
        <v>1872</v>
      </c>
      <c r="C5998" s="15" t="s">
        <v>43</v>
      </c>
      <c r="D5998" s="16">
        <v>2</v>
      </c>
      <c r="E5998" s="17">
        <v>21.03</v>
      </c>
      <c r="F5998" s="16">
        <v>0.03</v>
      </c>
      <c r="G5998" s="15" t="s">
        <v>32</v>
      </c>
      <c r="H5998" s="18">
        <v>-10.4765</v>
      </c>
      <c r="I5998" s="19">
        <v>8.69</v>
      </c>
      <c r="J5998" s="19">
        <v>2.99</v>
      </c>
      <c r="K5998" s="19" t="s">
        <v>69</v>
      </c>
      <c r="L5998" s="19" t="s">
        <v>75</v>
      </c>
      <c r="M5998" s="15" t="s">
        <v>2284</v>
      </c>
      <c r="N5998" s="15" t="s">
        <v>36</v>
      </c>
      <c r="O5998" s="15" t="s">
        <v>170</v>
      </c>
      <c r="P5998" s="20" t="s">
        <v>1460</v>
      </c>
      <c r="Q5998" s="15" t="s">
        <v>83</v>
      </c>
      <c r="R5998" s="4"/>
      <c r="S5998" s="4"/>
    </row>
    <row r="5999" spans="1:19" ht="21" customHeight="1" x14ac:dyDescent="0.25">
      <c r="A5999" s="14">
        <f>DATE(2012,12,31)-1042</f>
        <v>40232</v>
      </c>
      <c r="B5999" s="15" t="s">
        <v>1872</v>
      </c>
      <c r="C5999" s="15" t="s">
        <v>85</v>
      </c>
      <c r="D5999" s="16">
        <v>37</v>
      </c>
      <c r="E5999" s="17">
        <v>1356.45</v>
      </c>
      <c r="F5999" s="16">
        <v>0.02</v>
      </c>
      <c r="G5999" s="15" t="s">
        <v>32</v>
      </c>
      <c r="H5999" s="18">
        <v>47.65</v>
      </c>
      <c r="I5999" s="19">
        <v>35.44</v>
      </c>
      <c r="J5999" s="19">
        <v>19.989999999999998</v>
      </c>
      <c r="K5999" s="19" t="s">
        <v>69</v>
      </c>
      <c r="L5999" s="19" t="s">
        <v>75</v>
      </c>
      <c r="M5999" s="15" t="s">
        <v>2284</v>
      </c>
      <c r="N5999" s="15" t="s">
        <v>36</v>
      </c>
      <c r="O5999" s="15" t="s">
        <v>117</v>
      </c>
      <c r="P5999" s="20" t="s">
        <v>193</v>
      </c>
      <c r="Q5999" s="15" t="s">
        <v>83</v>
      </c>
      <c r="R5999" s="4"/>
      <c r="S5999" s="4"/>
    </row>
    <row r="6000" spans="1:19" ht="21" customHeight="1" x14ac:dyDescent="0.25">
      <c r="A6000" s="14">
        <f>DATE(2012,12,31)-1042</f>
        <v>40232</v>
      </c>
      <c r="B6000" s="15" t="s">
        <v>804</v>
      </c>
      <c r="C6000" s="15" t="s">
        <v>85</v>
      </c>
      <c r="D6000" s="16">
        <v>13</v>
      </c>
      <c r="E6000" s="17">
        <v>250.75</v>
      </c>
      <c r="F6000" s="16">
        <v>0.02</v>
      </c>
      <c r="G6000" s="15" t="s">
        <v>32</v>
      </c>
      <c r="H6000" s="18">
        <v>-43.52</v>
      </c>
      <c r="I6000" s="19">
        <v>17.7</v>
      </c>
      <c r="J6000" s="19">
        <v>9.4700000000000006</v>
      </c>
      <c r="K6000" s="19" t="s">
        <v>69</v>
      </c>
      <c r="L6000" s="19" t="s">
        <v>70</v>
      </c>
      <c r="M6000" s="15" t="s">
        <v>2230</v>
      </c>
      <c r="N6000" s="15" t="s">
        <v>36</v>
      </c>
      <c r="O6000" s="15" t="s">
        <v>37</v>
      </c>
      <c r="P6000" s="20" t="s">
        <v>1093</v>
      </c>
      <c r="Q6000" s="15" t="s">
        <v>83</v>
      </c>
      <c r="R6000" s="4"/>
      <c r="S6000" s="4"/>
    </row>
    <row r="6001" spans="1:19" ht="21" customHeight="1" x14ac:dyDescent="0.25">
      <c r="A6001" s="14">
        <f>DATE(2012,12,31)-1042</f>
        <v>40232</v>
      </c>
      <c r="B6001" s="15" t="s">
        <v>804</v>
      </c>
      <c r="C6001" s="15" t="s">
        <v>85</v>
      </c>
      <c r="D6001" s="16">
        <v>31</v>
      </c>
      <c r="E6001" s="17">
        <v>313.05</v>
      </c>
      <c r="F6001" s="16">
        <v>0.02</v>
      </c>
      <c r="G6001" s="15" t="s">
        <v>101</v>
      </c>
      <c r="H6001" s="18">
        <v>81.87</v>
      </c>
      <c r="I6001" s="19">
        <v>9.7799999999999994</v>
      </c>
      <c r="J6001" s="19">
        <v>1.99</v>
      </c>
      <c r="K6001" s="19" t="s">
        <v>69</v>
      </c>
      <c r="L6001" s="19" t="s">
        <v>70</v>
      </c>
      <c r="M6001" s="15" t="s">
        <v>2230</v>
      </c>
      <c r="N6001" s="15" t="s">
        <v>64</v>
      </c>
      <c r="O6001" s="15" t="s">
        <v>72</v>
      </c>
      <c r="P6001" s="20" t="s">
        <v>269</v>
      </c>
      <c r="Q6001" s="15" t="s">
        <v>49</v>
      </c>
      <c r="R6001" s="4"/>
      <c r="S6001" s="4"/>
    </row>
    <row r="6002" spans="1:19" ht="21" customHeight="1" x14ac:dyDescent="0.25">
      <c r="A6002" s="14">
        <f>DATE(2012,12,31)-1042</f>
        <v>40232</v>
      </c>
      <c r="B6002" s="15" t="s">
        <v>804</v>
      </c>
      <c r="C6002" s="15" t="s">
        <v>85</v>
      </c>
      <c r="D6002" s="16">
        <v>46</v>
      </c>
      <c r="E6002" s="17">
        <v>161.28</v>
      </c>
      <c r="F6002" s="16">
        <v>0.01</v>
      </c>
      <c r="G6002" s="15" t="s">
        <v>32</v>
      </c>
      <c r="H6002" s="18">
        <v>56.73</v>
      </c>
      <c r="I6002" s="19">
        <v>3.49</v>
      </c>
      <c r="J6002" s="19">
        <v>0.76</v>
      </c>
      <c r="K6002" s="19" t="s">
        <v>69</v>
      </c>
      <c r="L6002" s="19" t="s">
        <v>70</v>
      </c>
      <c r="M6002" s="15" t="s">
        <v>2230</v>
      </c>
      <c r="N6002" s="15" t="s">
        <v>36</v>
      </c>
      <c r="O6002" s="15" t="s">
        <v>105</v>
      </c>
      <c r="P6002" s="20" t="s">
        <v>1487</v>
      </c>
      <c r="Q6002" s="15" t="s">
        <v>79</v>
      </c>
      <c r="R6002" s="4"/>
      <c r="S6002" s="4"/>
    </row>
    <row r="6003" spans="1:19" ht="21" customHeight="1" x14ac:dyDescent="0.25">
      <c r="A6003" s="14">
        <f>DATE(2012,12,31)-1042</f>
        <v>40232</v>
      </c>
      <c r="B6003" s="15" t="s">
        <v>804</v>
      </c>
      <c r="C6003" s="15" t="s">
        <v>85</v>
      </c>
      <c r="D6003" s="16">
        <v>29</v>
      </c>
      <c r="E6003" s="17">
        <v>200.7</v>
      </c>
      <c r="F6003" s="16">
        <v>0.02</v>
      </c>
      <c r="G6003" s="15" t="s">
        <v>32</v>
      </c>
      <c r="H6003" s="18">
        <v>-147.72</v>
      </c>
      <c r="I6003" s="19">
        <v>6.48</v>
      </c>
      <c r="J6003" s="19">
        <v>9.17</v>
      </c>
      <c r="K6003" s="19" t="s">
        <v>69</v>
      </c>
      <c r="L6003" s="19" t="s">
        <v>70</v>
      </c>
      <c r="M6003" s="15" t="s">
        <v>2230</v>
      </c>
      <c r="N6003" s="15" t="s">
        <v>36</v>
      </c>
      <c r="O6003" s="15" t="s">
        <v>117</v>
      </c>
      <c r="P6003" s="20" t="s">
        <v>594</v>
      </c>
      <c r="Q6003" s="15" t="s">
        <v>83</v>
      </c>
      <c r="R6003" s="4"/>
      <c r="S6003" s="4"/>
    </row>
    <row r="6004" spans="1:19" ht="21" customHeight="1" x14ac:dyDescent="0.25">
      <c r="A6004" s="14">
        <f>DATE(2012,12,31)-813</f>
        <v>40461</v>
      </c>
      <c r="B6004" s="15" t="s">
        <v>804</v>
      </c>
      <c r="C6004" s="15" t="s">
        <v>31</v>
      </c>
      <c r="D6004" s="16">
        <v>2</v>
      </c>
      <c r="E6004" s="17">
        <v>6.34</v>
      </c>
      <c r="F6004" s="16">
        <v>0.08</v>
      </c>
      <c r="G6004" s="15" t="s">
        <v>32</v>
      </c>
      <c r="H6004" s="18">
        <v>-4.4400000000000004</v>
      </c>
      <c r="I6004" s="19">
        <v>2.78</v>
      </c>
      <c r="J6004" s="19">
        <v>0.97</v>
      </c>
      <c r="K6004" s="19" t="s">
        <v>69</v>
      </c>
      <c r="L6004" s="19" t="s">
        <v>215</v>
      </c>
      <c r="M6004" s="15" t="s">
        <v>2275</v>
      </c>
      <c r="N6004" s="15" t="s">
        <v>36</v>
      </c>
      <c r="O6004" s="15" t="s">
        <v>77</v>
      </c>
      <c r="P6004" s="20" t="s">
        <v>1517</v>
      </c>
      <c r="Q6004" s="15" t="s">
        <v>79</v>
      </c>
      <c r="R6004" s="4"/>
      <c r="S6004" s="4"/>
    </row>
    <row r="6005" spans="1:19" ht="21" customHeight="1" x14ac:dyDescent="0.25">
      <c r="A6005" s="14">
        <f>DATE(2012,12,31)-813</f>
        <v>40461</v>
      </c>
      <c r="B6005" s="15" t="s">
        <v>651</v>
      </c>
      <c r="C6005" s="15" t="s">
        <v>31</v>
      </c>
      <c r="D6005" s="16">
        <v>8</v>
      </c>
      <c r="E6005" s="17">
        <v>57.15</v>
      </c>
      <c r="F6005" s="16">
        <v>0.03</v>
      </c>
      <c r="G6005" s="15" t="s">
        <v>32</v>
      </c>
      <c r="H6005" s="18">
        <v>-33.950000000000003</v>
      </c>
      <c r="I6005" s="19">
        <v>5.98</v>
      </c>
      <c r="J6005" s="19">
        <v>7.5</v>
      </c>
      <c r="K6005" s="19" t="s">
        <v>69</v>
      </c>
      <c r="L6005" s="19" t="s">
        <v>215</v>
      </c>
      <c r="M6005" s="15" t="s">
        <v>2275</v>
      </c>
      <c r="N6005" s="15" t="s">
        <v>36</v>
      </c>
      <c r="O6005" s="15" t="s">
        <v>117</v>
      </c>
      <c r="P6005" s="20" t="s">
        <v>1430</v>
      </c>
      <c r="Q6005" s="15" t="s">
        <v>83</v>
      </c>
      <c r="R6005" s="4"/>
      <c r="S6005" s="4"/>
    </row>
    <row r="6006" spans="1:19" ht="21" customHeight="1" x14ac:dyDescent="0.25">
      <c r="A6006" s="14">
        <f>DATE(2012,12,31)-813</f>
        <v>40461</v>
      </c>
      <c r="B6006" s="15" t="s">
        <v>651</v>
      </c>
      <c r="C6006" s="15" t="s">
        <v>31</v>
      </c>
      <c r="D6006" s="16">
        <v>48</v>
      </c>
      <c r="E6006" s="17">
        <v>2996.93</v>
      </c>
      <c r="F6006" s="16">
        <v>0.04</v>
      </c>
      <c r="G6006" s="15" t="s">
        <v>32</v>
      </c>
      <c r="H6006" s="18">
        <v>1060.8699999999999</v>
      </c>
      <c r="I6006" s="19">
        <v>60.22</v>
      </c>
      <c r="J6006" s="19">
        <v>3.5</v>
      </c>
      <c r="K6006" s="19" t="s">
        <v>69</v>
      </c>
      <c r="L6006" s="19" t="s">
        <v>75</v>
      </c>
      <c r="M6006" s="15" t="s">
        <v>2284</v>
      </c>
      <c r="N6006" s="15" t="s">
        <v>36</v>
      </c>
      <c r="O6006" s="15" t="s">
        <v>176</v>
      </c>
      <c r="P6006" s="20" t="s">
        <v>1801</v>
      </c>
      <c r="Q6006" s="15" t="s">
        <v>83</v>
      </c>
      <c r="R6006" s="4"/>
      <c r="S6006" s="4"/>
    </row>
    <row r="6007" spans="1:19" ht="21" customHeight="1" x14ac:dyDescent="0.25">
      <c r="A6007" s="14">
        <f>DATE(2012,12,31)-1059</f>
        <v>40215</v>
      </c>
      <c r="B6007" s="15" t="s">
        <v>651</v>
      </c>
      <c r="C6007" s="15" t="s">
        <v>31</v>
      </c>
      <c r="D6007" s="16">
        <v>15</v>
      </c>
      <c r="E6007" s="17">
        <v>1062.9589999999998</v>
      </c>
      <c r="F6007" s="16">
        <v>7.0000000000000007E-2</v>
      </c>
      <c r="G6007" s="15" t="s">
        <v>101</v>
      </c>
      <c r="H6007" s="18">
        <v>298.476</v>
      </c>
      <c r="I6007" s="19">
        <v>85.99</v>
      </c>
      <c r="J6007" s="19">
        <v>2.5</v>
      </c>
      <c r="K6007" s="19" t="s">
        <v>69</v>
      </c>
      <c r="L6007" s="19" t="s">
        <v>215</v>
      </c>
      <c r="M6007" s="15" t="s">
        <v>2275</v>
      </c>
      <c r="N6007" s="15" t="s">
        <v>64</v>
      </c>
      <c r="O6007" s="15" t="s">
        <v>65</v>
      </c>
      <c r="P6007" s="20" t="s">
        <v>1805</v>
      </c>
      <c r="Q6007" s="15" t="s">
        <v>83</v>
      </c>
      <c r="R6007" s="4"/>
      <c r="S6007" s="4"/>
    </row>
    <row r="6008" spans="1:19" ht="21" customHeight="1" x14ac:dyDescent="0.25">
      <c r="A6008" s="14">
        <f>DATE(2012,12,31)-872</f>
        <v>40402</v>
      </c>
      <c r="B6008" s="15" t="s">
        <v>1294</v>
      </c>
      <c r="C6008" s="15" t="s">
        <v>85</v>
      </c>
      <c r="D6008" s="16">
        <v>7</v>
      </c>
      <c r="E6008" s="17">
        <v>44.25</v>
      </c>
      <c r="F6008" s="16">
        <v>7.0000000000000007E-2</v>
      </c>
      <c r="G6008" s="15" t="s">
        <v>101</v>
      </c>
      <c r="H6008" s="18">
        <v>-14.3635</v>
      </c>
      <c r="I6008" s="19">
        <v>4.24</v>
      </c>
      <c r="J6008" s="19">
        <v>5.41</v>
      </c>
      <c r="K6008" s="19" t="s">
        <v>69</v>
      </c>
      <c r="L6008" s="19" t="s">
        <v>215</v>
      </c>
      <c r="M6008" s="15" t="s">
        <v>2275</v>
      </c>
      <c r="N6008" s="15" t="s">
        <v>36</v>
      </c>
      <c r="O6008" s="15" t="s">
        <v>170</v>
      </c>
      <c r="P6008" s="20" t="s">
        <v>2066</v>
      </c>
      <c r="Q6008" s="15" t="s">
        <v>83</v>
      </c>
      <c r="R6008" s="4"/>
      <c r="S6008" s="4"/>
    </row>
    <row r="6009" spans="1:19" ht="21" customHeight="1" x14ac:dyDescent="0.25">
      <c r="A6009" s="14">
        <f>DATE(2012,12,31)-110</f>
        <v>41164</v>
      </c>
      <c r="B6009" s="15" t="s">
        <v>1410</v>
      </c>
      <c r="C6009" s="15" t="s">
        <v>31</v>
      </c>
      <c r="D6009" s="16">
        <v>35</v>
      </c>
      <c r="E6009" s="17">
        <v>7468.86</v>
      </c>
      <c r="F6009" s="16">
        <v>0.02</v>
      </c>
      <c r="G6009" s="15" t="s">
        <v>58</v>
      </c>
      <c r="H6009" s="18">
        <v>2155.41</v>
      </c>
      <c r="I6009" s="19">
        <v>200.98</v>
      </c>
      <c r="J6009" s="19">
        <v>23.76</v>
      </c>
      <c r="K6009" s="19" t="s">
        <v>69</v>
      </c>
      <c r="L6009" s="19" t="s">
        <v>215</v>
      </c>
      <c r="M6009" s="15" t="s">
        <v>2275</v>
      </c>
      <c r="N6009" s="15" t="s">
        <v>54</v>
      </c>
      <c r="O6009" s="15" t="s">
        <v>252</v>
      </c>
      <c r="P6009" s="20" t="s">
        <v>415</v>
      </c>
      <c r="Q6009" s="15" t="s">
        <v>181</v>
      </c>
      <c r="R6009" s="4"/>
      <c r="S6009" s="4"/>
    </row>
    <row r="6010" spans="1:19" ht="21" customHeight="1" x14ac:dyDescent="0.25">
      <c r="A6010" s="14">
        <f>DATE(2012,12,31)-831</f>
        <v>40443</v>
      </c>
      <c r="B6010" s="15" t="s">
        <v>2073</v>
      </c>
      <c r="C6010" s="15" t="s">
        <v>31</v>
      </c>
      <c r="D6010" s="16">
        <v>33</v>
      </c>
      <c r="E6010" s="17">
        <v>283.8</v>
      </c>
      <c r="F6010" s="16">
        <v>0.04</v>
      </c>
      <c r="G6010" s="15" t="s">
        <v>32</v>
      </c>
      <c r="H6010" s="18">
        <v>47.523499999999999</v>
      </c>
      <c r="I6010" s="19">
        <v>8.69</v>
      </c>
      <c r="J6010" s="19">
        <v>2.99</v>
      </c>
      <c r="K6010" s="19" t="s">
        <v>111</v>
      </c>
      <c r="L6010" s="19" t="s">
        <v>407</v>
      </c>
      <c r="M6010" s="15" t="s">
        <v>407</v>
      </c>
      <c r="N6010" s="15" t="s">
        <v>36</v>
      </c>
      <c r="O6010" s="15" t="s">
        <v>170</v>
      </c>
      <c r="P6010" s="20" t="s">
        <v>1277</v>
      </c>
      <c r="Q6010" s="15" t="s">
        <v>83</v>
      </c>
      <c r="R6010" s="4"/>
      <c r="S6010" s="4"/>
    </row>
    <row r="6011" spans="1:19" ht="21" customHeight="1" x14ac:dyDescent="0.25">
      <c r="A6011" s="14">
        <f>DATE(2012,12,31)-1085</f>
        <v>40189</v>
      </c>
      <c r="B6011" s="15" t="s">
        <v>267</v>
      </c>
      <c r="C6011" s="15" t="s">
        <v>85</v>
      </c>
      <c r="D6011" s="16">
        <v>12</v>
      </c>
      <c r="E6011" s="17">
        <v>1940.32</v>
      </c>
      <c r="F6011" s="16">
        <v>0</v>
      </c>
      <c r="G6011" s="15" t="s">
        <v>58</v>
      </c>
      <c r="H6011" s="18">
        <v>-18.809999999999999</v>
      </c>
      <c r="I6011" s="19">
        <v>146.34</v>
      </c>
      <c r="J6011" s="19">
        <v>43.75</v>
      </c>
      <c r="K6011" s="19" t="s">
        <v>44</v>
      </c>
      <c r="L6011" s="19" t="s">
        <v>89</v>
      </c>
      <c r="M6011" s="15" t="s">
        <v>2278</v>
      </c>
      <c r="N6011" s="15" t="s">
        <v>54</v>
      </c>
      <c r="O6011" s="15" t="s">
        <v>61</v>
      </c>
      <c r="P6011" s="20" t="s">
        <v>193</v>
      </c>
      <c r="Q6011" s="15" t="s">
        <v>63</v>
      </c>
      <c r="R6011" s="4"/>
      <c r="S6011" s="4"/>
    </row>
    <row r="6012" spans="1:19" ht="21" customHeight="1" x14ac:dyDescent="0.25">
      <c r="A6012" s="14">
        <f>DATE(2012,12,31)-139</f>
        <v>41135</v>
      </c>
      <c r="B6012" s="15" t="s">
        <v>827</v>
      </c>
      <c r="C6012" s="15" t="s">
        <v>85</v>
      </c>
      <c r="D6012" s="16">
        <v>9</v>
      </c>
      <c r="E6012" s="17">
        <v>51.75</v>
      </c>
      <c r="F6012" s="16">
        <v>0.05</v>
      </c>
      <c r="G6012" s="15" t="s">
        <v>32</v>
      </c>
      <c r="H6012" s="18">
        <v>4.16</v>
      </c>
      <c r="I6012" s="19">
        <v>5.58</v>
      </c>
      <c r="J6012" s="19">
        <v>0.7</v>
      </c>
      <c r="K6012" s="19" t="s">
        <v>44</v>
      </c>
      <c r="L6012" s="19" t="s">
        <v>45</v>
      </c>
      <c r="M6012" s="15" t="s">
        <v>2271</v>
      </c>
      <c r="N6012" s="15" t="s">
        <v>36</v>
      </c>
      <c r="O6012" s="15" t="s">
        <v>77</v>
      </c>
      <c r="P6012" s="20" t="s">
        <v>953</v>
      </c>
      <c r="Q6012" s="15" t="s">
        <v>79</v>
      </c>
      <c r="R6012" s="4"/>
      <c r="S6012" s="4"/>
    </row>
    <row r="6013" spans="1:19" ht="21" customHeight="1" x14ac:dyDescent="0.25">
      <c r="A6013" s="14">
        <f>DATE(2012,12,31)-1012</f>
        <v>40262</v>
      </c>
      <c r="B6013" s="15" t="s">
        <v>627</v>
      </c>
      <c r="C6013" s="15" t="s">
        <v>85</v>
      </c>
      <c r="D6013" s="16">
        <v>5</v>
      </c>
      <c r="E6013" s="17">
        <v>29.66</v>
      </c>
      <c r="F6013" s="16">
        <v>0.04</v>
      </c>
      <c r="G6013" s="15" t="s">
        <v>32</v>
      </c>
      <c r="H6013" s="18">
        <v>-32.78</v>
      </c>
      <c r="I6013" s="19">
        <v>4.9800000000000004</v>
      </c>
      <c r="J6013" s="19">
        <v>4.32</v>
      </c>
      <c r="K6013" s="19" t="s">
        <v>44</v>
      </c>
      <c r="L6013" s="19" t="s">
        <v>89</v>
      </c>
      <c r="M6013" s="15" t="s">
        <v>2278</v>
      </c>
      <c r="N6013" s="15" t="s">
        <v>64</v>
      </c>
      <c r="O6013" s="15" t="s">
        <v>72</v>
      </c>
      <c r="P6013" s="20" t="s">
        <v>159</v>
      </c>
      <c r="Q6013" s="15" t="s">
        <v>49</v>
      </c>
      <c r="R6013" s="4"/>
      <c r="S6013" s="4"/>
    </row>
    <row r="6014" spans="1:19" ht="21" customHeight="1" x14ac:dyDescent="0.25">
      <c r="A6014" s="14">
        <f>DATE(2012,12,31)-1365</f>
        <v>39909</v>
      </c>
      <c r="B6014" s="15" t="s">
        <v>761</v>
      </c>
      <c r="C6014" s="15" t="s">
        <v>85</v>
      </c>
      <c r="D6014" s="16">
        <v>31</v>
      </c>
      <c r="E6014" s="17">
        <v>9459.94</v>
      </c>
      <c r="F6014" s="16">
        <v>0.04</v>
      </c>
      <c r="G6014" s="15" t="s">
        <v>58</v>
      </c>
      <c r="H6014" s="18">
        <v>2023.75</v>
      </c>
      <c r="I6014" s="19">
        <v>300.98</v>
      </c>
      <c r="J6014" s="19">
        <v>54.92</v>
      </c>
      <c r="K6014" s="19" t="s">
        <v>44</v>
      </c>
      <c r="L6014" s="19" t="s">
        <v>120</v>
      </c>
      <c r="M6014" s="15" t="s">
        <v>2262</v>
      </c>
      <c r="N6014" s="15" t="s">
        <v>54</v>
      </c>
      <c r="O6014" s="15" t="s">
        <v>134</v>
      </c>
      <c r="P6014" s="20" t="s">
        <v>1799</v>
      </c>
      <c r="Q6014" s="15" t="s">
        <v>63</v>
      </c>
      <c r="R6014" s="4"/>
      <c r="S6014" s="4"/>
    </row>
    <row r="6015" spans="1:19" ht="21" customHeight="1" x14ac:dyDescent="0.25">
      <c r="A6015" s="14">
        <f>DATE(2012,12,31)-606</f>
        <v>40668</v>
      </c>
      <c r="B6015" s="15" t="s">
        <v>804</v>
      </c>
      <c r="C6015" s="15" t="s">
        <v>43</v>
      </c>
      <c r="D6015" s="16">
        <v>4</v>
      </c>
      <c r="E6015" s="17">
        <v>1199.336</v>
      </c>
      <c r="F6015" s="16">
        <v>0.01</v>
      </c>
      <c r="G6015" s="15" t="s">
        <v>58</v>
      </c>
      <c r="H6015" s="18">
        <v>224.8</v>
      </c>
      <c r="I6015" s="19">
        <v>349.45</v>
      </c>
      <c r="J6015" s="19">
        <v>60</v>
      </c>
      <c r="K6015" s="19" t="s">
        <v>44</v>
      </c>
      <c r="L6015" s="19" t="s">
        <v>45</v>
      </c>
      <c r="M6015" s="15" t="s">
        <v>2271</v>
      </c>
      <c r="N6015" s="15" t="s">
        <v>54</v>
      </c>
      <c r="O6015" s="15" t="s">
        <v>61</v>
      </c>
      <c r="P6015" s="20" t="s">
        <v>1541</v>
      </c>
      <c r="Q6015" s="15" t="s">
        <v>181</v>
      </c>
      <c r="R6015" s="4"/>
      <c r="S6015" s="4"/>
    </row>
    <row r="6016" spans="1:19" ht="21" customHeight="1" x14ac:dyDescent="0.25">
      <c r="A6016" s="14">
        <f>DATE(2012,12,31)-1332</f>
        <v>39942</v>
      </c>
      <c r="B6016" s="15" t="s">
        <v>576</v>
      </c>
      <c r="C6016" s="15" t="s">
        <v>51</v>
      </c>
      <c r="D6016" s="16">
        <v>41</v>
      </c>
      <c r="E6016" s="17">
        <v>257.66000000000003</v>
      </c>
      <c r="F6016" s="16">
        <v>0.05</v>
      </c>
      <c r="G6016" s="15" t="s">
        <v>32</v>
      </c>
      <c r="H6016" s="18">
        <v>-69.23</v>
      </c>
      <c r="I6016" s="19">
        <v>6.48</v>
      </c>
      <c r="J6016" s="19">
        <v>2.74</v>
      </c>
      <c r="K6016" s="19" t="s">
        <v>44</v>
      </c>
      <c r="L6016" s="19" t="s">
        <v>120</v>
      </c>
      <c r="M6016" s="15" t="s">
        <v>2262</v>
      </c>
      <c r="N6016" s="15" t="s">
        <v>64</v>
      </c>
      <c r="O6016" s="15" t="s">
        <v>72</v>
      </c>
      <c r="P6016" s="20" t="s">
        <v>1031</v>
      </c>
      <c r="Q6016" s="15" t="s">
        <v>49</v>
      </c>
      <c r="R6016" s="4"/>
      <c r="S6016" s="4"/>
    </row>
    <row r="6017" spans="1:19" ht="21" customHeight="1" x14ac:dyDescent="0.25">
      <c r="A6017" s="14">
        <f>DATE(2012,12,31)-1332</f>
        <v>39942</v>
      </c>
      <c r="B6017" s="15" t="s">
        <v>1905</v>
      </c>
      <c r="C6017" s="15" t="s">
        <v>51</v>
      </c>
      <c r="D6017" s="16">
        <v>18</v>
      </c>
      <c r="E6017" s="17">
        <v>211.4</v>
      </c>
      <c r="F6017" s="16">
        <v>0.09</v>
      </c>
      <c r="G6017" s="15" t="s">
        <v>32</v>
      </c>
      <c r="H6017" s="18">
        <v>91.63</v>
      </c>
      <c r="I6017" s="19">
        <v>12.53</v>
      </c>
      <c r="J6017" s="19">
        <v>0.5</v>
      </c>
      <c r="K6017" s="19" t="s">
        <v>44</v>
      </c>
      <c r="L6017" s="19" t="s">
        <v>120</v>
      </c>
      <c r="M6017" s="15" t="s">
        <v>2262</v>
      </c>
      <c r="N6017" s="15" t="s">
        <v>36</v>
      </c>
      <c r="O6017" s="15" t="s">
        <v>114</v>
      </c>
      <c r="P6017" s="20" t="s">
        <v>1244</v>
      </c>
      <c r="Q6017" s="15" t="s">
        <v>83</v>
      </c>
      <c r="R6017" s="4"/>
      <c r="S6017" s="4"/>
    </row>
    <row r="6018" spans="1:19" ht="21" customHeight="1" x14ac:dyDescent="0.25">
      <c r="A6018" s="14">
        <f>DATE(2012,12,31)-1332</f>
        <v>39942</v>
      </c>
      <c r="B6018" s="15" t="s">
        <v>1905</v>
      </c>
      <c r="C6018" s="15" t="s">
        <v>51</v>
      </c>
      <c r="D6018" s="16">
        <v>44</v>
      </c>
      <c r="E6018" s="17">
        <v>287.22000000000003</v>
      </c>
      <c r="F6018" s="16">
        <v>0.06</v>
      </c>
      <c r="G6018" s="15" t="s">
        <v>32</v>
      </c>
      <c r="H6018" s="18">
        <v>-72.930000000000007</v>
      </c>
      <c r="I6018" s="19">
        <v>6.68</v>
      </c>
      <c r="J6018" s="19">
        <v>5.41</v>
      </c>
      <c r="K6018" s="19" t="s">
        <v>44</v>
      </c>
      <c r="L6018" s="19" t="s">
        <v>89</v>
      </c>
      <c r="M6018" s="15" t="s">
        <v>2278</v>
      </c>
      <c r="N6018" s="15" t="s">
        <v>36</v>
      </c>
      <c r="O6018" s="15" t="s">
        <v>117</v>
      </c>
      <c r="P6018" s="20" t="s">
        <v>1896</v>
      </c>
      <c r="Q6018" s="15" t="s">
        <v>83</v>
      </c>
      <c r="R6018" s="4"/>
      <c r="S6018" s="4"/>
    </row>
    <row r="6019" spans="1:19" ht="21" customHeight="1" x14ac:dyDescent="0.25">
      <c r="A6019" s="14">
        <f>DATE(2012,12,31)-1332</f>
        <v>39942</v>
      </c>
      <c r="B6019" s="15" t="s">
        <v>1905</v>
      </c>
      <c r="C6019" s="15" t="s">
        <v>51</v>
      </c>
      <c r="D6019" s="16">
        <v>22</v>
      </c>
      <c r="E6019" s="17">
        <v>1148.0355</v>
      </c>
      <c r="F6019" s="16">
        <v>0.08</v>
      </c>
      <c r="G6019" s="15" t="s">
        <v>101</v>
      </c>
      <c r="H6019" s="18">
        <v>21.978000000000002</v>
      </c>
      <c r="I6019" s="19">
        <v>65.989999999999995</v>
      </c>
      <c r="J6019" s="19">
        <v>8.99</v>
      </c>
      <c r="K6019" s="19" t="s">
        <v>44</v>
      </c>
      <c r="L6019" s="19" t="s">
        <v>45</v>
      </c>
      <c r="M6019" s="15" t="s">
        <v>2271</v>
      </c>
      <c r="N6019" s="15" t="s">
        <v>64</v>
      </c>
      <c r="O6019" s="15" t="s">
        <v>65</v>
      </c>
      <c r="P6019" s="20" t="s">
        <v>268</v>
      </c>
      <c r="Q6019" s="15" t="s">
        <v>83</v>
      </c>
      <c r="R6019" s="4"/>
      <c r="S6019" s="4"/>
    </row>
    <row r="6020" spans="1:19" ht="21" customHeight="1" x14ac:dyDescent="0.25">
      <c r="A6020" s="14">
        <f>DATE(2012,12,31)-455</f>
        <v>40819</v>
      </c>
      <c r="B6020" s="15" t="s">
        <v>1905</v>
      </c>
      <c r="C6020" s="15" t="s">
        <v>31</v>
      </c>
      <c r="D6020" s="16">
        <v>48</v>
      </c>
      <c r="E6020" s="17">
        <v>945.54</v>
      </c>
      <c r="F6020" s="16">
        <v>0.03</v>
      </c>
      <c r="G6020" s="15" t="s">
        <v>32</v>
      </c>
      <c r="H6020" s="18">
        <v>254.58</v>
      </c>
      <c r="I6020" s="19">
        <v>19.98</v>
      </c>
      <c r="J6020" s="19">
        <v>5.97</v>
      </c>
      <c r="K6020" s="19" t="s">
        <v>44</v>
      </c>
      <c r="L6020" s="19" t="s">
        <v>120</v>
      </c>
      <c r="M6020" s="15" t="s">
        <v>2262</v>
      </c>
      <c r="N6020" s="15" t="s">
        <v>36</v>
      </c>
      <c r="O6020" s="15" t="s">
        <v>117</v>
      </c>
      <c r="P6020" s="20" t="s">
        <v>141</v>
      </c>
      <c r="Q6020" s="15" t="s">
        <v>83</v>
      </c>
      <c r="R6020" s="4"/>
      <c r="S6020" s="4"/>
    </row>
    <row r="6021" spans="1:19" ht="21" customHeight="1" x14ac:dyDescent="0.25">
      <c r="A6021" s="14">
        <f>DATE(2012,12,31)-930</f>
        <v>40344</v>
      </c>
      <c r="B6021" s="15" t="s">
        <v>672</v>
      </c>
      <c r="C6021" s="15" t="s">
        <v>85</v>
      </c>
      <c r="D6021" s="16">
        <v>29</v>
      </c>
      <c r="E6021" s="17">
        <v>146.68</v>
      </c>
      <c r="F6021" s="16">
        <v>0.08</v>
      </c>
      <c r="G6021" s="15" t="s">
        <v>32</v>
      </c>
      <c r="H6021" s="18">
        <v>-8.3260000000000005</v>
      </c>
      <c r="I6021" s="19">
        <v>5.28</v>
      </c>
      <c r="J6021" s="19">
        <v>2.99</v>
      </c>
      <c r="K6021" s="19" t="s">
        <v>44</v>
      </c>
      <c r="L6021" s="19" t="s">
        <v>45</v>
      </c>
      <c r="M6021" s="15" t="s">
        <v>2271</v>
      </c>
      <c r="N6021" s="15" t="s">
        <v>36</v>
      </c>
      <c r="O6021" s="15" t="s">
        <v>170</v>
      </c>
      <c r="P6021" s="20" t="s">
        <v>1347</v>
      </c>
      <c r="Q6021" s="15" t="s">
        <v>83</v>
      </c>
      <c r="R6021" s="4"/>
      <c r="S6021" s="4"/>
    </row>
    <row r="6022" spans="1:19" ht="21" customHeight="1" x14ac:dyDescent="0.25">
      <c r="A6022" s="14">
        <f>DATE(2012,12,31)-825</f>
        <v>40449</v>
      </c>
      <c r="B6022" s="15" t="s">
        <v>261</v>
      </c>
      <c r="C6022" s="15" t="s">
        <v>31</v>
      </c>
      <c r="D6022" s="16">
        <v>44</v>
      </c>
      <c r="E6022" s="17">
        <v>18697.240000000002</v>
      </c>
      <c r="F6022" s="16">
        <v>0.02</v>
      </c>
      <c r="G6022" s="15" t="s">
        <v>32</v>
      </c>
      <c r="H6022" s="18">
        <v>8918.7354999999989</v>
      </c>
      <c r="I6022" s="19">
        <v>420.98</v>
      </c>
      <c r="J6022" s="19">
        <v>19.989999999999998</v>
      </c>
      <c r="K6022" s="19" t="s">
        <v>44</v>
      </c>
      <c r="L6022" s="19" t="s">
        <v>120</v>
      </c>
      <c r="M6022" s="15" t="s">
        <v>2262</v>
      </c>
      <c r="N6022" s="15" t="s">
        <v>36</v>
      </c>
      <c r="O6022" s="15" t="s">
        <v>170</v>
      </c>
      <c r="P6022" s="20" t="s">
        <v>358</v>
      </c>
      <c r="Q6022" s="15" t="s">
        <v>83</v>
      </c>
      <c r="R6022" s="4"/>
      <c r="S6022" s="4"/>
    </row>
    <row r="6023" spans="1:19" ht="21" customHeight="1" x14ac:dyDescent="0.25">
      <c r="A6023" s="14">
        <f>DATE(2012,12,31)-825</f>
        <v>40449</v>
      </c>
      <c r="B6023" s="15" t="s">
        <v>331</v>
      </c>
      <c r="C6023" s="15" t="s">
        <v>31</v>
      </c>
      <c r="D6023" s="16">
        <v>48</v>
      </c>
      <c r="E6023" s="17">
        <v>786.13</v>
      </c>
      <c r="F6023" s="16">
        <v>0.04</v>
      </c>
      <c r="G6023" s="15" t="s">
        <v>32</v>
      </c>
      <c r="H6023" s="18">
        <v>-236.12</v>
      </c>
      <c r="I6023" s="19">
        <v>16.739999999999998</v>
      </c>
      <c r="J6023" s="19">
        <v>7.04</v>
      </c>
      <c r="K6023" s="19" t="s">
        <v>44</v>
      </c>
      <c r="L6023" s="19" t="s">
        <v>89</v>
      </c>
      <c r="M6023" s="15" t="s">
        <v>2278</v>
      </c>
      <c r="N6023" s="15" t="s">
        <v>36</v>
      </c>
      <c r="O6023" s="15" t="s">
        <v>37</v>
      </c>
      <c r="P6023" s="20" t="s">
        <v>466</v>
      </c>
      <c r="Q6023" s="15" t="s">
        <v>83</v>
      </c>
      <c r="R6023" s="4"/>
      <c r="S6023" s="4"/>
    </row>
    <row r="6024" spans="1:19" ht="21" customHeight="1" x14ac:dyDescent="0.25">
      <c r="A6024" s="14">
        <f>DATE(2012,12,31)-952</f>
        <v>40322</v>
      </c>
      <c r="B6024" s="15" t="s">
        <v>331</v>
      </c>
      <c r="C6024" s="15" t="s">
        <v>31</v>
      </c>
      <c r="D6024" s="16">
        <v>50</v>
      </c>
      <c r="E6024" s="17">
        <v>2447.65</v>
      </c>
      <c r="F6024" s="16">
        <v>0</v>
      </c>
      <c r="G6024" s="15" t="s">
        <v>32</v>
      </c>
      <c r="H6024" s="18">
        <v>1170.3499999999999</v>
      </c>
      <c r="I6024" s="19">
        <v>46.94</v>
      </c>
      <c r="J6024" s="19">
        <v>6.77</v>
      </c>
      <c r="K6024" s="19" t="s">
        <v>44</v>
      </c>
      <c r="L6024" s="19" t="s">
        <v>45</v>
      </c>
      <c r="M6024" s="15" t="s">
        <v>2271</v>
      </c>
      <c r="N6024" s="15" t="s">
        <v>54</v>
      </c>
      <c r="O6024" s="15" t="s">
        <v>55</v>
      </c>
      <c r="P6024" s="20" t="s">
        <v>1598</v>
      </c>
      <c r="Q6024" s="15" t="s">
        <v>83</v>
      </c>
      <c r="R6024" s="4"/>
      <c r="S6024" s="4"/>
    </row>
    <row r="6025" spans="1:19" ht="21" customHeight="1" x14ac:dyDescent="0.25">
      <c r="A6025" s="14">
        <f>DATE(2012,12,31)-952</f>
        <v>40322</v>
      </c>
      <c r="B6025" s="15" t="s">
        <v>459</v>
      </c>
      <c r="C6025" s="15" t="s">
        <v>31</v>
      </c>
      <c r="D6025" s="16">
        <v>7</v>
      </c>
      <c r="E6025" s="17">
        <v>1069.6400000000001</v>
      </c>
      <c r="F6025" s="16">
        <v>0.09</v>
      </c>
      <c r="G6025" s="15" t="s">
        <v>32</v>
      </c>
      <c r="H6025" s="18">
        <v>-139.75</v>
      </c>
      <c r="I6025" s="19">
        <v>161.55000000000001</v>
      </c>
      <c r="J6025" s="19">
        <v>19.989999999999998</v>
      </c>
      <c r="K6025" s="19" t="s">
        <v>44</v>
      </c>
      <c r="L6025" s="19" t="s">
        <v>89</v>
      </c>
      <c r="M6025" s="15" t="s">
        <v>2278</v>
      </c>
      <c r="N6025" s="15" t="s">
        <v>36</v>
      </c>
      <c r="O6025" s="15" t="s">
        <v>37</v>
      </c>
      <c r="P6025" s="20" t="s">
        <v>1428</v>
      </c>
      <c r="Q6025" s="15" t="s">
        <v>83</v>
      </c>
      <c r="R6025" s="4"/>
      <c r="S6025" s="4"/>
    </row>
    <row r="6026" spans="1:19" ht="21" customHeight="1" x14ac:dyDescent="0.25">
      <c r="A6026" s="14">
        <f>DATE(2012,12,31)-377</f>
        <v>40897</v>
      </c>
      <c r="B6026" s="15" t="s">
        <v>459</v>
      </c>
      <c r="C6026" s="15" t="s">
        <v>85</v>
      </c>
      <c r="D6026" s="16">
        <v>41</v>
      </c>
      <c r="E6026" s="17">
        <v>248.86</v>
      </c>
      <c r="F6026" s="16">
        <v>0.08</v>
      </c>
      <c r="G6026" s="15" t="s">
        <v>32</v>
      </c>
      <c r="H6026" s="18">
        <v>-168.67</v>
      </c>
      <c r="I6026" s="19">
        <v>5.98</v>
      </c>
      <c r="J6026" s="19">
        <v>7.5</v>
      </c>
      <c r="K6026" s="19" t="s">
        <v>44</v>
      </c>
      <c r="L6026" s="19" t="s">
        <v>89</v>
      </c>
      <c r="M6026" s="15" t="s">
        <v>2278</v>
      </c>
      <c r="N6026" s="15" t="s">
        <v>36</v>
      </c>
      <c r="O6026" s="15" t="s">
        <v>117</v>
      </c>
      <c r="P6026" s="20" t="s">
        <v>1794</v>
      </c>
      <c r="Q6026" s="15" t="s">
        <v>83</v>
      </c>
      <c r="R6026" s="4"/>
      <c r="S6026" s="4"/>
    </row>
    <row r="6027" spans="1:19" ht="21" customHeight="1" x14ac:dyDescent="0.25">
      <c r="A6027" s="14">
        <f>DATE(2012,12,31)-377</f>
        <v>40897</v>
      </c>
      <c r="B6027" s="15" t="s">
        <v>952</v>
      </c>
      <c r="C6027" s="15" t="s">
        <v>85</v>
      </c>
      <c r="D6027" s="16">
        <v>42</v>
      </c>
      <c r="E6027" s="17">
        <v>278.01</v>
      </c>
      <c r="F6027" s="16">
        <v>0.03</v>
      </c>
      <c r="G6027" s="15" t="s">
        <v>32</v>
      </c>
      <c r="H6027" s="18">
        <v>-202.31</v>
      </c>
      <c r="I6027" s="19">
        <v>6.48</v>
      </c>
      <c r="J6027" s="19">
        <v>8.73</v>
      </c>
      <c r="K6027" s="19" t="s">
        <v>44</v>
      </c>
      <c r="L6027" s="19" t="s">
        <v>120</v>
      </c>
      <c r="M6027" s="15" t="s">
        <v>2262</v>
      </c>
      <c r="N6027" s="15" t="s">
        <v>36</v>
      </c>
      <c r="O6027" s="15" t="s">
        <v>117</v>
      </c>
      <c r="P6027" s="20" t="s">
        <v>1801</v>
      </c>
      <c r="Q6027" s="15" t="s">
        <v>83</v>
      </c>
      <c r="R6027" s="4"/>
      <c r="S6027" s="4"/>
    </row>
    <row r="6028" spans="1:19" ht="21" customHeight="1" x14ac:dyDescent="0.25">
      <c r="A6028" s="14">
        <f>DATE(2012,12,31)-740</f>
        <v>40534</v>
      </c>
      <c r="B6028" s="15" t="s">
        <v>952</v>
      </c>
      <c r="C6028" s="15" t="s">
        <v>43</v>
      </c>
      <c r="D6028" s="16">
        <v>12</v>
      </c>
      <c r="E6028" s="17">
        <v>710.32799999999997</v>
      </c>
      <c r="F6028" s="16">
        <v>0.02</v>
      </c>
      <c r="G6028" s="15" t="s">
        <v>32</v>
      </c>
      <c r="H6028" s="18">
        <v>-10.295999999999992</v>
      </c>
      <c r="I6028" s="19">
        <v>65.989999999999995</v>
      </c>
      <c r="J6028" s="19">
        <v>5.31</v>
      </c>
      <c r="K6028" s="19" t="s">
        <v>44</v>
      </c>
      <c r="L6028" s="19" t="s">
        <v>120</v>
      </c>
      <c r="M6028" s="15" t="s">
        <v>2262</v>
      </c>
      <c r="N6028" s="15" t="s">
        <v>64</v>
      </c>
      <c r="O6028" s="15" t="s">
        <v>65</v>
      </c>
      <c r="P6028" s="20" t="s">
        <v>880</v>
      </c>
      <c r="Q6028" s="15" t="s">
        <v>83</v>
      </c>
      <c r="R6028" s="4"/>
      <c r="S6028" s="4"/>
    </row>
    <row r="6029" spans="1:19" ht="21" customHeight="1" x14ac:dyDescent="0.25">
      <c r="A6029" s="14">
        <f>DATE(2012,12,31)-85</f>
        <v>41189</v>
      </c>
      <c r="B6029" s="15" t="s">
        <v>1522</v>
      </c>
      <c r="C6029" s="15" t="s">
        <v>43</v>
      </c>
      <c r="D6029" s="16">
        <v>23</v>
      </c>
      <c r="E6029" s="17">
        <v>1152.1600000000001</v>
      </c>
      <c r="F6029" s="16">
        <v>0</v>
      </c>
      <c r="G6029" s="15" t="s">
        <v>32</v>
      </c>
      <c r="H6029" s="18">
        <v>286.98</v>
      </c>
      <c r="I6029" s="19">
        <v>48.92</v>
      </c>
      <c r="J6029" s="19">
        <v>4.5</v>
      </c>
      <c r="K6029" s="19" t="s">
        <v>44</v>
      </c>
      <c r="L6029" s="19" t="s">
        <v>120</v>
      </c>
      <c r="M6029" s="15" t="s">
        <v>2262</v>
      </c>
      <c r="N6029" s="15" t="s">
        <v>36</v>
      </c>
      <c r="O6029" s="15" t="s">
        <v>176</v>
      </c>
      <c r="P6029" s="20" t="s">
        <v>1654</v>
      </c>
      <c r="Q6029" s="15" t="s">
        <v>83</v>
      </c>
      <c r="R6029" s="4"/>
      <c r="S6029" s="4"/>
    </row>
    <row r="6030" spans="1:19" ht="21" customHeight="1" x14ac:dyDescent="0.25">
      <c r="A6030" s="14">
        <f>DATE(2012,12,31)-85</f>
        <v>41189</v>
      </c>
      <c r="B6030" s="15" t="s">
        <v>1475</v>
      </c>
      <c r="C6030" s="15" t="s">
        <v>43</v>
      </c>
      <c r="D6030" s="16">
        <v>2</v>
      </c>
      <c r="E6030" s="17">
        <v>19.899999999999999</v>
      </c>
      <c r="F6030" s="16">
        <v>7.0000000000000007E-2</v>
      </c>
      <c r="G6030" s="15" t="s">
        <v>32</v>
      </c>
      <c r="H6030" s="18">
        <v>15.97</v>
      </c>
      <c r="I6030" s="19">
        <v>7.38</v>
      </c>
      <c r="J6030" s="19">
        <v>5.21</v>
      </c>
      <c r="K6030" s="19" t="s">
        <v>44</v>
      </c>
      <c r="L6030" s="19" t="s">
        <v>89</v>
      </c>
      <c r="M6030" s="15" t="s">
        <v>2278</v>
      </c>
      <c r="N6030" s="15" t="s">
        <v>54</v>
      </c>
      <c r="O6030" s="15" t="s">
        <v>55</v>
      </c>
      <c r="P6030" s="20" t="s">
        <v>1376</v>
      </c>
      <c r="Q6030" s="15" t="s">
        <v>83</v>
      </c>
      <c r="R6030" s="4"/>
      <c r="S6030" s="4"/>
    </row>
    <row r="6031" spans="1:19" ht="21" customHeight="1" x14ac:dyDescent="0.25">
      <c r="A6031" s="14">
        <f>DATE(2012,12,31)-609</f>
        <v>40665</v>
      </c>
      <c r="B6031" s="15" t="s">
        <v>631</v>
      </c>
      <c r="C6031" s="15" t="s">
        <v>85</v>
      </c>
      <c r="D6031" s="16">
        <v>18</v>
      </c>
      <c r="E6031" s="17">
        <v>231.06</v>
      </c>
      <c r="F6031" s="16">
        <v>0.04</v>
      </c>
      <c r="G6031" s="15" t="s">
        <v>32</v>
      </c>
      <c r="H6031" s="18">
        <v>-29.83</v>
      </c>
      <c r="I6031" s="19">
        <v>12.28</v>
      </c>
      <c r="J6031" s="19">
        <v>6.13</v>
      </c>
      <c r="K6031" s="19" t="s">
        <v>124</v>
      </c>
      <c r="L6031" s="19" t="s">
        <v>160</v>
      </c>
      <c r="M6031" s="15" t="s">
        <v>2281</v>
      </c>
      <c r="N6031" s="15" t="s">
        <v>36</v>
      </c>
      <c r="O6031" s="15" t="s">
        <v>37</v>
      </c>
      <c r="P6031" s="20" t="s">
        <v>1460</v>
      </c>
      <c r="Q6031" s="15" t="s">
        <v>83</v>
      </c>
      <c r="R6031" s="4"/>
      <c r="S6031" s="4"/>
    </row>
    <row r="6032" spans="1:19" ht="21" customHeight="1" x14ac:dyDescent="0.25">
      <c r="A6032" s="14">
        <f>DATE(2012,12,31)-612</f>
        <v>40662</v>
      </c>
      <c r="B6032" s="15" t="s">
        <v>631</v>
      </c>
      <c r="C6032" s="15" t="s">
        <v>43</v>
      </c>
      <c r="D6032" s="16">
        <v>11</v>
      </c>
      <c r="E6032" s="17">
        <v>5510.23</v>
      </c>
      <c r="F6032" s="16">
        <v>0.01</v>
      </c>
      <c r="G6032" s="15" t="s">
        <v>58</v>
      </c>
      <c r="H6032" s="18">
        <v>915.8</v>
      </c>
      <c r="I6032" s="19">
        <v>500.98</v>
      </c>
      <c r="J6032" s="19">
        <v>26</v>
      </c>
      <c r="K6032" s="19" t="s">
        <v>124</v>
      </c>
      <c r="L6032" s="19" t="s">
        <v>160</v>
      </c>
      <c r="M6032" s="15" t="s">
        <v>2281</v>
      </c>
      <c r="N6032" s="15" t="s">
        <v>54</v>
      </c>
      <c r="O6032" s="15" t="s">
        <v>252</v>
      </c>
      <c r="P6032" s="20" t="s">
        <v>154</v>
      </c>
      <c r="Q6032" s="15" t="s">
        <v>181</v>
      </c>
      <c r="R6032" s="4"/>
      <c r="S6032" s="4"/>
    </row>
    <row r="6033" spans="1:19" ht="21" customHeight="1" x14ac:dyDescent="0.25">
      <c r="A6033" s="14">
        <f>DATE(2012,12,31)-612</f>
        <v>40662</v>
      </c>
      <c r="B6033" s="15" t="s">
        <v>448</v>
      </c>
      <c r="C6033" s="15" t="s">
        <v>43</v>
      </c>
      <c r="D6033" s="16">
        <v>21</v>
      </c>
      <c r="E6033" s="17">
        <v>177.06</v>
      </c>
      <c r="F6033" s="16">
        <v>0.1</v>
      </c>
      <c r="G6033" s="15" t="s">
        <v>32</v>
      </c>
      <c r="H6033" s="18">
        <v>-100.61</v>
      </c>
      <c r="I6033" s="19">
        <v>8.4499999999999993</v>
      </c>
      <c r="J6033" s="19">
        <v>7.77</v>
      </c>
      <c r="K6033" s="19" t="s">
        <v>33</v>
      </c>
      <c r="L6033" s="19" t="s">
        <v>93</v>
      </c>
      <c r="M6033" s="15" t="s">
        <v>94</v>
      </c>
      <c r="N6033" s="15" t="s">
        <v>36</v>
      </c>
      <c r="O6033" s="15" t="s">
        <v>47</v>
      </c>
      <c r="P6033" s="20" t="s">
        <v>1707</v>
      </c>
      <c r="Q6033" s="15" t="s">
        <v>49</v>
      </c>
      <c r="R6033" s="4"/>
      <c r="S6033" s="4"/>
    </row>
    <row r="6034" spans="1:19" ht="21" customHeight="1" x14ac:dyDescent="0.25">
      <c r="A6034" s="14">
        <f>DATE(2012,12,31)-348</f>
        <v>40926</v>
      </c>
      <c r="B6034" s="15" t="s">
        <v>1532</v>
      </c>
      <c r="C6034" s="15" t="s">
        <v>85</v>
      </c>
      <c r="D6034" s="16">
        <v>45</v>
      </c>
      <c r="E6034" s="17">
        <v>4072.8175000000001</v>
      </c>
      <c r="F6034" s="16">
        <v>0.1</v>
      </c>
      <c r="G6034" s="15" t="s">
        <v>32</v>
      </c>
      <c r="H6034" s="18">
        <v>897.36300000000006</v>
      </c>
      <c r="I6034" s="19">
        <v>115.99</v>
      </c>
      <c r="J6034" s="19">
        <v>3</v>
      </c>
      <c r="K6034" s="19" t="s">
        <v>33</v>
      </c>
      <c r="L6034" s="19" t="s">
        <v>93</v>
      </c>
      <c r="M6034" s="15" t="s">
        <v>94</v>
      </c>
      <c r="N6034" s="15" t="s">
        <v>64</v>
      </c>
      <c r="O6034" s="15" t="s">
        <v>65</v>
      </c>
      <c r="P6034" s="20" t="s">
        <v>577</v>
      </c>
      <c r="Q6034" s="15" t="s">
        <v>83</v>
      </c>
      <c r="R6034" s="4"/>
      <c r="S6034" s="4"/>
    </row>
    <row r="6035" spans="1:19" ht="21" customHeight="1" x14ac:dyDescent="0.25">
      <c r="A6035" s="14">
        <f>DATE(2012,12,31)-860</f>
        <v>40414</v>
      </c>
      <c r="B6035" s="15" t="s">
        <v>1532</v>
      </c>
      <c r="C6035" s="15" t="s">
        <v>85</v>
      </c>
      <c r="D6035" s="16">
        <v>31</v>
      </c>
      <c r="E6035" s="17">
        <v>341.71</v>
      </c>
      <c r="F6035" s="16">
        <v>0.04</v>
      </c>
      <c r="G6035" s="15" t="s">
        <v>32</v>
      </c>
      <c r="H6035" s="18">
        <v>32.189499999999995</v>
      </c>
      <c r="I6035" s="19">
        <v>10.98</v>
      </c>
      <c r="J6035" s="19">
        <v>5.14</v>
      </c>
      <c r="K6035" s="19" t="s">
        <v>33</v>
      </c>
      <c r="L6035" s="19" t="s">
        <v>128</v>
      </c>
      <c r="M6035" s="15" t="s">
        <v>129</v>
      </c>
      <c r="N6035" s="15" t="s">
        <v>36</v>
      </c>
      <c r="O6035" s="15" t="s">
        <v>170</v>
      </c>
      <c r="P6035" s="20" t="s">
        <v>1863</v>
      </c>
      <c r="Q6035" s="15" t="s">
        <v>83</v>
      </c>
      <c r="R6035" s="4"/>
      <c r="S6035" s="4"/>
    </row>
    <row r="6036" spans="1:19" ht="21" customHeight="1" x14ac:dyDescent="0.25">
      <c r="A6036" s="14">
        <f>DATE(2012,12,31)-51</f>
        <v>41223</v>
      </c>
      <c r="B6036" s="15" t="s">
        <v>1648</v>
      </c>
      <c r="C6036" s="15" t="s">
        <v>85</v>
      </c>
      <c r="D6036" s="16">
        <v>12</v>
      </c>
      <c r="E6036" s="17">
        <v>1769.74</v>
      </c>
      <c r="F6036" s="16">
        <v>7.0000000000000007E-2</v>
      </c>
      <c r="G6036" s="15" t="s">
        <v>32</v>
      </c>
      <c r="H6036" s="18">
        <v>-333.69</v>
      </c>
      <c r="I6036" s="19">
        <v>152.47999999999999</v>
      </c>
      <c r="J6036" s="19">
        <v>4</v>
      </c>
      <c r="K6036" s="19" t="s">
        <v>33</v>
      </c>
      <c r="L6036" s="19" t="s">
        <v>93</v>
      </c>
      <c r="M6036" s="15" t="s">
        <v>94</v>
      </c>
      <c r="N6036" s="15" t="s">
        <v>64</v>
      </c>
      <c r="O6036" s="15" t="s">
        <v>72</v>
      </c>
      <c r="P6036" s="20" t="s">
        <v>2285</v>
      </c>
      <c r="Q6036" s="15" t="s">
        <v>83</v>
      </c>
      <c r="R6036" s="4"/>
      <c r="S6036" s="4"/>
    </row>
    <row r="6037" spans="1:19" ht="21" customHeight="1" x14ac:dyDescent="0.25">
      <c r="A6037" s="14">
        <f>DATE(2012,12,31)-51</f>
        <v>41223</v>
      </c>
      <c r="B6037" s="15" t="s">
        <v>1822</v>
      </c>
      <c r="C6037" s="15" t="s">
        <v>85</v>
      </c>
      <c r="D6037" s="16">
        <v>42</v>
      </c>
      <c r="E6037" s="17">
        <v>638.07000000000005</v>
      </c>
      <c r="F6037" s="16">
        <v>0.05</v>
      </c>
      <c r="G6037" s="15" t="s">
        <v>32</v>
      </c>
      <c r="H6037" s="18">
        <v>278.89</v>
      </c>
      <c r="I6037" s="19">
        <v>15.04</v>
      </c>
      <c r="J6037" s="19">
        <v>1.97</v>
      </c>
      <c r="K6037" s="19" t="s">
        <v>97</v>
      </c>
      <c r="L6037" s="19" t="s">
        <v>98</v>
      </c>
      <c r="M6037" s="15" t="s">
        <v>2279</v>
      </c>
      <c r="N6037" s="15" t="s">
        <v>36</v>
      </c>
      <c r="O6037" s="15" t="s">
        <v>117</v>
      </c>
      <c r="P6037" s="20" t="s">
        <v>1590</v>
      </c>
      <c r="Q6037" s="15" t="s">
        <v>79</v>
      </c>
      <c r="R6037" s="4"/>
      <c r="S6037" s="4"/>
    </row>
    <row r="6038" spans="1:19" ht="21" customHeight="1" x14ac:dyDescent="0.25">
      <c r="A6038" s="14">
        <f>DATE(2012,12,31)-445</f>
        <v>40829</v>
      </c>
      <c r="B6038" s="15" t="s">
        <v>728</v>
      </c>
      <c r="C6038" s="15" t="s">
        <v>85</v>
      </c>
      <c r="D6038" s="16">
        <v>26</v>
      </c>
      <c r="E6038" s="17">
        <v>241.92</v>
      </c>
      <c r="F6038" s="16">
        <v>0.1</v>
      </c>
      <c r="G6038" s="15" t="s">
        <v>32</v>
      </c>
      <c r="H6038" s="18">
        <v>67.709999999999994</v>
      </c>
      <c r="I6038" s="19">
        <v>10.14</v>
      </c>
      <c r="J6038" s="19">
        <v>2.27</v>
      </c>
      <c r="K6038" s="19" t="s">
        <v>97</v>
      </c>
      <c r="L6038" s="19" t="s">
        <v>195</v>
      </c>
      <c r="M6038" s="15" t="s">
        <v>2138</v>
      </c>
      <c r="N6038" s="15" t="s">
        <v>36</v>
      </c>
      <c r="O6038" s="15" t="s">
        <v>117</v>
      </c>
      <c r="P6038" s="20" t="s">
        <v>473</v>
      </c>
      <c r="Q6038" s="15" t="s">
        <v>79</v>
      </c>
      <c r="R6038" s="4"/>
      <c r="S6038" s="4"/>
    </row>
    <row r="6039" spans="1:19" ht="21" customHeight="1" x14ac:dyDescent="0.25">
      <c r="A6039" s="14">
        <f>DATE(2012,12,31)-1049</f>
        <v>40225</v>
      </c>
      <c r="B6039" s="15" t="s">
        <v>728</v>
      </c>
      <c r="C6039" s="15" t="s">
        <v>31</v>
      </c>
      <c r="D6039" s="16">
        <v>27</v>
      </c>
      <c r="E6039" s="17">
        <v>141.56</v>
      </c>
      <c r="F6039" s="16">
        <v>0.1</v>
      </c>
      <c r="G6039" s="15" t="s">
        <v>32</v>
      </c>
      <c r="H6039" s="18">
        <v>-2.8519999999999999</v>
      </c>
      <c r="I6039" s="19">
        <v>5.28</v>
      </c>
      <c r="J6039" s="19">
        <v>2.99</v>
      </c>
      <c r="K6039" s="19" t="s">
        <v>124</v>
      </c>
      <c r="L6039" s="19" t="s">
        <v>160</v>
      </c>
      <c r="M6039" s="15" t="s">
        <v>2281</v>
      </c>
      <c r="N6039" s="15" t="s">
        <v>36</v>
      </c>
      <c r="O6039" s="15" t="s">
        <v>170</v>
      </c>
      <c r="P6039" s="20" t="s">
        <v>1662</v>
      </c>
      <c r="Q6039" s="15" t="s">
        <v>83</v>
      </c>
      <c r="R6039" s="4"/>
      <c r="S6039" s="4"/>
    </row>
    <row r="6040" spans="1:19" ht="21" customHeight="1" x14ac:dyDescent="0.25">
      <c r="A6040" s="14">
        <f>DATE(2012,12,31)-920</f>
        <v>40354</v>
      </c>
      <c r="B6040" s="15" t="s">
        <v>1281</v>
      </c>
      <c r="C6040" s="15" t="s">
        <v>85</v>
      </c>
      <c r="D6040" s="16">
        <v>8</v>
      </c>
      <c r="E6040" s="17">
        <v>49.14</v>
      </c>
      <c r="F6040" s="16">
        <v>0.05</v>
      </c>
      <c r="G6040" s="15" t="s">
        <v>101</v>
      </c>
      <c r="H6040" s="18">
        <v>-22.56</v>
      </c>
      <c r="I6040" s="19">
        <v>4.28</v>
      </c>
      <c r="J6040" s="19">
        <v>6.18</v>
      </c>
      <c r="K6040" s="19" t="s">
        <v>124</v>
      </c>
      <c r="L6040" s="19" t="s">
        <v>160</v>
      </c>
      <c r="M6040" s="15" t="s">
        <v>2281</v>
      </c>
      <c r="N6040" s="15" t="s">
        <v>36</v>
      </c>
      <c r="O6040" s="15" t="s">
        <v>117</v>
      </c>
      <c r="P6040" s="20" t="s">
        <v>1448</v>
      </c>
      <c r="Q6040" s="15" t="s">
        <v>83</v>
      </c>
      <c r="R6040" s="4"/>
      <c r="S6040" s="4"/>
    </row>
    <row r="6041" spans="1:19" ht="21" customHeight="1" x14ac:dyDescent="0.25">
      <c r="A6041" s="14">
        <f>DATE(2012,12,31)-86</f>
        <v>41188</v>
      </c>
      <c r="B6041" s="15" t="s">
        <v>476</v>
      </c>
      <c r="C6041" s="15" t="s">
        <v>43</v>
      </c>
      <c r="D6041" s="16">
        <v>50</v>
      </c>
      <c r="E6041" s="17">
        <v>387.79</v>
      </c>
      <c r="F6041" s="16">
        <v>0.01</v>
      </c>
      <c r="G6041" s="15" t="s">
        <v>32</v>
      </c>
      <c r="H6041" s="18">
        <v>-56.51</v>
      </c>
      <c r="I6041" s="19">
        <v>7.64</v>
      </c>
      <c r="J6041" s="19">
        <v>5.83</v>
      </c>
      <c r="K6041" s="19" t="s">
        <v>124</v>
      </c>
      <c r="L6041" s="19" t="s">
        <v>493</v>
      </c>
      <c r="M6041" s="15" t="s">
        <v>2259</v>
      </c>
      <c r="N6041" s="15" t="s">
        <v>36</v>
      </c>
      <c r="O6041" s="15" t="s">
        <v>117</v>
      </c>
      <c r="P6041" s="20" t="s">
        <v>358</v>
      </c>
      <c r="Q6041" s="15" t="s">
        <v>79</v>
      </c>
      <c r="R6041" s="4"/>
      <c r="S6041" s="4"/>
    </row>
    <row r="6042" spans="1:19" ht="21" customHeight="1" x14ac:dyDescent="0.25">
      <c r="A6042" s="14">
        <f>DATE(2012,12,31)-1309</f>
        <v>39965</v>
      </c>
      <c r="B6042" s="15" t="s">
        <v>1227</v>
      </c>
      <c r="C6042" s="15" t="s">
        <v>51</v>
      </c>
      <c r="D6042" s="16">
        <v>4</v>
      </c>
      <c r="E6042" s="17">
        <v>24.32</v>
      </c>
      <c r="F6042" s="16">
        <v>0.05</v>
      </c>
      <c r="G6042" s="15" t="s">
        <v>101</v>
      </c>
      <c r="H6042" s="18">
        <v>-2.97</v>
      </c>
      <c r="I6042" s="19">
        <v>4.71</v>
      </c>
      <c r="J6042" s="19">
        <v>0.7</v>
      </c>
      <c r="K6042" s="19" t="s">
        <v>124</v>
      </c>
      <c r="L6042" s="19" t="s">
        <v>160</v>
      </c>
      <c r="M6042" s="15" t="s">
        <v>2281</v>
      </c>
      <c r="N6042" s="15" t="s">
        <v>36</v>
      </c>
      <c r="O6042" s="15" t="s">
        <v>105</v>
      </c>
      <c r="P6042" s="20" t="s">
        <v>328</v>
      </c>
      <c r="Q6042" s="15" t="s">
        <v>79</v>
      </c>
      <c r="R6042" s="4"/>
      <c r="S6042" s="4"/>
    </row>
    <row r="6043" spans="1:19" ht="21" customHeight="1" x14ac:dyDescent="0.25">
      <c r="A6043" s="14">
        <f>DATE(2012,12,31)-1309</f>
        <v>39965</v>
      </c>
      <c r="B6043" s="15" t="s">
        <v>1100</v>
      </c>
      <c r="C6043" s="15" t="s">
        <v>51</v>
      </c>
      <c r="D6043" s="16">
        <v>7</v>
      </c>
      <c r="E6043" s="17">
        <v>344.30099999999999</v>
      </c>
      <c r="F6043" s="16">
        <v>0.04</v>
      </c>
      <c r="G6043" s="15" t="s">
        <v>101</v>
      </c>
      <c r="H6043" s="18">
        <v>-22.902000000000001</v>
      </c>
      <c r="I6043" s="19">
        <v>55.99</v>
      </c>
      <c r="J6043" s="19">
        <v>1.25</v>
      </c>
      <c r="K6043" s="19" t="s">
        <v>124</v>
      </c>
      <c r="L6043" s="19" t="s">
        <v>160</v>
      </c>
      <c r="M6043" s="15" t="s">
        <v>2281</v>
      </c>
      <c r="N6043" s="15" t="s">
        <v>64</v>
      </c>
      <c r="O6043" s="15" t="s">
        <v>65</v>
      </c>
      <c r="P6043" s="20" t="s">
        <v>188</v>
      </c>
      <c r="Q6043" s="15" t="s">
        <v>49</v>
      </c>
      <c r="R6043" s="4"/>
      <c r="S6043" s="4"/>
    </row>
    <row r="6044" spans="1:19" ht="21" customHeight="1" x14ac:dyDescent="0.25">
      <c r="A6044" s="14">
        <f>DATE(2012,12,31)-1107</f>
        <v>40167</v>
      </c>
      <c r="B6044" s="15" t="s">
        <v>1174</v>
      </c>
      <c r="C6044" s="15" t="s">
        <v>43</v>
      </c>
      <c r="D6044" s="16">
        <v>13</v>
      </c>
      <c r="E6044" s="17">
        <v>129.9</v>
      </c>
      <c r="F6044" s="16">
        <v>0.02</v>
      </c>
      <c r="G6044" s="15" t="s">
        <v>32</v>
      </c>
      <c r="H6044" s="18">
        <v>-63.51</v>
      </c>
      <c r="I6044" s="19">
        <v>9.06</v>
      </c>
      <c r="J6044" s="19">
        <v>9.86</v>
      </c>
      <c r="K6044" s="19" t="s">
        <v>124</v>
      </c>
      <c r="L6044" s="19" t="s">
        <v>160</v>
      </c>
      <c r="M6044" s="15" t="s">
        <v>2281</v>
      </c>
      <c r="N6044" s="15" t="s">
        <v>36</v>
      </c>
      <c r="O6044" s="15" t="s">
        <v>117</v>
      </c>
      <c r="P6044" s="20" t="s">
        <v>894</v>
      </c>
      <c r="Q6044" s="15" t="s">
        <v>83</v>
      </c>
      <c r="R6044" s="4"/>
      <c r="S6044" s="4"/>
    </row>
    <row r="6045" spans="1:19" ht="21" customHeight="1" x14ac:dyDescent="0.25">
      <c r="A6045" s="14">
        <f>DATE(2012,12,31)-542</f>
        <v>40732</v>
      </c>
      <c r="B6045" s="15" t="s">
        <v>1355</v>
      </c>
      <c r="C6045" s="15" t="s">
        <v>43</v>
      </c>
      <c r="D6045" s="16">
        <v>17</v>
      </c>
      <c r="E6045" s="17">
        <v>135.38</v>
      </c>
      <c r="F6045" s="16">
        <v>0.05</v>
      </c>
      <c r="G6045" s="15" t="s">
        <v>32</v>
      </c>
      <c r="H6045" s="18">
        <v>-71.12</v>
      </c>
      <c r="I6045" s="19">
        <v>7.98</v>
      </c>
      <c r="J6045" s="19">
        <v>6.5</v>
      </c>
      <c r="K6045" s="19" t="s">
        <v>124</v>
      </c>
      <c r="L6045" s="19" t="s">
        <v>493</v>
      </c>
      <c r="M6045" s="15" t="s">
        <v>2259</v>
      </c>
      <c r="N6045" s="15" t="s">
        <v>36</v>
      </c>
      <c r="O6045" s="15" t="s">
        <v>37</v>
      </c>
      <c r="P6045" s="20" t="s">
        <v>454</v>
      </c>
      <c r="Q6045" s="15" t="s">
        <v>57</v>
      </c>
      <c r="R6045" s="4"/>
      <c r="S6045" s="4"/>
    </row>
    <row r="6046" spans="1:19" ht="21" customHeight="1" x14ac:dyDescent="0.25">
      <c r="A6046" s="14">
        <f>DATE(2012,12,31)-796</f>
        <v>40478</v>
      </c>
      <c r="B6046" s="15" t="s">
        <v>1355</v>
      </c>
      <c r="C6046" s="15" t="s">
        <v>31</v>
      </c>
      <c r="D6046" s="16">
        <v>17</v>
      </c>
      <c r="E6046" s="17">
        <v>204.07</v>
      </c>
      <c r="F6046" s="16">
        <v>0.08</v>
      </c>
      <c r="G6046" s="15" t="s">
        <v>101</v>
      </c>
      <c r="H6046" s="18">
        <v>-22.55</v>
      </c>
      <c r="I6046" s="19">
        <v>11.97</v>
      </c>
      <c r="J6046" s="19">
        <v>4.9800000000000004</v>
      </c>
      <c r="K6046" s="19" t="s">
        <v>124</v>
      </c>
      <c r="L6046" s="19" t="s">
        <v>168</v>
      </c>
      <c r="M6046" s="15" t="s">
        <v>2244</v>
      </c>
      <c r="N6046" s="15" t="s">
        <v>36</v>
      </c>
      <c r="O6046" s="15" t="s">
        <v>176</v>
      </c>
      <c r="P6046" s="20" t="s">
        <v>815</v>
      </c>
      <c r="Q6046" s="15" t="s">
        <v>83</v>
      </c>
      <c r="R6046" s="4"/>
      <c r="S6046" s="4"/>
    </row>
    <row r="6047" spans="1:19" ht="21" customHeight="1" x14ac:dyDescent="0.25">
      <c r="A6047" s="14">
        <f>DATE(2012,12,31)-1025</f>
        <v>40249</v>
      </c>
      <c r="B6047" s="15" t="s">
        <v>1048</v>
      </c>
      <c r="C6047" s="15" t="s">
        <v>43</v>
      </c>
      <c r="D6047" s="16">
        <v>29</v>
      </c>
      <c r="E6047" s="17">
        <v>12098.87</v>
      </c>
      <c r="F6047" s="16">
        <v>0.04</v>
      </c>
      <c r="G6047" s="15" t="s">
        <v>58</v>
      </c>
      <c r="H6047" s="18">
        <v>-969.0483660000001</v>
      </c>
      <c r="I6047" s="19">
        <v>400.98</v>
      </c>
      <c r="J6047" s="19">
        <v>42.52</v>
      </c>
      <c r="K6047" s="19" t="s">
        <v>124</v>
      </c>
      <c r="L6047" s="19" t="s">
        <v>164</v>
      </c>
      <c r="M6047" s="15" t="s">
        <v>2257</v>
      </c>
      <c r="N6047" s="15" t="s">
        <v>54</v>
      </c>
      <c r="O6047" s="15" t="s">
        <v>61</v>
      </c>
      <c r="P6047" s="20" t="s">
        <v>1976</v>
      </c>
      <c r="Q6047" s="15" t="s">
        <v>63</v>
      </c>
      <c r="R6047" s="4"/>
      <c r="S6047" s="4"/>
    </row>
    <row r="6048" spans="1:19" ht="21" customHeight="1" x14ac:dyDescent="0.25">
      <c r="A6048" s="14">
        <f>DATE(2012,12,31)-358</f>
        <v>40916</v>
      </c>
      <c r="B6048" s="15" t="s">
        <v>221</v>
      </c>
      <c r="C6048" s="15" t="s">
        <v>85</v>
      </c>
      <c r="D6048" s="16">
        <v>42</v>
      </c>
      <c r="E6048" s="17">
        <v>162.57</v>
      </c>
      <c r="F6048" s="16">
        <v>0.02</v>
      </c>
      <c r="G6048" s="15" t="s">
        <v>32</v>
      </c>
      <c r="H6048" s="18">
        <v>75.8</v>
      </c>
      <c r="I6048" s="19">
        <v>3.75</v>
      </c>
      <c r="J6048" s="19">
        <v>0.5</v>
      </c>
      <c r="K6048" s="19" t="s">
        <v>124</v>
      </c>
      <c r="L6048" s="19" t="s">
        <v>158</v>
      </c>
      <c r="M6048" s="15" t="s">
        <v>158</v>
      </c>
      <c r="N6048" s="15" t="s">
        <v>36</v>
      </c>
      <c r="O6048" s="15" t="s">
        <v>114</v>
      </c>
      <c r="P6048" s="20" t="s">
        <v>984</v>
      </c>
      <c r="Q6048" s="15" t="s">
        <v>83</v>
      </c>
      <c r="R6048" s="4"/>
      <c r="S6048" s="4"/>
    </row>
    <row r="6049" spans="1:19" ht="21" customHeight="1" x14ac:dyDescent="0.25">
      <c r="A6049" s="14">
        <f>DATE(2012,12,31)-204</f>
        <v>41070</v>
      </c>
      <c r="B6049" s="15" t="s">
        <v>136</v>
      </c>
      <c r="C6049" s="15" t="s">
        <v>85</v>
      </c>
      <c r="D6049" s="16">
        <v>3</v>
      </c>
      <c r="E6049" s="17">
        <v>35.68</v>
      </c>
      <c r="F6049" s="16">
        <v>0.01</v>
      </c>
      <c r="G6049" s="15" t="s">
        <v>32</v>
      </c>
      <c r="H6049" s="18">
        <v>-11.43</v>
      </c>
      <c r="I6049" s="19">
        <v>9.7799999999999994</v>
      </c>
      <c r="J6049" s="19">
        <v>5.76</v>
      </c>
      <c r="K6049" s="19" t="s">
        <v>124</v>
      </c>
      <c r="L6049" s="19" t="s">
        <v>164</v>
      </c>
      <c r="M6049" s="15" t="s">
        <v>2257</v>
      </c>
      <c r="N6049" s="15" t="s">
        <v>36</v>
      </c>
      <c r="O6049" s="15" t="s">
        <v>189</v>
      </c>
      <c r="P6049" s="20" t="s">
        <v>1735</v>
      </c>
      <c r="Q6049" s="15" t="s">
        <v>83</v>
      </c>
      <c r="R6049" s="4"/>
      <c r="S6049" s="4"/>
    </row>
    <row r="6050" spans="1:19" ht="21" customHeight="1" x14ac:dyDescent="0.25">
      <c r="A6050" s="14">
        <f>DATE(2012,12,31)-204</f>
        <v>41070</v>
      </c>
      <c r="B6050" s="15" t="s">
        <v>392</v>
      </c>
      <c r="C6050" s="15" t="s">
        <v>85</v>
      </c>
      <c r="D6050" s="16">
        <v>11</v>
      </c>
      <c r="E6050" s="17">
        <v>234.76</v>
      </c>
      <c r="F6050" s="16">
        <v>0.04</v>
      </c>
      <c r="G6050" s="15" t="s">
        <v>32</v>
      </c>
      <c r="H6050" s="18">
        <v>-45.65</v>
      </c>
      <c r="I6050" s="19">
        <v>21.38</v>
      </c>
      <c r="J6050" s="19">
        <v>8.99</v>
      </c>
      <c r="K6050" s="19" t="s">
        <v>124</v>
      </c>
      <c r="L6050" s="19" t="s">
        <v>125</v>
      </c>
      <c r="M6050" s="15" t="s">
        <v>2265</v>
      </c>
      <c r="N6050" s="15" t="s">
        <v>36</v>
      </c>
      <c r="O6050" s="15" t="s">
        <v>77</v>
      </c>
      <c r="P6050" s="20" t="s">
        <v>1001</v>
      </c>
      <c r="Q6050" s="15" t="s">
        <v>49</v>
      </c>
      <c r="R6050" s="4"/>
      <c r="S6050" s="4"/>
    </row>
    <row r="6051" spans="1:19" ht="21" customHeight="1" x14ac:dyDescent="0.25">
      <c r="A6051" s="14">
        <f>DATE(2012,12,31)-204</f>
        <v>41070</v>
      </c>
      <c r="B6051" s="15" t="s">
        <v>2224</v>
      </c>
      <c r="C6051" s="15" t="s">
        <v>85</v>
      </c>
      <c r="D6051" s="16">
        <v>3</v>
      </c>
      <c r="E6051" s="17">
        <v>498.49</v>
      </c>
      <c r="F6051" s="16">
        <v>0.01</v>
      </c>
      <c r="G6051" s="15" t="s">
        <v>58</v>
      </c>
      <c r="H6051" s="18">
        <v>-251.41</v>
      </c>
      <c r="I6051" s="19">
        <v>145.97999999999999</v>
      </c>
      <c r="J6051" s="19">
        <v>51.92</v>
      </c>
      <c r="K6051" s="19" t="s">
        <v>124</v>
      </c>
      <c r="L6051" s="19" t="s">
        <v>158</v>
      </c>
      <c r="M6051" s="15" t="s">
        <v>158</v>
      </c>
      <c r="N6051" s="15" t="s">
        <v>54</v>
      </c>
      <c r="O6051" s="15" t="s">
        <v>61</v>
      </c>
      <c r="P6051" s="20" t="s">
        <v>982</v>
      </c>
      <c r="Q6051" s="15" t="s">
        <v>63</v>
      </c>
      <c r="R6051" s="4"/>
      <c r="S6051" s="4"/>
    </row>
    <row r="6052" spans="1:19" ht="21" customHeight="1" x14ac:dyDescent="0.25">
      <c r="A6052" s="14">
        <f>DATE(2012,12,31)-972</f>
        <v>40302</v>
      </c>
      <c r="B6052" s="15" t="s">
        <v>1766</v>
      </c>
      <c r="C6052" s="15" t="s">
        <v>43</v>
      </c>
      <c r="D6052" s="16">
        <v>4</v>
      </c>
      <c r="E6052" s="17">
        <v>52.59</v>
      </c>
      <c r="F6052" s="16">
        <v>0.05</v>
      </c>
      <c r="G6052" s="15" t="s">
        <v>32</v>
      </c>
      <c r="H6052" s="18">
        <v>-30.39</v>
      </c>
      <c r="I6052" s="19">
        <v>11.35</v>
      </c>
      <c r="J6052" s="19">
        <v>8.6</v>
      </c>
      <c r="K6052" s="19" t="s">
        <v>124</v>
      </c>
      <c r="L6052" s="19" t="s">
        <v>164</v>
      </c>
      <c r="M6052" s="15" t="s">
        <v>2286</v>
      </c>
      <c r="N6052" s="15" t="s">
        <v>36</v>
      </c>
      <c r="O6052" s="15" t="s">
        <v>37</v>
      </c>
      <c r="P6052" s="20" t="s">
        <v>917</v>
      </c>
      <c r="Q6052" s="15" t="s">
        <v>83</v>
      </c>
      <c r="R6052" s="4"/>
      <c r="S6052" s="4"/>
    </row>
    <row r="6053" spans="1:19" ht="21" customHeight="1" x14ac:dyDescent="0.25">
      <c r="A6053" s="14">
        <f>DATE(2012,12,31)-589</f>
        <v>40685</v>
      </c>
      <c r="B6053" s="15" t="s">
        <v>1766</v>
      </c>
      <c r="C6053" s="15" t="s">
        <v>51</v>
      </c>
      <c r="D6053" s="16">
        <v>46</v>
      </c>
      <c r="E6053" s="17">
        <v>648.26</v>
      </c>
      <c r="F6053" s="16">
        <v>7.0000000000000007E-2</v>
      </c>
      <c r="G6053" s="15" t="s">
        <v>32</v>
      </c>
      <c r="H6053" s="18">
        <v>30.481000000000002</v>
      </c>
      <c r="I6053" s="19">
        <v>14.27</v>
      </c>
      <c r="J6053" s="19">
        <v>7.27</v>
      </c>
      <c r="K6053" s="19" t="s">
        <v>124</v>
      </c>
      <c r="L6053" s="19" t="s">
        <v>158</v>
      </c>
      <c r="M6053" s="15" t="s">
        <v>158</v>
      </c>
      <c r="N6053" s="15" t="s">
        <v>36</v>
      </c>
      <c r="O6053" s="15" t="s">
        <v>170</v>
      </c>
      <c r="P6053" s="20" t="s">
        <v>948</v>
      </c>
      <c r="Q6053" s="15" t="s">
        <v>83</v>
      </c>
      <c r="R6053" s="4"/>
      <c r="S6053" s="4"/>
    </row>
    <row r="6054" spans="1:19" ht="21" customHeight="1" x14ac:dyDescent="0.25">
      <c r="A6054" s="14">
        <f>DATE(2012,12,31)-589</f>
        <v>40685</v>
      </c>
      <c r="B6054" s="15" t="s">
        <v>1766</v>
      </c>
      <c r="C6054" s="15" t="s">
        <v>51</v>
      </c>
      <c r="D6054" s="16">
        <v>46</v>
      </c>
      <c r="E6054" s="17">
        <v>410.43</v>
      </c>
      <c r="F6054" s="16">
        <v>0.1</v>
      </c>
      <c r="G6054" s="15" t="s">
        <v>32</v>
      </c>
      <c r="H6054" s="18">
        <v>-54.583800000000004</v>
      </c>
      <c r="I6054" s="19">
        <v>9.49</v>
      </c>
      <c r="J6054" s="19">
        <v>5.76</v>
      </c>
      <c r="K6054" s="19" t="s">
        <v>124</v>
      </c>
      <c r="L6054" s="19" t="s">
        <v>168</v>
      </c>
      <c r="M6054" s="15" t="s">
        <v>2244</v>
      </c>
      <c r="N6054" s="15" t="s">
        <v>64</v>
      </c>
      <c r="O6054" s="15" t="s">
        <v>122</v>
      </c>
      <c r="P6054" s="20" t="s">
        <v>910</v>
      </c>
      <c r="Q6054" s="15" t="s">
        <v>57</v>
      </c>
      <c r="R6054" s="4"/>
      <c r="S6054" s="4"/>
    </row>
    <row r="6055" spans="1:19" ht="21" customHeight="1" x14ac:dyDescent="0.25">
      <c r="A6055" s="14">
        <f>DATE(2012,12,31)-589</f>
        <v>40685</v>
      </c>
      <c r="B6055" s="15" t="s">
        <v>1478</v>
      </c>
      <c r="C6055" s="15" t="s">
        <v>51</v>
      </c>
      <c r="D6055" s="16">
        <v>38</v>
      </c>
      <c r="E6055" s="17">
        <v>468.95</v>
      </c>
      <c r="F6055" s="16">
        <v>0.02</v>
      </c>
      <c r="G6055" s="15" t="s">
        <v>101</v>
      </c>
      <c r="H6055" s="18">
        <v>-2.3804999999999996</v>
      </c>
      <c r="I6055" s="19">
        <v>11.5</v>
      </c>
      <c r="J6055" s="19">
        <v>7.19</v>
      </c>
      <c r="K6055" s="19" t="s">
        <v>124</v>
      </c>
      <c r="L6055" s="19" t="s">
        <v>164</v>
      </c>
      <c r="M6055" s="15" t="s">
        <v>2286</v>
      </c>
      <c r="N6055" s="15" t="s">
        <v>36</v>
      </c>
      <c r="O6055" s="15" t="s">
        <v>170</v>
      </c>
      <c r="P6055" s="20" t="s">
        <v>1642</v>
      </c>
      <c r="Q6055" s="15" t="s">
        <v>83</v>
      </c>
      <c r="R6055" s="4"/>
      <c r="S6055" s="4"/>
    </row>
    <row r="6056" spans="1:19" ht="21" customHeight="1" x14ac:dyDescent="0.25">
      <c r="A6056" s="14">
        <f>DATE(2012,12,31)-452</f>
        <v>40822</v>
      </c>
      <c r="B6056" s="15" t="s">
        <v>185</v>
      </c>
      <c r="C6056" s="15" t="s">
        <v>85</v>
      </c>
      <c r="D6056" s="16">
        <v>7</v>
      </c>
      <c r="E6056" s="17">
        <v>1143.4285</v>
      </c>
      <c r="F6056" s="16">
        <v>0.04</v>
      </c>
      <c r="G6056" s="15" t="s">
        <v>101</v>
      </c>
      <c r="H6056" s="18">
        <v>-475.66200000000003</v>
      </c>
      <c r="I6056" s="19">
        <v>195.99</v>
      </c>
      <c r="J6056" s="19">
        <v>4.2</v>
      </c>
      <c r="K6056" s="19" t="s">
        <v>44</v>
      </c>
      <c r="L6056" s="19" t="s">
        <v>52</v>
      </c>
      <c r="M6056" s="15" t="s">
        <v>2240</v>
      </c>
      <c r="N6056" s="15" t="s">
        <v>64</v>
      </c>
      <c r="O6056" s="15" t="s">
        <v>65</v>
      </c>
      <c r="P6056" s="20" t="s">
        <v>1224</v>
      </c>
      <c r="Q6056" s="15" t="s">
        <v>83</v>
      </c>
      <c r="R6056" s="4"/>
      <c r="S6056" s="4"/>
    </row>
    <row r="6057" spans="1:19" ht="21" customHeight="1" x14ac:dyDescent="0.25">
      <c r="A6057" s="14">
        <f>DATE(2012,12,31)-43</f>
        <v>41231</v>
      </c>
      <c r="B6057" s="15" t="s">
        <v>185</v>
      </c>
      <c r="C6057" s="15" t="s">
        <v>85</v>
      </c>
      <c r="D6057" s="16">
        <v>43</v>
      </c>
      <c r="E6057" s="17">
        <v>9750.5499999999993</v>
      </c>
      <c r="F6057" s="16">
        <v>0</v>
      </c>
      <c r="G6057" s="15" t="s">
        <v>58</v>
      </c>
      <c r="H6057" s="18">
        <v>1061.6099999999999</v>
      </c>
      <c r="I6057" s="19">
        <v>216.6</v>
      </c>
      <c r="J6057" s="19">
        <v>64.2</v>
      </c>
      <c r="K6057" s="19" t="s">
        <v>44</v>
      </c>
      <c r="L6057" s="19" t="s">
        <v>52</v>
      </c>
      <c r="M6057" s="15" t="s">
        <v>2240</v>
      </c>
      <c r="N6057" s="15" t="s">
        <v>54</v>
      </c>
      <c r="O6057" s="15" t="s">
        <v>252</v>
      </c>
      <c r="P6057" s="20" t="s">
        <v>1981</v>
      </c>
      <c r="Q6057" s="15" t="s">
        <v>181</v>
      </c>
      <c r="R6057" s="4"/>
      <c r="S6057" s="4"/>
    </row>
    <row r="6058" spans="1:19" ht="21" customHeight="1" x14ac:dyDescent="0.25">
      <c r="A6058" s="14">
        <f>DATE(2012,12,31)-2</f>
        <v>41272</v>
      </c>
      <c r="B6058" s="15" t="s">
        <v>185</v>
      </c>
      <c r="C6058" s="15" t="s">
        <v>43</v>
      </c>
      <c r="D6058" s="16">
        <v>45</v>
      </c>
      <c r="E6058" s="17">
        <v>178.7</v>
      </c>
      <c r="F6058" s="16">
        <v>7.0000000000000007E-2</v>
      </c>
      <c r="G6058" s="15" t="s">
        <v>32</v>
      </c>
      <c r="H6058" s="18">
        <v>-164.92</v>
      </c>
      <c r="I6058" s="19">
        <v>3.95</v>
      </c>
      <c r="J6058" s="19">
        <v>5.13</v>
      </c>
      <c r="K6058" s="19" t="s">
        <v>44</v>
      </c>
      <c r="L6058" s="19" t="s">
        <v>80</v>
      </c>
      <c r="M6058" s="15" t="s">
        <v>2179</v>
      </c>
      <c r="N6058" s="15" t="s">
        <v>36</v>
      </c>
      <c r="O6058" s="15" t="s">
        <v>176</v>
      </c>
      <c r="P6058" s="20" t="s">
        <v>596</v>
      </c>
      <c r="Q6058" s="15" t="s">
        <v>83</v>
      </c>
      <c r="R6058" s="4"/>
      <c r="S6058" s="4"/>
    </row>
    <row r="6059" spans="1:19" ht="21" customHeight="1" x14ac:dyDescent="0.25">
      <c r="A6059" s="14">
        <f>DATE(2012,12,31)-106</f>
        <v>41168</v>
      </c>
      <c r="B6059" s="15" t="s">
        <v>1688</v>
      </c>
      <c r="C6059" s="15" t="s">
        <v>85</v>
      </c>
      <c r="D6059" s="16">
        <v>20</v>
      </c>
      <c r="E6059" s="17">
        <v>2104.991</v>
      </c>
      <c r="F6059" s="16">
        <v>0.09</v>
      </c>
      <c r="G6059" s="15" t="s">
        <v>32</v>
      </c>
      <c r="H6059" s="18">
        <v>165.447</v>
      </c>
      <c r="I6059" s="19">
        <v>125.99</v>
      </c>
      <c r="J6059" s="19">
        <v>8.8000000000000007</v>
      </c>
      <c r="K6059" s="19" t="s">
        <v>124</v>
      </c>
      <c r="L6059" s="19" t="s">
        <v>319</v>
      </c>
      <c r="M6059" s="15" t="s">
        <v>2239</v>
      </c>
      <c r="N6059" s="15" t="s">
        <v>64</v>
      </c>
      <c r="O6059" s="15" t="s">
        <v>65</v>
      </c>
      <c r="P6059" s="20" t="s">
        <v>1216</v>
      </c>
      <c r="Q6059" s="15" t="s">
        <v>83</v>
      </c>
      <c r="R6059" s="4"/>
      <c r="S6059" s="4"/>
    </row>
    <row r="6060" spans="1:19" ht="21" customHeight="1" x14ac:dyDescent="0.25">
      <c r="A6060" s="14">
        <f>DATE(2012,12,31)-610</f>
        <v>40664</v>
      </c>
      <c r="B6060" s="15" t="s">
        <v>1115</v>
      </c>
      <c r="C6060" s="15" t="s">
        <v>43</v>
      </c>
      <c r="D6060" s="16">
        <v>29</v>
      </c>
      <c r="E6060" s="17">
        <v>2770.79</v>
      </c>
      <c r="F6060" s="16">
        <v>0.02</v>
      </c>
      <c r="G6060" s="15" t="s">
        <v>58</v>
      </c>
      <c r="H6060" s="18">
        <v>109.39</v>
      </c>
      <c r="I6060" s="19">
        <v>90.98</v>
      </c>
      <c r="J6060" s="19">
        <v>30</v>
      </c>
      <c r="K6060" s="19" t="s">
        <v>124</v>
      </c>
      <c r="L6060" s="19" t="s">
        <v>158</v>
      </c>
      <c r="M6060" s="15" t="s">
        <v>158</v>
      </c>
      <c r="N6060" s="15" t="s">
        <v>54</v>
      </c>
      <c r="O6060" s="15" t="s">
        <v>252</v>
      </c>
      <c r="P6060" s="20" t="s">
        <v>855</v>
      </c>
      <c r="Q6060" s="15" t="s">
        <v>181</v>
      </c>
      <c r="R6060" s="4"/>
      <c r="S6060" s="4"/>
    </row>
    <row r="6061" spans="1:19" ht="21" customHeight="1" x14ac:dyDescent="0.25">
      <c r="A6061" s="14">
        <f>DATE(2012,12,31)-1311</f>
        <v>39963</v>
      </c>
      <c r="B6061" s="15" t="s">
        <v>648</v>
      </c>
      <c r="C6061" s="15" t="s">
        <v>85</v>
      </c>
      <c r="D6061" s="16">
        <v>4</v>
      </c>
      <c r="E6061" s="17">
        <v>3510.82</v>
      </c>
      <c r="F6061" s="16">
        <v>0.05</v>
      </c>
      <c r="G6061" s="15" t="s">
        <v>32</v>
      </c>
      <c r="H6061" s="18">
        <v>232.44099999999997</v>
      </c>
      <c r="I6061" s="19">
        <v>896.99</v>
      </c>
      <c r="J6061" s="19">
        <v>19.989999999999998</v>
      </c>
      <c r="K6061" s="19" t="s">
        <v>44</v>
      </c>
      <c r="L6061" s="19" t="s">
        <v>45</v>
      </c>
      <c r="M6061" s="15" t="s">
        <v>2271</v>
      </c>
      <c r="N6061" s="15" t="s">
        <v>36</v>
      </c>
      <c r="O6061" s="15" t="s">
        <v>170</v>
      </c>
      <c r="P6061" s="20" t="s">
        <v>565</v>
      </c>
      <c r="Q6061" s="15" t="s">
        <v>83</v>
      </c>
      <c r="R6061" s="4"/>
      <c r="S6061" s="4"/>
    </row>
    <row r="6062" spans="1:19" ht="21" customHeight="1" x14ac:dyDescent="0.25">
      <c r="A6062" s="14">
        <f>DATE(2012,12,31)-157</f>
        <v>41117</v>
      </c>
      <c r="B6062" s="15" t="s">
        <v>1329</v>
      </c>
      <c r="C6062" s="15" t="s">
        <v>31</v>
      </c>
      <c r="D6062" s="16">
        <v>12</v>
      </c>
      <c r="E6062" s="17">
        <v>1318.34</v>
      </c>
      <c r="F6062" s="16">
        <v>0.02</v>
      </c>
      <c r="G6062" s="15" t="s">
        <v>101</v>
      </c>
      <c r="H6062" s="18">
        <v>464.05</v>
      </c>
      <c r="I6062" s="19">
        <v>105.34</v>
      </c>
      <c r="J6062" s="19">
        <v>24.49</v>
      </c>
      <c r="K6062" s="19" t="s">
        <v>44</v>
      </c>
      <c r="L6062" s="19" t="s">
        <v>52</v>
      </c>
      <c r="M6062" s="15" t="s">
        <v>2240</v>
      </c>
      <c r="N6062" s="15" t="s">
        <v>54</v>
      </c>
      <c r="O6062" s="15" t="s">
        <v>55</v>
      </c>
      <c r="P6062" s="20" t="s">
        <v>1004</v>
      </c>
      <c r="Q6062" s="15" t="s">
        <v>39</v>
      </c>
      <c r="R6062" s="4"/>
      <c r="S6062" s="4"/>
    </row>
    <row r="6063" spans="1:19" ht="21" customHeight="1" x14ac:dyDescent="0.25">
      <c r="A6063" s="14">
        <f>DATE(2012,12,31)-157</f>
        <v>41117</v>
      </c>
      <c r="B6063" s="15" t="s">
        <v>1467</v>
      </c>
      <c r="C6063" s="15" t="s">
        <v>31</v>
      </c>
      <c r="D6063" s="16">
        <v>42</v>
      </c>
      <c r="E6063" s="17">
        <v>1587.59</v>
      </c>
      <c r="F6063" s="16">
        <v>0.08</v>
      </c>
      <c r="G6063" s="15" t="s">
        <v>32</v>
      </c>
      <c r="H6063" s="18">
        <v>651.74</v>
      </c>
      <c r="I6063" s="19">
        <v>39.89</v>
      </c>
      <c r="J6063" s="19">
        <v>3.04</v>
      </c>
      <c r="K6063" s="19" t="s">
        <v>44</v>
      </c>
      <c r="L6063" s="19" t="s">
        <v>52</v>
      </c>
      <c r="M6063" s="15" t="s">
        <v>2240</v>
      </c>
      <c r="N6063" s="15" t="s">
        <v>54</v>
      </c>
      <c r="O6063" s="15" t="s">
        <v>55</v>
      </c>
      <c r="P6063" s="20" t="s">
        <v>2287</v>
      </c>
      <c r="Q6063" s="15" t="s">
        <v>79</v>
      </c>
      <c r="R6063" s="4"/>
      <c r="S6063" s="4"/>
    </row>
    <row r="6064" spans="1:19" ht="21" customHeight="1" x14ac:dyDescent="0.25">
      <c r="A6064" s="14">
        <f>DATE(2012,12,31)-83</f>
        <v>41191</v>
      </c>
      <c r="B6064" s="15" t="s">
        <v>1467</v>
      </c>
      <c r="C6064" s="15" t="s">
        <v>85</v>
      </c>
      <c r="D6064" s="16">
        <v>40</v>
      </c>
      <c r="E6064" s="17">
        <v>233.2</v>
      </c>
      <c r="F6064" s="16">
        <v>0</v>
      </c>
      <c r="G6064" s="15" t="s">
        <v>32</v>
      </c>
      <c r="H6064" s="18">
        <v>74.83</v>
      </c>
      <c r="I6064" s="19">
        <v>5.68</v>
      </c>
      <c r="J6064" s="19">
        <v>1.46</v>
      </c>
      <c r="K6064" s="19" t="s">
        <v>44</v>
      </c>
      <c r="L6064" s="19" t="s">
        <v>45</v>
      </c>
      <c r="M6064" s="15" t="s">
        <v>2271</v>
      </c>
      <c r="N6064" s="15" t="s">
        <v>36</v>
      </c>
      <c r="O6064" s="15" t="s">
        <v>117</v>
      </c>
      <c r="P6064" s="20" t="s">
        <v>2233</v>
      </c>
      <c r="Q6064" s="15" t="s">
        <v>79</v>
      </c>
      <c r="R6064" s="4"/>
      <c r="S6064" s="4"/>
    </row>
    <row r="6065" spans="1:19" ht="21" customHeight="1" x14ac:dyDescent="0.25">
      <c r="A6065" s="14">
        <f>DATE(2012,12,31)-83</f>
        <v>41191</v>
      </c>
      <c r="B6065" s="15" t="s">
        <v>1080</v>
      </c>
      <c r="C6065" s="15" t="s">
        <v>85</v>
      </c>
      <c r="D6065" s="16">
        <v>24</v>
      </c>
      <c r="E6065" s="17">
        <v>245.53</v>
      </c>
      <c r="F6065" s="16">
        <v>0.02</v>
      </c>
      <c r="G6065" s="15" t="s">
        <v>32</v>
      </c>
      <c r="H6065" s="18">
        <v>83.16</v>
      </c>
      <c r="I6065" s="19">
        <v>10.14</v>
      </c>
      <c r="J6065" s="19">
        <v>2.27</v>
      </c>
      <c r="K6065" s="19" t="s">
        <v>44</v>
      </c>
      <c r="L6065" s="19" t="s">
        <v>52</v>
      </c>
      <c r="M6065" s="15" t="s">
        <v>2240</v>
      </c>
      <c r="N6065" s="15" t="s">
        <v>36</v>
      </c>
      <c r="O6065" s="15" t="s">
        <v>117</v>
      </c>
      <c r="P6065" s="20" t="s">
        <v>680</v>
      </c>
      <c r="Q6065" s="15" t="s">
        <v>79</v>
      </c>
      <c r="R6065" s="4"/>
      <c r="S6065" s="4"/>
    </row>
    <row r="6066" spans="1:19" ht="21" customHeight="1" x14ac:dyDescent="0.25">
      <c r="A6066" s="14">
        <f>DATE(2012,12,31)-619</f>
        <v>40655</v>
      </c>
      <c r="B6066" s="15" t="s">
        <v>2237</v>
      </c>
      <c r="C6066" s="15" t="s">
        <v>31</v>
      </c>
      <c r="D6066" s="16">
        <v>50</v>
      </c>
      <c r="E6066" s="17">
        <v>2437.67</v>
      </c>
      <c r="F6066" s="16">
        <v>0.08</v>
      </c>
      <c r="G6066" s="15" t="s">
        <v>32</v>
      </c>
      <c r="H6066" s="18">
        <v>25.68</v>
      </c>
      <c r="I6066" s="19">
        <v>50.98</v>
      </c>
      <c r="J6066" s="19">
        <v>22.24</v>
      </c>
      <c r="K6066" s="19" t="s">
        <v>44</v>
      </c>
      <c r="L6066" s="19" t="s">
        <v>52</v>
      </c>
      <c r="M6066" s="15" t="s">
        <v>2240</v>
      </c>
      <c r="N6066" s="15" t="s">
        <v>54</v>
      </c>
      <c r="O6066" s="15" t="s">
        <v>55</v>
      </c>
      <c r="P6066" s="20" t="s">
        <v>536</v>
      </c>
      <c r="Q6066" s="15" t="s">
        <v>39</v>
      </c>
      <c r="R6066" s="4"/>
      <c r="S6066" s="4"/>
    </row>
    <row r="6067" spans="1:19" ht="21" customHeight="1" x14ac:dyDescent="0.25">
      <c r="A6067" s="14">
        <f>DATE(2012,12,31)-619</f>
        <v>40655</v>
      </c>
      <c r="B6067" s="15" t="s">
        <v>742</v>
      </c>
      <c r="C6067" s="15" t="s">
        <v>31</v>
      </c>
      <c r="D6067" s="16">
        <v>43</v>
      </c>
      <c r="E6067" s="17">
        <v>1438.33</v>
      </c>
      <c r="F6067" s="16">
        <v>0.08</v>
      </c>
      <c r="G6067" s="15" t="s">
        <v>32</v>
      </c>
      <c r="H6067" s="18">
        <v>163.38</v>
      </c>
      <c r="I6067" s="19">
        <v>34.76</v>
      </c>
      <c r="J6067" s="19">
        <v>8.2200000000000006</v>
      </c>
      <c r="K6067" s="19" t="s">
        <v>44</v>
      </c>
      <c r="L6067" s="19" t="s">
        <v>52</v>
      </c>
      <c r="M6067" s="15" t="s">
        <v>2240</v>
      </c>
      <c r="N6067" s="15" t="s">
        <v>36</v>
      </c>
      <c r="O6067" s="15" t="s">
        <v>37</v>
      </c>
      <c r="P6067" s="20" t="s">
        <v>621</v>
      </c>
      <c r="Q6067" s="15" t="s">
        <v>83</v>
      </c>
      <c r="R6067" s="4"/>
      <c r="S6067" s="4"/>
    </row>
    <row r="6068" spans="1:19" ht="21" customHeight="1" x14ac:dyDescent="0.25">
      <c r="A6068" s="14">
        <f>DATE(2012,12,31)-261</f>
        <v>41013</v>
      </c>
      <c r="B6068" s="15" t="s">
        <v>527</v>
      </c>
      <c r="C6068" s="15" t="s">
        <v>85</v>
      </c>
      <c r="D6068" s="16">
        <v>4</v>
      </c>
      <c r="E6068" s="17">
        <v>904.12</v>
      </c>
      <c r="F6068" s="16">
        <v>7.0000000000000007E-2</v>
      </c>
      <c r="G6068" s="15" t="s">
        <v>32</v>
      </c>
      <c r="H6068" s="18">
        <v>28.81</v>
      </c>
      <c r="I6068" s="19">
        <v>225.04</v>
      </c>
      <c r="J6068" s="19">
        <v>11.79</v>
      </c>
      <c r="K6068" s="19" t="s">
        <v>44</v>
      </c>
      <c r="L6068" s="19" t="s">
        <v>52</v>
      </c>
      <c r="M6068" s="15" t="s">
        <v>2240</v>
      </c>
      <c r="N6068" s="15" t="s">
        <v>36</v>
      </c>
      <c r="O6068" s="15" t="s">
        <v>176</v>
      </c>
      <c r="P6068" s="20" t="s">
        <v>414</v>
      </c>
      <c r="Q6068" s="15" t="s">
        <v>57</v>
      </c>
      <c r="R6068" s="4"/>
      <c r="S6068" s="4"/>
    </row>
    <row r="6069" spans="1:19" ht="21" customHeight="1" x14ac:dyDescent="0.25">
      <c r="A6069" s="14">
        <f>DATE(2012,12,31)-200</f>
        <v>41074</v>
      </c>
      <c r="B6069" s="15" t="s">
        <v>1048</v>
      </c>
      <c r="C6069" s="15" t="s">
        <v>85</v>
      </c>
      <c r="D6069" s="16">
        <v>47</v>
      </c>
      <c r="E6069" s="17">
        <v>5301.2</v>
      </c>
      <c r="F6069" s="16">
        <v>0.01</v>
      </c>
      <c r="G6069" s="15" t="s">
        <v>32</v>
      </c>
      <c r="H6069" s="18">
        <v>1126.72</v>
      </c>
      <c r="I6069" s="19">
        <v>105.29</v>
      </c>
      <c r="J6069" s="19">
        <v>10.119999999999999</v>
      </c>
      <c r="K6069" s="19" t="s">
        <v>44</v>
      </c>
      <c r="L6069" s="19" t="s">
        <v>52</v>
      </c>
      <c r="M6069" s="15" t="s">
        <v>2240</v>
      </c>
      <c r="N6069" s="15" t="s">
        <v>54</v>
      </c>
      <c r="O6069" s="15" t="s">
        <v>55</v>
      </c>
      <c r="P6069" s="20" t="s">
        <v>1366</v>
      </c>
      <c r="Q6069" s="15" t="s">
        <v>39</v>
      </c>
      <c r="R6069" s="4"/>
      <c r="S6069" s="4"/>
    </row>
    <row r="6070" spans="1:19" ht="21" customHeight="1" x14ac:dyDescent="0.25">
      <c r="A6070" s="14">
        <f>DATE(2012,12,31)-200</f>
        <v>41074</v>
      </c>
      <c r="B6070" s="15" t="s">
        <v>1048</v>
      </c>
      <c r="C6070" s="15" t="s">
        <v>85</v>
      </c>
      <c r="D6070" s="16">
        <v>12</v>
      </c>
      <c r="E6070" s="17">
        <v>418.44</v>
      </c>
      <c r="F6070" s="16">
        <v>0.05</v>
      </c>
      <c r="G6070" s="15" t="s">
        <v>58</v>
      </c>
      <c r="H6070" s="18">
        <v>-407.17</v>
      </c>
      <c r="I6070" s="19">
        <v>31.76</v>
      </c>
      <c r="J6070" s="19">
        <v>45.51</v>
      </c>
      <c r="K6070" s="19" t="s">
        <v>44</v>
      </c>
      <c r="L6070" s="19" t="s">
        <v>52</v>
      </c>
      <c r="M6070" s="15" t="s">
        <v>2240</v>
      </c>
      <c r="N6070" s="15" t="s">
        <v>54</v>
      </c>
      <c r="O6070" s="15" t="s">
        <v>61</v>
      </c>
      <c r="P6070" s="20" t="s">
        <v>375</v>
      </c>
      <c r="Q6070" s="15" t="s">
        <v>63</v>
      </c>
      <c r="R6070" s="4"/>
      <c r="S6070" s="4"/>
    </row>
    <row r="6071" spans="1:19" ht="21" customHeight="1" x14ac:dyDescent="0.25">
      <c r="A6071" s="14">
        <f>DATE(2012,12,31)-929</f>
        <v>40345</v>
      </c>
      <c r="B6071" s="15" t="s">
        <v>784</v>
      </c>
      <c r="C6071" s="15" t="s">
        <v>43</v>
      </c>
      <c r="D6071" s="16">
        <v>33</v>
      </c>
      <c r="E6071" s="17">
        <v>3636.37</v>
      </c>
      <c r="F6071" s="16">
        <v>0.06</v>
      </c>
      <c r="G6071" s="15" t="s">
        <v>58</v>
      </c>
      <c r="H6071" s="18">
        <v>-176.91</v>
      </c>
      <c r="I6071" s="19">
        <v>113.98</v>
      </c>
      <c r="J6071" s="19">
        <v>30</v>
      </c>
      <c r="K6071" s="19" t="s">
        <v>44</v>
      </c>
      <c r="L6071" s="19" t="s">
        <v>52</v>
      </c>
      <c r="M6071" s="15" t="s">
        <v>2240</v>
      </c>
      <c r="N6071" s="15" t="s">
        <v>54</v>
      </c>
      <c r="O6071" s="15" t="s">
        <v>252</v>
      </c>
      <c r="P6071" s="20" t="s">
        <v>2017</v>
      </c>
      <c r="Q6071" s="15" t="s">
        <v>181</v>
      </c>
      <c r="R6071" s="4"/>
      <c r="S6071" s="4"/>
    </row>
    <row r="6072" spans="1:19" ht="21" customHeight="1" x14ac:dyDescent="0.25">
      <c r="A6072" s="14">
        <f>DATE(2012,12,31)-1259</f>
        <v>40015</v>
      </c>
      <c r="B6072" s="15" t="s">
        <v>784</v>
      </c>
      <c r="C6072" s="15" t="s">
        <v>85</v>
      </c>
      <c r="D6072" s="16">
        <v>40</v>
      </c>
      <c r="E6072" s="17">
        <v>1184.03</v>
      </c>
      <c r="F6072" s="16">
        <v>0.04</v>
      </c>
      <c r="G6072" s="15" t="s">
        <v>32</v>
      </c>
      <c r="H6072" s="18">
        <v>-20.79</v>
      </c>
      <c r="I6072" s="19">
        <v>30.73</v>
      </c>
      <c r="J6072" s="19">
        <v>4</v>
      </c>
      <c r="K6072" s="19" t="s">
        <v>44</v>
      </c>
      <c r="L6072" s="19" t="s">
        <v>52</v>
      </c>
      <c r="M6072" s="15" t="s">
        <v>2240</v>
      </c>
      <c r="N6072" s="15" t="s">
        <v>64</v>
      </c>
      <c r="O6072" s="15" t="s">
        <v>72</v>
      </c>
      <c r="P6072" s="20" t="s">
        <v>1448</v>
      </c>
      <c r="Q6072" s="15" t="s">
        <v>83</v>
      </c>
      <c r="R6072" s="4"/>
      <c r="S6072" s="4"/>
    </row>
    <row r="6073" spans="1:19" ht="21" customHeight="1" x14ac:dyDescent="0.25">
      <c r="A6073" s="14">
        <f>DATE(2012,12,31)-64</f>
        <v>41210</v>
      </c>
      <c r="B6073" s="15" t="s">
        <v>1026</v>
      </c>
      <c r="C6073" s="15" t="s">
        <v>51</v>
      </c>
      <c r="D6073" s="16">
        <v>50</v>
      </c>
      <c r="E6073" s="17">
        <v>4648.5200000000004</v>
      </c>
      <c r="F6073" s="16">
        <v>0.1</v>
      </c>
      <c r="G6073" s="15" t="s">
        <v>58</v>
      </c>
      <c r="H6073" s="18">
        <v>1676.7</v>
      </c>
      <c r="I6073" s="19">
        <v>100.97</v>
      </c>
      <c r="J6073" s="19">
        <v>14</v>
      </c>
      <c r="K6073" s="19" t="s">
        <v>44</v>
      </c>
      <c r="L6073" s="19" t="s">
        <v>52</v>
      </c>
      <c r="M6073" s="15" t="s">
        <v>2240</v>
      </c>
      <c r="N6073" s="15" t="s">
        <v>64</v>
      </c>
      <c r="O6073" s="15" t="s">
        <v>122</v>
      </c>
      <c r="P6073" s="20" t="s">
        <v>1546</v>
      </c>
      <c r="Q6073" s="15" t="s">
        <v>181</v>
      </c>
      <c r="R6073" s="4"/>
      <c r="S6073" s="4"/>
    </row>
    <row r="6074" spans="1:19" ht="21" customHeight="1" x14ac:dyDescent="0.25">
      <c r="A6074" s="14">
        <f>DATE(2012,12,31)-10</f>
        <v>41264</v>
      </c>
      <c r="B6074" s="15" t="s">
        <v>1026</v>
      </c>
      <c r="C6074" s="15" t="s">
        <v>85</v>
      </c>
      <c r="D6074" s="16">
        <v>19</v>
      </c>
      <c r="E6074" s="17">
        <v>281.83999999999997</v>
      </c>
      <c r="F6074" s="16">
        <v>0.06</v>
      </c>
      <c r="G6074" s="15" t="s">
        <v>32</v>
      </c>
      <c r="H6074" s="18">
        <v>-21.85</v>
      </c>
      <c r="I6074" s="19">
        <v>15.01</v>
      </c>
      <c r="J6074" s="19">
        <v>8.4</v>
      </c>
      <c r="K6074" s="19" t="s">
        <v>44</v>
      </c>
      <c r="L6074" s="19" t="s">
        <v>52</v>
      </c>
      <c r="M6074" s="15" t="s">
        <v>2240</v>
      </c>
      <c r="N6074" s="15" t="s">
        <v>36</v>
      </c>
      <c r="O6074" s="15" t="s">
        <v>170</v>
      </c>
      <c r="P6074" s="20" t="s">
        <v>694</v>
      </c>
      <c r="Q6074" s="15" t="s">
        <v>83</v>
      </c>
      <c r="R6074" s="4"/>
      <c r="S6074" s="4"/>
    </row>
    <row r="6075" spans="1:19" ht="21" customHeight="1" x14ac:dyDescent="0.25">
      <c r="A6075" s="14">
        <f>DATE(2012,12,31)-10</f>
        <v>41264</v>
      </c>
      <c r="B6075" s="15" t="s">
        <v>643</v>
      </c>
      <c r="C6075" s="15" t="s">
        <v>85</v>
      </c>
      <c r="D6075" s="16">
        <v>25</v>
      </c>
      <c r="E6075" s="17">
        <v>509.52</v>
      </c>
      <c r="F6075" s="16">
        <v>0.05</v>
      </c>
      <c r="G6075" s="15" t="s">
        <v>32</v>
      </c>
      <c r="H6075" s="18">
        <v>-145.78</v>
      </c>
      <c r="I6075" s="19">
        <v>20.97</v>
      </c>
      <c r="J6075" s="19">
        <v>6.5</v>
      </c>
      <c r="K6075" s="19" t="s">
        <v>33</v>
      </c>
      <c r="L6075" s="19" t="s">
        <v>128</v>
      </c>
      <c r="M6075" s="15" t="s">
        <v>129</v>
      </c>
      <c r="N6075" s="15" t="s">
        <v>64</v>
      </c>
      <c r="O6075" s="15" t="s">
        <v>72</v>
      </c>
      <c r="P6075" s="20" t="s">
        <v>2067</v>
      </c>
      <c r="Q6075" s="15" t="s">
        <v>83</v>
      </c>
      <c r="R6075" s="4"/>
      <c r="S6075" s="4"/>
    </row>
    <row r="6076" spans="1:19" ht="21" customHeight="1" x14ac:dyDescent="0.25">
      <c r="A6076" s="14">
        <f>DATE(2012,12,31)-10</f>
        <v>41264</v>
      </c>
      <c r="B6076" s="15" t="s">
        <v>2019</v>
      </c>
      <c r="C6076" s="15" t="s">
        <v>85</v>
      </c>
      <c r="D6076" s="16">
        <v>10</v>
      </c>
      <c r="E6076" s="17">
        <v>97.02</v>
      </c>
      <c r="F6076" s="16">
        <v>0.06</v>
      </c>
      <c r="G6076" s="15" t="s">
        <v>32</v>
      </c>
      <c r="H6076" s="18">
        <v>-3.96</v>
      </c>
      <c r="I6076" s="19">
        <v>10.01</v>
      </c>
      <c r="J6076" s="19">
        <v>1.99</v>
      </c>
      <c r="K6076" s="19" t="s">
        <v>124</v>
      </c>
      <c r="L6076" s="19" t="s">
        <v>160</v>
      </c>
      <c r="M6076" s="15" t="s">
        <v>2281</v>
      </c>
      <c r="N6076" s="15" t="s">
        <v>64</v>
      </c>
      <c r="O6076" s="15" t="s">
        <v>72</v>
      </c>
      <c r="P6076" s="20" t="s">
        <v>415</v>
      </c>
      <c r="Q6076" s="15" t="s">
        <v>49</v>
      </c>
      <c r="R6076" s="4"/>
      <c r="S6076" s="4"/>
    </row>
    <row r="6077" spans="1:19" ht="21" customHeight="1" x14ac:dyDescent="0.25">
      <c r="A6077" s="14">
        <f>DATE(2012,12,31)-694</f>
        <v>40580</v>
      </c>
      <c r="B6077" s="15" t="s">
        <v>2019</v>
      </c>
      <c r="C6077" s="15" t="s">
        <v>51</v>
      </c>
      <c r="D6077" s="16">
        <v>3</v>
      </c>
      <c r="E6077" s="17">
        <v>21.01</v>
      </c>
      <c r="F6077" s="16">
        <v>0</v>
      </c>
      <c r="G6077" s="15" t="s">
        <v>32</v>
      </c>
      <c r="H6077" s="18">
        <v>-9.69</v>
      </c>
      <c r="I6077" s="19">
        <v>4.9800000000000004</v>
      </c>
      <c r="J6077" s="19">
        <v>5.0199999999999996</v>
      </c>
      <c r="K6077" s="19" t="s">
        <v>124</v>
      </c>
      <c r="L6077" s="19" t="s">
        <v>160</v>
      </c>
      <c r="M6077" s="15" t="s">
        <v>2281</v>
      </c>
      <c r="N6077" s="15" t="s">
        <v>36</v>
      </c>
      <c r="O6077" s="15" t="s">
        <v>117</v>
      </c>
      <c r="P6077" s="20" t="s">
        <v>750</v>
      </c>
      <c r="Q6077" s="15" t="s">
        <v>83</v>
      </c>
      <c r="R6077" s="4"/>
      <c r="S6077" s="4"/>
    </row>
    <row r="6078" spans="1:19" ht="21" customHeight="1" x14ac:dyDescent="0.25">
      <c r="A6078" s="14">
        <f>DATE(2012,12,31)-694</f>
        <v>40580</v>
      </c>
      <c r="B6078" s="15" t="s">
        <v>785</v>
      </c>
      <c r="C6078" s="15" t="s">
        <v>51</v>
      </c>
      <c r="D6078" s="16">
        <v>1</v>
      </c>
      <c r="E6078" s="17">
        <v>3457.99</v>
      </c>
      <c r="F6078" s="16">
        <v>0.05</v>
      </c>
      <c r="G6078" s="15" t="s">
        <v>32</v>
      </c>
      <c r="H6078" s="18">
        <v>-11861.46</v>
      </c>
      <c r="I6078" s="19">
        <v>3499.99</v>
      </c>
      <c r="J6078" s="19">
        <v>24.49</v>
      </c>
      <c r="K6078" s="19" t="s">
        <v>33</v>
      </c>
      <c r="L6078" s="19" t="s">
        <v>59</v>
      </c>
      <c r="M6078" s="15" t="s">
        <v>2269</v>
      </c>
      <c r="N6078" s="15" t="s">
        <v>64</v>
      </c>
      <c r="O6078" s="15" t="s">
        <v>460</v>
      </c>
      <c r="P6078" s="20" t="s">
        <v>430</v>
      </c>
      <c r="Q6078" s="15" t="s">
        <v>39</v>
      </c>
      <c r="R6078" s="4"/>
      <c r="S6078" s="4"/>
    </row>
    <row r="6079" spans="1:19" ht="21" customHeight="1" x14ac:dyDescent="0.25">
      <c r="A6079" s="14">
        <f>DATE(2012,12,31)-476</f>
        <v>40798</v>
      </c>
      <c r="B6079" s="15" t="s">
        <v>785</v>
      </c>
      <c r="C6079" s="15" t="s">
        <v>51</v>
      </c>
      <c r="D6079" s="16">
        <v>27</v>
      </c>
      <c r="E6079" s="17">
        <v>4722.83</v>
      </c>
      <c r="F6079" s="16">
        <v>0.01</v>
      </c>
      <c r="G6079" s="15" t="s">
        <v>32</v>
      </c>
      <c r="H6079" s="18">
        <v>1749.7759999999998</v>
      </c>
      <c r="I6079" s="19">
        <v>165.98</v>
      </c>
      <c r="J6079" s="19">
        <v>19.989999999999998</v>
      </c>
      <c r="K6079" s="19" t="s">
        <v>33</v>
      </c>
      <c r="L6079" s="19" t="s">
        <v>93</v>
      </c>
      <c r="M6079" s="15" t="s">
        <v>94</v>
      </c>
      <c r="N6079" s="15" t="s">
        <v>36</v>
      </c>
      <c r="O6079" s="15" t="s">
        <v>170</v>
      </c>
      <c r="P6079" s="20" t="s">
        <v>542</v>
      </c>
      <c r="Q6079" s="15" t="s">
        <v>83</v>
      </c>
      <c r="R6079" s="4"/>
      <c r="S6079" s="4"/>
    </row>
    <row r="6080" spans="1:19" ht="21" customHeight="1" x14ac:dyDescent="0.25">
      <c r="A6080" s="14">
        <f>DATE(2012,12,31)-674</f>
        <v>40600</v>
      </c>
      <c r="B6080" s="15" t="s">
        <v>2182</v>
      </c>
      <c r="C6080" s="15" t="s">
        <v>51</v>
      </c>
      <c r="D6080" s="16">
        <v>40</v>
      </c>
      <c r="E6080" s="17">
        <v>6069.05</v>
      </c>
      <c r="F6080" s="16">
        <v>0.05</v>
      </c>
      <c r="G6080" s="15" t="s">
        <v>32</v>
      </c>
      <c r="H6080" s="18">
        <v>1816.71</v>
      </c>
      <c r="I6080" s="19">
        <v>155.06</v>
      </c>
      <c r="J6080" s="19">
        <v>7.07</v>
      </c>
      <c r="K6080" s="19" t="s">
        <v>97</v>
      </c>
      <c r="L6080" s="19" t="s">
        <v>283</v>
      </c>
      <c r="M6080" s="15" t="s">
        <v>2205</v>
      </c>
      <c r="N6080" s="15" t="s">
        <v>36</v>
      </c>
      <c r="O6080" s="15" t="s">
        <v>37</v>
      </c>
      <c r="P6080" s="20" t="s">
        <v>521</v>
      </c>
      <c r="Q6080" s="15" t="s">
        <v>83</v>
      </c>
      <c r="R6080" s="4"/>
      <c r="S6080" s="4"/>
    </row>
    <row r="6081" spans="1:19" ht="21" customHeight="1" x14ac:dyDescent="0.25">
      <c r="A6081" s="14">
        <f>DATE(2012,12,31)-292</f>
        <v>40982</v>
      </c>
      <c r="B6081" s="15" t="s">
        <v>198</v>
      </c>
      <c r="C6081" s="15" t="s">
        <v>31</v>
      </c>
      <c r="D6081" s="16">
        <v>43</v>
      </c>
      <c r="E6081" s="17">
        <v>1334.05</v>
      </c>
      <c r="F6081" s="16">
        <v>0.06</v>
      </c>
      <c r="G6081" s="15" t="s">
        <v>32</v>
      </c>
      <c r="H6081" s="18">
        <v>581.76549999999997</v>
      </c>
      <c r="I6081" s="19">
        <v>30.56</v>
      </c>
      <c r="J6081" s="19">
        <v>2.99</v>
      </c>
      <c r="K6081" s="19" t="s">
        <v>124</v>
      </c>
      <c r="L6081" s="19" t="s">
        <v>160</v>
      </c>
      <c r="M6081" s="15" t="s">
        <v>2281</v>
      </c>
      <c r="N6081" s="15" t="s">
        <v>36</v>
      </c>
      <c r="O6081" s="15" t="s">
        <v>170</v>
      </c>
      <c r="P6081" s="20" t="s">
        <v>971</v>
      </c>
      <c r="Q6081" s="15" t="s">
        <v>83</v>
      </c>
      <c r="R6081" s="4"/>
      <c r="S6081" s="4"/>
    </row>
    <row r="6082" spans="1:19" ht="21" customHeight="1" x14ac:dyDescent="0.25">
      <c r="A6082" s="14">
        <f>DATE(2012,12,31)-292</f>
        <v>40982</v>
      </c>
      <c r="B6082" s="15" t="s">
        <v>1449</v>
      </c>
      <c r="C6082" s="15" t="s">
        <v>31</v>
      </c>
      <c r="D6082" s="16">
        <v>50</v>
      </c>
      <c r="E6082" s="17">
        <v>6552.86</v>
      </c>
      <c r="F6082" s="16">
        <v>7.0000000000000007E-2</v>
      </c>
      <c r="G6082" s="15" t="s">
        <v>58</v>
      </c>
      <c r="H6082" s="18">
        <v>-692.82</v>
      </c>
      <c r="I6082" s="19">
        <v>137.47999999999999</v>
      </c>
      <c r="J6082" s="19">
        <v>32.18</v>
      </c>
      <c r="K6082" s="19" t="s">
        <v>124</v>
      </c>
      <c r="L6082" s="19" t="s">
        <v>160</v>
      </c>
      <c r="M6082" s="15" t="s">
        <v>2281</v>
      </c>
      <c r="N6082" s="15" t="s">
        <v>54</v>
      </c>
      <c r="O6082" s="15" t="s">
        <v>134</v>
      </c>
      <c r="P6082" s="20" t="s">
        <v>1615</v>
      </c>
      <c r="Q6082" s="15" t="s">
        <v>63</v>
      </c>
      <c r="R6082" s="4"/>
      <c r="S6082" s="4"/>
    </row>
    <row r="6083" spans="1:19" ht="21" customHeight="1" x14ac:dyDescent="0.25">
      <c r="A6083" s="14">
        <f>DATE(2012,12,31)-1384</f>
        <v>39890</v>
      </c>
      <c r="B6083" s="15" t="s">
        <v>895</v>
      </c>
      <c r="C6083" s="15" t="s">
        <v>85</v>
      </c>
      <c r="D6083" s="16">
        <v>23</v>
      </c>
      <c r="E6083" s="17">
        <v>130.16</v>
      </c>
      <c r="F6083" s="16">
        <v>0.1</v>
      </c>
      <c r="G6083" s="15" t="s">
        <v>32</v>
      </c>
      <c r="H6083" s="18">
        <v>-49.53</v>
      </c>
      <c r="I6083" s="19">
        <v>5.98</v>
      </c>
      <c r="J6083" s="19">
        <v>5.14</v>
      </c>
      <c r="K6083" s="19" t="s">
        <v>44</v>
      </c>
      <c r="L6083" s="19" t="s">
        <v>45</v>
      </c>
      <c r="M6083" s="15" t="s">
        <v>2271</v>
      </c>
      <c r="N6083" s="15" t="s">
        <v>36</v>
      </c>
      <c r="O6083" s="15" t="s">
        <v>117</v>
      </c>
      <c r="P6083" s="20" t="s">
        <v>1304</v>
      </c>
      <c r="Q6083" s="15" t="s">
        <v>83</v>
      </c>
      <c r="R6083" s="4"/>
      <c r="S6083" s="4"/>
    </row>
    <row r="6084" spans="1:19" ht="21" customHeight="1" x14ac:dyDescent="0.25">
      <c r="A6084" s="14">
        <f>DATE(2012,12,31)-963</f>
        <v>40311</v>
      </c>
      <c r="B6084" s="15" t="s">
        <v>895</v>
      </c>
      <c r="C6084" s="15" t="s">
        <v>31</v>
      </c>
      <c r="D6084" s="16">
        <v>25</v>
      </c>
      <c r="E6084" s="17">
        <v>7667.78</v>
      </c>
      <c r="F6084" s="16">
        <v>0.04</v>
      </c>
      <c r="G6084" s="15" t="s">
        <v>58</v>
      </c>
      <c r="H6084" s="18">
        <v>1494.01</v>
      </c>
      <c r="I6084" s="19">
        <v>306.14</v>
      </c>
      <c r="J6084" s="19">
        <v>26.53</v>
      </c>
      <c r="K6084" s="19" t="s">
        <v>33</v>
      </c>
      <c r="L6084" s="19" t="s">
        <v>59</v>
      </c>
      <c r="M6084" s="15" t="s">
        <v>2269</v>
      </c>
      <c r="N6084" s="15" t="s">
        <v>64</v>
      </c>
      <c r="O6084" s="15" t="s">
        <v>122</v>
      </c>
      <c r="P6084" s="20" t="s">
        <v>393</v>
      </c>
      <c r="Q6084" s="15" t="s">
        <v>181</v>
      </c>
      <c r="R6084" s="4"/>
      <c r="S6084" s="4"/>
    </row>
    <row r="6085" spans="1:19" ht="21" customHeight="1" x14ac:dyDescent="0.25">
      <c r="A6085" s="14">
        <f>DATE(2012,12,31)-963</f>
        <v>40311</v>
      </c>
      <c r="B6085" s="15" t="s">
        <v>895</v>
      </c>
      <c r="C6085" s="15" t="s">
        <v>31</v>
      </c>
      <c r="D6085" s="16">
        <v>40</v>
      </c>
      <c r="E6085" s="17">
        <v>1305.8499999999999</v>
      </c>
      <c r="F6085" s="16">
        <v>0</v>
      </c>
      <c r="G6085" s="15" t="s">
        <v>32</v>
      </c>
      <c r="H6085" s="18">
        <v>65.010000000000005</v>
      </c>
      <c r="I6085" s="19">
        <v>30.98</v>
      </c>
      <c r="J6085" s="19">
        <v>17.079999999999998</v>
      </c>
      <c r="K6085" s="19" t="s">
        <v>33</v>
      </c>
      <c r="L6085" s="19" t="s">
        <v>145</v>
      </c>
      <c r="M6085" s="15" t="s">
        <v>2248</v>
      </c>
      <c r="N6085" s="15" t="s">
        <v>36</v>
      </c>
      <c r="O6085" s="15" t="s">
        <v>117</v>
      </c>
      <c r="P6085" s="20" t="s">
        <v>471</v>
      </c>
      <c r="Q6085" s="15" t="s">
        <v>83</v>
      </c>
      <c r="R6085" s="4"/>
      <c r="S6085" s="4"/>
    </row>
    <row r="6086" spans="1:19" ht="21" customHeight="1" x14ac:dyDescent="0.25">
      <c r="A6086" s="14">
        <f>DATE(2012,12,31)-1277</f>
        <v>39997</v>
      </c>
      <c r="B6086" s="15" t="s">
        <v>742</v>
      </c>
      <c r="C6086" s="15" t="s">
        <v>31</v>
      </c>
      <c r="D6086" s="16">
        <v>19</v>
      </c>
      <c r="E6086" s="17">
        <v>28.34</v>
      </c>
      <c r="F6086" s="16">
        <v>0.09</v>
      </c>
      <c r="G6086" s="15" t="s">
        <v>32</v>
      </c>
      <c r="H6086" s="18">
        <v>1.68</v>
      </c>
      <c r="I6086" s="19">
        <v>1.48</v>
      </c>
      <c r="J6086" s="19">
        <v>0.7</v>
      </c>
      <c r="K6086" s="19" t="s">
        <v>69</v>
      </c>
      <c r="L6086" s="19" t="s">
        <v>70</v>
      </c>
      <c r="M6086" s="15" t="s">
        <v>2230</v>
      </c>
      <c r="N6086" s="15" t="s">
        <v>36</v>
      </c>
      <c r="O6086" s="15" t="s">
        <v>105</v>
      </c>
      <c r="P6086" s="20" t="s">
        <v>2168</v>
      </c>
      <c r="Q6086" s="15" t="s">
        <v>79</v>
      </c>
      <c r="R6086" s="4"/>
      <c r="S6086" s="4"/>
    </row>
    <row r="6087" spans="1:19" ht="21" customHeight="1" x14ac:dyDescent="0.25">
      <c r="A6087" s="14">
        <f>DATE(2012,12,31)-884</f>
        <v>40390</v>
      </c>
      <c r="B6087" s="15" t="s">
        <v>742</v>
      </c>
      <c r="C6087" s="15" t="s">
        <v>43</v>
      </c>
      <c r="D6087" s="16">
        <v>3</v>
      </c>
      <c r="E6087" s="17">
        <v>554.32000000000005</v>
      </c>
      <c r="F6087" s="16">
        <v>0.01</v>
      </c>
      <c r="G6087" s="15" t="s">
        <v>32</v>
      </c>
      <c r="H6087" s="18">
        <v>-62.134500000000003</v>
      </c>
      <c r="I6087" s="19">
        <v>172.99</v>
      </c>
      <c r="J6087" s="19">
        <v>19.989999999999998</v>
      </c>
      <c r="K6087" s="19" t="s">
        <v>69</v>
      </c>
      <c r="L6087" s="19" t="s">
        <v>70</v>
      </c>
      <c r="M6087" s="15" t="s">
        <v>2230</v>
      </c>
      <c r="N6087" s="15" t="s">
        <v>36</v>
      </c>
      <c r="O6087" s="15" t="s">
        <v>170</v>
      </c>
      <c r="P6087" s="20" t="s">
        <v>1763</v>
      </c>
      <c r="Q6087" s="15" t="s">
        <v>83</v>
      </c>
      <c r="R6087" s="4"/>
      <c r="S6087" s="4"/>
    </row>
    <row r="6088" spans="1:19" ht="21" customHeight="1" x14ac:dyDescent="0.25">
      <c r="A6088" s="14">
        <f>DATE(2012,12,31)-884</f>
        <v>40390</v>
      </c>
      <c r="B6088" s="15" t="s">
        <v>1458</v>
      </c>
      <c r="C6088" s="15" t="s">
        <v>43</v>
      </c>
      <c r="D6088" s="16">
        <v>15</v>
      </c>
      <c r="E6088" s="17">
        <v>1073.567</v>
      </c>
      <c r="F6088" s="16">
        <v>0.04</v>
      </c>
      <c r="G6088" s="15" t="s">
        <v>32</v>
      </c>
      <c r="H6088" s="18">
        <v>-305.96499999999997</v>
      </c>
      <c r="I6088" s="19">
        <v>85.99</v>
      </c>
      <c r="J6088" s="19">
        <v>0.99</v>
      </c>
      <c r="K6088" s="19" t="s">
        <v>69</v>
      </c>
      <c r="L6088" s="19" t="s">
        <v>70</v>
      </c>
      <c r="M6088" s="15" t="s">
        <v>2230</v>
      </c>
      <c r="N6088" s="15" t="s">
        <v>64</v>
      </c>
      <c r="O6088" s="15" t="s">
        <v>65</v>
      </c>
      <c r="P6088" s="20" t="s">
        <v>945</v>
      </c>
      <c r="Q6088" s="15" t="s">
        <v>79</v>
      </c>
      <c r="R6088" s="4"/>
      <c r="S6088" s="4"/>
    </row>
    <row r="6089" spans="1:19" ht="21" customHeight="1" x14ac:dyDescent="0.25">
      <c r="A6089" s="14">
        <f>DATE(2012,12,31)-321</f>
        <v>40953</v>
      </c>
      <c r="B6089" s="15" t="s">
        <v>292</v>
      </c>
      <c r="C6089" s="15" t="s">
        <v>43</v>
      </c>
      <c r="D6089" s="16">
        <v>32</v>
      </c>
      <c r="E6089" s="17">
        <v>225.16</v>
      </c>
      <c r="F6089" s="16">
        <v>0.02</v>
      </c>
      <c r="G6089" s="15" t="s">
        <v>32</v>
      </c>
      <c r="H6089" s="18">
        <v>-33.69</v>
      </c>
      <c r="I6089" s="19">
        <v>6.68</v>
      </c>
      <c r="J6089" s="19">
        <v>5.2</v>
      </c>
      <c r="K6089" s="19" t="s">
        <v>69</v>
      </c>
      <c r="L6089" s="19" t="s">
        <v>70</v>
      </c>
      <c r="M6089" s="15" t="s">
        <v>2230</v>
      </c>
      <c r="N6089" s="15" t="s">
        <v>36</v>
      </c>
      <c r="O6089" s="15" t="s">
        <v>117</v>
      </c>
      <c r="P6089" s="20" t="s">
        <v>1107</v>
      </c>
      <c r="Q6089" s="15" t="s">
        <v>83</v>
      </c>
      <c r="R6089" s="4"/>
      <c r="S6089" s="4"/>
    </row>
    <row r="6090" spans="1:19" ht="21" customHeight="1" x14ac:dyDescent="0.25">
      <c r="A6090" s="14">
        <f>DATE(2012,12,31)-1226</f>
        <v>40048</v>
      </c>
      <c r="B6090" s="15" t="s">
        <v>764</v>
      </c>
      <c r="C6090" s="15" t="s">
        <v>85</v>
      </c>
      <c r="D6090" s="16">
        <v>16</v>
      </c>
      <c r="E6090" s="17">
        <v>587.88</v>
      </c>
      <c r="F6090" s="16">
        <v>0</v>
      </c>
      <c r="G6090" s="15" t="s">
        <v>101</v>
      </c>
      <c r="H6090" s="18">
        <v>135.37</v>
      </c>
      <c r="I6090" s="19">
        <v>35.409999999999997</v>
      </c>
      <c r="J6090" s="19">
        <v>1.99</v>
      </c>
      <c r="K6090" s="19" t="s">
        <v>44</v>
      </c>
      <c r="L6090" s="19" t="s">
        <v>120</v>
      </c>
      <c r="M6090" s="15" t="s">
        <v>2262</v>
      </c>
      <c r="N6090" s="15" t="s">
        <v>64</v>
      </c>
      <c r="O6090" s="15" t="s">
        <v>72</v>
      </c>
      <c r="P6090" s="20" t="s">
        <v>1381</v>
      </c>
      <c r="Q6090" s="15" t="s">
        <v>49</v>
      </c>
      <c r="R6090" s="4"/>
      <c r="S6090" s="4"/>
    </row>
    <row r="6091" spans="1:19" ht="21" customHeight="1" x14ac:dyDescent="0.25">
      <c r="A6091" s="14">
        <f>DATE(2012,12,31)-936</f>
        <v>40338</v>
      </c>
      <c r="B6091" s="15" t="s">
        <v>764</v>
      </c>
      <c r="C6091" s="15" t="s">
        <v>31</v>
      </c>
      <c r="D6091" s="16">
        <v>45</v>
      </c>
      <c r="E6091" s="17">
        <v>2207.9</v>
      </c>
      <c r="F6091" s="16">
        <v>0.02</v>
      </c>
      <c r="G6091" s="15" t="s">
        <v>32</v>
      </c>
      <c r="H6091" s="18">
        <v>579.76</v>
      </c>
      <c r="I6091" s="19">
        <v>49.34</v>
      </c>
      <c r="J6091" s="19">
        <v>10.25</v>
      </c>
      <c r="K6091" s="19" t="s">
        <v>44</v>
      </c>
      <c r="L6091" s="19" t="s">
        <v>89</v>
      </c>
      <c r="M6091" s="15" t="s">
        <v>2278</v>
      </c>
      <c r="N6091" s="15" t="s">
        <v>54</v>
      </c>
      <c r="O6091" s="15" t="s">
        <v>55</v>
      </c>
      <c r="P6091" s="20" t="s">
        <v>1651</v>
      </c>
      <c r="Q6091" s="15" t="s">
        <v>39</v>
      </c>
      <c r="R6091" s="4"/>
      <c r="S6091" s="4"/>
    </row>
    <row r="6092" spans="1:19" ht="21" customHeight="1" x14ac:dyDescent="0.25">
      <c r="A6092" s="14">
        <f>DATE(2012,12,31)-936</f>
        <v>40338</v>
      </c>
      <c r="B6092" s="15" t="s">
        <v>864</v>
      </c>
      <c r="C6092" s="15" t="s">
        <v>31</v>
      </c>
      <c r="D6092" s="16">
        <v>41</v>
      </c>
      <c r="E6092" s="17">
        <v>139.93</v>
      </c>
      <c r="F6092" s="16">
        <v>0.05</v>
      </c>
      <c r="G6092" s="15" t="s">
        <v>32</v>
      </c>
      <c r="H6092" s="18">
        <v>-3.06</v>
      </c>
      <c r="I6092" s="19">
        <v>3.28</v>
      </c>
      <c r="J6092" s="19">
        <v>1.95</v>
      </c>
      <c r="K6092" s="19" t="s">
        <v>33</v>
      </c>
      <c r="L6092" s="19" t="s">
        <v>128</v>
      </c>
      <c r="M6092" s="15" t="s">
        <v>129</v>
      </c>
      <c r="N6092" s="15" t="s">
        <v>36</v>
      </c>
      <c r="O6092" s="15" t="s">
        <v>77</v>
      </c>
      <c r="P6092" s="20" t="s">
        <v>2088</v>
      </c>
      <c r="Q6092" s="15" t="s">
        <v>79</v>
      </c>
      <c r="R6092" s="4"/>
      <c r="S6092" s="4"/>
    </row>
    <row r="6093" spans="1:19" ht="21" customHeight="1" x14ac:dyDescent="0.25">
      <c r="A6093" s="14">
        <f>DATE(2012,12,31)-936</f>
        <v>40338</v>
      </c>
      <c r="B6093" s="15" t="s">
        <v>651</v>
      </c>
      <c r="C6093" s="15" t="s">
        <v>31</v>
      </c>
      <c r="D6093" s="16">
        <v>8</v>
      </c>
      <c r="E6093" s="17">
        <v>15.45</v>
      </c>
      <c r="F6093" s="16">
        <v>0.05</v>
      </c>
      <c r="G6093" s="15" t="s">
        <v>32</v>
      </c>
      <c r="H6093" s="18">
        <v>-7.75</v>
      </c>
      <c r="I6093" s="19">
        <v>1.81</v>
      </c>
      <c r="J6093" s="19">
        <v>1.56</v>
      </c>
      <c r="K6093" s="19" t="s">
        <v>124</v>
      </c>
      <c r="L6093" s="19" t="s">
        <v>160</v>
      </c>
      <c r="M6093" s="15" t="s">
        <v>2281</v>
      </c>
      <c r="N6093" s="15" t="s">
        <v>36</v>
      </c>
      <c r="O6093" s="15" t="s">
        <v>105</v>
      </c>
      <c r="P6093" s="20" t="s">
        <v>1405</v>
      </c>
      <c r="Q6093" s="15" t="s">
        <v>79</v>
      </c>
      <c r="R6093" s="4"/>
      <c r="S6093" s="4"/>
    </row>
    <row r="6094" spans="1:19" ht="21" customHeight="1" x14ac:dyDescent="0.25">
      <c r="A6094" s="14">
        <f>DATE(2012,12,31)-926</f>
        <v>40348</v>
      </c>
      <c r="B6094" s="15" t="s">
        <v>651</v>
      </c>
      <c r="C6094" s="15" t="s">
        <v>85</v>
      </c>
      <c r="D6094" s="16">
        <v>30</v>
      </c>
      <c r="E6094" s="17">
        <v>203.48</v>
      </c>
      <c r="F6094" s="16">
        <v>0.04</v>
      </c>
      <c r="G6094" s="15" t="s">
        <v>101</v>
      </c>
      <c r="H6094" s="18">
        <v>-71.91</v>
      </c>
      <c r="I6094" s="19">
        <v>6.48</v>
      </c>
      <c r="J6094" s="19">
        <v>6.35</v>
      </c>
      <c r="K6094" s="19" t="s">
        <v>124</v>
      </c>
      <c r="L6094" s="19" t="s">
        <v>160</v>
      </c>
      <c r="M6094" s="15" t="s">
        <v>2281</v>
      </c>
      <c r="N6094" s="15" t="s">
        <v>36</v>
      </c>
      <c r="O6094" s="15" t="s">
        <v>117</v>
      </c>
      <c r="P6094" s="20" t="s">
        <v>1867</v>
      </c>
      <c r="Q6094" s="15" t="s">
        <v>83</v>
      </c>
      <c r="R6094" s="4"/>
      <c r="S6094" s="4"/>
    </row>
    <row r="6095" spans="1:19" ht="21" customHeight="1" x14ac:dyDescent="0.25">
      <c r="A6095" s="14">
        <f>DATE(2012,12,31)-912</f>
        <v>40362</v>
      </c>
      <c r="B6095" s="15" t="s">
        <v>178</v>
      </c>
      <c r="C6095" s="15" t="s">
        <v>43</v>
      </c>
      <c r="D6095" s="16">
        <v>20</v>
      </c>
      <c r="E6095" s="17">
        <v>205.33</v>
      </c>
      <c r="F6095" s="16">
        <v>0</v>
      </c>
      <c r="G6095" s="15" t="s">
        <v>32</v>
      </c>
      <c r="H6095" s="18">
        <v>10.68</v>
      </c>
      <c r="I6095" s="19">
        <v>9.77</v>
      </c>
      <c r="J6095" s="19">
        <v>6.02</v>
      </c>
      <c r="K6095" s="19" t="s">
        <v>124</v>
      </c>
      <c r="L6095" s="19" t="s">
        <v>160</v>
      </c>
      <c r="M6095" s="15" t="s">
        <v>2281</v>
      </c>
      <c r="N6095" s="15" t="s">
        <v>54</v>
      </c>
      <c r="O6095" s="15" t="s">
        <v>55</v>
      </c>
      <c r="P6095" s="20" t="s">
        <v>1165</v>
      </c>
      <c r="Q6095" s="15" t="s">
        <v>57</v>
      </c>
      <c r="R6095" s="4"/>
      <c r="S6095" s="4"/>
    </row>
    <row r="6096" spans="1:19" ht="21" customHeight="1" x14ac:dyDescent="0.25">
      <c r="A6096" s="14">
        <f>DATE(2012,12,31)-656</f>
        <v>40618</v>
      </c>
      <c r="B6096" s="15" t="s">
        <v>635</v>
      </c>
      <c r="C6096" s="15" t="s">
        <v>43</v>
      </c>
      <c r="D6096" s="16">
        <v>14</v>
      </c>
      <c r="E6096" s="17">
        <v>270.25</v>
      </c>
      <c r="F6096" s="16">
        <v>0.02</v>
      </c>
      <c r="G6096" s="15" t="s">
        <v>32</v>
      </c>
      <c r="H6096" s="18">
        <v>100.895</v>
      </c>
      <c r="I6096" s="19">
        <v>18.940000000000001</v>
      </c>
      <c r="J6096" s="19">
        <v>1.49</v>
      </c>
      <c r="K6096" s="19" t="s">
        <v>124</v>
      </c>
      <c r="L6096" s="19" t="s">
        <v>160</v>
      </c>
      <c r="M6096" s="15" t="s">
        <v>2281</v>
      </c>
      <c r="N6096" s="15" t="s">
        <v>36</v>
      </c>
      <c r="O6096" s="15" t="s">
        <v>170</v>
      </c>
      <c r="P6096" s="20" t="s">
        <v>1271</v>
      </c>
      <c r="Q6096" s="15" t="s">
        <v>83</v>
      </c>
      <c r="R6096" s="4"/>
      <c r="S6096" s="4"/>
    </row>
    <row r="6097" spans="1:19" ht="21" customHeight="1" x14ac:dyDescent="0.25">
      <c r="A6097" s="14">
        <f>DATE(2012,12,31)-595</f>
        <v>40679</v>
      </c>
      <c r="B6097" s="15" t="s">
        <v>635</v>
      </c>
      <c r="C6097" s="15" t="s">
        <v>85</v>
      </c>
      <c r="D6097" s="16">
        <v>17</v>
      </c>
      <c r="E6097" s="17">
        <v>1368.14</v>
      </c>
      <c r="F6097" s="16">
        <v>0.05</v>
      </c>
      <c r="G6097" s="15" t="s">
        <v>101</v>
      </c>
      <c r="H6097" s="18">
        <v>171.26</v>
      </c>
      <c r="I6097" s="19">
        <v>76.72</v>
      </c>
      <c r="J6097" s="19">
        <v>19.95</v>
      </c>
      <c r="K6097" s="19" t="s">
        <v>124</v>
      </c>
      <c r="L6097" s="19" t="s">
        <v>158</v>
      </c>
      <c r="M6097" s="15" t="s">
        <v>158</v>
      </c>
      <c r="N6097" s="15" t="s">
        <v>36</v>
      </c>
      <c r="O6097" s="15" t="s">
        <v>176</v>
      </c>
      <c r="P6097" s="20" t="s">
        <v>213</v>
      </c>
      <c r="Q6097" s="15" t="s">
        <v>39</v>
      </c>
      <c r="R6097" s="4"/>
      <c r="S6097" s="4"/>
    </row>
    <row r="6098" spans="1:19" ht="21" customHeight="1" x14ac:dyDescent="0.25">
      <c r="A6098" s="14">
        <f>DATE(2012,12,31)-1361</f>
        <v>39913</v>
      </c>
      <c r="B6098" s="15" t="s">
        <v>527</v>
      </c>
      <c r="C6098" s="15" t="s">
        <v>85</v>
      </c>
      <c r="D6098" s="16">
        <v>16</v>
      </c>
      <c r="E6098" s="17">
        <v>843.15</v>
      </c>
      <c r="F6098" s="16">
        <v>0</v>
      </c>
      <c r="G6098" s="15" t="s">
        <v>32</v>
      </c>
      <c r="H6098" s="18">
        <v>355</v>
      </c>
      <c r="I6098" s="19">
        <v>48.91</v>
      </c>
      <c r="J6098" s="19">
        <v>5.81</v>
      </c>
      <c r="K6098" s="19" t="s">
        <v>44</v>
      </c>
      <c r="L6098" s="19" t="s">
        <v>236</v>
      </c>
      <c r="M6098" s="15" t="s">
        <v>2246</v>
      </c>
      <c r="N6098" s="15" t="s">
        <v>36</v>
      </c>
      <c r="O6098" s="15" t="s">
        <v>117</v>
      </c>
      <c r="P6098" s="20" t="s">
        <v>1307</v>
      </c>
      <c r="Q6098" s="15" t="s">
        <v>83</v>
      </c>
      <c r="R6098" s="4"/>
      <c r="S6098" s="4"/>
    </row>
    <row r="6099" spans="1:19" ht="21" customHeight="1" x14ac:dyDescent="0.25">
      <c r="A6099" s="14">
        <f>DATE(2012,12,31)-1361</f>
        <v>39913</v>
      </c>
      <c r="B6099" s="15" t="s">
        <v>665</v>
      </c>
      <c r="C6099" s="15" t="s">
        <v>85</v>
      </c>
      <c r="D6099" s="16">
        <v>24</v>
      </c>
      <c r="E6099" s="17">
        <v>3978.02</v>
      </c>
      <c r="F6099" s="16">
        <v>0.08</v>
      </c>
      <c r="G6099" s="15" t="s">
        <v>32</v>
      </c>
      <c r="H6099" s="18">
        <v>1336.9565</v>
      </c>
      <c r="I6099" s="19">
        <v>165.98</v>
      </c>
      <c r="J6099" s="19">
        <v>19.989999999999998</v>
      </c>
      <c r="K6099" s="19" t="s">
        <v>44</v>
      </c>
      <c r="L6099" s="19" t="s">
        <v>52</v>
      </c>
      <c r="M6099" s="15" t="s">
        <v>2240</v>
      </c>
      <c r="N6099" s="15" t="s">
        <v>36</v>
      </c>
      <c r="O6099" s="15" t="s">
        <v>170</v>
      </c>
      <c r="P6099" s="20" t="s">
        <v>1004</v>
      </c>
      <c r="Q6099" s="15" t="s">
        <v>83</v>
      </c>
      <c r="R6099" s="4"/>
      <c r="S6099" s="4"/>
    </row>
    <row r="6100" spans="1:19" ht="21" customHeight="1" x14ac:dyDescent="0.25">
      <c r="A6100" s="14">
        <f>DATE(2012,12,31)-121</f>
        <v>41153</v>
      </c>
      <c r="B6100" s="15" t="s">
        <v>817</v>
      </c>
      <c r="C6100" s="15" t="s">
        <v>85</v>
      </c>
      <c r="D6100" s="16">
        <v>35</v>
      </c>
      <c r="E6100" s="17">
        <v>343.92</v>
      </c>
      <c r="F6100" s="16">
        <v>0.06</v>
      </c>
      <c r="G6100" s="15" t="s">
        <v>32</v>
      </c>
      <c r="H6100" s="18">
        <v>154.54</v>
      </c>
      <c r="I6100" s="19">
        <v>10.35</v>
      </c>
      <c r="J6100" s="19">
        <v>0.99</v>
      </c>
      <c r="K6100" s="19" t="s">
        <v>44</v>
      </c>
      <c r="L6100" s="19" t="s">
        <v>52</v>
      </c>
      <c r="M6100" s="15" t="s">
        <v>2240</v>
      </c>
      <c r="N6100" s="15" t="s">
        <v>36</v>
      </c>
      <c r="O6100" s="15" t="s">
        <v>114</v>
      </c>
      <c r="P6100" s="20" t="s">
        <v>1283</v>
      </c>
      <c r="Q6100" s="15" t="s">
        <v>83</v>
      </c>
      <c r="R6100" s="4"/>
      <c r="S6100" s="4"/>
    </row>
    <row r="6101" spans="1:19" ht="21" customHeight="1" x14ac:dyDescent="0.25">
      <c r="A6101" s="14">
        <f>DATE(2012,12,31)-1034</f>
        <v>40240</v>
      </c>
      <c r="B6101" s="15" t="s">
        <v>817</v>
      </c>
      <c r="C6101" s="15" t="s">
        <v>85</v>
      </c>
      <c r="D6101" s="16">
        <v>2</v>
      </c>
      <c r="E6101" s="17">
        <v>7.75</v>
      </c>
      <c r="F6101" s="16">
        <v>0.03</v>
      </c>
      <c r="G6101" s="15" t="s">
        <v>32</v>
      </c>
      <c r="H6101" s="18">
        <v>-5.27</v>
      </c>
      <c r="I6101" s="19">
        <v>2.6</v>
      </c>
      <c r="J6101" s="19">
        <v>2.4</v>
      </c>
      <c r="K6101" s="19" t="s">
        <v>69</v>
      </c>
      <c r="L6101" s="19" t="s">
        <v>70</v>
      </c>
      <c r="M6101" s="15" t="s">
        <v>2230</v>
      </c>
      <c r="N6101" s="15" t="s">
        <v>36</v>
      </c>
      <c r="O6101" s="15" t="s">
        <v>77</v>
      </c>
      <c r="P6101" s="20" t="s">
        <v>2288</v>
      </c>
      <c r="Q6101" s="15" t="s">
        <v>79</v>
      </c>
      <c r="R6101" s="4"/>
      <c r="S6101" s="4"/>
    </row>
    <row r="6102" spans="1:19" ht="21" customHeight="1" x14ac:dyDescent="0.25">
      <c r="A6102" s="14">
        <f>DATE(2012,12,31)-303</f>
        <v>40971</v>
      </c>
      <c r="B6102" s="15" t="s">
        <v>817</v>
      </c>
      <c r="C6102" s="15" t="s">
        <v>85</v>
      </c>
      <c r="D6102" s="16">
        <v>41</v>
      </c>
      <c r="E6102" s="17">
        <v>1665.81</v>
      </c>
      <c r="F6102" s="16">
        <v>0.06</v>
      </c>
      <c r="G6102" s="15" t="s">
        <v>32</v>
      </c>
      <c r="H6102" s="18">
        <v>557.52350000000001</v>
      </c>
      <c r="I6102" s="19">
        <v>40.98</v>
      </c>
      <c r="J6102" s="19">
        <v>7.47</v>
      </c>
      <c r="K6102" s="19" t="s">
        <v>69</v>
      </c>
      <c r="L6102" s="19" t="s">
        <v>70</v>
      </c>
      <c r="M6102" s="15" t="s">
        <v>2230</v>
      </c>
      <c r="N6102" s="15" t="s">
        <v>36</v>
      </c>
      <c r="O6102" s="15" t="s">
        <v>170</v>
      </c>
      <c r="P6102" s="20" t="s">
        <v>2289</v>
      </c>
      <c r="Q6102" s="15" t="s">
        <v>83</v>
      </c>
      <c r="R6102" s="4"/>
      <c r="S6102" s="4"/>
    </row>
    <row r="6103" spans="1:19" ht="21" customHeight="1" x14ac:dyDescent="0.25">
      <c r="A6103" s="14">
        <f>DATE(2012,12,31)-540</f>
        <v>40734</v>
      </c>
      <c r="B6103" s="15" t="s">
        <v>602</v>
      </c>
      <c r="C6103" s="15" t="s">
        <v>43</v>
      </c>
      <c r="D6103" s="16">
        <v>33</v>
      </c>
      <c r="E6103" s="17">
        <v>5964.19</v>
      </c>
      <c r="F6103" s="16">
        <v>0.1</v>
      </c>
      <c r="G6103" s="15" t="s">
        <v>32</v>
      </c>
      <c r="H6103" s="18">
        <v>988.19900000000007</v>
      </c>
      <c r="I6103" s="19">
        <v>199.99</v>
      </c>
      <c r="J6103" s="19">
        <v>24.49</v>
      </c>
      <c r="K6103" s="19" t="s">
        <v>69</v>
      </c>
      <c r="L6103" s="19" t="s">
        <v>215</v>
      </c>
      <c r="M6103" s="15" t="s">
        <v>2275</v>
      </c>
      <c r="N6103" s="15" t="s">
        <v>64</v>
      </c>
      <c r="O6103" s="15" t="s">
        <v>460</v>
      </c>
      <c r="P6103" s="20" t="s">
        <v>1122</v>
      </c>
      <c r="Q6103" s="15" t="s">
        <v>39</v>
      </c>
      <c r="R6103" s="4"/>
      <c r="S6103" s="4"/>
    </row>
    <row r="6104" spans="1:19" ht="21" customHeight="1" x14ac:dyDescent="0.25">
      <c r="A6104" s="14">
        <f>DATE(2012,12,31)-540</f>
        <v>40734</v>
      </c>
      <c r="B6104" s="15" t="s">
        <v>1534</v>
      </c>
      <c r="C6104" s="15" t="s">
        <v>43</v>
      </c>
      <c r="D6104" s="16">
        <v>15</v>
      </c>
      <c r="E6104" s="17">
        <v>109.2</v>
      </c>
      <c r="F6104" s="16">
        <v>0.03</v>
      </c>
      <c r="G6104" s="15" t="s">
        <v>32</v>
      </c>
      <c r="H6104" s="18">
        <v>-50.27</v>
      </c>
      <c r="I6104" s="19">
        <v>6.48</v>
      </c>
      <c r="J6104" s="19">
        <v>7.37</v>
      </c>
      <c r="K6104" s="19" t="s">
        <v>33</v>
      </c>
      <c r="L6104" s="19" t="s">
        <v>93</v>
      </c>
      <c r="M6104" s="15" t="s">
        <v>94</v>
      </c>
      <c r="N6104" s="15" t="s">
        <v>36</v>
      </c>
      <c r="O6104" s="15" t="s">
        <v>117</v>
      </c>
      <c r="P6104" s="20" t="s">
        <v>1171</v>
      </c>
      <c r="Q6104" s="15" t="s">
        <v>83</v>
      </c>
      <c r="R6104" s="4"/>
      <c r="S6104" s="4"/>
    </row>
    <row r="6105" spans="1:19" ht="21" customHeight="1" x14ac:dyDescent="0.25">
      <c r="A6105" s="14">
        <f>DATE(2012,12,31)-1228</f>
        <v>40046</v>
      </c>
      <c r="B6105" s="15" t="s">
        <v>705</v>
      </c>
      <c r="C6105" s="15" t="s">
        <v>85</v>
      </c>
      <c r="D6105" s="16">
        <v>33</v>
      </c>
      <c r="E6105" s="17">
        <v>3537.84</v>
      </c>
      <c r="F6105" s="16">
        <v>0</v>
      </c>
      <c r="G6105" s="15" t="s">
        <v>58</v>
      </c>
      <c r="H6105" s="18">
        <v>-80.86</v>
      </c>
      <c r="I6105" s="19">
        <v>100.89</v>
      </c>
      <c r="J6105" s="19">
        <v>42</v>
      </c>
      <c r="K6105" s="19" t="s">
        <v>97</v>
      </c>
      <c r="L6105" s="19" t="s">
        <v>283</v>
      </c>
      <c r="M6105" s="15" t="s">
        <v>2205</v>
      </c>
      <c r="N6105" s="15" t="s">
        <v>54</v>
      </c>
      <c r="O6105" s="15" t="s">
        <v>252</v>
      </c>
      <c r="P6105" s="20" t="s">
        <v>1246</v>
      </c>
      <c r="Q6105" s="15" t="s">
        <v>181</v>
      </c>
      <c r="R6105" s="4"/>
      <c r="S6105" s="4"/>
    </row>
    <row r="6106" spans="1:19" ht="21" customHeight="1" x14ac:dyDescent="0.25">
      <c r="A6106" s="14">
        <f>DATE(2012,12,31)-1228</f>
        <v>40046</v>
      </c>
      <c r="B6106" s="15" t="s">
        <v>1994</v>
      </c>
      <c r="C6106" s="15" t="s">
        <v>85</v>
      </c>
      <c r="D6106" s="16">
        <v>43</v>
      </c>
      <c r="E6106" s="17">
        <v>2221.1999999999998</v>
      </c>
      <c r="F6106" s="16">
        <v>0.01</v>
      </c>
      <c r="G6106" s="15" t="s">
        <v>32</v>
      </c>
      <c r="H6106" s="18">
        <v>-1127.22</v>
      </c>
      <c r="I6106" s="19">
        <v>48.91</v>
      </c>
      <c r="J6106" s="19">
        <v>35</v>
      </c>
      <c r="K6106" s="19" t="s">
        <v>44</v>
      </c>
      <c r="L6106" s="19" t="s">
        <v>52</v>
      </c>
      <c r="M6106" s="15" t="s">
        <v>2240</v>
      </c>
      <c r="N6106" s="15" t="s">
        <v>36</v>
      </c>
      <c r="O6106" s="15" t="s">
        <v>37</v>
      </c>
      <c r="P6106" s="20" t="s">
        <v>1016</v>
      </c>
      <c r="Q6106" s="15" t="s">
        <v>39</v>
      </c>
      <c r="R6106" s="4"/>
      <c r="S6106" s="4"/>
    </row>
    <row r="6107" spans="1:19" ht="21" customHeight="1" x14ac:dyDescent="0.25">
      <c r="A6107" s="14">
        <f>DATE(2012,12,31)-496</f>
        <v>40778</v>
      </c>
      <c r="B6107" s="15" t="s">
        <v>777</v>
      </c>
      <c r="C6107" s="15" t="s">
        <v>31</v>
      </c>
      <c r="D6107" s="16">
        <v>39</v>
      </c>
      <c r="E6107" s="17">
        <v>6888.6635000000006</v>
      </c>
      <c r="F6107" s="16">
        <v>0.03</v>
      </c>
      <c r="G6107" s="15" t="s">
        <v>32</v>
      </c>
      <c r="H6107" s="18">
        <v>1925.5770000000002</v>
      </c>
      <c r="I6107" s="19">
        <v>205.99</v>
      </c>
      <c r="J6107" s="19">
        <v>5</v>
      </c>
      <c r="K6107" s="19" t="s">
        <v>124</v>
      </c>
      <c r="L6107" s="19" t="s">
        <v>158</v>
      </c>
      <c r="M6107" s="15" t="s">
        <v>158</v>
      </c>
      <c r="N6107" s="15" t="s">
        <v>64</v>
      </c>
      <c r="O6107" s="15" t="s">
        <v>65</v>
      </c>
      <c r="P6107" s="20" t="s">
        <v>662</v>
      </c>
      <c r="Q6107" s="15" t="s">
        <v>83</v>
      </c>
      <c r="R6107" s="4"/>
      <c r="S6107" s="4"/>
    </row>
    <row r="6108" spans="1:19" ht="21" customHeight="1" x14ac:dyDescent="0.25">
      <c r="A6108" s="14">
        <f>DATE(2012,12,31)-496</f>
        <v>40778</v>
      </c>
      <c r="B6108" s="15" t="s">
        <v>777</v>
      </c>
      <c r="C6108" s="15" t="s">
        <v>31</v>
      </c>
      <c r="D6108" s="16">
        <v>4</v>
      </c>
      <c r="E6108" s="17">
        <v>8.8699999999999992</v>
      </c>
      <c r="F6108" s="16">
        <v>0.09</v>
      </c>
      <c r="G6108" s="15" t="s">
        <v>32</v>
      </c>
      <c r="H6108" s="18">
        <v>-5.14</v>
      </c>
      <c r="I6108" s="19">
        <v>1.95</v>
      </c>
      <c r="J6108" s="19">
        <v>1.63</v>
      </c>
      <c r="K6108" s="19" t="s">
        <v>44</v>
      </c>
      <c r="L6108" s="19" t="s">
        <v>52</v>
      </c>
      <c r="M6108" s="15" t="s">
        <v>2240</v>
      </c>
      <c r="N6108" s="15" t="s">
        <v>36</v>
      </c>
      <c r="O6108" s="15" t="s">
        <v>77</v>
      </c>
      <c r="P6108" s="20" t="s">
        <v>945</v>
      </c>
      <c r="Q6108" s="15" t="s">
        <v>79</v>
      </c>
      <c r="R6108" s="4"/>
      <c r="S6108" s="4"/>
    </row>
    <row r="6109" spans="1:19" ht="21" customHeight="1" x14ac:dyDescent="0.25">
      <c r="A6109" s="14">
        <f>DATE(2012,12,31)-496</f>
        <v>40778</v>
      </c>
      <c r="B6109" s="15" t="s">
        <v>606</v>
      </c>
      <c r="C6109" s="15" t="s">
        <v>31</v>
      </c>
      <c r="D6109" s="16">
        <v>43</v>
      </c>
      <c r="E6109" s="17">
        <v>720.61299999999994</v>
      </c>
      <c r="F6109" s="16">
        <v>7.0000000000000007E-2</v>
      </c>
      <c r="G6109" s="15" t="s">
        <v>32</v>
      </c>
      <c r="H6109" s="18">
        <v>329.67899999999997</v>
      </c>
      <c r="I6109" s="19">
        <v>20.99</v>
      </c>
      <c r="J6109" s="19">
        <v>0.99</v>
      </c>
      <c r="K6109" s="19" t="s">
        <v>33</v>
      </c>
      <c r="L6109" s="19" t="s">
        <v>93</v>
      </c>
      <c r="M6109" s="15" t="s">
        <v>94</v>
      </c>
      <c r="N6109" s="15" t="s">
        <v>64</v>
      </c>
      <c r="O6109" s="15" t="s">
        <v>65</v>
      </c>
      <c r="P6109" s="20" t="s">
        <v>1367</v>
      </c>
      <c r="Q6109" s="15" t="s">
        <v>79</v>
      </c>
      <c r="R6109" s="4"/>
      <c r="S6109" s="4"/>
    </row>
    <row r="6110" spans="1:19" ht="21" customHeight="1" x14ac:dyDescent="0.25">
      <c r="A6110" s="14">
        <f>DATE(2012,12,31)-1030</f>
        <v>40244</v>
      </c>
      <c r="B6110" s="15" t="s">
        <v>663</v>
      </c>
      <c r="C6110" s="15" t="s">
        <v>85</v>
      </c>
      <c r="D6110" s="16">
        <v>42</v>
      </c>
      <c r="E6110" s="17">
        <v>2475.83</v>
      </c>
      <c r="F6110" s="16">
        <v>0.09</v>
      </c>
      <c r="G6110" s="15" t="s">
        <v>32</v>
      </c>
      <c r="H6110" s="18">
        <v>752.37</v>
      </c>
      <c r="I6110" s="19">
        <v>59.98</v>
      </c>
      <c r="J6110" s="19">
        <v>3.99</v>
      </c>
      <c r="K6110" s="19" t="s">
        <v>33</v>
      </c>
      <c r="L6110" s="19" t="s">
        <v>93</v>
      </c>
      <c r="M6110" s="15" t="s">
        <v>94</v>
      </c>
      <c r="N6110" s="15" t="s">
        <v>36</v>
      </c>
      <c r="O6110" s="15" t="s">
        <v>176</v>
      </c>
      <c r="P6110" s="20" t="s">
        <v>1783</v>
      </c>
      <c r="Q6110" s="15" t="s">
        <v>83</v>
      </c>
      <c r="R6110" s="4"/>
      <c r="S6110" s="4"/>
    </row>
    <row r="6111" spans="1:19" ht="21" customHeight="1" x14ac:dyDescent="0.25">
      <c r="A6111" s="14">
        <f>DATE(2012,12,31)-1344</f>
        <v>39930</v>
      </c>
      <c r="B6111" s="15" t="s">
        <v>1456</v>
      </c>
      <c r="C6111" s="15" t="s">
        <v>43</v>
      </c>
      <c r="D6111" s="16">
        <v>40</v>
      </c>
      <c r="E6111" s="17">
        <v>2205.7584999999999</v>
      </c>
      <c r="F6111" s="16">
        <v>0.03</v>
      </c>
      <c r="G6111" s="15" t="s">
        <v>32</v>
      </c>
      <c r="H6111" s="18">
        <v>337.041</v>
      </c>
      <c r="I6111" s="19">
        <v>65.989999999999995</v>
      </c>
      <c r="J6111" s="19">
        <v>8.99</v>
      </c>
      <c r="K6111" s="19" t="s">
        <v>33</v>
      </c>
      <c r="L6111" s="19" t="s">
        <v>34</v>
      </c>
      <c r="M6111" s="15" t="s">
        <v>2273</v>
      </c>
      <c r="N6111" s="15" t="s">
        <v>64</v>
      </c>
      <c r="O6111" s="15" t="s">
        <v>65</v>
      </c>
      <c r="P6111" s="20" t="s">
        <v>389</v>
      </c>
      <c r="Q6111" s="15" t="s">
        <v>83</v>
      </c>
      <c r="R6111" s="4"/>
      <c r="S6111" s="4"/>
    </row>
    <row r="6112" spans="1:19" ht="21" customHeight="1" x14ac:dyDescent="0.25">
      <c r="A6112" s="14">
        <f>DATE(2012,12,31)-112</f>
        <v>41162</v>
      </c>
      <c r="B6112" s="15" t="s">
        <v>932</v>
      </c>
      <c r="C6112" s="15" t="s">
        <v>51</v>
      </c>
      <c r="D6112" s="16">
        <v>31</v>
      </c>
      <c r="E6112" s="17">
        <v>1750</v>
      </c>
      <c r="F6112" s="16">
        <v>0.03</v>
      </c>
      <c r="G6112" s="15" t="s">
        <v>101</v>
      </c>
      <c r="H6112" s="18">
        <v>559.38</v>
      </c>
      <c r="I6112" s="19">
        <v>55.48</v>
      </c>
      <c r="J6112" s="19">
        <v>14.3</v>
      </c>
      <c r="K6112" s="19" t="s">
        <v>33</v>
      </c>
      <c r="L6112" s="19" t="s">
        <v>145</v>
      </c>
      <c r="M6112" s="15" t="s">
        <v>2248</v>
      </c>
      <c r="N6112" s="15" t="s">
        <v>36</v>
      </c>
      <c r="O6112" s="15" t="s">
        <v>117</v>
      </c>
      <c r="P6112" s="20" t="s">
        <v>1967</v>
      </c>
      <c r="Q6112" s="15" t="s">
        <v>83</v>
      </c>
      <c r="R6112" s="4"/>
      <c r="S6112" s="4"/>
    </row>
    <row r="6113" spans="1:19" ht="21" customHeight="1" x14ac:dyDescent="0.25">
      <c r="A6113" s="14">
        <f>DATE(2012,12,31)-1175</f>
        <v>40099</v>
      </c>
      <c r="B6113" s="15" t="s">
        <v>932</v>
      </c>
      <c r="C6113" s="15" t="s">
        <v>31</v>
      </c>
      <c r="D6113" s="16">
        <v>48</v>
      </c>
      <c r="E6113" s="17">
        <v>112.16</v>
      </c>
      <c r="F6113" s="16">
        <v>0</v>
      </c>
      <c r="G6113" s="15" t="s">
        <v>32</v>
      </c>
      <c r="H6113" s="18">
        <v>-178.29</v>
      </c>
      <c r="I6113" s="19">
        <v>2.08</v>
      </c>
      <c r="J6113" s="19">
        <v>5.33</v>
      </c>
      <c r="K6113" s="19" t="s">
        <v>33</v>
      </c>
      <c r="L6113" s="19" t="s">
        <v>59</v>
      </c>
      <c r="M6113" s="15" t="s">
        <v>2269</v>
      </c>
      <c r="N6113" s="15" t="s">
        <v>54</v>
      </c>
      <c r="O6113" s="15" t="s">
        <v>55</v>
      </c>
      <c r="P6113" s="20" t="s">
        <v>998</v>
      </c>
      <c r="Q6113" s="15" t="s">
        <v>83</v>
      </c>
      <c r="R6113" s="4"/>
      <c r="S6113" s="4"/>
    </row>
    <row r="6114" spans="1:19" ht="21" customHeight="1" x14ac:dyDescent="0.25">
      <c r="A6114" s="14">
        <f>DATE(2012,12,31)-1449</f>
        <v>39825</v>
      </c>
      <c r="B6114" s="15" t="s">
        <v>1449</v>
      </c>
      <c r="C6114" s="15" t="s">
        <v>85</v>
      </c>
      <c r="D6114" s="16">
        <v>45</v>
      </c>
      <c r="E6114" s="17">
        <v>15963.09</v>
      </c>
      <c r="F6114" s="16">
        <v>0.03</v>
      </c>
      <c r="G6114" s="15" t="s">
        <v>58</v>
      </c>
      <c r="H6114" s="18">
        <v>4276.7299999999996</v>
      </c>
      <c r="I6114" s="19">
        <v>350.98</v>
      </c>
      <c r="J6114" s="19">
        <v>30</v>
      </c>
      <c r="K6114" s="19" t="s">
        <v>33</v>
      </c>
      <c r="L6114" s="19" t="s">
        <v>34</v>
      </c>
      <c r="M6114" s="15" t="s">
        <v>2273</v>
      </c>
      <c r="N6114" s="15" t="s">
        <v>54</v>
      </c>
      <c r="O6114" s="15" t="s">
        <v>252</v>
      </c>
      <c r="P6114" s="20" t="s">
        <v>2174</v>
      </c>
      <c r="Q6114" s="15" t="s">
        <v>181</v>
      </c>
      <c r="R6114" s="4"/>
      <c r="S6114" s="4"/>
    </row>
    <row r="6115" spans="1:19" ht="21" customHeight="1" x14ac:dyDescent="0.25">
      <c r="A6115" s="14">
        <f>DATE(2012,12,31)-1449</f>
        <v>39825</v>
      </c>
      <c r="B6115" s="15" t="s">
        <v>1449</v>
      </c>
      <c r="C6115" s="15" t="s">
        <v>85</v>
      </c>
      <c r="D6115" s="16">
        <v>33</v>
      </c>
      <c r="E6115" s="17">
        <v>58.48</v>
      </c>
      <c r="F6115" s="16">
        <v>0.04</v>
      </c>
      <c r="G6115" s="15" t="s">
        <v>32</v>
      </c>
      <c r="H6115" s="18">
        <v>2.72</v>
      </c>
      <c r="I6115" s="19">
        <v>1.68</v>
      </c>
      <c r="J6115" s="19">
        <v>1</v>
      </c>
      <c r="K6115" s="19" t="s">
        <v>33</v>
      </c>
      <c r="L6115" s="19" t="s">
        <v>59</v>
      </c>
      <c r="M6115" s="15" t="s">
        <v>2269</v>
      </c>
      <c r="N6115" s="15" t="s">
        <v>36</v>
      </c>
      <c r="O6115" s="15" t="s">
        <v>77</v>
      </c>
      <c r="P6115" s="20" t="s">
        <v>1184</v>
      </c>
      <c r="Q6115" s="15" t="s">
        <v>79</v>
      </c>
      <c r="R6115" s="4"/>
      <c r="S6115" s="4"/>
    </row>
    <row r="6116" spans="1:19" ht="21" customHeight="1" x14ac:dyDescent="0.25">
      <c r="A6116" s="14">
        <f>DATE(2012,12,31)-483</f>
        <v>40791</v>
      </c>
      <c r="B6116" s="15" t="s">
        <v>1204</v>
      </c>
      <c r="C6116" s="15" t="s">
        <v>85</v>
      </c>
      <c r="D6116" s="16">
        <v>35</v>
      </c>
      <c r="E6116" s="17">
        <v>12908.4</v>
      </c>
      <c r="F6116" s="16">
        <v>0.03</v>
      </c>
      <c r="G6116" s="15" t="s">
        <v>58</v>
      </c>
      <c r="H6116" s="18">
        <v>4084.86</v>
      </c>
      <c r="I6116" s="19">
        <v>350.99</v>
      </c>
      <c r="J6116" s="19">
        <v>59</v>
      </c>
      <c r="K6116" s="19" t="s">
        <v>33</v>
      </c>
      <c r="L6116" s="19" t="s">
        <v>145</v>
      </c>
      <c r="M6116" s="15" t="s">
        <v>2248</v>
      </c>
      <c r="N6116" s="15" t="s">
        <v>54</v>
      </c>
      <c r="O6116" s="15" t="s">
        <v>252</v>
      </c>
      <c r="P6116" s="20" t="s">
        <v>1869</v>
      </c>
      <c r="Q6116" s="15" t="s">
        <v>181</v>
      </c>
      <c r="R6116" s="4"/>
      <c r="S6116" s="4"/>
    </row>
    <row r="6117" spans="1:19" ht="21" customHeight="1" x14ac:dyDescent="0.25">
      <c r="A6117" s="14">
        <f>DATE(2012,12,31)-268</f>
        <v>41006</v>
      </c>
      <c r="B6117" s="15" t="s">
        <v>1204</v>
      </c>
      <c r="C6117" s="15" t="s">
        <v>51</v>
      </c>
      <c r="D6117" s="16">
        <v>21</v>
      </c>
      <c r="E6117" s="17">
        <v>524.20000000000005</v>
      </c>
      <c r="F6117" s="16">
        <v>0.04</v>
      </c>
      <c r="G6117" s="15" t="s">
        <v>32</v>
      </c>
      <c r="H6117" s="18">
        <v>158.97999999999999</v>
      </c>
      <c r="I6117" s="19">
        <v>23.99</v>
      </c>
      <c r="J6117" s="19">
        <v>6.71</v>
      </c>
      <c r="K6117" s="19" t="s">
        <v>33</v>
      </c>
      <c r="L6117" s="19" t="s">
        <v>59</v>
      </c>
      <c r="M6117" s="15" t="s">
        <v>2269</v>
      </c>
      <c r="N6117" s="15" t="s">
        <v>36</v>
      </c>
      <c r="O6117" s="15" t="s">
        <v>189</v>
      </c>
      <c r="P6117" s="20" t="s">
        <v>1176</v>
      </c>
      <c r="Q6117" s="15" t="s">
        <v>83</v>
      </c>
      <c r="R6117" s="4"/>
      <c r="S6117" s="4"/>
    </row>
    <row r="6118" spans="1:19" ht="21" customHeight="1" x14ac:dyDescent="0.25">
      <c r="A6118" s="14">
        <f>DATE(2012,12,31)-1028</f>
        <v>40246</v>
      </c>
      <c r="B6118" s="15" t="s">
        <v>1204</v>
      </c>
      <c r="C6118" s="15" t="s">
        <v>85</v>
      </c>
      <c r="D6118" s="16">
        <v>3</v>
      </c>
      <c r="E6118" s="17">
        <v>23.38</v>
      </c>
      <c r="F6118" s="16">
        <v>0.08</v>
      </c>
      <c r="G6118" s="15" t="s">
        <v>32</v>
      </c>
      <c r="H6118" s="18">
        <v>-12.19</v>
      </c>
      <c r="I6118" s="19">
        <v>6.48</v>
      </c>
      <c r="J6118" s="19">
        <v>5.14</v>
      </c>
      <c r="K6118" s="19" t="s">
        <v>33</v>
      </c>
      <c r="L6118" s="19" t="s">
        <v>59</v>
      </c>
      <c r="M6118" s="15" t="s">
        <v>2269</v>
      </c>
      <c r="N6118" s="15" t="s">
        <v>36</v>
      </c>
      <c r="O6118" s="15" t="s">
        <v>117</v>
      </c>
      <c r="P6118" s="20" t="s">
        <v>1101</v>
      </c>
      <c r="Q6118" s="15" t="s">
        <v>83</v>
      </c>
      <c r="R6118" s="4"/>
      <c r="S6118" s="4"/>
    </row>
    <row r="6119" spans="1:19" ht="21" customHeight="1" x14ac:dyDescent="0.25">
      <c r="A6119" s="14">
        <f>DATE(2012,12,31)-1028</f>
        <v>40246</v>
      </c>
      <c r="B6119" s="15" t="s">
        <v>1509</v>
      </c>
      <c r="C6119" s="15" t="s">
        <v>85</v>
      </c>
      <c r="D6119" s="16">
        <v>16</v>
      </c>
      <c r="E6119" s="17">
        <v>139.37</v>
      </c>
      <c r="F6119" s="16">
        <v>0.04</v>
      </c>
      <c r="G6119" s="15" t="s">
        <v>101</v>
      </c>
      <c r="H6119" s="18">
        <v>1.72</v>
      </c>
      <c r="I6119" s="19">
        <v>8.34</v>
      </c>
      <c r="J6119" s="19">
        <v>2.64</v>
      </c>
      <c r="K6119" s="19" t="s">
        <v>33</v>
      </c>
      <c r="L6119" s="19" t="s">
        <v>59</v>
      </c>
      <c r="M6119" s="15" t="s">
        <v>2269</v>
      </c>
      <c r="N6119" s="15" t="s">
        <v>36</v>
      </c>
      <c r="O6119" s="15" t="s">
        <v>47</v>
      </c>
      <c r="P6119" s="20" t="s">
        <v>351</v>
      </c>
      <c r="Q6119" s="15" t="s">
        <v>49</v>
      </c>
      <c r="R6119" s="4"/>
      <c r="S6119" s="4"/>
    </row>
    <row r="6120" spans="1:19" ht="21" customHeight="1" x14ac:dyDescent="0.25">
      <c r="A6120" s="14">
        <f>DATE(2012,12,31)-1028</f>
        <v>40246</v>
      </c>
      <c r="B6120" s="15" t="s">
        <v>1994</v>
      </c>
      <c r="C6120" s="15" t="s">
        <v>85</v>
      </c>
      <c r="D6120" s="16">
        <v>18</v>
      </c>
      <c r="E6120" s="17">
        <v>1221.6199999999999</v>
      </c>
      <c r="F6120" s="16">
        <v>0.01</v>
      </c>
      <c r="G6120" s="15" t="s">
        <v>32</v>
      </c>
      <c r="H6120" s="18">
        <v>-468.64</v>
      </c>
      <c r="I6120" s="19">
        <v>64.650000000000006</v>
      </c>
      <c r="J6120" s="19">
        <v>35</v>
      </c>
      <c r="K6120" s="19" t="s">
        <v>33</v>
      </c>
      <c r="L6120" s="19" t="s">
        <v>34</v>
      </c>
      <c r="M6120" s="15" t="s">
        <v>2273</v>
      </c>
      <c r="N6120" s="15" t="s">
        <v>36</v>
      </c>
      <c r="O6120" s="15" t="s">
        <v>37</v>
      </c>
      <c r="P6120" s="20" t="s">
        <v>1234</v>
      </c>
      <c r="Q6120" s="15" t="s">
        <v>39</v>
      </c>
      <c r="R6120" s="4"/>
      <c r="S6120" s="4"/>
    </row>
    <row r="6121" spans="1:19" ht="21" customHeight="1" x14ac:dyDescent="0.25">
      <c r="A6121" s="14">
        <f>DATE(2012,12,31)-731</f>
        <v>40543</v>
      </c>
      <c r="B6121" s="15" t="s">
        <v>1433</v>
      </c>
      <c r="C6121" s="15" t="s">
        <v>85</v>
      </c>
      <c r="D6121" s="16">
        <v>39</v>
      </c>
      <c r="E6121" s="17">
        <v>6553.45</v>
      </c>
      <c r="F6121" s="16">
        <v>0.03</v>
      </c>
      <c r="G6121" s="15" t="s">
        <v>32</v>
      </c>
      <c r="H6121" s="18">
        <v>2969.81</v>
      </c>
      <c r="I6121" s="19">
        <v>162.93</v>
      </c>
      <c r="J6121" s="19">
        <v>19.989999999999998</v>
      </c>
      <c r="K6121" s="19" t="s">
        <v>33</v>
      </c>
      <c r="L6121" s="19" t="s">
        <v>34</v>
      </c>
      <c r="M6121" s="15" t="s">
        <v>2273</v>
      </c>
      <c r="N6121" s="15" t="s">
        <v>36</v>
      </c>
      <c r="O6121" s="15" t="s">
        <v>189</v>
      </c>
      <c r="P6121" s="20" t="s">
        <v>402</v>
      </c>
      <c r="Q6121" s="15" t="s">
        <v>83</v>
      </c>
      <c r="R6121" s="4"/>
      <c r="S6121" s="4"/>
    </row>
    <row r="6122" spans="1:19" ht="21" customHeight="1" x14ac:dyDescent="0.25">
      <c r="A6122" s="14">
        <f>DATE(2012,12,31)-599</f>
        <v>40675</v>
      </c>
      <c r="B6122" s="15" t="s">
        <v>378</v>
      </c>
      <c r="C6122" s="15" t="s">
        <v>85</v>
      </c>
      <c r="D6122" s="16">
        <v>35</v>
      </c>
      <c r="E6122" s="17">
        <v>2130.31</v>
      </c>
      <c r="F6122" s="16">
        <v>0.08</v>
      </c>
      <c r="G6122" s="15" t="s">
        <v>58</v>
      </c>
      <c r="H6122" s="18">
        <v>-319.26</v>
      </c>
      <c r="I6122" s="19">
        <v>60.89</v>
      </c>
      <c r="J6122" s="19">
        <v>32.409999999999997</v>
      </c>
      <c r="K6122" s="19" t="s">
        <v>33</v>
      </c>
      <c r="L6122" s="19" t="s">
        <v>59</v>
      </c>
      <c r="M6122" s="15" t="s">
        <v>2269</v>
      </c>
      <c r="N6122" s="15" t="s">
        <v>54</v>
      </c>
      <c r="O6122" s="15" t="s">
        <v>252</v>
      </c>
      <c r="P6122" s="20" t="s">
        <v>858</v>
      </c>
      <c r="Q6122" s="15" t="s">
        <v>181</v>
      </c>
      <c r="R6122" s="4"/>
      <c r="S6122" s="4"/>
    </row>
    <row r="6123" spans="1:19" ht="21" customHeight="1" x14ac:dyDescent="0.25">
      <c r="A6123" s="14">
        <f>DATE(2012,12,31)-617</f>
        <v>40657</v>
      </c>
      <c r="B6123" s="15" t="s">
        <v>1977</v>
      </c>
      <c r="C6123" s="15" t="s">
        <v>43</v>
      </c>
      <c r="D6123" s="16">
        <v>10</v>
      </c>
      <c r="E6123" s="17">
        <v>1600.85</v>
      </c>
      <c r="F6123" s="16">
        <v>7.0000000000000007E-2</v>
      </c>
      <c r="G6123" s="15" t="s">
        <v>58</v>
      </c>
      <c r="H6123" s="18">
        <v>-193.97</v>
      </c>
      <c r="I6123" s="19">
        <v>159.31</v>
      </c>
      <c r="J6123" s="19">
        <v>60</v>
      </c>
      <c r="K6123" s="19" t="s">
        <v>33</v>
      </c>
      <c r="L6123" s="19" t="s">
        <v>59</v>
      </c>
      <c r="M6123" s="15" t="s">
        <v>2269</v>
      </c>
      <c r="N6123" s="15" t="s">
        <v>54</v>
      </c>
      <c r="O6123" s="15" t="s">
        <v>61</v>
      </c>
      <c r="P6123" s="20" t="s">
        <v>2008</v>
      </c>
      <c r="Q6123" s="15" t="s">
        <v>181</v>
      </c>
      <c r="R6123" s="4"/>
      <c r="S6123" s="4"/>
    </row>
    <row r="6124" spans="1:19" ht="21" customHeight="1" x14ac:dyDescent="0.25">
      <c r="A6124" s="14">
        <f>DATE(2012,12,31)-1250</f>
        <v>40024</v>
      </c>
      <c r="B6124" s="15" t="s">
        <v>1977</v>
      </c>
      <c r="C6124" s="15" t="s">
        <v>51</v>
      </c>
      <c r="D6124" s="16">
        <v>35</v>
      </c>
      <c r="E6124" s="17">
        <v>59.66</v>
      </c>
      <c r="F6124" s="16">
        <v>0.05</v>
      </c>
      <c r="G6124" s="15" t="s">
        <v>32</v>
      </c>
      <c r="H6124" s="18">
        <v>-33.340000000000003</v>
      </c>
      <c r="I6124" s="19">
        <v>1.68</v>
      </c>
      <c r="J6124" s="19">
        <v>1.57</v>
      </c>
      <c r="K6124" s="19" t="s">
        <v>69</v>
      </c>
      <c r="L6124" s="19" t="s">
        <v>70</v>
      </c>
      <c r="M6124" s="15" t="s">
        <v>2230</v>
      </c>
      <c r="N6124" s="15" t="s">
        <v>36</v>
      </c>
      <c r="O6124" s="15" t="s">
        <v>77</v>
      </c>
      <c r="P6124" s="20" t="s">
        <v>1772</v>
      </c>
      <c r="Q6124" s="15" t="s">
        <v>79</v>
      </c>
      <c r="R6124" s="4"/>
      <c r="S6124" s="4"/>
    </row>
    <row r="6125" spans="1:19" ht="21" customHeight="1" x14ac:dyDescent="0.25">
      <c r="A6125" s="14">
        <f>DATE(2012,12,31)-1250</f>
        <v>40024</v>
      </c>
      <c r="B6125" s="15" t="s">
        <v>716</v>
      </c>
      <c r="C6125" s="15" t="s">
        <v>51</v>
      </c>
      <c r="D6125" s="16">
        <v>2</v>
      </c>
      <c r="E6125" s="17">
        <v>377.01600000000002</v>
      </c>
      <c r="F6125" s="16">
        <v>0.1</v>
      </c>
      <c r="G6125" s="15" t="s">
        <v>58</v>
      </c>
      <c r="H6125" s="18">
        <v>-201.27599999999998</v>
      </c>
      <c r="I6125" s="19">
        <v>218.75</v>
      </c>
      <c r="J6125" s="19">
        <v>69.64</v>
      </c>
      <c r="K6125" s="19" t="s">
        <v>69</v>
      </c>
      <c r="L6125" s="19" t="s">
        <v>70</v>
      </c>
      <c r="M6125" s="15" t="s">
        <v>2230</v>
      </c>
      <c r="N6125" s="15" t="s">
        <v>54</v>
      </c>
      <c r="O6125" s="15" t="s">
        <v>61</v>
      </c>
      <c r="P6125" s="20" t="s">
        <v>1254</v>
      </c>
      <c r="Q6125" s="15" t="s">
        <v>63</v>
      </c>
      <c r="R6125" s="4"/>
      <c r="S6125" s="4"/>
    </row>
    <row r="6126" spans="1:19" ht="21" customHeight="1" x14ac:dyDescent="0.25">
      <c r="A6126" s="14">
        <f>DATE(2012,12,31)-1250</f>
        <v>40024</v>
      </c>
      <c r="B6126" s="15" t="s">
        <v>527</v>
      </c>
      <c r="C6126" s="15" t="s">
        <v>51</v>
      </c>
      <c r="D6126" s="16">
        <v>8</v>
      </c>
      <c r="E6126" s="17">
        <v>124.7</v>
      </c>
      <c r="F6126" s="16">
        <v>0</v>
      </c>
      <c r="G6126" s="15" t="s">
        <v>32</v>
      </c>
      <c r="H6126" s="18">
        <v>31.94</v>
      </c>
      <c r="I6126" s="19">
        <v>15.04</v>
      </c>
      <c r="J6126" s="19">
        <v>1.97</v>
      </c>
      <c r="K6126" s="19" t="s">
        <v>69</v>
      </c>
      <c r="L6126" s="19" t="s">
        <v>70</v>
      </c>
      <c r="M6126" s="15" t="s">
        <v>2230</v>
      </c>
      <c r="N6126" s="15" t="s">
        <v>36</v>
      </c>
      <c r="O6126" s="15" t="s">
        <v>117</v>
      </c>
      <c r="P6126" s="20" t="s">
        <v>1556</v>
      </c>
      <c r="Q6126" s="15" t="s">
        <v>79</v>
      </c>
      <c r="R6126" s="4"/>
      <c r="S6126" s="4"/>
    </row>
    <row r="6127" spans="1:19" ht="21" customHeight="1" x14ac:dyDescent="0.25">
      <c r="A6127" s="14">
        <f>DATE(2012,12,31)-501</f>
        <v>40773</v>
      </c>
      <c r="B6127" s="15" t="s">
        <v>1804</v>
      </c>
      <c r="C6127" s="15" t="s">
        <v>43</v>
      </c>
      <c r="D6127" s="16">
        <v>34</v>
      </c>
      <c r="E6127" s="17">
        <v>772.56</v>
      </c>
      <c r="F6127" s="16">
        <v>0.04</v>
      </c>
      <c r="G6127" s="15" t="s">
        <v>101</v>
      </c>
      <c r="H6127" s="18">
        <v>143.87</v>
      </c>
      <c r="I6127" s="19">
        <v>22.98</v>
      </c>
      <c r="J6127" s="19">
        <v>4.5</v>
      </c>
      <c r="K6127" s="19" t="s">
        <v>69</v>
      </c>
      <c r="L6127" s="19" t="s">
        <v>75</v>
      </c>
      <c r="M6127" s="15" t="s">
        <v>2284</v>
      </c>
      <c r="N6127" s="15" t="s">
        <v>36</v>
      </c>
      <c r="O6127" s="15" t="s">
        <v>176</v>
      </c>
      <c r="P6127" s="20" t="s">
        <v>302</v>
      </c>
      <c r="Q6127" s="15" t="s">
        <v>83</v>
      </c>
      <c r="R6127" s="4"/>
      <c r="S6127" s="4"/>
    </row>
    <row r="6128" spans="1:19" ht="21" customHeight="1" x14ac:dyDescent="0.25">
      <c r="A6128" s="14">
        <f>DATE(2012,12,31)-420</f>
        <v>40854</v>
      </c>
      <c r="B6128" s="15" t="s">
        <v>1804</v>
      </c>
      <c r="C6128" s="15" t="s">
        <v>85</v>
      </c>
      <c r="D6128" s="16">
        <v>26</v>
      </c>
      <c r="E6128" s="17">
        <v>13905.88</v>
      </c>
      <c r="F6128" s="16">
        <v>0.05</v>
      </c>
      <c r="G6128" s="15" t="s">
        <v>32</v>
      </c>
      <c r="H6128" s="18">
        <v>6441.18</v>
      </c>
      <c r="I6128" s="19">
        <v>574.74</v>
      </c>
      <c r="J6128" s="19">
        <v>24.49</v>
      </c>
      <c r="K6128" s="19" t="s">
        <v>69</v>
      </c>
      <c r="L6128" s="19" t="s">
        <v>75</v>
      </c>
      <c r="M6128" s="15" t="s">
        <v>2284</v>
      </c>
      <c r="N6128" s="15" t="s">
        <v>64</v>
      </c>
      <c r="O6128" s="15" t="s">
        <v>122</v>
      </c>
      <c r="P6128" s="20" t="s">
        <v>1864</v>
      </c>
      <c r="Q6128" s="15" t="s">
        <v>39</v>
      </c>
      <c r="R6128" s="4"/>
      <c r="S6128" s="4"/>
    </row>
    <row r="6129" spans="1:19" ht="21" customHeight="1" x14ac:dyDescent="0.25">
      <c r="A6129" s="14">
        <f>DATE(2012,12,31)-203</f>
        <v>41071</v>
      </c>
      <c r="B6129" s="15" t="s">
        <v>1804</v>
      </c>
      <c r="C6129" s="15" t="s">
        <v>85</v>
      </c>
      <c r="D6129" s="16">
        <v>2</v>
      </c>
      <c r="E6129" s="17">
        <v>25.09</v>
      </c>
      <c r="F6129" s="16">
        <v>7.0000000000000007E-2</v>
      </c>
      <c r="G6129" s="15" t="s">
        <v>32</v>
      </c>
      <c r="H6129" s="18">
        <v>-17.594999999999999</v>
      </c>
      <c r="I6129" s="19">
        <v>8.0399999999999991</v>
      </c>
      <c r="J6129" s="19">
        <v>8.94</v>
      </c>
      <c r="K6129" s="19" t="s">
        <v>69</v>
      </c>
      <c r="L6129" s="19" t="s">
        <v>75</v>
      </c>
      <c r="M6129" s="15" t="s">
        <v>2284</v>
      </c>
      <c r="N6129" s="15" t="s">
        <v>36</v>
      </c>
      <c r="O6129" s="15" t="s">
        <v>170</v>
      </c>
      <c r="P6129" s="20" t="s">
        <v>1245</v>
      </c>
      <c r="Q6129" s="15" t="s">
        <v>83</v>
      </c>
      <c r="R6129" s="4"/>
      <c r="S6129" s="4"/>
    </row>
    <row r="6130" spans="1:19" ht="21" customHeight="1" x14ac:dyDescent="0.25">
      <c r="A6130" s="14">
        <f>DATE(2012,12,31)-196</f>
        <v>41078</v>
      </c>
      <c r="B6130" s="15" t="s">
        <v>1509</v>
      </c>
      <c r="C6130" s="15" t="s">
        <v>85</v>
      </c>
      <c r="D6130" s="16">
        <v>46</v>
      </c>
      <c r="E6130" s="17">
        <v>2116.1999999999998</v>
      </c>
      <c r="F6130" s="16">
        <v>0.08</v>
      </c>
      <c r="G6130" s="15" t="s">
        <v>32</v>
      </c>
      <c r="H6130" s="18">
        <v>483.67</v>
      </c>
      <c r="I6130" s="19">
        <v>48.92</v>
      </c>
      <c r="J6130" s="19">
        <v>4.5</v>
      </c>
      <c r="K6130" s="19" t="s">
        <v>69</v>
      </c>
      <c r="L6130" s="19" t="s">
        <v>70</v>
      </c>
      <c r="M6130" s="15" t="s">
        <v>2230</v>
      </c>
      <c r="N6130" s="15" t="s">
        <v>36</v>
      </c>
      <c r="O6130" s="15" t="s">
        <v>176</v>
      </c>
      <c r="P6130" s="20" t="s">
        <v>739</v>
      </c>
      <c r="Q6130" s="15" t="s">
        <v>83</v>
      </c>
      <c r="R6130" s="4"/>
      <c r="S6130" s="4"/>
    </row>
    <row r="6131" spans="1:19" ht="21" customHeight="1" x14ac:dyDescent="0.25">
      <c r="A6131" s="14">
        <f>DATE(2012,12,31)-196</f>
        <v>41078</v>
      </c>
      <c r="B6131" s="15" t="s">
        <v>1204</v>
      </c>
      <c r="C6131" s="15" t="s">
        <v>85</v>
      </c>
      <c r="D6131" s="16">
        <v>46</v>
      </c>
      <c r="E6131" s="17">
        <v>766.36</v>
      </c>
      <c r="F6131" s="16">
        <v>0</v>
      </c>
      <c r="G6131" s="15" t="s">
        <v>32</v>
      </c>
      <c r="H6131" s="18">
        <v>399.12</v>
      </c>
      <c r="I6131" s="19">
        <v>15.57</v>
      </c>
      <c r="J6131" s="19">
        <v>1.39</v>
      </c>
      <c r="K6131" s="19" t="s">
        <v>69</v>
      </c>
      <c r="L6131" s="19" t="s">
        <v>75</v>
      </c>
      <c r="M6131" s="15" t="s">
        <v>2284</v>
      </c>
      <c r="N6131" s="15" t="s">
        <v>36</v>
      </c>
      <c r="O6131" s="15" t="s">
        <v>189</v>
      </c>
      <c r="P6131" s="20" t="s">
        <v>486</v>
      </c>
      <c r="Q6131" s="15" t="s">
        <v>83</v>
      </c>
      <c r="R6131" s="4"/>
      <c r="S6131" s="4"/>
    </row>
    <row r="6132" spans="1:19" ht="21" customHeight="1" x14ac:dyDescent="0.25">
      <c r="A6132" s="14">
        <f>DATE(2012,12,31)-196</f>
        <v>41078</v>
      </c>
      <c r="B6132" s="15" t="s">
        <v>1781</v>
      </c>
      <c r="C6132" s="15" t="s">
        <v>85</v>
      </c>
      <c r="D6132" s="16">
        <v>28</v>
      </c>
      <c r="E6132" s="17">
        <v>547.32000000000005</v>
      </c>
      <c r="F6132" s="16">
        <v>0.1</v>
      </c>
      <c r="G6132" s="15" t="s">
        <v>32</v>
      </c>
      <c r="H6132" s="18">
        <v>42.39</v>
      </c>
      <c r="I6132" s="19">
        <v>20.239999999999998</v>
      </c>
      <c r="J6132" s="19">
        <v>6.67</v>
      </c>
      <c r="K6132" s="19" t="s">
        <v>69</v>
      </c>
      <c r="L6132" s="19" t="s">
        <v>70</v>
      </c>
      <c r="M6132" s="15" t="s">
        <v>2230</v>
      </c>
      <c r="N6132" s="15" t="s">
        <v>54</v>
      </c>
      <c r="O6132" s="15" t="s">
        <v>55</v>
      </c>
      <c r="P6132" s="20" t="s">
        <v>679</v>
      </c>
      <c r="Q6132" s="15" t="s">
        <v>49</v>
      </c>
      <c r="R6132" s="4"/>
      <c r="S6132" s="4"/>
    </row>
    <row r="6133" spans="1:19" ht="21" customHeight="1" x14ac:dyDescent="0.25">
      <c r="A6133" s="14">
        <f>DATE(2012,12,31)-196</f>
        <v>41078</v>
      </c>
      <c r="B6133" s="15" t="s">
        <v>1834</v>
      </c>
      <c r="C6133" s="15" t="s">
        <v>85</v>
      </c>
      <c r="D6133" s="16">
        <v>13</v>
      </c>
      <c r="E6133" s="17">
        <v>192.44</v>
      </c>
      <c r="F6133" s="16">
        <v>0.05</v>
      </c>
      <c r="G6133" s="15" t="s">
        <v>32</v>
      </c>
      <c r="H6133" s="18">
        <v>6.7744999999999997</v>
      </c>
      <c r="I6133" s="19">
        <v>14.48</v>
      </c>
      <c r="J6133" s="19">
        <v>6.46</v>
      </c>
      <c r="K6133" s="19" t="s">
        <v>69</v>
      </c>
      <c r="L6133" s="19" t="s">
        <v>75</v>
      </c>
      <c r="M6133" s="15" t="s">
        <v>2284</v>
      </c>
      <c r="N6133" s="15" t="s">
        <v>36</v>
      </c>
      <c r="O6133" s="15" t="s">
        <v>170</v>
      </c>
      <c r="P6133" s="20" t="s">
        <v>838</v>
      </c>
      <c r="Q6133" s="15" t="s">
        <v>83</v>
      </c>
      <c r="R6133" s="4"/>
      <c r="S6133" s="4"/>
    </row>
    <row r="6134" spans="1:19" ht="21" customHeight="1" x14ac:dyDescent="0.25">
      <c r="A6134" s="14">
        <f>DATE(2012,12,31)-196</f>
        <v>41078</v>
      </c>
      <c r="B6134" s="15" t="s">
        <v>1834</v>
      </c>
      <c r="C6134" s="15" t="s">
        <v>85</v>
      </c>
      <c r="D6134" s="16">
        <v>3</v>
      </c>
      <c r="E6134" s="17">
        <v>1294.3499999999999</v>
      </c>
      <c r="F6134" s="16">
        <v>0.06</v>
      </c>
      <c r="G6134" s="15" t="s">
        <v>32</v>
      </c>
      <c r="H6134" s="18">
        <v>-1569.06</v>
      </c>
      <c r="I6134" s="19">
        <v>449.99</v>
      </c>
      <c r="J6134" s="19">
        <v>24.49</v>
      </c>
      <c r="K6134" s="19" t="s">
        <v>69</v>
      </c>
      <c r="L6134" s="19" t="s">
        <v>75</v>
      </c>
      <c r="M6134" s="15" t="s">
        <v>2284</v>
      </c>
      <c r="N6134" s="15" t="s">
        <v>64</v>
      </c>
      <c r="O6134" s="15" t="s">
        <v>460</v>
      </c>
      <c r="P6134" s="20" t="s">
        <v>425</v>
      </c>
      <c r="Q6134" s="15" t="s">
        <v>39</v>
      </c>
      <c r="R6134" s="4"/>
      <c r="S6134" s="4"/>
    </row>
    <row r="6135" spans="1:19" ht="21" customHeight="1" x14ac:dyDescent="0.25">
      <c r="A6135" s="14">
        <f>DATE(2012,12,31)-235</f>
        <v>41039</v>
      </c>
      <c r="B6135" s="15" t="s">
        <v>1834</v>
      </c>
      <c r="C6135" s="15" t="s">
        <v>51</v>
      </c>
      <c r="D6135" s="16">
        <v>22</v>
      </c>
      <c r="E6135" s="17">
        <v>152.52000000000001</v>
      </c>
      <c r="F6135" s="16">
        <v>0.03</v>
      </c>
      <c r="G6135" s="15" t="s">
        <v>32</v>
      </c>
      <c r="H6135" s="18">
        <v>-43.87</v>
      </c>
      <c r="I6135" s="19">
        <v>6.48</v>
      </c>
      <c r="J6135" s="19">
        <v>5.94</v>
      </c>
      <c r="K6135" s="19" t="s">
        <v>69</v>
      </c>
      <c r="L6135" s="19" t="s">
        <v>215</v>
      </c>
      <c r="M6135" s="15" t="s">
        <v>2275</v>
      </c>
      <c r="N6135" s="15" t="s">
        <v>36</v>
      </c>
      <c r="O6135" s="15" t="s">
        <v>117</v>
      </c>
      <c r="P6135" s="20" t="s">
        <v>1662</v>
      </c>
      <c r="Q6135" s="15" t="s">
        <v>83</v>
      </c>
      <c r="R6135" s="4"/>
      <c r="S6135" s="4"/>
    </row>
    <row r="6136" spans="1:19" ht="21" customHeight="1" x14ac:dyDescent="0.25">
      <c r="A6136" s="14">
        <f>DATE(2012,12,31)-235</f>
        <v>41039</v>
      </c>
      <c r="B6136" s="15" t="s">
        <v>1484</v>
      </c>
      <c r="C6136" s="15" t="s">
        <v>51</v>
      </c>
      <c r="D6136" s="16">
        <v>14</v>
      </c>
      <c r="E6136" s="17">
        <v>71.599999999999994</v>
      </c>
      <c r="F6136" s="16">
        <v>0.05</v>
      </c>
      <c r="G6136" s="15" t="s">
        <v>32</v>
      </c>
      <c r="H6136" s="18">
        <v>-30.65</v>
      </c>
      <c r="I6136" s="19">
        <v>4.9800000000000004</v>
      </c>
      <c r="J6136" s="19">
        <v>4.7</v>
      </c>
      <c r="K6136" s="19" t="s">
        <v>69</v>
      </c>
      <c r="L6136" s="19" t="s">
        <v>75</v>
      </c>
      <c r="M6136" s="15" t="s">
        <v>2284</v>
      </c>
      <c r="N6136" s="15" t="s">
        <v>36</v>
      </c>
      <c r="O6136" s="15" t="s">
        <v>117</v>
      </c>
      <c r="P6136" s="20" t="s">
        <v>790</v>
      </c>
      <c r="Q6136" s="15" t="s">
        <v>83</v>
      </c>
      <c r="R6136" s="4"/>
      <c r="S6136" s="4"/>
    </row>
    <row r="6137" spans="1:19" ht="21" customHeight="1" x14ac:dyDescent="0.25">
      <c r="A6137" s="14">
        <f>DATE(2012,12,31)-235</f>
        <v>41039</v>
      </c>
      <c r="B6137" s="15" t="s">
        <v>394</v>
      </c>
      <c r="C6137" s="15" t="s">
        <v>51</v>
      </c>
      <c r="D6137" s="16">
        <v>37</v>
      </c>
      <c r="E6137" s="17">
        <v>1699.9829999999999</v>
      </c>
      <c r="F6137" s="16">
        <v>0.1</v>
      </c>
      <c r="G6137" s="15" t="s">
        <v>32</v>
      </c>
      <c r="H6137" s="18">
        <v>-202.86199999999999</v>
      </c>
      <c r="I6137" s="19">
        <v>55.99</v>
      </c>
      <c r="J6137" s="19">
        <v>5</v>
      </c>
      <c r="K6137" s="19" t="s">
        <v>69</v>
      </c>
      <c r="L6137" s="19" t="s">
        <v>215</v>
      </c>
      <c r="M6137" s="15" t="s">
        <v>2290</v>
      </c>
      <c r="N6137" s="15" t="s">
        <v>64</v>
      </c>
      <c r="O6137" s="15" t="s">
        <v>65</v>
      </c>
      <c r="P6137" s="20" t="s">
        <v>1447</v>
      </c>
      <c r="Q6137" s="15" t="s">
        <v>49</v>
      </c>
      <c r="R6137" s="4"/>
      <c r="S6137" s="4"/>
    </row>
    <row r="6138" spans="1:19" ht="21" customHeight="1" x14ac:dyDescent="0.25">
      <c r="A6138" s="14">
        <f>DATE(2012,12,31)-363</f>
        <v>40911</v>
      </c>
      <c r="B6138" s="15" t="s">
        <v>1188</v>
      </c>
      <c r="C6138" s="15" t="s">
        <v>85</v>
      </c>
      <c r="D6138" s="16">
        <v>2</v>
      </c>
      <c r="E6138" s="17">
        <v>3668.28</v>
      </c>
      <c r="F6138" s="16">
        <v>0.09</v>
      </c>
      <c r="G6138" s="15" t="s">
        <v>32</v>
      </c>
      <c r="H6138" s="18">
        <v>-4858.6716000000006</v>
      </c>
      <c r="I6138" s="19">
        <v>1938.02</v>
      </c>
      <c r="J6138" s="19">
        <v>13.99</v>
      </c>
      <c r="K6138" s="19" t="s">
        <v>69</v>
      </c>
      <c r="L6138" s="19" t="s">
        <v>215</v>
      </c>
      <c r="M6138" s="15" t="s">
        <v>2290</v>
      </c>
      <c r="N6138" s="15" t="s">
        <v>64</v>
      </c>
      <c r="O6138" s="15" t="s">
        <v>122</v>
      </c>
      <c r="P6138" s="20" t="s">
        <v>995</v>
      </c>
      <c r="Q6138" s="15" t="s">
        <v>57</v>
      </c>
      <c r="R6138" s="4"/>
      <c r="S6138" s="4"/>
    </row>
    <row r="6139" spans="1:19" ht="21" customHeight="1" x14ac:dyDescent="0.25">
      <c r="A6139" s="14">
        <f>DATE(2012,12,31)-222</f>
        <v>41052</v>
      </c>
      <c r="B6139" s="15" t="s">
        <v>1030</v>
      </c>
      <c r="C6139" s="15" t="s">
        <v>85</v>
      </c>
      <c r="D6139" s="16">
        <v>50</v>
      </c>
      <c r="E6139" s="17">
        <v>295.37</v>
      </c>
      <c r="F6139" s="16">
        <v>0.04</v>
      </c>
      <c r="G6139" s="15" t="s">
        <v>32</v>
      </c>
      <c r="H6139" s="18">
        <v>-97.23</v>
      </c>
      <c r="I6139" s="19">
        <v>5.98</v>
      </c>
      <c r="J6139" s="19">
        <v>5.46</v>
      </c>
      <c r="K6139" s="19" t="s">
        <v>111</v>
      </c>
      <c r="L6139" s="19" t="s">
        <v>442</v>
      </c>
      <c r="M6139" s="15" t="s">
        <v>2222</v>
      </c>
      <c r="N6139" s="15" t="s">
        <v>36</v>
      </c>
      <c r="O6139" s="15" t="s">
        <v>117</v>
      </c>
      <c r="P6139" s="20" t="s">
        <v>1460</v>
      </c>
      <c r="Q6139" s="15" t="s">
        <v>83</v>
      </c>
      <c r="R6139" s="4"/>
      <c r="S6139" s="4"/>
    </row>
    <row r="6140" spans="1:19" ht="21" customHeight="1" x14ac:dyDescent="0.25">
      <c r="A6140" s="14">
        <f>DATE(2012,12,31)-950</f>
        <v>40324</v>
      </c>
      <c r="B6140" s="15" t="s">
        <v>1030</v>
      </c>
      <c r="C6140" s="15" t="s">
        <v>51</v>
      </c>
      <c r="D6140" s="16">
        <v>49</v>
      </c>
      <c r="E6140" s="17">
        <v>561.05999999999995</v>
      </c>
      <c r="F6140" s="16">
        <v>7.0000000000000007E-2</v>
      </c>
      <c r="G6140" s="15" t="s">
        <v>32</v>
      </c>
      <c r="H6140" s="18">
        <v>-2.23</v>
      </c>
      <c r="I6140" s="19">
        <v>11.58</v>
      </c>
      <c r="J6140" s="19">
        <v>6.97</v>
      </c>
      <c r="K6140" s="19" t="s">
        <v>111</v>
      </c>
      <c r="L6140" s="19" t="s">
        <v>258</v>
      </c>
      <c r="M6140" s="15" t="s">
        <v>259</v>
      </c>
      <c r="N6140" s="15" t="s">
        <v>36</v>
      </c>
      <c r="O6140" s="15" t="s">
        <v>189</v>
      </c>
      <c r="P6140" s="20" t="s">
        <v>802</v>
      </c>
      <c r="Q6140" s="15" t="s">
        <v>83</v>
      </c>
      <c r="R6140" s="4"/>
      <c r="S6140" s="4"/>
    </row>
    <row r="6141" spans="1:19" ht="21" customHeight="1" x14ac:dyDescent="0.25">
      <c r="A6141" s="14">
        <f>DATE(2012,12,31)-950</f>
        <v>40324</v>
      </c>
      <c r="B6141" s="15" t="s">
        <v>1030</v>
      </c>
      <c r="C6141" s="15" t="s">
        <v>51</v>
      </c>
      <c r="D6141" s="16">
        <v>19</v>
      </c>
      <c r="E6141" s="17">
        <v>320.02999999999997</v>
      </c>
      <c r="F6141" s="16">
        <v>0</v>
      </c>
      <c r="G6141" s="15" t="s">
        <v>32</v>
      </c>
      <c r="H6141" s="18">
        <v>-43.22</v>
      </c>
      <c r="I6141" s="19">
        <v>15.31</v>
      </c>
      <c r="J6141" s="19">
        <v>8.7799999999999994</v>
      </c>
      <c r="K6141" s="19" t="s">
        <v>111</v>
      </c>
      <c r="L6141" s="19" t="s">
        <v>407</v>
      </c>
      <c r="M6141" s="15" t="s">
        <v>407</v>
      </c>
      <c r="N6141" s="15" t="s">
        <v>36</v>
      </c>
      <c r="O6141" s="15" t="s">
        <v>37</v>
      </c>
      <c r="P6141" s="20" t="s">
        <v>960</v>
      </c>
      <c r="Q6141" s="15" t="s">
        <v>83</v>
      </c>
      <c r="R6141" s="4"/>
      <c r="S6141" s="4"/>
    </row>
    <row r="6142" spans="1:19" ht="21" customHeight="1" x14ac:dyDescent="0.25">
      <c r="A6142" s="14">
        <f>DATE(2012,12,31)-1327</f>
        <v>39947</v>
      </c>
      <c r="B6142" s="15" t="s">
        <v>1030</v>
      </c>
      <c r="C6142" s="15" t="s">
        <v>43</v>
      </c>
      <c r="D6142" s="16">
        <v>29</v>
      </c>
      <c r="E6142" s="17">
        <v>143.29</v>
      </c>
      <c r="F6142" s="16">
        <v>0.05</v>
      </c>
      <c r="G6142" s="15" t="s">
        <v>32</v>
      </c>
      <c r="H6142" s="18">
        <v>-55.54</v>
      </c>
      <c r="I6142" s="19">
        <v>4.9800000000000004</v>
      </c>
      <c r="J6142" s="19">
        <v>4.72</v>
      </c>
      <c r="K6142" s="19" t="s">
        <v>111</v>
      </c>
      <c r="L6142" s="19" t="s">
        <v>258</v>
      </c>
      <c r="M6142" s="15" t="s">
        <v>259</v>
      </c>
      <c r="N6142" s="15" t="s">
        <v>36</v>
      </c>
      <c r="O6142" s="15" t="s">
        <v>117</v>
      </c>
      <c r="P6142" s="20" t="s">
        <v>646</v>
      </c>
      <c r="Q6142" s="15" t="s">
        <v>83</v>
      </c>
      <c r="R6142" s="4"/>
      <c r="S6142" s="4"/>
    </row>
    <row r="6143" spans="1:19" ht="21" customHeight="1" x14ac:dyDescent="0.25">
      <c r="A6143" s="14">
        <f>DATE(2012,12,31)-1158</f>
        <v>40116</v>
      </c>
      <c r="B6143" s="15" t="s">
        <v>1030</v>
      </c>
      <c r="C6143" s="15" t="s">
        <v>85</v>
      </c>
      <c r="D6143" s="16">
        <v>9</v>
      </c>
      <c r="E6143" s="17">
        <v>34.18</v>
      </c>
      <c r="F6143" s="16">
        <v>0.06</v>
      </c>
      <c r="G6143" s="15" t="s">
        <v>32</v>
      </c>
      <c r="H6143" s="18">
        <v>-5.46</v>
      </c>
      <c r="I6143" s="19">
        <v>3.6</v>
      </c>
      <c r="J6143" s="19">
        <v>2.2000000000000002</v>
      </c>
      <c r="K6143" s="19" t="s">
        <v>111</v>
      </c>
      <c r="L6143" s="19" t="s">
        <v>112</v>
      </c>
      <c r="M6143" s="15" t="s">
        <v>2291</v>
      </c>
      <c r="N6143" s="15" t="s">
        <v>36</v>
      </c>
      <c r="O6143" s="15" t="s">
        <v>117</v>
      </c>
      <c r="P6143" s="20" t="s">
        <v>2292</v>
      </c>
      <c r="Q6143" s="15" t="s">
        <v>79</v>
      </c>
      <c r="R6143" s="4"/>
      <c r="S6143" s="4"/>
    </row>
    <row r="6144" spans="1:19" ht="21" customHeight="1" x14ac:dyDescent="0.25">
      <c r="A6144" s="14">
        <f>DATE(2012,12,31)-181</f>
        <v>41093</v>
      </c>
      <c r="B6144" s="15" t="s">
        <v>1890</v>
      </c>
      <c r="C6144" s="15" t="s">
        <v>85</v>
      </c>
      <c r="D6144" s="16">
        <v>34</v>
      </c>
      <c r="E6144" s="17">
        <v>43.54</v>
      </c>
      <c r="F6144" s="16">
        <v>0</v>
      </c>
      <c r="G6144" s="15" t="s">
        <v>32</v>
      </c>
      <c r="H6144" s="18">
        <v>-17.48</v>
      </c>
      <c r="I6144" s="19">
        <v>1.26</v>
      </c>
      <c r="J6144" s="19">
        <v>0.7</v>
      </c>
      <c r="K6144" s="19" t="s">
        <v>111</v>
      </c>
      <c r="L6144" s="19" t="s">
        <v>407</v>
      </c>
      <c r="M6144" s="15" t="s">
        <v>407</v>
      </c>
      <c r="N6144" s="15" t="s">
        <v>36</v>
      </c>
      <c r="O6144" s="15" t="s">
        <v>105</v>
      </c>
      <c r="P6144" s="20" t="s">
        <v>1221</v>
      </c>
      <c r="Q6144" s="15" t="s">
        <v>79</v>
      </c>
      <c r="R6144" s="4"/>
      <c r="S6144" s="4"/>
    </row>
    <row r="6145" spans="1:19" ht="21" customHeight="1" x14ac:dyDescent="0.25">
      <c r="A6145" s="14">
        <f>DATE(2012,12,31)-162</f>
        <v>41112</v>
      </c>
      <c r="B6145" s="15" t="s">
        <v>1890</v>
      </c>
      <c r="C6145" s="15" t="s">
        <v>31</v>
      </c>
      <c r="D6145" s="16">
        <v>31</v>
      </c>
      <c r="E6145" s="17">
        <v>477.16</v>
      </c>
      <c r="F6145" s="16">
        <v>0.02</v>
      </c>
      <c r="G6145" s="15" t="s">
        <v>32</v>
      </c>
      <c r="H6145" s="18">
        <v>204.18</v>
      </c>
      <c r="I6145" s="19">
        <v>15.04</v>
      </c>
      <c r="J6145" s="19">
        <v>1.97</v>
      </c>
      <c r="K6145" s="19" t="s">
        <v>44</v>
      </c>
      <c r="L6145" s="19" t="s">
        <v>45</v>
      </c>
      <c r="M6145" s="15" t="s">
        <v>2271</v>
      </c>
      <c r="N6145" s="15" t="s">
        <v>36</v>
      </c>
      <c r="O6145" s="15" t="s">
        <v>117</v>
      </c>
      <c r="P6145" s="20" t="s">
        <v>1563</v>
      </c>
      <c r="Q6145" s="15" t="s">
        <v>79</v>
      </c>
      <c r="R6145" s="4"/>
      <c r="S6145" s="4"/>
    </row>
    <row r="6146" spans="1:19" ht="21" customHeight="1" x14ac:dyDescent="0.25">
      <c r="A6146" s="14">
        <f>DATE(2012,12,31)-782</f>
        <v>40492</v>
      </c>
      <c r="B6146" s="15" t="s">
        <v>1890</v>
      </c>
      <c r="C6146" s="15" t="s">
        <v>85</v>
      </c>
      <c r="D6146" s="16">
        <v>19</v>
      </c>
      <c r="E6146" s="17">
        <v>1004.18</v>
      </c>
      <c r="F6146" s="16">
        <v>0.08</v>
      </c>
      <c r="G6146" s="15" t="s">
        <v>101</v>
      </c>
      <c r="H6146" s="18">
        <v>374.19</v>
      </c>
      <c r="I6146" s="19">
        <v>55.48</v>
      </c>
      <c r="J6146" s="19">
        <v>6.79</v>
      </c>
      <c r="K6146" s="19" t="s">
        <v>44</v>
      </c>
      <c r="L6146" s="19" t="s">
        <v>89</v>
      </c>
      <c r="M6146" s="15" t="s">
        <v>2278</v>
      </c>
      <c r="N6146" s="15" t="s">
        <v>36</v>
      </c>
      <c r="O6146" s="15" t="s">
        <v>117</v>
      </c>
      <c r="P6146" s="20" t="s">
        <v>1377</v>
      </c>
      <c r="Q6146" s="15" t="s">
        <v>83</v>
      </c>
      <c r="R6146" s="4"/>
      <c r="S6146" s="4"/>
    </row>
    <row r="6147" spans="1:19" ht="21" customHeight="1" x14ac:dyDescent="0.25">
      <c r="A6147" s="14">
        <f>DATE(2012,12,31)-121</f>
        <v>41153</v>
      </c>
      <c r="B6147" s="15" t="s">
        <v>1731</v>
      </c>
      <c r="C6147" s="15" t="s">
        <v>85</v>
      </c>
      <c r="D6147" s="16">
        <v>16</v>
      </c>
      <c r="E6147" s="17">
        <v>3075.7520000000004</v>
      </c>
      <c r="F6147" s="16">
        <v>0.04</v>
      </c>
      <c r="G6147" s="15" t="s">
        <v>58</v>
      </c>
      <c r="H6147" s="18">
        <v>-572.68539900000019</v>
      </c>
      <c r="I6147" s="19">
        <v>236.97</v>
      </c>
      <c r="J6147" s="19">
        <v>59.24</v>
      </c>
      <c r="K6147" s="19" t="s">
        <v>44</v>
      </c>
      <c r="L6147" s="19" t="s">
        <v>89</v>
      </c>
      <c r="M6147" s="15" t="s">
        <v>2278</v>
      </c>
      <c r="N6147" s="15" t="s">
        <v>54</v>
      </c>
      <c r="O6147" s="15" t="s">
        <v>61</v>
      </c>
      <c r="P6147" s="20" t="s">
        <v>1644</v>
      </c>
      <c r="Q6147" s="15" t="s">
        <v>63</v>
      </c>
      <c r="R6147" s="4"/>
      <c r="S6147" s="4"/>
    </row>
    <row r="6148" spans="1:19" ht="21" customHeight="1" x14ac:dyDescent="0.25">
      <c r="A6148" s="14">
        <f>DATE(2012,12,31)-1208</f>
        <v>40066</v>
      </c>
      <c r="B6148" s="15" t="s">
        <v>1055</v>
      </c>
      <c r="C6148" s="15" t="s">
        <v>85</v>
      </c>
      <c r="D6148" s="16">
        <v>24</v>
      </c>
      <c r="E6148" s="17">
        <v>3118.6</v>
      </c>
      <c r="F6148" s="16">
        <v>0.06</v>
      </c>
      <c r="G6148" s="15" t="s">
        <v>101</v>
      </c>
      <c r="H6148" s="18">
        <v>804.2</v>
      </c>
      <c r="I6148" s="19">
        <v>128.24</v>
      </c>
      <c r="J6148" s="19">
        <v>12.65</v>
      </c>
      <c r="K6148" s="19" t="s">
        <v>44</v>
      </c>
      <c r="L6148" s="19" t="s">
        <v>120</v>
      </c>
      <c r="M6148" s="15" t="s">
        <v>2262</v>
      </c>
      <c r="N6148" s="15" t="s">
        <v>54</v>
      </c>
      <c r="O6148" s="15" t="s">
        <v>252</v>
      </c>
      <c r="P6148" s="20" t="s">
        <v>1879</v>
      </c>
      <c r="Q6148" s="15" t="s">
        <v>57</v>
      </c>
      <c r="R6148" s="4"/>
      <c r="S6148" s="4"/>
    </row>
    <row r="6149" spans="1:19" ht="21" customHeight="1" x14ac:dyDescent="0.25">
      <c r="A6149" s="14">
        <f>DATE(2012,12,31)-1444</f>
        <v>39830</v>
      </c>
      <c r="B6149" s="15" t="s">
        <v>468</v>
      </c>
      <c r="C6149" s="15" t="s">
        <v>85</v>
      </c>
      <c r="D6149" s="16">
        <v>13</v>
      </c>
      <c r="E6149" s="17">
        <v>196.22</v>
      </c>
      <c r="F6149" s="16">
        <v>0.05</v>
      </c>
      <c r="G6149" s="15" t="s">
        <v>32</v>
      </c>
      <c r="H6149" s="18">
        <v>-89.35</v>
      </c>
      <c r="I6149" s="19">
        <v>14.81</v>
      </c>
      <c r="J6149" s="19">
        <v>13.32</v>
      </c>
      <c r="K6149" s="19" t="s">
        <v>44</v>
      </c>
      <c r="L6149" s="19" t="s">
        <v>89</v>
      </c>
      <c r="M6149" s="15" t="s">
        <v>2278</v>
      </c>
      <c r="N6149" s="15" t="s">
        <v>36</v>
      </c>
      <c r="O6149" s="15" t="s">
        <v>176</v>
      </c>
      <c r="P6149" s="20" t="s">
        <v>977</v>
      </c>
      <c r="Q6149" s="15" t="s">
        <v>83</v>
      </c>
      <c r="R6149" s="4"/>
      <c r="S6149" s="4"/>
    </row>
    <row r="6150" spans="1:19" ht="21" customHeight="1" x14ac:dyDescent="0.25">
      <c r="A6150" s="14">
        <f>DATE(2012,12,31)-1444</f>
        <v>39830</v>
      </c>
      <c r="B6150" s="15" t="s">
        <v>468</v>
      </c>
      <c r="C6150" s="15" t="s">
        <v>85</v>
      </c>
      <c r="D6150" s="16">
        <v>11</v>
      </c>
      <c r="E6150" s="17">
        <v>49.76</v>
      </c>
      <c r="F6150" s="16">
        <v>0.05</v>
      </c>
      <c r="G6150" s="15" t="s">
        <v>101</v>
      </c>
      <c r="H6150" s="18">
        <v>-0.13000000000000078</v>
      </c>
      <c r="I6150" s="19">
        <v>4.2</v>
      </c>
      <c r="J6150" s="19">
        <v>2.2599999999999998</v>
      </c>
      <c r="K6150" s="19" t="s">
        <v>44</v>
      </c>
      <c r="L6150" s="19" t="s">
        <v>45</v>
      </c>
      <c r="M6150" s="15" t="s">
        <v>2271</v>
      </c>
      <c r="N6150" s="15" t="s">
        <v>36</v>
      </c>
      <c r="O6150" s="15" t="s">
        <v>117</v>
      </c>
      <c r="P6150" s="20" t="s">
        <v>1079</v>
      </c>
      <c r="Q6150" s="15" t="s">
        <v>79</v>
      </c>
      <c r="R6150" s="4"/>
      <c r="S6150" s="4"/>
    </row>
    <row r="6151" spans="1:19" ht="21" customHeight="1" x14ac:dyDescent="0.25">
      <c r="A6151" s="14">
        <f>DATE(2012,12,31)-1379</f>
        <v>39895</v>
      </c>
      <c r="B6151" s="15" t="s">
        <v>153</v>
      </c>
      <c r="C6151" s="15" t="s">
        <v>43</v>
      </c>
      <c r="D6151" s="16">
        <v>3</v>
      </c>
      <c r="E6151" s="17">
        <v>1759.65</v>
      </c>
      <c r="F6151" s="16">
        <v>0.06</v>
      </c>
      <c r="G6151" s="15" t="s">
        <v>32</v>
      </c>
      <c r="H6151" s="18">
        <v>-2213.75</v>
      </c>
      <c r="I6151" s="19">
        <v>599.99</v>
      </c>
      <c r="J6151" s="19">
        <v>24.49</v>
      </c>
      <c r="K6151" s="19" t="s">
        <v>44</v>
      </c>
      <c r="L6151" s="19" t="s">
        <v>89</v>
      </c>
      <c r="M6151" s="15" t="s">
        <v>2278</v>
      </c>
      <c r="N6151" s="15" t="s">
        <v>64</v>
      </c>
      <c r="O6151" s="15" t="s">
        <v>460</v>
      </c>
      <c r="P6151" s="20" t="s">
        <v>308</v>
      </c>
      <c r="Q6151" s="15" t="s">
        <v>39</v>
      </c>
      <c r="R6151" s="4"/>
      <c r="S6151" s="4"/>
    </row>
    <row r="6152" spans="1:19" ht="21" customHeight="1" x14ac:dyDescent="0.25">
      <c r="A6152" s="14">
        <f>DATE(2012,12,31)-1379</f>
        <v>39895</v>
      </c>
      <c r="B6152" s="15" t="s">
        <v>2133</v>
      </c>
      <c r="C6152" s="15" t="s">
        <v>43</v>
      </c>
      <c r="D6152" s="16">
        <v>7</v>
      </c>
      <c r="E6152" s="17">
        <v>88.59</v>
      </c>
      <c r="F6152" s="16">
        <v>0.05</v>
      </c>
      <c r="G6152" s="15" t="s">
        <v>32</v>
      </c>
      <c r="H6152" s="18">
        <v>-26.29</v>
      </c>
      <c r="I6152" s="19">
        <v>11.97</v>
      </c>
      <c r="J6152" s="19">
        <v>5.81</v>
      </c>
      <c r="K6152" s="19" t="s">
        <v>44</v>
      </c>
      <c r="L6152" s="19" t="s">
        <v>45</v>
      </c>
      <c r="M6152" s="15" t="s">
        <v>2271</v>
      </c>
      <c r="N6152" s="15" t="s">
        <v>36</v>
      </c>
      <c r="O6152" s="15" t="s">
        <v>77</v>
      </c>
      <c r="P6152" s="20" t="s">
        <v>1925</v>
      </c>
      <c r="Q6152" s="15" t="s">
        <v>49</v>
      </c>
      <c r="R6152" s="4"/>
      <c r="S6152" s="4"/>
    </row>
    <row r="6153" spans="1:19" ht="21" customHeight="1" x14ac:dyDescent="0.25">
      <c r="A6153" s="14">
        <f>DATE(2012,12,31)-62</f>
        <v>41212</v>
      </c>
      <c r="B6153" s="15" t="s">
        <v>409</v>
      </c>
      <c r="C6153" s="15" t="s">
        <v>51</v>
      </c>
      <c r="D6153" s="16">
        <v>3</v>
      </c>
      <c r="E6153" s="17">
        <v>10.62</v>
      </c>
      <c r="F6153" s="16">
        <v>7.0000000000000007E-2</v>
      </c>
      <c r="G6153" s="15" t="s">
        <v>32</v>
      </c>
      <c r="H6153" s="18">
        <v>-3.96</v>
      </c>
      <c r="I6153" s="19">
        <v>3.29</v>
      </c>
      <c r="J6153" s="19">
        <v>1.35</v>
      </c>
      <c r="K6153" s="19" t="s">
        <v>44</v>
      </c>
      <c r="L6153" s="19" t="s">
        <v>120</v>
      </c>
      <c r="M6153" s="15" t="s">
        <v>2262</v>
      </c>
      <c r="N6153" s="15" t="s">
        <v>36</v>
      </c>
      <c r="O6153" s="15" t="s">
        <v>105</v>
      </c>
      <c r="P6153" s="20" t="s">
        <v>316</v>
      </c>
      <c r="Q6153" s="15" t="s">
        <v>79</v>
      </c>
      <c r="R6153" s="4"/>
      <c r="S6153" s="4"/>
    </row>
    <row r="6154" spans="1:19" ht="21" customHeight="1" x14ac:dyDescent="0.25">
      <c r="A6154" s="14">
        <f>DATE(2012,12,31)-62</f>
        <v>41212</v>
      </c>
      <c r="B6154" s="15" t="s">
        <v>1532</v>
      </c>
      <c r="C6154" s="15" t="s">
        <v>51</v>
      </c>
      <c r="D6154" s="16">
        <v>39</v>
      </c>
      <c r="E6154" s="17">
        <v>666.4</v>
      </c>
      <c r="F6154" s="16">
        <v>0</v>
      </c>
      <c r="G6154" s="15" t="s">
        <v>101</v>
      </c>
      <c r="H6154" s="18">
        <v>2.02</v>
      </c>
      <c r="I6154" s="19">
        <v>15.73</v>
      </c>
      <c r="J6154" s="19">
        <v>7.42</v>
      </c>
      <c r="K6154" s="19" t="s">
        <v>44</v>
      </c>
      <c r="L6154" s="19" t="s">
        <v>89</v>
      </c>
      <c r="M6154" s="15" t="s">
        <v>2278</v>
      </c>
      <c r="N6154" s="15" t="s">
        <v>36</v>
      </c>
      <c r="O6154" s="15" t="s">
        <v>47</v>
      </c>
      <c r="P6154" s="20" t="s">
        <v>1662</v>
      </c>
      <c r="Q6154" s="15" t="s">
        <v>49</v>
      </c>
      <c r="R6154" s="4"/>
      <c r="S6154" s="4"/>
    </row>
    <row r="6155" spans="1:19" ht="21" customHeight="1" x14ac:dyDescent="0.25">
      <c r="A6155" s="14">
        <f>DATE(2012,12,31)-62</f>
        <v>41212</v>
      </c>
      <c r="B6155" s="15" t="s">
        <v>2116</v>
      </c>
      <c r="C6155" s="15" t="s">
        <v>51</v>
      </c>
      <c r="D6155" s="16">
        <v>10</v>
      </c>
      <c r="E6155" s="17">
        <v>351.3</v>
      </c>
      <c r="F6155" s="16">
        <v>0.06</v>
      </c>
      <c r="G6155" s="15" t="s">
        <v>32</v>
      </c>
      <c r="H6155" s="18">
        <v>1.45</v>
      </c>
      <c r="I6155" s="19">
        <v>34.76</v>
      </c>
      <c r="J6155" s="19">
        <v>8.2200000000000006</v>
      </c>
      <c r="K6155" s="19" t="s">
        <v>44</v>
      </c>
      <c r="L6155" s="19" t="s">
        <v>89</v>
      </c>
      <c r="M6155" s="15" t="s">
        <v>2293</v>
      </c>
      <c r="N6155" s="15" t="s">
        <v>36</v>
      </c>
      <c r="O6155" s="15" t="s">
        <v>37</v>
      </c>
      <c r="P6155" s="20" t="s">
        <v>1482</v>
      </c>
      <c r="Q6155" s="15" t="s">
        <v>83</v>
      </c>
      <c r="R6155" s="4"/>
      <c r="S6155" s="4"/>
    </row>
    <row r="6156" spans="1:19" ht="21" customHeight="1" x14ac:dyDescent="0.25">
      <c r="A6156" s="14">
        <f>DATE(2012,12,31)-126</f>
        <v>41148</v>
      </c>
      <c r="B6156" s="15" t="s">
        <v>1342</v>
      </c>
      <c r="C6156" s="15" t="s">
        <v>85</v>
      </c>
      <c r="D6156" s="16">
        <v>14</v>
      </c>
      <c r="E6156" s="17">
        <v>1849.6</v>
      </c>
      <c r="F6156" s="16">
        <v>0.06</v>
      </c>
      <c r="G6156" s="15" t="s">
        <v>32</v>
      </c>
      <c r="H6156" s="18">
        <v>62.162999999999997</v>
      </c>
      <c r="I6156" s="19">
        <v>155.99</v>
      </c>
      <c r="J6156" s="19">
        <v>8.99</v>
      </c>
      <c r="K6156" s="19" t="s">
        <v>44</v>
      </c>
      <c r="L6156" s="19" t="s">
        <v>120</v>
      </c>
      <c r="M6156" s="15" t="s">
        <v>2262</v>
      </c>
      <c r="N6156" s="15" t="s">
        <v>64</v>
      </c>
      <c r="O6156" s="15" t="s">
        <v>65</v>
      </c>
      <c r="P6156" s="20" t="s">
        <v>1979</v>
      </c>
      <c r="Q6156" s="15" t="s">
        <v>83</v>
      </c>
      <c r="R6156" s="4"/>
      <c r="S6156" s="4"/>
    </row>
    <row r="6157" spans="1:19" ht="21" customHeight="1" x14ac:dyDescent="0.25">
      <c r="A6157" s="14">
        <f>DATE(2012,12,31)-604</f>
        <v>40670</v>
      </c>
      <c r="B6157" s="15" t="s">
        <v>1342</v>
      </c>
      <c r="C6157" s="15" t="s">
        <v>85</v>
      </c>
      <c r="D6157" s="16">
        <v>16</v>
      </c>
      <c r="E6157" s="17">
        <v>1313.64</v>
      </c>
      <c r="F6157" s="16">
        <v>0.05</v>
      </c>
      <c r="G6157" s="15" t="s">
        <v>32</v>
      </c>
      <c r="H6157" s="18">
        <v>284.83999999999997</v>
      </c>
      <c r="I6157" s="19">
        <v>83.1</v>
      </c>
      <c r="J6157" s="19">
        <v>6.13</v>
      </c>
      <c r="K6157" s="19" t="s">
        <v>44</v>
      </c>
      <c r="L6157" s="19" t="s">
        <v>120</v>
      </c>
      <c r="M6157" s="15" t="s">
        <v>2262</v>
      </c>
      <c r="N6157" s="15" t="s">
        <v>64</v>
      </c>
      <c r="O6157" s="15" t="s">
        <v>72</v>
      </c>
      <c r="P6157" s="20" t="s">
        <v>2049</v>
      </c>
      <c r="Q6157" s="15" t="s">
        <v>83</v>
      </c>
      <c r="R6157" s="4"/>
      <c r="S6157" s="4"/>
    </row>
    <row r="6158" spans="1:19" ht="21" customHeight="1" x14ac:dyDescent="0.25">
      <c r="A6158" s="14">
        <f>DATE(2012,12,31)-115</f>
        <v>41159</v>
      </c>
      <c r="B6158" s="15" t="s">
        <v>472</v>
      </c>
      <c r="C6158" s="15" t="s">
        <v>85</v>
      </c>
      <c r="D6158" s="16">
        <v>12</v>
      </c>
      <c r="E6158" s="17">
        <v>34.409999999999997</v>
      </c>
      <c r="F6158" s="16">
        <v>0.05</v>
      </c>
      <c r="G6158" s="15" t="s">
        <v>32</v>
      </c>
      <c r="H6158" s="18">
        <v>-17.690000000000001</v>
      </c>
      <c r="I6158" s="19">
        <v>2.6</v>
      </c>
      <c r="J6158" s="19">
        <v>2.4</v>
      </c>
      <c r="K6158" s="19" t="s">
        <v>44</v>
      </c>
      <c r="L6158" s="19" t="s">
        <v>89</v>
      </c>
      <c r="M6158" s="15" t="s">
        <v>2293</v>
      </c>
      <c r="N6158" s="15" t="s">
        <v>36</v>
      </c>
      <c r="O6158" s="15" t="s">
        <v>77</v>
      </c>
      <c r="P6158" s="20" t="s">
        <v>585</v>
      </c>
      <c r="Q6158" s="15" t="s">
        <v>79</v>
      </c>
      <c r="R6158" s="4"/>
      <c r="S6158" s="4"/>
    </row>
    <row r="6159" spans="1:19" ht="21" customHeight="1" x14ac:dyDescent="0.25">
      <c r="A6159" s="14">
        <f t="shared" ref="A6159:A6164" si="1">DATE(2012,12,31)-791</f>
        <v>40483</v>
      </c>
      <c r="B6159" s="15" t="s">
        <v>1645</v>
      </c>
      <c r="C6159" s="15" t="s">
        <v>31</v>
      </c>
      <c r="D6159" s="16">
        <v>43</v>
      </c>
      <c r="E6159" s="17">
        <v>2433.5300000000002</v>
      </c>
      <c r="F6159" s="16">
        <v>0.02</v>
      </c>
      <c r="G6159" s="15" t="s">
        <v>32</v>
      </c>
      <c r="H6159" s="18">
        <v>946.7</v>
      </c>
      <c r="I6159" s="19">
        <v>54.48</v>
      </c>
      <c r="J6159" s="19">
        <v>0.99</v>
      </c>
      <c r="K6159" s="19" t="s">
        <v>44</v>
      </c>
      <c r="L6159" s="19" t="s">
        <v>89</v>
      </c>
      <c r="M6159" s="15" t="s">
        <v>2293</v>
      </c>
      <c r="N6159" s="15" t="s">
        <v>36</v>
      </c>
      <c r="O6159" s="15" t="s">
        <v>176</v>
      </c>
      <c r="P6159" s="20" t="s">
        <v>638</v>
      </c>
      <c r="Q6159" s="15" t="s">
        <v>83</v>
      </c>
      <c r="R6159" s="4"/>
      <c r="S6159" s="4"/>
    </row>
    <row r="6160" spans="1:19" ht="21" customHeight="1" x14ac:dyDescent="0.25">
      <c r="A6160" s="14">
        <f t="shared" si="1"/>
        <v>40483</v>
      </c>
      <c r="B6160" s="15" t="s">
        <v>1645</v>
      </c>
      <c r="C6160" s="15" t="s">
        <v>31</v>
      </c>
      <c r="D6160" s="16">
        <v>26</v>
      </c>
      <c r="E6160" s="17">
        <v>1368.03</v>
      </c>
      <c r="F6160" s="16">
        <v>0.04</v>
      </c>
      <c r="G6160" s="15" t="s">
        <v>32</v>
      </c>
      <c r="H6160" s="18">
        <v>27.51</v>
      </c>
      <c r="I6160" s="19">
        <v>50.98</v>
      </c>
      <c r="J6160" s="19">
        <v>6.5</v>
      </c>
      <c r="K6160" s="19" t="s">
        <v>44</v>
      </c>
      <c r="L6160" s="19" t="s">
        <v>80</v>
      </c>
      <c r="M6160" s="15" t="s">
        <v>2179</v>
      </c>
      <c r="N6160" s="15" t="s">
        <v>64</v>
      </c>
      <c r="O6160" s="15" t="s">
        <v>72</v>
      </c>
      <c r="P6160" s="20" t="s">
        <v>2251</v>
      </c>
      <c r="Q6160" s="15" t="s">
        <v>83</v>
      </c>
      <c r="R6160" s="4"/>
      <c r="S6160" s="4"/>
    </row>
    <row r="6161" spans="1:19" ht="21" customHeight="1" x14ac:dyDescent="0.25">
      <c r="A6161" s="14">
        <f t="shared" si="1"/>
        <v>40483</v>
      </c>
      <c r="B6161" s="15" t="s">
        <v>282</v>
      </c>
      <c r="C6161" s="15" t="s">
        <v>31</v>
      </c>
      <c r="D6161" s="16">
        <v>41</v>
      </c>
      <c r="E6161" s="17">
        <v>260.64</v>
      </c>
      <c r="F6161" s="16">
        <v>0.08</v>
      </c>
      <c r="G6161" s="15" t="s">
        <v>32</v>
      </c>
      <c r="H6161" s="18">
        <v>-106.21</v>
      </c>
      <c r="I6161" s="19">
        <v>6.68</v>
      </c>
      <c r="J6161" s="19">
        <v>6.15</v>
      </c>
      <c r="K6161" s="19" t="s">
        <v>44</v>
      </c>
      <c r="L6161" s="19" t="s">
        <v>89</v>
      </c>
      <c r="M6161" s="15" t="s">
        <v>2293</v>
      </c>
      <c r="N6161" s="15" t="s">
        <v>36</v>
      </c>
      <c r="O6161" s="15" t="s">
        <v>117</v>
      </c>
      <c r="P6161" s="20" t="s">
        <v>1691</v>
      </c>
      <c r="Q6161" s="15" t="s">
        <v>83</v>
      </c>
      <c r="R6161" s="4"/>
      <c r="S6161" s="4"/>
    </row>
    <row r="6162" spans="1:19" ht="21" customHeight="1" x14ac:dyDescent="0.25">
      <c r="A6162" s="14">
        <f t="shared" si="1"/>
        <v>40483</v>
      </c>
      <c r="B6162" s="15" t="s">
        <v>282</v>
      </c>
      <c r="C6162" s="15" t="s">
        <v>31</v>
      </c>
      <c r="D6162" s="16">
        <v>32</v>
      </c>
      <c r="E6162" s="17">
        <v>1250.4264999999998</v>
      </c>
      <c r="F6162" s="16">
        <v>0.02</v>
      </c>
      <c r="G6162" s="15" t="s">
        <v>32</v>
      </c>
      <c r="H6162" s="18">
        <v>303.3</v>
      </c>
      <c r="I6162" s="19">
        <v>45.99</v>
      </c>
      <c r="J6162" s="19">
        <v>2.5</v>
      </c>
      <c r="K6162" s="19" t="s">
        <v>44</v>
      </c>
      <c r="L6162" s="19" t="s">
        <v>89</v>
      </c>
      <c r="M6162" s="15" t="s">
        <v>2293</v>
      </c>
      <c r="N6162" s="15" t="s">
        <v>64</v>
      </c>
      <c r="O6162" s="15" t="s">
        <v>65</v>
      </c>
      <c r="P6162" s="20" t="s">
        <v>467</v>
      </c>
      <c r="Q6162" s="15" t="s">
        <v>83</v>
      </c>
      <c r="R6162" s="4"/>
      <c r="S6162" s="4"/>
    </row>
    <row r="6163" spans="1:19" ht="21" customHeight="1" x14ac:dyDescent="0.25">
      <c r="A6163" s="14">
        <f t="shared" si="1"/>
        <v>40483</v>
      </c>
      <c r="B6163" s="15" t="s">
        <v>1281</v>
      </c>
      <c r="C6163" s="15" t="s">
        <v>31</v>
      </c>
      <c r="D6163" s="16">
        <v>5</v>
      </c>
      <c r="E6163" s="17">
        <v>128.59</v>
      </c>
      <c r="F6163" s="16">
        <v>7.0000000000000007E-2</v>
      </c>
      <c r="G6163" s="15" t="s">
        <v>32</v>
      </c>
      <c r="H6163" s="18">
        <v>-15.17</v>
      </c>
      <c r="I6163" s="19">
        <v>25.98</v>
      </c>
      <c r="J6163" s="19">
        <v>5.37</v>
      </c>
      <c r="K6163" s="19" t="s">
        <v>44</v>
      </c>
      <c r="L6163" s="19" t="s">
        <v>89</v>
      </c>
      <c r="M6163" s="15" t="s">
        <v>2293</v>
      </c>
      <c r="N6163" s="15" t="s">
        <v>36</v>
      </c>
      <c r="O6163" s="15" t="s">
        <v>176</v>
      </c>
      <c r="P6163" s="20" t="s">
        <v>866</v>
      </c>
      <c r="Q6163" s="15" t="s">
        <v>57</v>
      </c>
      <c r="R6163" s="4"/>
      <c r="S6163" s="4"/>
    </row>
    <row r="6164" spans="1:19" ht="21" customHeight="1" x14ac:dyDescent="0.25">
      <c r="A6164" s="14">
        <f t="shared" si="1"/>
        <v>40483</v>
      </c>
      <c r="B6164" s="15" t="s">
        <v>1281</v>
      </c>
      <c r="C6164" s="15" t="s">
        <v>31</v>
      </c>
      <c r="D6164" s="16">
        <v>1</v>
      </c>
      <c r="E6164" s="17">
        <v>4.97</v>
      </c>
      <c r="F6164" s="16">
        <v>0.04</v>
      </c>
      <c r="G6164" s="15" t="s">
        <v>32</v>
      </c>
      <c r="H6164" s="18">
        <v>-4.91</v>
      </c>
      <c r="I6164" s="19">
        <v>3.55</v>
      </c>
      <c r="J6164" s="19">
        <v>1.43</v>
      </c>
      <c r="K6164" s="19" t="s">
        <v>44</v>
      </c>
      <c r="L6164" s="19" t="s">
        <v>45</v>
      </c>
      <c r="M6164" s="15" t="s">
        <v>2271</v>
      </c>
      <c r="N6164" s="15" t="s">
        <v>36</v>
      </c>
      <c r="O6164" s="15" t="s">
        <v>105</v>
      </c>
      <c r="P6164" s="20" t="s">
        <v>1498</v>
      </c>
      <c r="Q6164" s="15" t="s">
        <v>79</v>
      </c>
      <c r="R6164" s="4"/>
      <c r="S6164" s="4"/>
    </row>
    <row r="6165" spans="1:19" ht="21" customHeight="1" x14ac:dyDescent="0.25">
      <c r="A6165" s="14">
        <f>DATE(2012,12,31)-187</f>
        <v>41087</v>
      </c>
      <c r="B6165" s="15" t="s">
        <v>1281</v>
      </c>
      <c r="C6165" s="15" t="s">
        <v>51</v>
      </c>
      <c r="D6165" s="16">
        <v>43</v>
      </c>
      <c r="E6165" s="17">
        <v>621.44000000000005</v>
      </c>
      <c r="F6165" s="16">
        <v>0.08</v>
      </c>
      <c r="G6165" s="15" t="s">
        <v>32</v>
      </c>
      <c r="H6165" s="18">
        <v>-130.96</v>
      </c>
      <c r="I6165" s="19">
        <v>15.14</v>
      </c>
      <c r="J6165" s="19">
        <v>4.53</v>
      </c>
      <c r="K6165" s="19" t="s">
        <v>44</v>
      </c>
      <c r="L6165" s="19" t="s">
        <v>89</v>
      </c>
      <c r="M6165" s="15" t="s">
        <v>2293</v>
      </c>
      <c r="N6165" s="15" t="s">
        <v>36</v>
      </c>
      <c r="O6165" s="15" t="s">
        <v>37</v>
      </c>
      <c r="P6165" s="20" t="s">
        <v>694</v>
      </c>
      <c r="Q6165" s="15" t="s">
        <v>83</v>
      </c>
      <c r="R6165" s="4"/>
      <c r="S6165" s="4"/>
    </row>
    <row r="6166" spans="1:19" ht="21" customHeight="1" x14ac:dyDescent="0.25">
      <c r="A6166" s="14">
        <f>DATE(2012,12,31)-1228</f>
        <v>40046</v>
      </c>
      <c r="B6166" s="15" t="s">
        <v>1762</v>
      </c>
      <c r="C6166" s="15" t="s">
        <v>51</v>
      </c>
      <c r="D6166" s="16">
        <v>20</v>
      </c>
      <c r="E6166" s="17">
        <v>3878.49</v>
      </c>
      <c r="F6166" s="16">
        <v>0.09</v>
      </c>
      <c r="G6166" s="15" t="s">
        <v>32</v>
      </c>
      <c r="H6166" s="18">
        <v>1397.86</v>
      </c>
      <c r="I6166" s="19">
        <v>209.84</v>
      </c>
      <c r="J6166" s="19">
        <v>21.21</v>
      </c>
      <c r="K6166" s="19" t="s">
        <v>124</v>
      </c>
      <c r="L6166" s="19" t="s">
        <v>160</v>
      </c>
      <c r="M6166" s="15" t="s">
        <v>2281</v>
      </c>
      <c r="N6166" s="15" t="s">
        <v>54</v>
      </c>
      <c r="O6166" s="15" t="s">
        <v>55</v>
      </c>
      <c r="P6166" s="20" t="s">
        <v>2092</v>
      </c>
      <c r="Q6166" s="15" t="s">
        <v>39</v>
      </c>
      <c r="R6166" s="4"/>
      <c r="S6166" s="4"/>
    </row>
    <row r="6167" spans="1:19" ht="21" customHeight="1" x14ac:dyDescent="0.25">
      <c r="A6167" s="14">
        <f>DATE(2012,12,31)-1063</f>
        <v>40211</v>
      </c>
      <c r="B6167" s="15" t="s">
        <v>1291</v>
      </c>
      <c r="C6167" s="15" t="s">
        <v>43</v>
      </c>
      <c r="D6167" s="16">
        <v>45</v>
      </c>
      <c r="E6167" s="17">
        <v>497.14</v>
      </c>
      <c r="F6167" s="16">
        <v>0.05</v>
      </c>
      <c r="G6167" s="15" t="s">
        <v>32</v>
      </c>
      <c r="H6167" s="18">
        <v>240.41</v>
      </c>
      <c r="I6167" s="19">
        <v>10.94</v>
      </c>
      <c r="J6167" s="19">
        <v>1.39</v>
      </c>
      <c r="K6167" s="19" t="s">
        <v>124</v>
      </c>
      <c r="L6167" s="19" t="s">
        <v>125</v>
      </c>
      <c r="M6167" s="15" t="s">
        <v>2265</v>
      </c>
      <c r="N6167" s="15" t="s">
        <v>36</v>
      </c>
      <c r="O6167" s="15" t="s">
        <v>189</v>
      </c>
      <c r="P6167" s="20" t="s">
        <v>1095</v>
      </c>
      <c r="Q6167" s="15" t="s">
        <v>83</v>
      </c>
      <c r="R6167" s="4"/>
      <c r="S6167" s="4"/>
    </row>
    <row r="6168" spans="1:19" ht="21" customHeight="1" x14ac:dyDescent="0.25">
      <c r="A6168" s="14">
        <f>DATE(2012,12,31)-1063</f>
        <v>40211</v>
      </c>
      <c r="B6168" s="15" t="s">
        <v>965</v>
      </c>
      <c r="C6168" s="15" t="s">
        <v>43</v>
      </c>
      <c r="D6168" s="16">
        <v>21</v>
      </c>
      <c r="E6168" s="17">
        <v>917.39</v>
      </c>
      <c r="F6168" s="16">
        <v>0.02</v>
      </c>
      <c r="G6168" s="15" t="s">
        <v>101</v>
      </c>
      <c r="H6168" s="18">
        <v>393.40549999999996</v>
      </c>
      <c r="I6168" s="19">
        <v>40.98</v>
      </c>
      <c r="J6168" s="19">
        <v>2.99</v>
      </c>
      <c r="K6168" s="19" t="s">
        <v>124</v>
      </c>
      <c r="L6168" s="19" t="s">
        <v>168</v>
      </c>
      <c r="M6168" s="15" t="s">
        <v>2244</v>
      </c>
      <c r="N6168" s="15" t="s">
        <v>36</v>
      </c>
      <c r="O6168" s="15" t="s">
        <v>170</v>
      </c>
      <c r="P6168" s="20" t="s">
        <v>1783</v>
      </c>
      <c r="Q6168" s="15" t="s">
        <v>83</v>
      </c>
      <c r="R6168" s="4"/>
      <c r="S6168" s="4"/>
    </row>
    <row r="6169" spans="1:19" ht="21" customHeight="1" x14ac:dyDescent="0.25">
      <c r="A6169" s="14">
        <f>DATE(2012,12,31)-779</f>
        <v>40495</v>
      </c>
      <c r="B6169" s="15" t="s">
        <v>1681</v>
      </c>
      <c r="C6169" s="15" t="s">
        <v>85</v>
      </c>
      <c r="D6169" s="16">
        <v>27</v>
      </c>
      <c r="E6169" s="17">
        <v>194.35</v>
      </c>
      <c r="F6169" s="16">
        <v>0</v>
      </c>
      <c r="G6169" s="15" t="s">
        <v>32</v>
      </c>
      <c r="H6169" s="18">
        <v>30.880499999999998</v>
      </c>
      <c r="I6169" s="19">
        <v>6.75</v>
      </c>
      <c r="J6169" s="19">
        <v>2.99</v>
      </c>
      <c r="K6169" s="19" t="s">
        <v>33</v>
      </c>
      <c r="L6169" s="19" t="s">
        <v>93</v>
      </c>
      <c r="M6169" s="15" t="s">
        <v>94</v>
      </c>
      <c r="N6169" s="15" t="s">
        <v>36</v>
      </c>
      <c r="O6169" s="15" t="s">
        <v>170</v>
      </c>
      <c r="P6169" s="20" t="s">
        <v>1352</v>
      </c>
      <c r="Q6169" s="15" t="s">
        <v>83</v>
      </c>
      <c r="R6169" s="4"/>
      <c r="S6169" s="4"/>
    </row>
    <row r="6170" spans="1:19" ht="21" customHeight="1" x14ac:dyDescent="0.25">
      <c r="A6170" s="14">
        <f>DATE(2012,12,31)-725</f>
        <v>40549</v>
      </c>
      <c r="B6170" s="15" t="s">
        <v>1681</v>
      </c>
      <c r="C6170" s="15" t="s">
        <v>31</v>
      </c>
      <c r="D6170" s="16">
        <v>16</v>
      </c>
      <c r="E6170" s="17">
        <v>108.73</v>
      </c>
      <c r="F6170" s="16">
        <v>0.04</v>
      </c>
      <c r="G6170" s="15" t="s">
        <v>32</v>
      </c>
      <c r="H6170" s="18">
        <v>-22.21</v>
      </c>
      <c r="I6170" s="19">
        <v>6.24</v>
      </c>
      <c r="J6170" s="19">
        <v>5.22</v>
      </c>
      <c r="K6170" s="19" t="s">
        <v>33</v>
      </c>
      <c r="L6170" s="19" t="s">
        <v>93</v>
      </c>
      <c r="M6170" s="15" t="s">
        <v>94</v>
      </c>
      <c r="N6170" s="15" t="s">
        <v>54</v>
      </c>
      <c r="O6170" s="15" t="s">
        <v>55</v>
      </c>
      <c r="P6170" s="20" t="s">
        <v>1422</v>
      </c>
      <c r="Q6170" s="15" t="s">
        <v>83</v>
      </c>
      <c r="R6170" s="4"/>
      <c r="S6170" s="4"/>
    </row>
    <row r="6171" spans="1:19" ht="21" customHeight="1" x14ac:dyDescent="0.25">
      <c r="A6171" s="14">
        <f>DATE(2012,12,31)-1259</f>
        <v>40015</v>
      </c>
      <c r="B6171" s="15" t="s">
        <v>1681</v>
      </c>
      <c r="C6171" s="15" t="s">
        <v>43</v>
      </c>
      <c r="D6171" s="16">
        <v>23</v>
      </c>
      <c r="E6171" s="17">
        <v>384.21</v>
      </c>
      <c r="F6171" s="16">
        <v>0.04</v>
      </c>
      <c r="G6171" s="15" t="s">
        <v>32</v>
      </c>
      <c r="H6171" s="18">
        <v>-266.22000000000003</v>
      </c>
      <c r="I6171" s="19">
        <v>15.51</v>
      </c>
      <c r="J6171" s="19">
        <v>17.78</v>
      </c>
      <c r="K6171" s="19" t="s">
        <v>33</v>
      </c>
      <c r="L6171" s="19" t="s">
        <v>128</v>
      </c>
      <c r="M6171" s="15" t="s">
        <v>129</v>
      </c>
      <c r="N6171" s="15" t="s">
        <v>36</v>
      </c>
      <c r="O6171" s="15" t="s">
        <v>37</v>
      </c>
      <c r="P6171" s="20" t="s">
        <v>2225</v>
      </c>
      <c r="Q6171" s="15" t="s">
        <v>83</v>
      </c>
      <c r="R6171" s="4"/>
      <c r="S6171" s="4"/>
    </row>
    <row r="6172" spans="1:19" ht="21" customHeight="1" x14ac:dyDescent="0.25">
      <c r="A6172" s="14">
        <f>DATE(2012,12,31)-722</f>
        <v>40552</v>
      </c>
      <c r="B6172" s="15" t="s">
        <v>1681</v>
      </c>
      <c r="C6172" s="15" t="s">
        <v>85</v>
      </c>
      <c r="D6172" s="16">
        <v>40</v>
      </c>
      <c r="E6172" s="17">
        <v>197.1</v>
      </c>
      <c r="F6172" s="16">
        <v>0.09</v>
      </c>
      <c r="G6172" s="15" t="s">
        <v>32</v>
      </c>
      <c r="H6172" s="18">
        <v>-12.88</v>
      </c>
      <c r="I6172" s="19">
        <v>5.28</v>
      </c>
      <c r="J6172" s="19">
        <v>2.99</v>
      </c>
      <c r="K6172" s="19" t="s">
        <v>33</v>
      </c>
      <c r="L6172" s="19" t="s">
        <v>93</v>
      </c>
      <c r="M6172" s="15" t="s">
        <v>94</v>
      </c>
      <c r="N6172" s="15" t="s">
        <v>36</v>
      </c>
      <c r="O6172" s="15" t="s">
        <v>170</v>
      </c>
      <c r="P6172" s="20" t="s">
        <v>1936</v>
      </c>
      <c r="Q6172" s="15" t="s">
        <v>83</v>
      </c>
      <c r="R6172" s="4"/>
      <c r="S6172" s="4"/>
    </row>
    <row r="6173" spans="1:19" ht="21" customHeight="1" x14ac:dyDescent="0.25">
      <c r="A6173" s="14">
        <f>DATE(2012,12,31)-722</f>
        <v>40552</v>
      </c>
      <c r="B6173" s="15" t="s">
        <v>1681</v>
      </c>
      <c r="C6173" s="15" t="s">
        <v>85</v>
      </c>
      <c r="D6173" s="16">
        <v>47</v>
      </c>
      <c r="E6173" s="17">
        <v>199.48</v>
      </c>
      <c r="F6173" s="16">
        <v>0.03</v>
      </c>
      <c r="G6173" s="15" t="s">
        <v>32</v>
      </c>
      <c r="H6173" s="18">
        <v>13.8</v>
      </c>
      <c r="I6173" s="19">
        <v>4.2</v>
      </c>
      <c r="J6173" s="19">
        <v>2.2599999999999998</v>
      </c>
      <c r="K6173" s="19" t="s">
        <v>33</v>
      </c>
      <c r="L6173" s="19" t="s">
        <v>93</v>
      </c>
      <c r="M6173" s="15" t="s">
        <v>94</v>
      </c>
      <c r="N6173" s="15" t="s">
        <v>36</v>
      </c>
      <c r="O6173" s="15" t="s">
        <v>117</v>
      </c>
      <c r="P6173" s="20" t="s">
        <v>1120</v>
      </c>
      <c r="Q6173" s="15" t="s">
        <v>79</v>
      </c>
      <c r="R6173" s="4"/>
      <c r="S6173" s="4"/>
    </row>
    <row r="6174" spans="1:19" ht="21" customHeight="1" x14ac:dyDescent="0.25">
      <c r="A6174" s="14">
        <f>DATE(2012,12,31)-201</f>
        <v>41073</v>
      </c>
      <c r="B6174" s="15" t="s">
        <v>1681</v>
      </c>
      <c r="C6174" s="15" t="s">
        <v>43</v>
      </c>
      <c r="D6174" s="16">
        <v>40</v>
      </c>
      <c r="E6174" s="17">
        <v>635.59</v>
      </c>
      <c r="F6174" s="16">
        <v>7.0000000000000007E-2</v>
      </c>
      <c r="G6174" s="15" t="s">
        <v>32</v>
      </c>
      <c r="H6174" s="18">
        <v>202.827</v>
      </c>
      <c r="I6174" s="19">
        <v>16.510000000000002</v>
      </c>
      <c r="J6174" s="19">
        <v>2.99</v>
      </c>
      <c r="K6174" s="19" t="s">
        <v>33</v>
      </c>
      <c r="L6174" s="19" t="s">
        <v>128</v>
      </c>
      <c r="M6174" s="15" t="s">
        <v>129</v>
      </c>
      <c r="N6174" s="15" t="s">
        <v>36</v>
      </c>
      <c r="O6174" s="15" t="s">
        <v>170</v>
      </c>
      <c r="P6174" s="20" t="s">
        <v>2242</v>
      </c>
      <c r="Q6174" s="15" t="s">
        <v>83</v>
      </c>
      <c r="R6174" s="4"/>
      <c r="S6174" s="4"/>
    </row>
    <row r="6175" spans="1:19" ht="21" customHeight="1" x14ac:dyDescent="0.25">
      <c r="A6175" s="14">
        <f>DATE(2012,12,31)-201</f>
        <v>41073</v>
      </c>
      <c r="B6175" s="15" t="s">
        <v>1134</v>
      </c>
      <c r="C6175" s="15" t="s">
        <v>43</v>
      </c>
      <c r="D6175" s="16">
        <v>22</v>
      </c>
      <c r="E6175" s="17">
        <v>1251.4000000000001</v>
      </c>
      <c r="F6175" s="16">
        <v>0.01</v>
      </c>
      <c r="G6175" s="15" t="s">
        <v>32</v>
      </c>
      <c r="H6175" s="18">
        <v>539.45000000000005</v>
      </c>
      <c r="I6175" s="19">
        <v>55.48</v>
      </c>
      <c r="J6175" s="19">
        <v>6.79</v>
      </c>
      <c r="K6175" s="19" t="s">
        <v>33</v>
      </c>
      <c r="L6175" s="19" t="s">
        <v>93</v>
      </c>
      <c r="M6175" s="15" t="s">
        <v>94</v>
      </c>
      <c r="N6175" s="15" t="s">
        <v>36</v>
      </c>
      <c r="O6175" s="15" t="s">
        <v>117</v>
      </c>
      <c r="P6175" s="20" t="s">
        <v>795</v>
      </c>
      <c r="Q6175" s="15" t="s">
        <v>83</v>
      </c>
      <c r="R6175" s="4"/>
      <c r="S6175" s="4"/>
    </row>
    <row r="6176" spans="1:19" ht="21" customHeight="1" x14ac:dyDescent="0.25">
      <c r="A6176" s="14">
        <f>DATE(2012,12,31)-201</f>
        <v>41073</v>
      </c>
      <c r="B6176" s="15" t="s">
        <v>1196</v>
      </c>
      <c r="C6176" s="15" t="s">
        <v>43</v>
      </c>
      <c r="D6176" s="16">
        <v>45</v>
      </c>
      <c r="E6176" s="17">
        <v>3577.81</v>
      </c>
      <c r="F6176" s="16">
        <v>0.03</v>
      </c>
      <c r="G6176" s="15" t="s">
        <v>32</v>
      </c>
      <c r="H6176" s="18">
        <v>-1097.97</v>
      </c>
      <c r="I6176" s="19">
        <v>78.8</v>
      </c>
      <c r="J6176" s="19">
        <v>35</v>
      </c>
      <c r="K6176" s="19" t="s">
        <v>97</v>
      </c>
      <c r="L6176" s="19" t="s">
        <v>283</v>
      </c>
      <c r="M6176" s="15" t="s">
        <v>2205</v>
      </c>
      <c r="N6176" s="15" t="s">
        <v>36</v>
      </c>
      <c r="O6176" s="15" t="s">
        <v>37</v>
      </c>
      <c r="P6176" s="20" t="s">
        <v>1034</v>
      </c>
      <c r="Q6176" s="15" t="s">
        <v>39</v>
      </c>
      <c r="R6176" s="4"/>
      <c r="S6176" s="4"/>
    </row>
    <row r="6177" spans="1:19" ht="21" customHeight="1" x14ac:dyDescent="0.25">
      <c r="A6177" s="14">
        <f>DATE(2012,12,31)-792</f>
        <v>40482</v>
      </c>
      <c r="B6177" s="15" t="s">
        <v>357</v>
      </c>
      <c r="C6177" s="15" t="s">
        <v>51</v>
      </c>
      <c r="D6177" s="16">
        <v>25</v>
      </c>
      <c r="E6177" s="17">
        <v>1009.8679999999999</v>
      </c>
      <c r="F6177" s="16">
        <v>0.02</v>
      </c>
      <c r="G6177" s="15" t="s">
        <v>32</v>
      </c>
      <c r="H6177" s="18">
        <v>170.56800000000001</v>
      </c>
      <c r="I6177" s="19">
        <v>45.99</v>
      </c>
      <c r="J6177" s="19">
        <v>4.99</v>
      </c>
      <c r="K6177" s="19" t="s">
        <v>97</v>
      </c>
      <c r="L6177" s="19" t="s">
        <v>98</v>
      </c>
      <c r="M6177" s="15" t="s">
        <v>2279</v>
      </c>
      <c r="N6177" s="15" t="s">
        <v>64</v>
      </c>
      <c r="O6177" s="15" t="s">
        <v>65</v>
      </c>
      <c r="P6177" s="20" t="s">
        <v>2110</v>
      </c>
      <c r="Q6177" s="15" t="s">
        <v>83</v>
      </c>
      <c r="R6177" s="4"/>
      <c r="S6177" s="4"/>
    </row>
    <row r="6178" spans="1:19" ht="21" customHeight="1" x14ac:dyDescent="0.25">
      <c r="A6178" s="14">
        <f>DATE(2012,12,31)-1404</f>
        <v>39870</v>
      </c>
      <c r="B6178" s="15" t="s">
        <v>357</v>
      </c>
      <c r="C6178" s="15" t="s">
        <v>51</v>
      </c>
      <c r="D6178" s="16">
        <v>9</v>
      </c>
      <c r="E6178" s="17">
        <v>31.36</v>
      </c>
      <c r="F6178" s="16">
        <v>0.1</v>
      </c>
      <c r="G6178" s="15" t="s">
        <v>32</v>
      </c>
      <c r="H6178" s="18">
        <v>-8.2799999999999994</v>
      </c>
      <c r="I6178" s="19">
        <v>3.6</v>
      </c>
      <c r="J6178" s="19">
        <v>2.2000000000000002</v>
      </c>
      <c r="K6178" s="19" t="s">
        <v>97</v>
      </c>
      <c r="L6178" s="19" t="s">
        <v>132</v>
      </c>
      <c r="M6178" s="15" t="s">
        <v>2294</v>
      </c>
      <c r="N6178" s="15" t="s">
        <v>36</v>
      </c>
      <c r="O6178" s="15" t="s">
        <v>117</v>
      </c>
      <c r="P6178" s="20" t="s">
        <v>347</v>
      </c>
      <c r="Q6178" s="15" t="s">
        <v>79</v>
      </c>
      <c r="R6178" s="4"/>
      <c r="S6178" s="4"/>
    </row>
    <row r="6179" spans="1:19" ht="21" customHeight="1" x14ac:dyDescent="0.25">
      <c r="A6179" s="14">
        <f>DATE(2012,12,31)-204</f>
        <v>41070</v>
      </c>
      <c r="B6179" s="15" t="s">
        <v>2191</v>
      </c>
      <c r="C6179" s="15" t="s">
        <v>51</v>
      </c>
      <c r="D6179" s="16">
        <v>46</v>
      </c>
      <c r="E6179" s="17">
        <v>153.28</v>
      </c>
      <c r="F6179" s="16">
        <v>0.09</v>
      </c>
      <c r="G6179" s="15" t="s">
        <v>32</v>
      </c>
      <c r="H6179" s="18">
        <v>-161.21</v>
      </c>
      <c r="I6179" s="19">
        <v>3.28</v>
      </c>
      <c r="J6179" s="19">
        <v>5</v>
      </c>
      <c r="K6179" s="19" t="s">
        <v>97</v>
      </c>
      <c r="L6179" s="19" t="s">
        <v>98</v>
      </c>
      <c r="M6179" s="15" t="s">
        <v>2279</v>
      </c>
      <c r="N6179" s="15" t="s">
        <v>36</v>
      </c>
      <c r="O6179" s="15" t="s">
        <v>77</v>
      </c>
      <c r="P6179" s="20" t="s">
        <v>1453</v>
      </c>
      <c r="Q6179" s="15" t="s">
        <v>79</v>
      </c>
      <c r="R6179" s="4"/>
      <c r="S6179" s="4"/>
    </row>
    <row r="6180" spans="1:19" ht="21" customHeight="1" x14ac:dyDescent="0.25">
      <c r="A6180" s="14">
        <f>DATE(2012,12,31)-390</f>
        <v>40884</v>
      </c>
      <c r="B6180" s="15" t="s">
        <v>908</v>
      </c>
      <c r="C6180" s="15" t="s">
        <v>85</v>
      </c>
      <c r="D6180" s="16">
        <v>24</v>
      </c>
      <c r="E6180" s="17">
        <v>382.19</v>
      </c>
      <c r="F6180" s="16">
        <v>0.03</v>
      </c>
      <c r="G6180" s="15" t="s">
        <v>101</v>
      </c>
      <c r="H6180" s="18">
        <v>11.39</v>
      </c>
      <c r="I6180" s="19">
        <v>14.42</v>
      </c>
      <c r="J6180" s="19">
        <v>6.75</v>
      </c>
      <c r="K6180" s="19" t="s">
        <v>97</v>
      </c>
      <c r="L6180" s="19" t="s">
        <v>283</v>
      </c>
      <c r="M6180" s="15" t="s">
        <v>2205</v>
      </c>
      <c r="N6180" s="15" t="s">
        <v>36</v>
      </c>
      <c r="O6180" s="15" t="s">
        <v>176</v>
      </c>
      <c r="P6180" s="20" t="s">
        <v>341</v>
      </c>
      <c r="Q6180" s="15" t="s">
        <v>57</v>
      </c>
      <c r="R6180" s="4"/>
      <c r="S6180" s="4"/>
    </row>
    <row r="6181" spans="1:19" ht="21" customHeight="1" x14ac:dyDescent="0.25">
      <c r="A6181" s="14">
        <f>DATE(2012,12,31)-390</f>
        <v>40884</v>
      </c>
      <c r="B6181" s="15" t="s">
        <v>974</v>
      </c>
      <c r="C6181" s="15" t="s">
        <v>85</v>
      </c>
      <c r="D6181" s="16">
        <v>17</v>
      </c>
      <c r="E6181" s="17">
        <v>2573.92</v>
      </c>
      <c r="F6181" s="16">
        <v>7.0000000000000007E-2</v>
      </c>
      <c r="G6181" s="15" t="s">
        <v>58</v>
      </c>
      <c r="H6181" s="18">
        <v>117.23</v>
      </c>
      <c r="I6181" s="19">
        <v>150.97999999999999</v>
      </c>
      <c r="J6181" s="19">
        <v>143.71</v>
      </c>
      <c r="K6181" s="19" t="s">
        <v>97</v>
      </c>
      <c r="L6181" s="19" t="s">
        <v>98</v>
      </c>
      <c r="M6181" s="15" t="s">
        <v>2279</v>
      </c>
      <c r="N6181" s="15" t="s">
        <v>54</v>
      </c>
      <c r="O6181" s="15" t="s">
        <v>252</v>
      </c>
      <c r="P6181" s="20" t="s">
        <v>1434</v>
      </c>
      <c r="Q6181" s="15" t="s">
        <v>181</v>
      </c>
      <c r="R6181" s="4"/>
      <c r="S6181" s="4"/>
    </row>
    <row r="6182" spans="1:19" ht="21" customHeight="1" x14ac:dyDescent="0.25">
      <c r="A6182" s="14">
        <f>DATE(2012,12,31)-390</f>
        <v>40884</v>
      </c>
      <c r="B6182" s="15" t="s">
        <v>474</v>
      </c>
      <c r="C6182" s="15" t="s">
        <v>85</v>
      </c>
      <c r="D6182" s="16">
        <v>40</v>
      </c>
      <c r="E6182" s="17">
        <v>727.64</v>
      </c>
      <c r="F6182" s="16">
        <v>0.01</v>
      </c>
      <c r="G6182" s="15" t="s">
        <v>32</v>
      </c>
      <c r="H6182" s="18">
        <v>27.64</v>
      </c>
      <c r="I6182" s="19">
        <v>17.98</v>
      </c>
      <c r="J6182" s="19">
        <v>8.51</v>
      </c>
      <c r="K6182" s="19" t="s">
        <v>97</v>
      </c>
      <c r="L6182" s="19" t="s">
        <v>567</v>
      </c>
      <c r="M6182" s="15" t="s">
        <v>568</v>
      </c>
      <c r="N6182" s="15" t="s">
        <v>64</v>
      </c>
      <c r="O6182" s="15" t="s">
        <v>122</v>
      </c>
      <c r="P6182" s="20" t="s">
        <v>358</v>
      </c>
      <c r="Q6182" s="15" t="s">
        <v>57</v>
      </c>
      <c r="R6182" s="4"/>
      <c r="S6182" s="4"/>
    </row>
    <row r="6183" spans="1:19" ht="21" customHeight="1" x14ac:dyDescent="0.25">
      <c r="A6183" s="14">
        <f>DATE(2012,12,31)-390</f>
        <v>40884</v>
      </c>
      <c r="B6183" s="15" t="s">
        <v>474</v>
      </c>
      <c r="C6183" s="15" t="s">
        <v>85</v>
      </c>
      <c r="D6183" s="16">
        <v>16</v>
      </c>
      <c r="E6183" s="17">
        <v>2795.0039999999999</v>
      </c>
      <c r="F6183" s="16">
        <v>0.02</v>
      </c>
      <c r="G6183" s="15" t="s">
        <v>32</v>
      </c>
      <c r="H6183" s="18">
        <v>311.09400000000005</v>
      </c>
      <c r="I6183" s="19">
        <v>195.99</v>
      </c>
      <c r="J6183" s="19">
        <v>8.99</v>
      </c>
      <c r="K6183" s="19" t="s">
        <v>97</v>
      </c>
      <c r="L6183" s="19" t="s">
        <v>98</v>
      </c>
      <c r="M6183" s="15" t="s">
        <v>2279</v>
      </c>
      <c r="N6183" s="15" t="s">
        <v>64</v>
      </c>
      <c r="O6183" s="15" t="s">
        <v>65</v>
      </c>
      <c r="P6183" s="20" t="s">
        <v>2251</v>
      </c>
      <c r="Q6183" s="15" t="s">
        <v>83</v>
      </c>
      <c r="R6183" s="4"/>
      <c r="S6183" s="4"/>
    </row>
    <row r="6184" spans="1:19" ht="21" customHeight="1" x14ac:dyDescent="0.25">
      <c r="A6184" s="14">
        <f>DATE(2012,12,31)-390</f>
        <v>40884</v>
      </c>
      <c r="B6184" s="15" t="s">
        <v>444</v>
      </c>
      <c r="C6184" s="15" t="s">
        <v>85</v>
      </c>
      <c r="D6184" s="16">
        <v>25</v>
      </c>
      <c r="E6184" s="17">
        <v>2564.5774999999999</v>
      </c>
      <c r="F6184" s="16">
        <v>7.0000000000000007E-2</v>
      </c>
      <c r="G6184" s="15" t="s">
        <v>32</v>
      </c>
      <c r="H6184" s="18">
        <v>331.29</v>
      </c>
      <c r="I6184" s="19">
        <v>125.99</v>
      </c>
      <c r="J6184" s="19">
        <v>7.69</v>
      </c>
      <c r="K6184" s="19" t="s">
        <v>97</v>
      </c>
      <c r="L6184" s="19" t="s">
        <v>98</v>
      </c>
      <c r="M6184" s="15" t="s">
        <v>2279</v>
      </c>
      <c r="N6184" s="15" t="s">
        <v>64</v>
      </c>
      <c r="O6184" s="15" t="s">
        <v>65</v>
      </c>
      <c r="P6184" s="20" t="s">
        <v>1082</v>
      </c>
      <c r="Q6184" s="15" t="s">
        <v>83</v>
      </c>
      <c r="R6184" s="4"/>
      <c r="S6184" s="4"/>
    </row>
    <row r="6185" spans="1:19" ht="21" customHeight="1" x14ac:dyDescent="0.25">
      <c r="A6185" s="14">
        <f>DATE(2012,12,31)-1022</f>
        <v>40252</v>
      </c>
      <c r="B6185" s="15" t="s">
        <v>444</v>
      </c>
      <c r="C6185" s="15" t="s">
        <v>31</v>
      </c>
      <c r="D6185" s="16">
        <v>36</v>
      </c>
      <c r="E6185" s="17">
        <v>580.04</v>
      </c>
      <c r="F6185" s="16">
        <v>0.09</v>
      </c>
      <c r="G6185" s="15" t="s">
        <v>101</v>
      </c>
      <c r="H6185" s="18">
        <v>-31.86</v>
      </c>
      <c r="I6185" s="19">
        <v>16.91</v>
      </c>
      <c r="J6185" s="19">
        <v>6.25</v>
      </c>
      <c r="K6185" s="19" t="s">
        <v>97</v>
      </c>
      <c r="L6185" s="19" t="s">
        <v>98</v>
      </c>
      <c r="M6185" s="15" t="s">
        <v>2279</v>
      </c>
      <c r="N6185" s="15" t="s">
        <v>36</v>
      </c>
      <c r="O6185" s="15" t="s">
        <v>37</v>
      </c>
      <c r="P6185" s="20" t="s">
        <v>1482</v>
      </c>
      <c r="Q6185" s="15" t="s">
        <v>83</v>
      </c>
      <c r="R6185" s="4"/>
      <c r="S6185" s="4"/>
    </row>
    <row r="6186" spans="1:19" ht="21" customHeight="1" x14ac:dyDescent="0.25">
      <c r="A6186" s="14">
        <f>DATE(2012,12,31)-975</f>
        <v>40299</v>
      </c>
      <c r="B6186" s="15" t="s">
        <v>444</v>
      </c>
      <c r="C6186" s="15" t="s">
        <v>43</v>
      </c>
      <c r="D6186" s="16">
        <v>43</v>
      </c>
      <c r="E6186" s="17">
        <v>413.83</v>
      </c>
      <c r="F6186" s="16">
        <v>0.08</v>
      </c>
      <c r="G6186" s="15" t="s">
        <v>32</v>
      </c>
      <c r="H6186" s="18">
        <v>111.74</v>
      </c>
      <c r="I6186" s="19">
        <v>10.01</v>
      </c>
      <c r="J6186" s="19">
        <v>1.99</v>
      </c>
      <c r="K6186" s="19" t="s">
        <v>97</v>
      </c>
      <c r="L6186" s="19" t="s">
        <v>567</v>
      </c>
      <c r="M6186" s="15" t="s">
        <v>568</v>
      </c>
      <c r="N6186" s="15" t="s">
        <v>64</v>
      </c>
      <c r="O6186" s="15" t="s">
        <v>72</v>
      </c>
      <c r="P6186" s="20" t="s">
        <v>1714</v>
      </c>
      <c r="Q6186" s="15" t="s">
        <v>49</v>
      </c>
      <c r="R6186" s="4"/>
      <c r="S6186" s="4"/>
    </row>
    <row r="6187" spans="1:19" ht="21" customHeight="1" x14ac:dyDescent="0.25">
      <c r="A6187" s="14">
        <f>DATE(2012,12,31)-975</f>
        <v>40299</v>
      </c>
      <c r="B6187" s="15" t="s">
        <v>1528</v>
      </c>
      <c r="C6187" s="15" t="s">
        <v>43</v>
      </c>
      <c r="D6187" s="16">
        <v>30</v>
      </c>
      <c r="E6187" s="17">
        <v>3339.65</v>
      </c>
      <c r="F6187" s="16">
        <v>0.01</v>
      </c>
      <c r="G6187" s="15" t="s">
        <v>32</v>
      </c>
      <c r="H6187" s="18">
        <v>788.50800000000004</v>
      </c>
      <c r="I6187" s="19">
        <v>125.99</v>
      </c>
      <c r="J6187" s="19">
        <v>7.69</v>
      </c>
      <c r="K6187" s="19" t="s">
        <v>97</v>
      </c>
      <c r="L6187" s="19" t="s">
        <v>98</v>
      </c>
      <c r="M6187" s="15" t="s">
        <v>2279</v>
      </c>
      <c r="N6187" s="15" t="s">
        <v>64</v>
      </c>
      <c r="O6187" s="15" t="s">
        <v>65</v>
      </c>
      <c r="P6187" s="20" t="s">
        <v>1057</v>
      </c>
      <c r="Q6187" s="15" t="s">
        <v>83</v>
      </c>
      <c r="R6187" s="4"/>
      <c r="S6187" s="4"/>
    </row>
    <row r="6188" spans="1:19" ht="21" customHeight="1" x14ac:dyDescent="0.25">
      <c r="A6188" s="14">
        <f>DATE(2012,12,31)-327</f>
        <v>40947</v>
      </c>
      <c r="B6188" s="15" t="s">
        <v>1731</v>
      </c>
      <c r="C6188" s="15" t="s">
        <v>51</v>
      </c>
      <c r="D6188" s="16">
        <v>50</v>
      </c>
      <c r="E6188" s="17">
        <v>3601.07</v>
      </c>
      <c r="F6188" s="16">
        <v>0.04</v>
      </c>
      <c r="G6188" s="15" t="s">
        <v>32</v>
      </c>
      <c r="H6188" s="18">
        <v>174.8</v>
      </c>
      <c r="I6188" s="19">
        <v>73.98</v>
      </c>
      <c r="J6188" s="19">
        <v>14.52</v>
      </c>
      <c r="K6188" s="19" t="s">
        <v>69</v>
      </c>
      <c r="L6188" s="19" t="s">
        <v>75</v>
      </c>
      <c r="M6188" s="15" t="s">
        <v>2284</v>
      </c>
      <c r="N6188" s="15" t="s">
        <v>64</v>
      </c>
      <c r="O6188" s="15" t="s">
        <v>72</v>
      </c>
      <c r="P6188" s="20" t="s">
        <v>1925</v>
      </c>
      <c r="Q6188" s="15" t="s">
        <v>83</v>
      </c>
      <c r="R6188" s="4"/>
      <c r="S6188" s="4"/>
    </row>
    <row r="6189" spans="1:19" ht="21" customHeight="1" x14ac:dyDescent="0.25">
      <c r="A6189" s="14">
        <f>DATE(2012,12,31)-166</f>
        <v>41108</v>
      </c>
      <c r="B6189" s="15" t="s">
        <v>1470</v>
      </c>
      <c r="C6189" s="15" t="s">
        <v>85</v>
      </c>
      <c r="D6189" s="16">
        <v>42</v>
      </c>
      <c r="E6189" s="17">
        <v>1392.77</v>
      </c>
      <c r="F6189" s="16">
        <v>0</v>
      </c>
      <c r="G6189" s="15" t="s">
        <v>58</v>
      </c>
      <c r="H6189" s="18">
        <v>-1981.5510000000002</v>
      </c>
      <c r="I6189" s="19">
        <v>31.76</v>
      </c>
      <c r="J6189" s="19">
        <v>45.51</v>
      </c>
      <c r="K6189" s="19" t="s">
        <v>124</v>
      </c>
      <c r="L6189" s="19" t="s">
        <v>160</v>
      </c>
      <c r="M6189" s="15" t="s">
        <v>2281</v>
      </c>
      <c r="N6189" s="15" t="s">
        <v>54</v>
      </c>
      <c r="O6189" s="15" t="s">
        <v>61</v>
      </c>
      <c r="P6189" s="20" t="s">
        <v>863</v>
      </c>
      <c r="Q6189" s="15" t="s">
        <v>63</v>
      </c>
      <c r="R6189" s="4"/>
      <c r="S6189" s="4"/>
    </row>
    <row r="6190" spans="1:19" ht="21" customHeight="1" x14ac:dyDescent="0.25">
      <c r="A6190" s="14">
        <f>DATE(2012,12,31)-1454</f>
        <v>39820</v>
      </c>
      <c r="B6190" s="15" t="s">
        <v>643</v>
      </c>
      <c r="C6190" s="15" t="s">
        <v>51</v>
      </c>
      <c r="D6190" s="16">
        <v>46</v>
      </c>
      <c r="E6190" s="17">
        <v>737.25</v>
      </c>
      <c r="F6190" s="16">
        <v>0.08</v>
      </c>
      <c r="G6190" s="15" t="s">
        <v>32</v>
      </c>
      <c r="H6190" s="18">
        <v>-199.13399999999999</v>
      </c>
      <c r="I6190" s="19">
        <v>15.99</v>
      </c>
      <c r="J6190" s="19">
        <v>13.18</v>
      </c>
      <c r="K6190" s="19" t="s">
        <v>124</v>
      </c>
      <c r="L6190" s="19" t="s">
        <v>160</v>
      </c>
      <c r="M6190" s="15" t="s">
        <v>2281</v>
      </c>
      <c r="N6190" s="15" t="s">
        <v>36</v>
      </c>
      <c r="O6190" s="15" t="s">
        <v>170</v>
      </c>
      <c r="P6190" s="20" t="s">
        <v>411</v>
      </c>
      <c r="Q6190" s="15" t="s">
        <v>83</v>
      </c>
      <c r="R6190" s="4"/>
      <c r="S6190" s="4"/>
    </row>
    <row r="6191" spans="1:19" ht="21" customHeight="1" x14ac:dyDescent="0.25">
      <c r="A6191" s="14">
        <f>DATE(2012,12,31)-1447</f>
        <v>39827</v>
      </c>
      <c r="B6191" s="15" t="s">
        <v>643</v>
      </c>
      <c r="C6191" s="15" t="s">
        <v>85</v>
      </c>
      <c r="D6191" s="16">
        <v>29</v>
      </c>
      <c r="E6191" s="17">
        <v>577.89</v>
      </c>
      <c r="F6191" s="16">
        <v>0.06</v>
      </c>
      <c r="G6191" s="15" t="s">
        <v>32</v>
      </c>
      <c r="H6191" s="18">
        <v>-53.89</v>
      </c>
      <c r="I6191" s="19">
        <v>19.989999999999998</v>
      </c>
      <c r="J6191" s="19">
        <v>11.17</v>
      </c>
      <c r="K6191" s="19" t="s">
        <v>124</v>
      </c>
      <c r="L6191" s="19" t="s">
        <v>160</v>
      </c>
      <c r="M6191" s="15" t="s">
        <v>2281</v>
      </c>
      <c r="N6191" s="15" t="s">
        <v>54</v>
      </c>
      <c r="O6191" s="15" t="s">
        <v>55</v>
      </c>
      <c r="P6191" s="20" t="s">
        <v>1091</v>
      </c>
      <c r="Q6191" s="15" t="s">
        <v>39</v>
      </c>
      <c r="R6191" s="4"/>
      <c r="S6191" s="4"/>
    </row>
    <row r="6192" spans="1:19" ht="21" customHeight="1" x14ac:dyDescent="0.25">
      <c r="A6192" s="14">
        <f>DATE(2012,12,31)-1447</f>
        <v>39827</v>
      </c>
      <c r="B6192" s="15" t="s">
        <v>643</v>
      </c>
      <c r="C6192" s="15" t="s">
        <v>85</v>
      </c>
      <c r="D6192" s="16">
        <v>36</v>
      </c>
      <c r="E6192" s="17">
        <v>9920.85</v>
      </c>
      <c r="F6192" s="16">
        <v>0</v>
      </c>
      <c r="G6192" s="15" t="s">
        <v>58</v>
      </c>
      <c r="H6192" s="18">
        <v>2685.19</v>
      </c>
      <c r="I6192" s="19">
        <v>264.98</v>
      </c>
      <c r="J6192" s="19">
        <v>17.86</v>
      </c>
      <c r="K6192" s="19" t="s">
        <v>124</v>
      </c>
      <c r="L6192" s="19" t="s">
        <v>160</v>
      </c>
      <c r="M6192" s="15" t="s">
        <v>2281</v>
      </c>
      <c r="N6192" s="15" t="s">
        <v>64</v>
      </c>
      <c r="O6192" s="15" t="s">
        <v>122</v>
      </c>
      <c r="P6192" s="20" t="s">
        <v>1357</v>
      </c>
      <c r="Q6192" s="15" t="s">
        <v>181</v>
      </c>
      <c r="R6192" s="4"/>
      <c r="S6192" s="4"/>
    </row>
    <row r="6193" spans="1:19" ht="21" customHeight="1" x14ac:dyDescent="0.25">
      <c r="A6193" s="14">
        <f>DATE(2012,12,31)-1447</f>
        <v>39827</v>
      </c>
      <c r="B6193" s="15" t="s">
        <v>643</v>
      </c>
      <c r="C6193" s="15" t="s">
        <v>85</v>
      </c>
      <c r="D6193" s="16">
        <v>23</v>
      </c>
      <c r="E6193" s="17">
        <v>7484.31</v>
      </c>
      <c r="F6193" s="16">
        <v>0.06</v>
      </c>
      <c r="G6193" s="15" t="s">
        <v>58</v>
      </c>
      <c r="H6193" s="18">
        <v>1278.45</v>
      </c>
      <c r="I6193" s="19">
        <v>320.98</v>
      </c>
      <c r="J6193" s="19">
        <v>58.95</v>
      </c>
      <c r="K6193" s="19" t="s">
        <v>124</v>
      </c>
      <c r="L6193" s="19" t="s">
        <v>160</v>
      </c>
      <c r="M6193" s="15" t="s">
        <v>2281</v>
      </c>
      <c r="N6193" s="15" t="s">
        <v>54</v>
      </c>
      <c r="O6193" s="15" t="s">
        <v>252</v>
      </c>
      <c r="P6193" s="20" t="s">
        <v>1527</v>
      </c>
      <c r="Q6193" s="15" t="s">
        <v>181</v>
      </c>
      <c r="R6193" s="4"/>
      <c r="S6193" s="4"/>
    </row>
    <row r="6194" spans="1:19" ht="21" customHeight="1" x14ac:dyDescent="0.25">
      <c r="A6194" s="14">
        <f>DATE(2012,12,31)-1024</f>
        <v>40250</v>
      </c>
      <c r="B6194" s="15" t="s">
        <v>643</v>
      </c>
      <c r="C6194" s="15" t="s">
        <v>85</v>
      </c>
      <c r="D6194" s="16">
        <v>42</v>
      </c>
      <c r="E6194" s="17">
        <v>670.65</v>
      </c>
      <c r="F6194" s="16">
        <v>0.08</v>
      </c>
      <c r="G6194" s="15" t="s">
        <v>32</v>
      </c>
      <c r="H6194" s="18">
        <v>41.66</v>
      </c>
      <c r="I6194" s="19">
        <v>15.94</v>
      </c>
      <c r="J6194" s="19">
        <v>5.45</v>
      </c>
      <c r="K6194" s="19" t="s">
        <v>124</v>
      </c>
      <c r="L6194" s="19" t="s">
        <v>493</v>
      </c>
      <c r="M6194" s="15" t="s">
        <v>2259</v>
      </c>
      <c r="N6194" s="15" t="s">
        <v>36</v>
      </c>
      <c r="O6194" s="15" t="s">
        <v>77</v>
      </c>
      <c r="P6194" s="20" t="s">
        <v>860</v>
      </c>
      <c r="Q6194" s="15" t="s">
        <v>49</v>
      </c>
      <c r="R6194" s="4"/>
      <c r="S6194" s="4"/>
    </row>
    <row r="6195" spans="1:19" ht="21" customHeight="1" x14ac:dyDescent="0.25">
      <c r="A6195" s="14">
        <f>DATE(2012,12,31)-1044</f>
        <v>40230</v>
      </c>
      <c r="B6195" s="15" t="s">
        <v>187</v>
      </c>
      <c r="C6195" s="15" t="s">
        <v>85</v>
      </c>
      <c r="D6195" s="16">
        <v>12</v>
      </c>
      <c r="E6195" s="17">
        <v>1940.21</v>
      </c>
      <c r="F6195" s="16">
        <v>0.09</v>
      </c>
      <c r="G6195" s="15" t="s">
        <v>32</v>
      </c>
      <c r="H6195" s="18">
        <v>-215.33599999999998</v>
      </c>
      <c r="I6195" s="19">
        <v>200.99</v>
      </c>
      <c r="J6195" s="19">
        <v>4.2</v>
      </c>
      <c r="K6195" s="19" t="s">
        <v>124</v>
      </c>
      <c r="L6195" s="19" t="s">
        <v>160</v>
      </c>
      <c r="M6195" s="15" t="s">
        <v>2281</v>
      </c>
      <c r="N6195" s="15" t="s">
        <v>64</v>
      </c>
      <c r="O6195" s="15" t="s">
        <v>65</v>
      </c>
      <c r="P6195" s="20" t="s">
        <v>1586</v>
      </c>
      <c r="Q6195" s="15" t="s">
        <v>83</v>
      </c>
      <c r="R6195" s="4"/>
      <c r="S6195" s="4"/>
    </row>
    <row r="6196" spans="1:19" ht="21" customHeight="1" x14ac:dyDescent="0.25">
      <c r="A6196" s="14">
        <f>DATE(2012,12,31)-1044</f>
        <v>40230</v>
      </c>
      <c r="B6196" s="15" t="s">
        <v>1680</v>
      </c>
      <c r="C6196" s="15" t="s">
        <v>85</v>
      </c>
      <c r="D6196" s="16">
        <v>44</v>
      </c>
      <c r="E6196" s="17">
        <v>1717.21</v>
      </c>
      <c r="F6196" s="16">
        <v>0.08</v>
      </c>
      <c r="G6196" s="15" t="s">
        <v>32</v>
      </c>
      <c r="H6196" s="18">
        <v>176.13</v>
      </c>
      <c r="I6196" s="19">
        <v>40.97</v>
      </c>
      <c r="J6196" s="19">
        <v>8.99</v>
      </c>
      <c r="K6196" s="19" t="s">
        <v>124</v>
      </c>
      <c r="L6196" s="19" t="s">
        <v>164</v>
      </c>
      <c r="M6196" s="15" t="s">
        <v>2286</v>
      </c>
      <c r="N6196" s="15" t="s">
        <v>36</v>
      </c>
      <c r="O6196" s="15" t="s">
        <v>77</v>
      </c>
      <c r="P6196" s="20" t="s">
        <v>471</v>
      </c>
      <c r="Q6196" s="15" t="s">
        <v>49</v>
      </c>
      <c r="R6196" s="4"/>
      <c r="S6196" s="4"/>
    </row>
    <row r="6197" spans="1:19" ht="21" customHeight="1" x14ac:dyDescent="0.25">
      <c r="A6197" s="14">
        <f>DATE(2012,12,31)-1021</f>
        <v>40253</v>
      </c>
      <c r="B6197" s="15" t="s">
        <v>1680</v>
      </c>
      <c r="C6197" s="15" t="s">
        <v>31</v>
      </c>
      <c r="D6197" s="16">
        <v>12</v>
      </c>
      <c r="E6197" s="17">
        <v>714.39099999999996</v>
      </c>
      <c r="F6197" s="16">
        <v>0</v>
      </c>
      <c r="G6197" s="15" t="s">
        <v>32</v>
      </c>
      <c r="H6197" s="18">
        <v>-62.325999999999993</v>
      </c>
      <c r="I6197" s="19">
        <v>65.989999999999995</v>
      </c>
      <c r="J6197" s="19">
        <v>8.99</v>
      </c>
      <c r="K6197" s="19" t="s">
        <v>124</v>
      </c>
      <c r="L6197" s="19" t="s">
        <v>158</v>
      </c>
      <c r="M6197" s="15" t="s">
        <v>158</v>
      </c>
      <c r="N6197" s="15" t="s">
        <v>64</v>
      </c>
      <c r="O6197" s="15" t="s">
        <v>65</v>
      </c>
      <c r="P6197" s="20" t="s">
        <v>860</v>
      </c>
      <c r="Q6197" s="15" t="s">
        <v>83</v>
      </c>
      <c r="R6197" s="4"/>
      <c r="S6197" s="4"/>
    </row>
    <row r="6198" spans="1:19" ht="21" customHeight="1" x14ac:dyDescent="0.25">
      <c r="A6198" s="14">
        <f>DATE(2012,12,31)-1202</f>
        <v>40072</v>
      </c>
      <c r="B6198" s="15" t="s">
        <v>249</v>
      </c>
      <c r="C6198" s="15" t="s">
        <v>43</v>
      </c>
      <c r="D6198" s="16">
        <v>8</v>
      </c>
      <c r="E6198" s="17">
        <v>64.23</v>
      </c>
      <c r="F6198" s="16">
        <v>0.03</v>
      </c>
      <c r="G6198" s="15" t="s">
        <v>32</v>
      </c>
      <c r="H6198" s="18">
        <v>15.83</v>
      </c>
      <c r="I6198" s="19">
        <v>7.64</v>
      </c>
      <c r="J6198" s="19">
        <v>1.39</v>
      </c>
      <c r="K6198" s="19" t="s">
        <v>124</v>
      </c>
      <c r="L6198" s="19" t="s">
        <v>319</v>
      </c>
      <c r="M6198" s="15" t="s">
        <v>2239</v>
      </c>
      <c r="N6198" s="15" t="s">
        <v>36</v>
      </c>
      <c r="O6198" s="15" t="s">
        <v>189</v>
      </c>
      <c r="P6198" s="20" t="s">
        <v>842</v>
      </c>
      <c r="Q6198" s="15" t="s">
        <v>83</v>
      </c>
      <c r="R6198" s="4"/>
      <c r="S6198" s="4"/>
    </row>
    <row r="6199" spans="1:19" ht="21" customHeight="1" x14ac:dyDescent="0.25">
      <c r="A6199" s="14">
        <f>DATE(2012,12,31)-88</f>
        <v>41186</v>
      </c>
      <c r="B6199" s="15" t="s">
        <v>1497</v>
      </c>
      <c r="C6199" s="15" t="s">
        <v>43</v>
      </c>
      <c r="D6199" s="16">
        <v>18</v>
      </c>
      <c r="E6199" s="17">
        <v>85.03</v>
      </c>
      <c r="F6199" s="16">
        <v>0.05</v>
      </c>
      <c r="G6199" s="15" t="s">
        <v>32</v>
      </c>
      <c r="H6199" s="18">
        <v>-75.31</v>
      </c>
      <c r="I6199" s="19">
        <v>4.28</v>
      </c>
      <c r="J6199" s="19">
        <v>6.72</v>
      </c>
      <c r="K6199" s="19" t="s">
        <v>44</v>
      </c>
      <c r="L6199" s="19" t="s">
        <v>236</v>
      </c>
      <c r="M6199" s="15" t="s">
        <v>2246</v>
      </c>
      <c r="N6199" s="15" t="s">
        <v>36</v>
      </c>
      <c r="O6199" s="15" t="s">
        <v>117</v>
      </c>
      <c r="P6199" s="20" t="s">
        <v>542</v>
      </c>
      <c r="Q6199" s="15" t="s">
        <v>83</v>
      </c>
      <c r="R6199" s="4"/>
      <c r="S6199" s="4"/>
    </row>
    <row r="6200" spans="1:19" ht="21" customHeight="1" x14ac:dyDescent="0.25">
      <c r="A6200" s="14">
        <f>DATE(2012,12,31)-88</f>
        <v>41186</v>
      </c>
      <c r="B6200" s="15" t="s">
        <v>2253</v>
      </c>
      <c r="C6200" s="15" t="s">
        <v>43</v>
      </c>
      <c r="D6200" s="16">
        <v>17</v>
      </c>
      <c r="E6200" s="17">
        <v>119.51</v>
      </c>
      <c r="F6200" s="16">
        <v>0.06</v>
      </c>
      <c r="G6200" s="15" t="s">
        <v>32</v>
      </c>
      <c r="H6200" s="18">
        <v>-51.301499999999997</v>
      </c>
      <c r="I6200" s="19">
        <v>7.1</v>
      </c>
      <c r="J6200" s="19">
        <v>6.05</v>
      </c>
      <c r="K6200" s="19" t="s">
        <v>44</v>
      </c>
      <c r="L6200" s="19" t="s">
        <v>52</v>
      </c>
      <c r="M6200" s="15" t="s">
        <v>2240</v>
      </c>
      <c r="N6200" s="15" t="s">
        <v>36</v>
      </c>
      <c r="O6200" s="15" t="s">
        <v>170</v>
      </c>
      <c r="P6200" s="20" t="s">
        <v>479</v>
      </c>
      <c r="Q6200" s="15" t="s">
        <v>83</v>
      </c>
      <c r="R6200" s="4"/>
      <c r="S6200" s="4"/>
    </row>
    <row r="6201" spans="1:19" ht="21" customHeight="1" x14ac:dyDescent="0.25">
      <c r="A6201" s="14">
        <f>DATE(2012,12,31)-88</f>
        <v>41186</v>
      </c>
      <c r="B6201" s="15" t="s">
        <v>1343</v>
      </c>
      <c r="C6201" s="15" t="s">
        <v>43</v>
      </c>
      <c r="D6201" s="16">
        <v>19</v>
      </c>
      <c r="E6201" s="17">
        <v>332.38</v>
      </c>
      <c r="F6201" s="16">
        <v>0.05</v>
      </c>
      <c r="G6201" s="15" t="s">
        <v>32</v>
      </c>
      <c r="H6201" s="18">
        <v>89.95</v>
      </c>
      <c r="I6201" s="19">
        <v>17.78</v>
      </c>
      <c r="J6201" s="19">
        <v>5.03</v>
      </c>
      <c r="K6201" s="19" t="s">
        <v>44</v>
      </c>
      <c r="L6201" s="19" t="s">
        <v>52</v>
      </c>
      <c r="M6201" s="15" t="s">
        <v>2240</v>
      </c>
      <c r="N6201" s="15" t="s">
        <v>54</v>
      </c>
      <c r="O6201" s="15" t="s">
        <v>55</v>
      </c>
      <c r="P6201" s="20" t="s">
        <v>1902</v>
      </c>
      <c r="Q6201" s="15" t="s">
        <v>83</v>
      </c>
      <c r="R6201" s="4"/>
      <c r="S6201" s="4"/>
    </row>
    <row r="6202" spans="1:19" ht="21" customHeight="1" x14ac:dyDescent="0.25">
      <c r="A6202" s="14">
        <f>DATE(2012,12,31)-88</f>
        <v>41186</v>
      </c>
      <c r="B6202" s="15" t="s">
        <v>1343</v>
      </c>
      <c r="C6202" s="15" t="s">
        <v>43</v>
      </c>
      <c r="D6202" s="16">
        <v>15</v>
      </c>
      <c r="E6202" s="17">
        <v>502.8</v>
      </c>
      <c r="F6202" s="16">
        <v>0</v>
      </c>
      <c r="G6202" s="15" t="s">
        <v>32</v>
      </c>
      <c r="H6202" s="18">
        <v>-19.100000000000001</v>
      </c>
      <c r="I6202" s="19">
        <v>30.98</v>
      </c>
      <c r="J6202" s="19">
        <v>19.510000000000002</v>
      </c>
      <c r="K6202" s="19" t="s">
        <v>44</v>
      </c>
      <c r="L6202" s="19" t="s">
        <v>45</v>
      </c>
      <c r="M6202" s="15" t="s">
        <v>2271</v>
      </c>
      <c r="N6202" s="15" t="s">
        <v>36</v>
      </c>
      <c r="O6202" s="15" t="s">
        <v>189</v>
      </c>
      <c r="P6202" s="20" t="s">
        <v>780</v>
      </c>
      <c r="Q6202" s="15" t="s">
        <v>83</v>
      </c>
      <c r="R6202" s="4"/>
      <c r="S6202" s="4"/>
    </row>
    <row r="6203" spans="1:19" ht="21" customHeight="1" x14ac:dyDescent="0.25">
      <c r="A6203" s="14">
        <f>DATE(2012,12,31)-1423</f>
        <v>39851</v>
      </c>
      <c r="B6203" s="15" t="s">
        <v>1343</v>
      </c>
      <c r="C6203" s="15" t="s">
        <v>85</v>
      </c>
      <c r="D6203" s="16">
        <v>46</v>
      </c>
      <c r="E6203" s="17">
        <v>320.93</v>
      </c>
      <c r="F6203" s="16">
        <v>0.05</v>
      </c>
      <c r="G6203" s="15" t="s">
        <v>32</v>
      </c>
      <c r="H6203" s="18">
        <v>-66.48</v>
      </c>
      <c r="I6203" s="19">
        <v>6.68</v>
      </c>
      <c r="J6203" s="19">
        <v>5.66</v>
      </c>
      <c r="K6203" s="19" t="s">
        <v>44</v>
      </c>
      <c r="L6203" s="19" t="s">
        <v>52</v>
      </c>
      <c r="M6203" s="15" t="s">
        <v>2240</v>
      </c>
      <c r="N6203" s="15" t="s">
        <v>36</v>
      </c>
      <c r="O6203" s="15" t="s">
        <v>117</v>
      </c>
      <c r="P6203" s="20" t="s">
        <v>287</v>
      </c>
      <c r="Q6203" s="15" t="s">
        <v>83</v>
      </c>
      <c r="R6203" s="4"/>
      <c r="S6203" s="4"/>
    </row>
    <row r="6204" spans="1:19" ht="21" customHeight="1" x14ac:dyDescent="0.25">
      <c r="A6204" s="14">
        <f>DATE(2012,12,31)-1423</f>
        <v>39851</v>
      </c>
      <c r="B6204" s="15" t="s">
        <v>1041</v>
      </c>
      <c r="C6204" s="15" t="s">
        <v>85</v>
      </c>
      <c r="D6204" s="16">
        <v>14</v>
      </c>
      <c r="E6204" s="17">
        <v>261.85000000000002</v>
      </c>
      <c r="F6204" s="16">
        <v>0.03</v>
      </c>
      <c r="G6204" s="15" t="s">
        <v>32</v>
      </c>
      <c r="H6204" s="18">
        <v>-52.33</v>
      </c>
      <c r="I6204" s="19">
        <v>17.7</v>
      </c>
      <c r="J6204" s="19">
        <v>9.4700000000000006</v>
      </c>
      <c r="K6204" s="19" t="s">
        <v>44</v>
      </c>
      <c r="L6204" s="19" t="s">
        <v>52</v>
      </c>
      <c r="M6204" s="15" t="s">
        <v>2240</v>
      </c>
      <c r="N6204" s="15" t="s">
        <v>36</v>
      </c>
      <c r="O6204" s="15" t="s">
        <v>37</v>
      </c>
      <c r="P6204" s="20" t="s">
        <v>755</v>
      </c>
      <c r="Q6204" s="15" t="s">
        <v>83</v>
      </c>
      <c r="R6204" s="4"/>
      <c r="S6204" s="4"/>
    </row>
    <row r="6205" spans="1:19" ht="21" customHeight="1" x14ac:dyDescent="0.25">
      <c r="A6205" s="14">
        <f>DATE(2012,12,31)-410</f>
        <v>40864</v>
      </c>
      <c r="B6205" s="15" t="s">
        <v>138</v>
      </c>
      <c r="C6205" s="15" t="s">
        <v>31</v>
      </c>
      <c r="D6205" s="16">
        <v>38</v>
      </c>
      <c r="E6205" s="17">
        <v>202.42</v>
      </c>
      <c r="F6205" s="16">
        <v>0.09</v>
      </c>
      <c r="G6205" s="15" t="s">
        <v>32</v>
      </c>
      <c r="H6205" s="18">
        <v>0.85850000000000004</v>
      </c>
      <c r="I6205" s="19">
        <v>5.34</v>
      </c>
      <c r="J6205" s="19">
        <v>2.99</v>
      </c>
      <c r="K6205" s="19" t="s">
        <v>44</v>
      </c>
      <c r="L6205" s="19" t="s">
        <v>52</v>
      </c>
      <c r="M6205" s="15" t="s">
        <v>2240</v>
      </c>
      <c r="N6205" s="15" t="s">
        <v>36</v>
      </c>
      <c r="O6205" s="15" t="s">
        <v>170</v>
      </c>
      <c r="P6205" s="20" t="s">
        <v>740</v>
      </c>
      <c r="Q6205" s="15" t="s">
        <v>83</v>
      </c>
      <c r="R6205" s="4"/>
      <c r="S6205" s="4"/>
    </row>
    <row r="6206" spans="1:19" ht="21" customHeight="1" x14ac:dyDescent="0.25">
      <c r="A6206" s="14">
        <f>DATE(2012,12,31)-850</f>
        <v>40424</v>
      </c>
      <c r="B6206" s="15" t="s">
        <v>138</v>
      </c>
      <c r="C6206" s="15" t="s">
        <v>85</v>
      </c>
      <c r="D6206" s="16">
        <v>7</v>
      </c>
      <c r="E6206" s="17">
        <v>733.36</v>
      </c>
      <c r="F6206" s="16">
        <v>0.02</v>
      </c>
      <c r="G6206" s="15" t="s">
        <v>32</v>
      </c>
      <c r="H6206" s="18">
        <v>-270.48</v>
      </c>
      <c r="I6206" s="19">
        <v>99.99</v>
      </c>
      <c r="J6206" s="19">
        <v>19.989999999999998</v>
      </c>
      <c r="K6206" s="19" t="s">
        <v>44</v>
      </c>
      <c r="L6206" s="19" t="s">
        <v>52</v>
      </c>
      <c r="M6206" s="15" t="s">
        <v>2295</v>
      </c>
      <c r="N6206" s="15" t="s">
        <v>64</v>
      </c>
      <c r="O6206" s="15" t="s">
        <v>72</v>
      </c>
      <c r="P6206" s="20" t="s">
        <v>938</v>
      </c>
      <c r="Q6206" s="15" t="s">
        <v>83</v>
      </c>
      <c r="R6206" s="4"/>
      <c r="S6206" s="4"/>
    </row>
    <row r="6207" spans="1:19" ht="21" customHeight="1" x14ac:dyDescent="0.25">
      <c r="A6207" s="14">
        <f>DATE(2012,12,31)-581</f>
        <v>40693</v>
      </c>
      <c r="B6207" s="15" t="s">
        <v>1963</v>
      </c>
      <c r="C6207" s="15" t="s">
        <v>85</v>
      </c>
      <c r="D6207" s="16">
        <v>50</v>
      </c>
      <c r="E6207" s="17">
        <v>281.81</v>
      </c>
      <c r="F6207" s="16">
        <v>7.0000000000000007E-2</v>
      </c>
      <c r="G6207" s="15" t="s">
        <v>32</v>
      </c>
      <c r="H6207" s="18">
        <v>42.45</v>
      </c>
      <c r="I6207" s="19">
        <v>5.98</v>
      </c>
      <c r="J6207" s="19">
        <v>0.96</v>
      </c>
      <c r="K6207" s="19" t="s">
        <v>44</v>
      </c>
      <c r="L6207" s="19" t="s">
        <v>52</v>
      </c>
      <c r="M6207" s="15" t="s">
        <v>2295</v>
      </c>
      <c r="N6207" s="15" t="s">
        <v>36</v>
      </c>
      <c r="O6207" s="15" t="s">
        <v>77</v>
      </c>
      <c r="P6207" s="20" t="s">
        <v>1234</v>
      </c>
      <c r="Q6207" s="15" t="s">
        <v>79</v>
      </c>
      <c r="R6207" s="4"/>
      <c r="S6207" s="4"/>
    </row>
    <row r="6208" spans="1:19" ht="21" customHeight="1" x14ac:dyDescent="0.25">
      <c r="A6208" s="14">
        <f>DATE(2012,12,31)-356</f>
        <v>40918</v>
      </c>
      <c r="B6208" s="15" t="s">
        <v>390</v>
      </c>
      <c r="C6208" s="15" t="s">
        <v>85</v>
      </c>
      <c r="D6208" s="16">
        <v>45</v>
      </c>
      <c r="E6208" s="17">
        <v>5811.97</v>
      </c>
      <c r="F6208" s="16">
        <v>0.03</v>
      </c>
      <c r="G6208" s="15" t="s">
        <v>58</v>
      </c>
      <c r="H6208" s="18">
        <v>-434.14800000000008</v>
      </c>
      <c r="I6208" s="19">
        <v>124.49</v>
      </c>
      <c r="J6208" s="19">
        <v>51.94</v>
      </c>
      <c r="K6208" s="19" t="s">
        <v>44</v>
      </c>
      <c r="L6208" s="19" t="s">
        <v>52</v>
      </c>
      <c r="M6208" s="15" t="s">
        <v>2295</v>
      </c>
      <c r="N6208" s="15" t="s">
        <v>54</v>
      </c>
      <c r="O6208" s="15" t="s">
        <v>61</v>
      </c>
      <c r="P6208" s="20" t="s">
        <v>1272</v>
      </c>
      <c r="Q6208" s="15" t="s">
        <v>63</v>
      </c>
      <c r="R6208" s="4"/>
      <c r="S6208" s="4"/>
    </row>
    <row r="6209" spans="1:19" ht="21" customHeight="1" x14ac:dyDescent="0.25">
      <c r="A6209" s="14">
        <f>DATE(2012,12,31)-355</f>
        <v>40919</v>
      </c>
      <c r="B6209" s="15" t="s">
        <v>937</v>
      </c>
      <c r="C6209" s="15" t="s">
        <v>51</v>
      </c>
      <c r="D6209" s="16">
        <v>40</v>
      </c>
      <c r="E6209" s="17">
        <v>250.13</v>
      </c>
      <c r="F6209" s="16">
        <v>0.01</v>
      </c>
      <c r="G6209" s="15" t="s">
        <v>101</v>
      </c>
      <c r="H6209" s="18">
        <v>61.97</v>
      </c>
      <c r="I6209" s="19">
        <v>5.84</v>
      </c>
      <c r="J6209" s="19">
        <v>1.2</v>
      </c>
      <c r="K6209" s="19" t="s">
        <v>44</v>
      </c>
      <c r="L6209" s="19" t="s">
        <v>52</v>
      </c>
      <c r="M6209" s="15" t="s">
        <v>2295</v>
      </c>
      <c r="N6209" s="15" t="s">
        <v>36</v>
      </c>
      <c r="O6209" s="15" t="s">
        <v>77</v>
      </c>
      <c r="P6209" s="20" t="s">
        <v>792</v>
      </c>
      <c r="Q6209" s="15" t="s">
        <v>79</v>
      </c>
      <c r="R6209" s="4"/>
      <c r="S6209" s="4"/>
    </row>
    <row r="6210" spans="1:19" ht="21" customHeight="1" x14ac:dyDescent="0.25">
      <c r="A6210" s="14">
        <f>DATE(2012,12,31)-186</f>
        <v>41088</v>
      </c>
      <c r="B6210" s="15" t="s">
        <v>937</v>
      </c>
      <c r="C6210" s="15" t="s">
        <v>51</v>
      </c>
      <c r="D6210" s="16">
        <v>39</v>
      </c>
      <c r="E6210" s="17">
        <v>835.55</v>
      </c>
      <c r="F6210" s="16">
        <v>7.0000000000000007E-2</v>
      </c>
      <c r="G6210" s="15" t="s">
        <v>32</v>
      </c>
      <c r="H6210" s="18">
        <v>326.43</v>
      </c>
      <c r="I6210" s="19">
        <v>22.23</v>
      </c>
      <c r="J6210" s="19">
        <v>5.08</v>
      </c>
      <c r="K6210" s="19" t="s">
        <v>44</v>
      </c>
      <c r="L6210" s="19" t="s">
        <v>236</v>
      </c>
      <c r="M6210" s="15" t="s">
        <v>2296</v>
      </c>
      <c r="N6210" s="15" t="s">
        <v>54</v>
      </c>
      <c r="O6210" s="15" t="s">
        <v>55</v>
      </c>
      <c r="P6210" s="20" t="s">
        <v>913</v>
      </c>
      <c r="Q6210" s="15" t="s">
        <v>49</v>
      </c>
      <c r="R6210" s="4"/>
      <c r="S6210" s="4"/>
    </row>
    <row r="6211" spans="1:19" ht="21" customHeight="1" x14ac:dyDescent="0.25">
      <c r="A6211" s="14">
        <f>DATE(2012,12,31)-186</f>
        <v>41088</v>
      </c>
      <c r="B6211" s="15" t="s">
        <v>937</v>
      </c>
      <c r="C6211" s="15" t="s">
        <v>51</v>
      </c>
      <c r="D6211" s="16">
        <v>38</v>
      </c>
      <c r="E6211" s="17">
        <v>1799.6115</v>
      </c>
      <c r="F6211" s="16">
        <v>7.0000000000000007E-2</v>
      </c>
      <c r="G6211" s="15" t="s">
        <v>32</v>
      </c>
      <c r="H6211" s="18">
        <v>557.59500000000003</v>
      </c>
      <c r="I6211" s="19">
        <v>55.99</v>
      </c>
      <c r="J6211" s="19">
        <v>1.25</v>
      </c>
      <c r="K6211" s="19" t="s">
        <v>44</v>
      </c>
      <c r="L6211" s="19" t="s">
        <v>52</v>
      </c>
      <c r="M6211" s="15" t="s">
        <v>2295</v>
      </c>
      <c r="N6211" s="15" t="s">
        <v>64</v>
      </c>
      <c r="O6211" s="15" t="s">
        <v>65</v>
      </c>
      <c r="P6211" s="20" t="s">
        <v>1136</v>
      </c>
      <c r="Q6211" s="15" t="s">
        <v>49</v>
      </c>
      <c r="R6211" s="4"/>
      <c r="S6211" s="4"/>
    </row>
    <row r="6212" spans="1:19" ht="21" customHeight="1" x14ac:dyDescent="0.25">
      <c r="A6212" s="14">
        <f>DATE(2012,12,31)-1034</f>
        <v>40240</v>
      </c>
      <c r="B6212" s="15" t="s">
        <v>937</v>
      </c>
      <c r="C6212" s="15" t="s">
        <v>85</v>
      </c>
      <c r="D6212" s="16">
        <v>43</v>
      </c>
      <c r="E6212" s="17">
        <v>468.48</v>
      </c>
      <c r="F6212" s="16">
        <v>7.0000000000000007E-2</v>
      </c>
      <c r="G6212" s="15" t="s">
        <v>101</v>
      </c>
      <c r="H6212" s="18">
        <v>-213.49</v>
      </c>
      <c r="I6212" s="19">
        <v>11.34</v>
      </c>
      <c r="J6212" s="19">
        <v>11.25</v>
      </c>
      <c r="K6212" s="19" t="s">
        <v>44</v>
      </c>
      <c r="L6212" s="19" t="s">
        <v>80</v>
      </c>
      <c r="M6212" s="15" t="s">
        <v>2297</v>
      </c>
      <c r="N6212" s="15" t="s">
        <v>36</v>
      </c>
      <c r="O6212" s="15" t="s">
        <v>117</v>
      </c>
      <c r="P6212" s="20" t="s">
        <v>1315</v>
      </c>
      <c r="Q6212" s="15" t="s">
        <v>83</v>
      </c>
      <c r="R6212" s="4"/>
      <c r="S6212" s="4"/>
    </row>
    <row r="6213" spans="1:19" ht="21" customHeight="1" x14ac:dyDescent="0.25">
      <c r="A6213" s="14">
        <f>DATE(2012,12,31)-1034</f>
        <v>40240</v>
      </c>
      <c r="B6213" s="15" t="s">
        <v>1781</v>
      </c>
      <c r="C6213" s="15" t="s">
        <v>85</v>
      </c>
      <c r="D6213" s="16">
        <v>23</v>
      </c>
      <c r="E6213" s="17">
        <v>284.14</v>
      </c>
      <c r="F6213" s="16">
        <v>0.05</v>
      </c>
      <c r="G6213" s="15" t="s">
        <v>32</v>
      </c>
      <c r="H6213" s="18">
        <v>-104.18</v>
      </c>
      <c r="I6213" s="19">
        <v>11.66</v>
      </c>
      <c r="J6213" s="19">
        <v>8.99</v>
      </c>
      <c r="K6213" s="19" t="s">
        <v>44</v>
      </c>
      <c r="L6213" s="19" t="s">
        <v>52</v>
      </c>
      <c r="M6213" s="15" t="s">
        <v>2295</v>
      </c>
      <c r="N6213" s="15" t="s">
        <v>36</v>
      </c>
      <c r="O6213" s="15" t="s">
        <v>77</v>
      </c>
      <c r="P6213" s="20" t="s">
        <v>625</v>
      </c>
      <c r="Q6213" s="15" t="s">
        <v>49</v>
      </c>
      <c r="R6213" s="4"/>
      <c r="S6213" s="4"/>
    </row>
    <row r="6214" spans="1:19" ht="21" customHeight="1" x14ac:dyDescent="0.25">
      <c r="A6214" s="14">
        <f>DATE(2012,12,31)-912</f>
        <v>40362</v>
      </c>
      <c r="B6214" s="15" t="s">
        <v>1781</v>
      </c>
      <c r="C6214" s="15" t="s">
        <v>31</v>
      </c>
      <c r="D6214" s="16">
        <v>23</v>
      </c>
      <c r="E6214" s="17">
        <v>1914.16</v>
      </c>
      <c r="F6214" s="16">
        <v>0.01</v>
      </c>
      <c r="G6214" s="15" t="s">
        <v>58</v>
      </c>
      <c r="H6214" s="18">
        <v>128.43</v>
      </c>
      <c r="I6214" s="19">
        <v>80.97</v>
      </c>
      <c r="J6214" s="19">
        <v>33.6</v>
      </c>
      <c r="K6214" s="19" t="s">
        <v>44</v>
      </c>
      <c r="L6214" s="19" t="s">
        <v>52</v>
      </c>
      <c r="M6214" s="15" t="s">
        <v>2295</v>
      </c>
      <c r="N6214" s="15" t="s">
        <v>64</v>
      </c>
      <c r="O6214" s="15" t="s">
        <v>122</v>
      </c>
      <c r="P6214" s="20" t="s">
        <v>269</v>
      </c>
      <c r="Q6214" s="15" t="s">
        <v>181</v>
      </c>
      <c r="R6214" s="4"/>
      <c r="S6214" s="4"/>
    </row>
    <row r="6215" spans="1:19" ht="21" customHeight="1" x14ac:dyDescent="0.25">
      <c r="A6215" s="14">
        <f>DATE(2012,12,31)-1459</f>
        <v>39815</v>
      </c>
      <c r="B6215" s="15" t="s">
        <v>2036</v>
      </c>
      <c r="C6215" s="15" t="s">
        <v>85</v>
      </c>
      <c r="D6215" s="16">
        <v>16</v>
      </c>
      <c r="E6215" s="17">
        <v>137.63</v>
      </c>
      <c r="F6215" s="16">
        <v>0.09</v>
      </c>
      <c r="G6215" s="15" t="s">
        <v>101</v>
      </c>
      <c r="H6215" s="18">
        <v>26.71</v>
      </c>
      <c r="I6215" s="19">
        <v>9.11</v>
      </c>
      <c r="J6215" s="19">
        <v>2.15</v>
      </c>
      <c r="K6215" s="19" t="s">
        <v>44</v>
      </c>
      <c r="L6215" s="19" t="s">
        <v>52</v>
      </c>
      <c r="M6215" s="15" t="s">
        <v>2295</v>
      </c>
      <c r="N6215" s="15" t="s">
        <v>36</v>
      </c>
      <c r="O6215" s="15" t="s">
        <v>117</v>
      </c>
      <c r="P6215" s="20" t="s">
        <v>388</v>
      </c>
      <c r="Q6215" s="15" t="s">
        <v>79</v>
      </c>
      <c r="R6215" s="4"/>
      <c r="S6215" s="4"/>
    </row>
    <row r="6216" spans="1:19" ht="21" customHeight="1" x14ac:dyDescent="0.25">
      <c r="A6216" s="14">
        <f>DATE(2012,12,31)-1459</f>
        <v>39815</v>
      </c>
      <c r="B6216" s="15" t="s">
        <v>2127</v>
      </c>
      <c r="C6216" s="15" t="s">
        <v>85</v>
      </c>
      <c r="D6216" s="16">
        <v>43</v>
      </c>
      <c r="E6216" s="17">
        <v>614.79999999999995</v>
      </c>
      <c r="F6216" s="16">
        <v>0.08</v>
      </c>
      <c r="G6216" s="15" t="s">
        <v>32</v>
      </c>
      <c r="H6216" s="18">
        <v>247.79</v>
      </c>
      <c r="I6216" s="19">
        <v>15.04</v>
      </c>
      <c r="J6216" s="19">
        <v>1.97</v>
      </c>
      <c r="K6216" s="19" t="s">
        <v>44</v>
      </c>
      <c r="L6216" s="19" t="s">
        <v>52</v>
      </c>
      <c r="M6216" s="15" t="s">
        <v>2295</v>
      </c>
      <c r="N6216" s="15" t="s">
        <v>36</v>
      </c>
      <c r="O6216" s="15" t="s">
        <v>117</v>
      </c>
      <c r="P6216" s="20" t="s">
        <v>496</v>
      </c>
      <c r="Q6216" s="15" t="s">
        <v>79</v>
      </c>
      <c r="R6216" s="4"/>
      <c r="S6216" s="4"/>
    </row>
    <row r="6217" spans="1:19" ht="21" customHeight="1" x14ac:dyDescent="0.25">
      <c r="A6217" s="14">
        <f>DATE(2012,12,31)-260</f>
        <v>41014</v>
      </c>
      <c r="B6217" s="15" t="s">
        <v>678</v>
      </c>
      <c r="C6217" s="15" t="s">
        <v>43</v>
      </c>
      <c r="D6217" s="16">
        <v>19</v>
      </c>
      <c r="E6217" s="17">
        <v>110.67</v>
      </c>
      <c r="F6217" s="16">
        <v>0.08</v>
      </c>
      <c r="G6217" s="15" t="s">
        <v>32</v>
      </c>
      <c r="H6217" s="18">
        <v>-43.745999999999995</v>
      </c>
      <c r="I6217" s="19">
        <v>5.99</v>
      </c>
      <c r="J6217" s="19">
        <v>4.92</v>
      </c>
      <c r="K6217" s="19" t="s">
        <v>44</v>
      </c>
      <c r="L6217" s="19" t="s">
        <v>80</v>
      </c>
      <c r="M6217" s="15" t="s">
        <v>2297</v>
      </c>
      <c r="N6217" s="15" t="s">
        <v>36</v>
      </c>
      <c r="O6217" s="15" t="s">
        <v>170</v>
      </c>
      <c r="P6217" s="20" t="s">
        <v>664</v>
      </c>
      <c r="Q6217" s="15" t="s">
        <v>83</v>
      </c>
      <c r="R6217" s="4"/>
      <c r="S6217" s="4"/>
    </row>
    <row r="6218" spans="1:19" ht="21" customHeight="1" x14ac:dyDescent="0.25">
      <c r="A6218" s="14">
        <f>DATE(2012,12,31)-260</f>
        <v>41014</v>
      </c>
      <c r="B6218" s="15" t="s">
        <v>2298</v>
      </c>
      <c r="C6218" s="15" t="s">
        <v>43</v>
      </c>
      <c r="D6218" s="16">
        <v>20</v>
      </c>
      <c r="E6218" s="17">
        <v>1163.123</v>
      </c>
      <c r="F6218" s="16">
        <v>0</v>
      </c>
      <c r="G6218" s="15" t="s">
        <v>32</v>
      </c>
      <c r="H6218" s="18">
        <v>83.834999999999994</v>
      </c>
      <c r="I6218" s="19">
        <v>65.989999999999995</v>
      </c>
      <c r="J6218" s="19">
        <v>8.99</v>
      </c>
      <c r="K6218" s="19" t="s">
        <v>44</v>
      </c>
      <c r="L6218" s="19" t="s">
        <v>52</v>
      </c>
      <c r="M6218" s="15" t="s">
        <v>2295</v>
      </c>
      <c r="N6218" s="15" t="s">
        <v>64</v>
      </c>
      <c r="O6218" s="15" t="s">
        <v>65</v>
      </c>
      <c r="P6218" s="20" t="s">
        <v>220</v>
      </c>
      <c r="Q6218" s="15" t="s">
        <v>83</v>
      </c>
      <c r="R6218" s="4"/>
      <c r="S6218" s="4"/>
    </row>
    <row r="6219" spans="1:19" ht="21" customHeight="1" x14ac:dyDescent="0.25">
      <c r="A6219" s="14">
        <f>DATE(2012,12,31)-1069</f>
        <v>40205</v>
      </c>
      <c r="B6219" s="15" t="s">
        <v>774</v>
      </c>
      <c r="C6219" s="15" t="s">
        <v>31</v>
      </c>
      <c r="D6219" s="16">
        <v>1</v>
      </c>
      <c r="E6219" s="17">
        <v>5.0599999999999996</v>
      </c>
      <c r="F6219" s="16">
        <v>0.01</v>
      </c>
      <c r="G6219" s="15" t="s">
        <v>32</v>
      </c>
      <c r="H6219" s="18">
        <v>-2.64</v>
      </c>
      <c r="I6219" s="19">
        <v>3.14</v>
      </c>
      <c r="J6219" s="19">
        <v>1.92</v>
      </c>
      <c r="K6219" s="19" t="s">
        <v>44</v>
      </c>
      <c r="L6219" s="19" t="s">
        <v>80</v>
      </c>
      <c r="M6219" s="15" t="s">
        <v>2297</v>
      </c>
      <c r="N6219" s="15" t="s">
        <v>36</v>
      </c>
      <c r="O6219" s="15" t="s">
        <v>47</v>
      </c>
      <c r="P6219" s="20" t="s">
        <v>1400</v>
      </c>
      <c r="Q6219" s="15" t="s">
        <v>79</v>
      </c>
      <c r="R6219" s="4"/>
      <c r="S6219" s="4"/>
    </row>
    <row r="6220" spans="1:19" ht="21" customHeight="1" x14ac:dyDescent="0.25">
      <c r="A6220" s="14">
        <f>DATE(2012,12,31)-294</f>
        <v>40980</v>
      </c>
      <c r="B6220" s="15" t="s">
        <v>256</v>
      </c>
      <c r="C6220" s="15" t="s">
        <v>85</v>
      </c>
      <c r="D6220" s="16">
        <v>34</v>
      </c>
      <c r="E6220" s="17">
        <v>11823.52</v>
      </c>
      <c r="F6220" s="16">
        <v>0.1</v>
      </c>
      <c r="G6220" s="15" t="s">
        <v>32</v>
      </c>
      <c r="H6220" s="18">
        <v>4592.7370000000001</v>
      </c>
      <c r="I6220" s="19">
        <v>367.99</v>
      </c>
      <c r="J6220" s="19">
        <v>19.989999999999998</v>
      </c>
      <c r="K6220" s="19" t="s">
        <v>44</v>
      </c>
      <c r="L6220" s="19" t="s">
        <v>120</v>
      </c>
      <c r="M6220" s="15" t="s">
        <v>2262</v>
      </c>
      <c r="N6220" s="15" t="s">
        <v>36</v>
      </c>
      <c r="O6220" s="15" t="s">
        <v>170</v>
      </c>
      <c r="P6220" s="20" t="s">
        <v>1139</v>
      </c>
      <c r="Q6220" s="15" t="s">
        <v>83</v>
      </c>
      <c r="R6220" s="4"/>
      <c r="S6220" s="4"/>
    </row>
    <row r="6221" spans="1:19" ht="21" customHeight="1" x14ac:dyDescent="0.25">
      <c r="A6221" s="14">
        <f>DATE(2012,12,31)-294</f>
        <v>40980</v>
      </c>
      <c r="B6221" s="15" t="s">
        <v>256</v>
      </c>
      <c r="C6221" s="15" t="s">
        <v>85</v>
      </c>
      <c r="D6221" s="16">
        <v>19</v>
      </c>
      <c r="E6221" s="17">
        <v>80.81</v>
      </c>
      <c r="F6221" s="16">
        <v>0.1</v>
      </c>
      <c r="G6221" s="15" t="s">
        <v>32</v>
      </c>
      <c r="H6221" s="18">
        <v>-67.459000000000003</v>
      </c>
      <c r="I6221" s="19">
        <v>4.24</v>
      </c>
      <c r="J6221" s="19">
        <v>5.41</v>
      </c>
      <c r="K6221" s="19" t="s">
        <v>69</v>
      </c>
      <c r="L6221" s="19" t="s">
        <v>70</v>
      </c>
      <c r="M6221" s="15" t="s">
        <v>2230</v>
      </c>
      <c r="N6221" s="15" t="s">
        <v>36</v>
      </c>
      <c r="O6221" s="15" t="s">
        <v>170</v>
      </c>
      <c r="P6221" s="20" t="s">
        <v>1027</v>
      </c>
      <c r="Q6221" s="15" t="s">
        <v>83</v>
      </c>
      <c r="R6221" s="4"/>
      <c r="S6221" s="4"/>
    </row>
    <row r="6222" spans="1:19" ht="21" customHeight="1" x14ac:dyDescent="0.25">
      <c r="A6222" s="14">
        <f>DATE(2012,12,31)-1090</f>
        <v>40184</v>
      </c>
      <c r="B6222" s="15" t="s">
        <v>1080</v>
      </c>
      <c r="C6222" s="15" t="s">
        <v>51</v>
      </c>
      <c r="D6222" s="16">
        <v>35</v>
      </c>
      <c r="E6222" s="17">
        <v>181.15</v>
      </c>
      <c r="F6222" s="16">
        <v>0.06</v>
      </c>
      <c r="G6222" s="15" t="s">
        <v>32</v>
      </c>
      <c r="H6222" s="18">
        <v>-46.68</v>
      </c>
      <c r="I6222" s="19">
        <v>5.28</v>
      </c>
      <c r="J6222" s="19">
        <v>3.96</v>
      </c>
      <c r="K6222" s="19" t="s">
        <v>69</v>
      </c>
      <c r="L6222" s="19" t="s">
        <v>215</v>
      </c>
      <c r="M6222" s="15" t="s">
        <v>2290</v>
      </c>
      <c r="N6222" s="15" t="s">
        <v>54</v>
      </c>
      <c r="O6222" s="15" t="s">
        <v>55</v>
      </c>
      <c r="P6222" s="20" t="s">
        <v>661</v>
      </c>
      <c r="Q6222" s="15" t="s">
        <v>79</v>
      </c>
      <c r="R6222" s="4"/>
      <c r="S6222" s="4"/>
    </row>
    <row r="6223" spans="1:19" ht="21" customHeight="1" x14ac:dyDescent="0.25">
      <c r="A6223" s="14">
        <f>DATE(2012,12,31)-1158</f>
        <v>40116</v>
      </c>
      <c r="B6223" s="15" t="s">
        <v>1080</v>
      </c>
      <c r="C6223" s="15" t="s">
        <v>51</v>
      </c>
      <c r="D6223" s="16">
        <v>35</v>
      </c>
      <c r="E6223" s="17">
        <v>620.02</v>
      </c>
      <c r="F6223" s="16">
        <v>0.05</v>
      </c>
      <c r="G6223" s="15" t="s">
        <v>32</v>
      </c>
      <c r="H6223" s="18">
        <v>50.04</v>
      </c>
      <c r="I6223" s="19">
        <v>17.670000000000002</v>
      </c>
      <c r="J6223" s="19">
        <v>8.99</v>
      </c>
      <c r="K6223" s="19" t="s">
        <v>111</v>
      </c>
      <c r="L6223" s="19" t="s">
        <v>112</v>
      </c>
      <c r="M6223" s="15" t="s">
        <v>2291</v>
      </c>
      <c r="N6223" s="15" t="s">
        <v>54</v>
      </c>
      <c r="O6223" s="15" t="s">
        <v>55</v>
      </c>
      <c r="P6223" s="20" t="s">
        <v>918</v>
      </c>
      <c r="Q6223" s="15" t="s">
        <v>49</v>
      </c>
      <c r="R6223" s="4"/>
      <c r="S6223" s="4"/>
    </row>
    <row r="6224" spans="1:19" ht="21" customHeight="1" x14ac:dyDescent="0.25">
      <c r="A6224" s="14">
        <f>DATE(2012,12,31)-1018</f>
        <v>40256</v>
      </c>
      <c r="B6224" s="15" t="s">
        <v>896</v>
      </c>
      <c r="C6224" s="15" t="s">
        <v>51</v>
      </c>
      <c r="D6224" s="16">
        <v>46</v>
      </c>
      <c r="E6224" s="17">
        <v>507.64</v>
      </c>
      <c r="F6224" s="16">
        <v>0.04</v>
      </c>
      <c r="G6224" s="15" t="s">
        <v>32</v>
      </c>
      <c r="H6224" s="18">
        <v>42.76</v>
      </c>
      <c r="I6224" s="19">
        <v>10.98</v>
      </c>
      <c r="J6224" s="19">
        <v>3.37</v>
      </c>
      <c r="K6224" s="19" t="s">
        <v>44</v>
      </c>
      <c r="L6224" s="19" t="s">
        <v>89</v>
      </c>
      <c r="M6224" s="15" t="s">
        <v>2293</v>
      </c>
      <c r="N6224" s="15" t="s">
        <v>36</v>
      </c>
      <c r="O6224" s="15" t="s">
        <v>47</v>
      </c>
      <c r="P6224" s="20" t="s">
        <v>1130</v>
      </c>
      <c r="Q6224" s="15" t="s">
        <v>49</v>
      </c>
      <c r="R6224" s="4"/>
      <c r="S6224" s="4"/>
    </row>
    <row r="6225" spans="1:19" ht="21" customHeight="1" x14ac:dyDescent="0.25">
      <c r="A6225" s="14">
        <f>DATE(2012,12,31)-336</f>
        <v>40938</v>
      </c>
      <c r="B6225" s="15" t="s">
        <v>30</v>
      </c>
      <c r="C6225" s="15" t="s">
        <v>85</v>
      </c>
      <c r="D6225" s="16">
        <v>23</v>
      </c>
      <c r="E6225" s="17">
        <v>3194.05</v>
      </c>
      <c r="F6225" s="16">
        <v>0.08</v>
      </c>
      <c r="G6225" s="15" t="s">
        <v>32</v>
      </c>
      <c r="H6225" s="18">
        <v>608.52</v>
      </c>
      <c r="I6225" s="19">
        <v>142.86000000000001</v>
      </c>
      <c r="J6225" s="19">
        <v>19.989999999999998</v>
      </c>
      <c r="K6225" s="19" t="s">
        <v>124</v>
      </c>
      <c r="L6225" s="19" t="s">
        <v>493</v>
      </c>
      <c r="M6225" s="15" t="s">
        <v>2259</v>
      </c>
      <c r="N6225" s="15" t="s">
        <v>36</v>
      </c>
      <c r="O6225" s="15" t="s">
        <v>37</v>
      </c>
      <c r="P6225" s="20" t="s">
        <v>1374</v>
      </c>
      <c r="Q6225" s="15" t="s">
        <v>83</v>
      </c>
      <c r="R6225" s="4"/>
      <c r="S6225" s="4"/>
    </row>
    <row r="6226" spans="1:19" ht="21" customHeight="1" x14ac:dyDescent="0.25">
      <c r="A6226" s="14">
        <f>DATE(2012,12,31)-1227</f>
        <v>40047</v>
      </c>
      <c r="B6226" s="15" t="s">
        <v>30</v>
      </c>
      <c r="C6226" s="15" t="s">
        <v>43</v>
      </c>
      <c r="D6226" s="16">
        <v>12</v>
      </c>
      <c r="E6226" s="17">
        <v>653.78599999999994</v>
      </c>
      <c r="F6226" s="16">
        <v>0.09</v>
      </c>
      <c r="G6226" s="15" t="s">
        <v>32</v>
      </c>
      <c r="H6226" s="18">
        <v>-83.467999999999989</v>
      </c>
      <c r="I6226" s="19">
        <v>65.989999999999995</v>
      </c>
      <c r="J6226" s="19">
        <v>5.31</v>
      </c>
      <c r="K6226" s="19" t="s">
        <v>124</v>
      </c>
      <c r="L6226" s="19" t="s">
        <v>160</v>
      </c>
      <c r="M6226" s="15" t="s">
        <v>2281</v>
      </c>
      <c r="N6226" s="15" t="s">
        <v>64</v>
      </c>
      <c r="O6226" s="15" t="s">
        <v>65</v>
      </c>
      <c r="P6226" s="20" t="s">
        <v>1662</v>
      </c>
      <c r="Q6226" s="15" t="s">
        <v>83</v>
      </c>
      <c r="R6226" s="4"/>
      <c r="S6226" s="4"/>
    </row>
    <row r="6227" spans="1:19" ht="21" customHeight="1" x14ac:dyDescent="0.25">
      <c r="A6227" s="14">
        <f>DATE(2012,12,31)-1227</f>
        <v>40047</v>
      </c>
      <c r="B6227" s="15" t="s">
        <v>1067</v>
      </c>
      <c r="C6227" s="15" t="s">
        <v>43</v>
      </c>
      <c r="D6227" s="16">
        <v>10</v>
      </c>
      <c r="E6227" s="17">
        <v>56.91</v>
      </c>
      <c r="F6227" s="16">
        <v>0.01</v>
      </c>
      <c r="G6227" s="15" t="s">
        <v>32</v>
      </c>
      <c r="H6227" s="18">
        <v>7.5</v>
      </c>
      <c r="I6227" s="19">
        <v>5.18</v>
      </c>
      <c r="J6227" s="19">
        <v>2.04</v>
      </c>
      <c r="K6227" s="19" t="s">
        <v>124</v>
      </c>
      <c r="L6227" s="19" t="s">
        <v>493</v>
      </c>
      <c r="M6227" s="15" t="s">
        <v>2299</v>
      </c>
      <c r="N6227" s="15" t="s">
        <v>36</v>
      </c>
      <c r="O6227" s="15" t="s">
        <v>117</v>
      </c>
      <c r="P6227" s="20" t="s">
        <v>208</v>
      </c>
      <c r="Q6227" s="15" t="s">
        <v>79</v>
      </c>
      <c r="R6227" s="4"/>
      <c r="S6227" s="4"/>
    </row>
    <row r="6228" spans="1:19" ht="21" customHeight="1" x14ac:dyDescent="0.25">
      <c r="A6228" s="14">
        <f>DATE(2012,12,31)-1441</f>
        <v>39833</v>
      </c>
      <c r="B6228" s="15" t="s">
        <v>1067</v>
      </c>
      <c r="C6228" s="15" t="s">
        <v>51</v>
      </c>
      <c r="D6228" s="16">
        <v>27</v>
      </c>
      <c r="E6228" s="17">
        <v>3970.33</v>
      </c>
      <c r="F6228" s="16">
        <v>0.02</v>
      </c>
      <c r="G6228" s="15" t="s">
        <v>58</v>
      </c>
      <c r="H6228" s="18">
        <v>-229.79</v>
      </c>
      <c r="I6228" s="19">
        <v>140.97999999999999</v>
      </c>
      <c r="J6228" s="19">
        <v>53.48</v>
      </c>
      <c r="K6228" s="19" t="s">
        <v>44</v>
      </c>
      <c r="L6228" s="19" t="s">
        <v>52</v>
      </c>
      <c r="M6228" s="15" t="s">
        <v>2295</v>
      </c>
      <c r="N6228" s="15" t="s">
        <v>54</v>
      </c>
      <c r="O6228" s="15" t="s">
        <v>134</v>
      </c>
      <c r="P6228" s="20" t="s">
        <v>1234</v>
      </c>
      <c r="Q6228" s="15" t="s">
        <v>63</v>
      </c>
      <c r="R6228" s="4"/>
      <c r="S6228" s="4"/>
    </row>
    <row r="6229" spans="1:19" ht="21" customHeight="1" x14ac:dyDescent="0.25">
      <c r="A6229" s="14">
        <f>DATE(2012,12,31)-727</f>
        <v>40547</v>
      </c>
      <c r="B6229" s="15" t="s">
        <v>1327</v>
      </c>
      <c r="C6229" s="15" t="s">
        <v>85</v>
      </c>
      <c r="D6229" s="16">
        <v>35</v>
      </c>
      <c r="E6229" s="17">
        <v>625.94849999999997</v>
      </c>
      <c r="F6229" s="16">
        <v>0.04</v>
      </c>
      <c r="G6229" s="15" t="s">
        <v>101</v>
      </c>
      <c r="H6229" s="18">
        <v>-87.021000000000001</v>
      </c>
      <c r="I6229" s="19">
        <v>20.99</v>
      </c>
      <c r="J6229" s="19">
        <v>3.3</v>
      </c>
      <c r="K6229" s="19" t="s">
        <v>33</v>
      </c>
      <c r="L6229" s="19" t="s">
        <v>93</v>
      </c>
      <c r="M6229" s="15" t="s">
        <v>94</v>
      </c>
      <c r="N6229" s="15" t="s">
        <v>64</v>
      </c>
      <c r="O6229" s="15" t="s">
        <v>65</v>
      </c>
      <c r="P6229" s="20" t="s">
        <v>148</v>
      </c>
      <c r="Q6229" s="15" t="s">
        <v>49</v>
      </c>
      <c r="R6229" s="4"/>
      <c r="S6229" s="4"/>
    </row>
    <row r="6230" spans="1:19" ht="21" customHeight="1" x14ac:dyDescent="0.25">
      <c r="A6230" s="14">
        <f>DATE(2012,12,31)-302</f>
        <v>40972</v>
      </c>
      <c r="B6230" s="15" t="s">
        <v>737</v>
      </c>
      <c r="C6230" s="15" t="s">
        <v>31</v>
      </c>
      <c r="D6230" s="16">
        <v>12</v>
      </c>
      <c r="E6230" s="17">
        <v>50.69</v>
      </c>
      <c r="F6230" s="16">
        <v>0.04</v>
      </c>
      <c r="G6230" s="15" t="s">
        <v>32</v>
      </c>
      <c r="H6230" s="18">
        <v>-6.33</v>
      </c>
      <c r="I6230" s="19">
        <v>3.95</v>
      </c>
      <c r="J6230" s="19">
        <v>2</v>
      </c>
      <c r="K6230" s="19" t="s">
        <v>69</v>
      </c>
      <c r="L6230" s="19" t="s">
        <v>70</v>
      </c>
      <c r="M6230" s="15" t="s">
        <v>2230</v>
      </c>
      <c r="N6230" s="15" t="s">
        <v>36</v>
      </c>
      <c r="O6230" s="15" t="s">
        <v>105</v>
      </c>
      <c r="P6230" s="20" t="s">
        <v>2030</v>
      </c>
      <c r="Q6230" s="15" t="s">
        <v>79</v>
      </c>
      <c r="R6230" s="4"/>
      <c r="S6230" s="4"/>
    </row>
    <row r="6231" spans="1:19" ht="21" customHeight="1" x14ac:dyDescent="0.25">
      <c r="A6231" s="14">
        <f>DATE(2012,12,31)-875</f>
        <v>40399</v>
      </c>
      <c r="B6231" s="15" t="s">
        <v>737</v>
      </c>
      <c r="C6231" s="15" t="s">
        <v>51</v>
      </c>
      <c r="D6231" s="16">
        <v>32</v>
      </c>
      <c r="E6231" s="17">
        <v>198.7</v>
      </c>
      <c r="F6231" s="16">
        <v>0.1</v>
      </c>
      <c r="G6231" s="15" t="s">
        <v>32</v>
      </c>
      <c r="H6231" s="18">
        <v>-62.13</v>
      </c>
      <c r="I6231" s="19">
        <v>6.48</v>
      </c>
      <c r="J6231" s="19">
        <v>2.74</v>
      </c>
      <c r="K6231" s="19" t="s">
        <v>69</v>
      </c>
      <c r="L6231" s="19" t="s">
        <v>215</v>
      </c>
      <c r="M6231" s="15" t="s">
        <v>2290</v>
      </c>
      <c r="N6231" s="15" t="s">
        <v>64</v>
      </c>
      <c r="O6231" s="15" t="s">
        <v>72</v>
      </c>
      <c r="P6231" s="20" t="s">
        <v>415</v>
      </c>
      <c r="Q6231" s="15" t="s">
        <v>49</v>
      </c>
      <c r="R6231" s="4"/>
      <c r="S6231" s="4"/>
    </row>
    <row r="6232" spans="1:19" ht="21" customHeight="1" x14ac:dyDescent="0.25">
      <c r="A6232" s="14">
        <f>DATE(2012,12,31)-1368</f>
        <v>39906</v>
      </c>
      <c r="B6232" s="15" t="s">
        <v>1258</v>
      </c>
      <c r="C6232" s="15" t="s">
        <v>51</v>
      </c>
      <c r="D6232" s="16">
        <v>29</v>
      </c>
      <c r="E6232" s="17">
        <v>1958.32</v>
      </c>
      <c r="F6232" s="16">
        <v>0</v>
      </c>
      <c r="G6232" s="15" t="s">
        <v>32</v>
      </c>
      <c r="H6232" s="18">
        <v>632.29</v>
      </c>
      <c r="I6232" s="19">
        <v>62.18</v>
      </c>
      <c r="J6232" s="19">
        <v>10.84</v>
      </c>
      <c r="K6232" s="19" t="s">
        <v>111</v>
      </c>
      <c r="L6232" s="19" t="s">
        <v>442</v>
      </c>
      <c r="M6232" s="15" t="s">
        <v>2222</v>
      </c>
      <c r="N6232" s="15" t="s">
        <v>54</v>
      </c>
      <c r="O6232" s="15" t="s">
        <v>55</v>
      </c>
      <c r="P6232" s="20" t="s">
        <v>766</v>
      </c>
      <c r="Q6232" s="15" t="s">
        <v>57</v>
      </c>
      <c r="R6232" s="4"/>
      <c r="S6232" s="4"/>
    </row>
    <row r="6233" spans="1:19" ht="21" customHeight="1" x14ac:dyDescent="0.25">
      <c r="A6233" s="14">
        <f>DATE(2012,12,31)-962</f>
        <v>40312</v>
      </c>
      <c r="B6233" s="15" t="s">
        <v>810</v>
      </c>
      <c r="C6233" s="15" t="s">
        <v>85</v>
      </c>
      <c r="D6233" s="16">
        <v>39</v>
      </c>
      <c r="E6233" s="17">
        <v>185.69</v>
      </c>
      <c r="F6233" s="16">
        <v>0.02</v>
      </c>
      <c r="G6233" s="15" t="s">
        <v>32</v>
      </c>
      <c r="H6233" s="18">
        <v>50.16</v>
      </c>
      <c r="I6233" s="19">
        <v>4.84</v>
      </c>
      <c r="J6233" s="19">
        <v>0.71</v>
      </c>
      <c r="K6233" s="19" t="s">
        <v>44</v>
      </c>
      <c r="L6233" s="19" t="s">
        <v>80</v>
      </c>
      <c r="M6233" s="15" t="s">
        <v>2297</v>
      </c>
      <c r="N6233" s="15" t="s">
        <v>36</v>
      </c>
      <c r="O6233" s="15" t="s">
        <v>77</v>
      </c>
      <c r="P6233" s="20" t="s">
        <v>458</v>
      </c>
      <c r="Q6233" s="15" t="s">
        <v>79</v>
      </c>
      <c r="R6233" s="4"/>
      <c r="S6233" s="4"/>
    </row>
    <row r="6234" spans="1:19" ht="21" customHeight="1" x14ac:dyDescent="0.25">
      <c r="A6234" s="14">
        <f>DATE(2012,12,31)-1154</f>
        <v>40120</v>
      </c>
      <c r="B6234" s="15" t="s">
        <v>74</v>
      </c>
      <c r="C6234" s="15" t="s">
        <v>43</v>
      </c>
      <c r="D6234" s="16">
        <v>11</v>
      </c>
      <c r="E6234" s="17">
        <v>1865.94</v>
      </c>
      <c r="F6234" s="16">
        <v>0.04</v>
      </c>
      <c r="G6234" s="15" t="s">
        <v>58</v>
      </c>
      <c r="H6234" s="18">
        <v>116.1</v>
      </c>
      <c r="I6234" s="19">
        <v>160.97999999999999</v>
      </c>
      <c r="J6234" s="19">
        <v>30</v>
      </c>
      <c r="K6234" s="19" t="s">
        <v>33</v>
      </c>
      <c r="L6234" s="19" t="s">
        <v>59</v>
      </c>
      <c r="M6234" s="15" t="s">
        <v>2269</v>
      </c>
      <c r="N6234" s="15" t="s">
        <v>54</v>
      </c>
      <c r="O6234" s="15" t="s">
        <v>252</v>
      </c>
      <c r="P6234" s="20" t="s">
        <v>1698</v>
      </c>
      <c r="Q6234" s="15" t="s">
        <v>181</v>
      </c>
      <c r="R6234" s="4"/>
      <c r="S6234" s="4"/>
    </row>
    <row r="6235" spans="1:19" ht="21" customHeight="1" x14ac:dyDescent="0.25">
      <c r="A6235" s="14">
        <f>DATE(2012,12,31)-1154</f>
        <v>40120</v>
      </c>
      <c r="B6235" s="15" t="s">
        <v>386</v>
      </c>
      <c r="C6235" s="15" t="s">
        <v>43</v>
      </c>
      <c r="D6235" s="16">
        <v>43</v>
      </c>
      <c r="E6235" s="17">
        <v>784.72</v>
      </c>
      <c r="F6235" s="16">
        <v>0.01</v>
      </c>
      <c r="G6235" s="15" t="s">
        <v>32</v>
      </c>
      <c r="H6235" s="18">
        <v>-87.96</v>
      </c>
      <c r="I6235" s="19">
        <v>17.98</v>
      </c>
      <c r="J6235" s="19">
        <v>4</v>
      </c>
      <c r="K6235" s="19" t="s">
        <v>69</v>
      </c>
      <c r="L6235" s="19" t="s">
        <v>75</v>
      </c>
      <c r="M6235" s="15" t="s">
        <v>2284</v>
      </c>
      <c r="N6235" s="15" t="s">
        <v>64</v>
      </c>
      <c r="O6235" s="15" t="s">
        <v>72</v>
      </c>
      <c r="P6235" s="20" t="s">
        <v>1019</v>
      </c>
      <c r="Q6235" s="15" t="s">
        <v>83</v>
      </c>
      <c r="R6235" s="4"/>
      <c r="S6235" s="4"/>
    </row>
    <row r="6236" spans="1:19" ht="21" customHeight="1" x14ac:dyDescent="0.25">
      <c r="A6236" s="14">
        <f>DATE(2012,12,31)-1154</f>
        <v>40120</v>
      </c>
      <c r="B6236" s="15" t="s">
        <v>1558</v>
      </c>
      <c r="C6236" s="15" t="s">
        <v>43</v>
      </c>
      <c r="D6236" s="16">
        <v>24</v>
      </c>
      <c r="E6236" s="17">
        <v>2343.076</v>
      </c>
      <c r="F6236" s="16">
        <v>0.06</v>
      </c>
      <c r="G6236" s="15" t="s">
        <v>32</v>
      </c>
      <c r="H6236" s="18">
        <v>311.64299999999997</v>
      </c>
      <c r="I6236" s="19">
        <v>115.99</v>
      </c>
      <c r="J6236" s="19">
        <v>8.99</v>
      </c>
      <c r="K6236" s="19" t="s">
        <v>44</v>
      </c>
      <c r="L6236" s="19" t="s">
        <v>120</v>
      </c>
      <c r="M6236" s="15" t="s">
        <v>2262</v>
      </c>
      <c r="N6236" s="15" t="s">
        <v>64</v>
      </c>
      <c r="O6236" s="15" t="s">
        <v>65</v>
      </c>
      <c r="P6236" s="20" t="s">
        <v>1376</v>
      </c>
      <c r="Q6236" s="15" t="s">
        <v>83</v>
      </c>
      <c r="R6236" s="4"/>
      <c r="S6236" s="4"/>
    </row>
    <row r="6237" spans="1:19" ht="21" customHeight="1" x14ac:dyDescent="0.25">
      <c r="A6237" s="14">
        <f>DATE(2012,12,31)-408</f>
        <v>40866</v>
      </c>
      <c r="B6237" s="15" t="s">
        <v>1558</v>
      </c>
      <c r="C6237" s="15" t="s">
        <v>31</v>
      </c>
      <c r="D6237" s="16">
        <v>39</v>
      </c>
      <c r="E6237" s="17">
        <v>301.36</v>
      </c>
      <c r="F6237" s="16">
        <v>0.09</v>
      </c>
      <c r="G6237" s="15" t="s">
        <v>32</v>
      </c>
      <c r="H6237" s="18">
        <v>48.45</v>
      </c>
      <c r="I6237" s="19">
        <v>8.01</v>
      </c>
      <c r="J6237" s="19">
        <v>2.87</v>
      </c>
      <c r="K6237" s="19" t="s">
        <v>44</v>
      </c>
      <c r="L6237" s="19" t="s">
        <v>45</v>
      </c>
      <c r="M6237" s="15" t="s">
        <v>2271</v>
      </c>
      <c r="N6237" s="15" t="s">
        <v>36</v>
      </c>
      <c r="O6237" s="15" t="s">
        <v>117</v>
      </c>
      <c r="P6237" s="20" t="s">
        <v>1443</v>
      </c>
      <c r="Q6237" s="15" t="s">
        <v>79</v>
      </c>
      <c r="R6237" s="4"/>
      <c r="S6237" s="4"/>
    </row>
    <row r="6238" spans="1:19" ht="21" customHeight="1" x14ac:dyDescent="0.25">
      <c r="A6238" s="14">
        <f>DATE(2012,12,31)-408</f>
        <v>40866</v>
      </c>
      <c r="B6238" s="15" t="s">
        <v>1177</v>
      </c>
      <c r="C6238" s="15" t="s">
        <v>31</v>
      </c>
      <c r="D6238" s="16">
        <v>17</v>
      </c>
      <c r="E6238" s="17">
        <v>114.28</v>
      </c>
      <c r="F6238" s="16">
        <v>0.08</v>
      </c>
      <c r="G6238" s="15" t="s">
        <v>32</v>
      </c>
      <c r="H6238" s="18">
        <v>-38.72</v>
      </c>
      <c r="I6238" s="19">
        <v>6.48</v>
      </c>
      <c r="J6238" s="19">
        <v>5.84</v>
      </c>
      <c r="K6238" s="19" t="s">
        <v>44</v>
      </c>
      <c r="L6238" s="19" t="s">
        <v>120</v>
      </c>
      <c r="M6238" s="15" t="s">
        <v>2262</v>
      </c>
      <c r="N6238" s="15" t="s">
        <v>36</v>
      </c>
      <c r="O6238" s="15" t="s">
        <v>117</v>
      </c>
      <c r="P6238" s="20" t="s">
        <v>1035</v>
      </c>
      <c r="Q6238" s="15" t="s">
        <v>83</v>
      </c>
      <c r="R6238" s="4"/>
      <c r="S6238" s="4"/>
    </row>
    <row r="6239" spans="1:19" ht="21" customHeight="1" x14ac:dyDescent="0.25">
      <c r="A6239" s="14">
        <f>DATE(2012,12,31)-408</f>
        <v>40866</v>
      </c>
      <c r="B6239" s="15" t="s">
        <v>1253</v>
      </c>
      <c r="C6239" s="15" t="s">
        <v>31</v>
      </c>
      <c r="D6239" s="16">
        <v>49</v>
      </c>
      <c r="E6239" s="17">
        <v>1889.04</v>
      </c>
      <c r="F6239" s="16">
        <v>0.1</v>
      </c>
      <c r="G6239" s="15" t="s">
        <v>101</v>
      </c>
      <c r="H6239" s="18">
        <v>182.15</v>
      </c>
      <c r="I6239" s="19">
        <v>40.97</v>
      </c>
      <c r="J6239" s="19">
        <v>8.99</v>
      </c>
      <c r="K6239" s="19" t="s">
        <v>44</v>
      </c>
      <c r="L6239" s="19" t="s">
        <v>89</v>
      </c>
      <c r="M6239" s="15" t="s">
        <v>2293</v>
      </c>
      <c r="N6239" s="15" t="s">
        <v>36</v>
      </c>
      <c r="O6239" s="15" t="s">
        <v>77</v>
      </c>
      <c r="P6239" s="20" t="s">
        <v>769</v>
      </c>
      <c r="Q6239" s="15" t="s">
        <v>49</v>
      </c>
      <c r="R6239" s="4"/>
      <c r="S6239" s="4"/>
    </row>
    <row r="6240" spans="1:19" ht="21" customHeight="1" x14ac:dyDescent="0.25">
      <c r="A6240" s="14">
        <f>DATE(2012,12,31)-283</f>
        <v>40991</v>
      </c>
      <c r="B6240" s="15" t="s">
        <v>1952</v>
      </c>
      <c r="C6240" s="15" t="s">
        <v>51</v>
      </c>
      <c r="D6240" s="16">
        <v>31</v>
      </c>
      <c r="E6240" s="17">
        <v>13064.06</v>
      </c>
      <c r="F6240" s="16">
        <v>0.01</v>
      </c>
      <c r="G6240" s="15" t="s">
        <v>101</v>
      </c>
      <c r="H6240" s="18">
        <v>5979.5630000000001</v>
      </c>
      <c r="I6240" s="19">
        <v>420.98</v>
      </c>
      <c r="J6240" s="19">
        <v>19.989999999999998</v>
      </c>
      <c r="K6240" s="19" t="s">
        <v>44</v>
      </c>
      <c r="L6240" s="19" t="s">
        <v>80</v>
      </c>
      <c r="M6240" s="15" t="s">
        <v>2297</v>
      </c>
      <c r="N6240" s="15" t="s">
        <v>36</v>
      </c>
      <c r="O6240" s="15" t="s">
        <v>170</v>
      </c>
      <c r="P6240" s="20" t="s">
        <v>329</v>
      </c>
      <c r="Q6240" s="15" t="s">
        <v>83</v>
      </c>
      <c r="R6240" s="4"/>
      <c r="S6240" s="4"/>
    </row>
    <row r="6241" spans="1:19" ht="21" customHeight="1" x14ac:dyDescent="0.25">
      <c r="A6241" s="14">
        <f>DATE(2012,12,31)-283</f>
        <v>40991</v>
      </c>
      <c r="B6241" s="15" t="s">
        <v>1189</v>
      </c>
      <c r="C6241" s="15" t="s">
        <v>51</v>
      </c>
      <c r="D6241" s="16">
        <v>34</v>
      </c>
      <c r="E6241" s="17">
        <v>4771.8900000000003</v>
      </c>
      <c r="F6241" s="16">
        <v>0.05</v>
      </c>
      <c r="G6241" s="15" t="s">
        <v>58</v>
      </c>
      <c r="H6241" s="18">
        <v>-427.99</v>
      </c>
      <c r="I6241" s="19">
        <v>140.97999999999999</v>
      </c>
      <c r="J6241" s="19">
        <v>36.090000000000003</v>
      </c>
      <c r="K6241" s="19" t="s">
        <v>44</v>
      </c>
      <c r="L6241" s="19" t="s">
        <v>52</v>
      </c>
      <c r="M6241" s="15" t="s">
        <v>2295</v>
      </c>
      <c r="N6241" s="15" t="s">
        <v>54</v>
      </c>
      <c r="O6241" s="15" t="s">
        <v>134</v>
      </c>
      <c r="P6241" s="20" t="s">
        <v>1244</v>
      </c>
      <c r="Q6241" s="15" t="s">
        <v>63</v>
      </c>
      <c r="R6241" s="4"/>
      <c r="S6241" s="4"/>
    </row>
    <row r="6242" spans="1:19" ht="21" customHeight="1" x14ac:dyDescent="0.25">
      <c r="A6242" s="14">
        <f>DATE(2012,12,31)-283</f>
        <v>40991</v>
      </c>
      <c r="B6242" s="15" t="s">
        <v>728</v>
      </c>
      <c r="C6242" s="15" t="s">
        <v>51</v>
      </c>
      <c r="D6242" s="16">
        <v>1</v>
      </c>
      <c r="E6242" s="17">
        <v>3360.3</v>
      </c>
      <c r="F6242" s="16">
        <v>0.05</v>
      </c>
      <c r="G6242" s="15" t="s">
        <v>58</v>
      </c>
      <c r="H6242" s="18">
        <v>-7961.4308999999994</v>
      </c>
      <c r="I6242" s="19">
        <v>3502.14</v>
      </c>
      <c r="J6242" s="19">
        <v>8.73</v>
      </c>
      <c r="K6242" s="19" t="s">
        <v>33</v>
      </c>
      <c r="L6242" s="19" t="s">
        <v>128</v>
      </c>
      <c r="M6242" s="15" t="s">
        <v>129</v>
      </c>
      <c r="N6242" s="15" t="s">
        <v>64</v>
      </c>
      <c r="O6242" s="15" t="s">
        <v>122</v>
      </c>
      <c r="P6242" s="20" t="s">
        <v>1827</v>
      </c>
      <c r="Q6242" s="15" t="s">
        <v>63</v>
      </c>
      <c r="R6242" s="4"/>
      <c r="S6242" s="4"/>
    </row>
    <row r="6243" spans="1:19" ht="21" customHeight="1" x14ac:dyDescent="0.25">
      <c r="A6243" s="14">
        <f>DATE(2012,12,31)-283</f>
        <v>40991</v>
      </c>
      <c r="B6243" s="15" t="s">
        <v>867</v>
      </c>
      <c r="C6243" s="15" t="s">
        <v>51</v>
      </c>
      <c r="D6243" s="16">
        <v>10</v>
      </c>
      <c r="E6243" s="17">
        <v>306.66299999999995</v>
      </c>
      <c r="F6243" s="16">
        <v>7.0000000000000007E-2</v>
      </c>
      <c r="G6243" s="15" t="s">
        <v>32</v>
      </c>
      <c r="H6243" s="18">
        <v>-17.413</v>
      </c>
      <c r="I6243" s="19">
        <v>35.99</v>
      </c>
      <c r="J6243" s="19">
        <v>5.99</v>
      </c>
      <c r="K6243" s="19" t="s">
        <v>44</v>
      </c>
      <c r="L6243" s="19" t="s">
        <v>80</v>
      </c>
      <c r="M6243" s="15" t="s">
        <v>2297</v>
      </c>
      <c r="N6243" s="15" t="s">
        <v>64</v>
      </c>
      <c r="O6243" s="15" t="s">
        <v>65</v>
      </c>
      <c r="P6243" s="20" t="s">
        <v>901</v>
      </c>
      <c r="Q6243" s="15" t="s">
        <v>79</v>
      </c>
      <c r="R6243" s="4"/>
      <c r="S6243" s="4"/>
    </row>
    <row r="6244" spans="1:19" ht="21" customHeight="1" x14ac:dyDescent="0.25">
      <c r="A6244" s="14">
        <f>DATE(2012,12,31)-1016</f>
        <v>40258</v>
      </c>
      <c r="B6244" s="15" t="s">
        <v>533</v>
      </c>
      <c r="C6244" s="15" t="s">
        <v>85</v>
      </c>
      <c r="D6244" s="16">
        <v>49</v>
      </c>
      <c r="E6244" s="17">
        <v>508.38</v>
      </c>
      <c r="F6244" s="16">
        <v>0.06</v>
      </c>
      <c r="G6244" s="15" t="s">
        <v>32</v>
      </c>
      <c r="H6244" s="18">
        <v>4.68</v>
      </c>
      <c r="I6244" s="19">
        <v>10.4</v>
      </c>
      <c r="J6244" s="19">
        <v>5.4</v>
      </c>
      <c r="K6244" s="19" t="s">
        <v>124</v>
      </c>
      <c r="L6244" s="19" t="s">
        <v>160</v>
      </c>
      <c r="M6244" s="15" t="s">
        <v>2281</v>
      </c>
      <c r="N6244" s="15" t="s">
        <v>54</v>
      </c>
      <c r="O6244" s="15" t="s">
        <v>55</v>
      </c>
      <c r="P6244" s="20" t="s">
        <v>726</v>
      </c>
      <c r="Q6244" s="15" t="s">
        <v>49</v>
      </c>
      <c r="R6244" s="4"/>
      <c r="S6244" s="4"/>
    </row>
    <row r="6245" spans="1:19" ht="21" customHeight="1" x14ac:dyDescent="0.25">
      <c r="A6245" s="14">
        <f>DATE(2012,12,31)-1016</f>
        <v>40258</v>
      </c>
      <c r="B6245" s="15" t="s">
        <v>533</v>
      </c>
      <c r="C6245" s="15" t="s">
        <v>85</v>
      </c>
      <c r="D6245" s="16">
        <v>28</v>
      </c>
      <c r="E6245" s="17">
        <v>281.08999999999997</v>
      </c>
      <c r="F6245" s="16">
        <v>0.01</v>
      </c>
      <c r="G6245" s="15" t="s">
        <v>32</v>
      </c>
      <c r="H6245" s="18">
        <v>-114.58</v>
      </c>
      <c r="I6245" s="19">
        <v>9.06</v>
      </c>
      <c r="J6245" s="19">
        <v>9.86</v>
      </c>
      <c r="K6245" s="19" t="s">
        <v>124</v>
      </c>
      <c r="L6245" s="19" t="s">
        <v>158</v>
      </c>
      <c r="M6245" s="15" t="s">
        <v>158</v>
      </c>
      <c r="N6245" s="15" t="s">
        <v>36</v>
      </c>
      <c r="O6245" s="15" t="s">
        <v>117</v>
      </c>
      <c r="P6245" s="20" t="s">
        <v>1503</v>
      </c>
      <c r="Q6245" s="15" t="s">
        <v>83</v>
      </c>
      <c r="R6245" s="4"/>
      <c r="S6245" s="4"/>
    </row>
    <row r="6246" spans="1:19" ht="21" customHeight="1" x14ac:dyDescent="0.25">
      <c r="A6246" s="14">
        <f>DATE(2012,12,31)-1016</f>
        <v>40258</v>
      </c>
      <c r="B6246" s="15" t="s">
        <v>533</v>
      </c>
      <c r="C6246" s="15" t="s">
        <v>85</v>
      </c>
      <c r="D6246" s="16">
        <v>41</v>
      </c>
      <c r="E6246" s="17">
        <v>276.64999999999998</v>
      </c>
      <c r="F6246" s="16">
        <v>0.02</v>
      </c>
      <c r="G6246" s="15" t="s">
        <v>32</v>
      </c>
      <c r="H6246" s="18">
        <v>-75.28</v>
      </c>
      <c r="I6246" s="19">
        <v>6.48</v>
      </c>
      <c r="J6246" s="19">
        <v>5.87</v>
      </c>
      <c r="K6246" s="19" t="s">
        <v>44</v>
      </c>
      <c r="L6246" s="19" t="s">
        <v>80</v>
      </c>
      <c r="M6246" s="15" t="s">
        <v>2297</v>
      </c>
      <c r="N6246" s="15" t="s">
        <v>36</v>
      </c>
      <c r="O6246" s="15" t="s">
        <v>117</v>
      </c>
      <c r="P6246" s="20" t="s">
        <v>2135</v>
      </c>
      <c r="Q6246" s="15" t="s">
        <v>83</v>
      </c>
      <c r="R6246" s="4"/>
      <c r="S6246" s="4"/>
    </row>
    <row r="6247" spans="1:19" ht="21" customHeight="1" x14ac:dyDescent="0.25">
      <c r="A6247" s="14">
        <f>DATE(2012,12,31)-566</f>
        <v>40708</v>
      </c>
      <c r="B6247" s="15" t="s">
        <v>1458</v>
      </c>
      <c r="C6247" s="15" t="s">
        <v>43</v>
      </c>
      <c r="D6247" s="16">
        <v>1</v>
      </c>
      <c r="E6247" s="17">
        <v>10.48</v>
      </c>
      <c r="F6247" s="16">
        <v>0</v>
      </c>
      <c r="G6247" s="15" t="s">
        <v>101</v>
      </c>
      <c r="H6247" s="18">
        <v>-3.78</v>
      </c>
      <c r="I6247" s="19">
        <v>5.18</v>
      </c>
      <c r="J6247" s="19">
        <v>2.04</v>
      </c>
      <c r="K6247" s="19" t="s">
        <v>44</v>
      </c>
      <c r="L6247" s="19" t="s">
        <v>236</v>
      </c>
      <c r="M6247" s="15" t="s">
        <v>2296</v>
      </c>
      <c r="N6247" s="15" t="s">
        <v>36</v>
      </c>
      <c r="O6247" s="15" t="s">
        <v>117</v>
      </c>
      <c r="P6247" s="20" t="s">
        <v>639</v>
      </c>
      <c r="Q6247" s="15" t="s">
        <v>79</v>
      </c>
      <c r="R6247" s="4"/>
      <c r="S6247" s="4"/>
    </row>
    <row r="6248" spans="1:19" ht="21" customHeight="1" x14ac:dyDescent="0.25">
      <c r="A6248" s="14">
        <f>DATE(2012,12,31)-1307</f>
        <v>39967</v>
      </c>
      <c r="B6248" s="15" t="s">
        <v>1458</v>
      </c>
      <c r="C6248" s="15" t="s">
        <v>31</v>
      </c>
      <c r="D6248" s="16">
        <v>15</v>
      </c>
      <c r="E6248" s="17">
        <v>107.86</v>
      </c>
      <c r="F6248" s="16">
        <v>0.09</v>
      </c>
      <c r="G6248" s="15" t="s">
        <v>101</v>
      </c>
      <c r="H6248" s="18">
        <v>-85.29</v>
      </c>
      <c r="I6248" s="19">
        <v>6.48</v>
      </c>
      <c r="J6248" s="19">
        <v>9.68</v>
      </c>
      <c r="K6248" s="19" t="s">
        <v>33</v>
      </c>
      <c r="L6248" s="19" t="s">
        <v>34</v>
      </c>
      <c r="M6248" s="15" t="s">
        <v>2273</v>
      </c>
      <c r="N6248" s="15" t="s">
        <v>36</v>
      </c>
      <c r="O6248" s="15" t="s">
        <v>117</v>
      </c>
      <c r="P6248" s="20" t="s">
        <v>2039</v>
      </c>
      <c r="Q6248" s="15" t="s">
        <v>83</v>
      </c>
      <c r="R6248" s="4"/>
      <c r="S6248" s="4"/>
    </row>
    <row r="6249" spans="1:19" ht="21" customHeight="1" x14ac:dyDescent="0.25">
      <c r="A6249" s="14">
        <f>DATE(2012,12,31)-1307</f>
        <v>39967</v>
      </c>
      <c r="B6249" s="15" t="s">
        <v>1458</v>
      </c>
      <c r="C6249" s="15" t="s">
        <v>31</v>
      </c>
      <c r="D6249" s="16">
        <v>13</v>
      </c>
      <c r="E6249" s="17">
        <v>305.60000000000002</v>
      </c>
      <c r="F6249" s="16">
        <v>0.09</v>
      </c>
      <c r="G6249" s="15" t="s">
        <v>58</v>
      </c>
      <c r="H6249" s="18">
        <v>-445.77</v>
      </c>
      <c r="I6249" s="19">
        <v>20.98</v>
      </c>
      <c r="J6249" s="19">
        <v>45</v>
      </c>
      <c r="K6249" s="19" t="s">
        <v>33</v>
      </c>
      <c r="L6249" s="19" t="s">
        <v>59</v>
      </c>
      <c r="M6249" s="15" t="s">
        <v>2269</v>
      </c>
      <c r="N6249" s="15" t="s">
        <v>36</v>
      </c>
      <c r="O6249" s="15" t="s">
        <v>37</v>
      </c>
      <c r="P6249" s="20" t="s">
        <v>938</v>
      </c>
      <c r="Q6249" s="15" t="s">
        <v>181</v>
      </c>
      <c r="R6249" s="4"/>
      <c r="S6249" s="4"/>
    </row>
    <row r="6250" spans="1:19" ht="21" customHeight="1" x14ac:dyDescent="0.25">
      <c r="A6250" s="14">
        <f>DATE(2012,12,31)-1307</f>
        <v>39967</v>
      </c>
      <c r="B6250" s="15" t="s">
        <v>1778</v>
      </c>
      <c r="C6250" s="15" t="s">
        <v>31</v>
      </c>
      <c r="D6250" s="16">
        <v>8</v>
      </c>
      <c r="E6250" s="17">
        <v>447.04049999999995</v>
      </c>
      <c r="F6250" s="16">
        <v>0.04</v>
      </c>
      <c r="G6250" s="15" t="s">
        <v>32</v>
      </c>
      <c r="H6250" s="18">
        <v>-206.15100000000001</v>
      </c>
      <c r="I6250" s="19">
        <v>65.989999999999995</v>
      </c>
      <c r="J6250" s="19">
        <v>8.99</v>
      </c>
      <c r="K6250" s="19" t="s">
        <v>69</v>
      </c>
      <c r="L6250" s="19" t="s">
        <v>70</v>
      </c>
      <c r="M6250" s="15" t="s">
        <v>2230</v>
      </c>
      <c r="N6250" s="15" t="s">
        <v>64</v>
      </c>
      <c r="O6250" s="15" t="s">
        <v>65</v>
      </c>
      <c r="P6250" s="20" t="s">
        <v>466</v>
      </c>
      <c r="Q6250" s="15" t="s">
        <v>83</v>
      </c>
      <c r="R6250" s="4"/>
      <c r="S6250" s="4"/>
    </row>
    <row r="6251" spans="1:19" ht="21" customHeight="1" x14ac:dyDescent="0.25">
      <c r="A6251" s="14">
        <f>DATE(2012,12,31)-1073</f>
        <v>40201</v>
      </c>
      <c r="B6251" s="15" t="s">
        <v>1778</v>
      </c>
      <c r="C6251" s="15" t="s">
        <v>85</v>
      </c>
      <c r="D6251" s="16">
        <v>47</v>
      </c>
      <c r="E6251" s="17">
        <v>4524.9070000000002</v>
      </c>
      <c r="F6251" s="16">
        <v>7.0000000000000007E-2</v>
      </c>
      <c r="G6251" s="15" t="s">
        <v>32</v>
      </c>
      <c r="H6251" s="18">
        <v>1464.8670000000002</v>
      </c>
      <c r="I6251" s="19">
        <v>115.99</v>
      </c>
      <c r="J6251" s="19">
        <v>2.5</v>
      </c>
      <c r="K6251" s="19" t="s">
        <v>111</v>
      </c>
      <c r="L6251" s="19" t="s">
        <v>258</v>
      </c>
      <c r="M6251" s="15" t="s">
        <v>259</v>
      </c>
      <c r="N6251" s="15" t="s">
        <v>64</v>
      </c>
      <c r="O6251" s="15" t="s">
        <v>65</v>
      </c>
      <c r="P6251" s="20" t="s">
        <v>1039</v>
      </c>
      <c r="Q6251" s="15" t="s">
        <v>83</v>
      </c>
      <c r="R6251" s="4"/>
      <c r="S6251" s="4"/>
    </row>
    <row r="6252" spans="1:19" ht="21" customHeight="1" x14ac:dyDescent="0.25">
      <c r="A6252" s="14">
        <f>DATE(2012,12,31)-1342</f>
        <v>39932</v>
      </c>
      <c r="B6252" s="15" t="s">
        <v>1778</v>
      </c>
      <c r="C6252" s="15" t="s">
        <v>85</v>
      </c>
      <c r="D6252" s="16">
        <v>49</v>
      </c>
      <c r="E6252" s="17">
        <v>7002.08</v>
      </c>
      <c r="F6252" s="16">
        <v>0.1</v>
      </c>
      <c r="G6252" s="15" t="s">
        <v>32</v>
      </c>
      <c r="H6252" s="18">
        <v>-1640.511</v>
      </c>
      <c r="I6252" s="19">
        <v>154.13</v>
      </c>
      <c r="J6252" s="19">
        <v>69</v>
      </c>
      <c r="K6252" s="19" t="s">
        <v>44</v>
      </c>
      <c r="L6252" s="19" t="s">
        <v>89</v>
      </c>
      <c r="M6252" s="15" t="s">
        <v>2293</v>
      </c>
      <c r="N6252" s="15" t="s">
        <v>54</v>
      </c>
      <c r="O6252" s="15" t="s">
        <v>61</v>
      </c>
      <c r="P6252" s="20" t="s">
        <v>613</v>
      </c>
      <c r="Q6252" s="15" t="s">
        <v>39</v>
      </c>
      <c r="R6252" s="4"/>
      <c r="S6252" s="4"/>
    </row>
    <row r="6253" spans="1:19" ht="21" customHeight="1" x14ac:dyDescent="0.25">
      <c r="A6253" s="14">
        <f>DATE(2012,12,31)-446</f>
        <v>40828</v>
      </c>
      <c r="B6253" s="15" t="s">
        <v>1778</v>
      </c>
      <c r="C6253" s="15" t="s">
        <v>43</v>
      </c>
      <c r="D6253" s="16">
        <v>15</v>
      </c>
      <c r="E6253" s="17">
        <v>600.79999999999995</v>
      </c>
      <c r="F6253" s="16">
        <v>0.1</v>
      </c>
      <c r="G6253" s="15" t="s">
        <v>32</v>
      </c>
      <c r="H6253" s="18">
        <v>43.55</v>
      </c>
      <c r="I6253" s="19">
        <v>42.76</v>
      </c>
      <c r="J6253" s="19">
        <v>6.22</v>
      </c>
      <c r="K6253" s="19" t="s">
        <v>124</v>
      </c>
      <c r="L6253" s="19" t="s">
        <v>160</v>
      </c>
      <c r="M6253" s="15" t="s">
        <v>2281</v>
      </c>
      <c r="N6253" s="15" t="s">
        <v>36</v>
      </c>
      <c r="O6253" s="15" t="s">
        <v>37</v>
      </c>
      <c r="P6253" s="20" t="s">
        <v>1577</v>
      </c>
      <c r="Q6253" s="15" t="s">
        <v>83</v>
      </c>
      <c r="R6253" s="4"/>
      <c r="S6253" s="4"/>
    </row>
    <row r="6254" spans="1:19" ht="21" customHeight="1" x14ac:dyDescent="0.25">
      <c r="A6254" s="14">
        <f>DATE(2012,12,31)-146</f>
        <v>41128</v>
      </c>
      <c r="B6254" s="15" t="s">
        <v>163</v>
      </c>
      <c r="C6254" s="15" t="s">
        <v>85</v>
      </c>
      <c r="D6254" s="16">
        <v>27</v>
      </c>
      <c r="E6254" s="17">
        <v>21320.58</v>
      </c>
      <c r="F6254" s="16">
        <v>0.09</v>
      </c>
      <c r="G6254" s="15" t="s">
        <v>58</v>
      </c>
      <c r="H6254" s="18">
        <v>5381.02</v>
      </c>
      <c r="I6254" s="19">
        <v>810.98</v>
      </c>
      <c r="J6254" s="19">
        <v>16.059999999999999</v>
      </c>
      <c r="K6254" s="19" t="s">
        <v>124</v>
      </c>
      <c r="L6254" s="19" t="s">
        <v>164</v>
      </c>
      <c r="M6254" s="15" t="s">
        <v>2286</v>
      </c>
      <c r="N6254" s="15" t="s">
        <v>64</v>
      </c>
      <c r="O6254" s="15" t="s">
        <v>122</v>
      </c>
      <c r="P6254" s="20" t="s">
        <v>1435</v>
      </c>
      <c r="Q6254" s="15" t="s">
        <v>181</v>
      </c>
      <c r="R6254" s="4"/>
      <c r="S6254" s="4"/>
    </row>
    <row r="6255" spans="1:19" ht="21" customHeight="1" x14ac:dyDescent="0.25">
      <c r="A6255" s="14">
        <f>DATE(2012,12,31)-1420</f>
        <v>39854</v>
      </c>
      <c r="B6255" s="15" t="s">
        <v>163</v>
      </c>
      <c r="C6255" s="15" t="s">
        <v>85</v>
      </c>
      <c r="D6255" s="16">
        <v>44</v>
      </c>
      <c r="E6255" s="17">
        <v>951.33</v>
      </c>
      <c r="F6255" s="16">
        <v>0</v>
      </c>
      <c r="G6255" s="15" t="s">
        <v>32</v>
      </c>
      <c r="H6255" s="18">
        <v>-60.66</v>
      </c>
      <c r="I6255" s="19">
        <v>20.28</v>
      </c>
      <c r="J6255" s="19">
        <v>14.39</v>
      </c>
      <c r="K6255" s="19" t="s">
        <v>44</v>
      </c>
      <c r="L6255" s="19" t="s">
        <v>52</v>
      </c>
      <c r="M6255" s="15" t="s">
        <v>2295</v>
      </c>
      <c r="N6255" s="15" t="s">
        <v>54</v>
      </c>
      <c r="O6255" s="15" t="s">
        <v>55</v>
      </c>
      <c r="P6255" s="20" t="s">
        <v>1976</v>
      </c>
      <c r="Q6255" s="15" t="s">
        <v>83</v>
      </c>
      <c r="R6255" s="4"/>
      <c r="S6255" s="4"/>
    </row>
    <row r="6256" spans="1:19" ht="21" customHeight="1" x14ac:dyDescent="0.25">
      <c r="A6256" s="14">
        <f>DATE(2012,12,31)-1203</f>
        <v>40071</v>
      </c>
      <c r="B6256" s="15" t="s">
        <v>163</v>
      </c>
      <c r="C6256" s="15" t="s">
        <v>43</v>
      </c>
      <c r="D6256" s="16">
        <v>25</v>
      </c>
      <c r="E6256" s="17">
        <v>81.760000000000005</v>
      </c>
      <c r="F6256" s="16">
        <v>0.06</v>
      </c>
      <c r="G6256" s="15" t="s">
        <v>32</v>
      </c>
      <c r="H6256" s="18">
        <v>8.5299999999999994</v>
      </c>
      <c r="I6256" s="19">
        <v>3.29</v>
      </c>
      <c r="J6256" s="19">
        <v>1.35</v>
      </c>
      <c r="K6256" s="19" t="s">
        <v>44</v>
      </c>
      <c r="L6256" s="19" t="s">
        <v>52</v>
      </c>
      <c r="M6256" s="15" t="s">
        <v>2295</v>
      </c>
      <c r="N6256" s="15" t="s">
        <v>36</v>
      </c>
      <c r="O6256" s="15" t="s">
        <v>105</v>
      </c>
      <c r="P6256" s="20" t="s">
        <v>2060</v>
      </c>
      <c r="Q6256" s="15" t="s">
        <v>79</v>
      </c>
      <c r="R6256" s="4"/>
      <c r="S6256" s="4"/>
    </row>
    <row r="6257" spans="1:19" ht="21" customHeight="1" x14ac:dyDescent="0.25">
      <c r="A6257" s="14">
        <f>DATE(2012,12,31)-1005</f>
        <v>40269</v>
      </c>
      <c r="B6257" s="15" t="s">
        <v>1987</v>
      </c>
      <c r="C6257" s="15" t="s">
        <v>51</v>
      </c>
      <c r="D6257" s="16">
        <v>22</v>
      </c>
      <c r="E6257" s="17">
        <v>5288.89</v>
      </c>
      <c r="F6257" s="16">
        <v>0</v>
      </c>
      <c r="G6257" s="15" t="s">
        <v>58</v>
      </c>
      <c r="H6257" s="18">
        <v>547.03620000000001</v>
      </c>
      <c r="I6257" s="19">
        <v>227.55</v>
      </c>
      <c r="J6257" s="19">
        <v>32.479999999999997</v>
      </c>
      <c r="K6257" s="19" t="s">
        <v>33</v>
      </c>
      <c r="L6257" s="19" t="s">
        <v>59</v>
      </c>
      <c r="M6257" s="15" t="s">
        <v>2269</v>
      </c>
      <c r="N6257" s="15" t="s">
        <v>54</v>
      </c>
      <c r="O6257" s="15" t="s">
        <v>61</v>
      </c>
      <c r="P6257" s="20" t="s">
        <v>1443</v>
      </c>
      <c r="Q6257" s="15" t="s">
        <v>63</v>
      </c>
      <c r="R6257" s="4"/>
      <c r="S6257" s="4"/>
    </row>
    <row r="6258" spans="1:19" ht="21" customHeight="1" x14ac:dyDescent="0.25">
      <c r="A6258" s="14">
        <f>DATE(2012,12,31)-763</f>
        <v>40511</v>
      </c>
      <c r="B6258" s="15" t="s">
        <v>1629</v>
      </c>
      <c r="C6258" s="15" t="s">
        <v>51</v>
      </c>
      <c r="D6258" s="16">
        <v>19</v>
      </c>
      <c r="E6258" s="17">
        <v>113.2</v>
      </c>
      <c r="F6258" s="16">
        <v>0.1</v>
      </c>
      <c r="G6258" s="15" t="s">
        <v>32</v>
      </c>
      <c r="H6258" s="18">
        <v>24.83</v>
      </c>
      <c r="I6258" s="19">
        <v>6.08</v>
      </c>
      <c r="J6258" s="19">
        <v>0.91</v>
      </c>
      <c r="K6258" s="19" t="s">
        <v>69</v>
      </c>
      <c r="L6258" s="19" t="s">
        <v>70</v>
      </c>
      <c r="M6258" s="15" t="s">
        <v>2230</v>
      </c>
      <c r="N6258" s="15" t="s">
        <v>36</v>
      </c>
      <c r="O6258" s="15" t="s">
        <v>77</v>
      </c>
      <c r="P6258" s="20" t="s">
        <v>1803</v>
      </c>
      <c r="Q6258" s="15" t="s">
        <v>79</v>
      </c>
      <c r="R6258" s="4"/>
      <c r="S6258" s="4"/>
    </row>
    <row r="6259" spans="1:19" ht="21" customHeight="1" x14ac:dyDescent="0.25">
      <c r="A6259" s="14">
        <f>DATE(2012,12,31)-266</f>
        <v>41008</v>
      </c>
      <c r="B6259" s="15" t="s">
        <v>1629</v>
      </c>
      <c r="C6259" s="15" t="s">
        <v>85</v>
      </c>
      <c r="D6259" s="16">
        <v>27</v>
      </c>
      <c r="E6259" s="17">
        <v>129.06</v>
      </c>
      <c r="F6259" s="16">
        <v>0.1</v>
      </c>
      <c r="G6259" s="15" t="s">
        <v>32</v>
      </c>
      <c r="H6259" s="18">
        <v>-75.129499999999993</v>
      </c>
      <c r="I6259" s="19">
        <v>4.91</v>
      </c>
      <c r="J6259" s="19">
        <v>4.97</v>
      </c>
      <c r="K6259" s="19" t="s">
        <v>44</v>
      </c>
      <c r="L6259" s="19" t="s">
        <v>89</v>
      </c>
      <c r="M6259" s="15" t="s">
        <v>2293</v>
      </c>
      <c r="N6259" s="15" t="s">
        <v>36</v>
      </c>
      <c r="O6259" s="15" t="s">
        <v>170</v>
      </c>
      <c r="P6259" s="20" t="s">
        <v>899</v>
      </c>
      <c r="Q6259" s="15" t="s">
        <v>83</v>
      </c>
      <c r="R6259" s="4"/>
      <c r="S6259" s="4"/>
    </row>
    <row r="6260" spans="1:19" ht="21" customHeight="1" x14ac:dyDescent="0.25">
      <c r="A6260" s="14">
        <f>DATE(2012,12,31)-266</f>
        <v>41008</v>
      </c>
      <c r="B6260" s="15" t="s">
        <v>1629</v>
      </c>
      <c r="C6260" s="15" t="s">
        <v>85</v>
      </c>
      <c r="D6260" s="16">
        <v>43</v>
      </c>
      <c r="E6260" s="17">
        <v>1236.6400000000001</v>
      </c>
      <c r="F6260" s="16">
        <v>0.01</v>
      </c>
      <c r="G6260" s="15" t="s">
        <v>32</v>
      </c>
      <c r="H6260" s="18">
        <v>518.80999999999995</v>
      </c>
      <c r="I6260" s="19">
        <v>28.48</v>
      </c>
      <c r="J6260" s="19">
        <v>1.99</v>
      </c>
      <c r="K6260" s="19" t="s">
        <v>124</v>
      </c>
      <c r="L6260" s="19" t="s">
        <v>160</v>
      </c>
      <c r="M6260" s="15" t="s">
        <v>2281</v>
      </c>
      <c r="N6260" s="15" t="s">
        <v>64</v>
      </c>
      <c r="O6260" s="15" t="s">
        <v>72</v>
      </c>
      <c r="P6260" s="20" t="s">
        <v>469</v>
      </c>
      <c r="Q6260" s="15" t="s">
        <v>49</v>
      </c>
      <c r="R6260" s="4"/>
      <c r="S6260" s="4"/>
    </row>
    <row r="6261" spans="1:19" ht="21" customHeight="1" x14ac:dyDescent="0.25">
      <c r="A6261" s="14">
        <f>DATE(2012,12,31)-1426</f>
        <v>39848</v>
      </c>
      <c r="B6261" s="15" t="s">
        <v>1295</v>
      </c>
      <c r="C6261" s="15" t="s">
        <v>31</v>
      </c>
      <c r="D6261" s="16">
        <v>50</v>
      </c>
      <c r="E6261" s="17">
        <v>1441.57</v>
      </c>
      <c r="F6261" s="16">
        <v>7.0000000000000007E-2</v>
      </c>
      <c r="G6261" s="15" t="s">
        <v>101</v>
      </c>
      <c r="H6261" s="18">
        <v>475.26</v>
      </c>
      <c r="I6261" s="19">
        <v>29.89</v>
      </c>
      <c r="J6261" s="19">
        <v>1.99</v>
      </c>
      <c r="K6261" s="19" t="s">
        <v>124</v>
      </c>
      <c r="L6261" s="19" t="s">
        <v>160</v>
      </c>
      <c r="M6261" s="15" t="s">
        <v>2281</v>
      </c>
      <c r="N6261" s="15" t="s">
        <v>64</v>
      </c>
      <c r="O6261" s="15" t="s">
        <v>72</v>
      </c>
      <c r="P6261" s="20" t="s">
        <v>816</v>
      </c>
      <c r="Q6261" s="15" t="s">
        <v>49</v>
      </c>
      <c r="R6261" s="4"/>
      <c r="S6261" s="4"/>
    </row>
    <row r="6262" spans="1:19" ht="21" customHeight="1" x14ac:dyDescent="0.25">
      <c r="A6262" s="14">
        <f>DATE(2012,12,31)-1426</f>
        <v>39848</v>
      </c>
      <c r="B6262" s="15" t="s">
        <v>527</v>
      </c>
      <c r="C6262" s="15" t="s">
        <v>31</v>
      </c>
      <c r="D6262" s="16">
        <v>20</v>
      </c>
      <c r="E6262" s="17">
        <v>173.09</v>
      </c>
      <c r="F6262" s="16">
        <v>0.03</v>
      </c>
      <c r="G6262" s="15" t="s">
        <v>32</v>
      </c>
      <c r="H6262" s="18">
        <v>-6.71</v>
      </c>
      <c r="I6262" s="19">
        <v>8.34</v>
      </c>
      <c r="J6262" s="19">
        <v>4.82</v>
      </c>
      <c r="K6262" s="19" t="s">
        <v>124</v>
      </c>
      <c r="L6262" s="19" t="s">
        <v>319</v>
      </c>
      <c r="M6262" s="15" t="s">
        <v>2300</v>
      </c>
      <c r="N6262" s="15" t="s">
        <v>36</v>
      </c>
      <c r="O6262" s="15" t="s">
        <v>117</v>
      </c>
      <c r="P6262" s="20" t="s">
        <v>1923</v>
      </c>
      <c r="Q6262" s="15" t="s">
        <v>83</v>
      </c>
      <c r="R6262" s="4"/>
      <c r="S6262" s="4"/>
    </row>
    <row r="6263" spans="1:19" ht="21" customHeight="1" x14ac:dyDescent="0.25">
      <c r="A6263" s="14">
        <f>DATE(2012,12,31)-759</f>
        <v>40515</v>
      </c>
      <c r="B6263" s="15" t="s">
        <v>378</v>
      </c>
      <c r="C6263" s="15" t="s">
        <v>43</v>
      </c>
      <c r="D6263" s="16">
        <v>32</v>
      </c>
      <c r="E6263" s="17">
        <v>3234.1</v>
      </c>
      <c r="F6263" s="16">
        <v>0.03</v>
      </c>
      <c r="G6263" s="15" t="s">
        <v>32</v>
      </c>
      <c r="H6263" s="18">
        <v>2033.5</v>
      </c>
      <c r="I6263" s="19">
        <v>99.23</v>
      </c>
      <c r="J6263" s="19">
        <v>8.99</v>
      </c>
      <c r="K6263" s="19" t="s">
        <v>33</v>
      </c>
      <c r="L6263" s="19" t="s">
        <v>59</v>
      </c>
      <c r="M6263" s="15" t="s">
        <v>2269</v>
      </c>
      <c r="N6263" s="15" t="s">
        <v>54</v>
      </c>
      <c r="O6263" s="15" t="s">
        <v>55</v>
      </c>
      <c r="P6263" s="20" t="s">
        <v>275</v>
      </c>
      <c r="Q6263" s="15" t="s">
        <v>49</v>
      </c>
      <c r="R6263" s="4"/>
      <c r="S6263" s="4"/>
    </row>
    <row r="6264" spans="1:19" ht="21" customHeight="1" x14ac:dyDescent="0.25">
      <c r="A6264" s="14">
        <f>DATE(2012,12,31)-1451</f>
        <v>39823</v>
      </c>
      <c r="B6264" s="15" t="s">
        <v>1137</v>
      </c>
      <c r="C6264" s="15" t="s">
        <v>43</v>
      </c>
      <c r="D6264" s="16">
        <v>16</v>
      </c>
      <c r="E6264" s="17">
        <v>112.81</v>
      </c>
      <c r="F6264" s="16">
        <v>0.02</v>
      </c>
      <c r="G6264" s="15" t="s">
        <v>32</v>
      </c>
      <c r="H6264" s="18">
        <v>-85.23</v>
      </c>
      <c r="I6264" s="19">
        <v>6.48</v>
      </c>
      <c r="J6264" s="19">
        <v>9.17</v>
      </c>
      <c r="K6264" s="19" t="s">
        <v>33</v>
      </c>
      <c r="L6264" s="19" t="s">
        <v>145</v>
      </c>
      <c r="M6264" s="15" t="s">
        <v>2248</v>
      </c>
      <c r="N6264" s="15" t="s">
        <v>36</v>
      </c>
      <c r="O6264" s="15" t="s">
        <v>117</v>
      </c>
      <c r="P6264" s="20" t="s">
        <v>1857</v>
      </c>
      <c r="Q6264" s="15" t="s">
        <v>83</v>
      </c>
      <c r="R6264" s="4"/>
      <c r="S6264" s="4"/>
    </row>
    <row r="6265" spans="1:19" ht="21" customHeight="1" x14ac:dyDescent="0.25">
      <c r="A6265" s="14">
        <f>DATE(2012,12,31)-262</f>
        <v>41012</v>
      </c>
      <c r="B6265" s="15" t="s">
        <v>470</v>
      </c>
      <c r="C6265" s="15" t="s">
        <v>85</v>
      </c>
      <c r="D6265" s="16">
        <v>1</v>
      </c>
      <c r="E6265" s="17">
        <v>15.72</v>
      </c>
      <c r="F6265" s="16">
        <v>0</v>
      </c>
      <c r="G6265" s="15" t="s">
        <v>32</v>
      </c>
      <c r="H6265" s="18">
        <v>-6.1</v>
      </c>
      <c r="I6265" s="19">
        <v>10.89</v>
      </c>
      <c r="J6265" s="19">
        <v>4.5</v>
      </c>
      <c r="K6265" s="19" t="s">
        <v>33</v>
      </c>
      <c r="L6265" s="19" t="s">
        <v>145</v>
      </c>
      <c r="M6265" s="15" t="s">
        <v>2248</v>
      </c>
      <c r="N6265" s="15" t="s">
        <v>36</v>
      </c>
      <c r="O6265" s="15" t="s">
        <v>176</v>
      </c>
      <c r="P6265" s="20" t="s">
        <v>1231</v>
      </c>
      <c r="Q6265" s="15" t="s">
        <v>83</v>
      </c>
      <c r="R6265" s="4"/>
      <c r="S6265" s="4"/>
    </row>
    <row r="6266" spans="1:19" ht="21" customHeight="1" x14ac:dyDescent="0.25">
      <c r="A6266" s="14">
        <f>DATE(2012,12,31)-262</f>
        <v>41012</v>
      </c>
      <c r="B6266" s="15" t="s">
        <v>1846</v>
      </c>
      <c r="C6266" s="15" t="s">
        <v>85</v>
      </c>
      <c r="D6266" s="16">
        <v>36</v>
      </c>
      <c r="E6266" s="17">
        <v>313.83</v>
      </c>
      <c r="F6266" s="16">
        <v>0.08</v>
      </c>
      <c r="G6266" s="15" t="s">
        <v>32</v>
      </c>
      <c r="H6266" s="18">
        <v>56.78</v>
      </c>
      <c r="I6266" s="19">
        <v>8.69</v>
      </c>
      <c r="J6266" s="19">
        <v>2.99</v>
      </c>
      <c r="K6266" s="19" t="s">
        <v>33</v>
      </c>
      <c r="L6266" s="19" t="s">
        <v>145</v>
      </c>
      <c r="M6266" s="15" t="s">
        <v>2248</v>
      </c>
      <c r="N6266" s="15" t="s">
        <v>36</v>
      </c>
      <c r="O6266" s="15" t="s">
        <v>170</v>
      </c>
      <c r="P6266" s="20" t="s">
        <v>866</v>
      </c>
      <c r="Q6266" s="15" t="s">
        <v>83</v>
      </c>
      <c r="R6266" s="4"/>
      <c r="S6266" s="4"/>
    </row>
    <row r="6267" spans="1:19" ht="21" customHeight="1" x14ac:dyDescent="0.25">
      <c r="A6267" s="14">
        <f>DATE(2012,12,31)-262</f>
        <v>41012</v>
      </c>
      <c r="B6267" s="15" t="s">
        <v>1746</v>
      </c>
      <c r="C6267" s="15" t="s">
        <v>85</v>
      </c>
      <c r="D6267" s="16">
        <v>11</v>
      </c>
      <c r="E6267" s="17">
        <v>201.59449999999998</v>
      </c>
      <c r="F6267" s="16">
        <v>0.04</v>
      </c>
      <c r="G6267" s="15" t="s">
        <v>32</v>
      </c>
      <c r="H6267" s="18">
        <v>32.31</v>
      </c>
      <c r="I6267" s="19">
        <v>20.99</v>
      </c>
      <c r="J6267" s="19">
        <v>0.99</v>
      </c>
      <c r="K6267" s="19" t="s">
        <v>33</v>
      </c>
      <c r="L6267" s="19" t="s">
        <v>93</v>
      </c>
      <c r="M6267" s="15" t="s">
        <v>94</v>
      </c>
      <c r="N6267" s="15" t="s">
        <v>64</v>
      </c>
      <c r="O6267" s="15" t="s">
        <v>65</v>
      </c>
      <c r="P6267" s="20" t="s">
        <v>372</v>
      </c>
      <c r="Q6267" s="15" t="s">
        <v>79</v>
      </c>
      <c r="R6267" s="4"/>
      <c r="S6267" s="4"/>
    </row>
    <row r="6268" spans="1:19" ht="21" customHeight="1" x14ac:dyDescent="0.25">
      <c r="A6268" s="14">
        <f>DATE(2012,12,31)-155</f>
        <v>41119</v>
      </c>
      <c r="B6268" s="15" t="s">
        <v>108</v>
      </c>
      <c r="C6268" s="15" t="s">
        <v>85</v>
      </c>
      <c r="D6268" s="16">
        <v>39</v>
      </c>
      <c r="E6268" s="17">
        <v>248.64</v>
      </c>
      <c r="F6268" s="16">
        <v>0.08</v>
      </c>
      <c r="G6268" s="15" t="s">
        <v>32</v>
      </c>
      <c r="H6268" s="18">
        <v>-69.27</v>
      </c>
      <c r="I6268" s="19">
        <v>6.28</v>
      </c>
      <c r="J6268" s="19">
        <v>5.29</v>
      </c>
      <c r="K6268" s="19" t="s">
        <v>33</v>
      </c>
      <c r="L6268" s="19" t="s">
        <v>59</v>
      </c>
      <c r="M6268" s="15" t="s">
        <v>2269</v>
      </c>
      <c r="N6268" s="15" t="s">
        <v>54</v>
      </c>
      <c r="O6268" s="15" t="s">
        <v>55</v>
      </c>
      <c r="P6268" s="20" t="s">
        <v>1476</v>
      </c>
      <c r="Q6268" s="15" t="s">
        <v>83</v>
      </c>
      <c r="R6268" s="4"/>
      <c r="S6268" s="4"/>
    </row>
    <row r="6269" spans="1:19" ht="21" customHeight="1" x14ac:dyDescent="0.25">
      <c r="A6269" s="14">
        <f>DATE(2012,12,31)-1358</f>
        <v>39916</v>
      </c>
      <c r="B6269" s="15" t="s">
        <v>1839</v>
      </c>
      <c r="C6269" s="15" t="s">
        <v>85</v>
      </c>
      <c r="D6269" s="16">
        <v>28</v>
      </c>
      <c r="E6269" s="17">
        <v>951.06</v>
      </c>
      <c r="F6269" s="16">
        <v>0.02</v>
      </c>
      <c r="G6269" s="15" t="s">
        <v>32</v>
      </c>
      <c r="H6269" s="18">
        <v>331.27</v>
      </c>
      <c r="I6269" s="19">
        <v>33.979999999999997</v>
      </c>
      <c r="J6269" s="19">
        <v>1.99</v>
      </c>
      <c r="K6269" s="19" t="s">
        <v>33</v>
      </c>
      <c r="L6269" s="19" t="s">
        <v>59</v>
      </c>
      <c r="M6269" s="15" t="s">
        <v>2269</v>
      </c>
      <c r="N6269" s="15" t="s">
        <v>64</v>
      </c>
      <c r="O6269" s="15" t="s">
        <v>72</v>
      </c>
      <c r="P6269" s="20" t="s">
        <v>2003</v>
      </c>
      <c r="Q6269" s="15" t="s">
        <v>49</v>
      </c>
      <c r="R6269" s="4"/>
      <c r="S6269" s="4"/>
    </row>
    <row r="6270" spans="1:19" ht="21" customHeight="1" x14ac:dyDescent="0.25">
      <c r="A6270" s="14">
        <f>DATE(2012,12,31)-814</f>
        <v>40460</v>
      </c>
      <c r="B6270" s="15" t="s">
        <v>1839</v>
      </c>
      <c r="C6270" s="15" t="s">
        <v>85</v>
      </c>
      <c r="D6270" s="16">
        <v>14</v>
      </c>
      <c r="E6270" s="17">
        <v>243.23</v>
      </c>
      <c r="F6270" s="16">
        <v>7.0000000000000007E-2</v>
      </c>
      <c r="G6270" s="15" t="s">
        <v>32</v>
      </c>
      <c r="H6270" s="18">
        <v>35.33</v>
      </c>
      <c r="I6270" s="19">
        <v>17.48</v>
      </c>
      <c r="J6270" s="19">
        <v>1.99</v>
      </c>
      <c r="K6270" s="19" t="s">
        <v>33</v>
      </c>
      <c r="L6270" s="19" t="s">
        <v>34</v>
      </c>
      <c r="M6270" s="15" t="s">
        <v>2273</v>
      </c>
      <c r="N6270" s="15" t="s">
        <v>64</v>
      </c>
      <c r="O6270" s="15" t="s">
        <v>72</v>
      </c>
      <c r="P6270" s="20" t="s">
        <v>382</v>
      </c>
      <c r="Q6270" s="15" t="s">
        <v>49</v>
      </c>
      <c r="R6270" s="4"/>
      <c r="S6270" s="4"/>
    </row>
    <row r="6271" spans="1:19" ht="21" customHeight="1" x14ac:dyDescent="0.25">
      <c r="A6271" s="14">
        <f>DATE(2012,12,31)-814</f>
        <v>40460</v>
      </c>
      <c r="B6271" s="15" t="s">
        <v>944</v>
      </c>
      <c r="C6271" s="15" t="s">
        <v>85</v>
      </c>
      <c r="D6271" s="16">
        <v>24</v>
      </c>
      <c r="E6271" s="17">
        <v>1326.51</v>
      </c>
      <c r="F6271" s="16">
        <v>0.03</v>
      </c>
      <c r="G6271" s="15" t="s">
        <v>32</v>
      </c>
      <c r="H6271" s="18">
        <v>58.166999999999994</v>
      </c>
      <c r="I6271" s="19">
        <v>65.989999999999995</v>
      </c>
      <c r="J6271" s="19">
        <v>8.99</v>
      </c>
      <c r="K6271" s="19" t="s">
        <v>33</v>
      </c>
      <c r="L6271" s="19" t="s">
        <v>59</v>
      </c>
      <c r="M6271" s="15" t="s">
        <v>2269</v>
      </c>
      <c r="N6271" s="15" t="s">
        <v>64</v>
      </c>
      <c r="O6271" s="15" t="s">
        <v>65</v>
      </c>
      <c r="P6271" s="20" t="s">
        <v>825</v>
      </c>
      <c r="Q6271" s="15" t="s">
        <v>83</v>
      </c>
      <c r="R6271" s="4"/>
      <c r="S6271" s="4"/>
    </row>
    <row r="6272" spans="1:19" ht="21" customHeight="1" x14ac:dyDescent="0.25">
      <c r="A6272" s="14">
        <f>DATE(2012,12,31)-477</f>
        <v>40797</v>
      </c>
      <c r="B6272" s="15" t="s">
        <v>944</v>
      </c>
      <c r="C6272" s="15" t="s">
        <v>31</v>
      </c>
      <c r="D6272" s="16">
        <v>4</v>
      </c>
      <c r="E6272" s="17">
        <v>12.49</v>
      </c>
      <c r="F6272" s="16">
        <v>0.08</v>
      </c>
      <c r="G6272" s="15" t="s">
        <v>32</v>
      </c>
      <c r="H6272" s="18">
        <v>-13.500999999999999</v>
      </c>
      <c r="I6272" s="19">
        <v>1.98</v>
      </c>
      <c r="J6272" s="19">
        <v>4.7699999999999996</v>
      </c>
      <c r="K6272" s="19" t="s">
        <v>33</v>
      </c>
      <c r="L6272" s="19" t="s">
        <v>145</v>
      </c>
      <c r="M6272" s="15" t="s">
        <v>2248</v>
      </c>
      <c r="N6272" s="15" t="s">
        <v>36</v>
      </c>
      <c r="O6272" s="15" t="s">
        <v>170</v>
      </c>
      <c r="P6272" s="20" t="s">
        <v>514</v>
      </c>
      <c r="Q6272" s="15" t="s">
        <v>83</v>
      </c>
      <c r="R6272" s="4"/>
      <c r="S6272" s="4"/>
    </row>
    <row r="6273" spans="1:19" ht="21" customHeight="1" x14ac:dyDescent="0.25">
      <c r="A6273" s="14">
        <f>DATE(2012,12,31)-477</f>
        <v>40797</v>
      </c>
      <c r="B6273" s="15" t="s">
        <v>459</v>
      </c>
      <c r="C6273" s="15" t="s">
        <v>85</v>
      </c>
      <c r="D6273" s="16">
        <v>4</v>
      </c>
      <c r="E6273" s="17">
        <v>103.9</v>
      </c>
      <c r="F6273" s="16">
        <v>7.0000000000000007E-2</v>
      </c>
      <c r="G6273" s="15" t="s">
        <v>101</v>
      </c>
      <c r="H6273" s="18">
        <v>-19.260000000000002</v>
      </c>
      <c r="I6273" s="19">
        <v>22.98</v>
      </c>
      <c r="J6273" s="19">
        <v>7.58</v>
      </c>
      <c r="K6273" s="19" t="s">
        <v>33</v>
      </c>
      <c r="L6273" s="19" t="s">
        <v>145</v>
      </c>
      <c r="M6273" s="15" t="s">
        <v>2248</v>
      </c>
      <c r="N6273" s="15" t="s">
        <v>54</v>
      </c>
      <c r="O6273" s="15" t="s">
        <v>55</v>
      </c>
      <c r="P6273" s="20" t="s">
        <v>1406</v>
      </c>
      <c r="Q6273" s="15" t="s">
        <v>83</v>
      </c>
      <c r="R6273" s="4"/>
      <c r="S6273" s="4"/>
    </row>
    <row r="6274" spans="1:19" ht="21" customHeight="1" x14ac:dyDescent="0.25">
      <c r="A6274" s="14">
        <f>DATE(2012,12,31)-388</f>
        <v>40886</v>
      </c>
      <c r="B6274" s="15" t="s">
        <v>1622</v>
      </c>
      <c r="C6274" s="15" t="s">
        <v>43</v>
      </c>
      <c r="D6274" s="16">
        <v>50</v>
      </c>
      <c r="E6274" s="17">
        <v>330.27</v>
      </c>
      <c r="F6274" s="16">
        <v>7.0000000000000007E-2</v>
      </c>
      <c r="G6274" s="15" t="s">
        <v>32</v>
      </c>
      <c r="H6274" s="18">
        <v>-195.57</v>
      </c>
      <c r="I6274" s="19">
        <v>6.48</v>
      </c>
      <c r="J6274" s="19">
        <v>7.86</v>
      </c>
      <c r="K6274" s="19" t="s">
        <v>33</v>
      </c>
      <c r="L6274" s="19" t="s">
        <v>145</v>
      </c>
      <c r="M6274" s="15" t="s">
        <v>2248</v>
      </c>
      <c r="N6274" s="15" t="s">
        <v>36</v>
      </c>
      <c r="O6274" s="15" t="s">
        <v>117</v>
      </c>
      <c r="P6274" s="20" t="s">
        <v>1517</v>
      </c>
      <c r="Q6274" s="15" t="s">
        <v>83</v>
      </c>
      <c r="R6274" s="4"/>
      <c r="S6274" s="4"/>
    </row>
    <row r="6275" spans="1:19" ht="21" customHeight="1" x14ac:dyDescent="0.25">
      <c r="A6275" s="14">
        <f>DATE(2012,12,31)-964</f>
        <v>40310</v>
      </c>
      <c r="B6275" s="15" t="s">
        <v>318</v>
      </c>
      <c r="C6275" s="15" t="s">
        <v>85</v>
      </c>
      <c r="D6275" s="16">
        <v>25</v>
      </c>
      <c r="E6275" s="17">
        <v>1321.55</v>
      </c>
      <c r="F6275" s="16">
        <v>0.1</v>
      </c>
      <c r="G6275" s="15" t="s">
        <v>32</v>
      </c>
      <c r="H6275" s="18">
        <v>448.24</v>
      </c>
      <c r="I6275" s="19">
        <v>54.96</v>
      </c>
      <c r="J6275" s="19">
        <v>10.75</v>
      </c>
      <c r="K6275" s="19" t="s">
        <v>33</v>
      </c>
      <c r="L6275" s="19" t="s">
        <v>59</v>
      </c>
      <c r="M6275" s="15" t="s">
        <v>2269</v>
      </c>
      <c r="N6275" s="15" t="s">
        <v>36</v>
      </c>
      <c r="O6275" s="15" t="s">
        <v>117</v>
      </c>
      <c r="P6275" s="20" t="s">
        <v>250</v>
      </c>
      <c r="Q6275" s="15" t="s">
        <v>83</v>
      </c>
      <c r="R6275" s="4"/>
      <c r="S6275" s="4"/>
    </row>
    <row r="6276" spans="1:19" ht="21" customHeight="1" x14ac:dyDescent="0.25">
      <c r="A6276" s="14">
        <f>DATE(2012,12,31)-175</f>
        <v>41099</v>
      </c>
      <c r="B6276" s="15" t="s">
        <v>318</v>
      </c>
      <c r="C6276" s="15" t="s">
        <v>85</v>
      </c>
      <c r="D6276" s="16">
        <v>36</v>
      </c>
      <c r="E6276" s="17">
        <v>198.1</v>
      </c>
      <c r="F6276" s="16">
        <v>0.09</v>
      </c>
      <c r="G6276" s="15" t="s">
        <v>32</v>
      </c>
      <c r="H6276" s="18">
        <v>-66.930000000000007</v>
      </c>
      <c r="I6276" s="19">
        <v>5.78</v>
      </c>
      <c r="J6276" s="19">
        <v>4.96</v>
      </c>
      <c r="K6276" s="19" t="s">
        <v>33</v>
      </c>
      <c r="L6276" s="19" t="s">
        <v>59</v>
      </c>
      <c r="M6276" s="15" t="s">
        <v>2269</v>
      </c>
      <c r="N6276" s="15" t="s">
        <v>36</v>
      </c>
      <c r="O6276" s="15" t="s">
        <v>117</v>
      </c>
      <c r="P6276" s="20" t="s">
        <v>193</v>
      </c>
      <c r="Q6276" s="15" t="s">
        <v>83</v>
      </c>
      <c r="R6276" s="4"/>
      <c r="S6276" s="4"/>
    </row>
    <row r="6277" spans="1:19" ht="21" customHeight="1" x14ac:dyDescent="0.25">
      <c r="A6277" s="14">
        <f>DATE(2012,12,31)-1207</f>
        <v>40067</v>
      </c>
      <c r="B6277" s="15" t="s">
        <v>318</v>
      </c>
      <c r="C6277" s="15" t="s">
        <v>85</v>
      </c>
      <c r="D6277" s="16">
        <v>4</v>
      </c>
      <c r="E6277" s="17">
        <v>28.15</v>
      </c>
      <c r="F6277" s="16">
        <v>0.09</v>
      </c>
      <c r="G6277" s="15" t="s">
        <v>32</v>
      </c>
      <c r="H6277" s="18">
        <v>-10.09</v>
      </c>
      <c r="I6277" s="19">
        <v>6.28</v>
      </c>
      <c r="J6277" s="19">
        <v>5.29</v>
      </c>
      <c r="K6277" s="19" t="s">
        <v>33</v>
      </c>
      <c r="L6277" s="19" t="s">
        <v>59</v>
      </c>
      <c r="M6277" s="15" t="s">
        <v>2269</v>
      </c>
      <c r="N6277" s="15" t="s">
        <v>54</v>
      </c>
      <c r="O6277" s="15" t="s">
        <v>55</v>
      </c>
      <c r="P6277" s="20" t="s">
        <v>1101</v>
      </c>
      <c r="Q6277" s="15" t="s">
        <v>83</v>
      </c>
      <c r="R6277" s="4"/>
      <c r="S6277" s="4"/>
    </row>
    <row r="6278" spans="1:19" ht="21" customHeight="1" x14ac:dyDescent="0.25">
      <c r="A6278" s="14">
        <f>DATE(2012,12,31)-1207</f>
        <v>40067</v>
      </c>
      <c r="B6278" s="15" t="s">
        <v>502</v>
      </c>
      <c r="C6278" s="15" t="s">
        <v>85</v>
      </c>
      <c r="D6278" s="16">
        <v>37</v>
      </c>
      <c r="E6278" s="17">
        <v>558.77</v>
      </c>
      <c r="F6278" s="16">
        <v>0.03</v>
      </c>
      <c r="G6278" s="15" t="s">
        <v>32</v>
      </c>
      <c r="H6278" s="18">
        <v>-92.87</v>
      </c>
      <c r="I6278" s="19">
        <v>15.14</v>
      </c>
      <c r="J6278" s="19">
        <v>4.53</v>
      </c>
      <c r="K6278" s="19" t="s">
        <v>33</v>
      </c>
      <c r="L6278" s="19" t="s">
        <v>145</v>
      </c>
      <c r="M6278" s="15" t="s">
        <v>2248</v>
      </c>
      <c r="N6278" s="15" t="s">
        <v>36</v>
      </c>
      <c r="O6278" s="15" t="s">
        <v>37</v>
      </c>
      <c r="P6278" s="20" t="s">
        <v>525</v>
      </c>
      <c r="Q6278" s="15" t="s">
        <v>83</v>
      </c>
      <c r="R6278" s="4"/>
      <c r="S6278" s="4"/>
    </row>
    <row r="6279" spans="1:19" ht="21" customHeight="1" x14ac:dyDescent="0.25">
      <c r="A6279" s="14">
        <f>DATE(2012,12,31)-551</f>
        <v>40723</v>
      </c>
      <c r="B6279" s="15" t="s">
        <v>1078</v>
      </c>
      <c r="C6279" s="15" t="s">
        <v>85</v>
      </c>
      <c r="D6279" s="16">
        <v>17</v>
      </c>
      <c r="E6279" s="17">
        <v>57.96</v>
      </c>
      <c r="F6279" s="16">
        <v>0.06</v>
      </c>
      <c r="G6279" s="15" t="s">
        <v>32</v>
      </c>
      <c r="H6279" s="18">
        <v>-47.32</v>
      </c>
      <c r="I6279" s="19">
        <v>3.28</v>
      </c>
      <c r="J6279" s="19">
        <v>3.97</v>
      </c>
      <c r="K6279" s="19" t="s">
        <v>97</v>
      </c>
      <c r="L6279" s="19" t="s">
        <v>195</v>
      </c>
      <c r="M6279" s="15" t="s">
        <v>2138</v>
      </c>
      <c r="N6279" s="15" t="s">
        <v>36</v>
      </c>
      <c r="O6279" s="15" t="s">
        <v>77</v>
      </c>
      <c r="P6279" s="20" t="s">
        <v>997</v>
      </c>
      <c r="Q6279" s="15" t="s">
        <v>79</v>
      </c>
      <c r="R6279" s="4"/>
      <c r="S6279" s="4"/>
    </row>
    <row r="6280" spans="1:19" ht="21" customHeight="1" x14ac:dyDescent="0.25">
      <c r="A6280" s="14">
        <f>DATE(2012,12,31)-1348</f>
        <v>39926</v>
      </c>
      <c r="B6280" s="15" t="s">
        <v>1021</v>
      </c>
      <c r="C6280" s="15" t="s">
        <v>85</v>
      </c>
      <c r="D6280" s="16">
        <v>5</v>
      </c>
      <c r="E6280" s="17">
        <v>32.5</v>
      </c>
      <c r="F6280" s="16">
        <v>0.03</v>
      </c>
      <c r="G6280" s="15" t="s">
        <v>32</v>
      </c>
      <c r="H6280" s="18">
        <v>-16.670000000000002</v>
      </c>
      <c r="I6280" s="19">
        <v>5.28</v>
      </c>
      <c r="J6280" s="19">
        <v>5.61</v>
      </c>
      <c r="K6280" s="19" t="s">
        <v>69</v>
      </c>
      <c r="L6280" s="19" t="s">
        <v>75</v>
      </c>
      <c r="M6280" s="15" t="s">
        <v>2284</v>
      </c>
      <c r="N6280" s="15" t="s">
        <v>36</v>
      </c>
      <c r="O6280" s="15" t="s">
        <v>117</v>
      </c>
      <c r="P6280" s="20" t="s">
        <v>1262</v>
      </c>
      <c r="Q6280" s="15" t="s">
        <v>83</v>
      </c>
      <c r="R6280" s="4"/>
      <c r="S6280" s="4"/>
    </row>
    <row r="6281" spans="1:19" ht="21" customHeight="1" x14ac:dyDescent="0.25">
      <c r="A6281" s="14">
        <f>DATE(2012,12,31)-957</f>
        <v>40317</v>
      </c>
      <c r="B6281" s="15" t="s">
        <v>1021</v>
      </c>
      <c r="C6281" s="15" t="s">
        <v>51</v>
      </c>
      <c r="D6281" s="16">
        <v>48</v>
      </c>
      <c r="E6281" s="17">
        <v>224.58</v>
      </c>
      <c r="F6281" s="16">
        <v>0.03</v>
      </c>
      <c r="G6281" s="15" t="s">
        <v>32</v>
      </c>
      <c r="H6281" s="18">
        <v>-144.762</v>
      </c>
      <c r="I6281" s="19">
        <v>4.57</v>
      </c>
      <c r="J6281" s="19">
        <v>5.42</v>
      </c>
      <c r="K6281" s="19" t="s">
        <v>69</v>
      </c>
      <c r="L6281" s="19" t="s">
        <v>70</v>
      </c>
      <c r="M6281" s="15" t="s">
        <v>2230</v>
      </c>
      <c r="N6281" s="15" t="s">
        <v>36</v>
      </c>
      <c r="O6281" s="15" t="s">
        <v>170</v>
      </c>
      <c r="P6281" s="20" t="s">
        <v>2029</v>
      </c>
      <c r="Q6281" s="15" t="s">
        <v>83</v>
      </c>
      <c r="R6281" s="4"/>
      <c r="S6281" s="4"/>
    </row>
    <row r="6282" spans="1:19" ht="21" customHeight="1" x14ac:dyDescent="0.25">
      <c r="A6282" s="14">
        <f>DATE(2012,12,31)-957</f>
        <v>40317</v>
      </c>
      <c r="B6282" s="15" t="s">
        <v>1037</v>
      </c>
      <c r="C6282" s="15" t="s">
        <v>51</v>
      </c>
      <c r="D6282" s="16">
        <v>34</v>
      </c>
      <c r="E6282" s="17">
        <v>365.77</v>
      </c>
      <c r="F6282" s="16">
        <v>7.0000000000000007E-2</v>
      </c>
      <c r="G6282" s="15" t="s">
        <v>32</v>
      </c>
      <c r="H6282" s="18">
        <v>155.69</v>
      </c>
      <c r="I6282" s="19">
        <v>10.67</v>
      </c>
      <c r="J6282" s="19">
        <v>1.39</v>
      </c>
      <c r="K6282" s="19" t="s">
        <v>69</v>
      </c>
      <c r="L6282" s="19" t="s">
        <v>70</v>
      </c>
      <c r="M6282" s="15" t="s">
        <v>2230</v>
      </c>
      <c r="N6282" s="15" t="s">
        <v>36</v>
      </c>
      <c r="O6282" s="15" t="s">
        <v>189</v>
      </c>
      <c r="P6282" s="20" t="s">
        <v>748</v>
      </c>
      <c r="Q6282" s="15" t="s">
        <v>83</v>
      </c>
      <c r="R6282" s="4"/>
      <c r="S6282" s="4"/>
    </row>
    <row r="6283" spans="1:19" ht="21" customHeight="1" x14ac:dyDescent="0.25">
      <c r="A6283" s="14">
        <f>DATE(2012,12,31)-957</f>
        <v>40317</v>
      </c>
      <c r="B6283" s="15" t="s">
        <v>1351</v>
      </c>
      <c r="C6283" s="15" t="s">
        <v>51</v>
      </c>
      <c r="D6283" s="16">
        <v>34</v>
      </c>
      <c r="E6283" s="17">
        <v>16073.03</v>
      </c>
      <c r="F6283" s="16">
        <v>0.01</v>
      </c>
      <c r="G6283" s="15" t="s">
        <v>58</v>
      </c>
      <c r="H6283" s="18">
        <v>5386.32</v>
      </c>
      <c r="I6283" s="19">
        <v>442.14</v>
      </c>
      <c r="J6283" s="19">
        <v>14.7</v>
      </c>
      <c r="K6283" s="19" t="s">
        <v>69</v>
      </c>
      <c r="L6283" s="19" t="s">
        <v>70</v>
      </c>
      <c r="M6283" s="15" t="s">
        <v>2230</v>
      </c>
      <c r="N6283" s="15" t="s">
        <v>64</v>
      </c>
      <c r="O6283" s="15" t="s">
        <v>122</v>
      </c>
      <c r="P6283" s="20" t="s">
        <v>579</v>
      </c>
      <c r="Q6283" s="15" t="s">
        <v>181</v>
      </c>
      <c r="R6283" s="4"/>
      <c r="S6283" s="4"/>
    </row>
    <row r="6284" spans="1:19" ht="21" customHeight="1" x14ac:dyDescent="0.25">
      <c r="A6284" s="14">
        <f>DATE(2012,12,31)-1013</f>
        <v>40261</v>
      </c>
      <c r="B6284" s="15" t="s">
        <v>1514</v>
      </c>
      <c r="C6284" s="15" t="s">
        <v>85</v>
      </c>
      <c r="D6284" s="16">
        <v>15</v>
      </c>
      <c r="E6284" s="17">
        <v>55.2</v>
      </c>
      <c r="F6284" s="16">
        <v>0.05</v>
      </c>
      <c r="G6284" s="15" t="s">
        <v>32</v>
      </c>
      <c r="H6284" s="18">
        <v>4.26</v>
      </c>
      <c r="I6284" s="19">
        <v>3.58</v>
      </c>
      <c r="J6284" s="19">
        <v>1.63</v>
      </c>
      <c r="K6284" s="19" t="s">
        <v>69</v>
      </c>
      <c r="L6284" s="19" t="s">
        <v>70</v>
      </c>
      <c r="M6284" s="15" t="s">
        <v>2230</v>
      </c>
      <c r="N6284" s="15" t="s">
        <v>36</v>
      </c>
      <c r="O6284" s="15" t="s">
        <v>105</v>
      </c>
      <c r="P6284" s="20" t="s">
        <v>912</v>
      </c>
      <c r="Q6284" s="15" t="s">
        <v>79</v>
      </c>
      <c r="R6284" s="4"/>
      <c r="S6284" s="4"/>
    </row>
    <row r="6285" spans="1:19" ht="21" customHeight="1" x14ac:dyDescent="0.25">
      <c r="A6285" s="14">
        <f>DATE(2012,12,31)-344</f>
        <v>40930</v>
      </c>
      <c r="B6285" s="15" t="s">
        <v>2182</v>
      </c>
      <c r="C6285" s="15" t="s">
        <v>85</v>
      </c>
      <c r="D6285" s="16">
        <v>5</v>
      </c>
      <c r="E6285" s="17">
        <v>11.25</v>
      </c>
      <c r="F6285" s="16">
        <v>0.08</v>
      </c>
      <c r="G6285" s="15" t="s">
        <v>32</v>
      </c>
      <c r="H6285" s="18">
        <v>-4.9564999999999992</v>
      </c>
      <c r="I6285" s="19">
        <v>2.08</v>
      </c>
      <c r="J6285" s="19">
        <v>1.49</v>
      </c>
      <c r="K6285" s="19" t="s">
        <v>69</v>
      </c>
      <c r="L6285" s="19" t="s">
        <v>70</v>
      </c>
      <c r="M6285" s="15" t="s">
        <v>2230</v>
      </c>
      <c r="N6285" s="15" t="s">
        <v>36</v>
      </c>
      <c r="O6285" s="15" t="s">
        <v>170</v>
      </c>
      <c r="P6285" s="20" t="s">
        <v>1611</v>
      </c>
      <c r="Q6285" s="15" t="s">
        <v>83</v>
      </c>
      <c r="R6285" s="4"/>
      <c r="S6285" s="4"/>
    </row>
    <row r="6286" spans="1:19" ht="21" customHeight="1" x14ac:dyDescent="0.25">
      <c r="A6286" s="14">
        <f>DATE(2012,12,31)-1102</f>
        <v>40172</v>
      </c>
      <c r="B6286" s="15" t="s">
        <v>827</v>
      </c>
      <c r="C6286" s="15" t="s">
        <v>43</v>
      </c>
      <c r="D6286" s="16">
        <v>38</v>
      </c>
      <c r="E6286" s="17">
        <v>5016.25</v>
      </c>
      <c r="F6286" s="16">
        <v>0.01</v>
      </c>
      <c r="G6286" s="15" t="s">
        <v>58</v>
      </c>
      <c r="H6286" s="18">
        <v>-189.34929</v>
      </c>
      <c r="I6286" s="19">
        <v>124.49</v>
      </c>
      <c r="J6286" s="19">
        <v>51.94</v>
      </c>
      <c r="K6286" s="19" t="s">
        <v>69</v>
      </c>
      <c r="L6286" s="19" t="s">
        <v>75</v>
      </c>
      <c r="M6286" s="15" t="s">
        <v>2284</v>
      </c>
      <c r="N6286" s="15" t="s">
        <v>54</v>
      </c>
      <c r="O6286" s="15" t="s">
        <v>61</v>
      </c>
      <c r="P6286" s="20" t="s">
        <v>636</v>
      </c>
      <c r="Q6286" s="15" t="s">
        <v>63</v>
      </c>
      <c r="R6286" s="4"/>
      <c r="S6286" s="4"/>
    </row>
    <row r="6287" spans="1:19" ht="21" customHeight="1" x14ac:dyDescent="0.25">
      <c r="A6287" s="14">
        <f>DATE(2012,12,31)-1102</f>
        <v>40172</v>
      </c>
      <c r="B6287" s="15" t="s">
        <v>104</v>
      </c>
      <c r="C6287" s="15" t="s">
        <v>43</v>
      </c>
      <c r="D6287" s="16">
        <v>30</v>
      </c>
      <c r="E6287" s="17">
        <v>1653.607</v>
      </c>
      <c r="F6287" s="16">
        <v>0.02</v>
      </c>
      <c r="G6287" s="15" t="s">
        <v>32</v>
      </c>
      <c r="H6287" s="18">
        <v>294.96600000000001</v>
      </c>
      <c r="I6287" s="19">
        <v>65.989999999999995</v>
      </c>
      <c r="J6287" s="19">
        <v>5.31</v>
      </c>
      <c r="K6287" s="19" t="s">
        <v>69</v>
      </c>
      <c r="L6287" s="19" t="s">
        <v>70</v>
      </c>
      <c r="M6287" s="15" t="s">
        <v>2230</v>
      </c>
      <c r="N6287" s="15" t="s">
        <v>64</v>
      </c>
      <c r="O6287" s="15" t="s">
        <v>65</v>
      </c>
      <c r="P6287" s="20" t="s">
        <v>525</v>
      </c>
      <c r="Q6287" s="15" t="s">
        <v>83</v>
      </c>
      <c r="R6287" s="4"/>
      <c r="S6287" s="4"/>
    </row>
    <row r="6288" spans="1:19" ht="21" customHeight="1" x14ac:dyDescent="0.25">
      <c r="A6288" s="14">
        <f>DATE(2012,12,31)-577</f>
        <v>40697</v>
      </c>
      <c r="B6288" s="15" t="s">
        <v>104</v>
      </c>
      <c r="C6288" s="15" t="s">
        <v>43</v>
      </c>
      <c r="D6288" s="16">
        <v>19</v>
      </c>
      <c r="E6288" s="17">
        <v>3896.39</v>
      </c>
      <c r="F6288" s="16">
        <v>0.1</v>
      </c>
      <c r="G6288" s="15" t="s">
        <v>32</v>
      </c>
      <c r="H6288" s="18">
        <v>755.28</v>
      </c>
      <c r="I6288" s="19">
        <v>218.08</v>
      </c>
      <c r="J6288" s="19">
        <v>18.059999999999999</v>
      </c>
      <c r="K6288" s="19" t="s">
        <v>69</v>
      </c>
      <c r="L6288" s="19" t="s">
        <v>75</v>
      </c>
      <c r="M6288" s="15" t="s">
        <v>2284</v>
      </c>
      <c r="N6288" s="15" t="s">
        <v>54</v>
      </c>
      <c r="O6288" s="15" t="s">
        <v>252</v>
      </c>
      <c r="P6288" s="20" t="s">
        <v>795</v>
      </c>
      <c r="Q6288" s="15" t="s">
        <v>39</v>
      </c>
      <c r="R6288" s="4"/>
      <c r="S6288" s="4"/>
    </row>
    <row r="6289" spans="1:19" ht="21" customHeight="1" x14ac:dyDescent="0.25">
      <c r="A6289" s="14">
        <f>DATE(2012,12,31)-1184</f>
        <v>40090</v>
      </c>
      <c r="B6289" s="15" t="s">
        <v>1444</v>
      </c>
      <c r="C6289" s="15" t="s">
        <v>31</v>
      </c>
      <c r="D6289" s="16">
        <v>6</v>
      </c>
      <c r="E6289" s="17">
        <v>17.59</v>
      </c>
      <c r="F6289" s="16">
        <v>0.1</v>
      </c>
      <c r="G6289" s="15" t="s">
        <v>32</v>
      </c>
      <c r="H6289" s="18">
        <v>-19.739999999999998</v>
      </c>
      <c r="I6289" s="19">
        <v>2.2200000000000002</v>
      </c>
      <c r="J6289" s="19">
        <v>5</v>
      </c>
      <c r="K6289" s="19" t="s">
        <v>69</v>
      </c>
      <c r="L6289" s="19" t="s">
        <v>70</v>
      </c>
      <c r="M6289" s="15" t="s">
        <v>2230</v>
      </c>
      <c r="N6289" s="15" t="s">
        <v>36</v>
      </c>
      <c r="O6289" s="15" t="s">
        <v>176</v>
      </c>
      <c r="P6289" s="20" t="s">
        <v>1663</v>
      </c>
      <c r="Q6289" s="15" t="s">
        <v>83</v>
      </c>
      <c r="R6289" s="4"/>
      <c r="S6289" s="4"/>
    </row>
    <row r="6290" spans="1:19" ht="21" customHeight="1" x14ac:dyDescent="0.25">
      <c r="A6290" s="14">
        <f>DATE(2012,12,31)-1184</f>
        <v>40090</v>
      </c>
      <c r="B6290" s="15" t="s">
        <v>746</v>
      </c>
      <c r="C6290" s="15" t="s">
        <v>31</v>
      </c>
      <c r="D6290" s="16">
        <v>21</v>
      </c>
      <c r="E6290" s="17">
        <v>315.07</v>
      </c>
      <c r="F6290" s="16">
        <v>0.02</v>
      </c>
      <c r="G6290" s="15" t="s">
        <v>32</v>
      </c>
      <c r="H6290" s="18">
        <v>95</v>
      </c>
      <c r="I6290" s="19">
        <v>14.2</v>
      </c>
      <c r="J6290" s="19">
        <v>5.3</v>
      </c>
      <c r="K6290" s="19" t="s">
        <v>69</v>
      </c>
      <c r="L6290" s="19" t="s">
        <v>70</v>
      </c>
      <c r="M6290" s="15" t="s">
        <v>2230</v>
      </c>
      <c r="N6290" s="15" t="s">
        <v>54</v>
      </c>
      <c r="O6290" s="15" t="s">
        <v>55</v>
      </c>
      <c r="P6290" s="20" t="s">
        <v>1523</v>
      </c>
      <c r="Q6290" s="15" t="s">
        <v>79</v>
      </c>
      <c r="R6290" s="4"/>
      <c r="S6290" s="4"/>
    </row>
    <row r="6291" spans="1:19" ht="21" customHeight="1" x14ac:dyDescent="0.25">
      <c r="A6291" s="14">
        <f>DATE(2012,12,31)-562</f>
        <v>40712</v>
      </c>
      <c r="B6291" s="15" t="s">
        <v>895</v>
      </c>
      <c r="C6291" s="15" t="s">
        <v>31</v>
      </c>
      <c r="D6291" s="16">
        <v>28</v>
      </c>
      <c r="E6291" s="17">
        <v>525.4</v>
      </c>
      <c r="F6291" s="16">
        <v>0.08</v>
      </c>
      <c r="G6291" s="15" t="s">
        <v>32</v>
      </c>
      <c r="H6291" s="18">
        <v>126.49</v>
      </c>
      <c r="I6291" s="19">
        <v>19.84</v>
      </c>
      <c r="J6291" s="19">
        <v>4.0999999999999996</v>
      </c>
      <c r="K6291" s="19" t="s">
        <v>69</v>
      </c>
      <c r="L6291" s="19" t="s">
        <v>75</v>
      </c>
      <c r="M6291" s="15" t="s">
        <v>2284</v>
      </c>
      <c r="N6291" s="15" t="s">
        <v>36</v>
      </c>
      <c r="O6291" s="15" t="s">
        <v>77</v>
      </c>
      <c r="P6291" s="20" t="s">
        <v>543</v>
      </c>
      <c r="Q6291" s="15" t="s">
        <v>79</v>
      </c>
      <c r="R6291" s="4"/>
      <c r="S6291" s="4"/>
    </row>
    <row r="6292" spans="1:19" ht="21" customHeight="1" x14ac:dyDescent="0.25">
      <c r="A6292" s="14">
        <f>DATE(2012,12,31)-562</f>
        <v>40712</v>
      </c>
      <c r="B6292" s="15" t="s">
        <v>895</v>
      </c>
      <c r="C6292" s="15" t="s">
        <v>31</v>
      </c>
      <c r="D6292" s="16">
        <v>37</v>
      </c>
      <c r="E6292" s="17">
        <v>61.77</v>
      </c>
      <c r="F6292" s="16">
        <v>0.04</v>
      </c>
      <c r="G6292" s="15" t="s">
        <v>101</v>
      </c>
      <c r="H6292" s="18">
        <v>12.65</v>
      </c>
      <c r="I6292" s="19">
        <v>1.48</v>
      </c>
      <c r="J6292" s="19">
        <v>0.7</v>
      </c>
      <c r="K6292" s="19" t="s">
        <v>69</v>
      </c>
      <c r="L6292" s="19" t="s">
        <v>70</v>
      </c>
      <c r="M6292" s="15" t="s">
        <v>2230</v>
      </c>
      <c r="N6292" s="15" t="s">
        <v>36</v>
      </c>
      <c r="O6292" s="15" t="s">
        <v>105</v>
      </c>
      <c r="P6292" s="20" t="s">
        <v>2111</v>
      </c>
      <c r="Q6292" s="15" t="s">
        <v>79</v>
      </c>
      <c r="R6292" s="4"/>
      <c r="S6292" s="4"/>
    </row>
    <row r="6293" spans="1:19" ht="21" customHeight="1" x14ac:dyDescent="0.25">
      <c r="A6293" s="14">
        <f>DATE(2012,12,31)-662</f>
        <v>40612</v>
      </c>
      <c r="B6293" s="15" t="s">
        <v>895</v>
      </c>
      <c r="C6293" s="15" t="s">
        <v>51</v>
      </c>
      <c r="D6293" s="16">
        <v>31</v>
      </c>
      <c r="E6293" s="17">
        <v>127.9</v>
      </c>
      <c r="F6293" s="16">
        <v>7.0000000000000007E-2</v>
      </c>
      <c r="G6293" s="15" t="s">
        <v>32</v>
      </c>
      <c r="H6293" s="18">
        <v>54.21</v>
      </c>
      <c r="I6293" s="19">
        <v>4.13</v>
      </c>
      <c r="J6293" s="19">
        <v>0.5</v>
      </c>
      <c r="K6293" s="19" t="s">
        <v>69</v>
      </c>
      <c r="L6293" s="19" t="s">
        <v>215</v>
      </c>
      <c r="M6293" s="15" t="s">
        <v>2290</v>
      </c>
      <c r="N6293" s="15" t="s">
        <v>36</v>
      </c>
      <c r="O6293" s="15" t="s">
        <v>114</v>
      </c>
      <c r="P6293" s="20" t="s">
        <v>1160</v>
      </c>
      <c r="Q6293" s="15" t="s">
        <v>83</v>
      </c>
      <c r="R6293" s="4"/>
      <c r="S6293" s="4"/>
    </row>
    <row r="6294" spans="1:19" ht="21" customHeight="1" x14ac:dyDescent="0.25">
      <c r="A6294" s="14">
        <f>DATE(2012,12,31)-659</f>
        <v>40615</v>
      </c>
      <c r="B6294" s="15" t="s">
        <v>2182</v>
      </c>
      <c r="C6294" s="15" t="s">
        <v>51</v>
      </c>
      <c r="D6294" s="16">
        <v>6</v>
      </c>
      <c r="E6294" s="17">
        <v>428.72300000000001</v>
      </c>
      <c r="F6294" s="16">
        <v>0.06</v>
      </c>
      <c r="G6294" s="15" t="s">
        <v>32</v>
      </c>
      <c r="H6294" s="18">
        <v>-147.71899999999999</v>
      </c>
      <c r="I6294" s="19">
        <v>85.99</v>
      </c>
      <c r="J6294" s="19">
        <v>1.25</v>
      </c>
      <c r="K6294" s="19" t="s">
        <v>69</v>
      </c>
      <c r="L6294" s="19" t="s">
        <v>215</v>
      </c>
      <c r="M6294" s="15" t="s">
        <v>2290</v>
      </c>
      <c r="N6294" s="15" t="s">
        <v>64</v>
      </c>
      <c r="O6294" s="15" t="s">
        <v>65</v>
      </c>
      <c r="P6294" s="20" t="s">
        <v>374</v>
      </c>
      <c r="Q6294" s="15" t="s">
        <v>49</v>
      </c>
      <c r="R6294" s="4"/>
      <c r="S6294" s="4"/>
    </row>
    <row r="6295" spans="1:19" ht="21" customHeight="1" x14ac:dyDescent="0.25">
      <c r="A6295" s="14">
        <f>DATE(2012,12,31)-854</f>
        <v>40420</v>
      </c>
      <c r="B6295" s="15" t="s">
        <v>683</v>
      </c>
      <c r="C6295" s="15" t="s">
        <v>51</v>
      </c>
      <c r="D6295" s="16">
        <v>34</v>
      </c>
      <c r="E6295" s="17">
        <v>1911.69</v>
      </c>
      <c r="F6295" s="16">
        <v>7.0000000000000007E-2</v>
      </c>
      <c r="G6295" s="15" t="s">
        <v>32</v>
      </c>
      <c r="H6295" s="18">
        <v>939.43</v>
      </c>
      <c r="I6295" s="19">
        <v>55.98</v>
      </c>
      <c r="J6295" s="19">
        <v>5.15</v>
      </c>
      <c r="K6295" s="19" t="s">
        <v>69</v>
      </c>
      <c r="L6295" s="19" t="s">
        <v>75</v>
      </c>
      <c r="M6295" s="15" t="s">
        <v>2284</v>
      </c>
      <c r="N6295" s="15" t="s">
        <v>36</v>
      </c>
      <c r="O6295" s="15" t="s">
        <v>117</v>
      </c>
      <c r="P6295" s="20" t="s">
        <v>1907</v>
      </c>
      <c r="Q6295" s="15" t="s">
        <v>83</v>
      </c>
      <c r="R6295" s="4"/>
      <c r="S6295" s="4"/>
    </row>
    <row r="6296" spans="1:19" ht="21" customHeight="1" x14ac:dyDescent="0.25">
      <c r="A6296" s="14">
        <f>DATE(2012,12,31)-854</f>
        <v>40420</v>
      </c>
      <c r="B6296" s="15" t="s">
        <v>1671</v>
      </c>
      <c r="C6296" s="15" t="s">
        <v>51</v>
      </c>
      <c r="D6296" s="16">
        <v>17</v>
      </c>
      <c r="E6296" s="17">
        <v>120.751</v>
      </c>
      <c r="F6296" s="16">
        <v>0.03</v>
      </c>
      <c r="G6296" s="15" t="s">
        <v>32</v>
      </c>
      <c r="H6296" s="18">
        <v>-71.39</v>
      </c>
      <c r="I6296" s="19">
        <v>7.99</v>
      </c>
      <c r="J6296" s="19">
        <v>5.03</v>
      </c>
      <c r="K6296" s="19" t="s">
        <v>69</v>
      </c>
      <c r="L6296" s="19" t="s">
        <v>215</v>
      </c>
      <c r="M6296" s="15" t="s">
        <v>2290</v>
      </c>
      <c r="N6296" s="15" t="s">
        <v>64</v>
      </c>
      <c r="O6296" s="15" t="s">
        <v>65</v>
      </c>
      <c r="P6296" s="20" t="s">
        <v>220</v>
      </c>
      <c r="Q6296" s="15" t="s">
        <v>57</v>
      </c>
      <c r="R6296" s="4"/>
      <c r="S6296" s="4"/>
    </row>
    <row r="6297" spans="1:19" ht="21" customHeight="1" x14ac:dyDescent="0.25">
      <c r="A6297" s="14">
        <f>DATE(2012,12,31)-854</f>
        <v>40420</v>
      </c>
      <c r="B6297" s="15" t="s">
        <v>1671</v>
      </c>
      <c r="C6297" s="15" t="s">
        <v>51</v>
      </c>
      <c r="D6297" s="16">
        <v>45</v>
      </c>
      <c r="E6297" s="17">
        <v>245.55</v>
      </c>
      <c r="F6297" s="16">
        <v>0.03</v>
      </c>
      <c r="G6297" s="15" t="s">
        <v>32</v>
      </c>
      <c r="H6297" s="18">
        <v>-227.25</v>
      </c>
      <c r="I6297" s="19">
        <v>5.28</v>
      </c>
      <c r="J6297" s="19">
        <v>8.16</v>
      </c>
      <c r="K6297" s="19" t="s">
        <v>69</v>
      </c>
      <c r="L6297" s="19" t="s">
        <v>75</v>
      </c>
      <c r="M6297" s="15" t="s">
        <v>2284</v>
      </c>
      <c r="N6297" s="15" t="s">
        <v>36</v>
      </c>
      <c r="O6297" s="15" t="s">
        <v>117</v>
      </c>
      <c r="P6297" s="20" t="s">
        <v>1376</v>
      </c>
      <c r="Q6297" s="15" t="s">
        <v>83</v>
      </c>
      <c r="R6297" s="4"/>
      <c r="S6297" s="4"/>
    </row>
    <row r="6298" spans="1:19" ht="21" customHeight="1" x14ac:dyDescent="0.25">
      <c r="A6298" s="14">
        <f>DATE(2012,12,31)-931</f>
        <v>40343</v>
      </c>
      <c r="B6298" s="15" t="s">
        <v>970</v>
      </c>
      <c r="C6298" s="15" t="s">
        <v>31</v>
      </c>
      <c r="D6298" s="16">
        <v>18</v>
      </c>
      <c r="E6298" s="17">
        <v>55.35</v>
      </c>
      <c r="F6298" s="16">
        <v>0</v>
      </c>
      <c r="G6298" s="15" t="s">
        <v>101</v>
      </c>
      <c r="H6298" s="18">
        <v>-56.63</v>
      </c>
      <c r="I6298" s="19">
        <v>2.2200000000000002</v>
      </c>
      <c r="J6298" s="19">
        <v>5</v>
      </c>
      <c r="K6298" s="19" t="s">
        <v>111</v>
      </c>
      <c r="L6298" s="19" t="s">
        <v>112</v>
      </c>
      <c r="M6298" s="15" t="s">
        <v>2291</v>
      </c>
      <c r="N6298" s="15" t="s">
        <v>36</v>
      </c>
      <c r="O6298" s="15" t="s">
        <v>176</v>
      </c>
      <c r="P6298" s="20" t="s">
        <v>253</v>
      </c>
      <c r="Q6298" s="15" t="s">
        <v>83</v>
      </c>
      <c r="R6298" s="4"/>
      <c r="S6298" s="4"/>
    </row>
    <row r="6299" spans="1:19" ht="21" customHeight="1" x14ac:dyDescent="0.25">
      <c r="A6299" s="14">
        <f>DATE(2012,12,31)-931</f>
        <v>40343</v>
      </c>
      <c r="B6299" s="15" t="s">
        <v>518</v>
      </c>
      <c r="C6299" s="15" t="s">
        <v>31</v>
      </c>
      <c r="D6299" s="16">
        <v>27</v>
      </c>
      <c r="E6299" s="17">
        <v>700.35</v>
      </c>
      <c r="F6299" s="16">
        <v>0.06</v>
      </c>
      <c r="G6299" s="15" t="s">
        <v>32</v>
      </c>
      <c r="H6299" s="18">
        <v>-123.01</v>
      </c>
      <c r="I6299" s="19">
        <v>26.31</v>
      </c>
      <c r="J6299" s="19">
        <v>5.89</v>
      </c>
      <c r="K6299" s="19" t="s">
        <v>111</v>
      </c>
      <c r="L6299" s="19" t="s">
        <v>112</v>
      </c>
      <c r="M6299" s="15" t="s">
        <v>2291</v>
      </c>
      <c r="N6299" s="15" t="s">
        <v>64</v>
      </c>
      <c r="O6299" s="15" t="s">
        <v>72</v>
      </c>
      <c r="P6299" s="20" t="s">
        <v>2147</v>
      </c>
      <c r="Q6299" s="15" t="s">
        <v>83</v>
      </c>
      <c r="R6299" s="4"/>
      <c r="S6299" s="4"/>
    </row>
    <row r="6300" spans="1:19" ht="21" customHeight="1" x14ac:dyDescent="0.25">
      <c r="A6300" s="14">
        <f>DATE(2012,12,31)-967</f>
        <v>40307</v>
      </c>
      <c r="B6300" s="15" t="s">
        <v>518</v>
      </c>
      <c r="C6300" s="15" t="s">
        <v>85</v>
      </c>
      <c r="D6300" s="16">
        <v>19</v>
      </c>
      <c r="E6300" s="17">
        <v>36.369999999999997</v>
      </c>
      <c r="F6300" s="16">
        <v>7.0000000000000007E-2</v>
      </c>
      <c r="G6300" s="15" t="s">
        <v>32</v>
      </c>
      <c r="H6300" s="18">
        <v>-10.257999999999999</v>
      </c>
      <c r="I6300" s="19">
        <v>1.88</v>
      </c>
      <c r="J6300" s="19">
        <v>1.49</v>
      </c>
      <c r="K6300" s="19" t="s">
        <v>111</v>
      </c>
      <c r="L6300" s="19" t="s">
        <v>2301</v>
      </c>
      <c r="M6300" s="15" t="s">
        <v>2302</v>
      </c>
      <c r="N6300" s="15" t="s">
        <v>36</v>
      </c>
      <c r="O6300" s="15" t="s">
        <v>170</v>
      </c>
      <c r="P6300" s="20" t="s">
        <v>930</v>
      </c>
      <c r="Q6300" s="15" t="s">
        <v>83</v>
      </c>
      <c r="R6300" s="4"/>
      <c r="S6300" s="4"/>
    </row>
    <row r="6301" spans="1:19" ht="21" customHeight="1" x14ac:dyDescent="0.25">
      <c r="A6301" s="14">
        <f>DATE(2012,12,31)-362</f>
        <v>40912</v>
      </c>
      <c r="B6301" s="15" t="s">
        <v>1680</v>
      </c>
      <c r="C6301" s="15" t="s">
        <v>31</v>
      </c>
      <c r="D6301" s="16">
        <v>47</v>
      </c>
      <c r="E6301" s="17">
        <v>12723.95</v>
      </c>
      <c r="F6301" s="16">
        <v>0.08</v>
      </c>
      <c r="G6301" s="15" t="s">
        <v>32</v>
      </c>
      <c r="H6301" s="18">
        <v>11.54</v>
      </c>
      <c r="I6301" s="19">
        <v>279.48</v>
      </c>
      <c r="J6301" s="19">
        <v>35</v>
      </c>
      <c r="K6301" s="19" t="s">
        <v>111</v>
      </c>
      <c r="L6301" s="19" t="s">
        <v>2301</v>
      </c>
      <c r="M6301" s="15" t="s">
        <v>2302</v>
      </c>
      <c r="N6301" s="15" t="s">
        <v>36</v>
      </c>
      <c r="O6301" s="15" t="s">
        <v>37</v>
      </c>
      <c r="P6301" s="20" t="s">
        <v>162</v>
      </c>
      <c r="Q6301" s="15" t="s">
        <v>39</v>
      </c>
      <c r="R6301" s="4"/>
      <c r="S6301" s="4"/>
    </row>
    <row r="6302" spans="1:19" ht="21" customHeight="1" x14ac:dyDescent="0.25">
      <c r="A6302" s="14">
        <f>DATE(2012,12,31)-342</f>
        <v>40932</v>
      </c>
      <c r="B6302" s="15" t="s">
        <v>1680</v>
      </c>
      <c r="C6302" s="15" t="s">
        <v>31</v>
      </c>
      <c r="D6302" s="16">
        <v>47</v>
      </c>
      <c r="E6302" s="17">
        <v>23239.96</v>
      </c>
      <c r="F6302" s="16">
        <v>0.06</v>
      </c>
      <c r="G6302" s="15" t="s">
        <v>58</v>
      </c>
      <c r="H6302" s="18">
        <v>6888.36</v>
      </c>
      <c r="I6302" s="19">
        <v>500.98</v>
      </c>
      <c r="J6302" s="19">
        <v>26</v>
      </c>
      <c r="K6302" s="19" t="s">
        <v>44</v>
      </c>
      <c r="L6302" s="19" t="s">
        <v>89</v>
      </c>
      <c r="M6302" s="15" t="s">
        <v>2293</v>
      </c>
      <c r="N6302" s="15" t="s">
        <v>54</v>
      </c>
      <c r="O6302" s="15" t="s">
        <v>252</v>
      </c>
      <c r="P6302" s="20" t="s">
        <v>1165</v>
      </c>
      <c r="Q6302" s="15" t="s">
        <v>181</v>
      </c>
      <c r="R6302" s="4"/>
      <c r="S6302" s="4"/>
    </row>
    <row r="6303" spans="1:19" ht="21" customHeight="1" x14ac:dyDescent="0.25">
      <c r="A6303" s="14">
        <f>DATE(2012,12,31)-342</f>
        <v>40932</v>
      </c>
      <c r="B6303" s="15" t="s">
        <v>1439</v>
      </c>
      <c r="C6303" s="15" t="s">
        <v>31</v>
      </c>
      <c r="D6303" s="16">
        <v>24</v>
      </c>
      <c r="E6303" s="17">
        <v>302.91000000000003</v>
      </c>
      <c r="F6303" s="16">
        <v>0.05</v>
      </c>
      <c r="G6303" s="15" t="s">
        <v>32</v>
      </c>
      <c r="H6303" s="18">
        <v>-36.76</v>
      </c>
      <c r="I6303" s="19">
        <v>12.28</v>
      </c>
      <c r="J6303" s="19">
        <v>6.13</v>
      </c>
      <c r="K6303" s="19" t="s">
        <v>44</v>
      </c>
      <c r="L6303" s="19" t="s">
        <v>89</v>
      </c>
      <c r="M6303" s="15" t="s">
        <v>2293</v>
      </c>
      <c r="N6303" s="15" t="s">
        <v>36</v>
      </c>
      <c r="O6303" s="15" t="s">
        <v>37</v>
      </c>
      <c r="P6303" s="20" t="s">
        <v>653</v>
      </c>
      <c r="Q6303" s="15" t="s">
        <v>83</v>
      </c>
      <c r="R6303" s="4"/>
      <c r="S6303" s="4"/>
    </row>
    <row r="6304" spans="1:19" ht="21" customHeight="1" x14ac:dyDescent="0.25">
      <c r="A6304" s="14">
        <f>DATE(2012,12,31)-79</f>
        <v>41195</v>
      </c>
      <c r="B6304" s="15" t="s">
        <v>2298</v>
      </c>
      <c r="C6304" s="15" t="s">
        <v>31</v>
      </c>
      <c r="D6304" s="16">
        <v>36</v>
      </c>
      <c r="E6304" s="17">
        <v>1152.6300000000001</v>
      </c>
      <c r="F6304" s="16">
        <v>0.03</v>
      </c>
      <c r="G6304" s="15" t="s">
        <v>32</v>
      </c>
      <c r="H6304" s="18">
        <v>389.4</v>
      </c>
      <c r="I6304" s="19">
        <v>32.479999999999997</v>
      </c>
      <c r="J6304" s="19">
        <v>7.09</v>
      </c>
      <c r="K6304" s="19" t="s">
        <v>44</v>
      </c>
      <c r="L6304" s="19" t="s">
        <v>89</v>
      </c>
      <c r="M6304" s="15" t="s">
        <v>2293</v>
      </c>
      <c r="N6304" s="15" t="s">
        <v>54</v>
      </c>
      <c r="O6304" s="15" t="s">
        <v>55</v>
      </c>
      <c r="P6304" s="20" t="s">
        <v>685</v>
      </c>
      <c r="Q6304" s="15" t="s">
        <v>83</v>
      </c>
      <c r="R6304" s="4"/>
      <c r="S6304" s="4"/>
    </row>
    <row r="6305" spans="1:19" ht="21" customHeight="1" x14ac:dyDescent="0.25">
      <c r="A6305" s="14">
        <f>DATE(2012,12,31)-79</f>
        <v>41195</v>
      </c>
      <c r="B6305" s="15" t="s">
        <v>2212</v>
      </c>
      <c r="C6305" s="15" t="s">
        <v>31</v>
      </c>
      <c r="D6305" s="16">
        <v>4</v>
      </c>
      <c r="E6305" s="17">
        <v>7.56</v>
      </c>
      <c r="F6305" s="16">
        <v>0.1</v>
      </c>
      <c r="G6305" s="15" t="s">
        <v>32</v>
      </c>
      <c r="H6305" s="18">
        <v>-5.53</v>
      </c>
      <c r="I6305" s="19">
        <v>1.89</v>
      </c>
      <c r="J6305" s="19">
        <v>0.76</v>
      </c>
      <c r="K6305" s="19" t="s">
        <v>44</v>
      </c>
      <c r="L6305" s="19" t="s">
        <v>80</v>
      </c>
      <c r="M6305" s="15" t="s">
        <v>2297</v>
      </c>
      <c r="N6305" s="15" t="s">
        <v>36</v>
      </c>
      <c r="O6305" s="15" t="s">
        <v>105</v>
      </c>
      <c r="P6305" s="20" t="s">
        <v>1650</v>
      </c>
      <c r="Q6305" s="15" t="s">
        <v>79</v>
      </c>
      <c r="R6305" s="4"/>
      <c r="S6305" s="4"/>
    </row>
    <row r="6306" spans="1:19" ht="21" customHeight="1" x14ac:dyDescent="0.25">
      <c r="A6306" s="14">
        <f>DATE(2012,12,31)-211</f>
        <v>41063</v>
      </c>
      <c r="B6306" s="15" t="s">
        <v>2212</v>
      </c>
      <c r="C6306" s="15" t="s">
        <v>85</v>
      </c>
      <c r="D6306" s="16">
        <v>22</v>
      </c>
      <c r="E6306" s="17">
        <v>127.51</v>
      </c>
      <c r="F6306" s="16">
        <v>7.0000000000000007E-2</v>
      </c>
      <c r="G6306" s="15" t="s">
        <v>32</v>
      </c>
      <c r="H6306" s="18">
        <v>26.741</v>
      </c>
      <c r="I6306" s="19">
        <v>5.98</v>
      </c>
      <c r="J6306" s="19">
        <v>1.49</v>
      </c>
      <c r="K6306" s="19" t="s">
        <v>44</v>
      </c>
      <c r="L6306" s="19" t="s">
        <v>45</v>
      </c>
      <c r="M6306" s="15" t="s">
        <v>2271</v>
      </c>
      <c r="N6306" s="15" t="s">
        <v>36</v>
      </c>
      <c r="O6306" s="15" t="s">
        <v>170</v>
      </c>
      <c r="P6306" s="20" t="s">
        <v>66</v>
      </c>
      <c r="Q6306" s="15" t="s">
        <v>83</v>
      </c>
      <c r="R6306" s="4"/>
      <c r="S6306" s="4"/>
    </row>
    <row r="6307" spans="1:19" ht="21" customHeight="1" x14ac:dyDescent="0.25">
      <c r="A6307" s="14">
        <f>DATE(2012,12,31)-211</f>
        <v>41063</v>
      </c>
      <c r="B6307" s="15" t="s">
        <v>2212</v>
      </c>
      <c r="C6307" s="15" t="s">
        <v>85</v>
      </c>
      <c r="D6307" s="16">
        <v>35</v>
      </c>
      <c r="E6307" s="17">
        <v>2004.22</v>
      </c>
      <c r="F6307" s="16">
        <v>0.08</v>
      </c>
      <c r="G6307" s="15" t="s">
        <v>32</v>
      </c>
      <c r="H6307" s="18">
        <v>338.91</v>
      </c>
      <c r="I6307" s="19">
        <v>60.65</v>
      </c>
      <c r="J6307" s="19">
        <v>12.23</v>
      </c>
      <c r="K6307" s="19" t="s">
        <v>44</v>
      </c>
      <c r="L6307" s="19" t="s">
        <v>89</v>
      </c>
      <c r="M6307" s="15" t="s">
        <v>2293</v>
      </c>
      <c r="N6307" s="15" t="s">
        <v>54</v>
      </c>
      <c r="O6307" s="15" t="s">
        <v>55</v>
      </c>
      <c r="P6307" s="20" t="s">
        <v>1965</v>
      </c>
      <c r="Q6307" s="15" t="s">
        <v>57</v>
      </c>
      <c r="R6307" s="4"/>
      <c r="S6307" s="4"/>
    </row>
    <row r="6308" spans="1:19" ht="21" customHeight="1" x14ac:dyDescent="0.25">
      <c r="A6308" s="14">
        <f>DATE(2012,12,31)-1007</f>
        <v>40267</v>
      </c>
      <c r="B6308" s="15" t="s">
        <v>2077</v>
      </c>
      <c r="C6308" s="15" t="s">
        <v>31</v>
      </c>
      <c r="D6308" s="16">
        <v>18</v>
      </c>
      <c r="E6308" s="17">
        <v>7556.61</v>
      </c>
      <c r="F6308" s="16">
        <v>0.08</v>
      </c>
      <c r="G6308" s="15" t="s">
        <v>58</v>
      </c>
      <c r="H6308" s="18">
        <v>-352.24200000000002</v>
      </c>
      <c r="I6308" s="19">
        <v>424.21</v>
      </c>
      <c r="J6308" s="19">
        <v>110.2</v>
      </c>
      <c r="K6308" s="19" t="s">
        <v>44</v>
      </c>
      <c r="L6308" s="19" t="s">
        <v>89</v>
      </c>
      <c r="M6308" s="15" t="s">
        <v>2293</v>
      </c>
      <c r="N6308" s="15" t="s">
        <v>54</v>
      </c>
      <c r="O6308" s="15" t="s">
        <v>61</v>
      </c>
      <c r="P6308" s="20" t="s">
        <v>2147</v>
      </c>
      <c r="Q6308" s="15" t="s">
        <v>63</v>
      </c>
      <c r="R6308" s="4"/>
      <c r="S6308" s="4"/>
    </row>
    <row r="6309" spans="1:19" ht="21" customHeight="1" x14ac:dyDescent="0.25">
      <c r="A6309" s="14">
        <f>DATE(2012,12,31)-1007</f>
        <v>40267</v>
      </c>
      <c r="B6309" s="15" t="s">
        <v>2077</v>
      </c>
      <c r="C6309" s="15" t="s">
        <v>31</v>
      </c>
      <c r="D6309" s="16">
        <v>33</v>
      </c>
      <c r="E6309" s="17">
        <v>47.48</v>
      </c>
      <c r="F6309" s="16">
        <v>7.0000000000000007E-2</v>
      </c>
      <c r="G6309" s="15" t="s">
        <v>32</v>
      </c>
      <c r="H6309" s="18">
        <v>3.35</v>
      </c>
      <c r="I6309" s="19">
        <v>1.48</v>
      </c>
      <c r="J6309" s="19">
        <v>0.7</v>
      </c>
      <c r="K6309" s="19" t="s">
        <v>44</v>
      </c>
      <c r="L6309" s="19" t="s">
        <v>120</v>
      </c>
      <c r="M6309" s="15" t="s">
        <v>2262</v>
      </c>
      <c r="N6309" s="15" t="s">
        <v>36</v>
      </c>
      <c r="O6309" s="15" t="s">
        <v>105</v>
      </c>
      <c r="P6309" s="20" t="s">
        <v>1286</v>
      </c>
      <c r="Q6309" s="15" t="s">
        <v>79</v>
      </c>
      <c r="R6309" s="4"/>
      <c r="S6309" s="4"/>
    </row>
    <row r="6310" spans="1:19" ht="21" customHeight="1" x14ac:dyDescent="0.25">
      <c r="A6310" s="14">
        <f>DATE(2012,12,31)-1253</f>
        <v>40021</v>
      </c>
      <c r="B6310" s="15" t="s">
        <v>779</v>
      </c>
      <c r="C6310" s="15" t="s">
        <v>43</v>
      </c>
      <c r="D6310" s="16">
        <v>15</v>
      </c>
      <c r="E6310" s="17">
        <v>30.68</v>
      </c>
      <c r="F6310" s="16">
        <v>0.02</v>
      </c>
      <c r="G6310" s="15" t="s">
        <v>32</v>
      </c>
      <c r="H6310" s="18">
        <v>-37.39</v>
      </c>
      <c r="I6310" s="19">
        <v>1.74</v>
      </c>
      <c r="J6310" s="19">
        <v>4.08</v>
      </c>
      <c r="K6310" s="19" t="s">
        <v>44</v>
      </c>
      <c r="L6310" s="19" t="s">
        <v>45</v>
      </c>
      <c r="M6310" s="15" t="s">
        <v>2271</v>
      </c>
      <c r="N6310" s="15" t="s">
        <v>54</v>
      </c>
      <c r="O6310" s="15" t="s">
        <v>55</v>
      </c>
      <c r="P6310" s="20" t="s">
        <v>1353</v>
      </c>
      <c r="Q6310" s="15" t="s">
        <v>49</v>
      </c>
      <c r="R6310" s="4"/>
      <c r="S6310" s="4"/>
    </row>
    <row r="6311" spans="1:19" ht="21" customHeight="1" x14ac:dyDescent="0.25">
      <c r="A6311" s="14">
        <f>DATE(2012,12,31)-42</f>
        <v>41232</v>
      </c>
      <c r="B6311" s="15" t="s">
        <v>2252</v>
      </c>
      <c r="C6311" s="15" t="s">
        <v>85</v>
      </c>
      <c r="D6311" s="16">
        <v>11</v>
      </c>
      <c r="E6311" s="17">
        <v>773.74</v>
      </c>
      <c r="F6311" s="16">
        <v>0.02</v>
      </c>
      <c r="G6311" s="15" t="s">
        <v>32</v>
      </c>
      <c r="H6311" s="18">
        <v>-309.48</v>
      </c>
      <c r="I6311" s="19">
        <v>64.650000000000006</v>
      </c>
      <c r="J6311" s="19">
        <v>35</v>
      </c>
      <c r="K6311" s="19" t="s">
        <v>44</v>
      </c>
      <c r="L6311" s="19" t="s">
        <v>45</v>
      </c>
      <c r="M6311" s="15" t="s">
        <v>2271</v>
      </c>
      <c r="N6311" s="15" t="s">
        <v>36</v>
      </c>
      <c r="O6311" s="15" t="s">
        <v>37</v>
      </c>
      <c r="P6311" s="20" t="s">
        <v>905</v>
      </c>
      <c r="Q6311" s="15" t="s">
        <v>39</v>
      </c>
      <c r="R6311" s="4"/>
      <c r="S6311" s="4"/>
    </row>
    <row r="6312" spans="1:19" ht="21" customHeight="1" x14ac:dyDescent="0.25">
      <c r="A6312" s="14">
        <f>DATE(2012,12,31)-42</f>
        <v>41232</v>
      </c>
      <c r="B6312" s="15" t="s">
        <v>1544</v>
      </c>
      <c r="C6312" s="15" t="s">
        <v>85</v>
      </c>
      <c r="D6312" s="16">
        <v>16</v>
      </c>
      <c r="E6312" s="17">
        <v>302.13249999999999</v>
      </c>
      <c r="F6312" s="16">
        <v>0.02</v>
      </c>
      <c r="G6312" s="15" t="s">
        <v>32</v>
      </c>
      <c r="H6312" s="18">
        <v>38.906999999999996</v>
      </c>
      <c r="I6312" s="19">
        <v>20.99</v>
      </c>
      <c r="J6312" s="19">
        <v>0.99</v>
      </c>
      <c r="K6312" s="19" t="s">
        <v>44</v>
      </c>
      <c r="L6312" s="19" t="s">
        <v>89</v>
      </c>
      <c r="M6312" s="15" t="s">
        <v>2293</v>
      </c>
      <c r="N6312" s="15" t="s">
        <v>64</v>
      </c>
      <c r="O6312" s="15" t="s">
        <v>65</v>
      </c>
      <c r="P6312" s="20" t="s">
        <v>577</v>
      </c>
      <c r="Q6312" s="15" t="s">
        <v>79</v>
      </c>
      <c r="R6312" s="4"/>
      <c r="S6312" s="4"/>
    </row>
    <row r="6313" spans="1:19" ht="21" customHeight="1" x14ac:dyDescent="0.25">
      <c r="A6313" s="14">
        <f>DATE(2012,12,31)-757</f>
        <v>40517</v>
      </c>
      <c r="B6313" s="15" t="s">
        <v>1544</v>
      </c>
      <c r="C6313" s="15" t="s">
        <v>43</v>
      </c>
      <c r="D6313" s="16">
        <v>34</v>
      </c>
      <c r="E6313" s="17">
        <v>75.569999999999993</v>
      </c>
      <c r="F6313" s="16">
        <v>0.02</v>
      </c>
      <c r="G6313" s="15" t="s">
        <v>32</v>
      </c>
      <c r="H6313" s="18">
        <v>6.87</v>
      </c>
      <c r="I6313" s="19">
        <v>2.1</v>
      </c>
      <c r="J6313" s="19">
        <v>0.7</v>
      </c>
      <c r="K6313" s="19" t="s">
        <v>44</v>
      </c>
      <c r="L6313" s="19" t="s">
        <v>89</v>
      </c>
      <c r="M6313" s="15" t="s">
        <v>2293</v>
      </c>
      <c r="N6313" s="15" t="s">
        <v>36</v>
      </c>
      <c r="O6313" s="15" t="s">
        <v>77</v>
      </c>
      <c r="P6313" s="20" t="s">
        <v>1707</v>
      </c>
      <c r="Q6313" s="15" t="s">
        <v>79</v>
      </c>
      <c r="R6313" s="4"/>
      <c r="S6313" s="4"/>
    </row>
    <row r="6314" spans="1:19" ht="21" customHeight="1" x14ac:dyDescent="0.25">
      <c r="A6314" s="14">
        <f>DATE(2012,12,31)-219</f>
        <v>41055</v>
      </c>
      <c r="B6314" s="15" t="s">
        <v>1311</v>
      </c>
      <c r="C6314" s="15" t="s">
        <v>43</v>
      </c>
      <c r="D6314" s="16">
        <v>45</v>
      </c>
      <c r="E6314" s="17">
        <v>16699.560000000001</v>
      </c>
      <c r="F6314" s="16">
        <v>0.02</v>
      </c>
      <c r="G6314" s="15" t="s">
        <v>58</v>
      </c>
      <c r="H6314" s="18">
        <v>3083.98</v>
      </c>
      <c r="I6314" s="19">
        <v>355.98</v>
      </c>
      <c r="J6314" s="19">
        <v>58.92</v>
      </c>
      <c r="K6314" s="19" t="s">
        <v>44</v>
      </c>
      <c r="L6314" s="19" t="s">
        <v>120</v>
      </c>
      <c r="M6314" s="15" t="s">
        <v>2262</v>
      </c>
      <c r="N6314" s="15" t="s">
        <v>54</v>
      </c>
      <c r="O6314" s="15" t="s">
        <v>252</v>
      </c>
      <c r="P6314" s="20" t="s">
        <v>1875</v>
      </c>
      <c r="Q6314" s="15" t="s">
        <v>181</v>
      </c>
      <c r="R6314" s="4"/>
      <c r="S6314" s="4"/>
    </row>
    <row r="6315" spans="1:19" ht="21" customHeight="1" x14ac:dyDescent="0.25">
      <c r="A6315" s="14">
        <f>DATE(2012,12,31)-1371</f>
        <v>39903</v>
      </c>
      <c r="B6315" s="15" t="s">
        <v>1311</v>
      </c>
      <c r="C6315" s="15" t="s">
        <v>43</v>
      </c>
      <c r="D6315" s="16">
        <v>1</v>
      </c>
      <c r="E6315" s="17">
        <v>54.076999999999998</v>
      </c>
      <c r="F6315" s="16">
        <v>7.0000000000000007E-2</v>
      </c>
      <c r="G6315" s="15" t="s">
        <v>101</v>
      </c>
      <c r="H6315" s="18">
        <v>-232.99100000000001</v>
      </c>
      <c r="I6315" s="19">
        <v>55.99</v>
      </c>
      <c r="J6315" s="19">
        <v>5</v>
      </c>
      <c r="K6315" s="19" t="s">
        <v>44</v>
      </c>
      <c r="L6315" s="19" t="s">
        <v>80</v>
      </c>
      <c r="M6315" s="15" t="s">
        <v>2297</v>
      </c>
      <c r="N6315" s="15" t="s">
        <v>64</v>
      </c>
      <c r="O6315" s="15" t="s">
        <v>65</v>
      </c>
      <c r="P6315" s="20" t="s">
        <v>1399</v>
      </c>
      <c r="Q6315" s="15" t="s">
        <v>49</v>
      </c>
      <c r="R6315" s="4"/>
      <c r="S6315" s="4"/>
    </row>
    <row r="6316" spans="1:19" ht="21" customHeight="1" x14ac:dyDescent="0.25">
      <c r="A6316" s="14">
        <f>DATE(2012,12,31)-1189</f>
        <v>40085</v>
      </c>
      <c r="B6316" s="15" t="s">
        <v>1237</v>
      </c>
      <c r="C6316" s="15" t="s">
        <v>85</v>
      </c>
      <c r="D6316" s="16">
        <v>29</v>
      </c>
      <c r="E6316" s="17">
        <v>209.3</v>
      </c>
      <c r="F6316" s="16">
        <v>7.0000000000000007E-2</v>
      </c>
      <c r="G6316" s="15" t="s">
        <v>101</v>
      </c>
      <c r="H6316" s="18">
        <v>30.49</v>
      </c>
      <c r="I6316" s="19">
        <v>7.08</v>
      </c>
      <c r="J6316" s="19">
        <v>2.35</v>
      </c>
      <c r="K6316" s="19" t="s">
        <v>44</v>
      </c>
      <c r="L6316" s="19" t="s">
        <v>45</v>
      </c>
      <c r="M6316" s="15" t="s">
        <v>2271</v>
      </c>
      <c r="N6316" s="15" t="s">
        <v>36</v>
      </c>
      <c r="O6316" s="15" t="s">
        <v>77</v>
      </c>
      <c r="P6316" s="20" t="s">
        <v>365</v>
      </c>
      <c r="Q6316" s="15" t="s">
        <v>79</v>
      </c>
      <c r="R6316" s="4"/>
      <c r="S6316" s="4"/>
    </row>
    <row r="6317" spans="1:19" ht="21" customHeight="1" x14ac:dyDescent="0.25">
      <c r="A6317" s="14">
        <f>DATE(2012,12,31)-108</f>
        <v>41166</v>
      </c>
      <c r="B6317" s="15" t="s">
        <v>1237</v>
      </c>
      <c r="C6317" s="15" t="s">
        <v>51</v>
      </c>
      <c r="D6317" s="16">
        <v>40</v>
      </c>
      <c r="E6317" s="17">
        <v>1710.65</v>
      </c>
      <c r="F6317" s="16">
        <v>0.01</v>
      </c>
      <c r="G6317" s="15" t="s">
        <v>32</v>
      </c>
      <c r="H6317" s="18">
        <v>782.00850000000003</v>
      </c>
      <c r="I6317" s="19">
        <v>41.94</v>
      </c>
      <c r="J6317" s="19">
        <v>2.99</v>
      </c>
      <c r="K6317" s="19" t="s">
        <v>44</v>
      </c>
      <c r="L6317" s="19" t="s">
        <v>89</v>
      </c>
      <c r="M6317" s="15" t="s">
        <v>2293</v>
      </c>
      <c r="N6317" s="15" t="s">
        <v>36</v>
      </c>
      <c r="O6317" s="15" t="s">
        <v>170</v>
      </c>
      <c r="P6317" s="20" t="s">
        <v>1317</v>
      </c>
      <c r="Q6317" s="15" t="s">
        <v>83</v>
      </c>
      <c r="R6317" s="4"/>
      <c r="S6317" s="4"/>
    </row>
    <row r="6318" spans="1:19" ht="21" customHeight="1" x14ac:dyDescent="0.25">
      <c r="A6318" s="14">
        <f>DATE(2012,12,31)-1351</f>
        <v>39923</v>
      </c>
      <c r="B6318" s="15" t="s">
        <v>439</v>
      </c>
      <c r="C6318" s="15" t="s">
        <v>85</v>
      </c>
      <c r="D6318" s="16">
        <v>13</v>
      </c>
      <c r="E6318" s="17">
        <v>248.76</v>
      </c>
      <c r="F6318" s="16">
        <v>0.1</v>
      </c>
      <c r="G6318" s="15" t="s">
        <v>101</v>
      </c>
      <c r="H6318" s="18">
        <v>35.090000000000003</v>
      </c>
      <c r="I6318" s="19">
        <v>19.98</v>
      </c>
      <c r="J6318" s="19">
        <v>5.77</v>
      </c>
      <c r="K6318" s="19" t="s">
        <v>44</v>
      </c>
      <c r="L6318" s="19" t="s">
        <v>120</v>
      </c>
      <c r="M6318" s="15" t="s">
        <v>2262</v>
      </c>
      <c r="N6318" s="15" t="s">
        <v>36</v>
      </c>
      <c r="O6318" s="15" t="s">
        <v>117</v>
      </c>
      <c r="P6318" s="20" t="s">
        <v>2106</v>
      </c>
      <c r="Q6318" s="15" t="s">
        <v>83</v>
      </c>
      <c r="R6318" s="4"/>
      <c r="S6318" s="4"/>
    </row>
    <row r="6319" spans="1:19" ht="21" customHeight="1" x14ac:dyDescent="0.25">
      <c r="A6319" s="14">
        <f>DATE(2012,12,31)-1351</f>
        <v>39923</v>
      </c>
      <c r="B6319" s="15" t="s">
        <v>439</v>
      </c>
      <c r="C6319" s="15" t="s">
        <v>85</v>
      </c>
      <c r="D6319" s="16">
        <v>43</v>
      </c>
      <c r="E6319" s="17">
        <v>10984.05</v>
      </c>
      <c r="F6319" s="16">
        <v>0.06</v>
      </c>
      <c r="G6319" s="15" t="s">
        <v>58</v>
      </c>
      <c r="H6319" s="18">
        <v>785.63</v>
      </c>
      <c r="I6319" s="19">
        <v>259.70999999999998</v>
      </c>
      <c r="J6319" s="19">
        <v>66.67</v>
      </c>
      <c r="K6319" s="19" t="s">
        <v>44</v>
      </c>
      <c r="L6319" s="19" t="s">
        <v>89</v>
      </c>
      <c r="M6319" s="15" t="s">
        <v>2293</v>
      </c>
      <c r="N6319" s="15" t="s">
        <v>54</v>
      </c>
      <c r="O6319" s="15" t="s">
        <v>61</v>
      </c>
      <c r="P6319" s="20" t="s">
        <v>1165</v>
      </c>
      <c r="Q6319" s="15" t="s">
        <v>63</v>
      </c>
      <c r="R6319" s="4"/>
      <c r="S6319" s="4"/>
    </row>
    <row r="6320" spans="1:19" ht="21" customHeight="1" x14ac:dyDescent="0.25">
      <c r="A6320" s="14">
        <f>DATE(2012,12,31)-1207</f>
        <v>40067</v>
      </c>
      <c r="B6320" s="15" t="s">
        <v>376</v>
      </c>
      <c r="C6320" s="15" t="s">
        <v>85</v>
      </c>
      <c r="D6320" s="16">
        <v>21</v>
      </c>
      <c r="E6320" s="17">
        <v>125.79</v>
      </c>
      <c r="F6320" s="16">
        <v>0.02</v>
      </c>
      <c r="G6320" s="15" t="s">
        <v>32</v>
      </c>
      <c r="H6320" s="18">
        <v>28.526000000000003</v>
      </c>
      <c r="I6320" s="19">
        <v>5.98</v>
      </c>
      <c r="J6320" s="19">
        <v>1.49</v>
      </c>
      <c r="K6320" s="19" t="s">
        <v>44</v>
      </c>
      <c r="L6320" s="19" t="s">
        <v>45</v>
      </c>
      <c r="M6320" s="15" t="s">
        <v>2271</v>
      </c>
      <c r="N6320" s="15" t="s">
        <v>36</v>
      </c>
      <c r="O6320" s="15" t="s">
        <v>170</v>
      </c>
      <c r="P6320" s="20" t="s">
        <v>935</v>
      </c>
      <c r="Q6320" s="15" t="s">
        <v>83</v>
      </c>
      <c r="R6320" s="4"/>
      <c r="S6320" s="4"/>
    </row>
    <row r="6321" spans="1:19" ht="21" customHeight="1" x14ac:dyDescent="0.25">
      <c r="A6321" s="14">
        <f>DATE(2012,12,31)-203</f>
        <v>41071</v>
      </c>
      <c r="B6321" s="15" t="s">
        <v>1876</v>
      </c>
      <c r="C6321" s="15" t="s">
        <v>85</v>
      </c>
      <c r="D6321" s="16">
        <v>27</v>
      </c>
      <c r="E6321" s="17">
        <v>899.97</v>
      </c>
      <c r="F6321" s="16">
        <v>0.09</v>
      </c>
      <c r="G6321" s="15" t="s">
        <v>101</v>
      </c>
      <c r="H6321" s="18">
        <v>-246.3</v>
      </c>
      <c r="I6321" s="19">
        <v>33.979999999999997</v>
      </c>
      <c r="J6321" s="19">
        <v>19.989999999999998</v>
      </c>
      <c r="K6321" s="19" t="s">
        <v>44</v>
      </c>
      <c r="L6321" s="19" t="s">
        <v>89</v>
      </c>
      <c r="M6321" s="15" t="s">
        <v>2293</v>
      </c>
      <c r="N6321" s="15" t="s">
        <v>54</v>
      </c>
      <c r="O6321" s="15" t="s">
        <v>55</v>
      </c>
      <c r="P6321" s="20" t="s">
        <v>1245</v>
      </c>
      <c r="Q6321" s="15" t="s">
        <v>83</v>
      </c>
      <c r="R6321" s="4"/>
      <c r="S6321" s="4"/>
    </row>
    <row r="6322" spans="1:19" ht="21" customHeight="1" x14ac:dyDescent="0.25">
      <c r="A6322" s="14">
        <f>DATE(2012,12,31)-928</f>
        <v>40346</v>
      </c>
      <c r="B6322" s="15" t="s">
        <v>1876</v>
      </c>
      <c r="C6322" s="15" t="s">
        <v>31</v>
      </c>
      <c r="D6322" s="16">
        <v>25</v>
      </c>
      <c r="E6322" s="17">
        <v>187.55</v>
      </c>
      <c r="F6322" s="16">
        <v>0.1</v>
      </c>
      <c r="G6322" s="15" t="s">
        <v>32</v>
      </c>
      <c r="H6322" s="18">
        <v>-171.41</v>
      </c>
      <c r="I6322" s="19">
        <v>7.77</v>
      </c>
      <c r="J6322" s="19">
        <v>9.23</v>
      </c>
      <c r="K6322" s="19" t="s">
        <v>44</v>
      </c>
      <c r="L6322" s="19" t="s">
        <v>89</v>
      </c>
      <c r="M6322" s="15" t="s">
        <v>2293</v>
      </c>
      <c r="N6322" s="15" t="s">
        <v>36</v>
      </c>
      <c r="O6322" s="15" t="s">
        <v>176</v>
      </c>
      <c r="P6322" s="20" t="s">
        <v>1616</v>
      </c>
      <c r="Q6322" s="15" t="s">
        <v>83</v>
      </c>
      <c r="R6322" s="4"/>
      <c r="S6322" s="4"/>
    </row>
    <row r="6323" spans="1:19" ht="21" customHeight="1" x14ac:dyDescent="0.25">
      <c r="A6323" s="14">
        <f>DATE(2012,12,31)-1254</f>
        <v>40020</v>
      </c>
      <c r="B6323" s="15" t="s">
        <v>378</v>
      </c>
      <c r="C6323" s="15" t="s">
        <v>51</v>
      </c>
      <c r="D6323" s="16">
        <v>40</v>
      </c>
      <c r="E6323" s="17">
        <v>21425.91</v>
      </c>
      <c r="F6323" s="16">
        <v>0.01</v>
      </c>
      <c r="G6323" s="15" t="s">
        <v>58</v>
      </c>
      <c r="H6323" s="18">
        <v>7360.43</v>
      </c>
      <c r="I6323" s="19">
        <v>500.98</v>
      </c>
      <c r="J6323" s="19">
        <v>26</v>
      </c>
      <c r="K6323" s="19" t="s">
        <v>44</v>
      </c>
      <c r="L6323" s="19" t="s">
        <v>89</v>
      </c>
      <c r="M6323" s="15" t="s">
        <v>2293</v>
      </c>
      <c r="N6323" s="15" t="s">
        <v>54</v>
      </c>
      <c r="O6323" s="15" t="s">
        <v>252</v>
      </c>
      <c r="P6323" s="20" t="s">
        <v>1849</v>
      </c>
      <c r="Q6323" s="15" t="s">
        <v>181</v>
      </c>
      <c r="R6323" s="4"/>
      <c r="S6323" s="4"/>
    </row>
    <row r="6324" spans="1:19" ht="21" customHeight="1" x14ac:dyDescent="0.25">
      <c r="A6324" s="14">
        <f>DATE(2012,12,31)-131</f>
        <v>41143</v>
      </c>
      <c r="B6324" s="15" t="s">
        <v>1605</v>
      </c>
      <c r="C6324" s="15" t="s">
        <v>85</v>
      </c>
      <c r="D6324" s="16">
        <v>43</v>
      </c>
      <c r="E6324" s="17">
        <v>283.18</v>
      </c>
      <c r="F6324" s="16">
        <v>0.03</v>
      </c>
      <c r="G6324" s="15" t="s">
        <v>32</v>
      </c>
      <c r="H6324" s="18">
        <v>-154.94999999999999</v>
      </c>
      <c r="I6324" s="19">
        <v>6.48</v>
      </c>
      <c r="J6324" s="19">
        <v>7.49</v>
      </c>
      <c r="K6324" s="19" t="s">
        <v>44</v>
      </c>
      <c r="L6324" s="19" t="s">
        <v>120</v>
      </c>
      <c r="M6324" s="15" t="s">
        <v>2262</v>
      </c>
      <c r="N6324" s="15" t="s">
        <v>36</v>
      </c>
      <c r="O6324" s="15" t="s">
        <v>117</v>
      </c>
      <c r="P6324" s="20" t="s">
        <v>1466</v>
      </c>
      <c r="Q6324" s="15" t="s">
        <v>83</v>
      </c>
      <c r="R6324" s="4"/>
      <c r="S6324" s="4"/>
    </row>
    <row r="6325" spans="1:19" ht="21" customHeight="1" x14ac:dyDescent="0.25">
      <c r="A6325" s="14">
        <f>DATE(2012,12,31)-608</f>
        <v>40666</v>
      </c>
      <c r="B6325" s="15" t="s">
        <v>895</v>
      </c>
      <c r="C6325" s="15" t="s">
        <v>85</v>
      </c>
      <c r="D6325" s="16">
        <v>27</v>
      </c>
      <c r="E6325" s="17">
        <v>94.46</v>
      </c>
      <c r="F6325" s="16">
        <v>0.02</v>
      </c>
      <c r="G6325" s="15" t="s">
        <v>32</v>
      </c>
      <c r="H6325" s="18">
        <v>-75.09</v>
      </c>
      <c r="I6325" s="19">
        <v>3.28</v>
      </c>
      <c r="J6325" s="19">
        <v>4.2</v>
      </c>
      <c r="K6325" s="19" t="s">
        <v>44</v>
      </c>
      <c r="L6325" s="19" t="s">
        <v>89</v>
      </c>
      <c r="M6325" s="15" t="s">
        <v>2293</v>
      </c>
      <c r="N6325" s="15" t="s">
        <v>36</v>
      </c>
      <c r="O6325" s="15" t="s">
        <v>77</v>
      </c>
      <c r="P6325" s="20" t="s">
        <v>1377</v>
      </c>
      <c r="Q6325" s="15" t="s">
        <v>79</v>
      </c>
      <c r="R6325" s="4"/>
      <c r="S6325" s="4"/>
    </row>
    <row r="6326" spans="1:19" ht="21" customHeight="1" x14ac:dyDescent="0.25">
      <c r="A6326" s="14">
        <f>DATE(2012,12,31)-1028</f>
        <v>40246</v>
      </c>
      <c r="B6326" s="15" t="s">
        <v>1077</v>
      </c>
      <c r="C6326" s="15" t="s">
        <v>51</v>
      </c>
      <c r="D6326" s="16">
        <v>11</v>
      </c>
      <c r="E6326" s="17">
        <v>85.62</v>
      </c>
      <c r="F6326" s="16">
        <v>7.0000000000000007E-2</v>
      </c>
      <c r="G6326" s="15" t="s">
        <v>32</v>
      </c>
      <c r="H6326" s="18">
        <v>-81.22</v>
      </c>
      <c r="I6326" s="19">
        <v>7.28</v>
      </c>
      <c r="J6326" s="19">
        <v>11.15</v>
      </c>
      <c r="K6326" s="19" t="s">
        <v>44</v>
      </c>
      <c r="L6326" s="19" t="s">
        <v>120</v>
      </c>
      <c r="M6326" s="15" t="s">
        <v>2262</v>
      </c>
      <c r="N6326" s="15" t="s">
        <v>36</v>
      </c>
      <c r="O6326" s="15" t="s">
        <v>117</v>
      </c>
      <c r="P6326" s="20" t="s">
        <v>1833</v>
      </c>
      <c r="Q6326" s="15" t="s">
        <v>83</v>
      </c>
      <c r="R6326" s="4"/>
      <c r="S6326" s="4"/>
    </row>
    <row r="6327" spans="1:19" ht="21" customHeight="1" x14ac:dyDescent="0.25">
      <c r="A6327" s="14">
        <f>DATE(2012,12,31)-1056</f>
        <v>40218</v>
      </c>
      <c r="B6327" s="15" t="s">
        <v>96</v>
      </c>
      <c r="C6327" s="15" t="s">
        <v>85</v>
      </c>
      <c r="D6327" s="16">
        <v>4</v>
      </c>
      <c r="E6327" s="17">
        <v>47.03</v>
      </c>
      <c r="F6327" s="16">
        <v>0.08</v>
      </c>
      <c r="G6327" s="15" t="s">
        <v>32</v>
      </c>
      <c r="H6327" s="18">
        <v>-12.03</v>
      </c>
      <c r="I6327" s="19">
        <v>11.19</v>
      </c>
      <c r="J6327" s="19">
        <v>5.03</v>
      </c>
      <c r="K6327" s="19" t="s">
        <v>44</v>
      </c>
      <c r="L6327" s="19" t="s">
        <v>80</v>
      </c>
      <c r="M6327" s="15" t="s">
        <v>2297</v>
      </c>
      <c r="N6327" s="15" t="s">
        <v>36</v>
      </c>
      <c r="O6327" s="15" t="s">
        <v>117</v>
      </c>
      <c r="P6327" s="20" t="s">
        <v>1469</v>
      </c>
      <c r="Q6327" s="15" t="s">
        <v>83</v>
      </c>
      <c r="R6327" s="4"/>
      <c r="S6327" s="4"/>
    </row>
    <row r="6328" spans="1:19" ht="21" customHeight="1" x14ac:dyDescent="0.25">
      <c r="A6328" s="14">
        <f>DATE(2012,12,31)-775</f>
        <v>40499</v>
      </c>
      <c r="B6328" s="15" t="s">
        <v>1648</v>
      </c>
      <c r="C6328" s="15" t="s">
        <v>51</v>
      </c>
      <c r="D6328" s="16">
        <v>39</v>
      </c>
      <c r="E6328" s="17">
        <v>9362.73</v>
      </c>
      <c r="F6328" s="16">
        <v>0</v>
      </c>
      <c r="G6328" s="15" t="s">
        <v>32</v>
      </c>
      <c r="H6328" s="18">
        <v>2766.29</v>
      </c>
      <c r="I6328" s="19">
        <v>232.58</v>
      </c>
      <c r="J6328" s="19">
        <v>19.989999999999998</v>
      </c>
      <c r="K6328" s="19" t="s">
        <v>44</v>
      </c>
      <c r="L6328" s="19" t="s">
        <v>89</v>
      </c>
      <c r="M6328" s="15" t="s">
        <v>2293</v>
      </c>
      <c r="N6328" s="15" t="s">
        <v>36</v>
      </c>
      <c r="O6328" s="15" t="s">
        <v>176</v>
      </c>
      <c r="P6328" s="20" t="s">
        <v>1535</v>
      </c>
      <c r="Q6328" s="15" t="s">
        <v>83</v>
      </c>
      <c r="R6328" s="4"/>
      <c r="S6328" s="4"/>
    </row>
    <row r="6329" spans="1:19" ht="21" customHeight="1" x14ac:dyDescent="0.25">
      <c r="A6329" s="14">
        <f>DATE(2012,12,31)-775</f>
        <v>40499</v>
      </c>
      <c r="B6329" s="15" t="s">
        <v>1648</v>
      </c>
      <c r="C6329" s="15" t="s">
        <v>51</v>
      </c>
      <c r="D6329" s="16">
        <v>37</v>
      </c>
      <c r="E6329" s="17">
        <v>125.33</v>
      </c>
      <c r="F6329" s="16">
        <v>0.06</v>
      </c>
      <c r="G6329" s="15" t="s">
        <v>101</v>
      </c>
      <c r="H6329" s="18">
        <v>58.5</v>
      </c>
      <c r="I6329" s="19">
        <v>3.08</v>
      </c>
      <c r="J6329" s="19">
        <v>0.5</v>
      </c>
      <c r="K6329" s="19" t="s">
        <v>44</v>
      </c>
      <c r="L6329" s="19" t="s">
        <v>80</v>
      </c>
      <c r="M6329" s="15" t="s">
        <v>2297</v>
      </c>
      <c r="N6329" s="15" t="s">
        <v>36</v>
      </c>
      <c r="O6329" s="15" t="s">
        <v>114</v>
      </c>
      <c r="P6329" s="20" t="s">
        <v>1293</v>
      </c>
      <c r="Q6329" s="15" t="s">
        <v>83</v>
      </c>
      <c r="R6329" s="4"/>
      <c r="S6329" s="4"/>
    </row>
    <row r="6330" spans="1:19" ht="21" customHeight="1" x14ac:dyDescent="0.25">
      <c r="A6330" s="14">
        <f>DATE(2012,12,31)-775</f>
        <v>40499</v>
      </c>
      <c r="B6330" s="15" t="s">
        <v>931</v>
      </c>
      <c r="C6330" s="15" t="s">
        <v>51</v>
      </c>
      <c r="D6330" s="16">
        <v>37</v>
      </c>
      <c r="E6330" s="17">
        <v>99.65</v>
      </c>
      <c r="F6330" s="16">
        <v>0.01</v>
      </c>
      <c r="G6330" s="15" t="s">
        <v>32</v>
      </c>
      <c r="H6330" s="18">
        <v>27</v>
      </c>
      <c r="I6330" s="19">
        <v>2.62</v>
      </c>
      <c r="J6330" s="19">
        <v>0.8</v>
      </c>
      <c r="K6330" s="19" t="s">
        <v>33</v>
      </c>
      <c r="L6330" s="19" t="s">
        <v>93</v>
      </c>
      <c r="M6330" s="15" t="s">
        <v>94</v>
      </c>
      <c r="N6330" s="15" t="s">
        <v>36</v>
      </c>
      <c r="O6330" s="15" t="s">
        <v>105</v>
      </c>
      <c r="P6330" s="20" t="s">
        <v>365</v>
      </c>
      <c r="Q6330" s="15" t="s">
        <v>79</v>
      </c>
      <c r="R6330" s="4"/>
      <c r="S6330" s="4"/>
    </row>
    <row r="6331" spans="1:19" ht="21" customHeight="1" x14ac:dyDescent="0.25">
      <c r="A6331" s="14">
        <f>DATE(2012,12,31)-608</f>
        <v>40666</v>
      </c>
      <c r="B6331" s="15" t="s">
        <v>704</v>
      </c>
      <c r="C6331" s="15" t="s">
        <v>31</v>
      </c>
      <c r="D6331" s="16">
        <v>16</v>
      </c>
      <c r="E6331" s="17">
        <v>112.91</v>
      </c>
      <c r="F6331" s="16">
        <v>0.04</v>
      </c>
      <c r="G6331" s="15" t="s">
        <v>32</v>
      </c>
      <c r="H6331" s="18">
        <v>-72.81</v>
      </c>
      <c r="I6331" s="19">
        <v>6.48</v>
      </c>
      <c r="J6331" s="19">
        <v>8.4</v>
      </c>
      <c r="K6331" s="19" t="s">
        <v>33</v>
      </c>
      <c r="L6331" s="19" t="s">
        <v>93</v>
      </c>
      <c r="M6331" s="15" t="s">
        <v>94</v>
      </c>
      <c r="N6331" s="15" t="s">
        <v>36</v>
      </c>
      <c r="O6331" s="15" t="s">
        <v>117</v>
      </c>
      <c r="P6331" s="20" t="s">
        <v>1238</v>
      </c>
      <c r="Q6331" s="15" t="s">
        <v>83</v>
      </c>
      <c r="R6331" s="4"/>
      <c r="S6331" s="4"/>
    </row>
    <row r="6332" spans="1:19" ht="21" customHeight="1" x14ac:dyDescent="0.25">
      <c r="A6332" s="14">
        <f>DATE(2012,12,31)-608</f>
        <v>40666</v>
      </c>
      <c r="B6332" s="15" t="s">
        <v>426</v>
      </c>
      <c r="C6332" s="15" t="s">
        <v>31</v>
      </c>
      <c r="D6332" s="16">
        <v>22</v>
      </c>
      <c r="E6332" s="17">
        <v>180.92</v>
      </c>
      <c r="F6332" s="16">
        <v>0.1</v>
      </c>
      <c r="G6332" s="15" t="s">
        <v>32</v>
      </c>
      <c r="H6332" s="18">
        <v>-82.54</v>
      </c>
      <c r="I6332" s="19">
        <v>8.57</v>
      </c>
      <c r="J6332" s="19">
        <v>6.14</v>
      </c>
      <c r="K6332" s="19" t="s">
        <v>33</v>
      </c>
      <c r="L6332" s="19" t="s">
        <v>93</v>
      </c>
      <c r="M6332" s="15" t="s">
        <v>94</v>
      </c>
      <c r="N6332" s="15" t="s">
        <v>36</v>
      </c>
      <c r="O6332" s="15" t="s">
        <v>47</v>
      </c>
      <c r="P6332" s="20" t="s">
        <v>1365</v>
      </c>
      <c r="Q6332" s="15" t="s">
        <v>49</v>
      </c>
      <c r="R6332" s="4"/>
      <c r="S6332" s="4"/>
    </row>
    <row r="6333" spans="1:19" ht="21" customHeight="1" x14ac:dyDescent="0.25">
      <c r="A6333" s="14">
        <f>DATE(2012,12,31)-608</f>
        <v>40666</v>
      </c>
      <c r="B6333" s="15" t="s">
        <v>378</v>
      </c>
      <c r="C6333" s="15" t="s">
        <v>31</v>
      </c>
      <c r="D6333" s="16">
        <v>17</v>
      </c>
      <c r="E6333" s="17">
        <v>31.68</v>
      </c>
      <c r="F6333" s="16">
        <v>0.04</v>
      </c>
      <c r="G6333" s="15" t="s">
        <v>32</v>
      </c>
      <c r="H6333" s="18">
        <v>-23.69</v>
      </c>
      <c r="I6333" s="19">
        <v>1.7</v>
      </c>
      <c r="J6333" s="19">
        <v>1.99</v>
      </c>
      <c r="K6333" s="19" t="s">
        <v>33</v>
      </c>
      <c r="L6333" s="19" t="s">
        <v>128</v>
      </c>
      <c r="M6333" s="15" t="s">
        <v>129</v>
      </c>
      <c r="N6333" s="15" t="s">
        <v>64</v>
      </c>
      <c r="O6333" s="15" t="s">
        <v>72</v>
      </c>
      <c r="P6333" s="20" t="s">
        <v>577</v>
      </c>
      <c r="Q6333" s="15" t="s">
        <v>49</v>
      </c>
      <c r="R6333" s="4"/>
      <c r="S6333" s="4"/>
    </row>
    <row r="6334" spans="1:19" ht="21" customHeight="1" x14ac:dyDescent="0.25">
      <c r="A6334" s="14">
        <f>DATE(2012,12,31)-1099</f>
        <v>40175</v>
      </c>
      <c r="B6334" s="15" t="s">
        <v>221</v>
      </c>
      <c r="C6334" s="15" t="s">
        <v>85</v>
      </c>
      <c r="D6334" s="16">
        <v>27</v>
      </c>
      <c r="E6334" s="17">
        <v>575.74</v>
      </c>
      <c r="F6334" s="16">
        <v>0.06</v>
      </c>
      <c r="G6334" s="15" t="s">
        <v>32</v>
      </c>
      <c r="H6334" s="18">
        <v>152.6</v>
      </c>
      <c r="I6334" s="19">
        <v>22.24</v>
      </c>
      <c r="J6334" s="19">
        <v>1.99</v>
      </c>
      <c r="K6334" s="19" t="s">
        <v>33</v>
      </c>
      <c r="L6334" s="19" t="s">
        <v>128</v>
      </c>
      <c r="M6334" s="15" t="s">
        <v>129</v>
      </c>
      <c r="N6334" s="15" t="s">
        <v>64</v>
      </c>
      <c r="O6334" s="15" t="s">
        <v>72</v>
      </c>
      <c r="P6334" s="20" t="s">
        <v>985</v>
      </c>
      <c r="Q6334" s="15" t="s">
        <v>49</v>
      </c>
      <c r="R6334" s="4"/>
      <c r="S6334" s="4"/>
    </row>
    <row r="6335" spans="1:19" ht="21" customHeight="1" x14ac:dyDescent="0.25">
      <c r="A6335" s="14">
        <f>DATE(2012,12,31)-456</f>
        <v>40818</v>
      </c>
      <c r="B6335" s="15" t="s">
        <v>854</v>
      </c>
      <c r="C6335" s="15" t="s">
        <v>31</v>
      </c>
      <c r="D6335" s="16">
        <v>19</v>
      </c>
      <c r="E6335" s="17">
        <v>28.82</v>
      </c>
      <c r="F6335" s="16">
        <v>0</v>
      </c>
      <c r="G6335" s="15" t="s">
        <v>32</v>
      </c>
      <c r="H6335" s="18">
        <v>2.16</v>
      </c>
      <c r="I6335" s="19">
        <v>1.48</v>
      </c>
      <c r="J6335" s="19">
        <v>0.7</v>
      </c>
      <c r="K6335" s="19" t="s">
        <v>33</v>
      </c>
      <c r="L6335" s="19" t="s">
        <v>128</v>
      </c>
      <c r="M6335" s="15" t="s">
        <v>129</v>
      </c>
      <c r="N6335" s="15" t="s">
        <v>36</v>
      </c>
      <c r="O6335" s="15" t="s">
        <v>105</v>
      </c>
      <c r="P6335" s="20" t="s">
        <v>2234</v>
      </c>
      <c r="Q6335" s="15" t="s">
        <v>79</v>
      </c>
      <c r="R6335" s="4"/>
      <c r="S6335" s="4"/>
    </row>
    <row r="6336" spans="1:19" ht="21" customHeight="1" x14ac:dyDescent="0.25">
      <c r="A6336" s="14">
        <f>DATE(2012,12,31)-456</f>
        <v>40818</v>
      </c>
      <c r="B6336" s="15" t="s">
        <v>311</v>
      </c>
      <c r="C6336" s="15" t="s">
        <v>31</v>
      </c>
      <c r="D6336" s="16">
        <v>45</v>
      </c>
      <c r="E6336" s="17">
        <v>75.39</v>
      </c>
      <c r="F6336" s="16">
        <v>0.05</v>
      </c>
      <c r="G6336" s="15" t="s">
        <v>32</v>
      </c>
      <c r="H6336" s="18">
        <v>-4.83</v>
      </c>
      <c r="I6336" s="19">
        <v>1.68</v>
      </c>
      <c r="J6336" s="19">
        <v>0.7</v>
      </c>
      <c r="K6336" s="19" t="s">
        <v>33</v>
      </c>
      <c r="L6336" s="19" t="s">
        <v>93</v>
      </c>
      <c r="M6336" s="15" t="s">
        <v>94</v>
      </c>
      <c r="N6336" s="15" t="s">
        <v>36</v>
      </c>
      <c r="O6336" s="15" t="s">
        <v>77</v>
      </c>
      <c r="P6336" s="20" t="s">
        <v>1324</v>
      </c>
      <c r="Q6336" s="15" t="s">
        <v>79</v>
      </c>
      <c r="R6336" s="4"/>
      <c r="S6336" s="4"/>
    </row>
    <row r="6337" spans="1:19" ht="21" customHeight="1" x14ac:dyDescent="0.25">
      <c r="A6337" s="14">
        <f>DATE(2012,12,31)-7</f>
        <v>41267</v>
      </c>
      <c r="B6337" s="15" t="s">
        <v>2151</v>
      </c>
      <c r="C6337" s="15" t="s">
        <v>85</v>
      </c>
      <c r="D6337" s="16">
        <v>32</v>
      </c>
      <c r="E6337" s="17">
        <v>1673.53</v>
      </c>
      <c r="F6337" s="16">
        <v>0</v>
      </c>
      <c r="G6337" s="15" t="s">
        <v>32</v>
      </c>
      <c r="H6337" s="18">
        <v>524.73</v>
      </c>
      <c r="I6337" s="19">
        <v>51.98</v>
      </c>
      <c r="J6337" s="19">
        <v>10.17</v>
      </c>
      <c r="K6337" s="19" t="s">
        <v>33</v>
      </c>
      <c r="L6337" s="19" t="s">
        <v>128</v>
      </c>
      <c r="M6337" s="15" t="s">
        <v>129</v>
      </c>
      <c r="N6337" s="15" t="s">
        <v>64</v>
      </c>
      <c r="O6337" s="15" t="s">
        <v>122</v>
      </c>
      <c r="P6337" s="20" t="s">
        <v>2303</v>
      </c>
      <c r="Q6337" s="15" t="s">
        <v>57</v>
      </c>
      <c r="R6337" s="4"/>
      <c r="S6337" s="4"/>
    </row>
    <row r="6338" spans="1:19" ht="21" customHeight="1" x14ac:dyDescent="0.25">
      <c r="A6338" s="14">
        <f>DATE(2012,12,31)-7</f>
        <v>41267</v>
      </c>
      <c r="B6338" s="15" t="s">
        <v>92</v>
      </c>
      <c r="C6338" s="15" t="s">
        <v>85</v>
      </c>
      <c r="D6338" s="16">
        <v>32</v>
      </c>
      <c r="E6338" s="17">
        <v>7110.24</v>
      </c>
      <c r="F6338" s="16">
        <v>0.06</v>
      </c>
      <c r="G6338" s="15" t="s">
        <v>58</v>
      </c>
      <c r="H6338" s="18">
        <v>-536.16600000000005</v>
      </c>
      <c r="I6338" s="19">
        <v>218.75</v>
      </c>
      <c r="J6338" s="19">
        <v>69.64</v>
      </c>
      <c r="K6338" s="19" t="s">
        <v>33</v>
      </c>
      <c r="L6338" s="19" t="s">
        <v>93</v>
      </c>
      <c r="M6338" s="15" t="s">
        <v>94</v>
      </c>
      <c r="N6338" s="15" t="s">
        <v>54</v>
      </c>
      <c r="O6338" s="15" t="s">
        <v>61</v>
      </c>
      <c r="P6338" s="20" t="s">
        <v>2243</v>
      </c>
      <c r="Q6338" s="15" t="s">
        <v>63</v>
      </c>
      <c r="R6338" s="4"/>
      <c r="S6338" s="4"/>
    </row>
    <row r="6339" spans="1:19" ht="21" customHeight="1" x14ac:dyDescent="0.25">
      <c r="A6339" s="14">
        <f>DATE(2012,12,31)-1243</f>
        <v>40031</v>
      </c>
      <c r="B6339" s="15" t="s">
        <v>92</v>
      </c>
      <c r="C6339" s="15" t="s">
        <v>51</v>
      </c>
      <c r="D6339" s="16">
        <v>46</v>
      </c>
      <c r="E6339" s="17">
        <v>1219.2485000000001</v>
      </c>
      <c r="F6339" s="16">
        <v>0.01</v>
      </c>
      <c r="G6339" s="15" t="s">
        <v>32</v>
      </c>
      <c r="H6339" s="18">
        <v>132.786</v>
      </c>
      <c r="I6339" s="19">
        <v>28.99</v>
      </c>
      <c r="J6339" s="19">
        <v>8.59</v>
      </c>
      <c r="K6339" s="19" t="s">
        <v>33</v>
      </c>
      <c r="L6339" s="19" t="s">
        <v>128</v>
      </c>
      <c r="M6339" s="15" t="s">
        <v>129</v>
      </c>
      <c r="N6339" s="15" t="s">
        <v>64</v>
      </c>
      <c r="O6339" s="15" t="s">
        <v>65</v>
      </c>
      <c r="P6339" s="20" t="s">
        <v>949</v>
      </c>
      <c r="Q6339" s="15" t="s">
        <v>57</v>
      </c>
      <c r="R6339" s="4"/>
      <c r="S6339" s="4"/>
    </row>
    <row r="6340" spans="1:19" ht="21" customHeight="1" x14ac:dyDescent="0.25">
      <c r="A6340" s="14">
        <f>DATE(2012,12,31)-460</f>
        <v>40814</v>
      </c>
      <c r="B6340" s="15" t="s">
        <v>92</v>
      </c>
      <c r="C6340" s="15" t="s">
        <v>31</v>
      </c>
      <c r="D6340" s="16">
        <v>46</v>
      </c>
      <c r="E6340" s="17">
        <v>88.1</v>
      </c>
      <c r="F6340" s="16">
        <v>0.03</v>
      </c>
      <c r="G6340" s="15" t="s">
        <v>32</v>
      </c>
      <c r="H6340" s="18">
        <v>-161.61000000000001</v>
      </c>
      <c r="I6340" s="19">
        <v>1.76</v>
      </c>
      <c r="J6340" s="19">
        <v>4.8600000000000003</v>
      </c>
      <c r="K6340" s="19" t="s">
        <v>33</v>
      </c>
      <c r="L6340" s="19" t="s">
        <v>93</v>
      </c>
      <c r="M6340" s="15" t="s">
        <v>94</v>
      </c>
      <c r="N6340" s="15" t="s">
        <v>54</v>
      </c>
      <c r="O6340" s="15" t="s">
        <v>55</v>
      </c>
      <c r="P6340" s="20" t="s">
        <v>915</v>
      </c>
      <c r="Q6340" s="15" t="s">
        <v>83</v>
      </c>
      <c r="R6340" s="4"/>
      <c r="S6340" s="4"/>
    </row>
    <row r="6341" spans="1:19" ht="21" customHeight="1" x14ac:dyDescent="0.25">
      <c r="A6341" s="14">
        <f>DATE(2012,12,31)-1074</f>
        <v>40200</v>
      </c>
      <c r="B6341" s="15" t="s">
        <v>279</v>
      </c>
      <c r="C6341" s="15" t="s">
        <v>85</v>
      </c>
      <c r="D6341" s="16">
        <v>17</v>
      </c>
      <c r="E6341" s="17">
        <v>110.74</v>
      </c>
      <c r="F6341" s="16">
        <v>0.09</v>
      </c>
      <c r="G6341" s="15" t="s">
        <v>32</v>
      </c>
      <c r="H6341" s="18">
        <v>-70.31</v>
      </c>
      <c r="I6341" s="19">
        <v>6.48</v>
      </c>
      <c r="J6341" s="19">
        <v>7.49</v>
      </c>
      <c r="K6341" s="19" t="s">
        <v>97</v>
      </c>
      <c r="L6341" s="19" t="s">
        <v>195</v>
      </c>
      <c r="M6341" s="15" t="s">
        <v>2138</v>
      </c>
      <c r="N6341" s="15" t="s">
        <v>36</v>
      </c>
      <c r="O6341" s="15" t="s">
        <v>117</v>
      </c>
      <c r="P6341" s="20" t="s">
        <v>729</v>
      </c>
      <c r="Q6341" s="15" t="s">
        <v>83</v>
      </c>
      <c r="R6341" s="4"/>
      <c r="S6341" s="4"/>
    </row>
    <row r="6342" spans="1:19" ht="21" customHeight="1" x14ac:dyDescent="0.25">
      <c r="A6342" s="14">
        <f>DATE(2012,12,31)-630</f>
        <v>40644</v>
      </c>
      <c r="B6342" s="15" t="s">
        <v>279</v>
      </c>
      <c r="C6342" s="15" t="s">
        <v>51</v>
      </c>
      <c r="D6342" s="16">
        <v>26</v>
      </c>
      <c r="E6342" s="17">
        <v>73.819999999999993</v>
      </c>
      <c r="F6342" s="16">
        <v>0.08</v>
      </c>
      <c r="G6342" s="15" t="s">
        <v>32</v>
      </c>
      <c r="H6342" s="18">
        <v>2.0059999999999998</v>
      </c>
      <c r="I6342" s="19">
        <v>2.88</v>
      </c>
      <c r="J6342" s="19">
        <v>1.49</v>
      </c>
      <c r="K6342" s="19" t="s">
        <v>97</v>
      </c>
      <c r="L6342" s="19" t="s">
        <v>98</v>
      </c>
      <c r="M6342" s="15" t="s">
        <v>2279</v>
      </c>
      <c r="N6342" s="15" t="s">
        <v>36</v>
      </c>
      <c r="O6342" s="15" t="s">
        <v>170</v>
      </c>
      <c r="P6342" s="20" t="s">
        <v>1727</v>
      </c>
      <c r="Q6342" s="15" t="s">
        <v>83</v>
      </c>
      <c r="R6342" s="4"/>
      <c r="S6342" s="4"/>
    </row>
    <row r="6343" spans="1:19" ht="21" customHeight="1" x14ac:dyDescent="0.25">
      <c r="A6343" s="14">
        <f>DATE(2012,12,31)-912</f>
        <v>40362</v>
      </c>
      <c r="B6343" s="15" t="s">
        <v>279</v>
      </c>
      <c r="C6343" s="15" t="s">
        <v>51</v>
      </c>
      <c r="D6343" s="16">
        <v>20</v>
      </c>
      <c r="E6343" s="17">
        <v>5304.42</v>
      </c>
      <c r="F6343" s="16">
        <v>0.01</v>
      </c>
      <c r="G6343" s="15" t="s">
        <v>58</v>
      </c>
      <c r="H6343" s="18">
        <v>-633.44123700000023</v>
      </c>
      <c r="I6343" s="19">
        <v>262.11</v>
      </c>
      <c r="J6343" s="19">
        <v>62.74</v>
      </c>
      <c r="K6343" s="19" t="s">
        <v>97</v>
      </c>
      <c r="L6343" s="19" t="s">
        <v>98</v>
      </c>
      <c r="M6343" s="15" t="s">
        <v>2279</v>
      </c>
      <c r="N6343" s="15" t="s">
        <v>54</v>
      </c>
      <c r="O6343" s="15" t="s">
        <v>61</v>
      </c>
      <c r="P6343" s="20" t="s">
        <v>1852</v>
      </c>
      <c r="Q6343" s="15" t="s">
        <v>63</v>
      </c>
      <c r="R6343" s="4"/>
      <c r="S6343" s="4"/>
    </row>
    <row r="6344" spans="1:19" ht="21" customHeight="1" x14ac:dyDescent="0.25">
      <c r="A6344" s="14">
        <f>DATE(2012,12,31)-891</f>
        <v>40383</v>
      </c>
      <c r="B6344" s="15" t="s">
        <v>325</v>
      </c>
      <c r="C6344" s="15" t="s">
        <v>51</v>
      </c>
      <c r="D6344" s="16">
        <v>1</v>
      </c>
      <c r="E6344" s="17">
        <v>18.16</v>
      </c>
      <c r="F6344" s="16">
        <v>0.03</v>
      </c>
      <c r="G6344" s="15" t="s">
        <v>32</v>
      </c>
      <c r="H6344" s="18">
        <v>-7.25</v>
      </c>
      <c r="I6344" s="19">
        <v>12.28</v>
      </c>
      <c r="J6344" s="19">
        <v>6.13</v>
      </c>
      <c r="K6344" s="19" t="s">
        <v>97</v>
      </c>
      <c r="L6344" s="19" t="s">
        <v>195</v>
      </c>
      <c r="M6344" s="15" t="s">
        <v>2138</v>
      </c>
      <c r="N6344" s="15" t="s">
        <v>36</v>
      </c>
      <c r="O6344" s="15" t="s">
        <v>37</v>
      </c>
      <c r="P6344" s="20" t="s">
        <v>1401</v>
      </c>
      <c r="Q6344" s="15" t="s">
        <v>83</v>
      </c>
      <c r="R6344" s="4"/>
      <c r="S6344" s="4"/>
    </row>
    <row r="6345" spans="1:19" ht="21" customHeight="1" x14ac:dyDescent="0.25">
      <c r="A6345" s="14">
        <f>DATE(2012,12,31)-697</f>
        <v>40577</v>
      </c>
      <c r="B6345" s="15" t="s">
        <v>163</v>
      </c>
      <c r="C6345" s="15" t="s">
        <v>43</v>
      </c>
      <c r="D6345" s="16">
        <v>35</v>
      </c>
      <c r="E6345" s="17">
        <v>1327.59</v>
      </c>
      <c r="F6345" s="16">
        <v>0.05</v>
      </c>
      <c r="G6345" s="15" t="s">
        <v>101</v>
      </c>
      <c r="H6345" s="18">
        <v>371.28</v>
      </c>
      <c r="I6345" s="19">
        <v>37.74</v>
      </c>
      <c r="J6345" s="19">
        <v>2.9</v>
      </c>
      <c r="K6345" s="19" t="s">
        <v>97</v>
      </c>
      <c r="L6345" s="19" t="s">
        <v>195</v>
      </c>
      <c r="M6345" s="15" t="s">
        <v>2138</v>
      </c>
      <c r="N6345" s="15" t="s">
        <v>36</v>
      </c>
      <c r="O6345" s="15" t="s">
        <v>77</v>
      </c>
      <c r="P6345" s="20" t="s">
        <v>1165</v>
      </c>
      <c r="Q6345" s="15" t="s">
        <v>49</v>
      </c>
      <c r="R6345" s="4"/>
      <c r="S6345" s="4"/>
    </row>
    <row r="6346" spans="1:19" ht="21" customHeight="1" x14ac:dyDescent="0.25">
      <c r="A6346" s="14">
        <f>DATE(2012,12,31)-697</f>
        <v>40577</v>
      </c>
      <c r="B6346" s="15" t="s">
        <v>163</v>
      </c>
      <c r="C6346" s="15" t="s">
        <v>43</v>
      </c>
      <c r="D6346" s="16">
        <v>39</v>
      </c>
      <c r="E6346" s="17">
        <v>3401.8</v>
      </c>
      <c r="F6346" s="16">
        <v>0.09</v>
      </c>
      <c r="G6346" s="15" t="s">
        <v>101</v>
      </c>
      <c r="H6346" s="18">
        <v>-508.87</v>
      </c>
      <c r="I6346" s="19">
        <v>95.43</v>
      </c>
      <c r="J6346" s="19">
        <v>19.989999999999998</v>
      </c>
      <c r="K6346" s="19" t="s">
        <v>97</v>
      </c>
      <c r="L6346" s="19" t="s">
        <v>195</v>
      </c>
      <c r="M6346" s="15" t="s">
        <v>2138</v>
      </c>
      <c r="N6346" s="15" t="s">
        <v>36</v>
      </c>
      <c r="O6346" s="15" t="s">
        <v>37</v>
      </c>
      <c r="P6346" s="20" t="s">
        <v>102</v>
      </c>
      <c r="Q6346" s="15" t="s">
        <v>83</v>
      </c>
      <c r="R6346" s="4"/>
      <c r="S6346" s="4"/>
    </row>
    <row r="6347" spans="1:19" ht="21" customHeight="1" x14ac:dyDescent="0.25">
      <c r="A6347" s="14">
        <f>DATE(2012,12,31)-697</f>
        <v>40577</v>
      </c>
      <c r="B6347" s="15" t="s">
        <v>384</v>
      </c>
      <c r="C6347" s="15" t="s">
        <v>43</v>
      </c>
      <c r="D6347" s="16">
        <v>4</v>
      </c>
      <c r="E6347" s="17">
        <v>130.13999999999999</v>
      </c>
      <c r="F6347" s="16">
        <v>0.04</v>
      </c>
      <c r="G6347" s="15" t="s">
        <v>32</v>
      </c>
      <c r="H6347" s="18">
        <v>-116.18</v>
      </c>
      <c r="I6347" s="19">
        <v>30.42</v>
      </c>
      <c r="J6347" s="19">
        <v>8.65</v>
      </c>
      <c r="K6347" s="19" t="s">
        <v>97</v>
      </c>
      <c r="L6347" s="19" t="s">
        <v>98</v>
      </c>
      <c r="M6347" s="15" t="s">
        <v>2279</v>
      </c>
      <c r="N6347" s="15" t="s">
        <v>64</v>
      </c>
      <c r="O6347" s="15" t="s">
        <v>72</v>
      </c>
      <c r="P6347" s="20" t="s">
        <v>1197</v>
      </c>
      <c r="Q6347" s="15" t="s">
        <v>83</v>
      </c>
      <c r="R6347" s="4"/>
      <c r="S6347" s="4"/>
    </row>
    <row r="6348" spans="1:19" ht="21" customHeight="1" x14ac:dyDescent="0.25">
      <c r="A6348" s="14">
        <f>DATE(2012,12,31)-770</f>
        <v>40504</v>
      </c>
      <c r="B6348" s="15" t="s">
        <v>384</v>
      </c>
      <c r="C6348" s="15" t="s">
        <v>31</v>
      </c>
      <c r="D6348" s="16">
        <v>9</v>
      </c>
      <c r="E6348" s="17">
        <v>1418.9559999999999</v>
      </c>
      <c r="F6348" s="16">
        <v>0.09</v>
      </c>
      <c r="G6348" s="15" t="s">
        <v>32</v>
      </c>
      <c r="H6348" s="18">
        <v>-447.41399999999999</v>
      </c>
      <c r="I6348" s="19">
        <v>195.99</v>
      </c>
      <c r="J6348" s="19">
        <v>4.2</v>
      </c>
      <c r="K6348" s="19" t="s">
        <v>97</v>
      </c>
      <c r="L6348" s="19" t="s">
        <v>98</v>
      </c>
      <c r="M6348" s="15" t="s">
        <v>2279</v>
      </c>
      <c r="N6348" s="15" t="s">
        <v>64</v>
      </c>
      <c r="O6348" s="15" t="s">
        <v>65</v>
      </c>
      <c r="P6348" s="20" t="s">
        <v>425</v>
      </c>
      <c r="Q6348" s="15" t="s">
        <v>83</v>
      </c>
      <c r="R6348" s="4"/>
      <c r="S6348" s="4"/>
    </row>
    <row r="6349" spans="1:19" ht="21" customHeight="1" x14ac:dyDescent="0.25">
      <c r="A6349" s="14">
        <f>DATE(2012,12,31)-1362</f>
        <v>39912</v>
      </c>
      <c r="B6349" s="15" t="s">
        <v>311</v>
      </c>
      <c r="C6349" s="15" t="s">
        <v>85</v>
      </c>
      <c r="D6349" s="16">
        <v>39</v>
      </c>
      <c r="E6349" s="17">
        <v>14591.44</v>
      </c>
      <c r="F6349" s="16">
        <v>7.0000000000000007E-2</v>
      </c>
      <c r="G6349" s="15" t="s">
        <v>58</v>
      </c>
      <c r="H6349" s="18">
        <v>5475.8</v>
      </c>
      <c r="I6349" s="19">
        <v>400.97</v>
      </c>
      <c r="J6349" s="19">
        <v>48.26</v>
      </c>
      <c r="K6349" s="19" t="s">
        <v>97</v>
      </c>
      <c r="L6349" s="19" t="s">
        <v>98</v>
      </c>
      <c r="M6349" s="15" t="s">
        <v>2279</v>
      </c>
      <c r="N6349" s="15" t="s">
        <v>64</v>
      </c>
      <c r="O6349" s="15" t="s">
        <v>122</v>
      </c>
      <c r="P6349" s="20" t="s">
        <v>1604</v>
      </c>
      <c r="Q6349" s="15" t="s">
        <v>63</v>
      </c>
      <c r="R6349" s="4"/>
      <c r="S6349" s="4"/>
    </row>
    <row r="6350" spans="1:19" ht="21" customHeight="1" x14ac:dyDescent="0.25">
      <c r="A6350" s="14">
        <f>DATE(2012,12,31)-217</f>
        <v>41057</v>
      </c>
      <c r="B6350" s="15" t="s">
        <v>1830</v>
      </c>
      <c r="C6350" s="15" t="s">
        <v>85</v>
      </c>
      <c r="D6350" s="16">
        <v>6</v>
      </c>
      <c r="E6350" s="17">
        <v>975.5</v>
      </c>
      <c r="F6350" s="16">
        <v>0.09</v>
      </c>
      <c r="G6350" s="15" t="s">
        <v>58</v>
      </c>
      <c r="H6350" s="18">
        <v>-252.01</v>
      </c>
      <c r="I6350" s="19">
        <v>160.97999999999999</v>
      </c>
      <c r="J6350" s="19">
        <v>35.020000000000003</v>
      </c>
      <c r="K6350" s="19" t="s">
        <v>124</v>
      </c>
      <c r="L6350" s="19" t="s">
        <v>160</v>
      </c>
      <c r="M6350" s="15" t="s">
        <v>2281</v>
      </c>
      <c r="N6350" s="15" t="s">
        <v>54</v>
      </c>
      <c r="O6350" s="15" t="s">
        <v>134</v>
      </c>
      <c r="P6350" s="20" t="s">
        <v>1287</v>
      </c>
      <c r="Q6350" s="15" t="s">
        <v>63</v>
      </c>
      <c r="R6350" s="4"/>
      <c r="S6350" s="4"/>
    </row>
    <row r="6351" spans="1:19" ht="21" customHeight="1" x14ac:dyDescent="0.25">
      <c r="A6351" s="14">
        <f>DATE(2012,12,31)-217</f>
        <v>41057</v>
      </c>
      <c r="B6351" s="15" t="s">
        <v>1755</v>
      </c>
      <c r="C6351" s="15" t="s">
        <v>85</v>
      </c>
      <c r="D6351" s="16">
        <v>32</v>
      </c>
      <c r="E6351" s="17">
        <v>4834.8</v>
      </c>
      <c r="F6351" s="16">
        <v>0</v>
      </c>
      <c r="G6351" s="15" t="s">
        <v>32</v>
      </c>
      <c r="H6351" s="18">
        <v>1193.1120000000001</v>
      </c>
      <c r="I6351" s="19">
        <v>175.99</v>
      </c>
      <c r="J6351" s="19">
        <v>4.99</v>
      </c>
      <c r="K6351" s="19" t="s">
        <v>124</v>
      </c>
      <c r="L6351" s="19" t="s">
        <v>160</v>
      </c>
      <c r="M6351" s="15" t="s">
        <v>2281</v>
      </c>
      <c r="N6351" s="15" t="s">
        <v>64</v>
      </c>
      <c r="O6351" s="15" t="s">
        <v>65</v>
      </c>
      <c r="P6351" s="20" t="s">
        <v>985</v>
      </c>
      <c r="Q6351" s="15" t="s">
        <v>83</v>
      </c>
      <c r="R6351" s="4"/>
      <c r="S6351" s="4"/>
    </row>
    <row r="6352" spans="1:19" ht="21" customHeight="1" x14ac:dyDescent="0.25">
      <c r="A6352" s="14">
        <f>DATE(2012,12,31)-1</f>
        <v>41273</v>
      </c>
      <c r="B6352" s="15" t="s">
        <v>1755</v>
      </c>
      <c r="C6352" s="15" t="s">
        <v>85</v>
      </c>
      <c r="D6352" s="16">
        <v>10</v>
      </c>
      <c r="E6352" s="17">
        <v>14.15</v>
      </c>
      <c r="F6352" s="16">
        <v>0.1</v>
      </c>
      <c r="G6352" s="15" t="s">
        <v>32</v>
      </c>
      <c r="H6352" s="18">
        <v>-1.29</v>
      </c>
      <c r="I6352" s="19">
        <v>1.48</v>
      </c>
      <c r="J6352" s="19">
        <v>0.7</v>
      </c>
      <c r="K6352" s="19" t="s">
        <v>124</v>
      </c>
      <c r="L6352" s="19" t="s">
        <v>493</v>
      </c>
      <c r="M6352" s="15" t="s">
        <v>2299</v>
      </c>
      <c r="N6352" s="15" t="s">
        <v>36</v>
      </c>
      <c r="O6352" s="15" t="s">
        <v>105</v>
      </c>
      <c r="P6352" s="20" t="s">
        <v>806</v>
      </c>
      <c r="Q6352" s="15" t="s">
        <v>79</v>
      </c>
      <c r="R6352" s="4"/>
      <c r="S6352" s="4"/>
    </row>
    <row r="6353" spans="1:19" ht="21" customHeight="1" x14ac:dyDescent="0.25">
      <c r="A6353" s="14">
        <f>DATE(2012,12,31)-685</f>
        <v>40589</v>
      </c>
      <c r="B6353" s="15" t="s">
        <v>1455</v>
      </c>
      <c r="C6353" s="15" t="s">
        <v>31</v>
      </c>
      <c r="D6353" s="16">
        <v>44</v>
      </c>
      <c r="E6353" s="17">
        <v>181.61</v>
      </c>
      <c r="F6353" s="16">
        <v>0.03</v>
      </c>
      <c r="G6353" s="15" t="s">
        <v>32</v>
      </c>
      <c r="H6353" s="18">
        <v>-150.25899999999999</v>
      </c>
      <c r="I6353" s="19">
        <v>4.13</v>
      </c>
      <c r="J6353" s="19">
        <v>5.34</v>
      </c>
      <c r="K6353" s="19" t="s">
        <v>124</v>
      </c>
      <c r="L6353" s="19" t="s">
        <v>160</v>
      </c>
      <c r="M6353" s="15" t="s">
        <v>2281</v>
      </c>
      <c r="N6353" s="15" t="s">
        <v>36</v>
      </c>
      <c r="O6353" s="15" t="s">
        <v>170</v>
      </c>
      <c r="P6353" s="20" t="s">
        <v>1510</v>
      </c>
      <c r="Q6353" s="15" t="s">
        <v>83</v>
      </c>
      <c r="R6353" s="4"/>
      <c r="S6353" s="4"/>
    </row>
    <row r="6354" spans="1:19" ht="21" customHeight="1" x14ac:dyDescent="0.25">
      <c r="A6354" s="14">
        <f>DATE(2012,12,31)-685</f>
        <v>40589</v>
      </c>
      <c r="B6354" s="15" t="s">
        <v>1007</v>
      </c>
      <c r="C6354" s="15" t="s">
        <v>31</v>
      </c>
      <c r="D6354" s="16">
        <v>35</v>
      </c>
      <c r="E6354" s="17">
        <v>111.55</v>
      </c>
      <c r="F6354" s="16">
        <v>0.05</v>
      </c>
      <c r="G6354" s="15" t="s">
        <v>32</v>
      </c>
      <c r="H6354" s="18">
        <v>-54.25</v>
      </c>
      <c r="I6354" s="19">
        <v>3.14</v>
      </c>
      <c r="J6354" s="19">
        <v>1.92</v>
      </c>
      <c r="K6354" s="19" t="s">
        <v>124</v>
      </c>
      <c r="L6354" s="19" t="s">
        <v>160</v>
      </c>
      <c r="M6354" s="15" t="s">
        <v>2281</v>
      </c>
      <c r="N6354" s="15" t="s">
        <v>36</v>
      </c>
      <c r="O6354" s="15" t="s">
        <v>47</v>
      </c>
      <c r="P6354" s="20" t="s">
        <v>1707</v>
      </c>
      <c r="Q6354" s="15" t="s">
        <v>79</v>
      </c>
      <c r="R6354" s="4"/>
      <c r="S6354" s="4"/>
    </row>
    <row r="6355" spans="1:19" ht="21" customHeight="1" x14ac:dyDescent="0.25">
      <c r="A6355" s="14">
        <f>DATE(2012,12,31)-688</f>
        <v>40586</v>
      </c>
      <c r="B6355" s="15" t="s">
        <v>1575</v>
      </c>
      <c r="C6355" s="15" t="s">
        <v>31</v>
      </c>
      <c r="D6355" s="16">
        <v>30</v>
      </c>
      <c r="E6355" s="17">
        <v>663.24</v>
      </c>
      <c r="F6355" s="16">
        <v>0.01</v>
      </c>
      <c r="G6355" s="15" t="s">
        <v>32</v>
      </c>
      <c r="H6355" s="18">
        <v>76.33</v>
      </c>
      <c r="I6355" s="19">
        <v>20.48</v>
      </c>
      <c r="J6355" s="19">
        <v>6.32</v>
      </c>
      <c r="K6355" s="19" t="s">
        <v>124</v>
      </c>
      <c r="L6355" s="19" t="s">
        <v>160</v>
      </c>
      <c r="M6355" s="15" t="s">
        <v>2281</v>
      </c>
      <c r="N6355" s="15" t="s">
        <v>36</v>
      </c>
      <c r="O6355" s="15" t="s">
        <v>176</v>
      </c>
      <c r="P6355" s="20" t="s">
        <v>371</v>
      </c>
      <c r="Q6355" s="15" t="s">
        <v>83</v>
      </c>
      <c r="R6355" s="4"/>
      <c r="S6355" s="4"/>
    </row>
    <row r="6356" spans="1:19" ht="21" customHeight="1" x14ac:dyDescent="0.25">
      <c r="A6356" s="14">
        <f>DATE(2012,12,31)-688</f>
        <v>40586</v>
      </c>
      <c r="B6356" s="15" t="s">
        <v>1575</v>
      </c>
      <c r="C6356" s="15" t="s">
        <v>31</v>
      </c>
      <c r="D6356" s="16">
        <v>35</v>
      </c>
      <c r="E6356" s="17">
        <v>238.08</v>
      </c>
      <c r="F6356" s="16">
        <v>7.0000000000000007E-2</v>
      </c>
      <c r="G6356" s="15" t="s">
        <v>32</v>
      </c>
      <c r="H6356" s="18">
        <v>31.654000000000003</v>
      </c>
      <c r="I6356" s="19">
        <v>6.75</v>
      </c>
      <c r="J6356" s="19">
        <v>2.99</v>
      </c>
      <c r="K6356" s="19" t="s">
        <v>124</v>
      </c>
      <c r="L6356" s="19" t="s">
        <v>160</v>
      </c>
      <c r="M6356" s="15" t="s">
        <v>2281</v>
      </c>
      <c r="N6356" s="15" t="s">
        <v>36</v>
      </c>
      <c r="O6356" s="15" t="s">
        <v>170</v>
      </c>
      <c r="P6356" s="20" t="s">
        <v>379</v>
      </c>
      <c r="Q6356" s="15" t="s">
        <v>83</v>
      </c>
      <c r="R6356" s="4"/>
      <c r="S6356" s="4"/>
    </row>
    <row r="6357" spans="1:19" ht="21" customHeight="1" x14ac:dyDescent="0.25">
      <c r="A6357" s="14">
        <f>DATE(2012,12,31)-688</f>
        <v>40586</v>
      </c>
      <c r="B6357" s="15" t="s">
        <v>1575</v>
      </c>
      <c r="C6357" s="15" t="s">
        <v>31</v>
      </c>
      <c r="D6357" s="16">
        <v>14</v>
      </c>
      <c r="E6357" s="17">
        <v>174.3</v>
      </c>
      <c r="F6357" s="16">
        <v>0.08</v>
      </c>
      <c r="G6357" s="15" t="s">
        <v>32</v>
      </c>
      <c r="H6357" s="18">
        <v>75.58</v>
      </c>
      <c r="I6357" s="19">
        <v>12.53</v>
      </c>
      <c r="J6357" s="19">
        <v>0.5</v>
      </c>
      <c r="K6357" s="19" t="s">
        <v>124</v>
      </c>
      <c r="L6357" s="19" t="s">
        <v>160</v>
      </c>
      <c r="M6357" s="15" t="s">
        <v>2281</v>
      </c>
      <c r="N6357" s="15" t="s">
        <v>36</v>
      </c>
      <c r="O6357" s="15" t="s">
        <v>114</v>
      </c>
      <c r="P6357" s="20" t="s">
        <v>1175</v>
      </c>
      <c r="Q6357" s="15" t="s">
        <v>83</v>
      </c>
      <c r="R6357" s="4"/>
      <c r="S6357" s="4"/>
    </row>
    <row r="6358" spans="1:19" ht="21" customHeight="1" x14ac:dyDescent="0.25">
      <c r="A6358" s="14">
        <f>DATE(2012,12,31)-996</f>
        <v>40278</v>
      </c>
      <c r="B6358" s="15" t="s">
        <v>1423</v>
      </c>
      <c r="C6358" s="15" t="s">
        <v>31</v>
      </c>
      <c r="D6358" s="16">
        <v>40</v>
      </c>
      <c r="E6358" s="17">
        <v>375.52</v>
      </c>
      <c r="F6358" s="16">
        <v>0.09</v>
      </c>
      <c r="G6358" s="15" t="s">
        <v>32</v>
      </c>
      <c r="H6358" s="18">
        <v>131.69999999999999</v>
      </c>
      <c r="I6358" s="19">
        <v>9.68</v>
      </c>
      <c r="J6358" s="19">
        <v>2.0299999999999998</v>
      </c>
      <c r="K6358" s="19" t="s">
        <v>124</v>
      </c>
      <c r="L6358" s="19" t="s">
        <v>160</v>
      </c>
      <c r="M6358" s="15" t="s">
        <v>2281</v>
      </c>
      <c r="N6358" s="15" t="s">
        <v>36</v>
      </c>
      <c r="O6358" s="15" t="s">
        <v>117</v>
      </c>
      <c r="P6358" s="20" t="s">
        <v>1393</v>
      </c>
      <c r="Q6358" s="15" t="s">
        <v>79</v>
      </c>
      <c r="R6358" s="4"/>
      <c r="S6358" s="4"/>
    </row>
    <row r="6359" spans="1:19" ht="21" customHeight="1" x14ac:dyDescent="0.25">
      <c r="A6359" s="14">
        <f>DATE(2012,12,31)-996</f>
        <v>40278</v>
      </c>
      <c r="B6359" s="15" t="s">
        <v>131</v>
      </c>
      <c r="C6359" s="15" t="s">
        <v>31</v>
      </c>
      <c r="D6359" s="16">
        <v>15</v>
      </c>
      <c r="E6359" s="17">
        <v>63.84</v>
      </c>
      <c r="F6359" s="16">
        <v>0.03</v>
      </c>
      <c r="G6359" s="15" t="s">
        <v>101</v>
      </c>
      <c r="H6359" s="18">
        <v>23.52</v>
      </c>
      <c r="I6359" s="19">
        <v>3.78</v>
      </c>
      <c r="J6359" s="19">
        <v>0.71</v>
      </c>
      <c r="K6359" s="19" t="s">
        <v>124</v>
      </c>
      <c r="L6359" s="19" t="s">
        <v>164</v>
      </c>
      <c r="M6359" s="15" t="s">
        <v>2286</v>
      </c>
      <c r="N6359" s="15" t="s">
        <v>36</v>
      </c>
      <c r="O6359" s="15" t="s">
        <v>105</v>
      </c>
      <c r="P6359" s="20" t="s">
        <v>1937</v>
      </c>
      <c r="Q6359" s="15" t="s">
        <v>79</v>
      </c>
      <c r="R6359" s="4"/>
      <c r="S6359" s="4"/>
    </row>
    <row r="6360" spans="1:19" ht="21" customHeight="1" x14ac:dyDescent="0.25">
      <c r="A6360" s="14">
        <f>DATE(2012,12,31)-928</f>
        <v>40346</v>
      </c>
      <c r="B6360" s="15" t="s">
        <v>867</v>
      </c>
      <c r="C6360" s="15" t="s">
        <v>31</v>
      </c>
      <c r="D6360" s="16">
        <v>25</v>
      </c>
      <c r="E6360" s="17">
        <v>14647.26</v>
      </c>
      <c r="F6360" s="16">
        <v>7.0000000000000007E-2</v>
      </c>
      <c r="G6360" s="15" t="s">
        <v>32</v>
      </c>
      <c r="H6360" s="18">
        <v>5485.15</v>
      </c>
      <c r="I6360" s="19">
        <v>599.99</v>
      </c>
      <c r="J6360" s="19">
        <v>24.49</v>
      </c>
      <c r="K6360" s="19" t="s">
        <v>124</v>
      </c>
      <c r="L6360" s="19" t="s">
        <v>160</v>
      </c>
      <c r="M6360" s="15" t="s">
        <v>2281</v>
      </c>
      <c r="N6360" s="15" t="s">
        <v>64</v>
      </c>
      <c r="O6360" s="15" t="s">
        <v>460</v>
      </c>
      <c r="P6360" s="20" t="s">
        <v>451</v>
      </c>
      <c r="Q6360" s="15" t="s">
        <v>39</v>
      </c>
      <c r="R6360" s="4"/>
      <c r="S6360" s="4"/>
    </row>
    <row r="6361" spans="1:19" ht="21" customHeight="1" x14ac:dyDescent="0.25">
      <c r="A6361" s="14">
        <f>DATE(2012,12,31)-928</f>
        <v>40346</v>
      </c>
      <c r="B6361" s="15" t="s">
        <v>867</v>
      </c>
      <c r="C6361" s="15" t="s">
        <v>31</v>
      </c>
      <c r="D6361" s="16">
        <v>10</v>
      </c>
      <c r="E6361" s="17">
        <v>26.11</v>
      </c>
      <c r="F6361" s="16">
        <v>0.08</v>
      </c>
      <c r="G6361" s="15" t="s">
        <v>32</v>
      </c>
      <c r="H6361" s="18">
        <v>2.65</v>
      </c>
      <c r="I6361" s="19">
        <v>2.62</v>
      </c>
      <c r="J6361" s="19">
        <v>0.8</v>
      </c>
      <c r="K6361" s="19" t="s">
        <v>124</v>
      </c>
      <c r="L6361" s="19" t="s">
        <v>493</v>
      </c>
      <c r="M6361" s="15" t="s">
        <v>2299</v>
      </c>
      <c r="N6361" s="15" t="s">
        <v>36</v>
      </c>
      <c r="O6361" s="15" t="s">
        <v>105</v>
      </c>
      <c r="P6361" s="20" t="s">
        <v>452</v>
      </c>
      <c r="Q6361" s="15" t="s">
        <v>79</v>
      </c>
      <c r="R6361" s="4"/>
      <c r="S6361" s="4"/>
    </row>
    <row r="6362" spans="1:19" ht="21" customHeight="1" x14ac:dyDescent="0.25">
      <c r="A6362" s="14">
        <f>DATE(2012,12,31)-773</f>
        <v>40501</v>
      </c>
      <c r="B6362" s="15" t="s">
        <v>1080</v>
      </c>
      <c r="C6362" s="15" t="s">
        <v>51</v>
      </c>
      <c r="D6362" s="16">
        <v>13</v>
      </c>
      <c r="E6362" s="17">
        <v>2084.96</v>
      </c>
      <c r="F6362" s="16">
        <v>0</v>
      </c>
      <c r="G6362" s="15" t="s">
        <v>58</v>
      </c>
      <c r="H6362" s="18">
        <v>135.26</v>
      </c>
      <c r="I6362" s="19">
        <v>150.97999999999999</v>
      </c>
      <c r="J6362" s="19">
        <v>43.71</v>
      </c>
      <c r="K6362" s="19" t="s">
        <v>124</v>
      </c>
      <c r="L6362" s="19" t="s">
        <v>164</v>
      </c>
      <c r="M6362" s="15" t="s">
        <v>2286</v>
      </c>
      <c r="N6362" s="15" t="s">
        <v>54</v>
      </c>
      <c r="O6362" s="15" t="s">
        <v>252</v>
      </c>
      <c r="P6362" s="20" t="s">
        <v>1165</v>
      </c>
      <c r="Q6362" s="15" t="s">
        <v>181</v>
      </c>
      <c r="R6362" s="4"/>
      <c r="S6362" s="4"/>
    </row>
    <row r="6363" spans="1:19" ht="21" customHeight="1" x14ac:dyDescent="0.25">
      <c r="A6363" s="14">
        <f>DATE(2012,12,31)-852</f>
        <v>40422</v>
      </c>
      <c r="B6363" s="15" t="s">
        <v>1000</v>
      </c>
      <c r="C6363" s="15" t="s">
        <v>43</v>
      </c>
      <c r="D6363" s="16">
        <v>40</v>
      </c>
      <c r="E6363" s="17">
        <v>6789.9274999999998</v>
      </c>
      <c r="F6363" s="16">
        <v>0.08</v>
      </c>
      <c r="G6363" s="15" t="s">
        <v>32</v>
      </c>
      <c r="H6363" s="18">
        <v>1864.6560000000002</v>
      </c>
      <c r="I6363" s="19">
        <v>200.99</v>
      </c>
      <c r="J6363" s="19">
        <v>4.2</v>
      </c>
      <c r="K6363" s="19" t="s">
        <v>124</v>
      </c>
      <c r="L6363" s="19" t="s">
        <v>493</v>
      </c>
      <c r="M6363" s="15" t="s">
        <v>2299</v>
      </c>
      <c r="N6363" s="15" t="s">
        <v>64</v>
      </c>
      <c r="O6363" s="15" t="s">
        <v>65</v>
      </c>
      <c r="P6363" s="20" t="s">
        <v>575</v>
      </c>
      <c r="Q6363" s="15" t="s">
        <v>83</v>
      </c>
      <c r="R6363" s="4"/>
      <c r="S6363" s="4"/>
    </row>
    <row r="6364" spans="1:19" ht="21" customHeight="1" x14ac:dyDescent="0.25">
      <c r="A6364" s="14">
        <f>DATE(2012,12,31)-1331</f>
        <v>39943</v>
      </c>
      <c r="B6364" s="15" t="s">
        <v>1000</v>
      </c>
      <c r="C6364" s="15" t="s">
        <v>31</v>
      </c>
      <c r="D6364" s="16">
        <v>49</v>
      </c>
      <c r="E6364" s="17">
        <v>309.45999999999998</v>
      </c>
      <c r="F6364" s="16">
        <v>0.08</v>
      </c>
      <c r="G6364" s="15" t="s">
        <v>32</v>
      </c>
      <c r="H6364" s="18">
        <v>-82.64</v>
      </c>
      <c r="I6364" s="19">
        <v>6.48</v>
      </c>
      <c r="J6364" s="19">
        <v>2.74</v>
      </c>
      <c r="K6364" s="19" t="s">
        <v>124</v>
      </c>
      <c r="L6364" s="19" t="s">
        <v>164</v>
      </c>
      <c r="M6364" s="15" t="s">
        <v>2286</v>
      </c>
      <c r="N6364" s="15" t="s">
        <v>64</v>
      </c>
      <c r="O6364" s="15" t="s">
        <v>72</v>
      </c>
      <c r="P6364" s="20" t="s">
        <v>148</v>
      </c>
      <c r="Q6364" s="15" t="s">
        <v>49</v>
      </c>
      <c r="R6364" s="4"/>
      <c r="S6364" s="4"/>
    </row>
    <row r="6365" spans="1:19" ht="21" customHeight="1" x14ac:dyDescent="0.25">
      <c r="A6365" s="14">
        <f>DATE(2012,12,31)-625</f>
        <v>40649</v>
      </c>
      <c r="B6365" s="15" t="s">
        <v>716</v>
      </c>
      <c r="C6365" s="15" t="s">
        <v>85</v>
      </c>
      <c r="D6365" s="16">
        <v>38</v>
      </c>
      <c r="E6365" s="17">
        <v>154.85</v>
      </c>
      <c r="F6365" s="16">
        <v>0.05</v>
      </c>
      <c r="G6365" s="15" t="s">
        <v>32</v>
      </c>
      <c r="H6365" s="18">
        <v>-136.55000000000001</v>
      </c>
      <c r="I6365" s="19">
        <v>3.95</v>
      </c>
      <c r="J6365" s="19">
        <v>5.13</v>
      </c>
      <c r="K6365" s="19" t="s">
        <v>124</v>
      </c>
      <c r="L6365" s="19" t="s">
        <v>168</v>
      </c>
      <c r="M6365" s="15" t="s">
        <v>2244</v>
      </c>
      <c r="N6365" s="15" t="s">
        <v>36</v>
      </c>
      <c r="O6365" s="15" t="s">
        <v>176</v>
      </c>
      <c r="P6365" s="20" t="s">
        <v>1087</v>
      </c>
      <c r="Q6365" s="15" t="s">
        <v>83</v>
      </c>
      <c r="R6365" s="4"/>
      <c r="S6365" s="4"/>
    </row>
    <row r="6366" spans="1:19" ht="21" customHeight="1" x14ac:dyDescent="0.25">
      <c r="A6366" s="14">
        <f>DATE(2012,12,31)-625</f>
        <v>40649</v>
      </c>
      <c r="B6366" s="15" t="s">
        <v>716</v>
      </c>
      <c r="C6366" s="15" t="s">
        <v>85</v>
      </c>
      <c r="D6366" s="16">
        <v>32</v>
      </c>
      <c r="E6366" s="17">
        <v>4941.7725</v>
      </c>
      <c r="F6366" s="16">
        <v>0.1</v>
      </c>
      <c r="G6366" s="15" t="s">
        <v>32</v>
      </c>
      <c r="H6366" s="18">
        <v>704.88900000000001</v>
      </c>
      <c r="I6366" s="19">
        <v>195.99</v>
      </c>
      <c r="J6366" s="19">
        <v>8.99</v>
      </c>
      <c r="K6366" s="19" t="s">
        <v>124</v>
      </c>
      <c r="L6366" s="19" t="s">
        <v>158</v>
      </c>
      <c r="M6366" s="15" t="s">
        <v>158</v>
      </c>
      <c r="N6366" s="15" t="s">
        <v>64</v>
      </c>
      <c r="O6366" s="15" t="s">
        <v>65</v>
      </c>
      <c r="P6366" s="20" t="s">
        <v>1453</v>
      </c>
      <c r="Q6366" s="15" t="s">
        <v>83</v>
      </c>
      <c r="R6366" s="4"/>
      <c r="S6366" s="4"/>
    </row>
    <row r="6367" spans="1:19" ht="21" customHeight="1" x14ac:dyDescent="0.25">
      <c r="A6367" s="14">
        <f>DATE(2012,12,31)-765</f>
        <v>40509</v>
      </c>
      <c r="B6367" s="15" t="s">
        <v>716</v>
      </c>
      <c r="C6367" s="15" t="s">
        <v>31</v>
      </c>
      <c r="D6367" s="16">
        <v>24</v>
      </c>
      <c r="E6367" s="17">
        <v>1155.5835</v>
      </c>
      <c r="F6367" s="16">
        <v>0.04</v>
      </c>
      <c r="G6367" s="15" t="s">
        <v>32</v>
      </c>
      <c r="H6367" s="18">
        <v>-126.995</v>
      </c>
      <c r="I6367" s="19">
        <v>55.99</v>
      </c>
      <c r="J6367" s="19">
        <v>5</v>
      </c>
      <c r="K6367" s="19" t="s">
        <v>124</v>
      </c>
      <c r="L6367" s="19" t="s">
        <v>164</v>
      </c>
      <c r="M6367" s="15" t="s">
        <v>2286</v>
      </c>
      <c r="N6367" s="15" t="s">
        <v>64</v>
      </c>
      <c r="O6367" s="15" t="s">
        <v>65</v>
      </c>
      <c r="P6367" s="20" t="s">
        <v>1896</v>
      </c>
      <c r="Q6367" s="15" t="s">
        <v>49</v>
      </c>
      <c r="R6367" s="4"/>
      <c r="S6367" s="4"/>
    </row>
    <row r="6368" spans="1:19" ht="21" customHeight="1" x14ac:dyDescent="0.25">
      <c r="A6368" s="14">
        <f>DATE(2012,12,31)-889</f>
        <v>40385</v>
      </c>
      <c r="B6368" s="15" t="s">
        <v>1778</v>
      </c>
      <c r="C6368" s="15" t="s">
        <v>51</v>
      </c>
      <c r="D6368" s="16">
        <v>45</v>
      </c>
      <c r="E6368" s="17">
        <v>3327.84</v>
      </c>
      <c r="F6368" s="16">
        <v>0.06</v>
      </c>
      <c r="G6368" s="15" t="s">
        <v>58</v>
      </c>
      <c r="H6368" s="18">
        <v>-3033.57</v>
      </c>
      <c r="I6368" s="19">
        <v>70.89</v>
      </c>
      <c r="J6368" s="19">
        <v>89.3</v>
      </c>
      <c r="K6368" s="19" t="s">
        <v>124</v>
      </c>
      <c r="L6368" s="19" t="s">
        <v>164</v>
      </c>
      <c r="M6368" s="15" t="s">
        <v>2286</v>
      </c>
      <c r="N6368" s="15" t="s">
        <v>54</v>
      </c>
      <c r="O6368" s="15" t="s">
        <v>61</v>
      </c>
      <c r="P6368" s="20" t="s">
        <v>1060</v>
      </c>
      <c r="Q6368" s="15" t="s">
        <v>63</v>
      </c>
      <c r="R6368" s="4"/>
      <c r="S6368" s="4"/>
    </row>
    <row r="6369" spans="1:19" ht="21" customHeight="1" x14ac:dyDescent="0.25">
      <c r="A6369" s="14">
        <f>DATE(2012,12,31)-359</f>
        <v>40915</v>
      </c>
      <c r="B6369" s="15" t="s">
        <v>1778</v>
      </c>
      <c r="C6369" s="15" t="s">
        <v>51</v>
      </c>
      <c r="D6369" s="16">
        <v>7</v>
      </c>
      <c r="E6369" s="17">
        <v>91.43</v>
      </c>
      <c r="F6369" s="16">
        <v>0</v>
      </c>
      <c r="G6369" s="15" t="s">
        <v>32</v>
      </c>
      <c r="H6369" s="18">
        <v>-42.98</v>
      </c>
      <c r="I6369" s="19">
        <v>11.66</v>
      </c>
      <c r="J6369" s="19">
        <v>8.99</v>
      </c>
      <c r="K6369" s="19" t="s">
        <v>44</v>
      </c>
      <c r="L6369" s="19" t="s">
        <v>236</v>
      </c>
      <c r="M6369" s="15" t="s">
        <v>2296</v>
      </c>
      <c r="N6369" s="15" t="s">
        <v>36</v>
      </c>
      <c r="O6369" s="15" t="s">
        <v>77</v>
      </c>
      <c r="P6369" s="20" t="s">
        <v>693</v>
      </c>
      <c r="Q6369" s="15" t="s">
        <v>49</v>
      </c>
      <c r="R6369" s="4"/>
      <c r="S6369" s="4"/>
    </row>
    <row r="6370" spans="1:19" ht="21" customHeight="1" x14ac:dyDescent="0.25">
      <c r="A6370" s="14">
        <f>DATE(2012,12,31)-255</f>
        <v>41019</v>
      </c>
      <c r="B6370" s="15" t="s">
        <v>2159</v>
      </c>
      <c r="C6370" s="15" t="s">
        <v>85</v>
      </c>
      <c r="D6370" s="16">
        <v>32</v>
      </c>
      <c r="E6370" s="17">
        <v>1141.9000000000001</v>
      </c>
      <c r="F6370" s="16">
        <v>0.02</v>
      </c>
      <c r="G6370" s="15" t="s">
        <v>32</v>
      </c>
      <c r="H6370" s="18">
        <v>175.32</v>
      </c>
      <c r="I6370" s="19">
        <v>34.76</v>
      </c>
      <c r="J6370" s="19">
        <v>8.2200000000000006</v>
      </c>
      <c r="K6370" s="19" t="s">
        <v>44</v>
      </c>
      <c r="L6370" s="19" t="s">
        <v>52</v>
      </c>
      <c r="M6370" s="15" t="s">
        <v>2295</v>
      </c>
      <c r="N6370" s="15" t="s">
        <v>36</v>
      </c>
      <c r="O6370" s="15" t="s">
        <v>37</v>
      </c>
      <c r="P6370" s="20" t="s">
        <v>597</v>
      </c>
      <c r="Q6370" s="15" t="s">
        <v>83</v>
      </c>
      <c r="R6370" s="4"/>
      <c r="S6370" s="4"/>
    </row>
    <row r="6371" spans="1:19" ht="21" customHeight="1" x14ac:dyDescent="0.25">
      <c r="A6371" s="14">
        <f>DATE(2012,12,31)-305</f>
        <v>40969</v>
      </c>
      <c r="B6371" s="15" t="s">
        <v>2159</v>
      </c>
      <c r="C6371" s="15" t="s">
        <v>31</v>
      </c>
      <c r="D6371" s="16">
        <v>36</v>
      </c>
      <c r="E6371" s="17">
        <v>1435.95</v>
      </c>
      <c r="F6371" s="16">
        <v>0.05</v>
      </c>
      <c r="G6371" s="15" t="s">
        <v>32</v>
      </c>
      <c r="H6371" s="18">
        <v>486.9</v>
      </c>
      <c r="I6371" s="19">
        <v>39.24</v>
      </c>
      <c r="J6371" s="19">
        <v>1.99</v>
      </c>
      <c r="K6371" s="19" t="s">
        <v>44</v>
      </c>
      <c r="L6371" s="19" t="s">
        <v>52</v>
      </c>
      <c r="M6371" s="15" t="s">
        <v>2295</v>
      </c>
      <c r="N6371" s="15" t="s">
        <v>64</v>
      </c>
      <c r="O6371" s="15" t="s">
        <v>72</v>
      </c>
      <c r="P6371" s="20" t="s">
        <v>915</v>
      </c>
      <c r="Q6371" s="15" t="s">
        <v>49</v>
      </c>
      <c r="R6371" s="4"/>
      <c r="S6371" s="4"/>
    </row>
    <row r="6372" spans="1:19" ht="21" customHeight="1" x14ac:dyDescent="0.25">
      <c r="A6372" s="14">
        <f>DATE(2012,12,31)-305</f>
        <v>40969</v>
      </c>
      <c r="B6372" s="15" t="s">
        <v>1660</v>
      </c>
      <c r="C6372" s="15" t="s">
        <v>31</v>
      </c>
      <c r="D6372" s="16">
        <v>28</v>
      </c>
      <c r="E6372" s="17">
        <v>961.06</v>
      </c>
      <c r="F6372" s="16">
        <v>0.05</v>
      </c>
      <c r="G6372" s="15" t="s">
        <v>32</v>
      </c>
      <c r="H6372" s="18">
        <v>361.82</v>
      </c>
      <c r="I6372" s="19">
        <v>34.229999999999997</v>
      </c>
      <c r="J6372" s="19">
        <v>5.0199999999999996</v>
      </c>
      <c r="K6372" s="19" t="s">
        <v>44</v>
      </c>
      <c r="L6372" s="19" t="s">
        <v>52</v>
      </c>
      <c r="M6372" s="15" t="s">
        <v>2295</v>
      </c>
      <c r="N6372" s="15" t="s">
        <v>54</v>
      </c>
      <c r="O6372" s="15" t="s">
        <v>55</v>
      </c>
      <c r="P6372" s="20" t="s">
        <v>1091</v>
      </c>
      <c r="Q6372" s="15" t="s">
        <v>83</v>
      </c>
      <c r="R6372" s="4"/>
      <c r="S6372" s="4"/>
    </row>
    <row r="6373" spans="1:19" ht="21" customHeight="1" x14ac:dyDescent="0.25">
      <c r="A6373" s="14">
        <f>DATE(2012,12,31)-46</f>
        <v>41228</v>
      </c>
      <c r="B6373" s="15" t="s">
        <v>1214</v>
      </c>
      <c r="C6373" s="15" t="s">
        <v>51</v>
      </c>
      <c r="D6373" s="16">
        <v>37</v>
      </c>
      <c r="E6373" s="17">
        <v>692.15</v>
      </c>
      <c r="F6373" s="16">
        <v>0.09</v>
      </c>
      <c r="G6373" s="15" t="s">
        <v>32</v>
      </c>
      <c r="H6373" s="18">
        <v>150.38</v>
      </c>
      <c r="I6373" s="19">
        <v>19.98</v>
      </c>
      <c r="J6373" s="19">
        <v>5.97</v>
      </c>
      <c r="K6373" s="19" t="s">
        <v>44</v>
      </c>
      <c r="L6373" s="19" t="s">
        <v>80</v>
      </c>
      <c r="M6373" s="15" t="s">
        <v>2297</v>
      </c>
      <c r="N6373" s="15" t="s">
        <v>36</v>
      </c>
      <c r="O6373" s="15" t="s">
        <v>117</v>
      </c>
      <c r="P6373" s="20" t="s">
        <v>740</v>
      </c>
      <c r="Q6373" s="15" t="s">
        <v>83</v>
      </c>
      <c r="R6373" s="4"/>
      <c r="S6373" s="4"/>
    </row>
    <row r="6374" spans="1:19" ht="21" customHeight="1" x14ac:dyDescent="0.25">
      <c r="A6374" s="14">
        <f>DATE(2012,12,31)-824</f>
        <v>40450</v>
      </c>
      <c r="B6374" s="15" t="s">
        <v>721</v>
      </c>
      <c r="C6374" s="15" t="s">
        <v>85</v>
      </c>
      <c r="D6374" s="16">
        <v>10</v>
      </c>
      <c r="E6374" s="17">
        <v>8704.08</v>
      </c>
      <c r="F6374" s="16">
        <v>0.05</v>
      </c>
      <c r="G6374" s="15" t="s">
        <v>58</v>
      </c>
      <c r="H6374" s="18">
        <v>1034.54</v>
      </c>
      <c r="I6374" s="19">
        <v>880.98</v>
      </c>
      <c r="J6374" s="19">
        <v>44.55</v>
      </c>
      <c r="K6374" s="19" t="s">
        <v>44</v>
      </c>
      <c r="L6374" s="19" t="s">
        <v>52</v>
      </c>
      <c r="M6374" s="15" t="s">
        <v>2295</v>
      </c>
      <c r="N6374" s="15" t="s">
        <v>54</v>
      </c>
      <c r="O6374" s="15" t="s">
        <v>134</v>
      </c>
      <c r="P6374" s="20" t="s">
        <v>1244</v>
      </c>
      <c r="Q6374" s="15" t="s">
        <v>63</v>
      </c>
      <c r="R6374" s="4"/>
      <c r="S6374" s="4"/>
    </row>
    <row r="6375" spans="1:19" ht="21" customHeight="1" x14ac:dyDescent="0.25">
      <c r="A6375" s="14">
        <f>DATE(2012,12,31)-824</f>
        <v>40450</v>
      </c>
      <c r="B6375" s="15" t="s">
        <v>1605</v>
      </c>
      <c r="C6375" s="15" t="s">
        <v>85</v>
      </c>
      <c r="D6375" s="16">
        <v>41</v>
      </c>
      <c r="E6375" s="17">
        <v>24051.49</v>
      </c>
      <c r="F6375" s="16">
        <v>7.0000000000000007E-2</v>
      </c>
      <c r="G6375" s="15" t="s">
        <v>101</v>
      </c>
      <c r="H6375" s="18">
        <v>9791.0410000000011</v>
      </c>
      <c r="I6375" s="19">
        <v>599.99</v>
      </c>
      <c r="J6375" s="19">
        <v>24.49</v>
      </c>
      <c r="K6375" s="19" t="s">
        <v>44</v>
      </c>
      <c r="L6375" s="19" t="s">
        <v>52</v>
      </c>
      <c r="M6375" s="15" t="s">
        <v>2295</v>
      </c>
      <c r="N6375" s="15" t="s">
        <v>64</v>
      </c>
      <c r="O6375" s="15" t="s">
        <v>460</v>
      </c>
      <c r="P6375" s="20" t="s">
        <v>565</v>
      </c>
      <c r="Q6375" s="15" t="s">
        <v>39</v>
      </c>
      <c r="R6375" s="4"/>
      <c r="S6375" s="4"/>
    </row>
    <row r="6376" spans="1:19" ht="21" customHeight="1" x14ac:dyDescent="0.25">
      <c r="A6376" s="14">
        <f>DATE(2012,12,31)-395</f>
        <v>40879</v>
      </c>
      <c r="B6376" s="15" t="s">
        <v>1605</v>
      </c>
      <c r="C6376" s="15" t="s">
        <v>85</v>
      </c>
      <c r="D6376" s="16">
        <v>19</v>
      </c>
      <c r="E6376" s="17">
        <v>6648.58</v>
      </c>
      <c r="F6376" s="16">
        <v>0.08</v>
      </c>
      <c r="G6376" s="15" t="s">
        <v>58</v>
      </c>
      <c r="H6376" s="18">
        <v>-555.98</v>
      </c>
      <c r="I6376" s="19">
        <v>370.98</v>
      </c>
      <c r="J6376" s="19">
        <v>99</v>
      </c>
      <c r="K6376" s="19" t="s">
        <v>44</v>
      </c>
      <c r="L6376" s="19" t="s">
        <v>52</v>
      </c>
      <c r="M6376" s="15" t="s">
        <v>2295</v>
      </c>
      <c r="N6376" s="15" t="s">
        <v>36</v>
      </c>
      <c r="O6376" s="15" t="s">
        <v>37</v>
      </c>
      <c r="P6376" s="20" t="s">
        <v>387</v>
      </c>
      <c r="Q6376" s="15" t="s">
        <v>181</v>
      </c>
      <c r="R6376" s="4"/>
      <c r="S6376" s="4"/>
    </row>
    <row r="6377" spans="1:19" ht="21" customHeight="1" x14ac:dyDescent="0.25">
      <c r="A6377" s="14">
        <f>DATE(2012,12,31)-638</f>
        <v>40636</v>
      </c>
      <c r="B6377" s="15" t="s">
        <v>1898</v>
      </c>
      <c r="C6377" s="15" t="s">
        <v>31</v>
      </c>
      <c r="D6377" s="16">
        <v>47</v>
      </c>
      <c r="E6377" s="17">
        <v>91.43</v>
      </c>
      <c r="F6377" s="16">
        <v>0.08</v>
      </c>
      <c r="G6377" s="15" t="s">
        <v>32</v>
      </c>
      <c r="H6377" s="18">
        <v>-22.8965</v>
      </c>
      <c r="I6377" s="19">
        <v>2.08</v>
      </c>
      <c r="J6377" s="19">
        <v>1.49</v>
      </c>
      <c r="K6377" s="19" t="s">
        <v>44</v>
      </c>
      <c r="L6377" s="19" t="s">
        <v>52</v>
      </c>
      <c r="M6377" s="15" t="s">
        <v>2295</v>
      </c>
      <c r="N6377" s="15" t="s">
        <v>36</v>
      </c>
      <c r="O6377" s="15" t="s">
        <v>170</v>
      </c>
      <c r="P6377" s="20" t="s">
        <v>975</v>
      </c>
      <c r="Q6377" s="15" t="s">
        <v>83</v>
      </c>
      <c r="R6377" s="4"/>
      <c r="S6377" s="4"/>
    </row>
    <row r="6378" spans="1:19" ht="21" customHeight="1" x14ac:dyDescent="0.25">
      <c r="A6378" s="14">
        <f>DATE(2012,12,31)-1341</f>
        <v>39933</v>
      </c>
      <c r="B6378" s="15" t="s">
        <v>2194</v>
      </c>
      <c r="C6378" s="15" t="s">
        <v>85</v>
      </c>
      <c r="D6378" s="16">
        <v>34</v>
      </c>
      <c r="E6378" s="17">
        <v>1912.9845</v>
      </c>
      <c r="F6378" s="16">
        <v>0.06</v>
      </c>
      <c r="G6378" s="15" t="s">
        <v>101</v>
      </c>
      <c r="H6378" s="18">
        <v>288.08999999999997</v>
      </c>
      <c r="I6378" s="19">
        <v>65.989999999999995</v>
      </c>
      <c r="J6378" s="19">
        <v>8.8000000000000007</v>
      </c>
      <c r="K6378" s="19" t="s">
        <v>44</v>
      </c>
      <c r="L6378" s="19" t="s">
        <v>236</v>
      </c>
      <c r="M6378" s="15" t="s">
        <v>2296</v>
      </c>
      <c r="N6378" s="15" t="s">
        <v>64</v>
      </c>
      <c r="O6378" s="15" t="s">
        <v>65</v>
      </c>
      <c r="P6378" s="20" t="s">
        <v>62</v>
      </c>
      <c r="Q6378" s="15" t="s">
        <v>83</v>
      </c>
      <c r="R6378" s="4"/>
      <c r="S6378" s="4"/>
    </row>
    <row r="6379" spans="1:19" ht="21" customHeight="1" x14ac:dyDescent="0.25">
      <c r="A6379" s="14">
        <f>DATE(2012,12,31)-1341</f>
        <v>39933</v>
      </c>
      <c r="B6379" s="15" t="s">
        <v>1273</v>
      </c>
      <c r="C6379" s="15" t="s">
        <v>85</v>
      </c>
      <c r="D6379" s="16">
        <v>24</v>
      </c>
      <c r="E6379" s="17">
        <v>4170.8649999999998</v>
      </c>
      <c r="F6379" s="16">
        <v>0</v>
      </c>
      <c r="G6379" s="15" t="s">
        <v>101</v>
      </c>
      <c r="H6379" s="18">
        <v>1030.509</v>
      </c>
      <c r="I6379" s="19">
        <v>195.99</v>
      </c>
      <c r="J6379" s="19">
        <v>4.2</v>
      </c>
      <c r="K6379" s="19" t="s">
        <v>44</v>
      </c>
      <c r="L6379" s="19" t="s">
        <v>52</v>
      </c>
      <c r="M6379" s="15" t="s">
        <v>2295</v>
      </c>
      <c r="N6379" s="15" t="s">
        <v>64</v>
      </c>
      <c r="O6379" s="15" t="s">
        <v>65</v>
      </c>
      <c r="P6379" s="20" t="s">
        <v>918</v>
      </c>
      <c r="Q6379" s="15" t="s">
        <v>83</v>
      </c>
      <c r="R6379" s="4"/>
      <c r="S6379" s="4"/>
    </row>
    <row r="6380" spans="1:19" ht="21" customHeight="1" x14ac:dyDescent="0.25">
      <c r="A6380" s="14">
        <f>DATE(2012,12,31)-498</f>
        <v>40776</v>
      </c>
      <c r="B6380" s="15" t="s">
        <v>1202</v>
      </c>
      <c r="C6380" s="15" t="s">
        <v>85</v>
      </c>
      <c r="D6380" s="16">
        <v>26</v>
      </c>
      <c r="E6380" s="17">
        <v>164.1</v>
      </c>
      <c r="F6380" s="16">
        <v>0.03</v>
      </c>
      <c r="G6380" s="15" t="s">
        <v>101</v>
      </c>
      <c r="H6380" s="18">
        <v>-41.216000000000001</v>
      </c>
      <c r="I6380" s="19">
        <v>5.74</v>
      </c>
      <c r="J6380" s="19">
        <v>5.01</v>
      </c>
      <c r="K6380" s="19" t="s">
        <v>44</v>
      </c>
      <c r="L6380" s="19" t="s">
        <v>52</v>
      </c>
      <c r="M6380" s="15" t="s">
        <v>2295</v>
      </c>
      <c r="N6380" s="15" t="s">
        <v>36</v>
      </c>
      <c r="O6380" s="15" t="s">
        <v>170</v>
      </c>
      <c r="P6380" s="20" t="s">
        <v>694</v>
      </c>
      <c r="Q6380" s="15" t="s">
        <v>83</v>
      </c>
      <c r="R6380" s="4"/>
      <c r="S6380" s="4"/>
    </row>
    <row r="6381" spans="1:19" ht="21" customHeight="1" x14ac:dyDescent="0.25">
      <c r="A6381" s="14">
        <f>DATE(2012,12,31)-498</f>
        <v>40776</v>
      </c>
      <c r="B6381" s="15" t="s">
        <v>520</v>
      </c>
      <c r="C6381" s="15" t="s">
        <v>85</v>
      </c>
      <c r="D6381" s="16">
        <v>23</v>
      </c>
      <c r="E6381" s="17">
        <v>1316.87</v>
      </c>
      <c r="F6381" s="16">
        <v>0.02</v>
      </c>
      <c r="G6381" s="15" t="s">
        <v>101</v>
      </c>
      <c r="H6381" s="18">
        <v>204.7</v>
      </c>
      <c r="I6381" s="19">
        <v>53.98</v>
      </c>
      <c r="J6381" s="19">
        <v>5.5</v>
      </c>
      <c r="K6381" s="19" t="s">
        <v>44</v>
      </c>
      <c r="L6381" s="19" t="s">
        <v>52</v>
      </c>
      <c r="M6381" s="15" t="s">
        <v>2295</v>
      </c>
      <c r="N6381" s="15" t="s">
        <v>64</v>
      </c>
      <c r="O6381" s="15" t="s">
        <v>72</v>
      </c>
      <c r="P6381" s="20" t="s">
        <v>1930</v>
      </c>
      <c r="Q6381" s="15" t="s">
        <v>83</v>
      </c>
      <c r="R6381" s="4"/>
      <c r="S6381" s="4"/>
    </row>
    <row r="6382" spans="1:19" ht="21" customHeight="1" x14ac:dyDescent="0.25">
      <c r="A6382" s="14">
        <f>DATE(2012,12,31)-498</f>
        <v>40776</v>
      </c>
      <c r="B6382" s="15" t="s">
        <v>520</v>
      </c>
      <c r="C6382" s="15" t="s">
        <v>85</v>
      </c>
      <c r="D6382" s="16">
        <v>1</v>
      </c>
      <c r="E6382" s="17">
        <v>11.81</v>
      </c>
      <c r="F6382" s="16">
        <v>0.01</v>
      </c>
      <c r="G6382" s="15" t="s">
        <v>32</v>
      </c>
      <c r="H6382" s="18">
        <v>-7.95</v>
      </c>
      <c r="I6382" s="19">
        <v>5.89</v>
      </c>
      <c r="J6382" s="19">
        <v>5.57</v>
      </c>
      <c r="K6382" s="19" t="s">
        <v>44</v>
      </c>
      <c r="L6382" s="19" t="s">
        <v>52</v>
      </c>
      <c r="M6382" s="15" t="s">
        <v>2295</v>
      </c>
      <c r="N6382" s="15" t="s">
        <v>54</v>
      </c>
      <c r="O6382" s="15" t="s">
        <v>55</v>
      </c>
      <c r="P6382" s="20" t="s">
        <v>1481</v>
      </c>
      <c r="Q6382" s="15" t="s">
        <v>83</v>
      </c>
      <c r="R6382" s="4"/>
      <c r="S6382" s="4"/>
    </row>
    <row r="6383" spans="1:19" ht="21" customHeight="1" x14ac:dyDescent="0.25">
      <c r="A6383" s="14">
        <f>DATE(2012,12,31)-736</f>
        <v>40538</v>
      </c>
      <c r="B6383" s="15" t="s">
        <v>900</v>
      </c>
      <c r="C6383" s="15" t="s">
        <v>31</v>
      </c>
      <c r="D6383" s="16">
        <v>25</v>
      </c>
      <c r="E6383" s="17">
        <v>716.99</v>
      </c>
      <c r="F6383" s="16">
        <v>0.05</v>
      </c>
      <c r="G6383" s="15" t="s">
        <v>32</v>
      </c>
      <c r="H6383" s="18">
        <v>174.06</v>
      </c>
      <c r="I6383" s="19">
        <v>29.89</v>
      </c>
      <c r="J6383" s="19">
        <v>1.99</v>
      </c>
      <c r="K6383" s="19" t="s">
        <v>44</v>
      </c>
      <c r="L6383" s="19" t="s">
        <v>52</v>
      </c>
      <c r="M6383" s="15" t="s">
        <v>2295</v>
      </c>
      <c r="N6383" s="15" t="s">
        <v>64</v>
      </c>
      <c r="O6383" s="15" t="s">
        <v>72</v>
      </c>
      <c r="P6383" s="20" t="s">
        <v>1347</v>
      </c>
      <c r="Q6383" s="15" t="s">
        <v>49</v>
      </c>
      <c r="R6383" s="4"/>
      <c r="S6383" s="4"/>
    </row>
    <row r="6384" spans="1:19" ht="21" customHeight="1" x14ac:dyDescent="0.25">
      <c r="A6384" s="14">
        <f>DATE(2012,12,31)-994</f>
        <v>40280</v>
      </c>
      <c r="B6384" s="15" t="s">
        <v>439</v>
      </c>
      <c r="C6384" s="15" t="s">
        <v>85</v>
      </c>
      <c r="D6384" s="16">
        <v>11</v>
      </c>
      <c r="E6384" s="17">
        <v>3427.31</v>
      </c>
      <c r="F6384" s="16">
        <v>0.1</v>
      </c>
      <c r="G6384" s="15" t="s">
        <v>58</v>
      </c>
      <c r="H6384" s="18">
        <v>124.36</v>
      </c>
      <c r="I6384" s="19">
        <v>320.98</v>
      </c>
      <c r="J6384" s="19">
        <v>58.95</v>
      </c>
      <c r="K6384" s="19" t="s">
        <v>124</v>
      </c>
      <c r="L6384" s="19" t="s">
        <v>164</v>
      </c>
      <c r="M6384" s="15" t="s">
        <v>2286</v>
      </c>
      <c r="N6384" s="15" t="s">
        <v>54</v>
      </c>
      <c r="O6384" s="15" t="s">
        <v>252</v>
      </c>
      <c r="P6384" s="20" t="s">
        <v>668</v>
      </c>
      <c r="Q6384" s="15" t="s">
        <v>181</v>
      </c>
      <c r="R6384" s="4"/>
      <c r="S6384" s="4"/>
    </row>
    <row r="6385" spans="1:19" ht="21" customHeight="1" x14ac:dyDescent="0.25">
      <c r="A6385" s="14">
        <f>DATE(2012,12,31)-994</f>
        <v>40280</v>
      </c>
      <c r="B6385" s="15" t="s">
        <v>439</v>
      </c>
      <c r="C6385" s="15" t="s">
        <v>85</v>
      </c>
      <c r="D6385" s="16">
        <v>10</v>
      </c>
      <c r="E6385" s="17">
        <v>36.26</v>
      </c>
      <c r="F6385" s="16">
        <v>0.08</v>
      </c>
      <c r="G6385" s="15" t="s">
        <v>32</v>
      </c>
      <c r="H6385" s="18">
        <v>-28.37</v>
      </c>
      <c r="I6385" s="19">
        <v>3.28</v>
      </c>
      <c r="J6385" s="19">
        <v>3.97</v>
      </c>
      <c r="K6385" s="19" t="s">
        <v>33</v>
      </c>
      <c r="L6385" s="19" t="s">
        <v>93</v>
      </c>
      <c r="M6385" s="15" t="s">
        <v>94</v>
      </c>
      <c r="N6385" s="15" t="s">
        <v>36</v>
      </c>
      <c r="O6385" s="15" t="s">
        <v>77</v>
      </c>
      <c r="P6385" s="20" t="s">
        <v>597</v>
      </c>
      <c r="Q6385" s="15" t="s">
        <v>79</v>
      </c>
      <c r="R6385" s="4"/>
      <c r="S6385" s="4"/>
    </row>
    <row r="6386" spans="1:19" ht="21" customHeight="1" x14ac:dyDescent="0.25">
      <c r="A6386" s="14">
        <f>DATE(2012,12,31)-994</f>
        <v>40280</v>
      </c>
      <c r="B6386" s="15" t="s">
        <v>640</v>
      </c>
      <c r="C6386" s="15" t="s">
        <v>85</v>
      </c>
      <c r="D6386" s="16">
        <v>50</v>
      </c>
      <c r="E6386" s="17">
        <v>893.13750000000005</v>
      </c>
      <c r="F6386" s="16">
        <v>0</v>
      </c>
      <c r="G6386" s="15" t="s">
        <v>32</v>
      </c>
      <c r="H6386" s="18">
        <v>10.998000000000001</v>
      </c>
      <c r="I6386" s="19">
        <v>20.99</v>
      </c>
      <c r="J6386" s="19">
        <v>1.25</v>
      </c>
      <c r="K6386" s="19" t="s">
        <v>111</v>
      </c>
      <c r="L6386" s="19" t="s">
        <v>2301</v>
      </c>
      <c r="M6386" s="15" t="s">
        <v>2302</v>
      </c>
      <c r="N6386" s="15" t="s">
        <v>64</v>
      </c>
      <c r="O6386" s="15" t="s">
        <v>65</v>
      </c>
      <c r="P6386" s="20" t="s">
        <v>532</v>
      </c>
      <c r="Q6386" s="15" t="s">
        <v>49</v>
      </c>
      <c r="R6386" s="4"/>
      <c r="S6386" s="4"/>
    </row>
    <row r="6387" spans="1:19" ht="21" customHeight="1" x14ac:dyDescent="0.25">
      <c r="A6387" s="14">
        <f>DATE(2012,12,31)-1230</f>
        <v>40044</v>
      </c>
      <c r="B6387" s="15" t="s">
        <v>1256</v>
      </c>
      <c r="C6387" s="15" t="s">
        <v>31</v>
      </c>
      <c r="D6387" s="16">
        <v>19</v>
      </c>
      <c r="E6387" s="17">
        <v>991.36</v>
      </c>
      <c r="F6387" s="16">
        <v>0.1</v>
      </c>
      <c r="G6387" s="15" t="s">
        <v>32</v>
      </c>
      <c r="H6387" s="18">
        <v>-103.11</v>
      </c>
      <c r="I6387" s="19">
        <v>54.1</v>
      </c>
      <c r="J6387" s="19">
        <v>19.989999999999998</v>
      </c>
      <c r="K6387" s="19" t="s">
        <v>124</v>
      </c>
      <c r="L6387" s="19" t="s">
        <v>125</v>
      </c>
      <c r="M6387" s="15" t="s">
        <v>2265</v>
      </c>
      <c r="N6387" s="15" t="s">
        <v>36</v>
      </c>
      <c r="O6387" s="15" t="s">
        <v>37</v>
      </c>
      <c r="P6387" s="20" t="s">
        <v>1907</v>
      </c>
      <c r="Q6387" s="15" t="s">
        <v>83</v>
      </c>
      <c r="R6387" s="4"/>
      <c r="S6387" s="4"/>
    </row>
    <row r="6388" spans="1:19" ht="21" customHeight="1" x14ac:dyDescent="0.25">
      <c r="A6388" s="14">
        <f>DATE(2012,12,31)-984</f>
        <v>40290</v>
      </c>
      <c r="B6388" s="15" t="s">
        <v>741</v>
      </c>
      <c r="C6388" s="15" t="s">
        <v>85</v>
      </c>
      <c r="D6388" s="16">
        <v>20</v>
      </c>
      <c r="E6388" s="17">
        <v>586.61900000000003</v>
      </c>
      <c r="F6388" s="16">
        <v>0.06</v>
      </c>
      <c r="G6388" s="15" t="s">
        <v>32</v>
      </c>
      <c r="H6388" s="18">
        <v>83.07</v>
      </c>
      <c r="I6388" s="19">
        <v>35.99</v>
      </c>
      <c r="J6388" s="19">
        <v>1.1000000000000001</v>
      </c>
      <c r="K6388" s="19" t="s">
        <v>124</v>
      </c>
      <c r="L6388" s="19" t="s">
        <v>160</v>
      </c>
      <c r="M6388" s="15" t="s">
        <v>2281</v>
      </c>
      <c r="N6388" s="15" t="s">
        <v>64</v>
      </c>
      <c r="O6388" s="15" t="s">
        <v>65</v>
      </c>
      <c r="P6388" s="20" t="s">
        <v>2041</v>
      </c>
      <c r="Q6388" s="15" t="s">
        <v>83</v>
      </c>
      <c r="R6388" s="4"/>
      <c r="S6388" s="4"/>
    </row>
    <row r="6389" spans="1:19" ht="21" customHeight="1" x14ac:dyDescent="0.25">
      <c r="A6389" s="14">
        <f>DATE(2012,12,31)-937</f>
        <v>40337</v>
      </c>
      <c r="B6389" s="15" t="s">
        <v>741</v>
      </c>
      <c r="C6389" s="15" t="s">
        <v>51</v>
      </c>
      <c r="D6389" s="16">
        <v>18</v>
      </c>
      <c r="E6389" s="17">
        <v>85.74</v>
      </c>
      <c r="F6389" s="16">
        <v>0.03</v>
      </c>
      <c r="G6389" s="15" t="s">
        <v>32</v>
      </c>
      <c r="H6389" s="18">
        <v>-73.5655</v>
      </c>
      <c r="I6389" s="19">
        <v>4.38</v>
      </c>
      <c r="J6389" s="19">
        <v>6.21</v>
      </c>
      <c r="K6389" s="19" t="s">
        <v>33</v>
      </c>
      <c r="L6389" s="19" t="s">
        <v>128</v>
      </c>
      <c r="M6389" s="15" t="s">
        <v>129</v>
      </c>
      <c r="N6389" s="15" t="s">
        <v>36</v>
      </c>
      <c r="O6389" s="15" t="s">
        <v>170</v>
      </c>
      <c r="P6389" s="20" t="s">
        <v>851</v>
      </c>
      <c r="Q6389" s="15" t="s">
        <v>83</v>
      </c>
      <c r="R6389" s="4"/>
      <c r="S6389" s="4"/>
    </row>
    <row r="6390" spans="1:19" ht="21" customHeight="1" x14ac:dyDescent="0.25">
      <c r="A6390" s="14">
        <f>DATE(2012,12,31)-937</f>
        <v>40337</v>
      </c>
      <c r="B6390" s="15" t="s">
        <v>1680</v>
      </c>
      <c r="C6390" s="15" t="s">
        <v>51</v>
      </c>
      <c r="D6390" s="16">
        <v>17</v>
      </c>
      <c r="E6390" s="17">
        <v>2031.98</v>
      </c>
      <c r="F6390" s="16">
        <v>0.05</v>
      </c>
      <c r="G6390" s="15" t="s">
        <v>32</v>
      </c>
      <c r="H6390" s="18">
        <v>778.6</v>
      </c>
      <c r="I6390" s="19">
        <v>120.98</v>
      </c>
      <c r="J6390" s="19">
        <v>9.07</v>
      </c>
      <c r="K6390" s="19" t="s">
        <v>33</v>
      </c>
      <c r="L6390" s="19" t="s">
        <v>59</v>
      </c>
      <c r="M6390" s="15" t="s">
        <v>2269</v>
      </c>
      <c r="N6390" s="15" t="s">
        <v>36</v>
      </c>
      <c r="O6390" s="15" t="s">
        <v>170</v>
      </c>
      <c r="P6390" s="20" t="s">
        <v>834</v>
      </c>
      <c r="Q6390" s="15" t="s">
        <v>83</v>
      </c>
      <c r="R6390" s="4"/>
      <c r="S6390" s="4"/>
    </row>
    <row r="6391" spans="1:19" ht="21" customHeight="1" x14ac:dyDescent="0.25">
      <c r="A6391" s="14">
        <f>DATE(2012,12,31)-937</f>
        <v>40337</v>
      </c>
      <c r="B6391" s="15" t="s">
        <v>1680</v>
      </c>
      <c r="C6391" s="15" t="s">
        <v>51</v>
      </c>
      <c r="D6391" s="16">
        <v>24</v>
      </c>
      <c r="E6391" s="17">
        <v>131.94</v>
      </c>
      <c r="F6391" s="16">
        <v>0.04</v>
      </c>
      <c r="G6391" s="15" t="s">
        <v>32</v>
      </c>
      <c r="H6391" s="18">
        <v>2.3205</v>
      </c>
      <c r="I6391" s="19">
        <v>5.28</v>
      </c>
      <c r="J6391" s="19">
        <v>2.99</v>
      </c>
      <c r="K6391" s="19" t="s">
        <v>69</v>
      </c>
      <c r="L6391" s="19" t="s">
        <v>75</v>
      </c>
      <c r="M6391" s="15" t="s">
        <v>2284</v>
      </c>
      <c r="N6391" s="15" t="s">
        <v>36</v>
      </c>
      <c r="O6391" s="15" t="s">
        <v>170</v>
      </c>
      <c r="P6391" s="20" t="s">
        <v>773</v>
      </c>
      <c r="Q6391" s="15" t="s">
        <v>83</v>
      </c>
      <c r="R6391" s="4"/>
      <c r="S6391" s="4"/>
    </row>
    <row r="6392" spans="1:19" ht="21" customHeight="1" x14ac:dyDescent="0.25">
      <c r="A6392" s="14">
        <f>DATE(2012,12,31)-1419</f>
        <v>39855</v>
      </c>
      <c r="B6392" s="15" t="s">
        <v>1680</v>
      </c>
      <c r="C6392" s="15" t="s">
        <v>85</v>
      </c>
      <c r="D6392" s="16">
        <v>17</v>
      </c>
      <c r="E6392" s="17">
        <v>1002.73</v>
      </c>
      <c r="F6392" s="16">
        <v>0.08</v>
      </c>
      <c r="G6392" s="15" t="s">
        <v>32</v>
      </c>
      <c r="H6392" s="18">
        <v>-563.86</v>
      </c>
      <c r="I6392" s="19">
        <v>60.98</v>
      </c>
      <c r="J6392" s="19">
        <v>49</v>
      </c>
      <c r="K6392" s="19" t="s">
        <v>44</v>
      </c>
      <c r="L6392" s="19" t="s">
        <v>120</v>
      </c>
      <c r="M6392" s="15" t="s">
        <v>2262</v>
      </c>
      <c r="N6392" s="15" t="s">
        <v>36</v>
      </c>
      <c r="O6392" s="15" t="s">
        <v>176</v>
      </c>
      <c r="P6392" s="20" t="s">
        <v>2173</v>
      </c>
      <c r="Q6392" s="15" t="s">
        <v>39</v>
      </c>
      <c r="R6392" s="4"/>
      <c r="S6392" s="4"/>
    </row>
    <row r="6393" spans="1:19" ht="21" customHeight="1" x14ac:dyDescent="0.25">
      <c r="A6393" s="14">
        <f>DATE(2012,12,31)-144</f>
        <v>41130</v>
      </c>
      <c r="B6393" s="15" t="s">
        <v>623</v>
      </c>
      <c r="C6393" s="15" t="s">
        <v>85</v>
      </c>
      <c r="D6393" s="16">
        <v>5</v>
      </c>
      <c r="E6393" s="17">
        <v>748.29</v>
      </c>
      <c r="F6393" s="16">
        <v>0.02</v>
      </c>
      <c r="G6393" s="15" t="s">
        <v>58</v>
      </c>
      <c r="H6393" s="18">
        <v>-183.6</v>
      </c>
      <c r="I6393" s="19">
        <v>135.99</v>
      </c>
      <c r="J6393" s="19">
        <v>28.63</v>
      </c>
      <c r="K6393" s="19" t="s">
        <v>44</v>
      </c>
      <c r="L6393" s="19" t="s">
        <v>89</v>
      </c>
      <c r="M6393" s="15" t="s">
        <v>2293</v>
      </c>
      <c r="N6393" s="15" t="s">
        <v>54</v>
      </c>
      <c r="O6393" s="15" t="s">
        <v>252</v>
      </c>
      <c r="P6393" s="20" t="s">
        <v>825</v>
      </c>
      <c r="Q6393" s="15" t="s">
        <v>181</v>
      </c>
      <c r="R6393" s="4"/>
      <c r="S6393" s="4"/>
    </row>
    <row r="6394" spans="1:19" ht="21" customHeight="1" x14ac:dyDescent="0.25">
      <c r="A6394" s="14">
        <f>DATE(2012,12,31)-257</f>
        <v>41017</v>
      </c>
      <c r="B6394" s="15" t="s">
        <v>1204</v>
      </c>
      <c r="C6394" s="15" t="s">
        <v>85</v>
      </c>
      <c r="D6394" s="16">
        <v>48</v>
      </c>
      <c r="E6394" s="17">
        <v>1055.98</v>
      </c>
      <c r="F6394" s="16">
        <v>7.0000000000000007E-2</v>
      </c>
      <c r="G6394" s="15" t="s">
        <v>32</v>
      </c>
      <c r="H6394" s="18">
        <v>204.58</v>
      </c>
      <c r="I6394" s="19">
        <v>21.78</v>
      </c>
      <c r="J6394" s="19">
        <v>5.94</v>
      </c>
      <c r="K6394" s="19" t="s">
        <v>44</v>
      </c>
      <c r="L6394" s="19" t="s">
        <v>89</v>
      </c>
      <c r="M6394" s="15" t="s">
        <v>2293</v>
      </c>
      <c r="N6394" s="15" t="s">
        <v>36</v>
      </c>
      <c r="O6394" s="15" t="s">
        <v>176</v>
      </c>
      <c r="P6394" s="20" t="s">
        <v>287</v>
      </c>
      <c r="Q6394" s="15" t="s">
        <v>57</v>
      </c>
      <c r="R6394" s="4"/>
      <c r="S6394" s="4"/>
    </row>
    <row r="6395" spans="1:19" ht="21" customHeight="1" x14ac:dyDescent="0.25">
      <c r="A6395" s="14">
        <f>DATE(2012,12,31)-371</f>
        <v>40903</v>
      </c>
      <c r="B6395" s="15" t="s">
        <v>1204</v>
      </c>
      <c r="C6395" s="15" t="s">
        <v>31</v>
      </c>
      <c r="D6395" s="16">
        <v>3</v>
      </c>
      <c r="E6395" s="17">
        <v>448.36649999999997</v>
      </c>
      <c r="F6395" s="16">
        <v>0.03</v>
      </c>
      <c r="G6395" s="15" t="s">
        <v>32</v>
      </c>
      <c r="H6395" s="18">
        <v>-748.40700000000004</v>
      </c>
      <c r="I6395" s="19">
        <v>175.99</v>
      </c>
      <c r="J6395" s="19">
        <v>8.99</v>
      </c>
      <c r="K6395" s="19" t="s">
        <v>44</v>
      </c>
      <c r="L6395" s="19" t="s">
        <v>120</v>
      </c>
      <c r="M6395" s="15" t="s">
        <v>2262</v>
      </c>
      <c r="N6395" s="15" t="s">
        <v>64</v>
      </c>
      <c r="O6395" s="15" t="s">
        <v>65</v>
      </c>
      <c r="P6395" s="20" t="s">
        <v>1326</v>
      </c>
      <c r="Q6395" s="15" t="s">
        <v>83</v>
      </c>
      <c r="R6395" s="4"/>
      <c r="S6395" s="4"/>
    </row>
    <row r="6396" spans="1:19" ht="21" customHeight="1" x14ac:dyDescent="0.25">
      <c r="A6396" s="14">
        <f>DATE(2012,12,31)-863</f>
        <v>40411</v>
      </c>
      <c r="B6396" s="15" t="s">
        <v>1204</v>
      </c>
      <c r="C6396" s="15" t="s">
        <v>31</v>
      </c>
      <c r="D6396" s="16">
        <v>31</v>
      </c>
      <c r="E6396" s="17">
        <v>951.31</v>
      </c>
      <c r="F6396" s="16">
        <v>0.08</v>
      </c>
      <c r="G6396" s="15" t="s">
        <v>58</v>
      </c>
      <c r="H6396" s="18">
        <v>-1099.46</v>
      </c>
      <c r="I6396" s="19">
        <v>31.76</v>
      </c>
      <c r="J6396" s="19">
        <v>45.51</v>
      </c>
      <c r="K6396" s="19" t="s">
        <v>44</v>
      </c>
      <c r="L6396" s="19" t="s">
        <v>89</v>
      </c>
      <c r="M6396" s="15" t="s">
        <v>2293</v>
      </c>
      <c r="N6396" s="15" t="s">
        <v>54</v>
      </c>
      <c r="O6396" s="15" t="s">
        <v>61</v>
      </c>
      <c r="P6396" s="20" t="s">
        <v>1261</v>
      </c>
      <c r="Q6396" s="15" t="s">
        <v>63</v>
      </c>
      <c r="R6396" s="4"/>
      <c r="S6396" s="4"/>
    </row>
    <row r="6397" spans="1:19" ht="21" customHeight="1" x14ac:dyDescent="0.25">
      <c r="A6397" s="14">
        <f>DATE(2012,12,31)-1247</f>
        <v>40027</v>
      </c>
      <c r="B6397" s="15" t="s">
        <v>1511</v>
      </c>
      <c r="C6397" s="15" t="s">
        <v>43</v>
      </c>
      <c r="D6397" s="16">
        <v>15</v>
      </c>
      <c r="E6397" s="17">
        <v>269.2</v>
      </c>
      <c r="F6397" s="16">
        <v>0.02</v>
      </c>
      <c r="G6397" s="15" t="s">
        <v>101</v>
      </c>
      <c r="H6397" s="18">
        <v>69.61</v>
      </c>
      <c r="I6397" s="19">
        <v>16.48</v>
      </c>
      <c r="J6397" s="19">
        <v>1.99</v>
      </c>
      <c r="K6397" s="19" t="s">
        <v>97</v>
      </c>
      <c r="L6397" s="19" t="s">
        <v>195</v>
      </c>
      <c r="M6397" s="15" t="s">
        <v>2138</v>
      </c>
      <c r="N6397" s="15" t="s">
        <v>64</v>
      </c>
      <c r="O6397" s="15" t="s">
        <v>72</v>
      </c>
      <c r="P6397" s="20" t="s">
        <v>2037</v>
      </c>
      <c r="Q6397" s="15" t="s">
        <v>49</v>
      </c>
      <c r="R6397" s="4"/>
      <c r="S6397" s="4"/>
    </row>
    <row r="6398" spans="1:19" ht="21" customHeight="1" x14ac:dyDescent="0.25">
      <c r="A6398" s="14">
        <f>DATE(2012,12,31)-1247</f>
        <v>40027</v>
      </c>
      <c r="B6398" s="15" t="s">
        <v>1128</v>
      </c>
      <c r="C6398" s="15" t="s">
        <v>43</v>
      </c>
      <c r="D6398" s="16">
        <v>27</v>
      </c>
      <c r="E6398" s="17">
        <v>87.33</v>
      </c>
      <c r="F6398" s="16">
        <v>0.08</v>
      </c>
      <c r="G6398" s="15" t="s">
        <v>32</v>
      </c>
      <c r="H6398" s="18">
        <v>13.82</v>
      </c>
      <c r="I6398" s="19">
        <v>3.38</v>
      </c>
      <c r="J6398" s="19">
        <v>0.85</v>
      </c>
      <c r="K6398" s="19" t="s">
        <v>97</v>
      </c>
      <c r="L6398" s="19" t="s">
        <v>98</v>
      </c>
      <c r="M6398" s="15" t="s">
        <v>2279</v>
      </c>
      <c r="N6398" s="15" t="s">
        <v>36</v>
      </c>
      <c r="O6398" s="15" t="s">
        <v>77</v>
      </c>
      <c r="P6398" s="20" t="s">
        <v>501</v>
      </c>
      <c r="Q6398" s="15" t="s">
        <v>79</v>
      </c>
      <c r="R6398" s="4"/>
      <c r="S6398" s="4"/>
    </row>
    <row r="6399" spans="1:19" ht="21" customHeight="1" x14ac:dyDescent="0.25">
      <c r="A6399" s="14">
        <f>DATE(2012,12,31)-1058</f>
        <v>40216</v>
      </c>
      <c r="B6399" s="15" t="s">
        <v>630</v>
      </c>
      <c r="C6399" s="15" t="s">
        <v>51</v>
      </c>
      <c r="D6399" s="16">
        <v>37</v>
      </c>
      <c r="E6399" s="17">
        <v>281.79000000000002</v>
      </c>
      <c r="F6399" s="16">
        <v>0.04</v>
      </c>
      <c r="G6399" s="15" t="s">
        <v>101</v>
      </c>
      <c r="H6399" s="18">
        <v>-50.96</v>
      </c>
      <c r="I6399" s="19">
        <v>7.64</v>
      </c>
      <c r="J6399" s="19">
        <v>5.83</v>
      </c>
      <c r="K6399" s="19" t="s">
        <v>44</v>
      </c>
      <c r="L6399" s="19" t="s">
        <v>89</v>
      </c>
      <c r="M6399" s="15" t="s">
        <v>2293</v>
      </c>
      <c r="N6399" s="15" t="s">
        <v>36</v>
      </c>
      <c r="O6399" s="15" t="s">
        <v>117</v>
      </c>
      <c r="P6399" s="20" t="s">
        <v>2254</v>
      </c>
      <c r="Q6399" s="15" t="s">
        <v>79</v>
      </c>
      <c r="R6399" s="4"/>
      <c r="S6399" s="4"/>
    </row>
    <row r="6400" spans="1:19" ht="21" customHeight="1" x14ac:dyDescent="0.25">
      <c r="A6400" s="14">
        <f>DATE(2012,12,31)-1058</f>
        <v>40216</v>
      </c>
      <c r="B6400" s="15" t="s">
        <v>630</v>
      </c>
      <c r="C6400" s="15" t="s">
        <v>51</v>
      </c>
      <c r="D6400" s="16">
        <v>40</v>
      </c>
      <c r="E6400" s="17">
        <v>4064.2720000000004</v>
      </c>
      <c r="F6400" s="16">
        <v>0.01</v>
      </c>
      <c r="G6400" s="15" t="s">
        <v>58</v>
      </c>
      <c r="H6400" s="18">
        <v>-300.854983</v>
      </c>
      <c r="I6400" s="19">
        <v>124.49</v>
      </c>
      <c r="J6400" s="19">
        <v>51.94</v>
      </c>
      <c r="K6400" s="19" t="s">
        <v>124</v>
      </c>
      <c r="L6400" s="19" t="s">
        <v>160</v>
      </c>
      <c r="M6400" s="15" t="s">
        <v>2281</v>
      </c>
      <c r="N6400" s="15" t="s">
        <v>54</v>
      </c>
      <c r="O6400" s="15" t="s">
        <v>61</v>
      </c>
      <c r="P6400" s="20" t="s">
        <v>1445</v>
      </c>
      <c r="Q6400" s="15" t="s">
        <v>63</v>
      </c>
      <c r="R6400" s="4"/>
      <c r="S6400" s="4"/>
    </row>
    <row r="6401" spans="1:19" ht="21" customHeight="1" x14ac:dyDescent="0.25">
      <c r="A6401" s="14">
        <f>DATE(2012,12,31)-698</f>
        <v>40576</v>
      </c>
      <c r="B6401" s="15" t="s">
        <v>630</v>
      </c>
      <c r="C6401" s="15" t="s">
        <v>31</v>
      </c>
      <c r="D6401" s="16">
        <v>16</v>
      </c>
      <c r="E6401" s="17">
        <v>1223.43</v>
      </c>
      <c r="F6401" s="16">
        <v>0.01</v>
      </c>
      <c r="G6401" s="15" t="s">
        <v>58</v>
      </c>
      <c r="H6401" s="18">
        <v>-1615.5854000000002</v>
      </c>
      <c r="I6401" s="19">
        <v>70.89</v>
      </c>
      <c r="J6401" s="19">
        <v>89.3</v>
      </c>
      <c r="K6401" s="19" t="s">
        <v>124</v>
      </c>
      <c r="L6401" s="19" t="s">
        <v>158</v>
      </c>
      <c r="M6401" s="15" t="s">
        <v>158</v>
      </c>
      <c r="N6401" s="15" t="s">
        <v>54</v>
      </c>
      <c r="O6401" s="15" t="s">
        <v>61</v>
      </c>
      <c r="P6401" s="20" t="s">
        <v>358</v>
      </c>
      <c r="Q6401" s="15" t="s">
        <v>63</v>
      </c>
      <c r="R6401" s="4"/>
      <c r="S6401" s="4"/>
    </row>
    <row r="6402" spans="1:19" ht="21" customHeight="1" x14ac:dyDescent="0.25">
      <c r="A6402" s="14">
        <f>DATE(2012,12,31)-875</f>
        <v>40399</v>
      </c>
      <c r="B6402" s="15" t="s">
        <v>1660</v>
      </c>
      <c r="C6402" s="15" t="s">
        <v>85</v>
      </c>
      <c r="D6402" s="16">
        <v>19</v>
      </c>
      <c r="E6402" s="17">
        <v>77.569999999999993</v>
      </c>
      <c r="F6402" s="16">
        <v>0</v>
      </c>
      <c r="G6402" s="15" t="s">
        <v>32</v>
      </c>
      <c r="H6402" s="18">
        <v>-67.493499999999997</v>
      </c>
      <c r="I6402" s="19">
        <v>3.58</v>
      </c>
      <c r="J6402" s="19">
        <v>5.47</v>
      </c>
      <c r="K6402" s="19" t="s">
        <v>44</v>
      </c>
      <c r="L6402" s="19" t="s">
        <v>236</v>
      </c>
      <c r="M6402" s="15" t="s">
        <v>2296</v>
      </c>
      <c r="N6402" s="15" t="s">
        <v>36</v>
      </c>
      <c r="O6402" s="15" t="s">
        <v>170</v>
      </c>
      <c r="P6402" s="20" t="s">
        <v>534</v>
      </c>
      <c r="Q6402" s="15" t="s">
        <v>83</v>
      </c>
      <c r="R6402" s="4"/>
      <c r="S6402" s="4"/>
    </row>
    <row r="6403" spans="1:19" ht="21" customHeight="1" x14ac:dyDescent="0.25">
      <c r="A6403" s="14">
        <f>DATE(2012,12,31)-99</f>
        <v>41175</v>
      </c>
      <c r="B6403" s="15" t="s">
        <v>1074</v>
      </c>
      <c r="C6403" s="15" t="s">
        <v>85</v>
      </c>
      <c r="D6403" s="16">
        <v>43</v>
      </c>
      <c r="E6403" s="17">
        <v>528.53</v>
      </c>
      <c r="F6403" s="16">
        <v>0.05</v>
      </c>
      <c r="G6403" s="15" t="s">
        <v>32</v>
      </c>
      <c r="H6403" s="18">
        <v>-7.24</v>
      </c>
      <c r="I6403" s="19">
        <v>12.21</v>
      </c>
      <c r="J6403" s="19">
        <v>4.8099999999999996</v>
      </c>
      <c r="K6403" s="19" t="s">
        <v>44</v>
      </c>
      <c r="L6403" s="19" t="s">
        <v>52</v>
      </c>
      <c r="M6403" s="15" t="s">
        <v>2295</v>
      </c>
      <c r="N6403" s="15" t="s">
        <v>36</v>
      </c>
      <c r="O6403" s="15" t="s">
        <v>37</v>
      </c>
      <c r="P6403" s="20" t="s">
        <v>1301</v>
      </c>
      <c r="Q6403" s="15" t="s">
        <v>83</v>
      </c>
      <c r="R6403" s="4"/>
      <c r="S6403" s="4"/>
    </row>
    <row r="6404" spans="1:19" ht="21" customHeight="1" x14ac:dyDescent="0.25">
      <c r="A6404" s="14">
        <f>DATE(2012,12,31)-99</f>
        <v>41175</v>
      </c>
      <c r="B6404" s="15" t="s">
        <v>1059</v>
      </c>
      <c r="C6404" s="15" t="s">
        <v>85</v>
      </c>
      <c r="D6404" s="16">
        <v>47</v>
      </c>
      <c r="E6404" s="17">
        <v>5975.0495000000001</v>
      </c>
      <c r="F6404" s="16">
        <v>0.06</v>
      </c>
      <c r="G6404" s="15" t="s">
        <v>32</v>
      </c>
      <c r="H6404" s="18">
        <v>1417.23</v>
      </c>
      <c r="I6404" s="19">
        <v>155.99</v>
      </c>
      <c r="J6404" s="19">
        <v>8.99</v>
      </c>
      <c r="K6404" s="19" t="s">
        <v>111</v>
      </c>
      <c r="L6404" s="19" t="s">
        <v>407</v>
      </c>
      <c r="M6404" s="15" t="s">
        <v>407</v>
      </c>
      <c r="N6404" s="15" t="s">
        <v>64</v>
      </c>
      <c r="O6404" s="15" t="s">
        <v>65</v>
      </c>
      <c r="P6404" s="20" t="s">
        <v>257</v>
      </c>
      <c r="Q6404" s="15" t="s">
        <v>83</v>
      </c>
      <c r="R6404" s="4"/>
      <c r="S6404" s="4"/>
    </row>
    <row r="6405" spans="1:19" ht="21" customHeight="1" x14ac:dyDescent="0.25">
      <c r="A6405" s="14">
        <f>DATE(2012,12,31)-99</f>
        <v>41175</v>
      </c>
      <c r="B6405" s="15" t="s">
        <v>1002</v>
      </c>
      <c r="C6405" s="15" t="s">
        <v>85</v>
      </c>
      <c r="D6405" s="16">
        <v>44</v>
      </c>
      <c r="E6405" s="17">
        <v>720.52</v>
      </c>
      <c r="F6405" s="16">
        <v>0.1</v>
      </c>
      <c r="G6405" s="15" t="s">
        <v>32</v>
      </c>
      <c r="H6405" s="18">
        <v>-36.792299999999997</v>
      </c>
      <c r="I6405" s="19">
        <v>17.98</v>
      </c>
      <c r="J6405" s="19">
        <v>8.51</v>
      </c>
      <c r="K6405" s="19" t="s">
        <v>44</v>
      </c>
      <c r="L6405" s="19" t="s">
        <v>52</v>
      </c>
      <c r="M6405" s="15" t="s">
        <v>2295</v>
      </c>
      <c r="N6405" s="15" t="s">
        <v>64</v>
      </c>
      <c r="O6405" s="15" t="s">
        <v>122</v>
      </c>
      <c r="P6405" s="20" t="s">
        <v>1490</v>
      </c>
      <c r="Q6405" s="15" t="s">
        <v>57</v>
      </c>
      <c r="R6405" s="4"/>
      <c r="S6405" s="4"/>
    </row>
    <row r="6406" spans="1:19" ht="21" customHeight="1" x14ac:dyDescent="0.25">
      <c r="A6406" s="14">
        <f>DATE(2012,12,31)-1237</f>
        <v>40037</v>
      </c>
      <c r="B6406" s="15" t="s">
        <v>221</v>
      </c>
      <c r="C6406" s="15" t="s">
        <v>51</v>
      </c>
      <c r="D6406" s="16">
        <v>5</v>
      </c>
      <c r="E6406" s="17">
        <v>627.64</v>
      </c>
      <c r="F6406" s="16">
        <v>0.05</v>
      </c>
      <c r="G6406" s="15" t="s">
        <v>58</v>
      </c>
      <c r="H6406" s="18">
        <v>-151.46</v>
      </c>
      <c r="I6406" s="19">
        <v>120.98</v>
      </c>
      <c r="J6406" s="19">
        <v>30</v>
      </c>
      <c r="K6406" s="19" t="s">
        <v>97</v>
      </c>
      <c r="L6406" s="19" t="s">
        <v>195</v>
      </c>
      <c r="M6406" s="15" t="s">
        <v>2138</v>
      </c>
      <c r="N6406" s="15" t="s">
        <v>54</v>
      </c>
      <c r="O6406" s="15" t="s">
        <v>252</v>
      </c>
      <c r="P6406" s="20" t="s">
        <v>542</v>
      </c>
      <c r="Q6406" s="15" t="s">
        <v>181</v>
      </c>
      <c r="R6406" s="4"/>
      <c r="S6406" s="4"/>
    </row>
    <row r="6407" spans="1:19" ht="21" customHeight="1" x14ac:dyDescent="0.25">
      <c r="A6407" s="14">
        <f>DATE(2012,12,31)-263</f>
        <v>41011</v>
      </c>
      <c r="B6407" s="15" t="s">
        <v>474</v>
      </c>
      <c r="C6407" s="15" t="s">
        <v>85</v>
      </c>
      <c r="D6407" s="16">
        <v>46</v>
      </c>
      <c r="E6407" s="17">
        <v>3849.17</v>
      </c>
      <c r="F6407" s="16">
        <v>0.06</v>
      </c>
      <c r="G6407" s="15" t="s">
        <v>32</v>
      </c>
      <c r="H6407" s="18">
        <v>1982.78</v>
      </c>
      <c r="I6407" s="19">
        <v>83.98</v>
      </c>
      <c r="J6407" s="19">
        <v>5.01</v>
      </c>
      <c r="K6407" s="19" t="s">
        <v>124</v>
      </c>
      <c r="L6407" s="19" t="s">
        <v>160</v>
      </c>
      <c r="M6407" s="15" t="s">
        <v>2281</v>
      </c>
      <c r="N6407" s="15" t="s">
        <v>36</v>
      </c>
      <c r="O6407" s="15" t="s">
        <v>189</v>
      </c>
      <c r="P6407" s="20" t="s">
        <v>1587</v>
      </c>
      <c r="Q6407" s="15" t="s">
        <v>83</v>
      </c>
      <c r="R6407" s="4"/>
      <c r="S6407" s="4"/>
    </row>
    <row r="6408" spans="1:19" ht="21" customHeight="1" x14ac:dyDescent="0.25">
      <c r="A6408" s="14">
        <f>DATE(2012,12,31)-462</f>
        <v>40812</v>
      </c>
      <c r="B6408" s="15" t="s">
        <v>474</v>
      </c>
      <c r="C6408" s="15" t="s">
        <v>51</v>
      </c>
      <c r="D6408" s="16">
        <v>47</v>
      </c>
      <c r="E6408" s="17">
        <v>945.03</v>
      </c>
      <c r="F6408" s="16">
        <v>0</v>
      </c>
      <c r="G6408" s="15" t="s">
        <v>32</v>
      </c>
      <c r="H6408" s="18">
        <v>267.64</v>
      </c>
      <c r="I6408" s="19">
        <v>19.98</v>
      </c>
      <c r="J6408" s="19">
        <v>5.97</v>
      </c>
      <c r="K6408" s="19" t="s">
        <v>124</v>
      </c>
      <c r="L6408" s="19" t="s">
        <v>493</v>
      </c>
      <c r="M6408" s="15" t="s">
        <v>2299</v>
      </c>
      <c r="N6408" s="15" t="s">
        <v>36</v>
      </c>
      <c r="O6408" s="15" t="s">
        <v>117</v>
      </c>
      <c r="P6408" s="20" t="s">
        <v>1618</v>
      </c>
      <c r="Q6408" s="15" t="s">
        <v>83</v>
      </c>
      <c r="R6408" s="4"/>
      <c r="S6408" s="4"/>
    </row>
    <row r="6409" spans="1:19" ht="21" customHeight="1" x14ac:dyDescent="0.25">
      <c r="A6409" s="14">
        <f>DATE(2012,12,31)-996</f>
        <v>40278</v>
      </c>
      <c r="B6409" s="15" t="s">
        <v>1355</v>
      </c>
      <c r="C6409" s="15" t="s">
        <v>85</v>
      </c>
      <c r="D6409" s="16">
        <v>7</v>
      </c>
      <c r="E6409" s="17">
        <v>1494.27</v>
      </c>
      <c r="F6409" s="16">
        <v>0.05</v>
      </c>
      <c r="G6409" s="15" t="s">
        <v>58</v>
      </c>
      <c r="H6409" s="18">
        <v>-248.78</v>
      </c>
      <c r="I6409" s="19">
        <v>212.6</v>
      </c>
      <c r="J6409" s="19">
        <v>52.2</v>
      </c>
      <c r="K6409" s="19" t="s">
        <v>124</v>
      </c>
      <c r="L6409" s="19" t="s">
        <v>319</v>
      </c>
      <c r="M6409" s="15" t="s">
        <v>2300</v>
      </c>
      <c r="N6409" s="15" t="s">
        <v>54</v>
      </c>
      <c r="O6409" s="15" t="s">
        <v>61</v>
      </c>
      <c r="P6409" s="20" t="s">
        <v>188</v>
      </c>
      <c r="Q6409" s="15" t="s">
        <v>63</v>
      </c>
      <c r="R6409" s="4"/>
      <c r="S6409" s="4"/>
    </row>
    <row r="6410" spans="1:19" ht="21" customHeight="1" x14ac:dyDescent="0.25">
      <c r="A6410" s="14">
        <f>DATE(2012,12,31)-466</f>
        <v>40808</v>
      </c>
      <c r="B6410" s="15" t="s">
        <v>1355</v>
      </c>
      <c r="C6410" s="15" t="s">
        <v>85</v>
      </c>
      <c r="D6410" s="16">
        <v>38</v>
      </c>
      <c r="E6410" s="17">
        <v>325.75</v>
      </c>
      <c r="F6410" s="16">
        <v>0.1</v>
      </c>
      <c r="G6410" s="15" t="s">
        <v>32</v>
      </c>
      <c r="H6410" s="18">
        <v>-124.25</v>
      </c>
      <c r="I6410" s="19">
        <v>8.75</v>
      </c>
      <c r="J6410" s="19">
        <v>8.5399999999999991</v>
      </c>
      <c r="K6410" s="19" t="s">
        <v>124</v>
      </c>
      <c r="L6410" s="19" t="s">
        <v>158</v>
      </c>
      <c r="M6410" s="15" t="s">
        <v>158</v>
      </c>
      <c r="N6410" s="15" t="s">
        <v>54</v>
      </c>
      <c r="O6410" s="15" t="s">
        <v>55</v>
      </c>
      <c r="P6410" s="20" t="s">
        <v>220</v>
      </c>
      <c r="Q6410" s="15" t="s">
        <v>49</v>
      </c>
      <c r="R6410" s="4"/>
      <c r="S6410" s="4"/>
    </row>
    <row r="6411" spans="1:19" ht="21" customHeight="1" x14ac:dyDescent="0.25">
      <c r="A6411" s="14">
        <f>DATE(2012,12,31)-466</f>
        <v>40808</v>
      </c>
      <c r="B6411" s="15" t="s">
        <v>1817</v>
      </c>
      <c r="C6411" s="15" t="s">
        <v>85</v>
      </c>
      <c r="D6411" s="16">
        <v>24</v>
      </c>
      <c r="E6411" s="17">
        <v>136.41999999999999</v>
      </c>
      <c r="F6411" s="16">
        <v>0.09</v>
      </c>
      <c r="G6411" s="15" t="s">
        <v>32</v>
      </c>
      <c r="H6411" s="18">
        <v>-8.3800000000000008</v>
      </c>
      <c r="I6411" s="19">
        <v>5.85</v>
      </c>
      <c r="J6411" s="19">
        <v>2.27</v>
      </c>
      <c r="K6411" s="19" t="s">
        <v>44</v>
      </c>
      <c r="L6411" s="19" t="s">
        <v>52</v>
      </c>
      <c r="M6411" s="15" t="s">
        <v>2295</v>
      </c>
      <c r="N6411" s="15" t="s">
        <v>36</v>
      </c>
      <c r="O6411" s="15" t="s">
        <v>77</v>
      </c>
      <c r="P6411" s="20" t="s">
        <v>62</v>
      </c>
      <c r="Q6411" s="15" t="s">
        <v>79</v>
      </c>
      <c r="R6411" s="4"/>
      <c r="S6411" s="4"/>
    </row>
    <row r="6412" spans="1:19" ht="21" customHeight="1" x14ac:dyDescent="0.25">
      <c r="A6412" s="14">
        <f>DATE(2012,12,31)-966</f>
        <v>40308</v>
      </c>
      <c r="B6412" s="15" t="s">
        <v>2211</v>
      </c>
      <c r="C6412" s="15" t="s">
        <v>43</v>
      </c>
      <c r="D6412" s="16">
        <v>50</v>
      </c>
      <c r="E6412" s="17">
        <v>442.31</v>
      </c>
      <c r="F6412" s="16">
        <v>0.02</v>
      </c>
      <c r="G6412" s="15" t="s">
        <v>32</v>
      </c>
      <c r="H6412" s="18">
        <v>231.68</v>
      </c>
      <c r="I6412" s="19">
        <v>8.34</v>
      </c>
      <c r="J6412" s="19">
        <v>0.96</v>
      </c>
      <c r="K6412" s="19" t="s">
        <v>44</v>
      </c>
      <c r="L6412" s="19" t="s">
        <v>52</v>
      </c>
      <c r="M6412" s="15" t="s">
        <v>2295</v>
      </c>
      <c r="N6412" s="15" t="s">
        <v>54</v>
      </c>
      <c r="O6412" s="15" t="s">
        <v>55</v>
      </c>
      <c r="P6412" s="20" t="s">
        <v>297</v>
      </c>
      <c r="Q6412" s="15" t="s">
        <v>79</v>
      </c>
      <c r="R6412" s="4"/>
      <c r="S6412" s="4"/>
    </row>
    <row r="6413" spans="1:19" ht="21" customHeight="1" x14ac:dyDescent="0.25">
      <c r="A6413" s="14">
        <f>DATE(2012,12,31)-268</f>
        <v>41006</v>
      </c>
      <c r="B6413" s="15" t="s">
        <v>2191</v>
      </c>
      <c r="C6413" s="15" t="s">
        <v>31</v>
      </c>
      <c r="D6413" s="16">
        <v>50</v>
      </c>
      <c r="E6413" s="17">
        <v>2018.68</v>
      </c>
      <c r="F6413" s="16">
        <v>0.1</v>
      </c>
      <c r="G6413" s="15" t="s">
        <v>32</v>
      </c>
      <c r="H6413" s="18">
        <v>731.72</v>
      </c>
      <c r="I6413" s="19">
        <v>43.98</v>
      </c>
      <c r="J6413" s="19">
        <v>1.99</v>
      </c>
      <c r="K6413" s="19" t="s">
        <v>44</v>
      </c>
      <c r="L6413" s="19" t="s">
        <v>52</v>
      </c>
      <c r="M6413" s="15" t="s">
        <v>2295</v>
      </c>
      <c r="N6413" s="15" t="s">
        <v>64</v>
      </c>
      <c r="O6413" s="15" t="s">
        <v>72</v>
      </c>
      <c r="P6413" s="20" t="s">
        <v>1674</v>
      </c>
      <c r="Q6413" s="15" t="s">
        <v>49</v>
      </c>
      <c r="R6413" s="4"/>
      <c r="S6413" s="4"/>
    </row>
    <row r="6414" spans="1:19" ht="21" customHeight="1" x14ac:dyDescent="0.25">
      <c r="A6414" s="14">
        <f>DATE(2012,12,31)-205</f>
        <v>41069</v>
      </c>
      <c r="B6414" s="15" t="s">
        <v>2191</v>
      </c>
      <c r="C6414" s="15" t="s">
        <v>43</v>
      </c>
      <c r="D6414" s="16">
        <v>24</v>
      </c>
      <c r="E6414" s="17">
        <v>473.03</v>
      </c>
      <c r="F6414" s="16">
        <v>0.09</v>
      </c>
      <c r="G6414" s="15" t="s">
        <v>32</v>
      </c>
      <c r="H6414" s="18">
        <v>26.27</v>
      </c>
      <c r="I6414" s="19">
        <v>19.98</v>
      </c>
      <c r="J6414" s="19">
        <v>10.49</v>
      </c>
      <c r="K6414" s="19" t="s">
        <v>33</v>
      </c>
      <c r="L6414" s="19" t="s">
        <v>59</v>
      </c>
      <c r="M6414" s="15" t="s">
        <v>2269</v>
      </c>
      <c r="N6414" s="15" t="s">
        <v>54</v>
      </c>
      <c r="O6414" s="15" t="s">
        <v>55</v>
      </c>
      <c r="P6414" s="20" t="s">
        <v>438</v>
      </c>
      <c r="Q6414" s="15" t="s">
        <v>83</v>
      </c>
      <c r="R6414" s="4"/>
      <c r="S6414" s="4"/>
    </row>
    <row r="6415" spans="1:19" ht="21" customHeight="1" x14ac:dyDescent="0.25">
      <c r="A6415" s="14">
        <f>DATE(2012,12,31)-750</f>
        <v>40524</v>
      </c>
      <c r="B6415" s="15" t="s">
        <v>2191</v>
      </c>
      <c r="C6415" s="15" t="s">
        <v>43</v>
      </c>
      <c r="D6415" s="16">
        <v>8</v>
      </c>
      <c r="E6415" s="17">
        <v>704.77</v>
      </c>
      <c r="F6415" s="16">
        <v>0.01</v>
      </c>
      <c r="G6415" s="15" t="s">
        <v>58</v>
      </c>
      <c r="H6415" s="18">
        <v>-298.89999999999998</v>
      </c>
      <c r="I6415" s="19">
        <v>81.94</v>
      </c>
      <c r="J6415" s="19">
        <v>55.81</v>
      </c>
      <c r="K6415" s="19" t="s">
        <v>33</v>
      </c>
      <c r="L6415" s="19" t="s">
        <v>145</v>
      </c>
      <c r="M6415" s="15" t="s">
        <v>2248</v>
      </c>
      <c r="N6415" s="15" t="s">
        <v>54</v>
      </c>
      <c r="O6415" s="15" t="s">
        <v>134</v>
      </c>
      <c r="P6415" s="20" t="s">
        <v>1357</v>
      </c>
      <c r="Q6415" s="15" t="s">
        <v>63</v>
      </c>
      <c r="R6415" s="4"/>
      <c r="S6415" s="4"/>
    </row>
    <row r="6416" spans="1:19" ht="21" customHeight="1" x14ac:dyDescent="0.25">
      <c r="A6416" s="14">
        <f>DATE(2012,12,31)-146</f>
        <v>41128</v>
      </c>
      <c r="B6416" s="15" t="s">
        <v>183</v>
      </c>
      <c r="C6416" s="15" t="s">
        <v>31</v>
      </c>
      <c r="D6416" s="16">
        <v>2</v>
      </c>
      <c r="E6416" s="17">
        <v>20.16</v>
      </c>
      <c r="F6416" s="16">
        <v>0.06</v>
      </c>
      <c r="G6416" s="15" t="s">
        <v>32</v>
      </c>
      <c r="H6416" s="18">
        <v>-13.32</v>
      </c>
      <c r="I6416" s="19">
        <v>6.48</v>
      </c>
      <c r="J6416" s="19">
        <v>7.86</v>
      </c>
      <c r="K6416" s="19" t="s">
        <v>33</v>
      </c>
      <c r="L6416" s="19" t="s">
        <v>128</v>
      </c>
      <c r="M6416" s="15" t="s">
        <v>129</v>
      </c>
      <c r="N6416" s="15" t="s">
        <v>36</v>
      </c>
      <c r="O6416" s="15" t="s">
        <v>117</v>
      </c>
      <c r="P6416" s="20" t="s">
        <v>712</v>
      </c>
      <c r="Q6416" s="15" t="s">
        <v>83</v>
      </c>
      <c r="R6416" s="4"/>
      <c r="S6416" s="4"/>
    </row>
    <row r="6417" spans="1:19" ht="21" customHeight="1" x14ac:dyDescent="0.25">
      <c r="A6417" s="14">
        <f>DATE(2012,12,31)-568</f>
        <v>40706</v>
      </c>
      <c r="B6417" s="15" t="s">
        <v>630</v>
      </c>
      <c r="C6417" s="15" t="s">
        <v>31</v>
      </c>
      <c r="D6417" s="16">
        <v>13</v>
      </c>
      <c r="E6417" s="17">
        <v>126.68</v>
      </c>
      <c r="F6417" s="16">
        <v>0.05</v>
      </c>
      <c r="G6417" s="15" t="s">
        <v>32</v>
      </c>
      <c r="H6417" s="18">
        <v>7</v>
      </c>
      <c r="I6417" s="19">
        <v>9.77</v>
      </c>
      <c r="J6417" s="19">
        <v>6.02</v>
      </c>
      <c r="K6417" s="19" t="s">
        <v>33</v>
      </c>
      <c r="L6417" s="19" t="s">
        <v>145</v>
      </c>
      <c r="M6417" s="15" t="s">
        <v>2248</v>
      </c>
      <c r="N6417" s="15" t="s">
        <v>54</v>
      </c>
      <c r="O6417" s="15" t="s">
        <v>55</v>
      </c>
      <c r="P6417" s="20" t="s">
        <v>2076</v>
      </c>
      <c r="Q6417" s="15" t="s">
        <v>57</v>
      </c>
      <c r="R6417" s="4"/>
      <c r="S6417" s="4"/>
    </row>
    <row r="6418" spans="1:19" ht="21" customHeight="1" x14ac:dyDescent="0.25">
      <c r="A6418" s="14">
        <f>DATE(2012,12,31)-252</f>
        <v>41022</v>
      </c>
      <c r="B6418" s="15" t="s">
        <v>1729</v>
      </c>
      <c r="C6418" s="15" t="s">
        <v>51</v>
      </c>
      <c r="D6418" s="16">
        <v>40</v>
      </c>
      <c r="E6418" s="17">
        <v>6559.01</v>
      </c>
      <c r="F6418" s="16">
        <v>0.1</v>
      </c>
      <c r="G6418" s="15" t="s">
        <v>32</v>
      </c>
      <c r="H6418" s="18">
        <v>2307.5715</v>
      </c>
      <c r="I6418" s="19">
        <v>172.99</v>
      </c>
      <c r="J6418" s="19">
        <v>19.989999999999998</v>
      </c>
      <c r="K6418" s="19" t="s">
        <v>33</v>
      </c>
      <c r="L6418" s="19" t="s">
        <v>145</v>
      </c>
      <c r="M6418" s="15" t="s">
        <v>2248</v>
      </c>
      <c r="N6418" s="15" t="s">
        <v>36</v>
      </c>
      <c r="O6418" s="15" t="s">
        <v>170</v>
      </c>
      <c r="P6418" s="20" t="s">
        <v>1347</v>
      </c>
      <c r="Q6418" s="15" t="s">
        <v>83</v>
      </c>
      <c r="R6418" s="4"/>
      <c r="S6418" s="4"/>
    </row>
    <row r="6419" spans="1:19" ht="21" customHeight="1" x14ac:dyDescent="0.25">
      <c r="A6419" s="14">
        <f>DATE(2012,12,31)-252</f>
        <v>41022</v>
      </c>
      <c r="B6419" s="15" t="s">
        <v>580</v>
      </c>
      <c r="C6419" s="15" t="s">
        <v>51</v>
      </c>
      <c r="D6419" s="16">
        <v>36</v>
      </c>
      <c r="E6419" s="17">
        <v>263.37</v>
      </c>
      <c r="F6419" s="16">
        <v>0.04</v>
      </c>
      <c r="G6419" s="15" t="s">
        <v>32</v>
      </c>
      <c r="H6419" s="18">
        <v>-5.68</v>
      </c>
      <c r="I6419" s="19">
        <v>7.28</v>
      </c>
      <c r="J6419" s="19">
        <v>4.2300000000000004</v>
      </c>
      <c r="K6419" s="19" t="s">
        <v>33</v>
      </c>
      <c r="L6419" s="19" t="s">
        <v>145</v>
      </c>
      <c r="M6419" s="15" t="s">
        <v>2248</v>
      </c>
      <c r="N6419" s="15" t="s">
        <v>36</v>
      </c>
      <c r="O6419" s="15" t="s">
        <v>117</v>
      </c>
      <c r="P6419" s="20" t="s">
        <v>615</v>
      </c>
      <c r="Q6419" s="15" t="s">
        <v>79</v>
      </c>
      <c r="R6419" s="4"/>
      <c r="S6419" s="4"/>
    </row>
    <row r="6420" spans="1:19" ht="21" customHeight="1" x14ac:dyDescent="0.25">
      <c r="A6420" s="14">
        <f>DATE(2012,12,31)-48</f>
        <v>41226</v>
      </c>
      <c r="B6420" s="15" t="s">
        <v>1924</v>
      </c>
      <c r="C6420" s="15" t="s">
        <v>51</v>
      </c>
      <c r="D6420" s="16">
        <v>43</v>
      </c>
      <c r="E6420" s="17">
        <v>1704.58</v>
      </c>
      <c r="F6420" s="16">
        <v>0.02</v>
      </c>
      <c r="G6420" s="15" t="s">
        <v>32</v>
      </c>
      <c r="H6420" s="18">
        <v>518.48</v>
      </c>
      <c r="I6420" s="19">
        <v>38.06</v>
      </c>
      <c r="J6420" s="19">
        <v>4.5</v>
      </c>
      <c r="K6420" s="19" t="s">
        <v>33</v>
      </c>
      <c r="L6420" s="19" t="s">
        <v>145</v>
      </c>
      <c r="M6420" s="15" t="s">
        <v>2248</v>
      </c>
      <c r="N6420" s="15" t="s">
        <v>36</v>
      </c>
      <c r="O6420" s="15" t="s">
        <v>176</v>
      </c>
      <c r="P6420" s="20" t="s">
        <v>988</v>
      </c>
      <c r="Q6420" s="15" t="s">
        <v>83</v>
      </c>
      <c r="R6420" s="4"/>
      <c r="S6420" s="4"/>
    </row>
    <row r="6421" spans="1:19" ht="21" customHeight="1" x14ac:dyDescent="0.25">
      <c r="A6421" s="14">
        <f>DATE(2012,12,31)-924</f>
        <v>40350</v>
      </c>
      <c r="B6421" s="15" t="s">
        <v>1924</v>
      </c>
      <c r="C6421" s="15" t="s">
        <v>51</v>
      </c>
      <c r="D6421" s="16">
        <v>49</v>
      </c>
      <c r="E6421" s="17">
        <v>1711.79</v>
      </c>
      <c r="F6421" s="16">
        <v>0.01</v>
      </c>
      <c r="G6421" s="15" t="s">
        <v>32</v>
      </c>
      <c r="H6421" s="18">
        <v>812.32</v>
      </c>
      <c r="I6421" s="19">
        <v>33.29</v>
      </c>
      <c r="J6421" s="19">
        <v>1.99</v>
      </c>
      <c r="K6421" s="19" t="s">
        <v>33</v>
      </c>
      <c r="L6421" s="19" t="s">
        <v>145</v>
      </c>
      <c r="M6421" s="15" t="s">
        <v>2248</v>
      </c>
      <c r="N6421" s="15" t="s">
        <v>64</v>
      </c>
      <c r="O6421" s="15" t="s">
        <v>72</v>
      </c>
      <c r="P6421" s="20" t="s">
        <v>793</v>
      </c>
      <c r="Q6421" s="15" t="s">
        <v>49</v>
      </c>
      <c r="R6421" s="4"/>
      <c r="S6421" s="4"/>
    </row>
    <row r="6422" spans="1:19" ht="21" customHeight="1" x14ac:dyDescent="0.25">
      <c r="A6422" s="14">
        <f>DATE(2012,12,31)-924</f>
        <v>40350</v>
      </c>
      <c r="B6422" s="15" t="s">
        <v>1310</v>
      </c>
      <c r="C6422" s="15" t="s">
        <v>51</v>
      </c>
      <c r="D6422" s="16">
        <v>11</v>
      </c>
      <c r="E6422" s="17">
        <v>38.24</v>
      </c>
      <c r="F6422" s="16">
        <v>0.02</v>
      </c>
      <c r="G6422" s="15" t="s">
        <v>32</v>
      </c>
      <c r="H6422" s="18">
        <v>-37.549999999999997</v>
      </c>
      <c r="I6422" s="19">
        <v>2.88</v>
      </c>
      <c r="J6422" s="19">
        <v>5.33</v>
      </c>
      <c r="K6422" s="19" t="s">
        <v>33</v>
      </c>
      <c r="L6422" s="19" t="s">
        <v>145</v>
      </c>
      <c r="M6422" s="15" t="s">
        <v>2248</v>
      </c>
      <c r="N6422" s="15" t="s">
        <v>36</v>
      </c>
      <c r="O6422" s="15" t="s">
        <v>114</v>
      </c>
      <c r="P6422" s="20" t="s">
        <v>890</v>
      </c>
      <c r="Q6422" s="15" t="s">
        <v>83</v>
      </c>
      <c r="R6422" s="4"/>
      <c r="S6422" s="4"/>
    </row>
    <row r="6423" spans="1:19" ht="21" customHeight="1" x14ac:dyDescent="0.25">
      <c r="A6423" s="14">
        <f>DATE(2012,12,31)-1239</f>
        <v>40035</v>
      </c>
      <c r="B6423" s="15" t="s">
        <v>1715</v>
      </c>
      <c r="C6423" s="15" t="s">
        <v>85</v>
      </c>
      <c r="D6423" s="16">
        <v>19</v>
      </c>
      <c r="E6423" s="17">
        <v>146.63</v>
      </c>
      <c r="F6423" s="16">
        <v>0.01</v>
      </c>
      <c r="G6423" s="15" t="s">
        <v>101</v>
      </c>
      <c r="H6423" s="18">
        <v>-30.06</v>
      </c>
      <c r="I6423" s="19">
        <v>6.48</v>
      </c>
      <c r="J6423" s="19">
        <v>6.22</v>
      </c>
      <c r="K6423" s="19" t="s">
        <v>33</v>
      </c>
      <c r="L6423" s="19" t="s">
        <v>59</v>
      </c>
      <c r="M6423" s="15" t="s">
        <v>2269</v>
      </c>
      <c r="N6423" s="15" t="s">
        <v>36</v>
      </c>
      <c r="O6423" s="15" t="s">
        <v>117</v>
      </c>
      <c r="P6423" s="20" t="s">
        <v>1702</v>
      </c>
      <c r="Q6423" s="15" t="s">
        <v>83</v>
      </c>
      <c r="R6423" s="4"/>
      <c r="S6423" s="4"/>
    </row>
    <row r="6424" spans="1:19" ht="21" customHeight="1" x14ac:dyDescent="0.25">
      <c r="A6424" s="14">
        <f>DATE(2012,12,31)-1239</f>
        <v>40035</v>
      </c>
      <c r="B6424" s="15" t="s">
        <v>346</v>
      </c>
      <c r="C6424" s="15" t="s">
        <v>85</v>
      </c>
      <c r="D6424" s="16">
        <v>35</v>
      </c>
      <c r="E6424" s="17">
        <v>2506.2674999999999</v>
      </c>
      <c r="F6424" s="16">
        <v>0.03</v>
      </c>
      <c r="G6424" s="15" t="s">
        <v>32</v>
      </c>
      <c r="H6424" s="18">
        <v>1160.577</v>
      </c>
      <c r="I6424" s="19">
        <v>85.99</v>
      </c>
      <c r="J6424" s="19">
        <v>3.3</v>
      </c>
      <c r="K6424" s="19" t="s">
        <v>33</v>
      </c>
      <c r="L6424" s="19" t="s">
        <v>145</v>
      </c>
      <c r="M6424" s="15" t="s">
        <v>2248</v>
      </c>
      <c r="N6424" s="15" t="s">
        <v>64</v>
      </c>
      <c r="O6424" s="15" t="s">
        <v>65</v>
      </c>
      <c r="P6424" s="20" t="s">
        <v>889</v>
      </c>
      <c r="Q6424" s="15" t="s">
        <v>49</v>
      </c>
      <c r="R6424" s="4"/>
      <c r="S6424" s="4"/>
    </row>
    <row r="6425" spans="1:19" ht="21" customHeight="1" x14ac:dyDescent="0.25">
      <c r="A6425" s="14">
        <f>DATE(2012,12,31)-1239</f>
        <v>40035</v>
      </c>
      <c r="B6425" s="15" t="s">
        <v>2127</v>
      </c>
      <c r="C6425" s="15" t="s">
        <v>85</v>
      </c>
      <c r="D6425" s="16">
        <v>44</v>
      </c>
      <c r="E6425" s="17">
        <v>12689.87</v>
      </c>
      <c r="F6425" s="16">
        <v>0.04</v>
      </c>
      <c r="G6425" s="15" t="s">
        <v>58</v>
      </c>
      <c r="H6425" s="18">
        <v>-169.227</v>
      </c>
      <c r="I6425" s="19">
        <v>296.18</v>
      </c>
      <c r="J6425" s="19">
        <v>154.12</v>
      </c>
      <c r="K6425" s="19" t="s">
        <v>33</v>
      </c>
      <c r="L6425" s="19" t="s">
        <v>145</v>
      </c>
      <c r="M6425" s="15" t="s">
        <v>2248</v>
      </c>
      <c r="N6425" s="15" t="s">
        <v>54</v>
      </c>
      <c r="O6425" s="15" t="s">
        <v>61</v>
      </c>
      <c r="P6425" s="20" t="s">
        <v>1288</v>
      </c>
      <c r="Q6425" s="15" t="s">
        <v>63</v>
      </c>
      <c r="R6425" s="4"/>
      <c r="S6425" s="4"/>
    </row>
    <row r="6426" spans="1:19" ht="21" customHeight="1" x14ac:dyDescent="0.25">
      <c r="A6426" s="14">
        <f>DATE(2012,12,31)-756</f>
        <v>40518</v>
      </c>
      <c r="B6426" s="15" t="s">
        <v>559</v>
      </c>
      <c r="C6426" s="15" t="s">
        <v>85</v>
      </c>
      <c r="D6426" s="16">
        <v>39</v>
      </c>
      <c r="E6426" s="17">
        <v>851.17</v>
      </c>
      <c r="F6426" s="16">
        <v>7.0000000000000007E-2</v>
      </c>
      <c r="G6426" s="15" t="s">
        <v>32</v>
      </c>
      <c r="H6426" s="18">
        <v>-131.28399999999999</v>
      </c>
      <c r="I6426" s="19">
        <v>22.38</v>
      </c>
      <c r="J6426" s="19">
        <v>15.1</v>
      </c>
      <c r="K6426" s="19" t="s">
        <v>33</v>
      </c>
      <c r="L6426" s="19" t="s">
        <v>145</v>
      </c>
      <c r="M6426" s="15" t="s">
        <v>2248</v>
      </c>
      <c r="N6426" s="15" t="s">
        <v>36</v>
      </c>
      <c r="O6426" s="15" t="s">
        <v>170</v>
      </c>
      <c r="P6426" s="20" t="s">
        <v>912</v>
      </c>
      <c r="Q6426" s="15" t="s">
        <v>83</v>
      </c>
      <c r="R6426" s="4"/>
      <c r="S6426" s="4"/>
    </row>
    <row r="6427" spans="1:19" ht="21" customHeight="1" x14ac:dyDescent="0.25">
      <c r="A6427" s="14">
        <f>DATE(2012,12,31)-167</f>
        <v>41107</v>
      </c>
      <c r="B6427" s="15" t="s">
        <v>741</v>
      </c>
      <c r="C6427" s="15" t="s">
        <v>85</v>
      </c>
      <c r="D6427" s="16">
        <v>47</v>
      </c>
      <c r="E6427" s="17">
        <v>557.52</v>
      </c>
      <c r="F6427" s="16">
        <v>0.03</v>
      </c>
      <c r="G6427" s="15" t="s">
        <v>101</v>
      </c>
      <c r="H6427" s="18">
        <v>-157.30000000000001</v>
      </c>
      <c r="I6427" s="19">
        <v>11.66</v>
      </c>
      <c r="J6427" s="19">
        <v>7.95</v>
      </c>
      <c r="K6427" s="19" t="s">
        <v>69</v>
      </c>
      <c r="L6427" s="19" t="s">
        <v>70</v>
      </c>
      <c r="M6427" s="15" t="s">
        <v>2230</v>
      </c>
      <c r="N6427" s="15" t="s">
        <v>36</v>
      </c>
      <c r="O6427" s="15" t="s">
        <v>77</v>
      </c>
      <c r="P6427" s="20" t="s">
        <v>1171</v>
      </c>
      <c r="Q6427" s="15" t="s">
        <v>49</v>
      </c>
      <c r="R6427" s="4"/>
      <c r="S6427" s="4"/>
    </row>
    <row r="6428" spans="1:19" ht="21" customHeight="1" x14ac:dyDescent="0.25">
      <c r="A6428" s="14">
        <f>DATE(2012,12,31)-894</f>
        <v>40380</v>
      </c>
      <c r="B6428" s="15" t="s">
        <v>1571</v>
      </c>
      <c r="C6428" s="15" t="s">
        <v>31</v>
      </c>
      <c r="D6428" s="16">
        <v>21</v>
      </c>
      <c r="E6428" s="17">
        <v>793.85</v>
      </c>
      <c r="F6428" s="16">
        <v>0.01</v>
      </c>
      <c r="G6428" s="15" t="s">
        <v>32</v>
      </c>
      <c r="H6428" s="18">
        <v>308.52999999999997</v>
      </c>
      <c r="I6428" s="19">
        <v>37.94</v>
      </c>
      <c r="J6428" s="19">
        <v>5.08</v>
      </c>
      <c r="K6428" s="19" t="s">
        <v>69</v>
      </c>
      <c r="L6428" s="19" t="s">
        <v>70</v>
      </c>
      <c r="M6428" s="15" t="s">
        <v>2230</v>
      </c>
      <c r="N6428" s="15" t="s">
        <v>36</v>
      </c>
      <c r="O6428" s="15" t="s">
        <v>117</v>
      </c>
      <c r="P6428" s="20" t="s">
        <v>1271</v>
      </c>
      <c r="Q6428" s="15" t="s">
        <v>79</v>
      </c>
      <c r="R6428" s="4"/>
      <c r="S6428" s="4"/>
    </row>
    <row r="6429" spans="1:19" ht="21" customHeight="1" x14ac:dyDescent="0.25">
      <c r="A6429" s="14">
        <f>DATE(2012,12,31)-908</f>
        <v>40366</v>
      </c>
      <c r="B6429" s="15" t="s">
        <v>1571</v>
      </c>
      <c r="C6429" s="15" t="s">
        <v>51</v>
      </c>
      <c r="D6429" s="16">
        <v>25</v>
      </c>
      <c r="E6429" s="17">
        <v>67.45</v>
      </c>
      <c r="F6429" s="16">
        <v>0.05</v>
      </c>
      <c r="G6429" s="15" t="s">
        <v>32</v>
      </c>
      <c r="H6429" s="18">
        <v>24.28</v>
      </c>
      <c r="I6429" s="19">
        <v>2.61</v>
      </c>
      <c r="J6429" s="19">
        <v>0.5</v>
      </c>
      <c r="K6429" s="19" t="s">
        <v>69</v>
      </c>
      <c r="L6429" s="19" t="s">
        <v>70</v>
      </c>
      <c r="M6429" s="15" t="s">
        <v>2230</v>
      </c>
      <c r="N6429" s="15" t="s">
        <v>36</v>
      </c>
      <c r="O6429" s="15" t="s">
        <v>114</v>
      </c>
      <c r="P6429" s="20" t="s">
        <v>1978</v>
      </c>
      <c r="Q6429" s="15" t="s">
        <v>83</v>
      </c>
      <c r="R6429" s="4"/>
      <c r="S6429" s="4"/>
    </row>
    <row r="6430" spans="1:19" ht="21" customHeight="1" x14ac:dyDescent="0.25">
      <c r="A6430" s="14">
        <f>DATE(2012,12,31)-969</f>
        <v>40305</v>
      </c>
      <c r="B6430" s="15" t="s">
        <v>1931</v>
      </c>
      <c r="C6430" s="15" t="s">
        <v>51</v>
      </c>
      <c r="D6430" s="16">
        <v>37</v>
      </c>
      <c r="E6430" s="17">
        <v>2522.21</v>
      </c>
      <c r="F6430" s="16">
        <v>0</v>
      </c>
      <c r="G6430" s="15" t="s">
        <v>32</v>
      </c>
      <c r="H6430" s="18">
        <v>1026.07</v>
      </c>
      <c r="I6430" s="19">
        <v>63.94</v>
      </c>
      <c r="J6430" s="19">
        <v>14.48</v>
      </c>
      <c r="K6430" s="19" t="s">
        <v>69</v>
      </c>
      <c r="L6430" s="19" t="s">
        <v>70</v>
      </c>
      <c r="M6430" s="15" t="s">
        <v>2230</v>
      </c>
      <c r="N6430" s="15" t="s">
        <v>54</v>
      </c>
      <c r="O6430" s="15" t="s">
        <v>55</v>
      </c>
      <c r="P6430" s="20" t="s">
        <v>2093</v>
      </c>
      <c r="Q6430" s="15" t="s">
        <v>83</v>
      </c>
      <c r="R6430" s="4"/>
      <c r="S6430" s="4"/>
    </row>
    <row r="6431" spans="1:19" ht="21" customHeight="1" x14ac:dyDescent="0.25">
      <c r="A6431" s="14">
        <f>DATE(2012,12,31)-969</f>
        <v>40305</v>
      </c>
      <c r="B6431" s="15" t="s">
        <v>896</v>
      </c>
      <c r="C6431" s="15" t="s">
        <v>51</v>
      </c>
      <c r="D6431" s="16">
        <v>28</v>
      </c>
      <c r="E6431" s="17">
        <v>4181.82</v>
      </c>
      <c r="F6431" s="16">
        <v>0.01</v>
      </c>
      <c r="G6431" s="15" t="s">
        <v>32</v>
      </c>
      <c r="H6431" s="18">
        <v>1765.48</v>
      </c>
      <c r="I6431" s="19">
        <v>140.99</v>
      </c>
      <c r="J6431" s="19">
        <v>13.99</v>
      </c>
      <c r="K6431" s="19" t="s">
        <v>69</v>
      </c>
      <c r="L6431" s="19" t="s">
        <v>70</v>
      </c>
      <c r="M6431" s="15" t="s">
        <v>2230</v>
      </c>
      <c r="N6431" s="15" t="s">
        <v>64</v>
      </c>
      <c r="O6431" s="15" t="s">
        <v>122</v>
      </c>
      <c r="P6431" s="20" t="s">
        <v>1749</v>
      </c>
      <c r="Q6431" s="15" t="s">
        <v>57</v>
      </c>
      <c r="R6431" s="4"/>
      <c r="S6431" s="4"/>
    </row>
    <row r="6432" spans="1:19" ht="21" customHeight="1" x14ac:dyDescent="0.25">
      <c r="A6432" s="14">
        <f>DATE(2012,12,31)-174</f>
        <v>41100</v>
      </c>
      <c r="B6432" s="15" t="s">
        <v>896</v>
      </c>
      <c r="C6432" s="15" t="s">
        <v>51</v>
      </c>
      <c r="D6432" s="16">
        <v>49</v>
      </c>
      <c r="E6432" s="17">
        <v>841.51</v>
      </c>
      <c r="F6432" s="16">
        <v>0.05</v>
      </c>
      <c r="G6432" s="15" t="s">
        <v>101</v>
      </c>
      <c r="H6432" s="18">
        <v>20.86</v>
      </c>
      <c r="I6432" s="19">
        <v>16.91</v>
      </c>
      <c r="J6432" s="19">
        <v>6.25</v>
      </c>
      <c r="K6432" s="19" t="s">
        <v>69</v>
      </c>
      <c r="L6432" s="19" t="s">
        <v>70</v>
      </c>
      <c r="M6432" s="15" t="s">
        <v>2230</v>
      </c>
      <c r="N6432" s="15" t="s">
        <v>36</v>
      </c>
      <c r="O6432" s="15" t="s">
        <v>37</v>
      </c>
      <c r="P6432" s="20" t="s">
        <v>2122</v>
      </c>
      <c r="Q6432" s="15" t="s">
        <v>83</v>
      </c>
      <c r="R6432" s="4"/>
      <c r="S6432" s="4"/>
    </row>
    <row r="6433" spans="1:19" ht="21" customHeight="1" x14ac:dyDescent="0.25">
      <c r="A6433" s="14">
        <f>DATE(2012,12,31)-464</f>
        <v>40810</v>
      </c>
      <c r="B6433" s="15" t="s">
        <v>1302</v>
      </c>
      <c r="C6433" s="15" t="s">
        <v>85</v>
      </c>
      <c r="D6433" s="16">
        <v>28</v>
      </c>
      <c r="E6433" s="17">
        <v>1208.3499999999999</v>
      </c>
      <c r="F6433" s="16">
        <v>0</v>
      </c>
      <c r="G6433" s="15" t="s">
        <v>32</v>
      </c>
      <c r="H6433" s="18">
        <v>145.54</v>
      </c>
      <c r="I6433" s="19">
        <v>39.99</v>
      </c>
      <c r="J6433" s="19">
        <v>10.25</v>
      </c>
      <c r="K6433" s="19" t="s">
        <v>69</v>
      </c>
      <c r="L6433" s="19" t="s">
        <v>75</v>
      </c>
      <c r="M6433" s="15" t="s">
        <v>2284</v>
      </c>
      <c r="N6433" s="15" t="s">
        <v>64</v>
      </c>
      <c r="O6433" s="15" t="s">
        <v>72</v>
      </c>
      <c r="P6433" s="20" t="s">
        <v>1323</v>
      </c>
      <c r="Q6433" s="15" t="s">
        <v>83</v>
      </c>
      <c r="R6433" s="4"/>
      <c r="S6433" s="4"/>
    </row>
    <row r="6434" spans="1:19" ht="21" customHeight="1" x14ac:dyDescent="0.25">
      <c r="A6434" s="14">
        <f>DATE(2012,12,31)-1121</f>
        <v>40153</v>
      </c>
      <c r="B6434" s="15" t="s">
        <v>167</v>
      </c>
      <c r="C6434" s="15" t="s">
        <v>43</v>
      </c>
      <c r="D6434" s="16">
        <v>44</v>
      </c>
      <c r="E6434" s="17">
        <v>6123.48</v>
      </c>
      <c r="F6434" s="16">
        <v>0.08</v>
      </c>
      <c r="G6434" s="15" t="s">
        <v>32</v>
      </c>
      <c r="H6434" s="18">
        <v>1232.79</v>
      </c>
      <c r="I6434" s="19">
        <v>140.81</v>
      </c>
      <c r="J6434" s="19">
        <v>24.49</v>
      </c>
      <c r="K6434" s="19" t="s">
        <v>69</v>
      </c>
      <c r="L6434" s="19" t="s">
        <v>215</v>
      </c>
      <c r="M6434" s="15" t="s">
        <v>2290</v>
      </c>
      <c r="N6434" s="15" t="s">
        <v>54</v>
      </c>
      <c r="O6434" s="15" t="s">
        <v>252</v>
      </c>
      <c r="P6434" s="20" t="s">
        <v>428</v>
      </c>
      <c r="Q6434" s="15" t="s">
        <v>39</v>
      </c>
      <c r="R6434" s="4"/>
      <c r="S6434" s="4"/>
    </row>
    <row r="6435" spans="1:19" ht="21" customHeight="1" x14ac:dyDescent="0.25">
      <c r="A6435" s="14">
        <f>DATE(2012,12,31)-85</f>
        <v>41189</v>
      </c>
      <c r="B6435" s="15" t="s">
        <v>1302</v>
      </c>
      <c r="C6435" s="15" t="s">
        <v>85</v>
      </c>
      <c r="D6435" s="16">
        <v>43</v>
      </c>
      <c r="E6435" s="17">
        <v>272.63</v>
      </c>
      <c r="F6435" s="16">
        <v>0.04</v>
      </c>
      <c r="G6435" s="15" t="s">
        <v>32</v>
      </c>
      <c r="H6435" s="18">
        <v>-64.45</v>
      </c>
      <c r="I6435" s="19">
        <v>6.48</v>
      </c>
      <c r="J6435" s="19">
        <v>5.14</v>
      </c>
      <c r="K6435" s="19" t="s">
        <v>69</v>
      </c>
      <c r="L6435" s="19" t="s">
        <v>215</v>
      </c>
      <c r="M6435" s="15" t="s">
        <v>2290</v>
      </c>
      <c r="N6435" s="15" t="s">
        <v>36</v>
      </c>
      <c r="O6435" s="15" t="s">
        <v>117</v>
      </c>
      <c r="P6435" s="20" t="s">
        <v>345</v>
      </c>
      <c r="Q6435" s="15" t="s">
        <v>83</v>
      </c>
      <c r="R6435" s="4"/>
      <c r="S6435" s="4"/>
    </row>
    <row r="6436" spans="1:19" ht="21" customHeight="1" x14ac:dyDescent="0.25">
      <c r="A6436" s="14">
        <f>DATE(2012,12,31)-141</f>
        <v>41133</v>
      </c>
      <c r="B6436" s="15" t="s">
        <v>1308</v>
      </c>
      <c r="C6436" s="15" t="s">
        <v>31</v>
      </c>
      <c r="D6436" s="16">
        <v>12</v>
      </c>
      <c r="E6436" s="17">
        <v>69.97</v>
      </c>
      <c r="F6436" s="16">
        <v>0.01</v>
      </c>
      <c r="G6436" s="15" t="s">
        <v>32</v>
      </c>
      <c r="H6436" s="18">
        <v>24.25</v>
      </c>
      <c r="I6436" s="19">
        <v>5.43</v>
      </c>
      <c r="J6436" s="19">
        <v>0.95</v>
      </c>
      <c r="K6436" s="19" t="s">
        <v>69</v>
      </c>
      <c r="L6436" s="19" t="s">
        <v>215</v>
      </c>
      <c r="M6436" s="15" t="s">
        <v>2290</v>
      </c>
      <c r="N6436" s="15" t="s">
        <v>36</v>
      </c>
      <c r="O6436" s="15" t="s">
        <v>117</v>
      </c>
      <c r="P6436" s="20" t="s">
        <v>893</v>
      </c>
      <c r="Q6436" s="15" t="s">
        <v>79</v>
      </c>
      <c r="R6436" s="4"/>
      <c r="S6436" s="4"/>
    </row>
    <row r="6437" spans="1:19" ht="21" customHeight="1" x14ac:dyDescent="0.25">
      <c r="A6437" s="14">
        <f>DATE(2012,12,31)-494</f>
        <v>40780</v>
      </c>
      <c r="B6437" s="15" t="s">
        <v>1281</v>
      </c>
      <c r="C6437" s="15" t="s">
        <v>85</v>
      </c>
      <c r="D6437" s="16">
        <v>39</v>
      </c>
      <c r="E6437" s="17">
        <v>680.85849999999994</v>
      </c>
      <c r="F6437" s="16">
        <v>0.05</v>
      </c>
      <c r="G6437" s="15" t="s">
        <v>32</v>
      </c>
      <c r="H6437" s="18">
        <v>319.10399999999998</v>
      </c>
      <c r="I6437" s="19">
        <v>20.99</v>
      </c>
      <c r="J6437" s="19">
        <v>0.99</v>
      </c>
      <c r="K6437" s="19" t="s">
        <v>69</v>
      </c>
      <c r="L6437" s="19" t="s">
        <v>75</v>
      </c>
      <c r="M6437" s="15" t="s">
        <v>2284</v>
      </c>
      <c r="N6437" s="15" t="s">
        <v>64</v>
      </c>
      <c r="O6437" s="15" t="s">
        <v>65</v>
      </c>
      <c r="P6437" s="20" t="s">
        <v>1502</v>
      </c>
      <c r="Q6437" s="15" t="s">
        <v>79</v>
      </c>
      <c r="R6437" s="4"/>
      <c r="S6437" s="4"/>
    </row>
    <row r="6438" spans="1:19" ht="21" customHeight="1" x14ac:dyDescent="0.25">
      <c r="A6438" s="14">
        <f>DATE(2012,12,31)-834</f>
        <v>40440</v>
      </c>
      <c r="B6438" s="15" t="s">
        <v>1137</v>
      </c>
      <c r="C6438" s="15" t="s">
        <v>31</v>
      </c>
      <c r="D6438" s="16">
        <v>5</v>
      </c>
      <c r="E6438" s="17">
        <v>845.61400000000003</v>
      </c>
      <c r="F6438" s="16">
        <v>0.01</v>
      </c>
      <c r="G6438" s="15" t="s">
        <v>101</v>
      </c>
      <c r="H6438" s="18">
        <v>-653.48800000000006</v>
      </c>
      <c r="I6438" s="19">
        <v>195.99</v>
      </c>
      <c r="J6438" s="19">
        <v>4.2</v>
      </c>
      <c r="K6438" s="19" t="s">
        <v>111</v>
      </c>
      <c r="L6438" s="19" t="s">
        <v>407</v>
      </c>
      <c r="M6438" s="15" t="s">
        <v>407</v>
      </c>
      <c r="N6438" s="15" t="s">
        <v>64</v>
      </c>
      <c r="O6438" s="15" t="s">
        <v>65</v>
      </c>
      <c r="P6438" s="20" t="s">
        <v>902</v>
      </c>
      <c r="Q6438" s="15" t="s">
        <v>83</v>
      </c>
      <c r="R6438" s="4"/>
      <c r="S6438" s="4"/>
    </row>
    <row r="6439" spans="1:19" ht="21" customHeight="1" x14ac:dyDescent="0.25">
      <c r="A6439" s="14">
        <f>DATE(2012,12,31)-585</f>
        <v>40689</v>
      </c>
      <c r="B6439" s="15" t="s">
        <v>808</v>
      </c>
      <c r="C6439" s="15" t="s">
        <v>51</v>
      </c>
      <c r="D6439" s="16">
        <v>15</v>
      </c>
      <c r="E6439" s="17">
        <v>68.03</v>
      </c>
      <c r="F6439" s="16">
        <v>0.05</v>
      </c>
      <c r="G6439" s="15" t="s">
        <v>32</v>
      </c>
      <c r="H6439" s="18">
        <v>8.865499999999999</v>
      </c>
      <c r="I6439" s="19">
        <v>4.49</v>
      </c>
      <c r="J6439" s="19">
        <v>1.49</v>
      </c>
      <c r="K6439" s="19" t="s">
        <v>111</v>
      </c>
      <c r="L6439" s="19" t="s">
        <v>2301</v>
      </c>
      <c r="M6439" s="15" t="s">
        <v>2302</v>
      </c>
      <c r="N6439" s="15" t="s">
        <v>36</v>
      </c>
      <c r="O6439" s="15" t="s">
        <v>170</v>
      </c>
      <c r="P6439" s="20" t="s">
        <v>593</v>
      </c>
      <c r="Q6439" s="15" t="s">
        <v>83</v>
      </c>
      <c r="R6439" s="4"/>
      <c r="S6439" s="4"/>
    </row>
    <row r="6440" spans="1:19" ht="21" customHeight="1" x14ac:dyDescent="0.25">
      <c r="A6440" s="14">
        <f>DATE(2012,12,31)-741</f>
        <v>40533</v>
      </c>
      <c r="B6440" s="15" t="s">
        <v>2105</v>
      </c>
      <c r="C6440" s="15" t="s">
        <v>31</v>
      </c>
      <c r="D6440" s="16">
        <v>1</v>
      </c>
      <c r="E6440" s="17">
        <v>27.44</v>
      </c>
      <c r="F6440" s="16">
        <v>0.02</v>
      </c>
      <c r="G6440" s="15" t="s">
        <v>32</v>
      </c>
      <c r="H6440" s="18">
        <v>-11.7645</v>
      </c>
      <c r="I6440" s="19">
        <v>24.95</v>
      </c>
      <c r="J6440" s="19">
        <v>2.99</v>
      </c>
      <c r="K6440" s="19" t="s">
        <v>111</v>
      </c>
      <c r="L6440" s="19" t="s">
        <v>442</v>
      </c>
      <c r="M6440" s="15" t="s">
        <v>2304</v>
      </c>
      <c r="N6440" s="15" t="s">
        <v>36</v>
      </c>
      <c r="O6440" s="15" t="s">
        <v>170</v>
      </c>
      <c r="P6440" s="20" t="s">
        <v>1787</v>
      </c>
      <c r="Q6440" s="15" t="s">
        <v>83</v>
      </c>
      <c r="R6440" s="4"/>
      <c r="S6440" s="4"/>
    </row>
    <row r="6441" spans="1:19" ht="21" customHeight="1" x14ac:dyDescent="0.25">
      <c r="A6441" s="14">
        <f>DATE(2012,12,31)-832</f>
        <v>40442</v>
      </c>
      <c r="B6441" s="15" t="s">
        <v>2105</v>
      </c>
      <c r="C6441" s="15" t="s">
        <v>85</v>
      </c>
      <c r="D6441" s="16">
        <v>20</v>
      </c>
      <c r="E6441" s="17">
        <v>759.84</v>
      </c>
      <c r="F6441" s="16">
        <v>0.06</v>
      </c>
      <c r="G6441" s="15" t="s">
        <v>32</v>
      </c>
      <c r="H6441" s="18">
        <v>162.83000000000001</v>
      </c>
      <c r="I6441" s="19">
        <v>39.24</v>
      </c>
      <c r="J6441" s="19">
        <v>1.99</v>
      </c>
      <c r="K6441" s="19" t="s">
        <v>44</v>
      </c>
      <c r="L6441" s="19" t="s">
        <v>45</v>
      </c>
      <c r="M6441" s="15" t="s">
        <v>2271</v>
      </c>
      <c r="N6441" s="15" t="s">
        <v>64</v>
      </c>
      <c r="O6441" s="15" t="s">
        <v>72</v>
      </c>
      <c r="P6441" s="20" t="s">
        <v>1974</v>
      </c>
      <c r="Q6441" s="15" t="s">
        <v>49</v>
      </c>
      <c r="R6441" s="4"/>
      <c r="S6441" s="4"/>
    </row>
    <row r="6442" spans="1:19" ht="21" customHeight="1" x14ac:dyDescent="0.25">
      <c r="A6442" s="14">
        <f>DATE(2012,12,31)-832</f>
        <v>40442</v>
      </c>
      <c r="B6442" s="15" t="s">
        <v>1890</v>
      </c>
      <c r="C6442" s="15" t="s">
        <v>85</v>
      </c>
      <c r="D6442" s="16">
        <v>19</v>
      </c>
      <c r="E6442" s="17">
        <v>147.38999999999999</v>
      </c>
      <c r="F6442" s="16">
        <v>0.08</v>
      </c>
      <c r="G6442" s="15" t="s">
        <v>32</v>
      </c>
      <c r="H6442" s="18">
        <v>-30.92</v>
      </c>
      <c r="I6442" s="19">
        <v>7.64</v>
      </c>
      <c r="J6442" s="19">
        <v>5.83</v>
      </c>
      <c r="K6442" s="19" t="s">
        <v>44</v>
      </c>
      <c r="L6442" s="19" t="s">
        <v>120</v>
      </c>
      <c r="M6442" s="15" t="s">
        <v>2262</v>
      </c>
      <c r="N6442" s="15" t="s">
        <v>36</v>
      </c>
      <c r="O6442" s="15" t="s">
        <v>117</v>
      </c>
      <c r="P6442" s="20" t="s">
        <v>1586</v>
      </c>
      <c r="Q6442" s="15" t="s">
        <v>79</v>
      </c>
      <c r="R6442" s="4"/>
      <c r="S6442" s="4"/>
    </row>
    <row r="6443" spans="1:19" ht="21" customHeight="1" x14ac:dyDescent="0.25">
      <c r="A6443" s="14">
        <f>DATE(2012,12,31)-586</f>
        <v>40688</v>
      </c>
      <c r="B6443" s="15" t="s">
        <v>2191</v>
      </c>
      <c r="C6443" s="15" t="s">
        <v>85</v>
      </c>
      <c r="D6443" s="16">
        <v>28</v>
      </c>
      <c r="E6443" s="17">
        <v>17599.39</v>
      </c>
      <c r="F6443" s="16">
        <v>0.03</v>
      </c>
      <c r="G6443" s="15" t="s">
        <v>32</v>
      </c>
      <c r="H6443" s="18">
        <v>5513.86</v>
      </c>
      <c r="I6443" s="19">
        <v>599.99</v>
      </c>
      <c r="J6443" s="19">
        <v>24.49</v>
      </c>
      <c r="K6443" s="19" t="s">
        <v>44</v>
      </c>
      <c r="L6443" s="19" t="s">
        <v>120</v>
      </c>
      <c r="M6443" s="15" t="s">
        <v>2262</v>
      </c>
      <c r="N6443" s="15" t="s">
        <v>64</v>
      </c>
      <c r="O6443" s="15" t="s">
        <v>460</v>
      </c>
      <c r="P6443" s="20" t="s">
        <v>1754</v>
      </c>
      <c r="Q6443" s="15" t="s">
        <v>39</v>
      </c>
      <c r="R6443" s="4"/>
      <c r="S6443" s="4"/>
    </row>
    <row r="6444" spans="1:19" ht="21" customHeight="1" x14ac:dyDescent="0.25">
      <c r="A6444" s="14">
        <f>DATE(2012,12,31)-586</f>
        <v>40688</v>
      </c>
      <c r="B6444" s="15" t="s">
        <v>290</v>
      </c>
      <c r="C6444" s="15" t="s">
        <v>85</v>
      </c>
      <c r="D6444" s="16">
        <v>16</v>
      </c>
      <c r="E6444" s="17">
        <v>115.34</v>
      </c>
      <c r="F6444" s="16">
        <v>0.02</v>
      </c>
      <c r="G6444" s="15" t="s">
        <v>32</v>
      </c>
      <c r="H6444" s="18">
        <v>13.83</v>
      </c>
      <c r="I6444" s="19">
        <v>6.69</v>
      </c>
      <c r="J6444" s="19">
        <v>3.1</v>
      </c>
      <c r="K6444" s="19" t="s">
        <v>44</v>
      </c>
      <c r="L6444" s="19" t="s">
        <v>89</v>
      </c>
      <c r="M6444" s="15" t="s">
        <v>2293</v>
      </c>
      <c r="N6444" s="15" t="s">
        <v>36</v>
      </c>
      <c r="O6444" s="15" t="s">
        <v>117</v>
      </c>
      <c r="P6444" s="20" t="s">
        <v>1392</v>
      </c>
      <c r="Q6444" s="15" t="s">
        <v>79</v>
      </c>
      <c r="R6444" s="4"/>
      <c r="S6444" s="4"/>
    </row>
    <row r="6445" spans="1:19" ht="21" customHeight="1" x14ac:dyDescent="0.25">
      <c r="A6445" s="14">
        <f>DATE(2012,12,31)-1121</f>
        <v>40153</v>
      </c>
      <c r="B6445" s="15" t="s">
        <v>932</v>
      </c>
      <c r="C6445" s="15" t="s">
        <v>85</v>
      </c>
      <c r="D6445" s="16">
        <v>15</v>
      </c>
      <c r="E6445" s="17">
        <v>201.74</v>
      </c>
      <c r="F6445" s="16">
        <v>0.08</v>
      </c>
      <c r="G6445" s="15" t="s">
        <v>101</v>
      </c>
      <c r="H6445" s="18">
        <v>-2.6335000000000002</v>
      </c>
      <c r="I6445" s="19">
        <v>12.53</v>
      </c>
      <c r="J6445" s="19">
        <v>7.17</v>
      </c>
      <c r="K6445" s="19" t="s">
        <v>44</v>
      </c>
      <c r="L6445" s="19" t="s">
        <v>45</v>
      </c>
      <c r="M6445" s="15" t="s">
        <v>2271</v>
      </c>
      <c r="N6445" s="15" t="s">
        <v>36</v>
      </c>
      <c r="O6445" s="15" t="s">
        <v>170</v>
      </c>
      <c r="P6445" s="20" t="s">
        <v>302</v>
      </c>
      <c r="Q6445" s="15" t="s">
        <v>83</v>
      </c>
      <c r="R6445" s="4"/>
      <c r="S6445" s="4"/>
    </row>
    <row r="6446" spans="1:19" ht="21" customHeight="1" x14ac:dyDescent="0.25">
      <c r="A6446" s="14">
        <f>DATE(2012,12,31)-1121</f>
        <v>40153</v>
      </c>
      <c r="B6446" s="15" t="s">
        <v>1899</v>
      </c>
      <c r="C6446" s="15" t="s">
        <v>85</v>
      </c>
      <c r="D6446" s="16">
        <v>35</v>
      </c>
      <c r="E6446" s="17">
        <v>1822.13</v>
      </c>
      <c r="F6446" s="16">
        <v>0</v>
      </c>
      <c r="G6446" s="15" t="s">
        <v>32</v>
      </c>
      <c r="H6446" s="18">
        <v>155.16999999999999</v>
      </c>
      <c r="I6446" s="19">
        <v>49.99</v>
      </c>
      <c r="J6446" s="19">
        <v>19.989999999999998</v>
      </c>
      <c r="K6446" s="19" t="s">
        <v>44</v>
      </c>
      <c r="L6446" s="19" t="s">
        <v>89</v>
      </c>
      <c r="M6446" s="15" t="s">
        <v>2293</v>
      </c>
      <c r="N6446" s="15" t="s">
        <v>64</v>
      </c>
      <c r="O6446" s="15" t="s">
        <v>72</v>
      </c>
      <c r="P6446" s="20" t="s">
        <v>1243</v>
      </c>
      <c r="Q6446" s="15" t="s">
        <v>83</v>
      </c>
      <c r="R6446" s="4"/>
      <c r="S6446" s="4"/>
    </row>
    <row r="6447" spans="1:19" ht="21" customHeight="1" x14ac:dyDescent="0.25">
      <c r="A6447" s="14">
        <f>DATE(2012,12,31)-339</f>
        <v>40935</v>
      </c>
      <c r="B6447" s="15" t="s">
        <v>376</v>
      </c>
      <c r="C6447" s="15" t="s">
        <v>85</v>
      </c>
      <c r="D6447" s="16">
        <v>27</v>
      </c>
      <c r="E6447" s="17">
        <v>80.33</v>
      </c>
      <c r="F6447" s="16">
        <v>0.01</v>
      </c>
      <c r="G6447" s="15" t="s">
        <v>32</v>
      </c>
      <c r="H6447" s="18">
        <v>2.4900000000000002</v>
      </c>
      <c r="I6447" s="19">
        <v>2.94</v>
      </c>
      <c r="J6447" s="19">
        <v>0.96</v>
      </c>
      <c r="K6447" s="19" t="s">
        <v>44</v>
      </c>
      <c r="L6447" s="19" t="s">
        <v>89</v>
      </c>
      <c r="M6447" s="15" t="s">
        <v>2293</v>
      </c>
      <c r="N6447" s="15" t="s">
        <v>36</v>
      </c>
      <c r="O6447" s="15" t="s">
        <v>77</v>
      </c>
      <c r="P6447" s="20" t="s">
        <v>1101</v>
      </c>
      <c r="Q6447" s="15" t="s">
        <v>79</v>
      </c>
      <c r="R6447" s="4"/>
      <c r="S6447" s="4"/>
    </row>
    <row r="6448" spans="1:19" ht="21" customHeight="1" x14ac:dyDescent="0.25">
      <c r="A6448" s="14">
        <f>DATE(2012,12,31)-1102</f>
        <v>40172</v>
      </c>
      <c r="B6448" s="15" t="s">
        <v>823</v>
      </c>
      <c r="C6448" s="15" t="s">
        <v>31</v>
      </c>
      <c r="D6448" s="16">
        <v>20</v>
      </c>
      <c r="E6448" s="17">
        <v>71.069999999999993</v>
      </c>
      <c r="F6448" s="16">
        <v>0.08</v>
      </c>
      <c r="G6448" s="15" t="s">
        <v>32</v>
      </c>
      <c r="H6448" s="18">
        <v>-15.09</v>
      </c>
      <c r="I6448" s="19">
        <v>3.69</v>
      </c>
      <c r="J6448" s="19">
        <v>2.5</v>
      </c>
      <c r="K6448" s="19" t="s">
        <v>44</v>
      </c>
      <c r="L6448" s="19" t="s">
        <v>120</v>
      </c>
      <c r="M6448" s="15" t="s">
        <v>2262</v>
      </c>
      <c r="N6448" s="15" t="s">
        <v>36</v>
      </c>
      <c r="O6448" s="15" t="s">
        <v>189</v>
      </c>
      <c r="P6448" s="20" t="s">
        <v>1393</v>
      </c>
      <c r="Q6448" s="15" t="s">
        <v>83</v>
      </c>
      <c r="R6448" s="4"/>
      <c r="S6448" s="4"/>
    </row>
    <row r="6449" spans="1:19" ht="21" customHeight="1" x14ac:dyDescent="0.25">
      <c r="A6449" s="14">
        <f>DATE(2012,12,31)-1390</f>
        <v>39884</v>
      </c>
      <c r="B6449" s="15" t="s">
        <v>674</v>
      </c>
      <c r="C6449" s="15" t="s">
        <v>43</v>
      </c>
      <c r="D6449" s="16">
        <v>31</v>
      </c>
      <c r="E6449" s="17">
        <v>131.43</v>
      </c>
      <c r="F6449" s="16">
        <v>0.01</v>
      </c>
      <c r="G6449" s="15" t="s">
        <v>32</v>
      </c>
      <c r="H6449" s="18">
        <v>37.25</v>
      </c>
      <c r="I6449" s="19">
        <v>4</v>
      </c>
      <c r="J6449" s="19">
        <v>1.3</v>
      </c>
      <c r="K6449" s="19" t="s">
        <v>44</v>
      </c>
      <c r="L6449" s="19" t="s">
        <v>89</v>
      </c>
      <c r="M6449" s="15" t="s">
        <v>2293</v>
      </c>
      <c r="N6449" s="15" t="s">
        <v>36</v>
      </c>
      <c r="O6449" s="15" t="s">
        <v>117</v>
      </c>
      <c r="P6449" s="20" t="s">
        <v>2221</v>
      </c>
      <c r="Q6449" s="15" t="s">
        <v>79</v>
      </c>
      <c r="R6449" s="4"/>
      <c r="S6449" s="4"/>
    </row>
    <row r="6450" spans="1:19" ht="21" customHeight="1" x14ac:dyDescent="0.25">
      <c r="A6450" s="14">
        <f>DATE(2012,12,31)-1217</f>
        <v>40057</v>
      </c>
      <c r="B6450" s="15" t="s">
        <v>1681</v>
      </c>
      <c r="C6450" s="15" t="s">
        <v>85</v>
      </c>
      <c r="D6450" s="16">
        <v>43</v>
      </c>
      <c r="E6450" s="17">
        <v>3832.24</v>
      </c>
      <c r="F6450" s="16">
        <v>0.09</v>
      </c>
      <c r="G6450" s="15" t="s">
        <v>101</v>
      </c>
      <c r="H6450" s="18">
        <v>-1570.32</v>
      </c>
      <c r="I6450" s="19">
        <v>90.98</v>
      </c>
      <c r="J6450" s="19">
        <v>56.2</v>
      </c>
      <c r="K6450" s="19" t="s">
        <v>44</v>
      </c>
      <c r="L6450" s="19" t="s">
        <v>89</v>
      </c>
      <c r="M6450" s="15" t="s">
        <v>2293</v>
      </c>
      <c r="N6450" s="15" t="s">
        <v>54</v>
      </c>
      <c r="O6450" s="15" t="s">
        <v>55</v>
      </c>
      <c r="P6450" s="20" t="s">
        <v>609</v>
      </c>
      <c r="Q6450" s="15" t="s">
        <v>57</v>
      </c>
      <c r="R6450" s="4"/>
      <c r="S6450" s="4"/>
    </row>
    <row r="6451" spans="1:19" ht="21" customHeight="1" x14ac:dyDescent="0.25">
      <c r="A6451" s="14">
        <f>DATE(2012,12,31)-861</f>
        <v>40413</v>
      </c>
      <c r="B6451" s="15" t="s">
        <v>327</v>
      </c>
      <c r="C6451" s="15" t="s">
        <v>51</v>
      </c>
      <c r="D6451" s="16">
        <v>26</v>
      </c>
      <c r="E6451" s="17">
        <v>148.12</v>
      </c>
      <c r="F6451" s="16">
        <v>0.08</v>
      </c>
      <c r="G6451" s="15" t="s">
        <v>32</v>
      </c>
      <c r="H6451" s="18">
        <v>-51.62</v>
      </c>
      <c r="I6451" s="19">
        <v>5.58</v>
      </c>
      <c r="J6451" s="19">
        <v>5.3</v>
      </c>
      <c r="K6451" s="19" t="s">
        <v>44</v>
      </c>
      <c r="L6451" s="19" t="s">
        <v>120</v>
      </c>
      <c r="M6451" s="15" t="s">
        <v>2262</v>
      </c>
      <c r="N6451" s="15" t="s">
        <v>36</v>
      </c>
      <c r="O6451" s="15" t="s">
        <v>189</v>
      </c>
      <c r="P6451" s="20" t="s">
        <v>1930</v>
      </c>
      <c r="Q6451" s="15" t="s">
        <v>83</v>
      </c>
      <c r="R6451" s="4"/>
      <c r="S6451" s="4"/>
    </row>
    <row r="6452" spans="1:19" ht="21" customHeight="1" x14ac:dyDescent="0.25">
      <c r="A6452" s="14">
        <f>DATE(2012,12,31)-686</f>
        <v>40588</v>
      </c>
      <c r="B6452" s="15" t="s">
        <v>327</v>
      </c>
      <c r="C6452" s="15" t="s">
        <v>31</v>
      </c>
      <c r="D6452" s="16">
        <v>1</v>
      </c>
      <c r="E6452" s="17">
        <v>131.27000000000001</v>
      </c>
      <c r="F6452" s="16">
        <v>0.1</v>
      </c>
      <c r="G6452" s="15" t="s">
        <v>58</v>
      </c>
      <c r="H6452" s="18">
        <v>-68.16</v>
      </c>
      <c r="I6452" s="19">
        <v>100.98</v>
      </c>
      <c r="J6452" s="19">
        <v>35.840000000000003</v>
      </c>
      <c r="K6452" s="19" t="s">
        <v>44</v>
      </c>
      <c r="L6452" s="19" t="s">
        <v>89</v>
      </c>
      <c r="M6452" s="15" t="s">
        <v>2293</v>
      </c>
      <c r="N6452" s="15" t="s">
        <v>54</v>
      </c>
      <c r="O6452" s="15" t="s">
        <v>134</v>
      </c>
      <c r="P6452" s="20" t="s">
        <v>188</v>
      </c>
      <c r="Q6452" s="15" t="s">
        <v>63</v>
      </c>
      <c r="R6452" s="4"/>
      <c r="S6452" s="4"/>
    </row>
    <row r="6453" spans="1:19" ht="21" customHeight="1" x14ac:dyDescent="0.25">
      <c r="A6453" s="14">
        <f>DATE(2012,12,31)-686</f>
        <v>40588</v>
      </c>
      <c r="B6453" s="15" t="s">
        <v>201</v>
      </c>
      <c r="C6453" s="15" t="s">
        <v>31</v>
      </c>
      <c r="D6453" s="16">
        <v>50</v>
      </c>
      <c r="E6453" s="17">
        <v>196.39</v>
      </c>
      <c r="F6453" s="16">
        <v>7.0000000000000007E-2</v>
      </c>
      <c r="G6453" s="15" t="s">
        <v>32</v>
      </c>
      <c r="H6453" s="18">
        <v>82.6</v>
      </c>
      <c r="I6453" s="19">
        <v>4.13</v>
      </c>
      <c r="J6453" s="19">
        <v>0.5</v>
      </c>
      <c r="K6453" s="19" t="s">
        <v>44</v>
      </c>
      <c r="L6453" s="19" t="s">
        <v>89</v>
      </c>
      <c r="M6453" s="15" t="s">
        <v>2293</v>
      </c>
      <c r="N6453" s="15" t="s">
        <v>36</v>
      </c>
      <c r="O6453" s="15" t="s">
        <v>114</v>
      </c>
      <c r="P6453" s="20" t="s">
        <v>1691</v>
      </c>
      <c r="Q6453" s="15" t="s">
        <v>83</v>
      </c>
      <c r="R6453" s="4"/>
      <c r="S6453" s="4"/>
    </row>
    <row r="6454" spans="1:19" ht="21" customHeight="1" x14ac:dyDescent="0.25">
      <c r="A6454" s="14">
        <f>DATE(2012,12,31)-1238</f>
        <v>40036</v>
      </c>
      <c r="B6454" s="15" t="s">
        <v>201</v>
      </c>
      <c r="C6454" s="15" t="s">
        <v>85</v>
      </c>
      <c r="D6454" s="16">
        <v>31</v>
      </c>
      <c r="E6454" s="17">
        <v>2797.41</v>
      </c>
      <c r="F6454" s="16">
        <v>0.06</v>
      </c>
      <c r="G6454" s="15" t="s">
        <v>58</v>
      </c>
      <c r="H6454" s="18">
        <v>984.3</v>
      </c>
      <c r="I6454" s="19">
        <v>90.97</v>
      </c>
      <c r="J6454" s="19">
        <v>14</v>
      </c>
      <c r="K6454" s="19" t="s">
        <v>44</v>
      </c>
      <c r="L6454" s="19" t="s">
        <v>120</v>
      </c>
      <c r="M6454" s="15" t="s">
        <v>2262</v>
      </c>
      <c r="N6454" s="15" t="s">
        <v>64</v>
      </c>
      <c r="O6454" s="15" t="s">
        <v>122</v>
      </c>
      <c r="P6454" s="20" t="s">
        <v>2026</v>
      </c>
      <c r="Q6454" s="15" t="s">
        <v>181</v>
      </c>
      <c r="R6454" s="4"/>
      <c r="S6454" s="4"/>
    </row>
    <row r="6455" spans="1:19" ht="21" customHeight="1" x14ac:dyDescent="0.25">
      <c r="A6455" s="14">
        <f>DATE(2012,12,31)-1400</f>
        <v>39874</v>
      </c>
      <c r="B6455" s="15" t="s">
        <v>119</v>
      </c>
      <c r="C6455" s="15" t="s">
        <v>51</v>
      </c>
      <c r="D6455" s="16">
        <v>1</v>
      </c>
      <c r="E6455" s="17">
        <v>199.48</v>
      </c>
      <c r="F6455" s="16">
        <v>0.08</v>
      </c>
      <c r="G6455" s="15" t="s">
        <v>58</v>
      </c>
      <c r="H6455" s="18">
        <v>-120.24</v>
      </c>
      <c r="I6455" s="19">
        <v>170.98</v>
      </c>
      <c r="J6455" s="19">
        <v>35.89</v>
      </c>
      <c r="K6455" s="19" t="s">
        <v>44</v>
      </c>
      <c r="L6455" s="19" t="s">
        <v>89</v>
      </c>
      <c r="M6455" s="15" t="s">
        <v>2305</v>
      </c>
      <c r="N6455" s="15" t="s">
        <v>54</v>
      </c>
      <c r="O6455" s="15" t="s">
        <v>134</v>
      </c>
      <c r="P6455" s="20" t="s">
        <v>332</v>
      </c>
      <c r="Q6455" s="15" t="s">
        <v>63</v>
      </c>
      <c r="R6455" s="4"/>
      <c r="S6455" s="4"/>
    </row>
    <row r="6456" spans="1:19" ht="21" customHeight="1" x14ac:dyDescent="0.25">
      <c r="A6456" s="14">
        <f>DATE(2012,12,31)-1134</f>
        <v>40140</v>
      </c>
      <c r="B6456" s="15" t="s">
        <v>119</v>
      </c>
      <c r="C6456" s="15" t="s">
        <v>85</v>
      </c>
      <c r="D6456" s="16">
        <v>37</v>
      </c>
      <c r="E6456" s="17">
        <v>2374.35</v>
      </c>
      <c r="F6456" s="16">
        <v>0.05</v>
      </c>
      <c r="G6456" s="15" t="s">
        <v>32</v>
      </c>
      <c r="H6456" s="18">
        <v>878.21</v>
      </c>
      <c r="I6456" s="19">
        <v>63.94</v>
      </c>
      <c r="J6456" s="19">
        <v>14.48</v>
      </c>
      <c r="K6456" s="19" t="s">
        <v>124</v>
      </c>
      <c r="L6456" s="19" t="s">
        <v>125</v>
      </c>
      <c r="M6456" s="15" t="s">
        <v>2265</v>
      </c>
      <c r="N6456" s="15" t="s">
        <v>54</v>
      </c>
      <c r="O6456" s="15" t="s">
        <v>55</v>
      </c>
      <c r="P6456" s="20" t="s">
        <v>1565</v>
      </c>
      <c r="Q6456" s="15" t="s">
        <v>83</v>
      </c>
      <c r="R6456" s="4"/>
      <c r="S6456" s="4"/>
    </row>
    <row r="6457" spans="1:19" ht="21" customHeight="1" x14ac:dyDescent="0.25">
      <c r="A6457" s="14">
        <f>DATE(2012,12,31)-1134</f>
        <v>40140</v>
      </c>
      <c r="B6457" s="15" t="s">
        <v>1854</v>
      </c>
      <c r="C6457" s="15" t="s">
        <v>85</v>
      </c>
      <c r="D6457" s="16">
        <v>39</v>
      </c>
      <c r="E6457" s="17">
        <v>729.21</v>
      </c>
      <c r="F6457" s="16">
        <v>0</v>
      </c>
      <c r="G6457" s="15" t="s">
        <v>101</v>
      </c>
      <c r="H6457" s="18">
        <v>194.15</v>
      </c>
      <c r="I6457" s="19">
        <v>17.78</v>
      </c>
      <c r="J6457" s="19">
        <v>5.03</v>
      </c>
      <c r="K6457" s="19" t="s">
        <v>33</v>
      </c>
      <c r="L6457" s="19" t="s">
        <v>93</v>
      </c>
      <c r="M6457" s="15" t="s">
        <v>94</v>
      </c>
      <c r="N6457" s="15" t="s">
        <v>54</v>
      </c>
      <c r="O6457" s="15" t="s">
        <v>55</v>
      </c>
      <c r="P6457" s="20" t="s">
        <v>830</v>
      </c>
      <c r="Q6457" s="15" t="s">
        <v>83</v>
      </c>
      <c r="R6457" s="4"/>
      <c r="S6457" s="4"/>
    </row>
    <row r="6458" spans="1:19" ht="21" customHeight="1" x14ac:dyDescent="0.25">
      <c r="A6458" s="14">
        <f>DATE(2012,12,31)-109</f>
        <v>41165</v>
      </c>
      <c r="B6458" s="15" t="s">
        <v>1379</v>
      </c>
      <c r="C6458" s="15" t="s">
        <v>51</v>
      </c>
      <c r="D6458" s="16">
        <v>31</v>
      </c>
      <c r="E6458" s="17">
        <v>2447.1074999999996</v>
      </c>
      <c r="F6458" s="16">
        <v>0</v>
      </c>
      <c r="G6458" s="15" t="s">
        <v>32</v>
      </c>
      <c r="H6458" s="18">
        <v>856.96199999999999</v>
      </c>
      <c r="I6458" s="19">
        <v>85.99</v>
      </c>
      <c r="J6458" s="19">
        <v>0.99</v>
      </c>
      <c r="K6458" s="19" t="s">
        <v>33</v>
      </c>
      <c r="L6458" s="19" t="s">
        <v>128</v>
      </c>
      <c r="M6458" s="15" t="s">
        <v>129</v>
      </c>
      <c r="N6458" s="15" t="s">
        <v>64</v>
      </c>
      <c r="O6458" s="15" t="s">
        <v>65</v>
      </c>
      <c r="P6458" s="20" t="s">
        <v>1871</v>
      </c>
      <c r="Q6458" s="15" t="s">
        <v>79</v>
      </c>
      <c r="R6458" s="4"/>
      <c r="S6458" s="4"/>
    </row>
    <row r="6459" spans="1:19" ht="21" customHeight="1" x14ac:dyDescent="0.25">
      <c r="A6459" s="14">
        <f>DATE(2012,12,31)-109</f>
        <v>41165</v>
      </c>
      <c r="B6459" s="15" t="s">
        <v>1893</v>
      </c>
      <c r="C6459" s="15" t="s">
        <v>51</v>
      </c>
      <c r="D6459" s="16">
        <v>25</v>
      </c>
      <c r="E6459" s="17">
        <v>1458.83</v>
      </c>
      <c r="F6459" s="16">
        <v>0.05</v>
      </c>
      <c r="G6459" s="15" t="s">
        <v>32</v>
      </c>
      <c r="H6459" s="18">
        <v>392.76</v>
      </c>
      <c r="I6459" s="19">
        <v>60.22</v>
      </c>
      <c r="J6459" s="19">
        <v>3.5</v>
      </c>
      <c r="K6459" s="19" t="s">
        <v>33</v>
      </c>
      <c r="L6459" s="19" t="s">
        <v>128</v>
      </c>
      <c r="M6459" s="15" t="s">
        <v>129</v>
      </c>
      <c r="N6459" s="15" t="s">
        <v>36</v>
      </c>
      <c r="O6459" s="15" t="s">
        <v>176</v>
      </c>
      <c r="P6459" s="20" t="s">
        <v>958</v>
      </c>
      <c r="Q6459" s="15" t="s">
        <v>83</v>
      </c>
      <c r="R6459" s="4"/>
      <c r="S6459" s="4"/>
    </row>
    <row r="6460" spans="1:19" ht="21" customHeight="1" x14ac:dyDescent="0.25">
      <c r="A6460" s="14">
        <f>DATE(2012,12,31)-212</f>
        <v>41062</v>
      </c>
      <c r="B6460" s="15" t="s">
        <v>340</v>
      </c>
      <c r="C6460" s="15" t="s">
        <v>85</v>
      </c>
      <c r="D6460" s="16">
        <v>25</v>
      </c>
      <c r="E6460" s="17">
        <v>1291.2</v>
      </c>
      <c r="F6460" s="16">
        <v>0.04</v>
      </c>
      <c r="G6460" s="15" t="s">
        <v>32</v>
      </c>
      <c r="H6460" s="18">
        <v>-5.5999999999999801</v>
      </c>
      <c r="I6460" s="19">
        <v>50.98</v>
      </c>
      <c r="J6460" s="19">
        <v>6.5</v>
      </c>
      <c r="K6460" s="19" t="s">
        <v>33</v>
      </c>
      <c r="L6460" s="19" t="s">
        <v>93</v>
      </c>
      <c r="M6460" s="15" t="s">
        <v>94</v>
      </c>
      <c r="N6460" s="15" t="s">
        <v>64</v>
      </c>
      <c r="O6460" s="15" t="s">
        <v>72</v>
      </c>
      <c r="P6460" s="20" t="s">
        <v>1038</v>
      </c>
      <c r="Q6460" s="15" t="s">
        <v>83</v>
      </c>
      <c r="R6460" s="4"/>
      <c r="S6460" s="4"/>
    </row>
    <row r="6461" spans="1:19" ht="21" customHeight="1" x14ac:dyDescent="0.25">
      <c r="A6461" s="14">
        <f>DATE(2012,12,31)-1125</f>
        <v>40149</v>
      </c>
      <c r="B6461" s="15" t="s">
        <v>1449</v>
      </c>
      <c r="C6461" s="15" t="s">
        <v>43</v>
      </c>
      <c r="D6461" s="16">
        <v>18</v>
      </c>
      <c r="E6461" s="17">
        <v>2567.13</v>
      </c>
      <c r="F6461" s="16">
        <v>0.02</v>
      </c>
      <c r="G6461" s="15" t="s">
        <v>101</v>
      </c>
      <c r="H6461" s="18">
        <v>945.54</v>
      </c>
      <c r="I6461" s="19">
        <v>136.97999999999999</v>
      </c>
      <c r="J6461" s="19">
        <v>24.49</v>
      </c>
      <c r="K6461" s="19" t="s">
        <v>33</v>
      </c>
      <c r="L6461" s="19" t="s">
        <v>128</v>
      </c>
      <c r="M6461" s="15" t="s">
        <v>129</v>
      </c>
      <c r="N6461" s="15" t="s">
        <v>54</v>
      </c>
      <c r="O6461" s="15" t="s">
        <v>55</v>
      </c>
      <c r="P6461" s="20" t="s">
        <v>849</v>
      </c>
      <c r="Q6461" s="15" t="s">
        <v>39</v>
      </c>
      <c r="R6461" s="4"/>
      <c r="S6461" s="4"/>
    </row>
    <row r="6462" spans="1:19" ht="21" customHeight="1" x14ac:dyDescent="0.25">
      <c r="A6462" s="14">
        <f>DATE(2012,12,31)-670</f>
        <v>40604</v>
      </c>
      <c r="B6462" s="15" t="s">
        <v>1660</v>
      </c>
      <c r="C6462" s="15" t="s">
        <v>85</v>
      </c>
      <c r="D6462" s="16">
        <v>35</v>
      </c>
      <c r="E6462" s="17">
        <v>677.43</v>
      </c>
      <c r="F6462" s="16">
        <v>0.1</v>
      </c>
      <c r="G6462" s="15" t="s">
        <v>32</v>
      </c>
      <c r="H6462" s="18">
        <v>-37.99</v>
      </c>
      <c r="I6462" s="19">
        <v>19.98</v>
      </c>
      <c r="J6462" s="19">
        <v>4</v>
      </c>
      <c r="K6462" s="19" t="s">
        <v>33</v>
      </c>
      <c r="L6462" s="19" t="s">
        <v>93</v>
      </c>
      <c r="M6462" s="15" t="s">
        <v>94</v>
      </c>
      <c r="N6462" s="15" t="s">
        <v>64</v>
      </c>
      <c r="O6462" s="15" t="s">
        <v>72</v>
      </c>
      <c r="P6462" s="20" t="s">
        <v>440</v>
      </c>
      <c r="Q6462" s="15" t="s">
        <v>83</v>
      </c>
      <c r="R6462" s="4"/>
      <c r="S6462" s="4"/>
    </row>
    <row r="6463" spans="1:19" ht="21" customHeight="1" x14ac:dyDescent="0.25">
      <c r="A6463" s="14">
        <f>DATE(2012,12,31)-670</f>
        <v>40604</v>
      </c>
      <c r="B6463" s="15" t="s">
        <v>1660</v>
      </c>
      <c r="C6463" s="15" t="s">
        <v>85</v>
      </c>
      <c r="D6463" s="16">
        <v>38</v>
      </c>
      <c r="E6463" s="17">
        <v>491.78</v>
      </c>
      <c r="F6463" s="16">
        <v>0</v>
      </c>
      <c r="G6463" s="15" t="s">
        <v>32</v>
      </c>
      <c r="H6463" s="18">
        <v>44.04</v>
      </c>
      <c r="I6463" s="19">
        <v>12.28</v>
      </c>
      <c r="J6463" s="19">
        <v>6.47</v>
      </c>
      <c r="K6463" s="19" t="s">
        <v>97</v>
      </c>
      <c r="L6463" s="19" t="s">
        <v>132</v>
      </c>
      <c r="M6463" s="15" t="s">
        <v>2294</v>
      </c>
      <c r="N6463" s="15" t="s">
        <v>36</v>
      </c>
      <c r="O6463" s="15" t="s">
        <v>117</v>
      </c>
      <c r="P6463" s="20" t="s">
        <v>653</v>
      </c>
      <c r="Q6463" s="15" t="s">
        <v>83</v>
      </c>
      <c r="R6463" s="4"/>
      <c r="S6463" s="4"/>
    </row>
    <row r="6464" spans="1:19" ht="21" customHeight="1" x14ac:dyDescent="0.25">
      <c r="A6464" s="14">
        <f>DATE(2012,12,31)-589</f>
        <v>40685</v>
      </c>
      <c r="B6464" s="15" t="s">
        <v>1664</v>
      </c>
      <c r="C6464" s="15" t="s">
        <v>31</v>
      </c>
      <c r="D6464" s="16">
        <v>22</v>
      </c>
      <c r="E6464" s="17">
        <v>1168.28</v>
      </c>
      <c r="F6464" s="16">
        <v>0.02</v>
      </c>
      <c r="G6464" s="15" t="s">
        <v>58</v>
      </c>
      <c r="H6464" s="18">
        <v>126.07</v>
      </c>
      <c r="I6464" s="19">
        <v>50.98</v>
      </c>
      <c r="J6464" s="19">
        <v>14.19</v>
      </c>
      <c r="K6464" s="19" t="s">
        <v>97</v>
      </c>
      <c r="L6464" s="19" t="s">
        <v>283</v>
      </c>
      <c r="M6464" s="15" t="s">
        <v>2306</v>
      </c>
      <c r="N6464" s="15" t="s">
        <v>54</v>
      </c>
      <c r="O6464" s="15" t="s">
        <v>252</v>
      </c>
      <c r="P6464" s="20" t="s">
        <v>843</v>
      </c>
      <c r="Q6464" s="15" t="s">
        <v>181</v>
      </c>
      <c r="R6464" s="4"/>
      <c r="S6464" s="4"/>
    </row>
    <row r="6465" spans="1:19" ht="21" customHeight="1" x14ac:dyDescent="0.25">
      <c r="A6465" s="14">
        <f>DATE(2012,12,31)-1415</f>
        <v>39859</v>
      </c>
      <c r="B6465" s="15" t="s">
        <v>1080</v>
      </c>
      <c r="C6465" s="15" t="s">
        <v>85</v>
      </c>
      <c r="D6465" s="16">
        <v>23</v>
      </c>
      <c r="E6465" s="17">
        <v>93.05</v>
      </c>
      <c r="F6465" s="16">
        <v>0.03</v>
      </c>
      <c r="G6465" s="15" t="s">
        <v>32</v>
      </c>
      <c r="H6465" s="18">
        <v>15.2745</v>
      </c>
      <c r="I6465" s="19">
        <v>3.8</v>
      </c>
      <c r="J6465" s="19">
        <v>1.49</v>
      </c>
      <c r="K6465" s="19" t="s">
        <v>97</v>
      </c>
      <c r="L6465" s="19" t="s">
        <v>283</v>
      </c>
      <c r="M6465" s="15" t="s">
        <v>2306</v>
      </c>
      <c r="N6465" s="15" t="s">
        <v>36</v>
      </c>
      <c r="O6465" s="15" t="s">
        <v>170</v>
      </c>
      <c r="P6465" s="20" t="s">
        <v>1742</v>
      </c>
      <c r="Q6465" s="15" t="s">
        <v>83</v>
      </c>
      <c r="R6465" s="4"/>
      <c r="S6465" s="4"/>
    </row>
    <row r="6466" spans="1:19" ht="21" customHeight="1" x14ac:dyDescent="0.25">
      <c r="A6466" s="14">
        <f>DATE(2012,12,31)-1415</f>
        <v>39859</v>
      </c>
      <c r="B6466" s="15" t="s">
        <v>1268</v>
      </c>
      <c r="C6466" s="15" t="s">
        <v>85</v>
      </c>
      <c r="D6466" s="16">
        <v>20</v>
      </c>
      <c r="E6466" s="17">
        <v>154.13</v>
      </c>
      <c r="F6466" s="16">
        <v>7.0000000000000007E-2</v>
      </c>
      <c r="G6466" s="15" t="s">
        <v>32</v>
      </c>
      <c r="H6466" s="18">
        <v>57.31</v>
      </c>
      <c r="I6466" s="19">
        <v>7.98</v>
      </c>
      <c r="J6466" s="19">
        <v>1.25</v>
      </c>
      <c r="K6466" s="19" t="s">
        <v>97</v>
      </c>
      <c r="L6466" s="19" t="s">
        <v>132</v>
      </c>
      <c r="M6466" s="15" t="s">
        <v>2294</v>
      </c>
      <c r="N6466" s="15" t="s">
        <v>36</v>
      </c>
      <c r="O6466" s="15" t="s">
        <v>117</v>
      </c>
      <c r="P6466" s="20" t="s">
        <v>1695</v>
      </c>
      <c r="Q6466" s="15" t="s">
        <v>79</v>
      </c>
      <c r="R6466" s="4"/>
      <c r="S6466" s="4"/>
    </row>
    <row r="6467" spans="1:19" ht="21" customHeight="1" x14ac:dyDescent="0.25">
      <c r="A6467" s="14">
        <f>DATE(2012,12,31)-1415</f>
        <v>39859</v>
      </c>
      <c r="B6467" s="15" t="s">
        <v>2019</v>
      </c>
      <c r="C6467" s="15" t="s">
        <v>85</v>
      </c>
      <c r="D6467" s="16">
        <v>46</v>
      </c>
      <c r="E6467" s="17">
        <v>18824.419999999998</v>
      </c>
      <c r="F6467" s="16">
        <v>7.0000000000000007E-2</v>
      </c>
      <c r="G6467" s="15" t="s">
        <v>58</v>
      </c>
      <c r="H6467" s="18">
        <v>-575.35199999999998</v>
      </c>
      <c r="I6467" s="19">
        <v>417.4</v>
      </c>
      <c r="J6467" s="19">
        <v>75.23</v>
      </c>
      <c r="K6467" s="19" t="s">
        <v>97</v>
      </c>
      <c r="L6467" s="19" t="s">
        <v>283</v>
      </c>
      <c r="M6467" s="15" t="s">
        <v>2306</v>
      </c>
      <c r="N6467" s="15" t="s">
        <v>54</v>
      </c>
      <c r="O6467" s="15" t="s">
        <v>61</v>
      </c>
      <c r="P6467" s="20" t="s">
        <v>152</v>
      </c>
      <c r="Q6467" s="15" t="s">
        <v>63</v>
      </c>
      <c r="R6467" s="4"/>
      <c r="S6467" s="4"/>
    </row>
    <row r="6468" spans="1:19" ht="21" customHeight="1" x14ac:dyDescent="0.25">
      <c r="A6468" s="14">
        <f>DATE(2012,12,31)-716</f>
        <v>40558</v>
      </c>
      <c r="B6468" s="15" t="s">
        <v>2019</v>
      </c>
      <c r="C6468" s="15" t="s">
        <v>85</v>
      </c>
      <c r="D6468" s="16">
        <v>37</v>
      </c>
      <c r="E6468" s="17">
        <v>925.8</v>
      </c>
      <c r="F6468" s="16">
        <v>0.01</v>
      </c>
      <c r="G6468" s="15" t="s">
        <v>32</v>
      </c>
      <c r="H6468" s="18">
        <v>30.684999999999999</v>
      </c>
      <c r="I6468" s="19">
        <v>24.92</v>
      </c>
      <c r="J6468" s="19">
        <v>12.98</v>
      </c>
      <c r="K6468" s="19" t="s">
        <v>97</v>
      </c>
      <c r="L6468" s="19" t="s">
        <v>195</v>
      </c>
      <c r="M6468" s="15" t="s">
        <v>2138</v>
      </c>
      <c r="N6468" s="15" t="s">
        <v>36</v>
      </c>
      <c r="O6468" s="15" t="s">
        <v>170</v>
      </c>
      <c r="P6468" s="20" t="s">
        <v>515</v>
      </c>
      <c r="Q6468" s="15" t="s">
        <v>83</v>
      </c>
      <c r="R6468" s="4"/>
      <c r="S6468" s="4"/>
    </row>
    <row r="6469" spans="1:19" ht="21" customHeight="1" x14ac:dyDescent="0.25">
      <c r="A6469" s="14">
        <f>DATE(2012,12,31)-716</f>
        <v>40558</v>
      </c>
      <c r="B6469" s="15" t="s">
        <v>1174</v>
      </c>
      <c r="C6469" s="15" t="s">
        <v>85</v>
      </c>
      <c r="D6469" s="16">
        <v>39</v>
      </c>
      <c r="E6469" s="17">
        <v>282.48</v>
      </c>
      <c r="F6469" s="16">
        <v>0.08</v>
      </c>
      <c r="G6469" s="15" t="s">
        <v>101</v>
      </c>
      <c r="H6469" s="18">
        <v>-87.009</v>
      </c>
      <c r="I6469" s="19">
        <v>7.1</v>
      </c>
      <c r="J6469" s="19">
        <v>6.05</v>
      </c>
      <c r="K6469" s="19" t="s">
        <v>97</v>
      </c>
      <c r="L6469" s="19" t="s">
        <v>195</v>
      </c>
      <c r="M6469" s="15" t="s">
        <v>2138</v>
      </c>
      <c r="N6469" s="15" t="s">
        <v>36</v>
      </c>
      <c r="O6469" s="15" t="s">
        <v>170</v>
      </c>
      <c r="P6469" s="20" t="s">
        <v>511</v>
      </c>
      <c r="Q6469" s="15" t="s">
        <v>83</v>
      </c>
      <c r="R6469" s="4"/>
      <c r="S6469" s="4"/>
    </row>
    <row r="6470" spans="1:19" ht="21" customHeight="1" x14ac:dyDescent="0.25">
      <c r="A6470" s="14">
        <f>DATE(2012,12,31)-716</f>
        <v>40558</v>
      </c>
      <c r="B6470" s="15" t="s">
        <v>1174</v>
      </c>
      <c r="C6470" s="15" t="s">
        <v>85</v>
      </c>
      <c r="D6470" s="16">
        <v>12</v>
      </c>
      <c r="E6470" s="17">
        <v>6502.46</v>
      </c>
      <c r="F6470" s="16">
        <v>0.09</v>
      </c>
      <c r="G6470" s="15" t="s">
        <v>58</v>
      </c>
      <c r="H6470" s="18">
        <v>261.66000000000003</v>
      </c>
      <c r="I6470" s="19">
        <v>550.98</v>
      </c>
      <c r="J6470" s="19">
        <v>64.59</v>
      </c>
      <c r="K6470" s="19" t="s">
        <v>124</v>
      </c>
      <c r="L6470" s="19" t="s">
        <v>160</v>
      </c>
      <c r="M6470" s="15" t="s">
        <v>2281</v>
      </c>
      <c r="N6470" s="15" t="s">
        <v>54</v>
      </c>
      <c r="O6470" s="15" t="s">
        <v>61</v>
      </c>
      <c r="P6470" s="20" t="s">
        <v>379</v>
      </c>
      <c r="Q6470" s="15" t="s">
        <v>63</v>
      </c>
      <c r="R6470" s="4"/>
      <c r="S6470" s="4"/>
    </row>
    <row r="6471" spans="1:19" ht="21" customHeight="1" x14ac:dyDescent="0.25">
      <c r="A6471" s="14">
        <f>DATE(2012,12,31)-1149</f>
        <v>40125</v>
      </c>
      <c r="B6471" s="15" t="s">
        <v>1174</v>
      </c>
      <c r="C6471" s="15" t="s">
        <v>85</v>
      </c>
      <c r="D6471" s="16">
        <v>23</v>
      </c>
      <c r="E6471" s="17">
        <v>203.91</v>
      </c>
      <c r="F6471" s="16">
        <v>0.02</v>
      </c>
      <c r="G6471" s="15" t="s">
        <v>32</v>
      </c>
      <c r="H6471" s="18">
        <v>-35.442999999999998</v>
      </c>
      <c r="I6471" s="19">
        <v>8.6</v>
      </c>
      <c r="J6471" s="19">
        <v>6.19</v>
      </c>
      <c r="K6471" s="19" t="s">
        <v>124</v>
      </c>
      <c r="L6471" s="19" t="s">
        <v>160</v>
      </c>
      <c r="M6471" s="15" t="s">
        <v>2281</v>
      </c>
      <c r="N6471" s="15" t="s">
        <v>36</v>
      </c>
      <c r="O6471" s="15" t="s">
        <v>170</v>
      </c>
      <c r="P6471" s="20" t="s">
        <v>1513</v>
      </c>
      <c r="Q6471" s="15" t="s">
        <v>83</v>
      </c>
      <c r="R6471" s="4"/>
      <c r="S6471" s="4"/>
    </row>
    <row r="6472" spans="1:19" ht="21" customHeight="1" x14ac:dyDescent="0.25">
      <c r="A6472" s="14">
        <f>DATE(2012,12,31)-757</f>
        <v>40517</v>
      </c>
      <c r="B6472" s="15" t="s">
        <v>1192</v>
      </c>
      <c r="C6472" s="15" t="s">
        <v>31</v>
      </c>
      <c r="D6472" s="16">
        <v>13</v>
      </c>
      <c r="E6472" s="17">
        <v>11169.95</v>
      </c>
      <c r="F6472" s="16">
        <v>7.0000000000000007E-2</v>
      </c>
      <c r="G6472" s="15" t="s">
        <v>32</v>
      </c>
      <c r="H6472" s="18">
        <v>3982.2245000000003</v>
      </c>
      <c r="I6472" s="19">
        <v>896.99</v>
      </c>
      <c r="J6472" s="19">
        <v>19.989999999999998</v>
      </c>
      <c r="K6472" s="19" t="s">
        <v>124</v>
      </c>
      <c r="L6472" s="19" t="s">
        <v>160</v>
      </c>
      <c r="M6472" s="15" t="s">
        <v>2281</v>
      </c>
      <c r="N6472" s="15" t="s">
        <v>36</v>
      </c>
      <c r="O6472" s="15" t="s">
        <v>170</v>
      </c>
      <c r="P6472" s="20" t="s">
        <v>1787</v>
      </c>
      <c r="Q6472" s="15" t="s">
        <v>83</v>
      </c>
      <c r="R6472" s="4"/>
      <c r="S6472" s="4"/>
    </row>
    <row r="6473" spans="1:19" ht="21" customHeight="1" x14ac:dyDescent="0.25">
      <c r="A6473" s="14">
        <f>DATE(2012,12,31)-757</f>
        <v>40517</v>
      </c>
      <c r="B6473" s="15" t="s">
        <v>1192</v>
      </c>
      <c r="C6473" s="15" t="s">
        <v>31</v>
      </c>
      <c r="D6473" s="16">
        <v>33</v>
      </c>
      <c r="E6473" s="17">
        <v>468.46</v>
      </c>
      <c r="F6473" s="16">
        <v>0.01</v>
      </c>
      <c r="G6473" s="15" t="s">
        <v>32</v>
      </c>
      <c r="H6473" s="18">
        <v>-292.7</v>
      </c>
      <c r="I6473" s="19">
        <v>12.99</v>
      </c>
      <c r="J6473" s="19">
        <v>14.37</v>
      </c>
      <c r="K6473" s="19" t="s">
        <v>124</v>
      </c>
      <c r="L6473" s="19" t="s">
        <v>160</v>
      </c>
      <c r="M6473" s="15" t="s">
        <v>2281</v>
      </c>
      <c r="N6473" s="15" t="s">
        <v>54</v>
      </c>
      <c r="O6473" s="15" t="s">
        <v>55</v>
      </c>
      <c r="P6473" s="20" t="s">
        <v>1136</v>
      </c>
      <c r="Q6473" s="15" t="s">
        <v>39</v>
      </c>
      <c r="R6473" s="4"/>
      <c r="S6473" s="4"/>
    </row>
    <row r="6474" spans="1:19" ht="21" customHeight="1" x14ac:dyDescent="0.25">
      <c r="A6474" s="14">
        <f>DATE(2012,12,31)-757</f>
        <v>40517</v>
      </c>
      <c r="B6474" s="15" t="s">
        <v>576</v>
      </c>
      <c r="C6474" s="15" t="s">
        <v>31</v>
      </c>
      <c r="D6474" s="16">
        <v>48</v>
      </c>
      <c r="E6474" s="17">
        <v>9708.64</v>
      </c>
      <c r="F6474" s="16">
        <v>0.1</v>
      </c>
      <c r="G6474" s="15" t="s">
        <v>58</v>
      </c>
      <c r="H6474" s="18">
        <v>-528.65312500000005</v>
      </c>
      <c r="I6474" s="19">
        <v>218.75</v>
      </c>
      <c r="J6474" s="19">
        <v>69.64</v>
      </c>
      <c r="K6474" s="19" t="s">
        <v>124</v>
      </c>
      <c r="L6474" s="19" t="s">
        <v>160</v>
      </c>
      <c r="M6474" s="15" t="s">
        <v>2281</v>
      </c>
      <c r="N6474" s="15" t="s">
        <v>54</v>
      </c>
      <c r="O6474" s="15" t="s">
        <v>61</v>
      </c>
      <c r="P6474" s="20" t="s">
        <v>1595</v>
      </c>
      <c r="Q6474" s="15" t="s">
        <v>63</v>
      </c>
      <c r="R6474" s="4"/>
      <c r="S6474" s="4"/>
    </row>
    <row r="6475" spans="1:19" ht="21" customHeight="1" x14ac:dyDescent="0.25">
      <c r="A6475" s="14">
        <f>DATE(2012,12,31)-934</f>
        <v>40340</v>
      </c>
      <c r="B6475" s="15" t="s">
        <v>576</v>
      </c>
      <c r="C6475" s="15" t="s">
        <v>31</v>
      </c>
      <c r="D6475" s="16">
        <v>47</v>
      </c>
      <c r="E6475" s="17">
        <v>1243.52</v>
      </c>
      <c r="F6475" s="16">
        <v>0.08</v>
      </c>
      <c r="G6475" s="15" t="s">
        <v>32</v>
      </c>
      <c r="H6475" s="18">
        <v>360.94</v>
      </c>
      <c r="I6475" s="19">
        <v>26.48</v>
      </c>
      <c r="J6475" s="19">
        <v>6.93</v>
      </c>
      <c r="K6475" s="19" t="s">
        <v>124</v>
      </c>
      <c r="L6475" s="19" t="s">
        <v>160</v>
      </c>
      <c r="M6475" s="15" t="s">
        <v>2281</v>
      </c>
      <c r="N6475" s="15" t="s">
        <v>54</v>
      </c>
      <c r="O6475" s="15" t="s">
        <v>55</v>
      </c>
      <c r="P6475" s="20" t="s">
        <v>1805</v>
      </c>
      <c r="Q6475" s="15" t="s">
        <v>83</v>
      </c>
      <c r="R6475" s="4"/>
      <c r="S6475" s="4"/>
    </row>
    <row r="6476" spans="1:19" ht="21" customHeight="1" x14ac:dyDescent="0.25">
      <c r="A6476" s="14">
        <f>DATE(2012,12,31)-110</f>
        <v>41164</v>
      </c>
      <c r="B6476" s="15" t="s">
        <v>1334</v>
      </c>
      <c r="C6476" s="15" t="s">
        <v>43</v>
      </c>
      <c r="D6476" s="16">
        <v>7</v>
      </c>
      <c r="E6476" s="17">
        <v>3877.88</v>
      </c>
      <c r="F6476" s="16">
        <v>0.08</v>
      </c>
      <c r="G6476" s="15" t="s">
        <v>58</v>
      </c>
      <c r="H6476" s="18">
        <v>-1331.5533660000001</v>
      </c>
      <c r="I6476" s="19">
        <v>550.98</v>
      </c>
      <c r="J6476" s="19">
        <v>45.7</v>
      </c>
      <c r="K6476" s="19" t="s">
        <v>124</v>
      </c>
      <c r="L6476" s="19" t="s">
        <v>160</v>
      </c>
      <c r="M6476" s="15" t="s">
        <v>2281</v>
      </c>
      <c r="N6476" s="15" t="s">
        <v>54</v>
      </c>
      <c r="O6476" s="15" t="s">
        <v>61</v>
      </c>
      <c r="P6476" s="20" t="s">
        <v>1422</v>
      </c>
      <c r="Q6476" s="15" t="s">
        <v>63</v>
      </c>
      <c r="R6476" s="4"/>
      <c r="S6476" s="4"/>
    </row>
    <row r="6477" spans="1:19" ht="21" customHeight="1" x14ac:dyDescent="0.25">
      <c r="A6477" s="14">
        <f>DATE(2012,12,31)-110</f>
        <v>41164</v>
      </c>
      <c r="B6477" s="15" t="s">
        <v>2136</v>
      </c>
      <c r="C6477" s="15" t="s">
        <v>43</v>
      </c>
      <c r="D6477" s="16">
        <v>43</v>
      </c>
      <c r="E6477" s="17">
        <v>322.47000000000003</v>
      </c>
      <c r="F6477" s="16">
        <v>0.09</v>
      </c>
      <c r="G6477" s="15" t="s">
        <v>101</v>
      </c>
      <c r="H6477" s="18">
        <v>72.28</v>
      </c>
      <c r="I6477" s="19">
        <v>7.78</v>
      </c>
      <c r="J6477" s="19">
        <v>2.5</v>
      </c>
      <c r="K6477" s="19" t="s">
        <v>124</v>
      </c>
      <c r="L6477" s="19" t="s">
        <v>160</v>
      </c>
      <c r="M6477" s="15" t="s">
        <v>2281</v>
      </c>
      <c r="N6477" s="15" t="s">
        <v>36</v>
      </c>
      <c r="O6477" s="15" t="s">
        <v>189</v>
      </c>
      <c r="P6477" s="20" t="s">
        <v>560</v>
      </c>
      <c r="Q6477" s="15" t="s">
        <v>83</v>
      </c>
      <c r="R6477" s="4"/>
      <c r="S6477" s="4"/>
    </row>
    <row r="6478" spans="1:19" ht="21" customHeight="1" x14ac:dyDescent="0.25">
      <c r="A6478" s="14">
        <f>DATE(2012,12,31)-1388</f>
        <v>39886</v>
      </c>
      <c r="B6478" s="15" t="s">
        <v>529</v>
      </c>
      <c r="C6478" s="15" t="s">
        <v>43</v>
      </c>
      <c r="D6478" s="16">
        <v>34</v>
      </c>
      <c r="E6478" s="17">
        <v>1932.58</v>
      </c>
      <c r="F6478" s="16">
        <v>0.1</v>
      </c>
      <c r="G6478" s="15" t="s">
        <v>32</v>
      </c>
      <c r="H6478" s="18">
        <v>356.48</v>
      </c>
      <c r="I6478" s="19">
        <v>62.18</v>
      </c>
      <c r="J6478" s="19">
        <v>10.84</v>
      </c>
      <c r="K6478" s="19" t="s">
        <v>124</v>
      </c>
      <c r="L6478" s="19" t="s">
        <v>158</v>
      </c>
      <c r="M6478" s="15" t="s">
        <v>158</v>
      </c>
      <c r="N6478" s="15" t="s">
        <v>54</v>
      </c>
      <c r="O6478" s="15" t="s">
        <v>55</v>
      </c>
      <c r="P6478" s="20" t="s">
        <v>805</v>
      </c>
      <c r="Q6478" s="15" t="s">
        <v>57</v>
      </c>
      <c r="R6478" s="4"/>
      <c r="S6478" s="4"/>
    </row>
    <row r="6479" spans="1:19" ht="21" customHeight="1" x14ac:dyDescent="0.25">
      <c r="A6479" s="14">
        <f>DATE(2012,12,31)-342</f>
        <v>40932</v>
      </c>
      <c r="B6479" s="15" t="s">
        <v>529</v>
      </c>
      <c r="C6479" s="15" t="s">
        <v>31</v>
      </c>
      <c r="D6479" s="16">
        <v>31</v>
      </c>
      <c r="E6479" s="17">
        <v>614.35</v>
      </c>
      <c r="F6479" s="16">
        <v>0.02</v>
      </c>
      <c r="G6479" s="15" t="s">
        <v>101</v>
      </c>
      <c r="H6479" s="18">
        <v>78.89</v>
      </c>
      <c r="I6479" s="19">
        <v>18.97</v>
      </c>
      <c r="J6479" s="19">
        <v>9.0299999999999994</v>
      </c>
      <c r="K6479" s="19" t="s">
        <v>124</v>
      </c>
      <c r="L6479" s="19" t="s">
        <v>164</v>
      </c>
      <c r="M6479" s="15" t="s">
        <v>2286</v>
      </c>
      <c r="N6479" s="15" t="s">
        <v>36</v>
      </c>
      <c r="O6479" s="15" t="s">
        <v>117</v>
      </c>
      <c r="P6479" s="20" t="s">
        <v>832</v>
      </c>
      <c r="Q6479" s="15" t="s">
        <v>83</v>
      </c>
      <c r="R6479" s="4"/>
      <c r="S6479" s="4"/>
    </row>
    <row r="6480" spans="1:19" ht="21" customHeight="1" x14ac:dyDescent="0.25">
      <c r="A6480" s="14">
        <f>DATE(2012,12,31)-342</f>
        <v>40932</v>
      </c>
      <c r="B6480" s="15" t="s">
        <v>1484</v>
      </c>
      <c r="C6480" s="15" t="s">
        <v>31</v>
      </c>
      <c r="D6480" s="16">
        <v>1</v>
      </c>
      <c r="E6480" s="17">
        <v>3.63</v>
      </c>
      <c r="F6480" s="16">
        <v>0.03</v>
      </c>
      <c r="G6480" s="15" t="s">
        <v>32</v>
      </c>
      <c r="H6480" s="18">
        <v>-1.56</v>
      </c>
      <c r="I6480" s="19">
        <v>2.88</v>
      </c>
      <c r="J6480" s="19">
        <v>0.7</v>
      </c>
      <c r="K6480" s="19" t="s">
        <v>124</v>
      </c>
      <c r="L6480" s="19" t="s">
        <v>164</v>
      </c>
      <c r="M6480" s="15" t="s">
        <v>2286</v>
      </c>
      <c r="N6480" s="15" t="s">
        <v>36</v>
      </c>
      <c r="O6480" s="15" t="s">
        <v>77</v>
      </c>
      <c r="P6480" s="20" t="s">
        <v>1117</v>
      </c>
      <c r="Q6480" s="15" t="s">
        <v>79</v>
      </c>
      <c r="R6480" s="4"/>
      <c r="S6480" s="4"/>
    </row>
    <row r="6481" spans="1:19" ht="21" customHeight="1" x14ac:dyDescent="0.25">
      <c r="A6481" s="14">
        <f>DATE(2012,12,31)-342</f>
        <v>40932</v>
      </c>
      <c r="B6481" s="15" t="s">
        <v>256</v>
      </c>
      <c r="C6481" s="15" t="s">
        <v>31</v>
      </c>
      <c r="D6481" s="16">
        <v>31</v>
      </c>
      <c r="E6481" s="17">
        <v>172.99</v>
      </c>
      <c r="F6481" s="16">
        <v>0.05</v>
      </c>
      <c r="G6481" s="15" t="s">
        <v>32</v>
      </c>
      <c r="H6481" s="18">
        <v>61.51</v>
      </c>
      <c r="I6481" s="19">
        <v>5.84</v>
      </c>
      <c r="J6481" s="19">
        <v>1</v>
      </c>
      <c r="K6481" s="19" t="s">
        <v>124</v>
      </c>
      <c r="L6481" s="19" t="s">
        <v>168</v>
      </c>
      <c r="M6481" s="15" t="s">
        <v>2244</v>
      </c>
      <c r="N6481" s="15" t="s">
        <v>36</v>
      </c>
      <c r="O6481" s="15" t="s">
        <v>77</v>
      </c>
      <c r="P6481" s="20" t="s">
        <v>611</v>
      </c>
      <c r="Q6481" s="15" t="s">
        <v>79</v>
      </c>
      <c r="R6481" s="4"/>
      <c r="S6481" s="4"/>
    </row>
    <row r="6482" spans="1:19" ht="21" customHeight="1" x14ac:dyDescent="0.25">
      <c r="A6482" s="14">
        <f>DATE(2012,12,31)-1278</f>
        <v>39996</v>
      </c>
      <c r="B6482" s="15" t="s">
        <v>256</v>
      </c>
      <c r="C6482" s="15" t="s">
        <v>85</v>
      </c>
      <c r="D6482" s="16">
        <v>10</v>
      </c>
      <c r="E6482" s="17">
        <v>601.57000000000005</v>
      </c>
      <c r="F6482" s="16">
        <v>0.09</v>
      </c>
      <c r="G6482" s="15" t="s">
        <v>58</v>
      </c>
      <c r="H6482" s="18">
        <v>-247.25</v>
      </c>
      <c r="I6482" s="19">
        <v>60.98</v>
      </c>
      <c r="J6482" s="19">
        <v>30</v>
      </c>
      <c r="K6482" s="19" t="s">
        <v>124</v>
      </c>
      <c r="L6482" s="19" t="s">
        <v>164</v>
      </c>
      <c r="M6482" s="15" t="s">
        <v>2286</v>
      </c>
      <c r="N6482" s="15" t="s">
        <v>54</v>
      </c>
      <c r="O6482" s="15" t="s">
        <v>252</v>
      </c>
      <c r="P6482" s="20" t="s">
        <v>2109</v>
      </c>
      <c r="Q6482" s="15" t="s">
        <v>181</v>
      </c>
      <c r="R6482" s="4"/>
      <c r="S6482" s="4"/>
    </row>
    <row r="6483" spans="1:19" ht="21" customHeight="1" x14ac:dyDescent="0.25">
      <c r="A6483" s="14">
        <f>DATE(2012,12,31)-1278</f>
        <v>39996</v>
      </c>
      <c r="B6483" s="15" t="s">
        <v>256</v>
      </c>
      <c r="C6483" s="15" t="s">
        <v>85</v>
      </c>
      <c r="D6483" s="16">
        <v>9</v>
      </c>
      <c r="E6483" s="17">
        <v>157.41999999999999</v>
      </c>
      <c r="F6483" s="16">
        <v>0.05</v>
      </c>
      <c r="G6483" s="15" t="s">
        <v>32</v>
      </c>
      <c r="H6483" s="18">
        <v>-18.68</v>
      </c>
      <c r="I6483" s="19">
        <v>17.48</v>
      </c>
      <c r="J6483" s="19">
        <v>1.99</v>
      </c>
      <c r="K6483" s="19" t="s">
        <v>124</v>
      </c>
      <c r="L6483" s="19" t="s">
        <v>164</v>
      </c>
      <c r="M6483" s="15" t="s">
        <v>2307</v>
      </c>
      <c r="N6483" s="15" t="s">
        <v>64</v>
      </c>
      <c r="O6483" s="15" t="s">
        <v>72</v>
      </c>
      <c r="P6483" s="20" t="s">
        <v>1983</v>
      </c>
      <c r="Q6483" s="15" t="s">
        <v>49</v>
      </c>
      <c r="R6483" s="4"/>
      <c r="S6483" s="4"/>
    </row>
    <row r="6484" spans="1:19" ht="21" customHeight="1" x14ac:dyDescent="0.25">
      <c r="A6484" s="14">
        <f>DATE(2012,12,31)-22</f>
        <v>41252</v>
      </c>
      <c r="B6484" s="15" t="s">
        <v>818</v>
      </c>
      <c r="C6484" s="15" t="s">
        <v>85</v>
      </c>
      <c r="D6484" s="16">
        <v>4</v>
      </c>
      <c r="E6484" s="17">
        <v>114.83</v>
      </c>
      <c r="F6484" s="16">
        <v>0.04</v>
      </c>
      <c r="G6484" s="15" t="s">
        <v>32</v>
      </c>
      <c r="H6484" s="18">
        <v>-52.62</v>
      </c>
      <c r="I6484" s="19">
        <v>28.48</v>
      </c>
      <c r="J6484" s="19">
        <v>1.99</v>
      </c>
      <c r="K6484" s="19" t="s">
        <v>124</v>
      </c>
      <c r="L6484" s="19" t="s">
        <v>158</v>
      </c>
      <c r="M6484" s="15" t="s">
        <v>158</v>
      </c>
      <c r="N6484" s="15" t="s">
        <v>64</v>
      </c>
      <c r="O6484" s="15" t="s">
        <v>72</v>
      </c>
      <c r="P6484" s="20" t="s">
        <v>171</v>
      </c>
      <c r="Q6484" s="15" t="s">
        <v>49</v>
      </c>
      <c r="R6484" s="4"/>
      <c r="S6484" s="4"/>
    </row>
    <row r="6485" spans="1:19" ht="21" customHeight="1" x14ac:dyDescent="0.25">
      <c r="A6485" s="14">
        <f>DATE(2012,12,31)-22</f>
        <v>41252</v>
      </c>
      <c r="B6485" s="15" t="s">
        <v>818</v>
      </c>
      <c r="C6485" s="15" t="s">
        <v>85</v>
      </c>
      <c r="D6485" s="16">
        <v>23</v>
      </c>
      <c r="E6485" s="17">
        <v>16743.759999999998</v>
      </c>
      <c r="F6485" s="16">
        <v>0</v>
      </c>
      <c r="G6485" s="15" t="s">
        <v>32</v>
      </c>
      <c r="H6485" s="18">
        <v>6079.63</v>
      </c>
      <c r="I6485" s="19">
        <v>699.99</v>
      </c>
      <c r="J6485" s="19">
        <v>24.49</v>
      </c>
      <c r="K6485" s="19" t="s">
        <v>124</v>
      </c>
      <c r="L6485" s="19" t="s">
        <v>164</v>
      </c>
      <c r="M6485" s="15" t="s">
        <v>2307</v>
      </c>
      <c r="N6485" s="15" t="s">
        <v>64</v>
      </c>
      <c r="O6485" s="15" t="s">
        <v>460</v>
      </c>
      <c r="P6485" s="20" t="s">
        <v>913</v>
      </c>
      <c r="Q6485" s="15" t="s">
        <v>39</v>
      </c>
      <c r="R6485" s="4"/>
      <c r="S6485" s="4"/>
    </row>
    <row r="6486" spans="1:19" ht="21" customHeight="1" x14ac:dyDescent="0.25">
      <c r="A6486" s="14">
        <f>DATE(2012,12,31)-520</f>
        <v>40754</v>
      </c>
      <c r="B6486" s="15" t="s">
        <v>818</v>
      </c>
      <c r="C6486" s="15" t="s">
        <v>31</v>
      </c>
      <c r="D6486" s="16">
        <v>30</v>
      </c>
      <c r="E6486" s="17">
        <v>299.66000000000003</v>
      </c>
      <c r="F6486" s="16">
        <v>0.08</v>
      </c>
      <c r="G6486" s="15" t="s">
        <v>32</v>
      </c>
      <c r="H6486" s="18">
        <v>-18.250499999999999</v>
      </c>
      <c r="I6486" s="19">
        <v>10.44</v>
      </c>
      <c r="J6486" s="19">
        <v>5.75</v>
      </c>
      <c r="K6486" s="19" t="s">
        <v>124</v>
      </c>
      <c r="L6486" s="19" t="s">
        <v>164</v>
      </c>
      <c r="M6486" s="15" t="s">
        <v>2307</v>
      </c>
      <c r="N6486" s="15" t="s">
        <v>36</v>
      </c>
      <c r="O6486" s="15" t="s">
        <v>170</v>
      </c>
      <c r="P6486" s="20" t="s">
        <v>1557</v>
      </c>
      <c r="Q6486" s="15" t="s">
        <v>83</v>
      </c>
      <c r="R6486" s="4"/>
      <c r="S6486" s="4"/>
    </row>
    <row r="6487" spans="1:19" ht="21" customHeight="1" x14ac:dyDescent="0.25">
      <c r="A6487" s="14">
        <f>DATE(2012,12,31)-694</f>
        <v>40580</v>
      </c>
      <c r="B6487" s="15" t="s">
        <v>1389</v>
      </c>
      <c r="C6487" s="15" t="s">
        <v>85</v>
      </c>
      <c r="D6487" s="16">
        <v>32</v>
      </c>
      <c r="E6487" s="17">
        <v>643.53</v>
      </c>
      <c r="F6487" s="16">
        <v>0.05</v>
      </c>
      <c r="G6487" s="15" t="s">
        <v>32</v>
      </c>
      <c r="H6487" s="18">
        <v>175.97</v>
      </c>
      <c r="I6487" s="19">
        <v>19.98</v>
      </c>
      <c r="J6487" s="19">
        <v>5.77</v>
      </c>
      <c r="K6487" s="19" t="s">
        <v>124</v>
      </c>
      <c r="L6487" s="19" t="s">
        <v>319</v>
      </c>
      <c r="M6487" s="15" t="s">
        <v>2300</v>
      </c>
      <c r="N6487" s="15" t="s">
        <v>36</v>
      </c>
      <c r="O6487" s="15" t="s">
        <v>117</v>
      </c>
      <c r="P6487" s="20" t="s">
        <v>413</v>
      </c>
      <c r="Q6487" s="15" t="s">
        <v>83</v>
      </c>
      <c r="R6487" s="4"/>
      <c r="S6487" s="4"/>
    </row>
    <row r="6488" spans="1:19" ht="21" customHeight="1" x14ac:dyDescent="0.25">
      <c r="A6488" s="14">
        <f>DATE(2012,12,31)-694</f>
        <v>40580</v>
      </c>
      <c r="B6488" s="15" t="s">
        <v>1758</v>
      </c>
      <c r="C6488" s="15" t="s">
        <v>85</v>
      </c>
      <c r="D6488" s="16">
        <v>27</v>
      </c>
      <c r="E6488" s="17">
        <v>1217.77</v>
      </c>
      <c r="F6488" s="16">
        <v>0.01</v>
      </c>
      <c r="G6488" s="15" t="s">
        <v>32</v>
      </c>
      <c r="H6488" s="18">
        <v>283.14</v>
      </c>
      <c r="I6488" s="19">
        <v>42.76</v>
      </c>
      <c r="J6488" s="19">
        <v>6.22</v>
      </c>
      <c r="K6488" s="19" t="s">
        <v>44</v>
      </c>
      <c r="L6488" s="19" t="s">
        <v>52</v>
      </c>
      <c r="M6488" s="15" t="s">
        <v>2295</v>
      </c>
      <c r="N6488" s="15" t="s">
        <v>36</v>
      </c>
      <c r="O6488" s="15" t="s">
        <v>37</v>
      </c>
      <c r="P6488" s="20" t="s">
        <v>414</v>
      </c>
      <c r="Q6488" s="15" t="s">
        <v>83</v>
      </c>
      <c r="R6488" s="4"/>
      <c r="S6488" s="4"/>
    </row>
    <row r="6489" spans="1:19" ht="21" customHeight="1" x14ac:dyDescent="0.25">
      <c r="A6489" s="14">
        <f>DATE(2012,12,31)-894</f>
        <v>40380</v>
      </c>
      <c r="B6489" s="15" t="s">
        <v>1758</v>
      </c>
      <c r="C6489" s="15" t="s">
        <v>51</v>
      </c>
      <c r="D6489" s="16">
        <v>29</v>
      </c>
      <c r="E6489" s="17">
        <v>1935.25</v>
      </c>
      <c r="F6489" s="16">
        <v>0.04</v>
      </c>
      <c r="G6489" s="15" t="s">
        <v>32</v>
      </c>
      <c r="H6489" s="18">
        <v>652.18799999999999</v>
      </c>
      <c r="I6489" s="19">
        <v>63.98</v>
      </c>
      <c r="J6489" s="19">
        <v>11.55</v>
      </c>
      <c r="K6489" s="19" t="s">
        <v>44</v>
      </c>
      <c r="L6489" s="19" t="s">
        <v>52</v>
      </c>
      <c r="M6489" s="15" t="s">
        <v>2295</v>
      </c>
      <c r="N6489" s="15" t="s">
        <v>36</v>
      </c>
      <c r="O6489" s="15" t="s">
        <v>170</v>
      </c>
      <c r="P6489" s="20" t="s">
        <v>1696</v>
      </c>
      <c r="Q6489" s="15" t="s">
        <v>83</v>
      </c>
      <c r="R6489" s="4"/>
      <c r="S6489" s="4"/>
    </row>
    <row r="6490" spans="1:19" ht="21" customHeight="1" x14ac:dyDescent="0.25">
      <c r="A6490" s="14">
        <f>DATE(2012,12,31)-894</f>
        <v>40380</v>
      </c>
      <c r="B6490" s="15" t="s">
        <v>1758</v>
      </c>
      <c r="C6490" s="15" t="s">
        <v>51</v>
      </c>
      <c r="D6490" s="16">
        <v>13</v>
      </c>
      <c r="E6490" s="17">
        <v>278.5</v>
      </c>
      <c r="F6490" s="16">
        <v>0.1</v>
      </c>
      <c r="G6490" s="15" t="s">
        <v>32</v>
      </c>
      <c r="H6490" s="18">
        <v>-6.23</v>
      </c>
      <c r="I6490" s="19">
        <v>22.01</v>
      </c>
      <c r="J6490" s="19">
        <v>5.53</v>
      </c>
      <c r="K6490" s="19" t="s">
        <v>44</v>
      </c>
      <c r="L6490" s="19" t="s">
        <v>52</v>
      </c>
      <c r="M6490" s="15" t="s">
        <v>2295</v>
      </c>
      <c r="N6490" s="15" t="s">
        <v>36</v>
      </c>
      <c r="O6490" s="15" t="s">
        <v>77</v>
      </c>
      <c r="P6490" s="20" t="s">
        <v>425</v>
      </c>
      <c r="Q6490" s="15" t="s">
        <v>49</v>
      </c>
      <c r="R6490" s="4"/>
      <c r="S6490" s="4"/>
    </row>
    <row r="6491" spans="1:19" ht="21" customHeight="1" x14ac:dyDescent="0.25">
      <c r="A6491" s="14">
        <f>DATE(2012,12,31)-894</f>
        <v>40380</v>
      </c>
      <c r="B6491" s="15" t="s">
        <v>1338</v>
      </c>
      <c r="C6491" s="15" t="s">
        <v>51</v>
      </c>
      <c r="D6491" s="16">
        <v>42</v>
      </c>
      <c r="E6491" s="17">
        <v>5423.58</v>
      </c>
      <c r="F6491" s="16">
        <v>0.01</v>
      </c>
      <c r="G6491" s="15" t="s">
        <v>32</v>
      </c>
      <c r="H6491" s="18">
        <v>1361.56</v>
      </c>
      <c r="I6491" s="19">
        <v>120.33</v>
      </c>
      <c r="J6491" s="19">
        <v>19.989999999999998</v>
      </c>
      <c r="K6491" s="19" t="s">
        <v>44</v>
      </c>
      <c r="L6491" s="19" t="s">
        <v>52</v>
      </c>
      <c r="M6491" s="15" t="s">
        <v>2295</v>
      </c>
      <c r="N6491" s="15" t="s">
        <v>36</v>
      </c>
      <c r="O6491" s="15" t="s">
        <v>37</v>
      </c>
      <c r="P6491" s="20" t="s">
        <v>1248</v>
      </c>
      <c r="Q6491" s="15" t="s">
        <v>83</v>
      </c>
      <c r="R6491" s="4"/>
      <c r="S6491" s="4"/>
    </row>
    <row r="6492" spans="1:19" ht="21" customHeight="1" x14ac:dyDescent="0.25">
      <c r="A6492" s="14">
        <f>DATE(2012,12,31)-525</f>
        <v>40749</v>
      </c>
      <c r="B6492" s="15" t="s">
        <v>614</v>
      </c>
      <c r="C6492" s="15" t="s">
        <v>51</v>
      </c>
      <c r="D6492" s="16">
        <v>42</v>
      </c>
      <c r="E6492" s="17">
        <v>1244.01</v>
      </c>
      <c r="F6492" s="16">
        <v>0</v>
      </c>
      <c r="G6492" s="15" t="s">
        <v>32</v>
      </c>
      <c r="H6492" s="18">
        <v>539.57000000000005</v>
      </c>
      <c r="I6492" s="19">
        <v>28.48</v>
      </c>
      <c r="J6492" s="19">
        <v>1.99</v>
      </c>
      <c r="K6492" s="19" t="s">
        <v>44</v>
      </c>
      <c r="L6492" s="19" t="s">
        <v>52</v>
      </c>
      <c r="M6492" s="15" t="s">
        <v>2295</v>
      </c>
      <c r="N6492" s="15" t="s">
        <v>64</v>
      </c>
      <c r="O6492" s="15" t="s">
        <v>72</v>
      </c>
      <c r="P6492" s="20" t="s">
        <v>1161</v>
      </c>
      <c r="Q6492" s="15" t="s">
        <v>49</v>
      </c>
      <c r="R6492" s="4"/>
      <c r="S6492" s="4"/>
    </row>
    <row r="6493" spans="1:19" ht="21" customHeight="1" x14ac:dyDescent="0.25">
      <c r="A6493" s="14">
        <f>DATE(2012,12,31)-525</f>
        <v>40749</v>
      </c>
      <c r="B6493" s="15" t="s">
        <v>614</v>
      </c>
      <c r="C6493" s="15" t="s">
        <v>51</v>
      </c>
      <c r="D6493" s="16">
        <v>42</v>
      </c>
      <c r="E6493" s="17">
        <v>981.73</v>
      </c>
      <c r="F6493" s="16">
        <v>0.03</v>
      </c>
      <c r="G6493" s="15" t="s">
        <v>32</v>
      </c>
      <c r="H6493" s="18">
        <v>388.23</v>
      </c>
      <c r="I6493" s="19">
        <v>22.23</v>
      </c>
      <c r="J6493" s="19">
        <v>3.63</v>
      </c>
      <c r="K6493" s="19" t="s">
        <v>44</v>
      </c>
      <c r="L6493" s="19" t="s">
        <v>52</v>
      </c>
      <c r="M6493" s="15" t="s">
        <v>2295</v>
      </c>
      <c r="N6493" s="15" t="s">
        <v>54</v>
      </c>
      <c r="O6493" s="15" t="s">
        <v>55</v>
      </c>
      <c r="P6493" s="20" t="s">
        <v>1785</v>
      </c>
      <c r="Q6493" s="15" t="s">
        <v>49</v>
      </c>
      <c r="R6493" s="4"/>
      <c r="S6493" s="4"/>
    </row>
    <row r="6494" spans="1:19" ht="21" customHeight="1" x14ac:dyDescent="0.25">
      <c r="A6494" s="14">
        <f>DATE(2012,12,31)-525</f>
        <v>40749</v>
      </c>
      <c r="B6494" s="15" t="s">
        <v>1798</v>
      </c>
      <c r="C6494" s="15" t="s">
        <v>51</v>
      </c>
      <c r="D6494" s="16">
        <v>44</v>
      </c>
      <c r="E6494" s="17">
        <v>302.07</v>
      </c>
      <c r="F6494" s="16">
        <v>0</v>
      </c>
      <c r="G6494" s="15" t="s">
        <v>32</v>
      </c>
      <c r="H6494" s="18">
        <v>-185.98</v>
      </c>
      <c r="I6494" s="19">
        <v>6.48</v>
      </c>
      <c r="J6494" s="19">
        <v>8.4</v>
      </c>
      <c r="K6494" s="19" t="s">
        <v>44</v>
      </c>
      <c r="L6494" s="19" t="s">
        <v>52</v>
      </c>
      <c r="M6494" s="15" t="s">
        <v>2295</v>
      </c>
      <c r="N6494" s="15" t="s">
        <v>36</v>
      </c>
      <c r="O6494" s="15" t="s">
        <v>117</v>
      </c>
      <c r="P6494" s="20" t="s">
        <v>1827</v>
      </c>
      <c r="Q6494" s="15" t="s">
        <v>83</v>
      </c>
      <c r="R6494" s="4"/>
      <c r="S6494" s="4"/>
    </row>
    <row r="6495" spans="1:19" ht="21" customHeight="1" x14ac:dyDescent="0.25">
      <c r="A6495" s="14">
        <f>DATE(2012,12,31)-521</f>
        <v>40753</v>
      </c>
      <c r="B6495" s="15" t="s">
        <v>1484</v>
      </c>
      <c r="C6495" s="15" t="s">
        <v>51</v>
      </c>
      <c r="D6495" s="16">
        <v>31</v>
      </c>
      <c r="E6495" s="17">
        <v>143.85</v>
      </c>
      <c r="F6495" s="16">
        <v>0.1</v>
      </c>
      <c r="G6495" s="15" t="s">
        <v>32</v>
      </c>
      <c r="H6495" s="18">
        <v>34.14</v>
      </c>
      <c r="I6495" s="19">
        <v>4.84</v>
      </c>
      <c r="J6495" s="19">
        <v>0.71</v>
      </c>
      <c r="K6495" s="19" t="s">
        <v>44</v>
      </c>
      <c r="L6495" s="19" t="s">
        <v>52</v>
      </c>
      <c r="M6495" s="15" t="s">
        <v>2295</v>
      </c>
      <c r="N6495" s="15" t="s">
        <v>36</v>
      </c>
      <c r="O6495" s="15" t="s">
        <v>77</v>
      </c>
      <c r="P6495" s="20" t="s">
        <v>127</v>
      </c>
      <c r="Q6495" s="15" t="s">
        <v>79</v>
      </c>
      <c r="R6495" s="4"/>
      <c r="S6495" s="4"/>
    </row>
    <row r="6496" spans="1:19" ht="21" customHeight="1" x14ac:dyDescent="0.25">
      <c r="A6496" s="14">
        <f>DATE(2012,12,31)-248</f>
        <v>41026</v>
      </c>
      <c r="B6496" s="15" t="s">
        <v>1484</v>
      </c>
      <c r="C6496" s="15" t="s">
        <v>31</v>
      </c>
      <c r="D6496" s="16">
        <v>34</v>
      </c>
      <c r="E6496" s="17">
        <v>61.45</v>
      </c>
      <c r="F6496" s="16">
        <v>0.06</v>
      </c>
      <c r="G6496" s="15" t="s">
        <v>32</v>
      </c>
      <c r="H6496" s="18">
        <v>0.62</v>
      </c>
      <c r="I6496" s="19">
        <v>1.76</v>
      </c>
      <c r="J6496" s="19">
        <v>0.7</v>
      </c>
      <c r="K6496" s="19" t="s">
        <v>44</v>
      </c>
      <c r="L6496" s="19" t="s">
        <v>52</v>
      </c>
      <c r="M6496" s="15" t="s">
        <v>2295</v>
      </c>
      <c r="N6496" s="15" t="s">
        <v>36</v>
      </c>
      <c r="O6496" s="15" t="s">
        <v>77</v>
      </c>
      <c r="P6496" s="20" t="s">
        <v>482</v>
      </c>
      <c r="Q6496" s="15" t="s">
        <v>79</v>
      </c>
      <c r="R6496" s="4"/>
      <c r="S6496" s="4"/>
    </row>
    <row r="6497" spans="1:19" ht="21" customHeight="1" x14ac:dyDescent="0.25">
      <c r="A6497" s="14">
        <f>DATE(2012,12,31)-1110</f>
        <v>40164</v>
      </c>
      <c r="B6497" s="15" t="s">
        <v>1484</v>
      </c>
      <c r="C6497" s="15" t="s">
        <v>51</v>
      </c>
      <c r="D6497" s="16">
        <v>23</v>
      </c>
      <c r="E6497" s="17">
        <v>39.130000000000003</v>
      </c>
      <c r="F6497" s="16">
        <v>0.1</v>
      </c>
      <c r="G6497" s="15" t="s">
        <v>32</v>
      </c>
      <c r="H6497" s="18">
        <v>-23.14</v>
      </c>
      <c r="I6497" s="19">
        <v>1.68</v>
      </c>
      <c r="J6497" s="19">
        <v>1.57</v>
      </c>
      <c r="K6497" s="19" t="s">
        <v>44</v>
      </c>
      <c r="L6497" s="19" t="s">
        <v>52</v>
      </c>
      <c r="M6497" s="15" t="s">
        <v>2295</v>
      </c>
      <c r="N6497" s="15" t="s">
        <v>36</v>
      </c>
      <c r="O6497" s="15" t="s">
        <v>77</v>
      </c>
      <c r="P6497" s="20" t="s">
        <v>1148</v>
      </c>
      <c r="Q6497" s="15" t="s">
        <v>79</v>
      </c>
      <c r="R6497" s="4"/>
      <c r="S6497" s="4"/>
    </row>
    <row r="6498" spans="1:19" ht="21" customHeight="1" x14ac:dyDescent="0.25">
      <c r="A6498" s="14">
        <f>DATE(2012,12,31)-251</f>
        <v>41023</v>
      </c>
      <c r="B6498" s="15" t="s">
        <v>92</v>
      </c>
      <c r="C6498" s="15" t="s">
        <v>51</v>
      </c>
      <c r="D6498" s="16">
        <v>48</v>
      </c>
      <c r="E6498" s="17">
        <v>166.13</v>
      </c>
      <c r="F6498" s="16">
        <v>0</v>
      </c>
      <c r="G6498" s="15" t="s">
        <v>32</v>
      </c>
      <c r="H6498" s="18">
        <v>-119.16</v>
      </c>
      <c r="I6498" s="19">
        <v>3.28</v>
      </c>
      <c r="J6498" s="19">
        <v>3.97</v>
      </c>
      <c r="K6498" s="19" t="s">
        <v>44</v>
      </c>
      <c r="L6498" s="19" t="s">
        <v>52</v>
      </c>
      <c r="M6498" s="15" t="s">
        <v>2295</v>
      </c>
      <c r="N6498" s="15" t="s">
        <v>36</v>
      </c>
      <c r="O6498" s="15" t="s">
        <v>77</v>
      </c>
      <c r="P6498" s="20" t="s">
        <v>1547</v>
      </c>
      <c r="Q6498" s="15" t="s">
        <v>79</v>
      </c>
      <c r="R6498" s="4"/>
      <c r="S6498" s="4"/>
    </row>
    <row r="6499" spans="1:19" ht="21" customHeight="1" x14ac:dyDescent="0.25">
      <c r="A6499" s="14">
        <f>DATE(2012,12,31)-674</f>
        <v>40600</v>
      </c>
      <c r="B6499" s="15" t="s">
        <v>92</v>
      </c>
      <c r="C6499" s="15" t="s">
        <v>51</v>
      </c>
      <c r="D6499" s="16">
        <v>7</v>
      </c>
      <c r="E6499" s="17">
        <v>375.57</v>
      </c>
      <c r="F6499" s="16">
        <v>0.02</v>
      </c>
      <c r="G6499" s="15" t="s">
        <v>32</v>
      </c>
      <c r="H6499" s="18">
        <v>12.7075</v>
      </c>
      <c r="I6499" s="19">
        <v>52.4</v>
      </c>
      <c r="J6499" s="19">
        <v>16.11</v>
      </c>
      <c r="K6499" s="19" t="s">
        <v>44</v>
      </c>
      <c r="L6499" s="19" t="s">
        <v>52</v>
      </c>
      <c r="M6499" s="15" t="s">
        <v>2295</v>
      </c>
      <c r="N6499" s="15" t="s">
        <v>36</v>
      </c>
      <c r="O6499" s="15" t="s">
        <v>170</v>
      </c>
      <c r="P6499" s="20" t="s">
        <v>1262</v>
      </c>
      <c r="Q6499" s="15" t="s">
        <v>83</v>
      </c>
      <c r="R6499" s="4"/>
      <c r="S6499" s="4"/>
    </row>
    <row r="6500" spans="1:19" ht="21" customHeight="1" x14ac:dyDescent="0.25">
      <c r="A6500" s="14">
        <f>DATE(2012,12,31)-674</f>
        <v>40600</v>
      </c>
      <c r="B6500" s="15" t="s">
        <v>1088</v>
      </c>
      <c r="C6500" s="15" t="s">
        <v>51</v>
      </c>
      <c r="D6500" s="16">
        <v>15</v>
      </c>
      <c r="E6500" s="17">
        <v>81.97</v>
      </c>
      <c r="F6500" s="16">
        <v>7.0000000000000007E-2</v>
      </c>
      <c r="G6500" s="15" t="s">
        <v>32</v>
      </c>
      <c r="H6500" s="18">
        <v>-81.33</v>
      </c>
      <c r="I6500" s="19">
        <v>4.9800000000000004</v>
      </c>
      <c r="J6500" s="19">
        <v>8.33</v>
      </c>
      <c r="K6500" s="19" t="s">
        <v>44</v>
      </c>
      <c r="L6500" s="19" t="s">
        <v>52</v>
      </c>
      <c r="M6500" s="15" t="s">
        <v>2295</v>
      </c>
      <c r="N6500" s="15" t="s">
        <v>36</v>
      </c>
      <c r="O6500" s="15" t="s">
        <v>117</v>
      </c>
      <c r="P6500" s="20" t="s">
        <v>382</v>
      </c>
      <c r="Q6500" s="15" t="s">
        <v>83</v>
      </c>
      <c r="R6500" s="4"/>
      <c r="S6500" s="4"/>
    </row>
    <row r="6501" spans="1:19" ht="21" customHeight="1" x14ac:dyDescent="0.25">
      <c r="A6501" s="14">
        <f>DATE(2012,12,31)-908</f>
        <v>40366</v>
      </c>
      <c r="B6501" s="15" t="s">
        <v>1088</v>
      </c>
      <c r="C6501" s="15" t="s">
        <v>51</v>
      </c>
      <c r="D6501" s="16">
        <v>7</v>
      </c>
      <c r="E6501" s="17">
        <v>1822.83</v>
      </c>
      <c r="F6501" s="16">
        <v>0.08</v>
      </c>
      <c r="G6501" s="15" t="s">
        <v>58</v>
      </c>
      <c r="H6501" s="18">
        <v>-627.64115700000002</v>
      </c>
      <c r="I6501" s="19">
        <v>259.70999999999998</v>
      </c>
      <c r="J6501" s="19">
        <v>66.67</v>
      </c>
      <c r="K6501" s="19" t="s">
        <v>44</v>
      </c>
      <c r="L6501" s="19" t="s">
        <v>80</v>
      </c>
      <c r="M6501" s="15" t="s">
        <v>2297</v>
      </c>
      <c r="N6501" s="15" t="s">
        <v>54</v>
      </c>
      <c r="O6501" s="15" t="s">
        <v>61</v>
      </c>
      <c r="P6501" s="20" t="s">
        <v>461</v>
      </c>
      <c r="Q6501" s="15" t="s">
        <v>63</v>
      </c>
      <c r="R6501" s="4"/>
      <c r="S6501" s="4"/>
    </row>
    <row r="6502" spans="1:19" ht="21" customHeight="1" x14ac:dyDescent="0.25">
      <c r="A6502" s="14">
        <f>DATE(2012,12,31)-858</f>
        <v>40416</v>
      </c>
      <c r="B6502" s="15" t="s">
        <v>1454</v>
      </c>
      <c r="C6502" s="15" t="s">
        <v>85</v>
      </c>
      <c r="D6502" s="16">
        <v>24</v>
      </c>
      <c r="E6502" s="17">
        <v>905.32</v>
      </c>
      <c r="F6502" s="16">
        <v>0.02</v>
      </c>
      <c r="G6502" s="15" t="s">
        <v>32</v>
      </c>
      <c r="H6502" s="18">
        <v>389.07</v>
      </c>
      <c r="I6502" s="19">
        <v>35.44</v>
      </c>
      <c r="J6502" s="19">
        <v>5.09</v>
      </c>
      <c r="K6502" s="19" t="s">
        <v>44</v>
      </c>
      <c r="L6502" s="19" t="s">
        <v>52</v>
      </c>
      <c r="M6502" s="15" t="s">
        <v>2295</v>
      </c>
      <c r="N6502" s="15" t="s">
        <v>36</v>
      </c>
      <c r="O6502" s="15" t="s">
        <v>117</v>
      </c>
      <c r="P6502" s="20" t="s">
        <v>2154</v>
      </c>
      <c r="Q6502" s="15" t="s">
        <v>83</v>
      </c>
      <c r="R6502" s="4"/>
      <c r="S6502" s="4"/>
    </row>
    <row r="6503" spans="1:19" ht="21" customHeight="1" x14ac:dyDescent="0.25">
      <c r="A6503" s="14">
        <f>DATE(2012,12,31)-858</f>
        <v>40416</v>
      </c>
      <c r="B6503" s="15" t="s">
        <v>1897</v>
      </c>
      <c r="C6503" s="15" t="s">
        <v>85</v>
      </c>
      <c r="D6503" s="16">
        <v>16</v>
      </c>
      <c r="E6503" s="17">
        <v>1702.499</v>
      </c>
      <c r="F6503" s="16">
        <v>0.08</v>
      </c>
      <c r="G6503" s="15" t="s">
        <v>32</v>
      </c>
      <c r="H6503" s="18">
        <v>162.108</v>
      </c>
      <c r="I6503" s="19">
        <v>125.99</v>
      </c>
      <c r="J6503" s="19">
        <v>5.26</v>
      </c>
      <c r="K6503" s="19" t="s">
        <v>44</v>
      </c>
      <c r="L6503" s="19" t="s">
        <v>52</v>
      </c>
      <c r="M6503" s="15" t="s">
        <v>2295</v>
      </c>
      <c r="N6503" s="15" t="s">
        <v>64</v>
      </c>
      <c r="O6503" s="15" t="s">
        <v>65</v>
      </c>
      <c r="P6503" s="20" t="s">
        <v>1535</v>
      </c>
      <c r="Q6503" s="15" t="s">
        <v>83</v>
      </c>
      <c r="R6503" s="4"/>
      <c r="S6503" s="4"/>
    </row>
    <row r="6504" spans="1:19" ht="21" customHeight="1" x14ac:dyDescent="0.25">
      <c r="A6504" s="14">
        <f>DATE(2012,12,31)-723</f>
        <v>40551</v>
      </c>
      <c r="B6504" s="15" t="s">
        <v>1897</v>
      </c>
      <c r="C6504" s="15" t="s">
        <v>85</v>
      </c>
      <c r="D6504" s="16">
        <v>27</v>
      </c>
      <c r="E6504" s="17">
        <v>826.27</v>
      </c>
      <c r="F6504" s="16">
        <v>0.03</v>
      </c>
      <c r="G6504" s="15" t="s">
        <v>32</v>
      </c>
      <c r="H6504" s="18">
        <v>322.88</v>
      </c>
      <c r="I6504" s="19">
        <v>29.18</v>
      </c>
      <c r="J6504" s="19">
        <v>8.5500000000000007</v>
      </c>
      <c r="K6504" s="19" t="s">
        <v>44</v>
      </c>
      <c r="L6504" s="19" t="s">
        <v>52</v>
      </c>
      <c r="M6504" s="15" t="s">
        <v>2295</v>
      </c>
      <c r="N6504" s="15" t="s">
        <v>54</v>
      </c>
      <c r="O6504" s="15" t="s">
        <v>55</v>
      </c>
      <c r="P6504" s="20" t="s">
        <v>275</v>
      </c>
      <c r="Q6504" s="15" t="s">
        <v>83</v>
      </c>
      <c r="R6504" s="4"/>
      <c r="S6504" s="4"/>
    </row>
    <row r="6505" spans="1:19" ht="21" customHeight="1" x14ac:dyDescent="0.25">
      <c r="A6505" s="14">
        <f>DATE(2012,12,31)-723</f>
        <v>40551</v>
      </c>
      <c r="B6505" s="15" t="s">
        <v>768</v>
      </c>
      <c r="C6505" s="15" t="s">
        <v>85</v>
      </c>
      <c r="D6505" s="16">
        <v>29</v>
      </c>
      <c r="E6505" s="17">
        <v>1777.4689999999998</v>
      </c>
      <c r="F6505" s="16">
        <v>0.01</v>
      </c>
      <c r="G6505" s="15" t="s">
        <v>32</v>
      </c>
      <c r="H6505" s="18">
        <v>166.36500000000001</v>
      </c>
      <c r="I6505" s="19">
        <v>66.989999999999995</v>
      </c>
      <c r="J6505" s="19">
        <v>13.99</v>
      </c>
      <c r="K6505" s="19" t="s">
        <v>44</v>
      </c>
      <c r="L6505" s="19" t="s">
        <v>80</v>
      </c>
      <c r="M6505" s="15" t="s">
        <v>2297</v>
      </c>
      <c r="N6505" s="15" t="s">
        <v>64</v>
      </c>
      <c r="O6505" s="15" t="s">
        <v>65</v>
      </c>
      <c r="P6505" s="20" t="s">
        <v>2308</v>
      </c>
      <c r="Q6505" s="15" t="s">
        <v>57</v>
      </c>
      <c r="R6505" s="4"/>
      <c r="S6505" s="4"/>
    </row>
    <row r="6506" spans="1:19" ht="21" customHeight="1" x14ac:dyDescent="0.25">
      <c r="A6506" s="14">
        <f>DATE(2012,12,31)-723</f>
        <v>40551</v>
      </c>
      <c r="B6506" s="15" t="s">
        <v>768</v>
      </c>
      <c r="C6506" s="15" t="s">
        <v>85</v>
      </c>
      <c r="D6506" s="16">
        <v>12</v>
      </c>
      <c r="E6506" s="17">
        <v>1219.1464999999998</v>
      </c>
      <c r="F6506" s="16">
        <v>0.01</v>
      </c>
      <c r="G6506" s="15" t="s">
        <v>101</v>
      </c>
      <c r="H6506" s="18">
        <v>52.929000000000002</v>
      </c>
      <c r="I6506" s="19">
        <v>115.99</v>
      </c>
      <c r="J6506" s="19">
        <v>2.5</v>
      </c>
      <c r="K6506" s="19" t="s">
        <v>44</v>
      </c>
      <c r="L6506" s="19" t="s">
        <v>52</v>
      </c>
      <c r="M6506" s="15" t="s">
        <v>2295</v>
      </c>
      <c r="N6506" s="15" t="s">
        <v>64</v>
      </c>
      <c r="O6506" s="15" t="s">
        <v>65</v>
      </c>
      <c r="P6506" s="20" t="s">
        <v>709</v>
      </c>
      <c r="Q6506" s="15" t="s">
        <v>83</v>
      </c>
      <c r="R6506" s="4"/>
      <c r="S6506" s="4"/>
    </row>
    <row r="6507" spans="1:19" ht="21" customHeight="1" x14ac:dyDescent="0.25">
      <c r="A6507" s="14">
        <f>DATE(2012,12,31)-302</f>
        <v>40972</v>
      </c>
      <c r="B6507" s="15" t="s">
        <v>768</v>
      </c>
      <c r="C6507" s="15" t="s">
        <v>85</v>
      </c>
      <c r="D6507" s="16">
        <v>50</v>
      </c>
      <c r="E6507" s="17">
        <v>1875.4144999999999</v>
      </c>
      <c r="F6507" s="16">
        <v>0.05</v>
      </c>
      <c r="G6507" s="15" t="s">
        <v>32</v>
      </c>
      <c r="H6507" s="18">
        <v>507.33</v>
      </c>
      <c r="I6507" s="19">
        <v>45.99</v>
      </c>
      <c r="J6507" s="19">
        <v>2.5</v>
      </c>
      <c r="K6507" s="19" t="s">
        <v>44</v>
      </c>
      <c r="L6507" s="19" t="s">
        <v>52</v>
      </c>
      <c r="M6507" s="15" t="s">
        <v>2295</v>
      </c>
      <c r="N6507" s="15" t="s">
        <v>64</v>
      </c>
      <c r="O6507" s="15" t="s">
        <v>65</v>
      </c>
      <c r="P6507" s="20" t="s">
        <v>626</v>
      </c>
      <c r="Q6507" s="15" t="s">
        <v>83</v>
      </c>
      <c r="R6507" s="4"/>
      <c r="S6507" s="4"/>
    </row>
    <row r="6508" spans="1:19" ht="21" customHeight="1" x14ac:dyDescent="0.25">
      <c r="A6508" s="14">
        <f>DATE(2012,12,31)-1376</f>
        <v>39898</v>
      </c>
      <c r="B6508" s="15" t="s">
        <v>163</v>
      </c>
      <c r="C6508" s="15" t="s">
        <v>43</v>
      </c>
      <c r="D6508" s="16">
        <v>7</v>
      </c>
      <c r="E6508" s="17">
        <v>38.369999999999997</v>
      </c>
      <c r="F6508" s="16">
        <v>0.1</v>
      </c>
      <c r="G6508" s="15" t="s">
        <v>32</v>
      </c>
      <c r="H6508" s="18">
        <v>-29.003</v>
      </c>
      <c r="I6508" s="19">
        <v>5.18</v>
      </c>
      <c r="J6508" s="19">
        <v>5.74</v>
      </c>
      <c r="K6508" s="19" t="s">
        <v>44</v>
      </c>
      <c r="L6508" s="19" t="s">
        <v>52</v>
      </c>
      <c r="M6508" s="15" t="s">
        <v>2295</v>
      </c>
      <c r="N6508" s="15" t="s">
        <v>36</v>
      </c>
      <c r="O6508" s="15" t="s">
        <v>170</v>
      </c>
      <c r="P6508" s="20" t="s">
        <v>382</v>
      </c>
      <c r="Q6508" s="15" t="s">
        <v>83</v>
      </c>
      <c r="R6508" s="4"/>
      <c r="S6508" s="4"/>
    </row>
    <row r="6509" spans="1:19" ht="21" customHeight="1" x14ac:dyDescent="0.25">
      <c r="A6509" s="14">
        <f>DATE(2012,12,31)-1005</f>
        <v>40269</v>
      </c>
      <c r="B6509" s="15" t="s">
        <v>163</v>
      </c>
      <c r="C6509" s="15" t="s">
        <v>85</v>
      </c>
      <c r="D6509" s="16">
        <v>34</v>
      </c>
      <c r="E6509" s="17">
        <v>800.39</v>
      </c>
      <c r="F6509" s="16">
        <v>0.06</v>
      </c>
      <c r="G6509" s="15" t="s">
        <v>32</v>
      </c>
      <c r="H6509" s="18">
        <v>270.29149999999998</v>
      </c>
      <c r="I6509" s="19">
        <v>24.95</v>
      </c>
      <c r="J6509" s="19">
        <v>2.99</v>
      </c>
      <c r="K6509" s="19" t="s">
        <v>69</v>
      </c>
      <c r="L6509" s="19" t="s">
        <v>70</v>
      </c>
      <c r="M6509" s="15" t="s">
        <v>2230</v>
      </c>
      <c r="N6509" s="15" t="s">
        <v>36</v>
      </c>
      <c r="O6509" s="15" t="s">
        <v>170</v>
      </c>
      <c r="P6509" s="20" t="s">
        <v>1739</v>
      </c>
      <c r="Q6509" s="15" t="s">
        <v>83</v>
      </c>
      <c r="R6509" s="4"/>
      <c r="S6509" s="4"/>
    </row>
    <row r="6510" spans="1:19" ht="21" customHeight="1" x14ac:dyDescent="0.25">
      <c r="A6510" s="14">
        <f>DATE(2012,12,31)-1367</f>
        <v>39907</v>
      </c>
      <c r="B6510" s="15" t="s">
        <v>163</v>
      </c>
      <c r="C6510" s="15" t="s">
        <v>31</v>
      </c>
      <c r="D6510" s="16">
        <v>46</v>
      </c>
      <c r="E6510" s="17">
        <v>1477.5719999999999</v>
      </c>
      <c r="F6510" s="16">
        <v>0</v>
      </c>
      <c r="G6510" s="15" t="s">
        <v>32</v>
      </c>
      <c r="H6510" s="18">
        <v>840.05099999999993</v>
      </c>
      <c r="I6510" s="19">
        <v>35.99</v>
      </c>
      <c r="J6510" s="19">
        <v>0.99</v>
      </c>
      <c r="K6510" s="19" t="s">
        <v>124</v>
      </c>
      <c r="L6510" s="19" t="s">
        <v>160</v>
      </c>
      <c r="M6510" s="15" t="s">
        <v>2281</v>
      </c>
      <c r="N6510" s="15" t="s">
        <v>64</v>
      </c>
      <c r="O6510" s="15" t="s">
        <v>65</v>
      </c>
      <c r="P6510" s="20" t="s">
        <v>729</v>
      </c>
      <c r="Q6510" s="15" t="s">
        <v>49</v>
      </c>
      <c r="R6510" s="4"/>
      <c r="S6510" s="4"/>
    </row>
    <row r="6511" spans="1:19" ht="21" customHeight="1" x14ac:dyDescent="0.25">
      <c r="A6511" s="14">
        <f>DATE(2012,12,31)-1203</f>
        <v>40071</v>
      </c>
      <c r="B6511" s="15" t="s">
        <v>1041</v>
      </c>
      <c r="C6511" s="15" t="s">
        <v>85</v>
      </c>
      <c r="D6511" s="16">
        <v>49</v>
      </c>
      <c r="E6511" s="17">
        <v>1488.66</v>
      </c>
      <c r="F6511" s="16">
        <v>0</v>
      </c>
      <c r="G6511" s="15" t="s">
        <v>32</v>
      </c>
      <c r="H6511" s="18">
        <v>385.37</v>
      </c>
      <c r="I6511" s="19">
        <v>29.34</v>
      </c>
      <c r="J6511" s="19">
        <v>7.87</v>
      </c>
      <c r="K6511" s="19" t="s">
        <v>69</v>
      </c>
      <c r="L6511" s="19" t="s">
        <v>70</v>
      </c>
      <c r="M6511" s="15" t="s">
        <v>2230</v>
      </c>
      <c r="N6511" s="15" t="s">
        <v>54</v>
      </c>
      <c r="O6511" s="15" t="s">
        <v>55</v>
      </c>
      <c r="P6511" s="20" t="s">
        <v>901</v>
      </c>
      <c r="Q6511" s="15" t="s">
        <v>83</v>
      </c>
      <c r="R6511" s="4"/>
      <c r="S6511" s="4"/>
    </row>
    <row r="6512" spans="1:19" ht="21" customHeight="1" x14ac:dyDescent="0.25">
      <c r="A6512" s="14">
        <f>DATE(2012,12,31)-314</f>
        <v>40960</v>
      </c>
      <c r="B6512" s="15" t="s">
        <v>178</v>
      </c>
      <c r="C6512" s="15" t="s">
        <v>85</v>
      </c>
      <c r="D6512" s="16">
        <v>7</v>
      </c>
      <c r="E6512" s="17">
        <v>271.27</v>
      </c>
      <c r="F6512" s="16">
        <v>0.05</v>
      </c>
      <c r="G6512" s="15" t="s">
        <v>32</v>
      </c>
      <c r="H6512" s="18">
        <v>71.31</v>
      </c>
      <c r="I6512" s="19">
        <v>37.93</v>
      </c>
      <c r="J6512" s="19">
        <v>13.99</v>
      </c>
      <c r="K6512" s="19" t="s">
        <v>69</v>
      </c>
      <c r="L6512" s="19" t="s">
        <v>75</v>
      </c>
      <c r="M6512" s="15" t="s">
        <v>2284</v>
      </c>
      <c r="N6512" s="15" t="s">
        <v>54</v>
      </c>
      <c r="O6512" s="15" t="s">
        <v>55</v>
      </c>
      <c r="P6512" s="20" t="s">
        <v>295</v>
      </c>
      <c r="Q6512" s="15" t="s">
        <v>79</v>
      </c>
      <c r="R6512" s="4"/>
      <c r="S6512" s="4"/>
    </row>
    <row r="6513" spans="1:19" ht="21" customHeight="1" x14ac:dyDescent="0.25">
      <c r="A6513" s="14">
        <f>DATE(2012,12,31)-720</f>
        <v>40554</v>
      </c>
      <c r="B6513" s="15" t="s">
        <v>1188</v>
      </c>
      <c r="C6513" s="15" t="s">
        <v>85</v>
      </c>
      <c r="D6513" s="16">
        <v>46</v>
      </c>
      <c r="E6513" s="17">
        <v>7535.96</v>
      </c>
      <c r="F6513" s="16">
        <v>0.08</v>
      </c>
      <c r="G6513" s="15" t="s">
        <v>32</v>
      </c>
      <c r="H6513" s="18">
        <v>2745.8654999999999</v>
      </c>
      <c r="I6513" s="19">
        <v>165.98</v>
      </c>
      <c r="J6513" s="19">
        <v>19.989999999999998</v>
      </c>
      <c r="K6513" s="19" t="s">
        <v>44</v>
      </c>
      <c r="L6513" s="19" t="s">
        <v>89</v>
      </c>
      <c r="M6513" s="15" t="s">
        <v>2305</v>
      </c>
      <c r="N6513" s="15" t="s">
        <v>36</v>
      </c>
      <c r="O6513" s="15" t="s">
        <v>170</v>
      </c>
      <c r="P6513" s="20" t="s">
        <v>838</v>
      </c>
      <c r="Q6513" s="15" t="s">
        <v>83</v>
      </c>
      <c r="R6513" s="4"/>
      <c r="S6513" s="4"/>
    </row>
    <row r="6514" spans="1:19" ht="21" customHeight="1" x14ac:dyDescent="0.25">
      <c r="A6514" s="14">
        <f>DATE(2012,12,31)-720</f>
        <v>40554</v>
      </c>
      <c r="B6514" s="15" t="s">
        <v>1362</v>
      </c>
      <c r="C6514" s="15" t="s">
        <v>85</v>
      </c>
      <c r="D6514" s="16">
        <v>41</v>
      </c>
      <c r="E6514" s="17">
        <v>1618.31</v>
      </c>
      <c r="F6514" s="16">
        <v>0.08</v>
      </c>
      <c r="G6514" s="15" t="s">
        <v>101</v>
      </c>
      <c r="H6514" s="18">
        <v>504.71</v>
      </c>
      <c r="I6514" s="19">
        <v>39.479999999999997</v>
      </c>
      <c r="J6514" s="19">
        <v>1.99</v>
      </c>
      <c r="K6514" s="19" t="s">
        <v>124</v>
      </c>
      <c r="L6514" s="19" t="s">
        <v>160</v>
      </c>
      <c r="M6514" s="15" t="s">
        <v>2281</v>
      </c>
      <c r="N6514" s="15" t="s">
        <v>64</v>
      </c>
      <c r="O6514" s="15" t="s">
        <v>72</v>
      </c>
      <c r="P6514" s="20" t="s">
        <v>1326</v>
      </c>
      <c r="Q6514" s="15" t="s">
        <v>49</v>
      </c>
      <c r="R6514" s="4"/>
      <c r="S6514" s="4"/>
    </row>
    <row r="6515" spans="1:19" ht="21" customHeight="1" x14ac:dyDescent="0.25">
      <c r="A6515" s="14">
        <f>DATE(2012,12,31)-720</f>
        <v>40554</v>
      </c>
      <c r="B6515" s="15" t="s">
        <v>418</v>
      </c>
      <c r="C6515" s="15" t="s">
        <v>85</v>
      </c>
      <c r="D6515" s="16">
        <v>1</v>
      </c>
      <c r="E6515" s="17">
        <v>11.87</v>
      </c>
      <c r="F6515" s="16">
        <v>0.04</v>
      </c>
      <c r="G6515" s="15" t="s">
        <v>32</v>
      </c>
      <c r="H6515" s="18">
        <v>-8.89</v>
      </c>
      <c r="I6515" s="19">
        <v>6.48</v>
      </c>
      <c r="J6515" s="19">
        <v>5.4</v>
      </c>
      <c r="K6515" s="19" t="s">
        <v>44</v>
      </c>
      <c r="L6515" s="19" t="s">
        <v>52</v>
      </c>
      <c r="M6515" s="15" t="s">
        <v>2295</v>
      </c>
      <c r="N6515" s="15" t="s">
        <v>36</v>
      </c>
      <c r="O6515" s="15" t="s">
        <v>117</v>
      </c>
      <c r="P6515" s="20" t="s">
        <v>1797</v>
      </c>
      <c r="Q6515" s="15" t="s">
        <v>83</v>
      </c>
      <c r="R6515" s="4"/>
      <c r="S6515" s="4"/>
    </row>
    <row r="6516" spans="1:19" ht="21" customHeight="1" x14ac:dyDescent="0.25">
      <c r="A6516" s="14">
        <f>DATE(2012,12,31)-1233</f>
        <v>40041</v>
      </c>
      <c r="B6516" s="15" t="s">
        <v>418</v>
      </c>
      <c r="C6516" s="15" t="s">
        <v>85</v>
      </c>
      <c r="D6516" s="16">
        <v>17</v>
      </c>
      <c r="E6516" s="17">
        <v>1210.72</v>
      </c>
      <c r="F6516" s="16">
        <v>0.05</v>
      </c>
      <c r="G6516" s="15" t="s">
        <v>58</v>
      </c>
      <c r="H6516" s="18">
        <v>-382.43</v>
      </c>
      <c r="I6516" s="19">
        <v>70.98</v>
      </c>
      <c r="J6516" s="19">
        <v>30</v>
      </c>
      <c r="K6516" s="19" t="s">
        <v>44</v>
      </c>
      <c r="L6516" s="19" t="s">
        <v>52</v>
      </c>
      <c r="M6516" s="15" t="s">
        <v>2295</v>
      </c>
      <c r="N6516" s="15" t="s">
        <v>54</v>
      </c>
      <c r="O6516" s="15" t="s">
        <v>252</v>
      </c>
      <c r="P6516" s="20" t="s">
        <v>293</v>
      </c>
      <c r="Q6516" s="15" t="s">
        <v>181</v>
      </c>
      <c r="R6516" s="4"/>
      <c r="S6516" s="4"/>
    </row>
    <row r="6517" spans="1:19" ht="21" customHeight="1" x14ac:dyDescent="0.25">
      <c r="A6517" s="14">
        <f>DATE(2012,12,31)-1233</f>
        <v>40041</v>
      </c>
      <c r="B6517" s="15" t="s">
        <v>846</v>
      </c>
      <c r="C6517" s="15" t="s">
        <v>85</v>
      </c>
      <c r="D6517" s="16">
        <v>18</v>
      </c>
      <c r="E6517" s="17">
        <v>93.26</v>
      </c>
      <c r="F6517" s="16">
        <v>0.05</v>
      </c>
      <c r="G6517" s="15" t="s">
        <v>32</v>
      </c>
      <c r="H6517" s="18">
        <v>-35.36</v>
      </c>
      <c r="I6517" s="19">
        <v>4.9800000000000004</v>
      </c>
      <c r="J6517" s="19">
        <v>4.7</v>
      </c>
      <c r="K6517" s="19" t="s">
        <v>33</v>
      </c>
      <c r="L6517" s="19" t="s">
        <v>128</v>
      </c>
      <c r="M6517" s="15" t="s">
        <v>129</v>
      </c>
      <c r="N6517" s="15" t="s">
        <v>36</v>
      </c>
      <c r="O6517" s="15" t="s">
        <v>117</v>
      </c>
      <c r="P6517" s="20" t="s">
        <v>1293</v>
      </c>
      <c r="Q6517" s="15" t="s">
        <v>83</v>
      </c>
      <c r="R6517" s="4"/>
      <c r="S6517" s="4"/>
    </row>
    <row r="6518" spans="1:19" ht="21" customHeight="1" x14ac:dyDescent="0.25">
      <c r="A6518" s="14">
        <f>DATE(2012,12,31)-195</f>
        <v>41079</v>
      </c>
      <c r="B6518" s="15" t="s">
        <v>2167</v>
      </c>
      <c r="C6518" s="15" t="s">
        <v>51</v>
      </c>
      <c r="D6518" s="16">
        <v>30</v>
      </c>
      <c r="E6518" s="17">
        <v>630.54</v>
      </c>
      <c r="F6518" s="16">
        <v>0.03</v>
      </c>
      <c r="G6518" s="15" t="s">
        <v>32</v>
      </c>
      <c r="H6518" s="18">
        <v>-30.07</v>
      </c>
      <c r="I6518" s="19">
        <v>20.149999999999999</v>
      </c>
      <c r="J6518" s="19">
        <v>8.99</v>
      </c>
      <c r="K6518" s="19" t="s">
        <v>33</v>
      </c>
      <c r="L6518" s="19" t="s">
        <v>59</v>
      </c>
      <c r="M6518" s="15" t="s">
        <v>2269</v>
      </c>
      <c r="N6518" s="15" t="s">
        <v>36</v>
      </c>
      <c r="O6518" s="15" t="s">
        <v>77</v>
      </c>
      <c r="P6518" s="20" t="s">
        <v>1298</v>
      </c>
      <c r="Q6518" s="15" t="s">
        <v>49</v>
      </c>
      <c r="R6518" s="4"/>
      <c r="S6518" s="4"/>
    </row>
    <row r="6519" spans="1:19" ht="21" customHeight="1" x14ac:dyDescent="0.25">
      <c r="A6519" s="14">
        <f>DATE(2012,12,31)-1303</f>
        <v>39971</v>
      </c>
      <c r="B6519" s="15" t="s">
        <v>2167</v>
      </c>
      <c r="C6519" s="15" t="s">
        <v>85</v>
      </c>
      <c r="D6519" s="16">
        <v>1</v>
      </c>
      <c r="E6519" s="17">
        <v>46.94</v>
      </c>
      <c r="F6519" s="16">
        <v>0.06</v>
      </c>
      <c r="G6519" s="15" t="s">
        <v>32</v>
      </c>
      <c r="H6519" s="18">
        <v>-26.54</v>
      </c>
      <c r="I6519" s="19">
        <v>44.01</v>
      </c>
      <c r="J6519" s="19">
        <v>3.5</v>
      </c>
      <c r="K6519" s="19" t="s">
        <v>69</v>
      </c>
      <c r="L6519" s="19" t="s">
        <v>70</v>
      </c>
      <c r="M6519" s="15" t="s">
        <v>2230</v>
      </c>
      <c r="N6519" s="15" t="s">
        <v>36</v>
      </c>
      <c r="O6519" s="15" t="s">
        <v>176</v>
      </c>
      <c r="P6519" s="20" t="s">
        <v>1661</v>
      </c>
      <c r="Q6519" s="15" t="s">
        <v>83</v>
      </c>
      <c r="R6519" s="4"/>
      <c r="S6519" s="4"/>
    </row>
    <row r="6520" spans="1:19" ht="21" customHeight="1" x14ac:dyDescent="0.25">
      <c r="A6520" s="14">
        <f>DATE(2012,12,31)-1303</f>
        <v>39971</v>
      </c>
      <c r="B6520" s="15" t="s">
        <v>2187</v>
      </c>
      <c r="C6520" s="15" t="s">
        <v>85</v>
      </c>
      <c r="D6520" s="16">
        <v>22</v>
      </c>
      <c r="E6520" s="17">
        <v>89.96</v>
      </c>
      <c r="F6520" s="16">
        <v>7.0000000000000007E-2</v>
      </c>
      <c r="G6520" s="15" t="s">
        <v>32</v>
      </c>
      <c r="H6520" s="18">
        <v>-115.21</v>
      </c>
      <c r="I6520" s="19">
        <v>4.0599999999999996</v>
      </c>
      <c r="J6520" s="19">
        <v>6.89</v>
      </c>
      <c r="K6520" s="19" t="s">
        <v>33</v>
      </c>
      <c r="L6520" s="19" t="s">
        <v>93</v>
      </c>
      <c r="M6520" s="15" t="s">
        <v>94</v>
      </c>
      <c r="N6520" s="15" t="s">
        <v>36</v>
      </c>
      <c r="O6520" s="15" t="s">
        <v>176</v>
      </c>
      <c r="P6520" s="20" t="s">
        <v>868</v>
      </c>
      <c r="Q6520" s="15" t="s">
        <v>83</v>
      </c>
      <c r="R6520" s="4"/>
      <c r="S6520" s="4"/>
    </row>
    <row r="6521" spans="1:19" ht="21" customHeight="1" x14ac:dyDescent="0.25">
      <c r="A6521" s="14">
        <f>DATE(2012,12,31)-1303</f>
        <v>39971</v>
      </c>
      <c r="B6521" s="15" t="s">
        <v>2187</v>
      </c>
      <c r="C6521" s="15" t="s">
        <v>85</v>
      </c>
      <c r="D6521" s="16">
        <v>10</v>
      </c>
      <c r="E6521" s="17">
        <v>12.95</v>
      </c>
      <c r="F6521" s="16">
        <v>0.1</v>
      </c>
      <c r="G6521" s="15" t="s">
        <v>32</v>
      </c>
      <c r="H6521" s="18">
        <v>-6.78</v>
      </c>
      <c r="I6521" s="19">
        <v>1.26</v>
      </c>
      <c r="J6521" s="19">
        <v>0.7</v>
      </c>
      <c r="K6521" s="19" t="s">
        <v>124</v>
      </c>
      <c r="L6521" s="19" t="s">
        <v>164</v>
      </c>
      <c r="M6521" s="15" t="s">
        <v>2307</v>
      </c>
      <c r="N6521" s="15" t="s">
        <v>36</v>
      </c>
      <c r="O6521" s="15" t="s">
        <v>105</v>
      </c>
      <c r="P6521" s="20" t="s">
        <v>1608</v>
      </c>
      <c r="Q6521" s="15" t="s">
        <v>79</v>
      </c>
      <c r="R6521" s="4"/>
      <c r="S6521" s="4"/>
    </row>
    <row r="6522" spans="1:19" ht="21" customHeight="1" x14ac:dyDescent="0.25">
      <c r="A6522" s="14">
        <f>DATE(2012,12,31)-421</f>
        <v>40853</v>
      </c>
      <c r="B6522" s="15" t="s">
        <v>2187</v>
      </c>
      <c r="C6522" s="15" t="s">
        <v>43</v>
      </c>
      <c r="D6522" s="16">
        <v>26</v>
      </c>
      <c r="E6522" s="17">
        <v>1196.7915</v>
      </c>
      <c r="F6522" s="16">
        <v>7.0000000000000007E-2</v>
      </c>
      <c r="G6522" s="15" t="s">
        <v>32</v>
      </c>
      <c r="H6522" s="18">
        <v>265.392</v>
      </c>
      <c r="I6522" s="19">
        <v>55.99</v>
      </c>
      <c r="J6522" s="19">
        <v>1.25</v>
      </c>
      <c r="K6522" s="19" t="s">
        <v>124</v>
      </c>
      <c r="L6522" s="19" t="s">
        <v>164</v>
      </c>
      <c r="M6522" s="15" t="s">
        <v>2307</v>
      </c>
      <c r="N6522" s="15" t="s">
        <v>64</v>
      </c>
      <c r="O6522" s="15" t="s">
        <v>65</v>
      </c>
      <c r="P6522" s="20" t="s">
        <v>816</v>
      </c>
      <c r="Q6522" s="15" t="s">
        <v>49</v>
      </c>
      <c r="R6522" s="4"/>
      <c r="S6522" s="4"/>
    </row>
    <row r="6523" spans="1:19" ht="21" customHeight="1" x14ac:dyDescent="0.25">
      <c r="A6523" s="14">
        <f>DATE(2012,12,31)-1121</f>
        <v>40153</v>
      </c>
      <c r="B6523" s="15" t="s">
        <v>500</v>
      </c>
      <c r="C6523" s="15" t="s">
        <v>85</v>
      </c>
      <c r="D6523" s="16">
        <v>43</v>
      </c>
      <c r="E6523" s="17">
        <v>2980.15</v>
      </c>
      <c r="F6523" s="16">
        <v>0.05</v>
      </c>
      <c r="G6523" s="15" t="s">
        <v>101</v>
      </c>
      <c r="H6523" s="18">
        <v>-865.98</v>
      </c>
      <c r="I6523" s="19">
        <v>70.709999999999994</v>
      </c>
      <c r="J6523" s="19">
        <v>37.58</v>
      </c>
      <c r="K6523" s="19" t="s">
        <v>69</v>
      </c>
      <c r="L6523" s="19" t="s">
        <v>75</v>
      </c>
      <c r="M6523" s="15" t="s">
        <v>2284</v>
      </c>
      <c r="N6523" s="15" t="s">
        <v>54</v>
      </c>
      <c r="O6523" s="15" t="s">
        <v>55</v>
      </c>
      <c r="P6523" s="20" t="s">
        <v>1936</v>
      </c>
      <c r="Q6523" s="15" t="s">
        <v>79</v>
      </c>
      <c r="R6523" s="4"/>
      <c r="S6523" s="4"/>
    </row>
    <row r="6524" spans="1:19" ht="21" customHeight="1" x14ac:dyDescent="0.25">
      <c r="A6524" s="14">
        <f>DATE(2012,12,31)-1121</f>
        <v>40153</v>
      </c>
      <c r="B6524" s="15" t="s">
        <v>2309</v>
      </c>
      <c r="C6524" s="15" t="s">
        <v>85</v>
      </c>
      <c r="D6524" s="16">
        <v>23</v>
      </c>
      <c r="E6524" s="17">
        <v>476.04</v>
      </c>
      <c r="F6524" s="16">
        <v>0.01</v>
      </c>
      <c r="G6524" s="15" t="s">
        <v>32</v>
      </c>
      <c r="H6524" s="18">
        <v>57.25</v>
      </c>
      <c r="I6524" s="19">
        <v>18.97</v>
      </c>
      <c r="J6524" s="19">
        <v>9.5399999999999991</v>
      </c>
      <c r="K6524" s="19" t="s">
        <v>44</v>
      </c>
      <c r="L6524" s="19" t="s">
        <v>120</v>
      </c>
      <c r="M6524" s="15" t="s">
        <v>2262</v>
      </c>
      <c r="N6524" s="15" t="s">
        <v>36</v>
      </c>
      <c r="O6524" s="15" t="s">
        <v>117</v>
      </c>
      <c r="P6524" s="20" t="s">
        <v>427</v>
      </c>
      <c r="Q6524" s="15" t="s">
        <v>83</v>
      </c>
      <c r="R6524" s="4"/>
      <c r="S6524" s="4"/>
    </row>
    <row r="6525" spans="1:19" ht="21" customHeight="1" x14ac:dyDescent="0.25">
      <c r="A6525" s="14">
        <f>DATE(2012,12,31)-498</f>
        <v>40776</v>
      </c>
      <c r="B6525" s="15" t="s">
        <v>1100</v>
      </c>
      <c r="C6525" s="15" t="s">
        <v>31</v>
      </c>
      <c r="D6525" s="16">
        <v>2</v>
      </c>
      <c r="E6525" s="17">
        <v>19.34</v>
      </c>
      <c r="F6525" s="16">
        <v>0.1</v>
      </c>
      <c r="G6525" s="15" t="s">
        <v>32</v>
      </c>
      <c r="H6525" s="18">
        <v>-14.375</v>
      </c>
      <c r="I6525" s="19">
        <v>7.1</v>
      </c>
      <c r="J6525" s="19">
        <v>6.05</v>
      </c>
      <c r="K6525" s="19" t="s">
        <v>44</v>
      </c>
      <c r="L6525" s="19" t="s">
        <v>89</v>
      </c>
      <c r="M6525" s="15" t="s">
        <v>2305</v>
      </c>
      <c r="N6525" s="15" t="s">
        <v>36</v>
      </c>
      <c r="O6525" s="15" t="s">
        <v>170</v>
      </c>
      <c r="P6525" s="20" t="s">
        <v>609</v>
      </c>
      <c r="Q6525" s="15" t="s">
        <v>83</v>
      </c>
      <c r="R6525" s="4"/>
      <c r="S6525" s="4"/>
    </row>
    <row r="6526" spans="1:19" ht="21" customHeight="1" x14ac:dyDescent="0.25">
      <c r="A6526" s="14">
        <f>DATE(2012,12,31)-498</f>
        <v>40776</v>
      </c>
      <c r="B6526" s="15" t="s">
        <v>965</v>
      </c>
      <c r="C6526" s="15" t="s">
        <v>31</v>
      </c>
      <c r="D6526" s="16">
        <v>17</v>
      </c>
      <c r="E6526" s="17">
        <v>3064.6579999999999</v>
      </c>
      <c r="F6526" s="16">
        <v>0.01</v>
      </c>
      <c r="G6526" s="15" t="s">
        <v>32</v>
      </c>
      <c r="H6526" s="18">
        <v>447.33600000000001</v>
      </c>
      <c r="I6526" s="19">
        <v>205.99</v>
      </c>
      <c r="J6526" s="19">
        <v>2.79</v>
      </c>
      <c r="K6526" s="19" t="s">
        <v>124</v>
      </c>
      <c r="L6526" s="19" t="s">
        <v>125</v>
      </c>
      <c r="M6526" s="15" t="s">
        <v>2265</v>
      </c>
      <c r="N6526" s="15" t="s">
        <v>64</v>
      </c>
      <c r="O6526" s="15" t="s">
        <v>65</v>
      </c>
      <c r="P6526" s="20" t="s">
        <v>647</v>
      </c>
      <c r="Q6526" s="15" t="s">
        <v>83</v>
      </c>
      <c r="R6526" s="4"/>
      <c r="S6526" s="4"/>
    </row>
    <row r="6527" spans="1:19" ht="21" customHeight="1" x14ac:dyDescent="0.25">
      <c r="A6527" s="14">
        <f>DATE(2012,12,31)-498</f>
        <v>40776</v>
      </c>
      <c r="B6527" s="15" t="s">
        <v>2061</v>
      </c>
      <c r="C6527" s="15" t="s">
        <v>31</v>
      </c>
      <c r="D6527" s="16">
        <v>23</v>
      </c>
      <c r="E6527" s="17">
        <v>84.47</v>
      </c>
      <c r="F6527" s="16">
        <v>0.06</v>
      </c>
      <c r="G6527" s="15" t="s">
        <v>32</v>
      </c>
      <c r="H6527" s="18">
        <v>7.9815000000000005</v>
      </c>
      <c r="I6527" s="19">
        <v>3.8</v>
      </c>
      <c r="J6527" s="19">
        <v>1.49</v>
      </c>
      <c r="K6527" s="19" t="s">
        <v>97</v>
      </c>
      <c r="L6527" s="19" t="s">
        <v>132</v>
      </c>
      <c r="M6527" s="15" t="s">
        <v>2294</v>
      </c>
      <c r="N6527" s="15" t="s">
        <v>36</v>
      </c>
      <c r="O6527" s="15" t="s">
        <v>170</v>
      </c>
      <c r="P6527" s="20" t="s">
        <v>1638</v>
      </c>
      <c r="Q6527" s="15" t="s">
        <v>83</v>
      </c>
      <c r="R6527" s="4"/>
      <c r="S6527" s="4"/>
    </row>
    <row r="6528" spans="1:19" ht="21" customHeight="1" x14ac:dyDescent="0.25">
      <c r="A6528" s="14">
        <f>DATE(2012,12,31)-498</f>
        <v>40776</v>
      </c>
      <c r="B6528" s="15" t="s">
        <v>1971</v>
      </c>
      <c r="C6528" s="15" t="s">
        <v>31</v>
      </c>
      <c r="D6528" s="16">
        <v>39</v>
      </c>
      <c r="E6528" s="17">
        <v>4211</v>
      </c>
      <c r="F6528" s="16">
        <v>7.0000000000000007E-2</v>
      </c>
      <c r="G6528" s="15" t="s">
        <v>32</v>
      </c>
      <c r="H6528" s="18">
        <v>-270.57373200000001</v>
      </c>
      <c r="I6528" s="19">
        <v>111.96</v>
      </c>
      <c r="J6528" s="19">
        <v>69</v>
      </c>
      <c r="K6528" s="19" t="s">
        <v>97</v>
      </c>
      <c r="L6528" s="19" t="s">
        <v>195</v>
      </c>
      <c r="M6528" s="15" t="s">
        <v>2138</v>
      </c>
      <c r="N6528" s="15" t="s">
        <v>54</v>
      </c>
      <c r="O6528" s="15" t="s">
        <v>61</v>
      </c>
      <c r="P6528" s="20" t="s">
        <v>1240</v>
      </c>
      <c r="Q6528" s="15" t="s">
        <v>39</v>
      </c>
      <c r="R6528" s="4"/>
      <c r="S6528" s="4"/>
    </row>
    <row r="6529" spans="1:19" ht="21" customHeight="1" x14ac:dyDescent="0.25">
      <c r="A6529" s="14">
        <f>DATE(2012,12,31)-1181</f>
        <v>40093</v>
      </c>
      <c r="B6529" s="15" t="s">
        <v>1658</v>
      </c>
      <c r="C6529" s="15" t="s">
        <v>51</v>
      </c>
      <c r="D6529" s="16">
        <v>3</v>
      </c>
      <c r="E6529" s="17">
        <v>215.24</v>
      </c>
      <c r="F6529" s="16">
        <v>0.04</v>
      </c>
      <c r="G6529" s="15" t="s">
        <v>32</v>
      </c>
      <c r="H6529" s="18">
        <v>49.76</v>
      </c>
      <c r="I6529" s="19">
        <v>55.5</v>
      </c>
      <c r="J6529" s="19">
        <v>52.2</v>
      </c>
      <c r="K6529" s="19" t="s">
        <v>124</v>
      </c>
      <c r="L6529" s="19" t="s">
        <v>160</v>
      </c>
      <c r="M6529" s="15" t="s">
        <v>2281</v>
      </c>
      <c r="N6529" s="15" t="s">
        <v>54</v>
      </c>
      <c r="O6529" s="15" t="s">
        <v>55</v>
      </c>
      <c r="P6529" s="20" t="s">
        <v>945</v>
      </c>
      <c r="Q6529" s="15" t="s">
        <v>57</v>
      </c>
      <c r="R6529" s="4"/>
      <c r="S6529" s="4"/>
    </row>
    <row r="6530" spans="1:19" ht="21" customHeight="1" x14ac:dyDescent="0.25">
      <c r="A6530" s="14">
        <f>DATE(2012,12,31)-1181</f>
        <v>40093</v>
      </c>
      <c r="B6530" s="15" t="s">
        <v>1658</v>
      </c>
      <c r="C6530" s="15" t="s">
        <v>51</v>
      </c>
      <c r="D6530" s="16">
        <v>12</v>
      </c>
      <c r="E6530" s="17">
        <v>654.87400000000002</v>
      </c>
      <c r="F6530" s="16">
        <v>0.1</v>
      </c>
      <c r="G6530" s="15" t="s">
        <v>101</v>
      </c>
      <c r="H6530" s="18">
        <v>-82.06</v>
      </c>
      <c r="I6530" s="19">
        <v>65.989999999999995</v>
      </c>
      <c r="J6530" s="19">
        <v>3.99</v>
      </c>
      <c r="K6530" s="19" t="s">
        <v>44</v>
      </c>
      <c r="L6530" s="19" t="s">
        <v>52</v>
      </c>
      <c r="M6530" s="15" t="s">
        <v>2295</v>
      </c>
      <c r="N6530" s="15" t="s">
        <v>64</v>
      </c>
      <c r="O6530" s="15" t="s">
        <v>65</v>
      </c>
      <c r="P6530" s="20" t="s">
        <v>218</v>
      </c>
      <c r="Q6530" s="15" t="s">
        <v>83</v>
      </c>
      <c r="R6530" s="4"/>
      <c r="S6530" s="4"/>
    </row>
    <row r="6531" spans="1:19" ht="21" customHeight="1" x14ac:dyDescent="0.25">
      <c r="A6531" s="14">
        <f>DATE(2012,12,31)-89</f>
        <v>41185</v>
      </c>
      <c r="B6531" s="15" t="s">
        <v>1658</v>
      </c>
      <c r="C6531" s="15" t="s">
        <v>51</v>
      </c>
      <c r="D6531" s="16">
        <v>13</v>
      </c>
      <c r="E6531" s="17">
        <v>1341.31</v>
      </c>
      <c r="F6531" s="16">
        <v>0.05</v>
      </c>
      <c r="G6531" s="15" t="s">
        <v>32</v>
      </c>
      <c r="H6531" s="18">
        <v>5.5499999999999829</v>
      </c>
      <c r="I6531" s="19">
        <v>99.99</v>
      </c>
      <c r="J6531" s="19">
        <v>19.989999999999998</v>
      </c>
      <c r="K6531" s="19" t="s">
        <v>44</v>
      </c>
      <c r="L6531" s="19" t="s">
        <v>45</v>
      </c>
      <c r="M6531" s="15" t="s">
        <v>2271</v>
      </c>
      <c r="N6531" s="15" t="s">
        <v>64</v>
      </c>
      <c r="O6531" s="15" t="s">
        <v>122</v>
      </c>
      <c r="P6531" s="20" t="s">
        <v>546</v>
      </c>
      <c r="Q6531" s="15" t="s">
        <v>83</v>
      </c>
      <c r="R6531" s="4"/>
      <c r="S6531" s="4"/>
    </row>
    <row r="6532" spans="1:19" ht="21" customHeight="1" x14ac:dyDescent="0.25">
      <c r="A6532" s="14">
        <f>DATE(2012,12,31)-688</f>
        <v>40586</v>
      </c>
      <c r="B6532" s="15" t="s">
        <v>1152</v>
      </c>
      <c r="C6532" s="15" t="s">
        <v>43</v>
      </c>
      <c r="D6532" s="16">
        <v>35</v>
      </c>
      <c r="E6532" s="17">
        <v>5407.9</v>
      </c>
      <c r="F6532" s="16">
        <v>0.01</v>
      </c>
      <c r="G6532" s="15" t="s">
        <v>58</v>
      </c>
      <c r="H6532" s="18">
        <v>-352.78986600000002</v>
      </c>
      <c r="I6532" s="19">
        <v>145.97999999999999</v>
      </c>
      <c r="J6532" s="19">
        <v>46.2</v>
      </c>
      <c r="K6532" s="19" t="s">
        <v>33</v>
      </c>
      <c r="L6532" s="19" t="s">
        <v>128</v>
      </c>
      <c r="M6532" s="15" t="s">
        <v>129</v>
      </c>
      <c r="N6532" s="15" t="s">
        <v>54</v>
      </c>
      <c r="O6532" s="15" t="s">
        <v>61</v>
      </c>
      <c r="P6532" s="20" t="s">
        <v>2310</v>
      </c>
      <c r="Q6532" s="15" t="s">
        <v>63</v>
      </c>
      <c r="R6532" s="4"/>
      <c r="S6532" s="4"/>
    </row>
    <row r="6533" spans="1:19" ht="21" customHeight="1" x14ac:dyDescent="0.25">
      <c r="A6533" s="14">
        <f>DATE(2012,12,31)-558</f>
        <v>40716</v>
      </c>
      <c r="B6533" s="15" t="s">
        <v>1152</v>
      </c>
      <c r="C6533" s="15" t="s">
        <v>43</v>
      </c>
      <c r="D6533" s="16">
        <v>16</v>
      </c>
      <c r="E6533" s="17">
        <v>4691.2700000000004</v>
      </c>
      <c r="F6533" s="16">
        <v>0.05</v>
      </c>
      <c r="G6533" s="15" t="s">
        <v>101</v>
      </c>
      <c r="H6533" s="18">
        <v>1196.72</v>
      </c>
      <c r="I6533" s="19">
        <v>300.64999999999998</v>
      </c>
      <c r="J6533" s="19">
        <v>24.49</v>
      </c>
      <c r="K6533" s="19" t="s">
        <v>69</v>
      </c>
      <c r="L6533" s="19" t="s">
        <v>75</v>
      </c>
      <c r="M6533" s="15" t="s">
        <v>2284</v>
      </c>
      <c r="N6533" s="15" t="s">
        <v>36</v>
      </c>
      <c r="O6533" s="15" t="s">
        <v>176</v>
      </c>
      <c r="P6533" s="20" t="s">
        <v>1563</v>
      </c>
      <c r="Q6533" s="15" t="s">
        <v>39</v>
      </c>
      <c r="R6533" s="4"/>
      <c r="S6533" s="4"/>
    </row>
    <row r="6534" spans="1:19" ht="21" customHeight="1" x14ac:dyDescent="0.25">
      <c r="A6534" s="14">
        <f>DATE(2012,12,31)-558</f>
        <v>40716</v>
      </c>
      <c r="B6534" s="15" t="s">
        <v>699</v>
      </c>
      <c r="C6534" s="15" t="s">
        <v>43</v>
      </c>
      <c r="D6534" s="16">
        <v>50</v>
      </c>
      <c r="E6534" s="17">
        <v>804.14</v>
      </c>
      <c r="F6534" s="16">
        <v>0.1</v>
      </c>
      <c r="G6534" s="15" t="s">
        <v>32</v>
      </c>
      <c r="H6534" s="18">
        <v>-25.27</v>
      </c>
      <c r="I6534" s="19">
        <v>17.670000000000002</v>
      </c>
      <c r="J6534" s="19">
        <v>8.99</v>
      </c>
      <c r="K6534" s="19" t="s">
        <v>69</v>
      </c>
      <c r="L6534" s="19" t="s">
        <v>75</v>
      </c>
      <c r="M6534" s="15" t="s">
        <v>2284</v>
      </c>
      <c r="N6534" s="15" t="s">
        <v>54</v>
      </c>
      <c r="O6534" s="15" t="s">
        <v>55</v>
      </c>
      <c r="P6534" s="20" t="s">
        <v>897</v>
      </c>
      <c r="Q6534" s="15" t="s">
        <v>49</v>
      </c>
      <c r="R6534" s="4"/>
      <c r="S6534" s="4"/>
    </row>
    <row r="6535" spans="1:19" ht="21" customHeight="1" x14ac:dyDescent="0.25">
      <c r="A6535" s="14">
        <f>DATE(2012,12,31)-558</f>
        <v>40716</v>
      </c>
      <c r="B6535" s="15" t="s">
        <v>833</v>
      </c>
      <c r="C6535" s="15" t="s">
        <v>43</v>
      </c>
      <c r="D6535" s="16">
        <v>8</v>
      </c>
      <c r="E6535" s="17">
        <v>567.51</v>
      </c>
      <c r="F6535" s="16">
        <v>0.01</v>
      </c>
      <c r="G6535" s="15" t="s">
        <v>32</v>
      </c>
      <c r="H6535" s="18">
        <v>-255.55</v>
      </c>
      <c r="I6535" s="19">
        <v>64.650000000000006</v>
      </c>
      <c r="J6535" s="19">
        <v>35</v>
      </c>
      <c r="K6535" s="19" t="s">
        <v>124</v>
      </c>
      <c r="L6535" s="19" t="s">
        <v>164</v>
      </c>
      <c r="M6535" s="15" t="s">
        <v>2307</v>
      </c>
      <c r="N6535" s="15" t="s">
        <v>36</v>
      </c>
      <c r="O6535" s="15" t="s">
        <v>37</v>
      </c>
      <c r="P6535" s="20" t="s">
        <v>1507</v>
      </c>
      <c r="Q6535" s="15" t="s">
        <v>39</v>
      </c>
      <c r="R6535" s="4"/>
      <c r="S6535" s="4"/>
    </row>
    <row r="6536" spans="1:19" ht="21" customHeight="1" x14ac:dyDescent="0.25">
      <c r="A6536" s="14">
        <f>DATE(2012,12,31)-266</f>
        <v>41008</v>
      </c>
      <c r="B6536" s="15" t="s">
        <v>833</v>
      </c>
      <c r="C6536" s="15" t="s">
        <v>85</v>
      </c>
      <c r="D6536" s="16">
        <v>49</v>
      </c>
      <c r="E6536" s="17">
        <v>1534.7</v>
      </c>
      <c r="F6536" s="16">
        <v>7.0000000000000007E-2</v>
      </c>
      <c r="G6536" s="15" t="s">
        <v>32</v>
      </c>
      <c r="H6536" s="18">
        <v>258.25</v>
      </c>
      <c r="I6536" s="19">
        <v>31.11</v>
      </c>
      <c r="J6536" s="19">
        <v>3.6</v>
      </c>
      <c r="K6536" s="19" t="s">
        <v>124</v>
      </c>
      <c r="L6536" s="19" t="s">
        <v>160</v>
      </c>
      <c r="M6536" s="15" t="s">
        <v>2281</v>
      </c>
      <c r="N6536" s="15" t="s">
        <v>64</v>
      </c>
      <c r="O6536" s="15" t="s">
        <v>72</v>
      </c>
      <c r="P6536" s="20" t="s">
        <v>1222</v>
      </c>
      <c r="Q6536" s="15" t="s">
        <v>49</v>
      </c>
      <c r="R6536" s="4"/>
      <c r="S6536" s="4"/>
    </row>
    <row r="6537" spans="1:19" ht="21" customHeight="1" x14ac:dyDescent="0.25">
      <c r="A6537" s="14">
        <f>DATE(2012,12,31)-1096</f>
        <v>40178</v>
      </c>
      <c r="B6537" s="15" t="s">
        <v>833</v>
      </c>
      <c r="C6537" s="15" t="s">
        <v>43</v>
      </c>
      <c r="D6537" s="16">
        <v>47</v>
      </c>
      <c r="E6537" s="17">
        <v>8216.5929999999989</v>
      </c>
      <c r="F6537" s="16">
        <v>0.01</v>
      </c>
      <c r="G6537" s="15" t="s">
        <v>32</v>
      </c>
      <c r="H6537" s="18">
        <v>2463.462</v>
      </c>
      <c r="I6537" s="19">
        <v>195.99</v>
      </c>
      <c r="J6537" s="19">
        <v>8.99</v>
      </c>
      <c r="K6537" s="19" t="s">
        <v>44</v>
      </c>
      <c r="L6537" s="19" t="s">
        <v>52</v>
      </c>
      <c r="M6537" s="15" t="s">
        <v>2295</v>
      </c>
      <c r="N6537" s="15" t="s">
        <v>64</v>
      </c>
      <c r="O6537" s="15" t="s">
        <v>65</v>
      </c>
      <c r="P6537" s="20" t="s">
        <v>316</v>
      </c>
      <c r="Q6537" s="15" t="s">
        <v>83</v>
      </c>
      <c r="R6537" s="4"/>
      <c r="S6537" s="4"/>
    </row>
    <row r="6538" spans="1:19" ht="21" customHeight="1" x14ac:dyDescent="0.25">
      <c r="A6538" s="14">
        <f>DATE(2012,12,31)-1096</f>
        <v>40178</v>
      </c>
      <c r="B6538" s="15" t="s">
        <v>348</v>
      </c>
      <c r="C6538" s="15" t="s">
        <v>43</v>
      </c>
      <c r="D6538" s="16">
        <v>10</v>
      </c>
      <c r="E6538" s="17">
        <v>130.36000000000001</v>
      </c>
      <c r="F6538" s="16">
        <v>0.06</v>
      </c>
      <c r="G6538" s="15" t="s">
        <v>32</v>
      </c>
      <c r="H6538" s="18">
        <v>2.431</v>
      </c>
      <c r="I6538" s="19">
        <v>12.95</v>
      </c>
      <c r="J6538" s="19">
        <v>4.9800000000000004</v>
      </c>
      <c r="K6538" s="19" t="s">
        <v>33</v>
      </c>
      <c r="L6538" s="19" t="s">
        <v>59</v>
      </c>
      <c r="M6538" s="15" t="s">
        <v>2269</v>
      </c>
      <c r="N6538" s="15" t="s">
        <v>36</v>
      </c>
      <c r="O6538" s="15" t="s">
        <v>170</v>
      </c>
      <c r="P6538" s="20" t="s">
        <v>1027</v>
      </c>
      <c r="Q6538" s="15" t="s">
        <v>83</v>
      </c>
      <c r="R6538" s="4"/>
      <c r="S6538" s="4"/>
    </row>
    <row r="6539" spans="1:19" ht="21" customHeight="1" x14ac:dyDescent="0.25">
      <c r="A6539" s="14">
        <f>DATE(2012,12,31)-1096</f>
        <v>40178</v>
      </c>
      <c r="B6539" s="15" t="s">
        <v>342</v>
      </c>
      <c r="C6539" s="15" t="s">
        <v>43</v>
      </c>
      <c r="D6539" s="16">
        <v>1</v>
      </c>
      <c r="E6539" s="17">
        <v>200.57</v>
      </c>
      <c r="F6539" s="16">
        <v>0</v>
      </c>
      <c r="G6539" s="15" t="s">
        <v>58</v>
      </c>
      <c r="H6539" s="18">
        <v>-83.63</v>
      </c>
      <c r="I6539" s="19">
        <v>122.99</v>
      </c>
      <c r="J6539" s="19">
        <v>70.2</v>
      </c>
      <c r="K6539" s="19" t="s">
        <v>33</v>
      </c>
      <c r="L6539" s="19" t="s">
        <v>59</v>
      </c>
      <c r="M6539" s="15" t="s">
        <v>2269</v>
      </c>
      <c r="N6539" s="15" t="s">
        <v>54</v>
      </c>
      <c r="O6539" s="15" t="s">
        <v>252</v>
      </c>
      <c r="P6539" s="20" t="s">
        <v>1158</v>
      </c>
      <c r="Q6539" s="15" t="s">
        <v>181</v>
      </c>
      <c r="R6539" s="4"/>
      <c r="S6539" s="4"/>
    </row>
    <row r="6540" spans="1:19" ht="21" customHeight="1" x14ac:dyDescent="0.25">
      <c r="A6540" s="14">
        <f>DATE(2012,12,31)-840</f>
        <v>40434</v>
      </c>
      <c r="B6540" s="15" t="s">
        <v>342</v>
      </c>
      <c r="C6540" s="15" t="s">
        <v>43</v>
      </c>
      <c r="D6540" s="16">
        <v>4</v>
      </c>
      <c r="E6540" s="17">
        <v>284</v>
      </c>
      <c r="F6540" s="16">
        <v>0.01</v>
      </c>
      <c r="G6540" s="15" t="s">
        <v>101</v>
      </c>
      <c r="H6540" s="18">
        <v>208.31</v>
      </c>
      <c r="I6540" s="19">
        <v>62.18</v>
      </c>
      <c r="J6540" s="19">
        <v>10.84</v>
      </c>
      <c r="K6540" s="19" t="s">
        <v>33</v>
      </c>
      <c r="L6540" s="19" t="s">
        <v>59</v>
      </c>
      <c r="M6540" s="15" t="s">
        <v>2269</v>
      </c>
      <c r="N6540" s="15" t="s">
        <v>54</v>
      </c>
      <c r="O6540" s="15" t="s">
        <v>55</v>
      </c>
      <c r="P6540" s="20" t="s">
        <v>281</v>
      </c>
      <c r="Q6540" s="15" t="s">
        <v>57</v>
      </c>
      <c r="R6540" s="4"/>
      <c r="S6540" s="4"/>
    </row>
    <row r="6541" spans="1:19" ht="21" customHeight="1" x14ac:dyDescent="0.25">
      <c r="A6541" s="14">
        <f>DATE(2012,12,31)-980</f>
        <v>40294</v>
      </c>
      <c r="B6541" s="15" t="s">
        <v>1596</v>
      </c>
      <c r="C6541" s="15" t="s">
        <v>43</v>
      </c>
      <c r="D6541" s="16">
        <v>28</v>
      </c>
      <c r="E6541" s="17">
        <v>110.2</v>
      </c>
      <c r="F6541" s="16">
        <v>7.0000000000000007E-2</v>
      </c>
      <c r="G6541" s="15" t="s">
        <v>32</v>
      </c>
      <c r="H6541" s="18">
        <v>42.84</v>
      </c>
      <c r="I6541" s="19">
        <v>4.13</v>
      </c>
      <c r="J6541" s="19">
        <v>0.5</v>
      </c>
      <c r="K6541" s="19" t="s">
        <v>33</v>
      </c>
      <c r="L6541" s="19" t="s">
        <v>34</v>
      </c>
      <c r="M6541" s="15" t="s">
        <v>2273</v>
      </c>
      <c r="N6541" s="15" t="s">
        <v>36</v>
      </c>
      <c r="O6541" s="15" t="s">
        <v>114</v>
      </c>
      <c r="P6541" s="20" t="s">
        <v>913</v>
      </c>
      <c r="Q6541" s="15" t="s">
        <v>83</v>
      </c>
      <c r="R6541" s="4"/>
      <c r="S6541" s="4"/>
    </row>
    <row r="6542" spans="1:19" ht="21" customHeight="1" x14ac:dyDescent="0.25">
      <c r="A6542" s="14">
        <f>DATE(2012,12,31)-980</f>
        <v>40294</v>
      </c>
      <c r="B6542" s="15" t="s">
        <v>1596</v>
      </c>
      <c r="C6542" s="15" t="s">
        <v>43</v>
      </c>
      <c r="D6542" s="16">
        <v>12</v>
      </c>
      <c r="E6542" s="17">
        <v>54.86</v>
      </c>
      <c r="F6542" s="16">
        <v>0.09</v>
      </c>
      <c r="G6542" s="15" t="s">
        <v>32</v>
      </c>
      <c r="H6542" s="18">
        <v>-50.6</v>
      </c>
      <c r="I6542" s="19">
        <v>4.28</v>
      </c>
      <c r="J6542" s="19">
        <v>6.72</v>
      </c>
      <c r="K6542" s="19" t="s">
        <v>69</v>
      </c>
      <c r="L6542" s="19" t="s">
        <v>70</v>
      </c>
      <c r="M6542" s="15" t="s">
        <v>2230</v>
      </c>
      <c r="N6542" s="15" t="s">
        <v>36</v>
      </c>
      <c r="O6542" s="15" t="s">
        <v>117</v>
      </c>
      <c r="P6542" s="20" t="s">
        <v>2311</v>
      </c>
      <c r="Q6542" s="15" t="s">
        <v>83</v>
      </c>
      <c r="R6542" s="4"/>
      <c r="S6542" s="4"/>
    </row>
    <row r="6543" spans="1:19" ht="21" customHeight="1" x14ac:dyDescent="0.25">
      <c r="A6543" s="14">
        <f>DATE(2012,12,31)-187</f>
        <v>41087</v>
      </c>
      <c r="B6543" s="15" t="s">
        <v>1596</v>
      </c>
      <c r="C6543" s="15" t="s">
        <v>31</v>
      </c>
      <c r="D6543" s="16">
        <v>8</v>
      </c>
      <c r="E6543" s="17">
        <v>825.96</v>
      </c>
      <c r="F6543" s="16">
        <v>0.01</v>
      </c>
      <c r="G6543" s="15" t="s">
        <v>58</v>
      </c>
      <c r="H6543" s="18">
        <v>-276.95</v>
      </c>
      <c r="I6543" s="19">
        <v>95.98</v>
      </c>
      <c r="J6543" s="19">
        <v>58.2</v>
      </c>
      <c r="K6543" s="19" t="s">
        <v>69</v>
      </c>
      <c r="L6543" s="19" t="s">
        <v>215</v>
      </c>
      <c r="M6543" s="15" t="s">
        <v>2290</v>
      </c>
      <c r="N6543" s="15" t="s">
        <v>54</v>
      </c>
      <c r="O6543" s="15" t="s">
        <v>252</v>
      </c>
      <c r="P6543" s="20" t="s">
        <v>611</v>
      </c>
      <c r="Q6543" s="15" t="s">
        <v>181</v>
      </c>
      <c r="R6543" s="4"/>
      <c r="S6543" s="4"/>
    </row>
    <row r="6544" spans="1:19" ht="21" customHeight="1" x14ac:dyDescent="0.25">
      <c r="A6544" s="14">
        <f>DATE(2012,12,31)-1299</f>
        <v>39975</v>
      </c>
      <c r="B6544" s="15" t="s">
        <v>1596</v>
      </c>
      <c r="C6544" s="15" t="s">
        <v>85</v>
      </c>
      <c r="D6544" s="16">
        <v>3</v>
      </c>
      <c r="E6544" s="17">
        <v>21.46</v>
      </c>
      <c r="F6544" s="16">
        <v>0.05</v>
      </c>
      <c r="G6544" s="15" t="s">
        <v>32</v>
      </c>
      <c r="H6544" s="18">
        <v>-14.22</v>
      </c>
      <c r="I6544" s="19">
        <v>5.28</v>
      </c>
      <c r="J6544" s="19">
        <v>6.26</v>
      </c>
      <c r="K6544" s="19" t="s">
        <v>69</v>
      </c>
      <c r="L6544" s="19" t="s">
        <v>215</v>
      </c>
      <c r="M6544" s="15" t="s">
        <v>2290</v>
      </c>
      <c r="N6544" s="15" t="s">
        <v>36</v>
      </c>
      <c r="O6544" s="15" t="s">
        <v>117</v>
      </c>
      <c r="P6544" s="20" t="s">
        <v>1736</v>
      </c>
      <c r="Q6544" s="15" t="s">
        <v>83</v>
      </c>
      <c r="R6544" s="4"/>
      <c r="S6544" s="4"/>
    </row>
    <row r="6545" spans="1:19" ht="21" customHeight="1" x14ac:dyDescent="0.25">
      <c r="A6545" s="14">
        <f>DATE(2012,12,31)-1299</f>
        <v>39975</v>
      </c>
      <c r="B6545" s="15" t="s">
        <v>1722</v>
      </c>
      <c r="C6545" s="15" t="s">
        <v>85</v>
      </c>
      <c r="D6545" s="16">
        <v>24</v>
      </c>
      <c r="E6545" s="17">
        <v>1388.6279999999999</v>
      </c>
      <c r="F6545" s="16">
        <v>0.03</v>
      </c>
      <c r="G6545" s="15" t="s">
        <v>32</v>
      </c>
      <c r="H6545" s="18">
        <v>261.52199999999999</v>
      </c>
      <c r="I6545" s="19">
        <v>65.989999999999995</v>
      </c>
      <c r="J6545" s="19">
        <v>5.26</v>
      </c>
      <c r="K6545" s="19" t="s">
        <v>44</v>
      </c>
      <c r="L6545" s="19" t="s">
        <v>236</v>
      </c>
      <c r="M6545" s="15" t="s">
        <v>2296</v>
      </c>
      <c r="N6545" s="15" t="s">
        <v>64</v>
      </c>
      <c r="O6545" s="15" t="s">
        <v>65</v>
      </c>
      <c r="P6545" s="20" t="s">
        <v>1884</v>
      </c>
      <c r="Q6545" s="15" t="s">
        <v>83</v>
      </c>
      <c r="R6545" s="4"/>
      <c r="S6545" s="4"/>
    </row>
    <row r="6546" spans="1:19" ht="21" customHeight="1" x14ac:dyDescent="0.25">
      <c r="A6546" s="14">
        <f>DATE(2012,12,31)-295</f>
        <v>40979</v>
      </c>
      <c r="B6546" s="15" t="s">
        <v>1722</v>
      </c>
      <c r="C6546" s="15" t="s">
        <v>43</v>
      </c>
      <c r="D6546" s="16">
        <v>39</v>
      </c>
      <c r="E6546" s="17">
        <v>930.84</v>
      </c>
      <c r="F6546" s="16">
        <v>0.05</v>
      </c>
      <c r="G6546" s="15" t="s">
        <v>32</v>
      </c>
      <c r="H6546" s="18">
        <v>-122.12</v>
      </c>
      <c r="I6546" s="19">
        <v>22.84</v>
      </c>
      <c r="J6546" s="19">
        <v>16.920000000000002</v>
      </c>
      <c r="K6546" s="19" t="s">
        <v>44</v>
      </c>
      <c r="L6546" s="19" t="s">
        <v>120</v>
      </c>
      <c r="M6546" s="15" t="s">
        <v>2262</v>
      </c>
      <c r="N6546" s="15" t="s">
        <v>36</v>
      </c>
      <c r="O6546" s="15" t="s">
        <v>117</v>
      </c>
      <c r="P6546" s="20" t="s">
        <v>689</v>
      </c>
      <c r="Q6546" s="15" t="s">
        <v>83</v>
      </c>
      <c r="R6546" s="4"/>
      <c r="S6546" s="4"/>
    </row>
    <row r="6547" spans="1:19" ht="21" customHeight="1" x14ac:dyDescent="0.25">
      <c r="A6547" s="14">
        <f>DATE(2012,12,31)-1264</f>
        <v>40010</v>
      </c>
      <c r="B6547" s="15" t="s">
        <v>1963</v>
      </c>
      <c r="C6547" s="15" t="s">
        <v>51</v>
      </c>
      <c r="D6547" s="16">
        <v>27</v>
      </c>
      <c r="E6547" s="17">
        <v>636.70000000000005</v>
      </c>
      <c r="F6547" s="16">
        <v>0.1</v>
      </c>
      <c r="G6547" s="15" t="s">
        <v>32</v>
      </c>
      <c r="H6547" s="18">
        <v>-29.9115</v>
      </c>
      <c r="I6547" s="19">
        <v>24.92</v>
      </c>
      <c r="J6547" s="19">
        <v>12.98</v>
      </c>
      <c r="K6547" s="19" t="s">
        <v>44</v>
      </c>
      <c r="L6547" s="19" t="s">
        <v>120</v>
      </c>
      <c r="M6547" s="15" t="s">
        <v>2262</v>
      </c>
      <c r="N6547" s="15" t="s">
        <v>36</v>
      </c>
      <c r="O6547" s="15" t="s">
        <v>170</v>
      </c>
      <c r="P6547" s="20" t="s">
        <v>1309</v>
      </c>
      <c r="Q6547" s="15" t="s">
        <v>83</v>
      </c>
      <c r="R6547" s="4"/>
      <c r="S6547" s="4"/>
    </row>
    <row r="6548" spans="1:19" ht="21" customHeight="1" x14ac:dyDescent="0.25">
      <c r="A6548" s="14">
        <f>DATE(2012,12,31)-368</f>
        <v>40906</v>
      </c>
      <c r="B6548" s="15" t="s">
        <v>138</v>
      </c>
      <c r="C6548" s="15" t="s">
        <v>85</v>
      </c>
      <c r="D6548" s="16">
        <v>8</v>
      </c>
      <c r="E6548" s="17">
        <v>57.22</v>
      </c>
      <c r="F6548" s="16">
        <v>7.0000000000000007E-2</v>
      </c>
      <c r="G6548" s="15" t="s">
        <v>32</v>
      </c>
      <c r="H6548" s="18">
        <v>-27.72</v>
      </c>
      <c r="I6548" s="19">
        <v>6.48</v>
      </c>
      <c r="J6548" s="19">
        <v>6.6</v>
      </c>
      <c r="K6548" s="19" t="s">
        <v>124</v>
      </c>
      <c r="L6548" s="19" t="s">
        <v>319</v>
      </c>
      <c r="M6548" s="15" t="s">
        <v>2300</v>
      </c>
      <c r="N6548" s="15" t="s">
        <v>36</v>
      </c>
      <c r="O6548" s="15" t="s">
        <v>117</v>
      </c>
      <c r="P6548" s="20" t="s">
        <v>910</v>
      </c>
      <c r="Q6548" s="15" t="s">
        <v>83</v>
      </c>
      <c r="R6548" s="4"/>
      <c r="S6548" s="4"/>
    </row>
    <row r="6549" spans="1:19" ht="21" customHeight="1" x14ac:dyDescent="0.25">
      <c r="A6549" s="14">
        <f>DATE(2012,12,31)-368</f>
        <v>40906</v>
      </c>
      <c r="B6549" s="15" t="s">
        <v>1681</v>
      </c>
      <c r="C6549" s="15" t="s">
        <v>85</v>
      </c>
      <c r="D6549" s="16">
        <v>33</v>
      </c>
      <c r="E6549" s="17">
        <v>162</v>
      </c>
      <c r="F6549" s="16">
        <v>0.01</v>
      </c>
      <c r="G6549" s="15" t="s">
        <v>32</v>
      </c>
      <c r="H6549" s="18">
        <v>45.84</v>
      </c>
      <c r="I6549" s="19">
        <v>4.84</v>
      </c>
      <c r="J6549" s="19">
        <v>0.71</v>
      </c>
      <c r="K6549" s="19" t="s">
        <v>33</v>
      </c>
      <c r="L6549" s="19" t="s">
        <v>128</v>
      </c>
      <c r="M6549" s="15" t="s">
        <v>129</v>
      </c>
      <c r="N6549" s="15" t="s">
        <v>36</v>
      </c>
      <c r="O6549" s="15" t="s">
        <v>77</v>
      </c>
      <c r="P6549" s="20" t="s">
        <v>934</v>
      </c>
      <c r="Q6549" s="15" t="s">
        <v>79</v>
      </c>
      <c r="R6549" s="4"/>
      <c r="S6549" s="4"/>
    </row>
    <row r="6550" spans="1:19" ht="21" customHeight="1" x14ac:dyDescent="0.25">
      <c r="A6550" s="14">
        <f>DATE(2012,12,31)-368</f>
        <v>40906</v>
      </c>
      <c r="B6550" s="15" t="s">
        <v>1681</v>
      </c>
      <c r="C6550" s="15" t="s">
        <v>85</v>
      </c>
      <c r="D6550" s="16">
        <v>48</v>
      </c>
      <c r="E6550" s="17">
        <v>3410.1574999999998</v>
      </c>
      <c r="F6550" s="16">
        <v>0.1</v>
      </c>
      <c r="G6550" s="15" t="s">
        <v>32</v>
      </c>
      <c r="H6550" s="18">
        <v>1137.9059999999999</v>
      </c>
      <c r="I6550" s="19">
        <v>85.99</v>
      </c>
      <c r="J6550" s="19">
        <v>0.99</v>
      </c>
      <c r="K6550" s="19" t="s">
        <v>33</v>
      </c>
      <c r="L6550" s="19" t="s">
        <v>59</v>
      </c>
      <c r="M6550" s="15" t="s">
        <v>2269</v>
      </c>
      <c r="N6550" s="15" t="s">
        <v>64</v>
      </c>
      <c r="O6550" s="15" t="s">
        <v>65</v>
      </c>
      <c r="P6550" s="20" t="s">
        <v>458</v>
      </c>
      <c r="Q6550" s="15" t="s">
        <v>79</v>
      </c>
      <c r="R6550" s="4"/>
      <c r="S6550" s="4"/>
    </row>
    <row r="6551" spans="1:19" ht="21" customHeight="1" x14ac:dyDescent="0.25">
      <c r="A6551" s="14">
        <f>DATE(2012,12,31)-190</f>
        <v>41084</v>
      </c>
      <c r="B6551" s="15" t="s">
        <v>1681</v>
      </c>
      <c r="C6551" s="15" t="s">
        <v>85</v>
      </c>
      <c r="D6551" s="16">
        <v>47</v>
      </c>
      <c r="E6551" s="17">
        <v>1676.25</v>
      </c>
      <c r="F6551" s="16">
        <v>0.04</v>
      </c>
      <c r="G6551" s="15" t="s">
        <v>32</v>
      </c>
      <c r="H6551" s="18">
        <v>-458.33</v>
      </c>
      <c r="I6551" s="19">
        <v>36.65</v>
      </c>
      <c r="J6551" s="19">
        <v>22.6</v>
      </c>
      <c r="K6551" s="19" t="s">
        <v>33</v>
      </c>
      <c r="L6551" s="19" t="s">
        <v>93</v>
      </c>
      <c r="M6551" s="15" t="s">
        <v>94</v>
      </c>
      <c r="N6551" s="15" t="s">
        <v>54</v>
      </c>
      <c r="O6551" s="15" t="s">
        <v>55</v>
      </c>
      <c r="P6551" s="20" t="s">
        <v>1245</v>
      </c>
      <c r="Q6551" s="15" t="s">
        <v>39</v>
      </c>
      <c r="R6551" s="4"/>
      <c r="S6551" s="4"/>
    </row>
    <row r="6552" spans="1:19" ht="21" customHeight="1" x14ac:dyDescent="0.25">
      <c r="A6552" s="14">
        <f>DATE(2012,12,31)-1205</f>
        <v>40069</v>
      </c>
      <c r="B6552" s="15" t="s">
        <v>1949</v>
      </c>
      <c r="C6552" s="15" t="s">
        <v>85</v>
      </c>
      <c r="D6552" s="16">
        <v>17</v>
      </c>
      <c r="E6552" s="17">
        <v>142.94</v>
      </c>
      <c r="F6552" s="16">
        <v>0.03</v>
      </c>
      <c r="G6552" s="15" t="s">
        <v>32</v>
      </c>
      <c r="H6552" s="18">
        <v>-129.559</v>
      </c>
      <c r="I6552" s="19">
        <v>7.38</v>
      </c>
      <c r="J6552" s="19">
        <v>11.51</v>
      </c>
      <c r="K6552" s="19" t="s">
        <v>97</v>
      </c>
      <c r="L6552" s="19" t="s">
        <v>195</v>
      </c>
      <c r="M6552" s="15" t="s">
        <v>2138</v>
      </c>
      <c r="N6552" s="15" t="s">
        <v>36</v>
      </c>
      <c r="O6552" s="15" t="s">
        <v>170</v>
      </c>
      <c r="P6552" s="20" t="s">
        <v>1164</v>
      </c>
      <c r="Q6552" s="15" t="s">
        <v>83</v>
      </c>
      <c r="R6552" s="4"/>
      <c r="S6552" s="4"/>
    </row>
    <row r="6553" spans="1:19" ht="21" customHeight="1" x14ac:dyDescent="0.25">
      <c r="A6553" s="14">
        <f>DATE(2012,12,31)-1205</f>
        <v>40069</v>
      </c>
      <c r="B6553" s="15" t="s">
        <v>2189</v>
      </c>
      <c r="C6553" s="15" t="s">
        <v>85</v>
      </c>
      <c r="D6553" s="16">
        <v>35</v>
      </c>
      <c r="E6553" s="17">
        <v>240.61</v>
      </c>
      <c r="F6553" s="16">
        <v>0.05</v>
      </c>
      <c r="G6553" s="15" t="s">
        <v>32</v>
      </c>
      <c r="H6553" s="18">
        <v>-133.12</v>
      </c>
      <c r="I6553" s="19">
        <v>6.48</v>
      </c>
      <c r="J6553" s="19">
        <v>7.91</v>
      </c>
      <c r="K6553" s="19" t="s">
        <v>97</v>
      </c>
      <c r="L6553" s="19" t="s">
        <v>567</v>
      </c>
      <c r="M6553" s="15" t="s">
        <v>568</v>
      </c>
      <c r="N6553" s="15" t="s">
        <v>36</v>
      </c>
      <c r="O6553" s="15" t="s">
        <v>117</v>
      </c>
      <c r="P6553" s="20" t="s">
        <v>387</v>
      </c>
      <c r="Q6553" s="15" t="s">
        <v>83</v>
      </c>
      <c r="R6553" s="4"/>
      <c r="S6553" s="4"/>
    </row>
    <row r="6554" spans="1:19" ht="21" customHeight="1" x14ac:dyDescent="0.25">
      <c r="A6554" s="14">
        <f>DATE(2012,12,31)-1205</f>
        <v>40069</v>
      </c>
      <c r="B6554" s="15" t="s">
        <v>2189</v>
      </c>
      <c r="C6554" s="15" t="s">
        <v>85</v>
      </c>
      <c r="D6554" s="16">
        <v>17</v>
      </c>
      <c r="E6554" s="17">
        <v>1912.76</v>
      </c>
      <c r="F6554" s="16">
        <v>0.03</v>
      </c>
      <c r="G6554" s="15" t="s">
        <v>32</v>
      </c>
      <c r="H6554" s="18">
        <v>71.56</v>
      </c>
      <c r="I6554" s="19">
        <v>111.03</v>
      </c>
      <c r="J6554" s="19">
        <v>8.64</v>
      </c>
      <c r="K6554" s="19" t="s">
        <v>111</v>
      </c>
      <c r="L6554" s="19" t="s">
        <v>407</v>
      </c>
      <c r="M6554" s="15" t="s">
        <v>407</v>
      </c>
      <c r="N6554" s="15" t="s">
        <v>36</v>
      </c>
      <c r="O6554" s="15" t="s">
        <v>37</v>
      </c>
      <c r="P6554" s="20" t="s">
        <v>289</v>
      </c>
      <c r="Q6554" s="15" t="s">
        <v>83</v>
      </c>
      <c r="R6554" s="4"/>
      <c r="S6554" s="4"/>
    </row>
    <row r="6555" spans="1:19" ht="21" customHeight="1" x14ac:dyDescent="0.25">
      <c r="A6555" s="14">
        <f>DATE(2012,12,31)-833</f>
        <v>40441</v>
      </c>
      <c r="B6555" s="15" t="s">
        <v>2189</v>
      </c>
      <c r="C6555" s="15" t="s">
        <v>43</v>
      </c>
      <c r="D6555" s="16">
        <v>13</v>
      </c>
      <c r="E6555" s="17">
        <v>80</v>
      </c>
      <c r="F6555" s="16">
        <v>0.03</v>
      </c>
      <c r="G6555" s="15" t="s">
        <v>32</v>
      </c>
      <c r="H6555" s="18">
        <v>10.96</v>
      </c>
      <c r="I6555" s="19">
        <v>5.84</v>
      </c>
      <c r="J6555" s="19">
        <v>1.2</v>
      </c>
      <c r="K6555" s="19" t="s">
        <v>124</v>
      </c>
      <c r="L6555" s="19" t="s">
        <v>164</v>
      </c>
      <c r="M6555" s="15" t="s">
        <v>2307</v>
      </c>
      <c r="N6555" s="15" t="s">
        <v>36</v>
      </c>
      <c r="O6555" s="15" t="s">
        <v>77</v>
      </c>
      <c r="P6555" s="20" t="s">
        <v>819</v>
      </c>
      <c r="Q6555" s="15" t="s">
        <v>79</v>
      </c>
      <c r="R6555" s="4"/>
      <c r="S6555" s="4"/>
    </row>
    <row r="6556" spans="1:19" ht="21" customHeight="1" x14ac:dyDescent="0.25">
      <c r="A6556" s="14">
        <f>DATE(2012,12,31)-833</f>
        <v>40441</v>
      </c>
      <c r="B6556" s="15" t="s">
        <v>2057</v>
      </c>
      <c r="C6556" s="15" t="s">
        <v>43</v>
      </c>
      <c r="D6556" s="16">
        <v>8</v>
      </c>
      <c r="E6556" s="17">
        <v>137.41999999999999</v>
      </c>
      <c r="F6556" s="16">
        <v>0.04</v>
      </c>
      <c r="G6556" s="15" t="s">
        <v>32</v>
      </c>
      <c r="H6556" s="18">
        <v>-24.86</v>
      </c>
      <c r="I6556" s="19">
        <v>16.91</v>
      </c>
      <c r="J6556" s="19">
        <v>6.25</v>
      </c>
      <c r="K6556" s="19" t="s">
        <v>124</v>
      </c>
      <c r="L6556" s="19" t="s">
        <v>160</v>
      </c>
      <c r="M6556" s="15" t="s">
        <v>2281</v>
      </c>
      <c r="N6556" s="15" t="s">
        <v>36</v>
      </c>
      <c r="O6556" s="15" t="s">
        <v>37</v>
      </c>
      <c r="P6556" s="20" t="s">
        <v>1827</v>
      </c>
      <c r="Q6556" s="15" t="s">
        <v>83</v>
      </c>
      <c r="R6556" s="4"/>
      <c r="S6556" s="4"/>
    </row>
    <row r="6557" spans="1:19" ht="21" customHeight="1" x14ac:dyDescent="0.25">
      <c r="A6557" s="14">
        <f>DATE(2012,12,31)-179</f>
        <v>41095</v>
      </c>
      <c r="B6557" s="15" t="s">
        <v>108</v>
      </c>
      <c r="C6557" s="15" t="s">
        <v>43</v>
      </c>
      <c r="D6557" s="16">
        <v>46</v>
      </c>
      <c r="E6557" s="17">
        <v>325.97000000000003</v>
      </c>
      <c r="F6557" s="16">
        <v>0.02</v>
      </c>
      <c r="G6557" s="15" t="s">
        <v>32</v>
      </c>
      <c r="H6557" s="18">
        <v>-255.22</v>
      </c>
      <c r="I6557" s="19">
        <v>6.84</v>
      </c>
      <c r="J6557" s="19">
        <v>8.3699999999999992</v>
      </c>
      <c r="K6557" s="19" t="s">
        <v>124</v>
      </c>
      <c r="L6557" s="19" t="s">
        <v>319</v>
      </c>
      <c r="M6557" s="15" t="s">
        <v>2300</v>
      </c>
      <c r="N6557" s="15" t="s">
        <v>36</v>
      </c>
      <c r="O6557" s="15" t="s">
        <v>47</v>
      </c>
      <c r="P6557" s="20" t="s">
        <v>653</v>
      </c>
      <c r="Q6557" s="15" t="s">
        <v>49</v>
      </c>
      <c r="R6557" s="4"/>
      <c r="S6557" s="4"/>
    </row>
    <row r="6558" spans="1:19" ht="21" customHeight="1" x14ac:dyDescent="0.25">
      <c r="A6558" s="14">
        <f>DATE(2012,12,31)-179</f>
        <v>41095</v>
      </c>
      <c r="B6558" s="15" t="s">
        <v>108</v>
      </c>
      <c r="C6558" s="15" t="s">
        <v>43</v>
      </c>
      <c r="D6558" s="16">
        <v>10</v>
      </c>
      <c r="E6558" s="17">
        <v>49.65</v>
      </c>
      <c r="F6558" s="16">
        <v>0.02</v>
      </c>
      <c r="G6558" s="15" t="s">
        <v>32</v>
      </c>
      <c r="H6558" s="18">
        <v>8.2705000000000002</v>
      </c>
      <c r="I6558" s="19">
        <v>4.55</v>
      </c>
      <c r="J6558" s="19">
        <v>1.49</v>
      </c>
      <c r="K6558" s="19" t="s">
        <v>124</v>
      </c>
      <c r="L6558" s="19" t="s">
        <v>164</v>
      </c>
      <c r="M6558" s="15" t="s">
        <v>2307</v>
      </c>
      <c r="N6558" s="15" t="s">
        <v>36</v>
      </c>
      <c r="O6558" s="15" t="s">
        <v>170</v>
      </c>
      <c r="P6558" s="20" t="s">
        <v>792</v>
      </c>
      <c r="Q6558" s="15" t="s">
        <v>83</v>
      </c>
      <c r="R6558" s="4"/>
      <c r="S6558" s="4"/>
    </row>
    <row r="6559" spans="1:19" ht="21" customHeight="1" x14ac:dyDescent="0.25">
      <c r="A6559" s="14">
        <f>DATE(2012,12,31)-1177</f>
        <v>40097</v>
      </c>
      <c r="B6559" s="15" t="s">
        <v>1828</v>
      </c>
      <c r="C6559" s="15" t="s">
        <v>85</v>
      </c>
      <c r="D6559" s="16">
        <v>3</v>
      </c>
      <c r="E6559" s="17">
        <v>33.64</v>
      </c>
      <c r="F6559" s="16">
        <v>0.01</v>
      </c>
      <c r="G6559" s="15" t="s">
        <v>32</v>
      </c>
      <c r="H6559" s="18">
        <v>-22.45</v>
      </c>
      <c r="I6559" s="19">
        <v>7.28</v>
      </c>
      <c r="J6559" s="19">
        <v>11.15</v>
      </c>
      <c r="K6559" s="19" t="s">
        <v>124</v>
      </c>
      <c r="L6559" s="19" t="s">
        <v>164</v>
      </c>
      <c r="M6559" s="15" t="s">
        <v>2307</v>
      </c>
      <c r="N6559" s="15" t="s">
        <v>36</v>
      </c>
      <c r="O6559" s="15" t="s">
        <v>117</v>
      </c>
      <c r="P6559" s="20" t="s">
        <v>1275</v>
      </c>
      <c r="Q6559" s="15" t="s">
        <v>83</v>
      </c>
      <c r="R6559" s="4"/>
      <c r="S6559" s="4"/>
    </row>
    <row r="6560" spans="1:19" ht="21" customHeight="1" x14ac:dyDescent="0.25">
      <c r="A6560" s="14">
        <f>DATE(2012,12,31)-277</f>
        <v>40997</v>
      </c>
      <c r="B6560" s="15" t="s">
        <v>1351</v>
      </c>
      <c r="C6560" s="15" t="s">
        <v>85</v>
      </c>
      <c r="D6560" s="16">
        <v>28</v>
      </c>
      <c r="E6560" s="17">
        <v>174.1</v>
      </c>
      <c r="F6560" s="16">
        <v>0.1</v>
      </c>
      <c r="G6560" s="15" t="s">
        <v>32</v>
      </c>
      <c r="H6560" s="18">
        <v>-162.75</v>
      </c>
      <c r="I6560" s="19">
        <v>6.48</v>
      </c>
      <c r="J6560" s="19">
        <v>9.17</v>
      </c>
      <c r="K6560" s="19" t="s">
        <v>44</v>
      </c>
      <c r="L6560" s="19" t="s">
        <v>52</v>
      </c>
      <c r="M6560" s="15" t="s">
        <v>2295</v>
      </c>
      <c r="N6560" s="15" t="s">
        <v>36</v>
      </c>
      <c r="O6560" s="15" t="s">
        <v>117</v>
      </c>
      <c r="P6560" s="20" t="s">
        <v>271</v>
      </c>
      <c r="Q6560" s="15" t="s">
        <v>83</v>
      </c>
      <c r="R6560" s="4"/>
      <c r="S6560" s="4"/>
    </row>
    <row r="6561" spans="1:19" ht="21" customHeight="1" x14ac:dyDescent="0.25">
      <c r="A6561" s="14">
        <f>DATE(2012,12,31)-277</f>
        <v>40997</v>
      </c>
      <c r="B6561" s="15" t="s">
        <v>1351</v>
      </c>
      <c r="C6561" s="15" t="s">
        <v>85</v>
      </c>
      <c r="D6561" s="16">
        <v>32</v>
      </c>
      <c r="E6561" s="17">
        <v>693.17</v>
      </c>
      <c r="F6561" s="16">
        <v>7.0000000000000007E-2</v>
      </c>
      <c r="G6561" s="15" t="s">
        <v>32</v>
      </c>
      <c r="H6561" s="18">
        <v>-59.83</v>
      </c>
      <c r="I6561" s="19">
        <v>22.99</v>
      </c>
      <c r="J6561" s="19">
        <v>8.99</v>
      </c>
      <c r="K6561" s="19" t="s">
        <v>44</v>
      </c>
      <c r="L6561" s="19" t="s">
        <v>52</v>
      </c>
      <c r="M6561" s="15" t="s">
        <v>2295</v>
      </c>
      <c r="N6561" s="15" t="s">
        <v>36</v>
      </c>
      <c r="O6561" s="15" t="s">
        <v>77</v>
      </c>
      <c r="P6561" s="20" t="s">
        <v>488</v>
      </c>
      <c r="Q6561" s="15" t="s">
        <v>49</v>
      </c>
      <c r="R6561" s="4"/>
      <c r="S6561" s="4"/>
    </row>
    <row r="6562" spans="1:19" ht="21" customHeight="1" x14ac:dyDescent="0.25">
      <c r="A6562" s="14">
        <f>DATE(2012,12,31)-1147</f>
        <v>40127</v>
      </c>
      <c r="B6562" s="15" t="s">
        <v>390</v>
      </c>
      <c r="C6562" s="15" t="s">
        <v>85</v>
      </c>
      <c r="D6562" s="16">
        <v>39</v>
      </c>
      <c r="E6562" s="17">
        <v>3842.99</v>
      </c>
      <c r="F6562" s="16">
        <v>0.04</v>
      </c>
      <c r="G6562" s="15" t="s">
        <v>32</v>
      </c>
      <c r="H6562" s="18">
        <v>-67.680000000000007</v>
      </c>
      <c r="I6562" s="19">
        <v>95.43</v>
      </c>
      <c r="J6562" s="19">
        <v>19.989999999999998</v>
      </c>
      <c r="K6562" s="19" t="s">
        <v>44</v>
      </c>
      <c r="L6562" s="19" t="s">
        <v>52</v>
      </c>
      <c r="M6562" s="15" t="s">
        <v>2295</v>
      </c>
      <c r="N6562" s="15" t="s">
        <v>36</v>
      </c>
      <c r="O6562" s="15" t="s">
        <v>37</v>
      </c>
      <c r="P6562" s="20" t="s">
        <v>432</v>
      </c>
      <c r="Q6562" s="15" t="s">
        <v>83</v>
      </c>
      <c r="R6562" s="4"/>
      <c r="S6562" s="4"/>
    </row>
    <row r="6563" spans="1:19" ht="21" customHeight="1" x14ac:dyDescent="0.25">
      <c r="A6563" s="14">
        <f>DATE(2012,12,31)-749</f>
        <v>40525</v>
      </c>
      <c r="B6563" s="15" t="s">
        <v>1894</v>
      </c>
      <c r="C6563" s="15" t="s">
        <v>43</v>
      </c>
      <c r="D6563" s="16">
        <v>23</v>
      </c>
      <c r="E6563" s="17">
        <v>188.54</v>
      </c>
      <c r="F6563" s="16">
        <v>0.09</v>
      </c>
      <c r="G6563" s="15" t="s">
        <v>32</v>
      </c>
      <c r="H6563" s="18">
        <v>9.8200000000000056</v>
      </c>
      <c r="I6563" s="19">
        <v>8.33</v>
      </c>
      <c r="J6563" s="19">
        <v>1.99</v>
      </c>
      <c r="K6563" s="19" t="s">
        <v>111</v>
      </c>
      <c r="L6563" s="19" t="s">
        <v>2301</v>
      </c>
      <c r="M6563" s="15" t="s">
        <v>2302</v>
      </c>
      <c r="N6563" s="15" t="s">
        <v>64</v>
      </c>
      <c r="O6563" s="15" t="s">
        <v>72</v>
      </c>
      <c r="P6563" s="20" t="s">
        <v>171</v>
      </c>
      <c r="Q6563" s="15" t="s">
        <v>49</v>
      </c>
      <c r="R6563" s="4"/>
      <c r="S6563" s="4"/>
    </row>
    <row r="6564" spans="1:19" ht="21" customHeight="1" x14ac:dyDescent="0.25">
      <c r="A6564" s="14">
        <f>DATE(2012,12,31)-338</f>
        <v>40936</v>
      </c>
      <c r="B6564" s="15" t="s">
        <v>1525</v>
      </c>
      <c r="C6564" s="15" t="s">
        <v>43</v>
      </c>
      <c r="D6564" s="16">
        <v>46</v>
      </c>
      <c r="E6564" s="17">
        <v>1591.89</v>
      </c>
      <c r="F6564" s="16">
        <v>0.02</v>
      </c>
      <c r="G6564" s="15" t="s">
        <v>101</v>
      </c>
      <c r="H6564" s="18">
        <v>-117.31</v>
      </c>
      <c r="I6564" s="19">
        <v>34.979999999999997</v>
      </c>
      <c r="J6564" s="19">
        <v>7.53</v>
      </c>
      <c r="K6564" s="19" t="s">
        <v>44</v>
      </c>
      <c r="L6564" s="19" t="s">
        <v>80</v>
      </c>
      <c r="M6564" s="15" t="s">
        <v>2297</v>
      </c>
      <c r="N6564" s="15" t="s">
        <v>64</v>
      </c>
      <c r="O6564" s="15" t="s">
        <v>72</v>
      </c>
      <c r="P6564" s="20" t="s">
        <v>745</v>
      </c>
      <c r="Q6564" s="15" t="s">
        <v>83</v>
      </c>
      <c r="R6564" s="4"/>
      <c r="S6564" s="4"/>
    </row>
    <row r="6565" spans="1:19" ht="21" customHeight="1" x14ac:dyDescent="0.25">
      <c r="A6565" s="14">
        <f>DATE(2012,12,31)-338</f>
        <v>40936</v>
      </c>
      <c r="B6565" s="15" t="s">
        <v>1525</v>
      </c>
      <c r="C6565" s="15" t="s">
        <v>43</v>
      </c>
      <c r="D6565" s="16">
        <v>44</v>
      </c>
      <c r="E6565" s="17">
        <v>220.07</v>
      </c>
      <c r="F6565" s="16">
        <v>0.01</v>
      </c>
      <c r="G6565" s="15" t="s">
        <v>32</v>
      </c>
      <c r="H6565" s="18">
        <v>-158.41999999999999</v>
      </c>
      <c r="I6565" s="19">
        <v>4.8899999999999997</v>
      </c>
      <c r="J6565" s="19">
        <v>4.93</v>
      </c>
      <c r="K6565" s="19" t="s">
        <v>33</v>
      </c>
      <c r="L6565" s="19" t="s">
        <v>128</v>
      </c>
      <c r="M6565" s="15" t="s">
        <v>129</v>
      </c>
      <c r="N6565" s="15" t="s">
        <v>64</v>
      </c>
      <c r="O6565" s="15" t="s">
        <v>72</v>
      </c>
      <c r="P6565" s="20" t="s">
        <v>901</v>
      </c>
      <c r="Q6565" s="15" t="s">
        <v>49</v>
      </c>
      <c r="R6565" s="4"/>
      <c r="S6565" s="4"/>
    </row>
    <row r="6566" spans="1:19" ht="21" customHeight="1" x14ac:dyDescent="0.25">
      <c r="A6566" s="14">
        <f>DATE(2012,12,31)-1319</f>
        <v>39955</v>
      </c>
      <c r="B6566" s="15" t="s">
        <v>1525</v>
      </c>
      <c r="C6566" s="15" t="s">
        <v>31</v>
      </c>
      <c r="D6566" s="16">
        <v>22</v>
      </c>
      <c r="E6566" s="17">
        <v>5648.69</v>
      </c>
      <c r="F6566" s="16">
        <v>0.03</v>
      </c>
      <c r="G6566" s="15" t="s">
        <v>32</v>
      </c>
      <c r="H6566" s="18">
        <v>1489.8</v>
      </c>
      <c r="I6566" s="19">
        <v>256.99</v>
      </c>
      <c r="J6566" s="19">
        <v>11.25</v>
      </c>
      <c r="K6566" s="19" t="s">
        <v>124</v>
      </c>
      <c r="L6566" s="19" t="s">
        <v>493</v>
      </c>
      <c r="M6566" s="15" t="s">
        <v>2299</v>
      </c>
      <c r="N6566" s="15" t="s">
        <v>64</v>
      </c>
      <c r="O6566" s="15" t="s">
        <v>72</v>
      </c>
      <c r="P6566" s="20" t="s">
        <v>1595</v>
      </c>
      <c r="Q6566" s="15" t="s">
        <v>83</v>
      </c>
      <c r="R6566" s="4"/>
      <c r="S6566" s="4"/>
    </row>
    <row r="6567" spans="1:19" ht="21" customHeight="1" x14ac:dyDescent="0.25">
      <c r="A6567" s="14">
        <f>DATE(2012,12,31)-1032</f>
        <v>40242</v>
      </c>
      <c r="B6567" s="15" t="s">
        <v>1237</v>
      </c>
      <c r="C6567" s="15" t="s">
        <v>51</v>
      </c>
      <c r="D6567" s="16">
        <v>32</v>
      </c>
      <c r="E6567" s="17">
        <v>53.34</v>
      </c>
      <c r="F6567" s="16">
        <v>0.04</v>
      </c>
      <c r="G6567" s="15" t="s">
        <v>32</v>
      </c>
      <c r="H6567" s="18">
        <v>-4.68</v>
      </c>
      <c r="I6567" s="19">
        <v>1.68</v>
      </c>
      <c r="J6567" s="19">
        <v>0.7</v>
      </c>
      <c r="K6567" s="19" t="s">
        <v>124</v>
      </c>
      <c r="L6567" s="19" t="s">
        <v>160</v>
      </c>
      <c r="M6567" s="15" t="s">
        <v>2281</v>
      </c>
      <c r="N6567" s="15" t="s">
        <v>54</v>
      </c>
      <c r="O6567" s="15" t="s">
        <v>55</v>
      </c>
      <c r="P6567" s="20" t="s">
        <v>2312</v>
      </c>
      <c r="Q6567" s="15" t="s">
        <v>79</v>
      </c>
      <c r="R6567" s="4"/>
      <c r="S6567" s="4"/>
    </row>
    <row r="6568" spans="1:19" ht="21" customHeight="1" x14ac:dyDescent="0.25">
      <c r="A6568" s="14">
        <f>DATE(2012,12,31)-912</f>
        <v>40362</v>
      </c>
      <c r="B6568" s="15" t="s">
        <v>1075</v>
      </c>
      <c r="C6568" s="15" t="s">
        <v>85</v>
      </c>
      <c r="D6568" s="16">
        <v>1</v>
      </c>
      <c r="E6568" s="17">
        <v>29.99</v>
      </c>
      <c r="F6568" s="16">
        <v>7.0000000000000007E-2</v>
      </c>
      <c r="G6568" s="15" t="s">
        <v>32</v>
      </c>
      <c r="H6568" s="18">
        <v>-8.8800000000000008</v>
      </c>
      <c r="I6568" s="19">
        <v>21.98</v>
      </c>
      <c r="J6568" s="19">
        <v>8.32</v>
      </c>
      <c r="K6568" s="19" t="s">
        <v>124</v>
      </c>
      <c r="L6568" s="19" t="s">
        <v>164</v>
      </c>
      <c r="M6568" s="15" t="s">
        <v>2307</v>
      </c>
      <c r="N6568" s="15" t="s">
        <v>36</v>
      </c>
      <c r="O6568" s="15" t="s">
        <v>117</v>
      </c>
      <c r="P6568" s="20" t="s">
        <v>1646</v>
      </c>
      <c r="Q6568" s="15" t="s">
        <v>79</v>
      </c>
      <c r="R6568" s="4"/>
      <c r="S6568" s="4"/>
    </row>
    <row r="6569" spans="1:19" ht="21" customHeight="1" x14ac:dyDescent="0.25">
      <c r="A6569" s="14">
        <f>DATE(2012,12,31)-1182</f>
        <v>40092</v>
      </c>
      <c r="B6569" s="15" t="s">
        <v>1075</v>
      </c>
      <c r="C6569" s="15" t="s">
        <v>85</v>
      </c>
      <c r="D6569" s="16">
        <v>31</v>
      </c>
      <c r="E6569" s="17">
        <v>176.28</v>
      </c>
      <c r="F6569" s="16">
        <v>7.0000000000000007E-2</v>
      </c>
      <c r="G6569" s="15" t="s">
        <v>101</v>
      </c>
      <c r="H6569" s="18">
        <v>-80.30449999999999</v>
      </c>
      <c r="I6569" s="19">
        <v>5.18</v>
      </c>
      <c r="J6569" s="19">
        <v>5.74</v>
      </c>
      <c r="K6569" s="19" t="s">
        <v>33</v>
      </c>
      <c r="L6569" s="19" t="s">
        <v>93</v>
      </c>
      <c r="M6569" s="15" t="s">
        <v>94</v>
      </c>
      <c r="N6569" s="15" t="s">
        <v>36</v>
      </c>
      <c r="O6569" s="15" t="s">
        <v>170</v>
      </c>
      <c r="P6569" s="20" t="s">
        <v>547</v>
      </c>
      <c r="Q6569" s="15" t="s">
        <v>83</v>
      </c>
      <c r="R6569" s="4"/>
      <c r="S6569" s="4"/>
    </row>
    <row r="6570" spans="1:19" ht="21" customHeight="1" x14ac:dyDescent="0.25">
      <c r="A6570" s="14">
        <f>DATE(2012,12,31)-1444</f>
        <v>39830</v>
      </c>
      <c r="B6570" s="15" t="s">
        <v>1075</v>
      </c>
      <c r="C6570" s="15" t="s">
        <v>85</v>
      </c>
      <c r="D6570" s="16">
        <v>18</v>
      </c>
      <c r="E6570" s="17">
        <v>130.11000000000001</v>
      </c>
      <c r="F6570" s="16">
        <v>0.1</v>
      </c>
      <c r="G6570" s="15" t="s">
        <v>32</v>
      </c>
      <c r="H6570" s="18">
        <v>40.299999999999997</v>
      </c>
      <c r="I6570" s="19">
        <v>7.64</v>
      </c>
      <c r="J6570" s="19">
        <v>1.39</v>
      </c>
      <c r="K6570" s="19" t="s">
        <v>33</v>
      </c>
      <c r="L6570" s="19" t="s">
        <v>59</v>
      </c>
      <c r="M6570" s="15" t="s">
        <v>2269</v>
      </c>
      <c r="N6570" s="15" t="s">
        <v>36</v>
      </c>
      <c r="O6570" s="15" t="s">
        <v>189</v>
      </c>
      <c r="P6570" s="20" t="s">
        <v>1561</v>
      </c>
      <c r="Q6570" s="15" t="s">
        <v>83</v>
      </c>
      <c r="R6570" s="4"/>
      <c r="S6570" s="4"/>
    </row>
    <row r="6571" spans="1:19" ht="21" customHeight="1" x14ac:dyDescent="0.25">
      <c r="A6571" s="14">
        <f>DATE(2012,12,31)-1444</f>
        <v>39830</v>
      </c>
      <c r="B6571" s="15" t="s">
        <v>138</v>
      </c>
      <c r="C6571" s="15" t="s">
        <v>85</v>
      </c>
      <c r="D6571" s="16">
        <v>3</v>
      </c>
      <c r="E6571" s="17">
        <v>337.33949999999999</v>
      </c>
      <c r="F6571" s="16">
        <v>0</v>
      </c>
      <c r="G6571" s="15" t="s">
        <v>32</v>
      </c>
      <c r="H6571" s="18">
        <v>-509.93799999999999</v>
      </c>
      <c r="I6571" s="19">
        <v>125.99</v>
      </c>
      <c r="J6571" s="19">
        <v>2.5</v>
      </c>
      <c r="K6571" s="19" t="s">
        <v>33</v>
      </c>
      <c r="L6571" s="19" t="s">
        <v>34</v>
      </c>
      <c r="M6571" s="15" t="s">
        <v>2273</v>
      </c>
      <c r="N6571" s="15" t="s">
        <v>64</v>
      </c>
      <c r="O6571" s="15" t="s">
        <v>65</v>
      </c>
      <c r="P6571" s="20" t="s">
        <v>1400</v>
      </c>
      <c r="Q6571" s="15" t="s">
        <v>83</v>
      </c>
      <c r="R6571" s="4"/>
      <c r="S6571" s="4"/>
    </row>
    <row r="6572" spans="1:19" ht="21" customHeight="1" x14ac:dyDescent="0.25">
      <c r="A6572" s="14">
        <f>DATE(2012,12,31)-1444</f>
        <v>39830</v>
      </c>
      <c r="B6572" s="15" t="s">
        <v>138</v>
      </c>
      <c r="C6572" s="15" t="s">
        <v>85</v>
      </c>
      <c r="D6572" s="16">
        <v>25</v>
      </c>
      <c r="E6572" s="17">
        <v>280.43</v>
      </c>
      <c r="F6572" s="16">
        <v>0.1</v>
      </c>
      <c r="G6572" s="15" t="s">
        <v>32</v>
      </c>
      <c r="H6572" s="18">
        <v>39.520000000000003</v>
      </c>
      <c r="I6572" s="19">
        <v>11.55</v>
      </c>
      <c r="J6572" s="19">
        <v>2.36</v>
      </c>
      <c r="K6572" s="19" t="s">
        <v>33</v>
      </c>
      <c r="L6572" s="19" t="s">
        <v>145</v>
      </c>
      <c r="M6572" s="15" t="s">
        <v>2248</v>
      </c>
      <c r="N6572" s="15" t="s">
        <v>36</v>
      </c>
      <c r="O6572" s="15" t="s">
        <v>77</v>
      </c>
      <c r="P6572" s="20" t="s">
        <v>1586</v>
      </c>
      <c r="Q6572" s="15" t="s">
        <v>79</v>
      </c>
      <c r="R6572" s="4"/>
      <c r="S6572" s="4"/>
    </row>
    <row r="6573" spans="1:19" ht="21" customHeight="1" x14ac:dyDescent="0.25">
      <c r="A6573" s="14">
        <f>DATE(2012,12,31)-573</f>
        <v>40701</v>
      </c>
      <c r="B6573" s="15" t="s">
        <v>348</v>
      </c>
      <c r="C6573" s="15" t="s">
        <v>31</v>
      </c>
      <c r="D6573" s="16">
        <v>27</v>
      </c>
      <c r="E6573" s="17">
        <v>632.54999999999995</v>
      </c>
      <c r="F6573" s="16">
        <v>0.05</v>
      </c>
      <c r="G6573" s="15" t="s">
        <v>32</v>
      </c>
      <c r="H6573" s="18">
        <v>165.35</v>
      </c>
      <c r="I6573" s="19">
        <v>22.72</v>
      </c>
      <c r="J6573" s="19">
        <v>8.99</v>
      </c>
      <c r="K6573" s="19" t="s">
        <v>33</v>
      </c>
      <c r="L6573" s="19" t="s">
        <v>59</v>
      </c>
      <c r="M6573" s="15" t="s">
        <v>2269</v>
      </c>
      <c r="N6573" s="15" t="s">
        <v>54</v>
      </c>
      <c r="O6573" s="15" t="s">
        <v>55</v>
      </c>
      <c r="P6573" s="20" t="s">
        <v>1182</v>
      </c>
      <c r="Q6573" s="15" t="s">
        <v>49</v>
      </c>
      <c r="R6573" s="4"/>
      <c r="S6573" s="4"/>
    </row>
    <row r="6574" spans="1:19" ht="21" customHeight="1" x14ac:dyDescent="0.25">
      <c r="A6574" s="14">
        <f>DATE(2012,12,31)-573</f>
        <v>40701</v>
      </c>
      <c r="B6574" s="15" t="s">
        <v>348</v>
      </c>
      <c r="C6574" s="15" t="s">
        <v>31</v>
      </c>
      <c r="D6574" s="16">
        <v>48</v>
      </c>
      <c r="E6574" s="17">
        <v>90.96</v>
      </c>
      <c r="F6574" s="16">
        <v>0.02</v>
      </c>
      <c r="G6574" s="15" t="s">
        <v>32</v>
      </c>
      <c r="H6574" s="18">
        <v>-30.11</v>
      </c>
      <c r="I6574" s="19">
        <v>1.81</v>
      </c>
      <c r="J6574" s="19">
        <v>1.56</v>
      </c>
      <c r="K6574" s="19" t="s">
        <v>33</v>
      </c>
      <c r="L6574" s="19" t="s">
        <v>145</v>
      </c>
      <c r="M6574" s="15" t="s">
        <v>2248</v>
      </c>
      <c r="N6574" s="15" t="s">
        <v>36</v>
      </c>
      <c r="O6574" s="15" t="s">
        <v>105</v>
      </c>
      <c r="P6574" s="20" t="s">
        <v>1581</v>
      </c>
      <c r="Q6574" s="15" t="s">
        <v>79</v>
      </c>
      <c r="R6574" s="4"/>
      <c r="S6574" s="4"/>
    </row>
    <row r="6575" spans="1:19" ht="21" customHeight="1" x14ac:dyDescent="0.25">
      <c r="A6575" s="14">
        <f>DATE(2012,12,31)-573</f>
        <v>40701</v>
      </c>
      <c r="B6575" s="15" t="s">
        <v>1909</v>
      </c>
      <c r="C6575" s="15" t="s">
        <v>31</v>
      </c>
      <c r="D6575" s="16">
        <v>32</v>
      </c>
      <c r="E6575" s="17">
        <v>1997.13</v>
      </c>
      <c r="F6575" s="16">
        <v>0.05</v>
      </c>
      <c r="G6575" s="15" t="s">
        <v>32</v>
      </c>
      <c r="H6575" s="18">
        <v>720.45</v>
      </c>
      <c r="I6575" s="19">
        <v>63.94</v>
      </c>
      <c r="J6575" s="19">
        <v>14.48</v>
      </c>
      <c r="K6575" s="19" t="s">
        <v>33</v>
      </c>
      <c r="L6575" s="19" t="s">
        <v>59</v>
      </c>
      <c r="M6575" s="15" t="s">
        <v>2269</v>
      </c>
      <c r="N6575" s="15" t="s">
        <v>54</v>
      </c>
      <c r="O6575" s="15" t="s">
        <v>55</v>
      </c>
      <c r="P6575" s="20" t="s">
        <v>1324</v>
      </c>
      <c r="Q6575" s="15" t="s">
        <v>83</v>
      </c>
      <c r="R6575" s="4"/>
      <c r="S6575" s="4"/>
    </row>
    <row r="6576" spans="1:19" ht="21" customHeight="1" x14ac:dyDescent="0.25">
      <c r="A6576" s="14">
        <f>DATE(2012,12,31)-184</f>
        <v>41090</v>
      </c>
      <c r="B6576" s="15" t="s">
        <v>300</v>
      </c>
      <c r="C6576" s="15" t="s">
        <v>31</v>
      </c>
      <c r="D6576" s="16">
        <v>5</v>
      </c>
      <c r="E6576" s="17">
        <v>294</v>
      </c>
      <c r="F6576" s="16">
        <v>0</v>
      </c>
      <c r="G6576" s="15" t="s">
        <v>32</v>
      </c>
      <c r="H6576" s="18">
        <v>181.53</v>
      </c>
      <c r="I6576" s="19">
        <v>54.74</v>
      </c>
      <c r="J6576" s="19">
        <v>14.83</v>
      </c>
      <c r="K6576" s="19" t="s">
        <v>33</v>
      </c>
      <c r="L6576" s="19" t="s">
        <v>59</v>
      </c>
      <c r="M6576" s="15" t="s">
        <v>2269</v>
      </c>
      <c r="N6576" s="15" t="s">
        <v>54</v>
      </c>
      <c r="O6576" s="15" t="s">
        <v>55</v>
      </c>
      <c r="P6576" s="20" t="s">
        <v>1517</v>
      </c>
      <c r="Q6576" s="15" t="s">
        <v>83</v>
      </c>
      <c r="R6576" s="4"/>
      <c r="S6576" s="4"/>
    </row>
    <row r="6577" spans="1:19" ht="21" customHeight="1" x14ac:dyDescent="0.25">
      <c r="A6577" s="14">
        <f>DATE(2012,12,31)-455</f>
        <v>40819</v>
      </c>
      <c r="B6577" s="15" t="s">
        <v>300</v>
      </c>
      <c r="C6577" s="15" t="s">
        <v>51</v>
      </c>
      <c r="D6577" s="16">
        <v>40</v>
      </c>
      <c r="E6577" s="17">
        <v>115.51</v>
      </c>
      <c r="F6577" s="16">
        <v>0</v>
      </c>
      <c r="G6577" s="15" t="s">
        <v>32</v>
      </c>
      <c r="H6577" s="18">
        <v>5.54</v>
      </c>
      <c r="I6577" s="19">
        <v>2.78</v>
      </c>
      <c r="J6577" s="19">
        <v>0.97</v>
      </c>
      <c r="K6577" s="19" t="s">
        <v>33</v>
      </c>
      <c r="L6577" s="19" t="s">
        <v>145</v>
      </c>
      <c r="M6577" s="15" t="s">
        <v>2248</v>
      </c>
      <c r="N6577" s="15" t="s">
        <v>36</v>
      </c>
      <c r="O6577" s="15" t="s">
        <v>77</v>
      </c>
      <c r="P6577" s="20" t="s">
        <v>1501</v>
      </c>
      <c r="Q6577" s="15" t="s">
        <v>79</v>
      </c>
      <c r="R6577" s="4"/>
      <c r="S6577" s="4"/>
    </row>
    <row r="6578" spans="1:19" ht="21" customHeight="1" x14ac:dyDescent="0.25">
      <c r="A6578" s="14">
        <f>DATE(2012,12,31)-455</f>
        <v>40819</v>
      </c>
      <c r="B6578" s="15" t="s">
        <v>1023</v>
      </c>
      <c r="C6578" s="15" t="s">
        <v>51</v>
      </c>
      <c r="D6578" s="16">
        <v>40</v>
      </c>
      <c r="E6578" s="17">
        <v>103.79</v>
      </c>
      <c r="F6578" s="16">
        <v>0.03</v>
      </c>
      <c r="G6578" s="15" t="s">
        <v>32</v>
      </c>
      <c r="H6578" s="18">
        <v>37.85</v>
      </c>
      <c r="I6578" s="19">
        <v>2.61</v>
      </c>
      <c r="J6578" s="19">
        <v>0.5</v>
      </c>
      <c r="K6578" s="19" t="s">
        <v>33</v>
      </c>
      <c r="L6578" s="19" t="s">
        <v>59</v>
      </c>
      <c r="M6578" s="15" t="s">
        <v>2269</v>
      </c>
      <c r="N6578" s="15" t="s">
        <v>36</v>
      </c>
      <c r="O6578" s="15" t="s">
        <v>114</v>
      </c>
      <c r="P6578" s="20" t="s">
        <v>379</v>
      </c>
      <c r="Q6578" s="15" t="s">
        <v>83</v>
      </c>
      <c r="R6578" s="4"/>
      <c r="S6578" s="4"/>
    </row>
    <row r="6579" spans="1:19" ht="21" customHeight="1" x14ac:dyDescent="0.25">
      <c r="A6579" s="14">
        <f>DATE(2012,12,31)-455</f>
        <v>40819</v>
      </c>
      <c r="B6579" s="15" t="s">
        <v>1580</v>
      </c>
      <c r="C6579" s="15" t="s">
        <v>51</v>
      </c>
      <c r="D6579" s="16">
        <v>40</v>
      </c>
      <c r="E6579" s="17">
        <v>2108.21</v>
      </c>
      <c r="F6579" s="16">
        <v>0.03</v>
      </c>
      <c r="G6579" s="15" t="s">
        <v>32</v>
      </c>
      <c r="H6579" s="18">
        <v>273.61</v>
      </c>
      <c r="I6579" s="19">
        <v>51.75</v>
      </c>
      <c r="J6579" s="19">
        <v>19.989999999999998</v>
      </c>
      <c r="K6579" s="19" t="s">
        <v>33</v>
      </c>
      <c r="L6579" s="19" t="s">
        <v>145</v>
      </c>
      <c r="M6579" s="15" t="s">
        <v>2313</v>
      </c>
      <c r="N6579" s="15" t="s">
        <v>54</v>
      </c>
      <c r="O6579" s="15" t="s">
        <v>55</v>
      </c>
      <c r="P6579" s="20" t="s">
        <v>966</v>
      </c>
      <c r="Q6579" s="15" t="s">
        <v>83</v>
      </c>
      <c r="R6579" s="4"/>
      <c r="S6579" s="4"/>
    </row>
    <row r="6580" spans="1:19" ht="21" customHeight="1" x14ac:dyDescent="0.25">
      <c r="A6580" s="14">
        <f>DATE(2012,12,31)-1292</f>
        <v>39982</v>
      </c>
      <c r="B6580" s="15" t="s">
        <v>175</v>
      </c>
      <c r="C6580" s="15" t="s">
        <v>31</v>
      </c>
      <c r="D6580" s="16">
        <v>31</v>
      </c>
      <c r="E6580" s="17">
        <v>4483.92</v>
      </c>
      <c r="F6580" s="16">
        <v>7.0000000000000007E-2</v>
      </c>
      <c r="G6580" s="15" t="s">
        <v>32</v>
      </c>
      <c r="H6580" s="18">
        <v>174.61</v>
      </c>
      <c r="I6580" s="19">
        <v>152.47999999999999</v>
      </c>
      <c r="J6580" s="19">
        <v>6.5</v>
      </c>
      <c r="K6580" s="19" t="s">
        <v>33</v>
      </c>
      <c r="L6580" s="19" t="s">
        <v>59</v>
      </c>
      <c r="M6580" s="15" t="s">
        <v>2269</v>
      </c>
      <c r="N6580" s="15" t="s">
        <v>64</v>
      </c>
      <c r="O6580" s="15" t="s">
        <v>72</v>
      </c>
      <c r="P6580" s="20" t="s">
        <v>1694</v>
      </c>
      <c r="Q6580" s="15" t="s">
        <v>83</v>
      </c>
      <c r="R6580" s="4"/>
      <c r="S6580" s="4"/>
    </row>
    <row r="6581" spans="1:19" ht="21" customHeight="1" x14ac:dyDescent="0.25">
      <c r="A6581" s="14">
        <f>DATE(2012,12,31)-956</f>
        <v>40318</v>
      </c>
      <c r="B6581" s="15" t="s">
        <v>175</v>
      </c>
      <c r="C6581" s="15" t="s">
        <v>31</v>
      </c>
      <c r="D6581" s="16">
        <v>10</v>
      </c>
      <c r="E6581" s="17">
        <v>64.13</v>
      </c>
      <c r="F6581" s="16">
        <v>0.1</v>
      </c>
      <c r="G6581" s="15" t="s">
        <v>32</v>
      </c>
      <c r="H6581" s="18">
        <v>-28.968500000000002</v>
      </c>
      <c r="I6581" s="19">
        <v>6.54</v>
      </c>
      <c r="J6581" s="19">
        <v>5.27</v>
      </c>
      <c r="K6581" s="19" t="s">
        <v>33</v>
      </c>
      <c r="L6581" s="19" t="s">
        <v>34</v>
      </c>
      <c r="M6581" s="15" t="s">
        <v>2273</v>
      </c>
      <c r="N6581" s="15" t="s">
        <v>36</v>
      </c>
      <c r="O6581" s="15" t="s">
        <v>170</v>
      </c>
      <c r="P6581" s="20" t="s">
        <v>480</v>
      </c>
      <c r="Q6581" s="15" t="s">
        <v>83</v>
      </c>
      <c r="R6581" s="4"/>
      <c r="S6581" s="4"/>
    </row>
    <row r="6582" spans="1:19" ht="21" customHeight="1" x14ac:dyDescent="0.25">
      <c r="A6582" s="14">
        <f>DATE(2012,12,31)-1030</f>
        <v>40244</v>
      </c>
      <c r="B6582" s="15" t="s">
        <v>2229</v>
      </c>
      <c r="C6582" s="15" t="s">
        <v>51</v>
      </c>
      <c r="D6582" s="16">
        <v>37</v>
      </c>
      <c r="E6582" s="17">
        <v>319.39</v>
      </c>
      <c r="F6582" s="16">
        <v>0.03</v>
      </c>
      <c r="G6582" s="15" t="s">
        <v>32</v>
      </c>
      <c r="H6582" s="18">
        <v>-39.33</v>
      </c>
      <c r="I6582" s="19">
        <v>8.4600000000000009</v>
      </c>
      <c r="J6582" s="19">
        <v>3.62</v>
      </c>
      <c r="K6582" s="19" t="s">
        <v>33</v>
      </c>
      <c r="L6582" s="19" t="s">
        <v>145</v>
      </c>
      <c r="M6582" s="15" t="s">
        <v>2313</v>
      </c>
      <c r="N6582" s="15" t="s">
        <v>64</v>
      </c>
      <c r="O6582" s="15" t="s">
        <v>72</v>
      </c>
      <c r="P6582" s="20" t="s">
        <v>2020</v>
      </c>
      <c r="Q6582" s="15" t="s">
        <v>49</v>
      </c>
      <c r="R6582" s="4"/>
      <c r="S6582" s="4"/>
    </row>
    <row r="6583" spans="1:19" ht="21" customHeight="1" x14ac:dyDescent="0.25">
      <c r="A6583" s="14">
        <f>DATE(2012,12,31)-410</f>
        <v>40864</v>
      </c>
      <c r="B6583" s="15" t="s">
        <v>1282</v>
      </c>
      <c r="C6583" s="15" t="s">
        <v>85</v>
      </c>
      <c r="D6583" s="16">
        <v>26</v>
      </c>
      <c r="E6583" s="17">
        <v>2379.3285000000001</v>
      </c>
      <c r="F6583" s="16">
        <v>0.09</v>
      </c>
      <c r="G6583" s="15" t="s">
        <v>32</v>
      </c>
      <c r="H6583" s="18">
        <v>284.589</v>
      </c>
      <c r="I6583" s="19">
        <v>115.99</v>
      </c>
      <c r="J6583" s="19">
        <v>5.92</v>
      </c>
      <c r="K6583" s="19" t="s">
        <v>33</v>
      </c>
      <c r="L6583" s="19" t="s">
        <v>145</v>
      </c>
      <c r="M6583" s="15" t="s">
        <v>2313</v>
      </c>
      <c r="N6583" s="15" t="s">
        <v>64</v>
      </c>
      <c r="O6583" s="15" t="s">
        <v>65</v>
      </c>
      <c r="P6583" s="20" t="s">
        <v>1296</v>
      </c>
      <c r="Q6583" s="15" t="s">
        <v>83</v>
      </c>
      <c r="R6583" s="4"/>
      <c r="S6583" s="4"/>
    </row>
    <row r="6584" spans="1:19" ht="21" customHeight="1" x14ac:dyDescent="0.25">
      <c r="A6584" s="14">
        <f>DATE(2012,12,31)-238</f>
        <v>41036</v>
      </c>
      <c r="B6584" s="15" t="s">
        <v>346</v>
      </c>
      <c r="C6584" s="15" t="s">
        <v>85</v>
      </c>
      <c r="D6584" s="16">
        <v>10</v>
      </c>
      <c r="E6584" s="17">
        <v>50.42</v>
      </c>
      <c r="F6584" s="16">
        <v>0.06</v>
      </c>
      <c r="G6584" s="15" t="s">
        <v>32</v>
      </c>
      <c r="H6584" s="18">
        <v>7.2504999999999997</v>
      </c>
      <c r="I6584" s="19">
        <v>4.82</v>
      </c>
      <c r="J6584" s="19">
        <v>1.49</v>
      </c>
      <c r="K6584" s="19" t="s">
        <v>33</v>
      </c>
      <c r="L6584" s="19" t="s">
        <v>145</v>
      </c>
      <c r="M6584" s="15" t="s">
        <v>2313</v>
      </c>
      <c r="N6584" s="15" t="s">
        <v>36</v>
      </c>
      <c r="O6584" s="15" t="s">
        <v>170</v>
      </c>
      <c r="P6584" s="20" t="s">
        <v>1986</v>
      </c>
      <c r="Q6584" s="15" t="s">
        <v>83</v>
      </c>
      <c r="R6584" s="4"/>
      <c r="S6584" s="4"/>
    </row>
    <row r="6585" spans="1:19" ht="21" customHeight="1" x14ac:dyDescent="0.25">
      <c r="A6585" s="14">
        <f>DATE(2012,12,31)-238</f>
        <v>41036</v>
      </c>
      <c r="B6585" s="15" t="s">
        <v>1890</v>
      </c>
      <c r="C6585" s="15" t="s">
        <v>85</v>
      </c>
      <c r="D6585" s="16">
        <v>19</v>
      </c>
      <c r="E6585" s="17">
        <v>2980.3719999999998</v>
      </c>
      <c r="F6585" s="16">
        <v>0.02</v>
      </c>
      <c r="G6585" s="15" t="s">
        <v>32</v>
      </c>
      <c r="H6585" s="18">
        <v>494.63100000000003</v>
      </c>
      <c r="I6585" s="19">
        <v>175.99</v>
      </c>
      <c r="J6585" s="19">
        <v>8.99</v>
      </c>
      <c r="K6585" s="19" t="s">
        <v>33</v>
      </c>
      <c r="L6585" s="19" t="s">
        <v>59</v>
      </c>
      <c r="M6585" s="15" t="s">
        <v>2269</v>
      </c>
      <c r="N6585" s="15" t="s">
        <v>64</v>
      </c>
      <c r="O6585" s="15" t="s">
        <v>65</v>
      </c>
      <c r="P6585" s="20" t="s">
        <v>427</v>
      </c>
      <c r="Q6585" s="15" t="s">
        <v>83</v>
      </c>
      <c r="R6585" s="4"/>
      <c r="S6585" s="4"/>
    </row>
    <row r="6586" spans="1:19" ht="21" customHeight="1" x14ac:dyDescent="0.25">
      <c r="A6586" s="14">
        <f>DATE(2012,12,31)-168</f>
        <v>41106</v>
      </c>
      <c r="B6586" s="15" t="s">
        <v>761</v>
      </c>
      <c r="C6586" s="15" t="s">
        <v>31</v>
      </c>
      <c r="D6586" s="16">
        <v>30</v>
      </c>
      <c r="E6586" s="17">
        <v>8718.4599999999991</v>
      </c>
      <c r="F6586" s="16">
        <v>0.09</v>
      </c>
      <c r="G6586" s="15" t="s">
        <v>58</v>
      </c>
      <c r="H6586" s="18">
        <v>1554.85</v>
      </c>
      <c r="I6586" s="19">
        <v>306.14</v>
      </c>
      <c r="J6586" s="19">
        <v>26.53</v>
      </c>
      <c r="K6586" s="19" t="s">
        <v>33</v>
      </c>
      <c r="L6586" s="19" t="s">
        <v>93</v>
      </c>
      <c r="M6586" s="15" t="s">
        <v>94</v>
      </c>
      <c r="N6586" s="15" t="s">
        <v>64</v>
      </c>
      <c r="O6586" s="15" t="s">
        <v>122</v>
      </c>
      <c r="P6586" s="20" t="s">
        <v>1717</v>
      </c>
      <c r="Q6586" s="15" t="s">
        <v>181</v>
      </c>
      <c r="R6586" s="4"/>
      <c r="S6586" s="4"/>
    </row>
    <row r="6587" spans="1:19" ht="21" customHeight="1" x14ac:dyDescent="0.25">
      <c r="A6587" s="14">
        <f>DATE(2012,12,31)-168</f>
        <v>41106</v>
      </c>
      <c r="B6587" s="15" t="s">
        <v>761</v>
      </c>
      <c r="C6587" s="15" t="s">
        <v>31</v>
      </c>
      <c r="D6587" s="16">
        <v>26</v>
      </c>
      <c r="E6587" s="17">
        <v>135.88</v>
      </c>
      <c r="F6587" s="16">
        <v>0.05</v>
      </c>
      <c r="G6587" s="15" t="s">
        <v>32</v>
      </c>
      <c r="H6587" s="18">
        <v>-66.02</v>
      </c>
      <c r="I6587" s="19">
        <v>4.9800000000000004</v>
      </c>
      <c r="J6587" s="19">
        <v>5.49</v>
      </c>
      <c r="K6587" s="19" t="s">
        <v>33</v>
      </c>
      <c r="L6587" s="19" t="s">
        <v>145</v>
      </c>
      <c r="M6587" s="15" t="s">
        <v>2313</v>
      </c>
      <c r="N6587" s="15" t="s">
        <v>36</v>
      </c>
      <c r="O6587" s="15" t="s">
        <v>117</v>
      </c>
      <c r="P6587" s="20" t="s">
        <v>2314</v>
      </c>
      <c r="Q6587" s="15" t="s">
        <v>83</v>
      </c>
      <c r="R6587" s="4"/>
      <c r="S6587" s="4"/>
    </row>
    <row r="6588" spans="1:19" ht="21" customHeight="1" x14ac:dyDescent="0.25">
      <c r="A6588" s="14">
        <f>DATE(2012,12,31)-714</f>
        <v>40560</v>
      </c>
      <c r="B6588" s="15" t="s">
        <v>761</v>
      </c>
      <c r="C6588" s="15" t="s">
        <v>85</v>
      </c>
      <c r="D6588" s="16">
        <v>34</v>
      </c>
      <c r="E6588" s="17">
        <v>216.3</v>
      </c>
      <c r="F6588" s="16">
        <v>0.01</v>
      </c>
      <c r="G6588" s="15" t="s">
        <v>32</v>
      </c>
      <c r="H6588" s="18">
        <v>103.16</v>
      </c>
      <c r="I6588" s="19">
        <v>6.3</v>
      </c>
      <c r="J6588" s="19">
        <v>0.5</v>
      </c>
      <c r="K6588" s="19" t="s">
        <v>33</v>
      </c>
      <c r="L6588" s="19" t="s">
        <v>59</v>
      </c>
      <c r="M6588" s="15" t="s">
        <v>2269</v>
      </c>
      <c r="N6588" s="15" t="s">
        <v>36</v>
      </c>
      <c r="O6588" s="15" t="s">
        <v>114</v>
      </c>
      <c r="P6588" s="20" t="s">
        <v>996</v>
      </c>
      <c r="Q6588" s="15" t="s">
        <v>83</v>
      </c>
      <c r="R6588" s="4"/>
      <c r="S6588" s="4"/>
    </row>
    <row r="6589" spans="1:19" ht="21" customHeight="1" x14ac:dyDescent="0.25">
      <c r="A6589" s="14">
        <f>DATE(2012,12,31)-1423</f>
        <v>39851</v>
      </c>
      <c r="B6589" s="15" t="s">
        <v>1755</v>
      </c>
      <c r="C6589" s="15" t="s">
        <v>85</v>
      </c>
      <c r="D6589" s="16">
        <v>46</v>
      </c>
      <c r="E6589" s="17">
        <v>1398.87</v>
      </c>
      <c r="F6589" s="16">
        <v>7.0000000000000007E-2</v>
      </c>
      <c r="G6589" s="15" t="s">
        <v>32</v>
      </c>
      <c r="H6589" s="18">
        <v>601.9615</v>
      </c>
      <c r="I6589" s="19">
        <v>30.56</v>
      </c>
      <c r="J6589" s="19">
        <v>2.99</v>
      </c>
      <c r="K6589" s="19" t="s">
        <v>33</v>
      </c>
      <c r="L6589" s="19" t="s">
        <v>59</v>
      </c>
      <c r="M6589" s="15" t="s">
        <v>2269</v>
      </c>
      <c r="N6589" s="15" t="s">
        <v>36</v>
      </c>
      <c r="O6589" s="15" t="s">
        <v>170</v>
      </c>
      <c r="P6589" s="20" t="s">
        <v>927</v>
      </c>
      <c r="Q6589" s="15" t="s">
        <v>83</v>
      </c>
      <c r="R6589" s="4"/>
      <c r="S6589" s="4"/>
    </row>
    <row r="6590" spans="1:19" ht="21" customHeight="1" x14ac:dyDescent="0.25">
      <c r="A6590" s="14">
        <f>DATE(2012,12,31)-1306</f>
        <v>39968</v>
      </c>
      <c r="B6590" s="15" t="s">
        <v>1755</v>
      </c>
      <c r="C6590" s="15" t="s">
        <v>85</v>
      </c>
      <c r="D6590" s="16">
        <v>32</v>
      </c>
      <c r="E6590" s="17">
        <v>1587.16</v>
      </c>
      <c r="F6590" s="16">
        <v>0.09</v>
      </c>
      <c r="G6590" s="15" t="s">
        <v>101</v>
      </c>
      <c r="H6590" s="18">
        <v>-22.33</v>
      </c>
      <c r="I6590" s="19">
        <v>49.99</v>
      </c>
      <c r="J6590" s="19">
        <v>19.989999999999998</v>
      </c>
      <c r="K6590" s="19" t="s">
        <v>33</v>
      </c>
      <c r="L6590" s="19" t="s">
        <v>59</v>
      </c>
      <c r="M6590" s="15" t="s">
        <v>2269</v>
      </c>
      <c r="N6590" s="15" t="s">
        <v>64</v>
      </c>
      <c r="O6590" s="15" t="s">
        <v>72</v>
      </c>
      <c r="P6590" s="20" t="s">
        <v>2289</v>
      </c>
      <c r="Q6590" s="15" t="s">
        <v>83</v>
      </c>
      <c r="R6590" s="4"/>
      <c r="S6590" s="4"/>
    </row>
    <row r="6591" spans="1:19" ht="21" customHeight="1" x14ac:dyDescent="0.25">
      <c r="A6591" s="14">
        <f>DATE(2012,12,31)-455</f>
        <v>40819</v>
      </c>
      <c r="B6591" s="15" t="s">
        <v>1755</v>
      </c>
      <c r="C6591" s="15" t="s">
        <v>85</v>
      </c>
      <c r="D6591" s="16">
        <v>11</v>
      </c>
      <c r="E6591" s="17">
        <v>1479.14</v>
      </c>
      <c r="F6591" s="16">
        <v>0.06</v>
      </c>
      <c r="G6591" s="15" t="s">
        <v>58</v>
      </c>
      <c r="H6591" s="18">
        <v>-236.63</v>
      </c>
      <c r="I6591" s="19">
        <v>130.97999999999999</v>
      </c>
      <c r="J6591" s="19">
        <v>30</v>
      </c>
      <c r="K6591" s="19" t="s">
        <v>33</v>
      </c>
      <c r="L6591" s="19" t="s">
        <v>59</v>
      </c>
      <c r="M6591" s="15" t="s">
        <v>2269</v>
      </c>
      <c r="N6591" s="15" t="s">
        <v>54</v>
      </c>
      <c r="O6591" s="15" t="s">
        <v>252</v>
      </c>
      <c r="P6591" s="20" t="s">
        <v>1787</v>
      </c>
      <c r="Q6591" s="15" t="s">
        <v>181</v>
      </c>
      <c r="R6591" s="4"/>
      <c r="S6591" s="4"/>
    </row>
    <row r="6592" spans="1:19" ht="21" customHeight="1" x14ac:dyDescent="0.25">
      <c r="A6592" s="14">
        <f>DATE(2012,12,31)-1411</f>
        <v>39863</v>
      </c>
      <c r="B6592" s="15" t="s">
        <v>1110</v>
      </c>
      <c r="C6592" s="15" t="s">
        <v>51</v>
      </c>
      <c r="D6592" s="16">
        <v>33</v>
      </c>
      <c r="E6592" s="17">
        <v>373.13</v>
      </c>
      <c r="F6592" s="16">
        <v>0.05</v>
      </c>
      <c r="G6592" s="15" t="s">
        <v>32</v>
      </c>
      <c r="H6592" s="18">
        <v>-35.26</v>
      </c>
      <c r="I6592" s="19">
        <v>11.29</v>
      </c>
      <c r="J6592" s="19">
        <v>5.03</v>
      </c>
      <c r="K6592" s="19" t="s">
        <v>33</v>
      </c>
      <c r="L6592" s="19" t="s">
        <v>34</v>
      </c>
      <c r="M6592" s="15" t="s">
        <v>2315</v>
      </c>
      <c r="N6592" s="15" t="s">
        <v>36</v>
      </c>
      <c r="O6592" s="15" t="s">
        <v>37</v>
      </c>
      <c r="P6592" s="20" t="s">
        <v>1968</v>
      </c>
      <c r="Q6592" s="15" t="s">
        <v>83</v>
      </c>
      <c r="R6592" s="4"/>
      <c r="S6592" s="4"/>
    </row>
    <row r="6593" spans="1:19" ht="21" customHeight="1" x14ac:dyDescent="0.25">
      <c r="A6593" s="14">
        <f>DATE(2012,12,31)-963</f>
        <v>40311</v>
      </c>
      <c r="B6593" s="15" t="s">
        <v>728</v>
      </c>
      <c r="C6593" s="15" t="s">
        <v>31</v>
      </c>
      <c r="D6593" s="16">
        <v>35</v>
      </c>
      <c r="E6593" s="17">
        <v>584.41999999999996</v>
      </c>
      <c r="F6593" s="16">
        <v>0.08</v>
      </c>
      <c r="G6593" s="15" t="s">
        <v>101</v>
      </c>
      <c r="H6593" s="18">
        <v>-97.21</v>
      </c>
      <c r="I6593" s="19">
        <v>16.989999999999998</v>
      </c>
      <c r="J6593" s="19">
        <v>8.99</v>
      </c>
      <c r="K6593" s="19" t="s">
        <v>33</v>
      </c>
      <c r="L6593" s="19" t="s">
        <v>34</v>
      </c>
      <c r="M6593" s="15" t="s">
        <v>2315</v>
      </c>
      <c r="N6593" s="15" t="s">
        <v>36</v>
      </c>
      <c r="O6593" s="15" t="s">
        <v>77</v>
      </c>
      <c r="P6593" s="20" t="s">
        <v>1430</v>
      </c>
      <c r="Q6593" s="15" t="s">
        <v>49</v>
      </c>
      <c r="R6593" s="4"/>
      <c r="S6593" s="4"/>
    </row>
    <row r="6594" spans="1:19" ht="21" customHeight="1" x14ac:dyDescent="0.25">
      <c r="A6594" s="14">
        <f>DATE(2012,12,31)-232</f>
        <v>41042</v>
      </c>
      <c r="B6594" s="15" t="s">
        <v>728</v>
      </c>
      <c r="C6594" s="15" t="s">
        <v>85</v>
      </c>
      <c r="D6594" s="16">
        <v>33</v>
      </c>
      <c r="E6594" s="17">
        <v>803.11</v>
      </c>
      <c r="F6594" s="16">
        <v>0.08</v>
      </c>
      <c r="G6594" s="15" t="s">
        <v>58</v>
      </c>
      <c r="H6594" s="18">
        <v>-237.13</v>
      </c>
      <c r="I6594" s="19">
        <v>25.98</v>
      </c>
      <c r="J6594" s="19">
        <v>14.36</v>
      </c>
      <c r="K6594" s="19" t="s">
        <v>69</v>
      </c>
      <c r="L6594" s="19" t="s">
        <v>70</v>
      </c>
      <c r="M6594" s="15" t="s">
        <v>2230</v>
      </c>
      <c r="N6594" s="15" t="s">
        <v>54</v>
      </c>
      <c r="O6594" s="15" t="s">
        <v>252</v>
      </c>
      <c r="P6594" s="20" t="s">
        <v>587</v>
      </c>
      <c r="Q6594" s="15" t="s">
        <v>181</v>
      </c>
      <c r="R6594" s="4"/>
      <c r="S6594" s="4"/>
    </row>
    <row r="6595" spans="1:19" ht="21" customHeight="1" x14ac:dyDescent="0.25">
      <c r="A6595" s="14">
        <f>DATE(2012,12,31)-687</f>
        <v>40587</v>
      </c>
      <c r="B6595" s="15" t="s">
        <v>728</v>
      </c>
      <c r="C6595" s="15" t="s">
        <v>43</v>
      </c>
      <c r="D6595" s="16">
        <v>19</v>
      </c>
      <c r="E6595" s="17">
        <v>5441.06</v>
      </c>
      <c r="F6595" s="16">
        <v>0.06</v>
      </c>
      <c r="G6595" s="15" t="s">
        <v>58</v>
      </c>
      <c r="H6595" s="18">
        <v>-557.20000000000005</v>
      </c>
      <c r="I6595" s="19">
        <v>286.85000000000002</v>
      </c>
      <c r="J6595" s="19">
        <v>61.76</v>
      </c>
      <c r="K6595" s="19" t="s">
        <v>69</v>
      </c>
      <c r="L6595" s="19" t="s">
        <v>70</v>
      </c>
      <c r="M6595" s="15" t="s">
        <v>2230</v>
      </c>
      <c r="N6595" s="15" t="s">
        <v>54</v>
      </c>
      <c r="O6595" s="15" t="s">
        <v>61</v>
      </c>
      <c r="P6595" s="20" t="s">
        <v>2002</v>
      </c>
      <c r="Q6595" s="15" t="s">
        <v>63</v>
      </c>
      <c r="R6595" s="4"/>
      <c r="S6595" s="4"/>
    </row>
    <row r="6596" spans="1:19" ht="21" customHeight="1" x14ac:dyDescent="0.25">
      <c r="A6596" s="14">
        <f>DATE(2012,12,31)-868</f>
        <v>40406</v>
      </c>
      <c r="B6596" s="15" t="s">
        <v>1508</v>
      </c>
      <c r="C6596" s="15" t="s">
        <v>51</v>
      </c>
      <c r="D6596" s="16">
        <v>38</v>
      </c>
      <c r="E6596" s="17">
        <v>487.98</v>
      </c>
      <c r="F6596" s="16">
        <v>0.01</v>
      </c>
      <c r="G6596" s="15" t="s">
        <v>32</v>
      </c>
      <c r="H6596" s="18">
        <v>8.1005000000000003</v>
      </c>
      <c r="I6596" s="19">
        <v>12.53</v>
      </c>
      <c r="J6596" s="19">
        <v>7.17</v>
      </c>
      <c r="K6596" s="19" t="s">
        <v>69</v>
      </c>
      <c r="L6596" s="19" t="s">
        <v>75</v>
      </c>
      <c r="M6596" s="15" t="s">
        <v>2284</v>
      </c>
      <c r="N6596" s="15" t="s">
        <v>36</v>
      </c>
      <c r="O6596" s="15" t="s">
        <v>170</v>
      </c>
      <c r="P6596" s="20" t="s">
        <v>473</v>
      </c>
      <c r="Q6596" s="15" t="s">
        <v>83</v>
      </c>
      <c r="R6596" s="4"/>
      <c r="S6596" s="4"/>
    </row>
    <row r="6597" spans="1:19" ht="21" customHeight="1" x14ac:dyDescent="0.25">
      <c r="A6597" s="14">
        <f>DATE(2012,12,31)-274</f>
        <v>41000</v>
      </c>
      <c r="B6597" s="15" t="s">
        <v>1755</v>
      </c>
      <c r="C6597" s="15" t="s">
        <v>43</v>
      </c>
      <c r="D6597" s="16">
        <v>35</v>
      </c>
      <c r="E6597" s="17">
        <v>154</v>
      </c>
      <c r="F6597" s="16">
        <v>0.08</v>
      </c>
      <c r="G6597" s="15" t="s">
        <v>32</v>
      </c>
      <c r="H6597" s="18">
        <v>-7.08</v>
      </c>
      <c r="I6597" s="19">
        <v>4.63</v>
      </c>
      <c r="J6597" s="19">
        <v>1.93</v>
      </c>
      <c r="K6597" s="19" t="s">
        <v>69</v>
      </c>
      <c r="L6597" s="19" t="s">
        <v>75</v>
      </c>
      <c r="M6597" s="15" t="s">
        <v>2284</v>
      </c>
      <c r="N6597" s="15" t="s">
        <v>36</v>
      </c>
      <c r="O6597" s="15" t="s">
        <v>77</v>
      </c>
      <c r="P6597" s="20" t="s">
        <v>182</v>
      </c>
      <c r="Q6597" s="15" t="s">
        <v>79</v>
      </c>
      <c r="R6597" s="4"/>
      <c r="S6597" s="4"/>
    </row>
    <row r="6598" spans="1:19" ht="21" customHeight="1" x14ac:dyDescent="0.25">
      <c r="A6598" s="14">
        <f>DATE(2012,12,31)-304</f>
        <v>40970</v>
      </c>
      <c r="B6598" s="15" t="s">
        <v>818</v>
      </c>
      <c r="C6598" s="15" t="s">
        <v>85</v>
      </c>
      <c r="D6598" s="16">
        <v>45</v>
      </c>
      <c r="E6598" s="17">
        <v>1375.3764999999999</v>
      </c>
      <c r="F6598" s="16">
        <v>0.03</v>
      </c>
      <c r="G6598" s="15" t="s">
        <v>32</v>
      </c>
      <c r="H6598" s="18">
        <v>592.21799999999996</v>
      </c>
      <c r="I6598" s="19">
        <v>35.99</v>
      </c>
      <c r="J6598" s="19">
        <v>3.3</v>
      </c>
      <c r="K6598" s="19" t="s">
        <v>69</v>
      </c>
      <c r="L6598" s="19" t="s">
        <v>70</v>
      </c>
      <c r="M6598" s="15" t="s">
        <v>2230</v>
      </c>
      <c r="N6598" s="15" t="s">
        <v>64</v>
      </c>
      <c r="O6598" s="15" t="s">
        <v>65</v>
      </c>
      <c r="P6598" s="20" t="s">
        <v>385</v>
      </c>
      <c r="Q6598" s="15" t="s">
        <v>49</v>
      </c>
      <c r="R6598" s="4"/>
      <c r="S6598" s="4"/>
    </row>
    <row r="6599" spans="1:19" ht="21" customHeight="1" x14ac:dyDescent="0.25">
      <c r="A6599" s="14">
        <f>DATE(2012,12,31)-441</f>
        <v>40833</v>
      </c>
      <c r="B6599" s="15" t="s">
        <v>1488</v>
      </c>
      <c r="C6599" s="15" t="s">
        <v>85</v>
      </c>
      <c r="D6599" s="16">
        <v>42</v>
      </c>
      <c r="E6599" s="17">
        <v>4346.9799999999996</v>
      </c>
      <c r="F6599" s="16">
        <v>0.05</v>
      </c>
      <c r="G6599" s="15" t="s">
        <v>58</v>
      </c>
      <c r="H6599" s="18">
        <v>10.220000000000001</v>
      </c>
      <c r="I6599" s="19">
        <v>100.98</v>
      </c>
      <c r="J6599" s="19">
        <v>35.840000000000003</v>
      </c>
      <c r="K6599" s="19" t="s">
        <v>69</v>
      </c>
      <c r="L6599" s="19" t="s">
        <v>75</v>
      </c>
      <c r="M6599" s="15" t="s">
        <v>2284</v>
      </c>
      <c r="N6599" s="15" t="s">
        <v>54</v>
      </c>
      <c r="O6599" s="15" t="s">
        <v>134</v>
      </c>
      <c r="P6599" s="20" t="s">
        <v>1053</v>
      </c>
      <c r="Q6599" s="15" t="s">
        <v>63</v>
      </c>
      <c r="R6599" s="4"/>
      <c r="S6599" s="4"/>
    </row>
    <row r="6600" spans="1:19" ht="21" customHeight="1" x14ac:dyDescent="0.25">
      <c r="A6600" s="14">
        <f>DATE(2012,12,31)-987</f>
        <v>40287</v>
      </c>
      <c r="B6600" s="15" t="s">
        <v>919</v>
      </c>
      <c r="C6600" s="15" t="s">
        <v>85</v>
      </c>
      <c r="D6600" s="16">
        <v>18</v>
      </c>
      <c r="E6600" s="17">
        <v>84.74</v>
      </c>
      <c r="F6600" s="16">
        <v>0.06</v>
      </c>
      <c r="G6600" s="15" t="s">
        <v>32</v>
      </c>
      <c r="H6600" s="18">
        <v>34.1</v>
      </c>
      <c r="I6600" s="19">
        <v>4.91</v>
      </c>
      <c r="J6600" s="19">
        <v>0.5</v>
      </c>
      <c r="K6600" s="19" t="s">
        <v>69</v>
      </c>
      <c r="L6600" s="19" t="s">
        <v>70</v>
      </c>
      <c r="M6600" s="15" t="s">
        <v>2230</v>
      </c>
      <c r="N6600" s="15" t="s">
        <v>36</v>
      </c>
      <c r="O6600" s="15" t="s">
        <v>114</v>
      </c>
      <c r="P6600" s="20" t="s">
        <v>1789</v>
      </c>
      <c r="Q6600" s="15" t="s">
        <v>83</v>
      </c>
      <c r="R6600" s="4"/>
      <c r="S6600" s="4"/>
    </row>
    <row r="6601" spans="1:19" ht="21" customHeight="1" x14ac:dyDescent="0.25">
      <c r="A6601" s="14">
        <f>DATE(2012,12,31)-987</f>
        <v>40287</v>
      </c>
      <c r="B6601" s="15" t="s">
        <v>919</v>
      </c>
      <c r="C6601" s="15" t="s">
        <v>85</v>
      </c>
      <c r="D6601" s="16">
        <v>43</v>
      </c>
      <c r="E6601" s="17">
        <v>279.83</v>
      </c>
      <c r="F6601" s="16">
        <v>0.01</v>
      </c>
      <c r="G6601" s="15" t="s">
        <v>32</v>
      </c>
      <c r="H6601" s="18">
        <v>77.040000000000006</v>
      </c>
      <c r="I6601" s="19">
        <v>6.04</v>
      </c>
      <c r="J6601" s="19">
        <v>2.14</v>
      </c>
      <c r="K6601" s="19" t="s">
        <v>69</v>
      </c>
      <c r="L6601" s="19" t="s">
        <v>75</v>
      </c>
      <c r="M6601" s="15" t="s">
        <v>2284</v>
      </c>
      <c r="N6601" s="15" t="s">
        <v>36</v>
      </c>
      <c r="O6601" s="15" t="s">
        <v>117</v>
      </c>
      <c r="P6601" s="20" t="s">
        <v>1490</v>
      </c>
      <c r="Q6601" s="15" t="s">
        <v>79</v>
      </c>
      <c r="R6601" s="4"/>
      <c r="S6601" s="4"/>
    </row>
    <row r="6602" spans="1:19" ht="21" customHeight="1" x14ac:dyDescent="0.25">
      <c r="A6602" s="14">
        <f>DATE(2012,12,31)-987</f>
        <v>40287</v>
      </c>
      <c r="B6602" s="15" t="s">
        <v>1002</v>
      </c>
      <c r="C6602" s="15" t="s">
        <v>85</v>
      </c>
      <c r="D6602" s="16">
        <v>20</v>
      </c>
      <c r="E6602" s="17">
        <v>98.57</v>
      </c>
      <c r="F6602" s="16">
        <v>7.0000000000000007E-2</v>
      </c>
      <c r="G6602" s="15" t="s">
        <v>32</v>
      </c>
      <c r="H6602" s="18">
        <v>-49.64</v>
      </c>
      <c r="I6602" s="19">
        <v>4.9800000000000004</v>
      </c>
      <c r="J6602" s="19">
        <v>5.0199999999999996</v>
      </c>
      <c r="K6602" s="19" t="s">
        <v>69</v>
      </c>
      <c r="L6602" s="19" t="s">
        <v>75</v>
      </c>
      <c r="M6602" s="15" t="s">
        <v>2284</v>
      </c>
      <c r="N6602" s="15" t="s">
        <v>36</v>
      </c>
      <c r="O6602" s="15" t="s">
        <v>117</v>
      </c>
      <c r="P6602" s="20" t="s">
        <v>1405</v>
      </c>
      <c r="Q6602" s="15" t="s">
        <v>83</v>
      </c>
      <c r="R6602" s="4"/>
      <c r="S6602" s="4"/>
    </row>
    <row r="6603" spans="1:19" ht="21" customHeight="1" x14ac:dyDescent="0.25">
      <c r="A6603" s="14">
        <f>DATE(2012,12,31)-381</f>
        <v>40893</v>
      </c>
      <c r="B6603" s="15" t="s">
        <v>1002</v>
      </c>
      <c r="C6603" s="15" t="s">
        <v>85</v>
      </c>
      <c r="D6603" s="16">
        <v>34</v>
      </c>
      <c r="E6603" s="17">
        <v>1069.8499999999999</v>
      </c>
      <c r="F6603" s="16">
        <v>7.0000000000000007E-2</v>
      </c>
      <c r="G6603" s="15" t="s">
        <v>58</v>
      </c>
      <c r="H6603" s="18">
        <v>-1179.3900000000001</v>
      </c>
      <c r="I6603" s="19">
        <v>31.76</v>
      </c>
      <c r="J6603" s="19">
        <v>45.51</v>
      </c>
      <c r="K6603" s="19" t="s">
        <v>69</v>
      </c>
      <c r="L6603" s="19" t="s">
        <v>70</v>
      </c>
      <c r="M6603" s="15" t="s">
        <v>2230</v>
      </c>
      <c r="N6603" s="15" t="s">
        <v>54</v>
      </c>
      <c r="O6603" s="15" t="s">
        <v>61</v>
      </c>
      <c r="P6603" s="20" t="s">
        <v>569</v>
      </c>
      <c r="Q6603" s="15" t="s">
        <v>63</v>
      </c>
      <c r="R6603" s="4"/>
      <c r="S6603" s="4"/>
    </row>
    <row r="6604" spans="1:19" ht="21" customHeight="1" x14ac:dyDescent="0.25">
      <c r="A6604" s="14">
        <f>DATE(2012,12,31)-433</f>
        <v>40841</v>
      </c>
      <c r="B6604" s="15" t="s">
        <v>282</v>
      </c>
      <c r="C6604" s="15" t="s">
        <v>85</v>
      </c>
      <c r="D6604" s="16">
        <v>37</v>
      </c>
      <c r="E6604" s="17">
        <v>2192.63</v>
      </c>
      <c r="F6604" s="16">
        <v>0.05</v>
      </c>
      <c r="G6604" s="15" t="s">
        <v>32</v>
      </c>
      <c r="H6604" s="18">
        <v>660.06</v>
      </c>
      <c r="I6604" s="19">
        <v>59.98</v>
      </c>
      <c r="J6604" s="19">
        <v>3.99</v>
      </c>
      <c r="K6604" s="19" t="s">
        <v>69</v>
      </c>
      <c r="L6604" s="19" t="s">
        <v>75</v>
      </c>
      <c r="M6604" s="15" t="s">
        <v>2284</v>
      </c>
      <c r="N6604" s="15" t="s">
        <v>36</v>
      </c>
      <c r="O6604" s="15" t="s">
        <v>176</v>
      </c>
      <c r="P6604" s="20" t="s">
        <v>916</v>
      </c>
      <c r="Q6604" s="15" t="s">
        <v>83</v>
      </c>
      <c r="R6604" s="4"/>
      <c r="S6604" s="4"/>
    </row>
    <row r="6605" spans="1:19" ht="21" customHeight="1" x14ac:dyDescent="0.25">
      <c r="A6605" s="14">
        <f>DATE(2012,12,31)-433</f>
        <v>40841</v>
      </c>
      <c r="B6605" s="15" t="s">
        <v>1030</v>
      </c>
      <c r="C6605" s="15" t="s">
        <v>85</v>
      </c>
      <c r="D6605" s="16">
        <v>40</v>
      </c>
      <c r="E6605" s="17">
        <v>6618.4570000000003</v>
      </c>
      <c r="F6605" s="16">
        <v>0.1</v>
      </c>
      <c r="G6605" s="15" t="s">
        <v>32</v>
      </c>
      <c r="H6605" s="18">
        <v>1489.9590000000001</v>
      </c>
      <c r="I6605" s="19">
        <v>205.99</v>
      </c>
      <c r="J6605" s="19">
        <v>5.99</v>
      </c>
      <c r="K6605" s="19" t="s">
        <v>69</v>
      </c>
      <c r="L6605" s="19" t="s">
        <v>215</v>
      </c>
      <c r="M6605" s="15" t="s">
        <v>2290</v>
      </c>
      <c r="N6605" s="15" t="s">
        <v>64</v>
      </c>
      <c r="O6605" s="15" t="s">
        <v>65</v>
      </c>
      <c r="P6605" s="20" t="s">
        <v>1381</v>
      </c>
      <c r="Q6605" s="15" t="s">
        <v>83</v>
      </c>
      <c r="R6605" s="4"/>
      <c r="S6605" s="4"/>
    </row>
    <row r="6606" spans="1:19" ht="21" customHeight="1" x14ac:dyDescent="0.25">
      <c r="A6606" s="14">
        <f>DATE(2012,12,31)-1173</f>
        <v>40101</v>
      </c>
      <c r="B6606" s="15" t="s">
        <v>970</v>
      </c>
      <c r="C6606" s="15" t="s">
        <v>43</v>
      </c>
      <c r="D6606" s="16">
        <v>19</v>
      </c>
      <c r="E6606" s="17">
        <v>359.68</v>
      </c>
      <c r="F6606" s="16">
        <v>7.0000000000000007E-2</v>
      </c>
      <c r="G6606" s="15" t="s">
        <v>32</v>
      </c>
      <c r="H6606" s="18">
        <v>187.15</v>
      </c>
      <c r="I6606" s="19">
        <v>18.649999999999999</v>
      </c>
      <c r="J6606" s="19">
        <v>3.77</v>
      </c>
      <c r="K6606" s="19" t="s">
        <v>69</v>
      </c>
      <c r="L6606" s="19" t="s">
        <v>215</v>
      </c>
      <c r="M6606" s="15" t="s">
        <v>2290</v>
      </c>
      <c r="N6606" s="15" t="s">
        <v>54</v>
      </c>
      <c r="O6606" s="15" t="s">
        <v>55</v>
      </c>
      <c r="P6606" s="20" t="s">
        <v>1263</v>
      </c>
      <c r="Q6606" s="15" t="s">
        <v>49</v>
      </c>
      <c r="R6606" s="4"/>
      <c r="S6606" s="4"/>
    </row>
    <row r="6607" spans="1:19" ht="21" customHeight="1" x14ac:dyDescent="0.25">
      <c r="A6607" s="14">
        <f>DATE(2012,12,31)-1173</f>
        <v>40101</v>
      </c>
      <c r="B6607" s="15" t="s">
        <v>1030</v>
      </c>
      <c r="C6607" s="15" t="s">
        <v>43</v>
      </c>
      <c r="D6607" s="16">
        <v>7</v>
      </c>
      <c r="E6607" s="17">
        <v>131.55000000000001</v>
      </c>
      <c r="F6607" s="16">
        <v>0.06</v>
      </c>
      <c r="G6607" s="15" t="s">
        <v>32</v>
      </c>
      <c r="H6607" s="18">
        <v>-43.743600000000001</v>
      </c>
      <c r="I6607" s="19">
        <v>17.98</v>
      </c>
      <c r="J6607" s="19">
        <v>8.51</v>
      </c>
      <c r="K6607" s="19" t="s">
        <v>111</v>
      </c>
      <c r="L6607" s="19" t="s">
        <v>442</v>
      </c>
      <c r="M6607" s="15" t="s">
        <v>2304</v>
      </c>
      <c r="N6607" s="15" t="s">
        <v>64</v>
      </c>
      <c r="O6607" s="15" t="s">
        <v>122</v>
      </c>
      <c r="P6607" s="20" t="s">
        <v>980</v>
      </c>
      <c r="Q6607" s="15" t="s">
        <v>57</v>
      </c>
      <c r="R6607" s="4"/>
      <c r="S6607" s="4"/>
    </row>
    <row r="6608" spans="1:19" ht="21" customHeight="1" x14ac:dyDescent="0.25">
      <c r="A6608" s="14">
        <f>DATE(2012,12,31)-1173</f>
        <v>40101</v>
      </c>
      <c r="B6608" s="15" t="s">
        <v>657</v>
      </c>
      <c r="C6608" s="15" t="s">
        <v>43</v>
      </c>
      <c r="D6608" s="16">
        <v>26</v>
      </c>
      <c r="E6608" s="17">
        <v>258.11</v>
      </c>
      <c r="F6608" s="16">
        <v>0.1</v>
      </c>
      <c r="G6608" s="15" t="s">
        <v>101</v>
      </c>
      <c r="H6608" s="18">
        <v>9.9499999999999993</v>
      </c>
      <c r="I6608" s="19">
        <v>9.99</v>
      </c>
      <c r="J6608" s="19">
        <v>4.78</v>
      </c>
      <c r="K6608" s="19" t="s">
        <v>111</v>
      </c>
      <c r="L6608" s="19" t="s">
        <v>2301</v>
      </c>
      <c r="M6608" s="15" t="s">
        <v>2302</v>
      </c>
      <c r="N6608" s="15" t="s">
        <v>36</v>
      </c>
      <c r="O6608" s="15" t="s">
        <v>117</v>
      </c>
      <c r="P6608" s="20" t="s">
        <v>1085</v>
      </c>
      <c r="Q6608" s="15" t="s">
        <v>83</v>
      </c>
      <c r="R6608" s="4"/>
      <c r="S6608" s="4"/>
    </row>
    <row r="6609" spans="1:19" ht="21" customHeight="1" x14ac:dyDescent="0.25">
      <c r="A6609" s="14">
        <f>DATE(2012,12,31)-1173</f>
        <v>40101</v>
      </c>
      <c r="B6609" s="15" t="s">
        <v>1680</v>
      </c>
      <c r="C6609" s="15" t="s">
        <v>43</v>
      </c>
      <c r="D6609" s="16">
        <v>9</v>
      </c>
      <c r="E6609" s="17">
        <v>1288.5150000000001</v>
      </c>
      <c r="F6609" s="16">
        <v>0.08</v>
      </c>
      <c r="G6609" s="15" t="s">
        <v>101</v>
      </c>
      <c r="H6609" s="18">
        <v>-382.56900000000002</v>
      </c>
      <c r="I6609" s="19">
        <v>175.99</v>
      </c>
      <c r="J6609" s="19">
        <v>8.99</v>
      </c>
      <c r="K6609" s="19" t="s">
        <v>111</v>
      </c>
      <c r="L6609" s="19" t="s">
        <v>258</v>
      </c>
      <c r="M6609" s="15" t="s">
        <v>259</v>
      </c>
      <c r="N6609" s="15" t="s">
        <v>64</v>
      </c>
      <c r="O6609" s="15" t="s">
        <v>65</v>
      </c>
      <c r="P6609" s="20" t="s">
        <v>1313</v>
      </c>
      <c r="Q6609" s="15" t="s">
        <v>83</v>
      </c>
      <c r="R6609" s="4"/>
      <c r="S6609" s="4"/>
    </row>
    <row r="6610" spans="1:19" ht="21" customHeight="1" x14ac:dyDescent="0.25">
      <c r="A6610" s="14">
        <f>DATE(2012,12,31)-477</f>
        <v>40797</v>
      </c>
      <c r="B6610" s="15" t="s">
        <v>1292</v>
      </c>
      <c r="C6610" s="15" t="s">
        <v>51</v>
      </c>
      <c r="D6610" s="16">
        <v>47</v>
      </c>
      <c r="E6610" s="17">
        <v>6131.54</v>
      </c>
      <c r="F6610" s="16">
        <v>0.06</v>
      </c>
      <c r="G6610" s="15" t="s">
        <v>32</v>
      </c>
      <c r="H6610" s="18">
        <v>1844.96</v>
      </c>
      <c r="I6610" s="19">
        <v>128.24</v>
      </c>
      <c r="J6610" s="19">
        <v>12.65</v>
      </c>
      <c r="K6610" s="19" t="s">
        <v>44</v>
      </c>
      <c r="L6610" s="19" t="s">
        <v>89</v>
      </c>
      <c r="M6610" s="15" t="s">
        <v>2305</v>
      </c>
      <c r="N6610" s="15" t="s">
        <v>54</v>
      </c>
      <c r="O6610" s="15" t="s">
        <v>252</v>
      </c>
      <c r="P6610" s="20" t="s">
        <v>1431</v>
      </c>
      <c r="Q6610" s="15" t="s">
        <v>57</v>
      </c>
      <c r="R6610" s="4"/>
      <c r="S6610" s="4"/>
    </row>
    <row r="6611" spans="1:19" ht="21" customHeight="1" x14ac:dyDescent="0.25">
      <c r="A6611" s="14">
        <f>DATE(2012,12,31)-707</f>
        <v>40567</v>
      </c>
      <c r="B6611" s="15" t="s">
        <v>1905</v>
      </c>
      <c r="C6611" s="15" t="s">
        <v>85</v>
      </c>
      <c r="D6611" s="16">
        <v>18</v>
      </c>
      <c r="E6611" s="17">
        <v>89.99</v>
      </c>
      <c r="F6611" s="16">
        <v>0</v>
      </c>
      <c r="G6611" s="15" t="s">
        <v>32</v>
      </c>
      <c r="H6611" s="18">
        <v>18.954999999999998</v>
      </c>
      <c r="I6611" s="19">
        <v>4.82</v>
      </c>
      <c r="J6611" s="19">
        <v>1.49</v>
      </c>
      <c r="K6611" s="19" t="s">
        <v>44</v>
      </c>
      <c r="L6611" s="19" t="s">
        <v>45</v>
      </c>
      <c r="M6611" s="15" t="s">
        <v>2271</v>
      </c>
      <c r="N6611" s="15" t="s">
        <v>36</v>
      </c>
      <c r="O6611" s="15" t="s">
        <v>170</v>
      </c>
      <c r="P6611" s="20" t="s">
        <v>1194</v>
      </c>
      <c r="Q6611" s="15" t="s">
        <v>83</v>
      </c>
      <c r="R6611" s="4"/>
      <c r="S6611" s="4"/>
    </row>
    <row r="6612" spans="1:19" ht="21" customHeight="1" x14ac:dyDescent="0.25">
      <c r="A6612" s="14">
        <f>DATE(2012,12,31)-1452</f>
        <v>39822</v>
      </c>
      <c r="B6612" s="15" t="s">
        <v>2072</v>
      </c>
      <c r="C6612" s="15" t="s">
        <v>31</v>
      </c>
      <c r="D6612" s="16">
        <v>1</v>
      </c>
      <c r="E6612" s="17">
        <v>107.95</v>
      </c>
      <c r="F6612" s="16">
        <v>0.04</v>
      </c>
      <c r="G6612" s="15" t="s">
        <v>32</v>
      </c>
      <c r="H6612" s="18">
        <v>-506.30799999999999</v>
      </c>
      <c r="I6612" s="19">
        <v>125.99</v>
      </c>
      <c r="J6612" s="19">
        <v>8.99</v>
      </c>
      <c r="K6612" s="19" t="s">
        <v>44</v>
      </c>
      <c r="L6612" s="19" t="s">
        <v>89</v>
      </c>
      <c r="M6612" s="15" t="s">
        <v>2305</v>
      </c>
      <c r="N6612" s="15" t="s">
        <v>64</v>
      </c>
      <c r="O6612" s="15" t="s">
        <v>65</v>
      </c>
      <c r="P6612" s="20" t="s">
        <v>332</v>
      </c>
      <c r="Q6612" s="15" t="s">
        <v>83</v>
      </c>
      <c r="R6612" s="4"/>
      <c r="S6612" s="4"/>
    </row>
    <row r="6613" spans="1:19" ht="21" customHeight="1" x14ac:dyDescent="0.25">
      <c r="A6613" s="14">
        <f>DATE(2012,12,31)-1289</f>
        <v>39985</v>
      </c>
      <c r="B6613" s="15" t="s">
        <v>1177</v>
      </c>
      <c r="C6613" s="15" t="s">
        <v>43</v>
      </c>
      <c r="D6613" s="16">
        <v>24</v>
      </c>
      <c r="E6613" s="17">
        <v>2920.83</v>
      </c>
      <c r="F6613" s="16">
        <v>0.02</v>
      </c>
      <c r="G6613" s="15" t="s">
        <v>58</v>
      </c>
      <c r="H6613" s="18">
        <v>1068.1600000000001</v>
      </c>
      <c r="I6613" s="19">
        <v>119.99</v>
      </c>
      <c r="J6613" s="19">
        <v>14</v>
      </c>
      <c r="K6613" s="19" t="s">
        <v>44</v>
      </c>
      <c r="L6613" s="19" t="s">
        <v>80</v>
      </c>
      <c r="M6613" s="15" t="s">
        <v>2297</v>
      </c>
      <c r="N6613" s="15" t="s">
        <v>64</v>
      </c>
      <c r="O6613" s="15" t="s">
        <v>122</v>
      </c>
      <c r="P6613" s="20" t="s">
        <v>1050</v>
      </c>
      <c r="Q6613" s="15" t="s">
        <v>181</v>
      </c>
      <c r="R6613" s="4"/>
      <c r="S6613" s="4"/>
    </row>
    <row r="6614" spans="1:19" ht="21" customHeight="1" x14ac:dyDescent="0.25">
      <c r="A6614" s="14">
        <f>DATE(2012,12,31)-1289</f>
        <v>39985</v>
      </c>
      <c r="B6614" s="15" t="s">
        <v>1484</v>
      </c>
      <c r="C6614" s="15" t="s">
        <v>43</v>
      </c>
      <c r="D6614" s="16">
        <v>42</v>
      </c>
      <c r="E6614" s="17">
        <v>262.3</v>
      </c>
      <c r="F6614" s="16">
        <v>0.09</v>
      </c>
      <c r="G6614" s="15" t="s">
        <v>32</v>
      </c>
      <c r="H6614" s="18">
        <v>-255.2</v>
      </c>
      <c r="I6614" s="19">
        <v>6.48</v>
      </c>
      <c r="J6614" s="19">
        <v>9.68</v>
      </c>
      <c r="K6614" s="19" t="s">
        <v>44</v>
      </c>
      <c r="L6614" s="19" t="s">
        <v>45</v>
      </c>
      <c r="M6614" s="15" t="s">
        <v>2271</v>
      </c>
      <c r="N6614" s="15" t="s">
        <v>36</v>
      </c>
      <c r="O6614" s="15" t="s">
        <v>117</v>
      </c>
      <c r="P6614" s="20" t="s">
        <v>1720</v>
      </c>
      <c r="Q6614" s="15" t="s">
        <v>83</v>
      </c>
      <c r="R6614" s="4"/>
      <c r="S6614" s="4"/>
    </row>
    <row r="6615" spans="1:19" ht="21" customHeight="1" x14ac:dyDescent="0.25">
      <c r="A6615" s="14">
        <f>DATE(2012,12,31)-1034</f>
        <v>40240</v>
      </c>
      <c r="B6615" s="15" t="s">
        <v>818</v>
      </c>
      <c r="C6615" s="15" t="s">
        <v>85</v>
      </c>
      <c r="D6615" s="16">
        <v>15</v>
      </c>
      <c r="E6615" s="17">
        <v>803.26699999999994</v>
      </c>
      <c r="F6615" s="16">
        <v>0.06</v>
      </c>
      <c r="G6615" s="15" t="s">
        <v>32</v>
      </c>
      <c r="H6615" s="18">
        <v>-19.965</v>
      </c>
      <c r="I6615" s="19">
        <v>65.989999999999995</v>
      </c>
      <c r="J6615" s="19">
        <v>5.26</v>
      </c>
      <c r="K6615" s="19" t="s">
        <v>44</v>
      </c>
      <c r="L6615" s="19" t="s">
        <v>120</v>
      </c>
      <c r="M6615" s="15" t="s">
        <v>2262</v>
      </c>
      <c r="N6615" s="15" t="s">
        <v>64</v>
      </c>
      <c r="O6615" s="15" t="s">
        <v>65</v>
      </c>
      <c r="P6615" s="20" t="s">
        <v>440</v>
      </c>
      <c r="Q6615" s="15" t="s">
        <v>83</v>
      </c>
      <c r="R6615" s="4"/>
      <c r="S6615" s="4"/>
    </row>
    <row r="6616" spans="1:19" ht="21" customHeight="1" x14ac:dyDescent="0.25">
      <c r="A6616" s="14">
        <f>DATE(2012,12,31)-1089</f>
        <v>40185</v>
      </c>
      <c r="B6616" s="15" t="s">
        <v>1339</v>
      </c>
      <c r="C6616" s="15" t="s">
        <v>85</v>
      </c>
      <c r="D6616" s="16">
        <v>21</v>
      </c>
      <c r="E6616" s="17">
        <v>147.16</v>
      </c>
      <c r="F6616" s="16">
        <v>0.01</v>
      </c>
      <c r="G6616" s="15" t="s">
        <v>32</v>
      </c>
      <c r="H6616" s="18">
        <v>-92.55</v>
      </c>
      <c r="I6616" s="19">
        <v>6.48</v>
      </c>
      <c r="J6616" s="19">
        <v>8.4</v>
      </c>
      <c r="K6616" s="19" t="s">
        <v>44</v>
      </c>
      <c r="L6616" s="19" t="s">
        <v>120</v>
      </c>
      <c r="M6616" s="15" t="s">
        <v>2262</v>
      </c>
      <c r="N6616" s="15" t="s">
        <v>36</v>
      </c>
      <c r="O6616" s="15" t="s">
        <v>117</v>
      </c>
      <c r="P6616" s="20" t="s">
        <v>400</v>
      </c>
      <c r="Q6616" s="15" t="s">
        <v>83</v>
      </c>
      <c r="R6616" s="4"/>
      <c r="S6616" s="4"/>
    </row>
    <row r="6617" spans="1:19" ht="21" customHeight="1" x14ac:dyDescent="0.25">
      <c r="A6617" s="14">
        <f>DATE(2012,12,31)-1089</f>
        <v>40185</v>
      </c>
      <c r="B6617" s="15" t="s">
        <v>1339</v>
      </c>
      <c r="C6617" s="15" t="s">
        <v>85</v>
      </c>
      <c r="D6617" s="16">
        <v>19</v>
      </c>
      <c r="E6617" s="17">
        <v>50.07</v>
      </c>
      <c r="F6617" s="16">
        <v>0.03</v>
      </c>
      <c r="G6617" s="15" t="s">
        <v>32</v>
      </c>
      <c r="H6617" s="18">
        <v>-0.53</v>
      </c>
      <c r="I6617" s="19">
        <v>2.67</v>
      </c>
      <c r="J6617" s="19">
        <v>0.86</v>
      </c>
      <c r="K6617" s="19" t="s">
        <v>44</v>
      </c>
      <c r="L6617" s="19" t="s">
        <v>45</v>
      </c>
      <c r="M6617" s="15" t="s">
        <v>2271</v>
      </c>
      <c r="N6617" s="15" t="s">
        <v>36</v>
      </c>
      <c r="O6617" s="15" t="s">
        <v>77</v>
      </c>
      <c r="P6617" s="20" t="s">
        <v>2011</v>
      </c>
      <c r="Q6617" s="15" t="s">
        <v>79</v>
      </c>
      <c r="R6617" s="4"/>
      <c r="S6617" s="4"/>
    </row>
    <row r="6618" spans="1:19" ht="21" customHeight="1" x14ac:dyDescent="0.25">
      <c r="A6618" s="14">
        <f>DATE(2012,12,31)-1089</f>
        <v>40185</v>
      </c>
      <c r="B6618" s="15" t="s">
        <v>1339</v>
      </c>
      <c r="C6618" s="15" t="s">
        <v>85</v>
      </c>
      <c r="D6618" s="16">
        <v>32</v>
      </c>
      <c r="E6618" s="17">
        <v>6982.87</v>
      </c>
      <c r="F6618" s="16">
        <v>0.05</v>
      </c>
      <c r="G6618" s="15" t="s">
        <v>58</v>
      </c>
      <c r="H6618" s="18">
        <v>875.55</v>
      </c>
      <c r="I6618" s="19">
        <v>217.85</v>
      </c>
      <c r="J6618" s="19">
        <v>29.1</v>
      </c>
      <c r="K6618" s="19" t="s">
        <v>44</v>
      </c>
      <c r="L6618" s="19" t="s">
        <v>89</v>
      </c>
      <c r="M6618" s="15" t="s">
        <v>2305</v>
      </c>
      <c r="N6618" s="15" t="s">
        <v>54</v>
      </c>
      <c r="O6618" s="15" t="s">
        <v>61</v>
      </c>
      <c r="P6618" s="20" t="s">
        <v>2168</v>
      </c>
      <c r="Q6618" s="15" t="s">
        <v>63</v>
      </c>
      <c r="R6618" s="4"/>
      <c r="S6618" s="4"/>
    </row>
    <row r="6619" spans="1:19" ht="21" customHeight="1" x14ac:dyDescent="0.25">
      <c r="A6619" s="14">
        <f>DATE(2012,12,31)-1217</f>
        <v>40057</v>
      </c>
      <c r="B6619" s="15" t="s">
        <v>394</v>
      </c>
      <c r="C6619" s="15" t="s">
        <v>43</v>
      </c>
      <c r="D6619" s="16">
        <v>41</v>
      </c>
      <c r="E6619" s="17">
        <v>277.0745</v>
      </c>
      <c r="F6619" s="16">
        <v>0.03</v>
      </c>
      <c r="G6619" s="15" t="s">
        <v>32</v>
      </c>
      <c r="H6619" s="18">
        <v>-128.43600000000001</v>
      </c>
      <c r="I6619" s="19">
        <v>7.99</v>
      </c>
      <c r="J6619" s="19">
        <v>5.03</v>
      </c>
      <c r="K6619" s="19" t="s">
        <v>44</v>
      </c>
      <c r="L6619" s="19" t="s">
        <v>89</v>
      </c>
      <c r="M6619" s="15" t="s">
        <v>2305</v>
      </c>
      <c r="N6619" s="15" t="s">
        <v>64</v>
      </c>
      <c r="O6619" s="15" t="s">
        <v>65</v>
      </c>
      <c r="P6619" s="20" t="s">
        <v>542</v>
      </c>
      <c r="Q6619" s="15" t="s">
        <v>57</v>
      </c>
      <c r="R6619" s="4"/>
      <c r="S6619" s="4"/>
    </row>
    <row r="6620" spans="1:19" ht="21" customHeight="1" x14ac:dyDescent="0.25">
      <c r="A6620" s="14">
        <f>DATE(2012,12,31)-472</f>
        <v>40802</v>
      </c>
      <c r="B6620" s="15" t="s">
        <v>1349</v>
      </c>
      <c r="C6620" s="15" t="s">
        <v>85</v>
      </c>
      <c r="D6620" s="16">
        <v>42</v>
      </c>
      <c r="E6620" s="17">
        <v>642.1</v>
      </c>
      <c r="F6620" s="16">
        <v>0</v>
      </c>
      <c r="G6620" s="15" t="s">
        <v>32</v>
      </c>
      <c r="H6620" s="18">
        <v>41.56</v>
      </c>
      <c r="I6620" s="19">
        <v>13.99</v>
      </c>
      <c r="J6620" s="19">
        <v>7.51</v>
      </c>
      <c r="K6620" s="19" t="s">
        <v>44</v>
      </c>
      <c r="L6620" s="19" t="s">
        <v>120</v>
      </c>
      <c r="M6620" s="15" t="s">
        <v>2262</v>
      </c>
      <c r="N6620" s="15" t="s">
        <v>64</v>
      </c>
      <c r="O6620" s="15" t="s">
        <v>122</v>
      </c>
      <c r="P6620" s="20" t="s">
        <v>351</v>
      </c>
      <c r="Q6620" s="15" t="s">
        <v>57</v>
      </c>
      <c r="R6620" s="4"/>
      <c r="S6620" s="4"/>
    </row>
    <row r="6621" spans="1:19" ht="21" customHeight="1" x14ac:dyDescent="0.25">
      <c r="A6621" s="14">
        <f>DATE(2012,12,31)-981</f>
        <v>40293</v>
      </c>
      <c r="B6621" s="15" t="s">
        <v>1349</v>
      </c>
      <c r="C6621" s="15" t="s">
        <v>43</v>
      </c>
      <c r="D6621" s="16">
        <v>40</v>
      </c>
      <c r="E6621" s="17">
        <v>70.45</v>
      </c>
      <c r="F6621" s="16">
        <v>0.1</v>
      </c>
      <c r="G6621" s="15" t="s">
        <v>32</v>
      </c>
      <c r="H6621" s="18">
        <v>-2.31</v>
      </c>
      <c r="I6621" s="19">
        <v>1.82</v>
      </c>
      <c r="J6621" s="19">
        <v>1</v>
      </c>
      <c r="K6621" s="19" t="s">
        <v>44</v>
      </c>
      <c r="L6621" s="19" t="s">
        <v>120</v>
      </c>
      <c r="M6621" s="15" t="s">
        <v>2262</v>
      </c>
      <c r="N6621" s="15" t="s">
        <v>36</v>
      </c>
      <c r="O6621" s="15" t="s">
        <v>77</v>
      </c>
      <c r="P6621" s="20" t="s">
        <v>107</v>
      </c>
      <c r="Q6621" s="15" t="s">
        <v>79</v>
      </c>
      <c r="R6621" s="4"/>
      <c r="S6621" s="4"/>
    </row>
    <row r="6622" spans="1:19" ht="21" customHeight="1" x14ac:dyDescent="0.25">
      <c r="A6622" s="14">
        <f>DATE(2012,12,31)-1099</f>
        <v>40175</v>
      </c>
      <c r="B6622" s="15" t="s">
        <v>142</v>
      </c>
      <c r="C6622" s="15" t="s">
        <v>85</v>
      </c>
      <c r="D6622" s="16">
        <v>18</v>
      </c>
      <c r="E6622" s="17">
        <v>99.55</v>
      </c>
      <c r="F6622" s="16">
        <v>0.03</v>
      </c>
      <c r="G6622" s="15" t="s">
        <v>101</v>
      </c>
      <c r="H6622" s="18">
        <v>-60.9</v>
      </c>
      <c r="I6622" s="19">
        <v>4.9800000000000004</v>
      </c>
      <c r="J6622" s="19">
        <v>4.62</v>
      </c>
      <c r="K6622" s="19" t="s">
        <v>44</v>
      </c>
      <c r="L6622" s="19" t="s">
        <v>45</v>
      </c>
      <c r="M6622" s="15" t="s">
        <v>2271</v>
      </c>
      <c r="N6622" s="15" t="s">
        <v>64</v>
      </c>
      <c r="O6622" s="15" t="s">
        <v>72</v>
      </c>
      <c r="P6622" s="20" t="s">
        <v>1764</v>
      </c>
      <c r="Q6622" s="15" t="s">
        <v>49</v>
      </c>
      <c r="R6622" s="4"/>
      <c r="S6622" s="4"/>
    </row>
    <row r="6623" spans="1:19" ht="21" customHeight="1" x14ac:dyDescent="0.25">
      <c r="A6623" s="14">
        <f>DATE(2012,12,31)-1109</f>
        <v>40165</v>
      </c>
      <c r="B6623" s="15" t="s">
        <v>142</v>
      </c>
      <c r="C6623" s="15" t="s">
        <v>85</v>
      </c>
      <c r="D6623" s="16">
        <v>8</v>
      </c>
      <c r="E6623" s="17">
        <v>129.18</v>
      </c>
      <c r="F6623" s="16">
        <v>0.04</v>
      </c>
      <c r="G6623" s="15" t="s">
        <v>32</v>
      </c>
      <c r="H6623" s="18">
        <v>-30.02</v>
      </c>
      <c r="I6623" s="19">
        <v>15.98</v>
      </c>
      <c r="J6623" s="19">
        <v>4</v>
      </c>
      <c r="K6623" s="19" t="s">
        <v>44</v>
      </c>
      <c r="L6623" s="19" t="s">
        <v>89</v>
      </c>
      <c r="M6623" s="15" t="s">
        <v>2305</v>
      </c>
      <c r="N6623" s="15" t="s">
        <v>64</v>
      </c>
      <c r="O6623" s="15" t="s">
        <v>72</v>
      </c>
      <c r="P6623" s="20" t="s">
        <v>1357</v>
      </c>
      <c r="Q6623" s="15" t="s">
        <v>83</v>
      </c>
      <c r="R6623" s="4"/>
      <c r="S6623" s="4"/>
    </row>
    <row r="6624" spans="1:19" ht="21" customHeight="1" x14ac:dyDescent="0.25">
      <c r="A6624" s="14">
        <f>DATE(2012,12,31)-1109</f>
        <v>40165</v>
      </c>
      <c r="B6624" s="15" t="s">
        <v>142</v>
      </c>
      <c r="C6624" s="15" t="s">
        <v>85</v>
      </c>
      <c r="D6624" s="16">
        <v>44</v>
      </c>
      <c r="E6624" s="17">
        <v>1016.26</v>
      </c>
      <c r="F6624" s="16">
        <v>0.06</v>
      </c>
      <c r="G6624" s="15" t="s">
        <v>32</v>
      </c>
      <c r="H6624" s="18">
        <v>337.97</v>
      </c>
      <c r="I6624" s="19">
        <v>22.84</v>
      </c>
      <c r="J6624" s="19">
        <v>5.47</v>
      </c>
      <c r="K6624" s="19" t="s">
        <v>44</v>
      </c>
      <c r="L6624" s="19" t="s">
        <v>120</v>
      </c>
      <c r="M6624" s="15" t="s">
        <v>2262</v>
      </c>
      <c r="N6624" s="15" t="s">
        <v>36</v>
      </c>
      <c r="O6624" s="15" t="s">
        <v>117</v>
      </c>
      <c r="P6624" s="20" t="s">
        <v>2118</v>
      </c>
      <c r="Q6624" s="15" t="s">
        <v>83</v>
      </c>
      <c r="R6624" s="4"/>
      <c r="S6624" s="4"/>
    </row>
    <row r="6625" spans="1:19" ht="21" customHeight="1" x14ac:dyDescent="0.25">
      <c r="A6625" s="14">
        <f>DATE(2012,12,31)-1109</f>
        <v>40165</v>
      </c>
      <c r="B6625" s="15" t="s">
        <v>142</v>
      </c>
      <c r="C6625" s="15" t="s">
        <v>31</v>
      </c>
      <c r="D6625" s="16">
        <v>15</v>
      </c>
      <c r="E6625" s="17">
        <v>437.87</v>
      </c>
      <c r="F6625" s="16">
        <v>0.09</v>
      </c>
      <c r="G6625" s="15" t="s">
        <v>101</v>
      </c>
      <c r="H6625" s="18">
        <v>-111.94</v>
      </c>
      <c r="I6625" s="19">
        <v>30.98</v>
      </c>
      <c r="J6625" s="19">
        <v>6.5</v>
      </c>
      <c r="K6625" s="19" t="s">
        <v>44</v>
      </c>
      <c r="L6625" s="19" t="s">
        <v>89</v>
      </c>
      <c r="M6625" s="15" t="s">
        <v>2305</v>
      </c>
      <c r="N6625" s="15" t="s">
        <v>64</v>
      </c>
      <c r="O6625" s="15" t="s">
        <v>72</v>
      </c>
      <c r="P6625" s="20" t="s">
        <v>1490</v>
      </c>
      <c r="Q6625" s="15" t="s">
        <v>83</v>
      </c>
      <c r="R6625" s="4"/>
      <c r="S6625" s="4"/>
    </row>
    <row r="6626" spans="1:19" ht="21" customHeight="1" x14ac:dyDescent="0.25">
      <c r="A6626" s="14">
        <f>DATE(2012,12,31)-867</f>
        <v>40407</v>
      </c>
      <c r="B6626" s="15" t="s">
        <v>529</v>
      </c>
      <c r="C6626" s="15" t="s">
        <v>43</v>
      </c>
      <c r="D6626" s="16">
        <v>39</v>
      </c>
      <c r="E6626" s="17">
        <v>546.4</v>
      </c>
      <c r="F6626" s="16">
        <v>0.1</v>
      </c>
      <c r="G6626" s="15" t="s">
        <v>101</v>
      </c>
      <c r="H6626" s="18">
        <v>-138.82</v>
      </c>
      <c r="I6626" s="19">
        <v>15.14</v>
      </c>
      <c r="J6626" s="19">
        <v>4.53</v>
      </c>
      <c r="K6626" s="19" t="s">
        <v>44</v>
      </c>
      <c r="L6626" s="19" t="s">
        <v>120</v>
      </c>
      <c r="M6626" s="15" t="s">
        <v>2262</v>
      </c>
      <c r="N6626" s="15" t="s">
        <v>36</v>
      </c>
      <c r="O6626" s="15" t="s">
        <v>37</v>
      </c>
      <c r="P6626" s="20" t="s">
        <v>585</v>
      </c>
      <c r="Q6626" s="15" t="s">
        <v>83</v>
      </c>
      <c r="R6626" s="4"/>
      <c r="S6626" s="4"/>
    </row>
    <row r="6627" spans="1:19" ht="21" customHeight="1" x14ac:dyDescent="0.25">
      <c r="A6627" s="14">
        <f>DATE(2012,12,31)-456</f>
        <v>40818</v>
      </c>
      <c r="B6627" s="15" t="s">
        <v>1528</v>
      </c>
      <c r="C6627" s="15" t="s">
        <v>51</v>
      </c>
      <c r="D6627" s="16">
        <v>1</v>
      </c>
      <c r="E6627" s="17">
        <v>70.91</v>
      </c>
      <c r="F6627" s="16">
        <v>0.03</v>
      </c>
      <c r="G6627" s="15" t="s">
        <v>32</v>
      </c>
      <c r="H6627" s="18">
        <v>-45.43</v>
      </c>
      <c r="I6627" s="19">
        <v>70.97</v>
      </c>
      <c r="J6627" s="19">
        <v>3.5</v>
      </c>
      <c r="K6627" s="19" t="s">
        <v>44</v>
      </c>
      <c r="L6627" s="19" t="s">
        <v>89</v>
      </c>
      <c r="M6627" s="15" t="s">
        <v>2305</v>
      </c>
      <c r="N6627" s="15" t="s">
        <v>36</v>
      </c>
      <c r="O6627" s="15" t="s">
        <v>176</v>
      </c>
      <c r="P6627" s="20" t="s">
        <v>1789</v>
      </c>
      <c r="Q6627" s="15" t="s">
        <v>83</v>
      </c>
      <c r="R6627" s="4"/>
      <c r="S6627" s="4"/>
    </row>
    <row r="6628" spans="1:19" ht="21" customHeight="1" x14ac:dyDescent="0.25">
      <c r="A6628" s="14">
        <f>DATE(2012,12,31)-387</f>
        <v>40887</v>
      </c>
      <c r="B6628" s="15" t="s">
        <v>1939</v>
      </c>
      <c r="C6628" s="15" t="s">
        <v>85</v>
      </c>
      <c r="D6628" s="16">
        <v>31</v>
      </c>
      <c r="E6628" s="17">
        <v>187.13</v>
      </c>
      <c r="F6628" s="16">
        <v>0.02</v>
      </c>
      <c r="G6628" s="15" t="s">
        <v>32</v>
      </c>
      <c r="H6628" s="18">
        <v>-60.83</v>
      </c>
      <c r="I6628" s="19">
        <v>5.98</v>
      </c>
      <c r="J6628" s="19">
        <v>5.46</v>
      </c>
      <c r="K6628" s="19" t="s">
        <v>44</v>
      </c>
      <c r="L6628" s="19" t="s">
        <v>45</v>
      </c>
      <c r="M6628" s="15" t="s">
        <v>2271</v>
      </c>
      <c r="N6628" s="15" t="s">
        <v>36</v>
      </c>
      <c r="O6628" s="15" t="s">
        <v>117</v>
      </c>
      <c r="P6628" s="20" t="s">
        <v>1553</v>
      </c>
      <c r="Q6628" s="15" t="s">
        <v>83</v>
      </c>
      <c r="R6628" s="4"/>
      <c r="S6628" s="4"/>
    </row>
    <row r="6629" spans="1:19" ht="21" customHeight="1" x14ac:dyDescent="0.25">
      <c r="A6629" s="14">
        <f>DATE(2012,12,31)-733</f>
        <v>40541</v>
      </c>
      <c r="B6629" s="15" t="s">
        <v>1014</v>
      </c>
      <c r="C6629" s="15" t="s">
        <v>85</v>
      </c>
      <c r="D6629" s="16">
        <v>24</v>
      </c>
      <c r="E6629" s="17">
        <v>492.71</v>
      </c>
      <c r="F6629" s="16">
        <v>0.02</v>
      </c>
      <c r="G6629" s="15" t="s">
        <v>32</v>
      </c>
      <c r="H6629" s="18">
        <v>67.010000000000005</v>
      </c>
      <c r="I6629" s="19">
        <v>19.98</v>
      </c>
      <c r="J6629" s="19">
        <v>8.68</v>
      </c>
      <c r="K6629" s="19" t="s">
        <v>44</v>
      </c>
      <c r="L6629" s="19" t="s">
        <v>89</v>
      </c>
      <c r="M6629" s="15" t="s">
        <v>2305</v>
      </c>
      <c r="N6629" s="15" t="s">
        <v>36</v>
      </c>
      <c r="O6629" s="15" t="s">
        <v>117</v>
      </c>
      <c r="P6629" s="20" t="s">
        <v>760</v>
      </c>
      <c r="Q6629" s="15" t="s">
        <v>83</v>
      </c>
      <c r="R6629" s="4"/>
      <c r="S6629" s="4"/>
    </row>
    <row r="6630" spans="1:19" ht="21" customHeight="1" x14ac:dyDescent="0.25">
      <c r="A6630" s="14">
        <f>DATE(2012,12,31)-733</f>
        <v>40541</v>
      </c>
      <c r="B6630" s="15" t="s">
        <v>1014</v>
      </c>
      <c r="C6630" s="15" t="s">
        <v>85</v>
      </c>
      <c r="D6630" s="16">
        <v>14</v>
      </c>
      <c r="E6630" s="17">
        <v>1042.06</v>
      </c>
      <c r="F6630" s="16">
        <v>0.04</v>
      </c>
      <c r="G6630" s="15" t="s">
        <v>58</v>
      </c>
      <c r="H6630" s="18">
        <v>-931.24800000000005</v>
      </c>
      <c r="I6630" s="19">
        <v>70.89</v>
      </c>
      <c r="J6630" s="19">
        <v>89.3</v>
      </c>
      <c r="K6630" s="19" t="s">
        <v>44</v>
      </c>
      <c r="L6630" s="19" t="s">
        <v>120</v>
      </c>
      <c r="M6630" s="15" t="s">
        <v>2262</v>
      </c>
      <c r="N6630" s="15" t="s">
        <v>54</v>
      </c>
      <c r="O6630" s="15" t="s">
        <v>61</v>
      </c>
      <c r="P6630" s="20" t="s">
        <v>1803</v>
      </c>
      <c r="Q6630" s="15" t="s">
        <v>63</v>
      </c>
      <c r="R6630" s="4"/>
      <c r="S6630" s="4"/>
    </row>
    <row r="6631" spans="1:19" ht="21" customHeight="1" x14ac:dyDescent="0.25">
      <c r="A6631" s="14">
        <f>DATE(2012,12,31)-882</f>
        <v>40392</v>
      </c>
      <c r="B6631" s="15" t="s">
        <v>1318</v>
      </c>
      <c r="C6631" s="15" t="s">
        <v>85</v>
      </c>
      <c r="D6631" s="16">
        <v>40</v>
      </c>
      <c r="E6631" s="17">
        <v>382.65</v>
      </c>
      <c r="F6631" s="16">
        <v>0.03</v>
      </c>
      <c r="G6631" s="15" t="s">
        <v>101</v>
      </c>
      <c r="H6631" s="18">
        <v>47.61</v>
      </c>
      <c r="I6631" s="19">
        <v>9.27</v>
      </c>
      <c r="J6631" s="19">
        <v>4.3899999999999997</v>
      </c>
      <c r="K6631" s="19" t="s">
        <v>44</v>
      </c>
      <c r="L6631" s="19" t="s">
        <v>89</v>
      </c>
      <c r="M6631" s="15" t="s">
        <v>2305</v>
      </c>
      <c r="N6631" s="15" t="s">
        <v>36</v>
      </c>
      <c r="O6631" s="15" t="s">
        <v>117</v>
      </c>
      <c r="P6631" s="20" t="s">
        <v>488</v>
      </c>
      <c r="Q6631" s="15" t="s">
        <v>79</v>
      </c>
      <c r="R6631" s="4"/>
      <c r="S6631" s="4"/>
    </row>
    <row r="6632" spans="1:19" ht="21" customHeight="1" x14ac:dyDescent="0.25">
      <c r="A6632" s="14">
        <f>DATE(2012,12,31)-882</f>
        <v>40392</v>
      </c>
      <c r="B6632" s="15" t="s">
        <v>562</v>
      </c>
      <c r="C6632" s="15" t="s">
        <v>85</v>
      </c>
      <c r="D6632" s="16">
        <v>9</v>
      </c>
      <c r="E6632" s="17">
        <v>61</v>
      </c>
      <c r="F6632" s="16">
        <v>0.08</v>
      </c>
      <c r="G6632" s="15" t="s">
        <v>32</v>
      </c>
      <c r="H6632" s="18">
        <v>-34.25</v>
      </c>
      <c r="I6632" s="19">
        <v>6.48</v>
      </c>
      <c r="J6632" s="19">
        <v>6.81</v>
      </c>
      <c r="K6632" s="19" t="s">
        <v>44</v>
      </c>
      <c r="L6632" s="19" t="s">
        <v>45</v>
      </c>
      <c r="M6632" s="15" t="s">
        <v>2271</v>
      </c>
      <c r="N6632" s="15" t="s">
        <v>36</v>
      </c>
      <c r="O6632" s="15" t="s">
        <v>117</v>
      </c>
      <c r="P6632" s="20" t="s">
        <v>729</v>
      </c>
      <c r="Q6632" s="15" t="s">
        <v>83</v>
      </c>
      <c r="R6632" s="4"/>
      <c r="S6632" s="4"/>
    </row>
    <row r="6633" spans="1:19" ht="21" customHeight="1" x14ac:dyDescent="0.25">
      <c r="A6633" s="14">
        <f>DATE(2012,12,31)-882</f>
        <v>40392</v>
      </c>
      <c r="B6633" s="15" t="s">
        <v>562</v>
      </c>
      <c r="C6633" s="15" t="s">
        <v>85</v>
      </c>
      <c r="D6633" s="16">
        <v>19</v>
      </c>
      <c r="E6633" s="17">
        <v>3559.6129999999998</v>
      </c>
      <c r="F6633" s="16">
        <v>0</v>
      </c>
      <c r="G6633" s="15" t="s">
        <v>32</v>
      </c>
      <c r="H6633" s="18">
        <v>747.73800000000006</v>
      </c>
      <c r="I6633" s="19">
        <v>205.99</v>
      </c>
      <c r="J6633" s="19">
        <v>3</v>
      </c>
      <c r="K6633" s="19" t="s">
        <v>44</v>
      </c>
      <c r="L6633" s="19" t="s">
        <v>89</v>
      </c>
      <c r="M6633" s="15" t="s">
        <v>2305</v>
      </c>
      <c r="N6633" s="15" t="s">
        <v>64</v>
      </c>
      <c r="O6633" s="15" t="s">
        <v>65</v>
      </c>
      <c r="P6633" s="20" t="s">
        <v>2316</v>
      </c>
      <c r="Q6633" s="15" t="s">
        <v>83</v>
      </c>
      <c r="R6633" s="4"/>
      <c r="S6633" s="4"/>
    </row>
    <row r="6634" spans="1:19" ht="21" customHeight="1" x14ac:dyDescent="0.25">
      <c r="A6634" s="14">
        <f>DATE(2012,12,31)-522</f>
        <v>40752</v>
      </c>
      <c r="B6634" s="15" t="s">
        <v>562</v>
      </c>
      <c r="C6634" s="15" t="s">
        <v>85</v>
      </c>
      <c r="D6634" s="16">
        <v>44</v>
      </c>
      <c r="E6634" s="17">
        <v>221.42</v>
      </c>
      <c r="F6634" s="16">
        <v>0.03</v>
      </c>
      <c r="G6634" s="15" t="s">
        <v>32</v>
      </c>
      <c r="H6634" s="18">
        <v>-142.02000000000001</v>
      </c>
      <c r="I6634" s="19">
        <v>4.9800000000000004</v>
      </c>
      <c r="J6634" s="19">
        <v>4.62</v>
      </c>
      <c r="K6634" s="19" t="s">
        <v>124</v>
      </c>
      <c r="L6634" s="19" t="s">
        <v>160</v>
      </c>
      <c r="M6634" s="15" t="s">
        <v>2281</v>
      </c>
      <c r="N6634" s="15" t="s">
        <v>64</v>
      </c>
      <c r="O6634" s="15" t="s">
        <v>72</v>
      </c>
      <c r="P6634" s="20" t="s">
        <v>2317</v>
      </c>
      <c r="Q6634" s="15" t="s">
        <v>49</v>
      </c>
      <c r="R6634" s="4"/>
      <c r="S6634" s="4"/>
    </row>
    <row r="6635" spans="1:19" ht="21" customHeight="1" x14ac:dyDescent="0.25">
      <c r="A6635" s="14">
        <f>DATE(2012,12,31)-533</f>
        <v>40741</v>
      </c>
      <c r="B6635" s="15" t="s">
        <v>492</v>
      </c>
      <c r="C6635" s="15" t="s">
        <v>31</v>
      </c>
      <c r="D6635" s="16">
        <v>6</v>
      </c>
      <c r="E6635" s="17">
        <v>460.71</v>
      </c>
      <c r="F6635" s="16">
        <v>0.02</v>
      </c>
      <c r="G6635" s="15" t="s">
        <v>32</v>
      </c>
      <c r="H6635" s="18">
        <v>-231.95</v>
      </c>
      <c r="I6635" s="19">
        <v>70.98</v>
      </c>
      <c r="J6635" s="19">
        <v>35</v>
      </c>
      <c r="K6635" s="19" t="s">
        <v>124</v>
      </c>
      <c r="L6635" s="19" t="s">
        <v>125</v>
      </c>
      <c r="M6635" s="15" t="s">
        <v>2265</v>
      </c>
      <c r="N6635" s="15" t="s">
        <v>36</v>
      </c>
      <c r="O6635" s="15" t="s">
        <v>37</v>
      </c>
      <c r="P6635" s="20" t="s">
        <v>66</v>
      </c>
      <c r="Q6635" s="15" t="s">
        <v>39</v>
      </c>
      <c r="R6635" s="4"/>
      <c r="S6635" s="4"/>
    </row>
    <row r="6636" spans="1:19" ht="21" customHeight="1" x14ac:dyDescent="0.25">
      <c r="A6636" s="14">
        <f>DATE(2012,12,31)-392</f>
        <v>40882</v>
      </c>
      <c r="B6636" s="15" t="s">
        <v>1484</v>
      </c>
      <c r="C6636" s="15" t="s">
        <v>85</v>
      </c>
      <c r="D6636" s="16">
        <v>47</v>
      </c>
      <c r="E6636" s="17">
        <v>1413.82</v>
      </c>
      <c r="F6636" s="16">
        <v>0.1</v>
      </c>
      <c r="G6636" s="15" t="s">
        <v>32</v>
      </c>
      <c r="H6636" s="18">
        <v>226.5335</v>
      </c>
      <c r="I6636" s="19">
        <v>30.98</v>
      </c>
      <c r="J6636" s="19">
        <v>11.63</v>
      </c>
      <c r="K6636" s="19" t="s">
        <v>44</v>
      </c>
      <c r="L6636" s="19" t="s">
        <v>52</v>
      </c>
      <c r="M6636" s="15" t="s">
        <v>2295</v>
      </c>
      <c r="N6636" s="15" t="s">
        <v>36</v>
      </c>
      <c r="O6636" s="15" t="s">
        <v>170</v>
      </c>
      <c r="P6636" s="20" t="s">
        <v>370</v>
      </c>
      <c r="Q6636" s="15" t="s">
        <v>83</v>
      </c>
      <c r="R6636" s="4"/>
      <c r="S6636" s="4"/>
    </row>
    <row r="6637" spans="1:19" ht="21" customHeight="1" x14ac:dyDescent="0.25">
      <c r="A6637" s="14">
        <f>DATE(2012,12,31)-392</f>
        <v>40882</v>
      </c>
      <c r="B6637" s="15" t="s">
        <v>1905</v>
      </c>
      <c r="C6637" s="15" t="s">
        <v>85</v>
      </c>
      <c r="D6637" s="16">
        <v>7</v>
      </c>
      <c r="E6637" s="17">
        <v>56.9</v>
      </c>
      <c r="F6637" s="16">
        <v>0.03</v>
      </c>
      <c r="G6637" s="15" t="s">
        <v>32</v>
      </c>
      <c r="H6637" s="18">
        <v>12.64</v>
      </c>
      <c r="I6637" s="19">
        <v>7.64</v>
      </c>
      <c r="J6637" s="19">
        <v>1.39</v>
      </c>
      <c r="K6637" s="19" t="s">
        <v>33</v>
      </c>
      <c r="L6637" s="19" t="s">
        <v>128</v>
      </c>
      <c r="M6637" s="15" t="s">
        <v>129</v>
      </c>
      <c r="N6637" s="15" t="s">
        <v>36</v>
      </c>
      <c r="O6637" s="15" t="s">
        <v>189</v>
      </c>
      <c r="P6637" s="20" t="s">
        <v>756</v>
      </c>
      <c r="Q6637" s="15" t="s">
        <v>83</v>
      </c>
      <c r="R6637" s="4"/>
      <c r="S6637" s="4"/>
    </row>
    <row r="6638" spans="1:19" ht="21" customHeight="1" x14ac:dyDescent="0.25">
      <c r="A6638" s="14">
        <f>DATE(2012,12,31)-392</f>
        <v>40882</v>
      </c>
      <c r="B6638" s="15" t="s">
        <v>1762</v>
      </c>
      <c r="C6638" s="15" t="s">
        <v>85</v>
      </c>
      <c r="D6638" s="16">
        <v>45</v>
      </c>
      <c r="E6638" s="17">
        <v>308.92</v>
      </c>
      <c r="F6638" s="16">
        <v>0.04</v>
      </c>
      <c r="G6638" s="15" t="s">
        <v>101</v>
      </c>
      <c r="H6638" s="18">
        <v>-143.58000000000001</v>
      </c>
      <c r="I6638" s="19">
        <v>6.48</v>
      </c>
      <c r="J6638" s="19">
        <v>7.37</v>
      </c>
      <c r="K6638" s="19" t="s">
        <v>33</v>
      </c>
      <c r="L6638" s="19" t="s">
        <v>93</v>
      </c>
      <c r="M6638" s="15" t="s">
        <v>94</v>
      </c>
      <c r="N6638" s="15" t="s">
        <v>36</v>
      </c>
      <c r="O6638" s="15" t="s">
        <v>117</v>
      </c>
      <c r="P6638" s="20" t="s">
        <v>139</v>
      </c>
      <c r="Q6638" s="15" t="s">
        <v>83</v>
      </c>
      <c r="R6638" s="4"/>
      <c r="S6638" s="4"/>
    </row>
    <row r="6639" spans="1:19" ht="21" customHeight="1" x14ac:dyDescent="0.25">
      <c r="A6639" s="14">
        <f>DATE(2012,12,31)-1055</f>
        <v>40219</v>
      </c>
      <c r="B6639" s="15" t="s">
        <v>286</v>
      </c>
      <c r="C6639" s="15" t="s">
        <v>31</v>
      </c>
      <c r="D6639" s="16">
        <v>2</v>
      </c>
      <c r="E6639" s="17">
        <v>26.64</v>
      </c>
      <c r="F6639" s="16">
        <v>0.09</v>
      </c>
      <c r="G6639" s="15" t="s">
        <v>101</v>
      </c>
      <c r="H6639" s="18">
        <v>-13.88</v>
      </c>
      <c r="I6639" s="19">
        <v>11.55</v>
      </c>
      <c r="J6639" s="19">
        <v>2.36</v>
      </c>
      <c r="K6639" s="19" t="s">
        <v>33</v>
      </c>
      <c r="L6639" s="19" t="s">
        <v>93</v>
      </c>
      <c r="M6639" s="15" t="s">
        <v>94</v>
      </c>
      <c r="N6639" s="15" t="s">
        <v>36</v>
      </c>
      <c r="O6639" s="15" t="s">
        <v>77</v>
      </c>
      <c r="P6639" s="20" t="s">
        <v>344</v>
      </c>
      <c r="Q6639" s="15" t="s">
        <v>79</v>
      </c>
      <c r="R6639" s="4"/>
      <c r="S6639" s="4"/>
    </row>
    <row r="6640" spans="1:19" ht="21" customHeight="1" x14ac:dyDescent="0.25">
      <c r="A6640" s="14">
        <f>DATE(2012,12,31)-1055</f>
        <v>40219</v>
      </c>
      <c r="B6640" s="15" t="s">
        <v>286</v>
      </c>
      <c r="C6640" s="15" t="s">
        <v>31</v>
      </c>
      <c r="D6640" s="16">
        <v>16</v>
      </c>
      <c r="E6640" s="17">
        <v>88.19</v>
      </c>
      <c r="F6640" s="16">
        <v>0.03</v>
      </c>
      <c r="G6640" s="15" t="s">
        <v>32</v>
      </c>
      <c r="H6640" s="18">
        <v>-25.97</v>
      </c>
      <c r="I6640" s="19">
        <v>4.9800000000000004</v>
      </c>
      <c r="J6640" s="19">
        <v>4.72</v>
      </c>
      <c r="K6640" s="19" t="s">
        <v>33</v>
      </c>
      <c r="L6640" s="19" t="s">
        <v>93</v>
      </c>
      <c r="M6640" s="15" t="s">
        <v>94</v>
      </c>
      <c r="N6640" s="15" t="s">
        <v>36</v>
      </c>
      <c r="O6640" s="15" t="s">
        <v>117</v>
      </c>
      <c r="P6640" s="20" t="s">
        <v>644</v>
      </c>
      <c r="Q6640" s="15" t="s">
        <v>83</v>
      </c>
      <c r="R6640" s="4"/>
      <c r="S6640" s="4"/>
    </row>
    <row r="6641" spans="1:19" ht="21" customHeight="1" x14ac:dyDescent="0.25">
      <c r="A6641" s="14">
        <f>DATE(2012,12,31)-481</f>
        <v>40793</v>
      </c>
      <c r="B6641" s="15" t="s">
        <v>576</v>
      </c>
      <c r="C6641" s="15" t="s">
        <v>85</v>
      </c>
      <c r="D6641" s="16">
        <v>16</v>
      </c>
      <c r="E6641" s="17">
        <v>760.24849999999992</v>
      </c>
      <c r="F6641" s="16">
        <v>0.04</v>
      </c>
      <c r="G6641" s="15" t="s">
        <v>32</v>
      </c>
      <c r="H6641" s="18">
        <v>29.798999999999999</v>
      </c>
      <c r="I6641" s="19">
        <v>55.99</v>
      </c>
      <c r="J6641" s="19">
        <v>3.3</v>
      </c>
      <c r="K6641" s="19" t="s">
        <v>33</v>
      </c>
      <c r="L6641" s="19" t="s">
        <v>128</v>
      </c>
      <c r="M6641" s="15" t="s">
        <v>129</v>
      </c>
      <c r="N6641" s="15" t="s">
        <v>64</v>
      </c>
      <c r="O6641" s="15" t="s">
        <v>65</v>
      </c>
      <c r="P6641" s="20" t="s">
        <v>706</v>
      </c>
      <c r="Q6641" s="15" t="s">
        <v>49</v>
      </c>
      <c r="R6641" s="4"/>
      <c r="S6641" s="4"/>
    </row>
    <row r="6642" spans="1:19" ht="21" customHeight="1" x14ac:dyDescent="0.25">
      <c r="A6642" s="14">
        <f>DATE(2012,12,31)-815</f>
        <v>40459</v>
      </c>
      <c r="B6642" s="15" t="s">
        <v>550</v>
      </c>
      <c r="C6642" s="15" t="s">
        <v>43</v>
      </c>
      <c r="D6642" s="16">
        <v>25</v>
      </c>
      <c r="E6642" s="17">
        <v>2200.64</v>
      </c>
      <c r="F6642" s="16">
        <v>0.05</v>
      </c>
      <c r="G6642" s="15" t="s">
        <v>58</v>
      </c>
      <c r="H6642" s="18">
        <v>-514.17999999999995</v>
      </c>
      <c r="I6642" s="19">
        <v>89.99</v>
      </c>
      <c r="J6642" s="19">
        <v>42</v>
      </c>
      <c r="K6642" s="19" t="s">
        <v>97</v>
      </c>
      <c r="L6642" s="19" t="s">
        <v>132</v>
      </c>
      <c r="M6642" s="15" t="s">
        <v>2294</v>
      </c>
      <c r="N6642" s="15" t="s">
        <v>54</v>
      </c>
      <c r="O6642" s="15" t="s">
        <v>252</v>
      </c>
      <c r="P6642" s="20" t="s">
        <v>795</v>
      </c>
      <c r="Q6642" s="15" t="s">
        <v>181</v>
      </c>
      <c r="R6642" s="4"/>
      <c r="S6642" s="4"/>
    </row>
    <row r="6643" spans="1:19" ht="21" customHeight="1" x14ac:dyDescent="0.25">
      <c r="A6643" s="14">
        <f>DATE(2012,12,31)-625</f>
        <v>40649</v>
      </c>
      <c r="B6643" s="15" t="s">
        <v>136</v>
      </c>
      <c r="C6643" s="15" t="s">
        <v>85</v>
      </c>
      <c r="D6643" s="16">
        <v>7</v>
      </c>
      <c r="E6643" s="17">
        <v>27.99</v>
      </c>
      <c r="F6643" s="16">
        <v>0.06</v>
      </c>
      <c r="G6643" s="15" t="s">
        <v>32</v>
      </c>
      <c r="H6643" s="18">
        <v>-0.17249999999999938</v>
      </c>
      <c r="I6643" s="19">
        <v>3.8</v>
      </c>
      <c r="J6643" s="19">
        <v>1.49</v>
      </c>
      <c r="K6643" s="19" t="s">
        <v>97</v>
      </c>
      <c r="L6643" s="19" t="s">
        <v>132</v>
      </c>
      <c r="M6643" s="15" t="s">
        <v>2294</v>
      </c>
      <c r="N6643" s="15" t="s">
        <v>36</v>
      </c>
      <c r="O6643" s="15" t="s">
        <v>170</v>
      </c>
      <c r="P6643" s="20" t="s">
        <v>339</v>
      </c>
      <c r="Q6643" s="15" t="s">
        <v>83</v>
      </c>
      <c r="R6643" s="4"/>
      <c r="S6643" s="4"/>
    </row>
    <row r="6644" spans="1:19" ht="21" customHeight="1" x14ac:dyDescent="0.25">
      <c r="A6644" s="14">
        <f>DATE(2012,12,31)-625</f>
        <v>40649</v>
      </c>
      <c r="B6644" s="15" t="s">
        <v>990</v>
      </c>
      <c r="C6644" s="15" t="s">
        <v>85</v>
      </c>
      <c r="D6644" s="16">
        <v>6</v>
      </c>
      <c r="E6644" s="17">
        <v>21.07</v>
      </c>
      <c r="F6644" s="16">
        <v>0.08</v>
      </c>
      <c r="G6644" s="15" t="s">
        <v>32</v>
      </c>
      <c r="H6644" s="18">
        <v>2.2799999999999998</v>
      </c>
      <c r="I6644" s="19">
        <v>3.69</v>
      </c>
      <c r="J6644" s="19">
        <v>0.5</v>
      </c>
      <c r="K6644" s="19" t="s">
        <v>97</v>
      </c>
      <c r="L6644" s="19" t="s">
        <v>283</v>
      </c>
      <c r="M6644" s="15" t="s">
        <v>2306</v>
      </c>
      <c r="N6644" s="15" t="s">
        <v>36</v>
      </c>
      <c r="O6644" s="15" t="s">
        <v>114</v>
      </c>
      <c r="P6644" s="20" t="s">
        <v>1879</v>
      </c>
      <c r="Q6644" s="15" t="s">
        <v>83</v>
      </c>
      <c r="R6644" s="4"/>
      <c r="S6644" s="4"/>
    </row>
    <row r="6645" spans="1:19" ht="21" customHeight="1" x14ac:dyDescent="0.25">
      <c r="A6645" s="14">
        <f>DATE(2012,12,31)-563</f>
        <v>40711</v>
      </c>
      <c r="B6645" s="15" t="s">
        <v>441</v>
      </c>
      <c r="C6645" s="15" t="s">
        <v>85</v>
      </c>
      <c r="D6645" s="16">
        <v>6</v>
      </c>
      <c r="E6645" s="17">
        <v>1307.1840000000002</v>
      </c>
      <c r="F6645" s="16">
        <v>0.03</v>
      </c>
      <c r="G6645" s="15" t="s">
        <v>58</v>
      </c>
      <c r="H6645" s="18">
        <v>-184.06</v>
      </c>
      <c r="I6645" s="19">
        <v>262.11</v>
      </c>
      <c r="J6645" s="19">
        <v>62.74</v>
      </c>
      <c r="K6645" s="19" t="s">
        <v>97</v>
      </c>
      <c r="L6645" s="19" t="s">
        <v>283</v>
      </c>
      <c r="M6645" s="15" t="s">
        <v>2306</v>
      </c>
      <c r="N6645" s="15" t="s">
        <v>54</v>
      </c>
      <c r="O6645" s="15" t="s">
        <v>61</v>
      </c>
      <c r="P6645" s="20" t="s">
        <v>1274</v>
      </c>
      <c r="Q6645" s="15" t="s">
        <v>63</v>
      </c>
      <c r="R6645" s="4"/>
      <c r="S6645" s="4"/>
    </row>
    <row r="6646" spans="1:19" ht="21" customHeight="1" x14ac:dyDescent="0.25">
      <c r="A6646" s="14">
        <f>DATE(2012,12,31)-152</f>
        <v>41122</v>
      </c>
      <c r="B6646" s="15" t="s">
        <v>441</v>
      </c>
      <c r="C6646" s="15" t="s">
        <v>31</v>
      </c>
      <c r="D6646" s="16">
        <v>26</v>
      </c>
      <c r="E6646" s="17">
        <v>145.76</v>
      </c>
      <c r="F6646" s="16">
        <v>0</v>
      </c>
      <c r="G6646" s="15" t="s">
        <v>32</v>
      </c>
      <c r="H6646" s="18">
        <v>5.6695000000000002</v>
      </c>
      <c r="I6646" s="19">
        <v>5.28</v>
      </c>
      <c r="J6646" s="19">
        <v>2.99</v>
      </c>
      <c r="K6646" s="19" t="s">
        <v>97</v>
      </c>
      <c r="L6646" s="19" t="s">
        <v>283</v>
      </c>
      <c r="M6646" s="15" t="s">
        <v>2306</v>
      </c>
      <c r="N6646" s="15" t="s">
        <v>36</v>
      </c>
      <c r="O6646" s="15" t="s">
        <v>170</v>
      </c>
      <c r="P6646" s="20" t="s">
        <v>62</v>
      </c>
      <c r="Q6646" s="15" t="s">
        <v>83</v>
      </c>
      <c r="R6646" s="4"/>
      <c r="S6646" s="4"/>
    </row>
    <row r="6647" spans="1:19" ht="21" customHeight="1" x14ac:dyDescent="0.25">
      <c r="A6647" s="14">
        <f>DATE(2012,12,31)-214</f>
        <v>41060</v>
      </c>
      <c r="B6647" s="15" t="s">
        <v>854</v>
      </c>
      <c r="C6647" s="15" t="s">
        <v>31</v>
      </c>
      <c r="D6647" s="16">
        <v>43</v>
      </c>
      <c r="E6647" s="17">
        <v>277.08</v>
      </c>
      <c r="F6647" s="16">
        <v>0.08</v>
      </c>
      <c r="G6647" s="15" t="s">
        <v>32</v>
      </c>
      <c r="H6647" s="18">
        <v>-179.11</v>
      </c>
      <c r="I6647" s="19">
        <v>6.48</v>
      </c>
      <c r="J6647" s="19">
        <v>7.91</v>
      </c>
      <c r="K6647" s="19" t="s">
        <v>97</v>
      </c>
      <c r="L6647" s="19" t="s">
        <v>132</v>
      </c>
      <c r="M6647" s="15" t="s">
        <v>2294</v>
      </c>
      <c r="N6647" s="15" t="s">
        <v>36</v>
      </c>
      <c r="O6647" s="15" t="s">
        <v>117</v>
      </c>
      <c r="P6647" s="20" t="s">
        <v>434</v>
      </c>
      <c r="Q6647" s="15" t="s">
        <v>83</v>
      </c>
      <c r="R6647" s="4"/>
      <c r="S6647" s="4"/>
    </row>
    <row r="6648" spans="1:19" ht="21" customHeight="1" x14ac:dyDescent="0.25">
      <c r="A6648" s="14">
        <f>DATE(2012,12,31)-1307</f>
        <v>39967</v>
      </c>
      <c r="B6648" s="15" t="s">
        <v>854</v>
      </c>
      <c r="C6648" s="15" t="s">
        <v>31</v>
      </c>
      <c r="D6648" s="16">
        <v>50</v>
      </c>
      <c r="E6648" s="17">
        <v>8230.77</v>
      </c>
      <c r="F6648" s="16">
        <v>0.05</v>
      </c>
      <c r="G6648" s="15" t="s">
        <v>32</v>
      </c>
      <c r="H6648" s="18">
        <v>1577.02</v>
      </c>
      <c r="I6648" s="19">
        <v>161.55000000000001</v>
      </c>
      <c r="J6648" s="19">
        <v>19.989999999999998</v>
      </c>
      <c r="K6648" s="19" t="s">
        <v>97</v>
      </c>
      <c r="L6648" s="19" t="s">
        <v>283</v>
      </c>
      <c r="M6648" s="15" t="s">
        <v>2306</v>
      </c>
      <c r="N6648" s="15" t="s">
        <v>36</v>
      </c>
      <c r="O6648" s="15" t="s">
        <v>37</v>
      </c>
      <c r="P6648" s="20" t="s">
        <v>735</v>
      </c>
      <c r="Q6648" s="15" t="s">
        <v>83</v>
      </c>
      <c r="R6648" s="4"/>
      <c r="S6648" s="4"/>
    </row>
    <row r="6649" spans="1:19" ht="21" customHeight="1" x14ac:dyDescent="0.25">
      <c r="A6649" s="14">
        <f>DATE(2012,12,31)-502</f>
        <v>40772</v>
      </c>
      <c r="B6649" s="15" t="s">
        <v>854</v>
      </c>
      <c r="C6649" s="15" t="s">
        <v>43</v>
      </c>
      <c r="D6649" s="16">
        <v>10</v>
      </c>
      <c r="E6649" s="17">
        <v>197.21</v>
      </c>
      <c r="F6649" s="16">
        <v>0.06</v>
      </c>
      <c r="G6649" s="15" t="s">
        <v>32</v>
      </c>
      <c r="H6649" s="18">
        <v>56.882000000000005</v>
      </c>
      <c r="I6649" s="19">
        <v>20.98</v>
      </c>
      <c r="J6649" s="19">
        <v>1.49</v>
      </c>
      <c r="K6649" s="19" t="s">
        <v>97</v>
      </c>
      <c r="L6649" s="19" t="s">
        <v>98</v>
      </c>
      <c r="M6649" s="15" t="s">
        <v>2279</v>
      </c>
      <c r="N6649" s="15" t="s">
        <v>36</v>
      </c>
      <c r="O6649" s="15" t="s">
        <v>170</v>
      </c>
      <c r="P6649" s="20" t="s">
        <v>1920</v>
      </c>
      <c r="Q6649" s="15" t="s">
        <v>83</v>
      </c>
      <c r="R6649" s="4"/>
      <c r="S6649" s="4"/>
    </row>
    <row r="6650" spans="1:19" ht="21" customHeight="1" x14ac:dyDescent="0.25">
      <c r="A6650" s="14">
        <f>DATE(2012,12,31)-813</f>
        <v>40461</v>
      </c>
      <c r="B6650" s="15" t="s">
        <v>489</v>
      </c>
      <c r="C6650" s="15" t="s">
        <v>85</v>
      </c>
      <c r="D6650" s="16">
        <v>12</v>
      </c>
      <c r="E6650" s="17">
        <v>31.6</v>
      </c>
      <c r="F6650" s="16">
        <v>0.1</v>
      </c>
      <c r="G6650" s="15" t="s">
        <v>32</v>
      </c>
      <c r="H6650" s="18">
        <v>-3.64</v>
      </c>
      <c r="I6650" s="19">
        <v>2.84</v>
      </c>
      <c r="J6650" s="19">
        <v>0.93</v>
      </c>
      <c r="K6650" s="19" t="s">
        <v>97</v>
      </c>
      <c r="L6650" s="19" t="s">
        <v>98</v>
      </c>
      <c r="M6650" s="15" t="s">
        <v>2279</v>
      </c>
      <c r="N6650" s="15" t="s">
        <v>36</v>
      </c>
      <c r="O6650" s="15" t="s">
        <v>77</v>
      </c>
      <c r="P6650" s="20" t="s">
        <v>139</v>
      </c>
      <c r="Q6650" s="15" t="s">
        <v>79</v>
      </c>
      <c r="R6650" s="4"/>
      <c r="S6650" s="4"/>
    </row>
    <row r="6651" spans="1:19" ht="21" customHeight="1" x14ac:dyDescent="0.25">
      <c r="A6651" s="14">
        <f>DATE(2012,12,31)-981</f>
        <v>40293</v>
      </c>
      <c r="B6651" s="15" t="s">
        <v>672</v>
      </c>
      <c r="C6651" s="15" t="s">
        <v>51</v>
      </c>
      <c r="D6651" s="16">
        <v>39</v>
      </c>
      <c r="E6651" s="17">
        <v>318.27999999999997</v>
      </c>
      <c r="F6651" s="16">
        <v>0.08</v>
      </c>
      <c r="G6651" s="15" t="s">
        <v>32</v>
      </c>
      <c r="H6651" s="18">
        <v>114.95</v>
      </c>
      <c r="I6651" s="19">
        <v>8.17</v>
      </c>
      <c r="J6651" s="19">
        <v>1.69</v>
      </c>
      <c r="K6651" s="19" t="s">
        <v>124</v>
      </c>
      <c r="L6651" s="19" t="s">
        <v>160</v>
      </c>
      <c r="M6651" s="15" t="s">
        <v>2281</v>
      </c>
      <c r="N6651" s="15" t="s">
        <v>36</v>
      </c>
      <c r="O6651" s="15" t="s">
        <v>117</v>
      </c>
      <c r="P6651" s="20" t="s">
        <v>2318</v>
      </c>
      <c r="Q6651" s="15" t="s">
        <v>79</v>
      </c>
      <c r="R6651" s="4"/>
      <c r="S6651" s="4"/>
    </row>
    <row r="6652" spans="1:19" ht="21" customHeight="1" x14ac:dyDescent="0.25">
      <c r="A6652" s="14">
        <f>DATE(2012,12,31)-981</f>
        <v>40293</v>
      </c>
      <c r="B6652" s="15" t="s">
        <v>1012</v>
      </c>
      <c r="C6652" s="15" t="s">
        <v>51</v>
      </c>
      <c r="D6652" s="16">
        <v>34</v>
      </c>
      <c r="E6652" s="17">
        <v>289.52999999999997</v>
      </c>
      <c r="F6652" s="16">
        <v>0.08</v>
      </c>
      <c r="G6652" s="15" t="s">
        <v>101</v>
      </c>
      <c r="H6652" s="18">
        <v>46.970999999999997</v>
      </c>
      <c r="I6652" s="19">
        <v>8.69</v>
      </c>
      <c r="J6652" s="19">
        <v>2.99</v>
      </c>
      <c r="K6652" s="19" t="s">
        <v>124</v>
      </c>
      <c r="L6652" s="19" t="s">
        <v>160</v>
      </c>
      <c r="M6652" s="15" t="s">
        <v>2281</v>
      </c>
      <c r="N6652" s="15" t="s">
        <v>36</v>
      </c>
      <c r="O6652" s="15" t="s">
        <v>170</v>
      </c>
      <c r="P6652" s="20" t="s">
        <v>1419</v>
      </c>
      <c r="Q6652" s="15" t="s">
        <v>83</v>
      </c>
      <c r="R6652" s="4"/>
      <c r="S6652" s="4"/>
    </row>
    <row r="6653" spans="1:19" ht="21" customHeight="1" x14ac:dyDescent="0.25">
      <c r="A6653" s="14">
        <f>DATE(2012,12,31)-981</f>
        <v>40293</v>
      </c>
      <c r="B6653" s="15" t="s">
        <v>1012</v>
      </c>
      <c r="C6653" s="15" t="s">
        <v>51</v>
      </c>
      <c r="D6653" s="16">
        <v>45</v>
      </c>
      <c r="E6653" s="17">
        <v>322.8</v>
      </c>
      <c r="F6653" s="16">
        <v>0.06</v>
      </c>
      <c r="G6653" s="15" t="s">
        <v>32</v>
      </c>
      <c r="H6653" s="18">
        <v>53.15</v>
      </c>
      <c r="I6653" s="19">
        <v>7.08</v>
      </c>
      <c r="J6653" s="19">
        <v>2.35</v>
      </c>
      <c r="K6653" s="19" t="s">
        <v>124</v>
      </c>
      <c r="L6653" s="19" t="s">
        <v>160</v>
      </c>
      <c r="M6653" s="15" t="s">
        <v>2281</v>
      </c>
      <c r="N6653" s="15" t="s">
        <v>36</v>
      </c>
      <c r="O6653" s="15" t="s">
        <v>77</v>
      </c>
      <c r="P6653" s="20" t="s">
        <v>1272</v>
      </c>
      <c r="Q6653" s="15" t="s">
        <v>79</v>
      </c>
      <c r="R6653" s="4"/>
      <c r="S6653" s="4"/>
    </row>
    <row r="6654" spans="1:19" ht="21" customHeight="1" x14ac:dyDescent="0.25">
      <c r="A6654" s="14">
        <f>DATE(2012,12,31)-571</f>
        <v>40703</v>
      </c>
      <c r="B6654" s="15" t="s">
        <v>1012</v>
      </c>
      <c r="C6654" s="15" t="s">
        <v>51</v>
      </c>
      <c r="D6654" s="16">
        <v>43</v>
      </c>
      <c r="E6654" s="17">
        <v>154.18</v>
      </c>
      <c r="F6654" s="16">
        <v>0.08</v>
      </c>
      <c r="G6654" s="15" t="s">
        <v>32</v>
      </c>
      <c r="H6654" s="18">
        <v>-166.92250000000001</v>
      </c>
      <c r="I6654" s="19">
        <v>3.58</v>
      </c>
      <c r="J6654" s="19">
        <v>5.47</v>
      </c>
      <c r="K6654" s="19" t="s">
        <v>124</v>
      </c>
      <c r="L6654" s="19" t="s">
        <v>160</v>
      </c>
      <c r="M6654" s="15" t="s">
        <v>2281</v>
      </c>
      <c r="N6654" s="15" t="s">
        <v>36</v>
      </c>
      <c r="O6654" s="15" t="s">
        <v>170</v>
      </c>
      <c r="P6654" s="20" t="s">
        <v>998</v>
      </c>
      <c r="Q6654" s="15" t="s">
        <v>83</v>
      </c>
      <c r="R6654" s="4"/>
      <c r="S6654" s="4"/>
    </row>
    <row r="6655" spans="1:19" ht="21" customHeight="1" x14ac:dyDescent="0.25">
      <c r="A6655" s="14">
        <f>DATE(2012,12,31)-571</f>
        <v>40703</v>
      </c>
      <c r="B6655" s="15" t="s">
        <v>1253</v>
      </c>
      <c r="C6655" s="15" t="s">
        <v>51</v>
      </c>
      <c r="D6655" s="16">
        <v>18</v>
      </c>
      <c r="E6655" s="17">
        <v>110.31</v>
      </c>
      <c r="F6655" s="16">
        <v>0.05</v>
      </c>
      <c r="G6655" s="15" t="s">
        <v>32</v>
      </c>
      <c r="H6655" s="18">
        <v>-1.22</v>
      </c>
      <c r="I6655" s="19">
        <v>5.85</v>
      </c>
      <c r="J6655" s="19">
        <v>2.27</v>
      </c>
      <c r="K6655" s="19" t="s">
        <v>124</v>
      </c>
      <c r="L6655" s="19" t="s">
        <v>160</v>
      </c>
      <c r="M6655" s="15" t="s">
        <v>2281</v>
      </c>
      <c r="N6655" s="15" t="s">
        <v>36</v>
      </c>
      <c r="O6655" s="15" t="s">
        <v>77</v>
      </c>
      <c r="P6655" s="20" t="s">
        <v>996</v>
      </c>
      <c r="Q6655" s="15" t="s">
        <v>79</v>
      </c>
      <c r="R6655" s="4"/>
      <c r="S6655" s="4"/>
    </row>
    <row r="6656" spans="1:19" ht="21" customHeight="1" x14ac:dyDescent="0.25">
      <c r="A6656" s="14">
        <f>DATE(2012,12,31)-571</f>
        <v>40703</v>
      </c>
      <c r="B6656" s="15" t="s">
        <v>1253</v>
      </c>
      <c r="C6656" s="15" t="s">
        <v>51</v>
      </c>
      <c r="D6656" s="16">
        <v>41</v>
      </c>
      <c r="E6656" s="17">
        <v>137.51</v>
      </c>
      <c r="F6656" s="16">
        <v>0.02</v>
      </c>
      <c r="G6656" s="15" t="s">
        <v>32</v>
      </c>
      <c r="H6656" s="18">
        <v>21.62</v>
      </c>
      <c r="I6656" s="19">
        <v>3.29</v>
      </c>
      <c r="J6656" s="19">
        <v>1.35</v>
      </c>
      <c r="K6656" s="19" t="s">
        <v>124</v>
      </c>
      <c r="L6656" s="19" t="s">
        <v>164</v>
      </c>
      <c r="M6656" s="15" t="s">
        <v>2307</v>
      </c>
      <c r="N6656" s="15" t="s">
        <v>36</v>
      </c>
      <c r="O6656" s="15" t="s">
        <v>105</v>
      </c>
      <c r="P6656" s="20" t="s">
        <v>308</v>
      </c>
      <c r="Q6656" s="15" t="s">
        <v>79</v>
      </c>
      <c r="R6656" s="4"/>
      <c r="S6656" s="4"/>
    </row>
    <row r="6657" spans="1:19" ht="21" customHeight="1" x14ac:dyDescent="0.25">
      <c r="A6657" s="14">
        <f>DATE(2012,12,31)-527</f>
        <v>40747</v>
      </c>
      <c r="B6657" s="15" t="s">
        <v>431</v>
      </c>
      <c r="C6657" s="15" t="s">
        <v>51</v>
      </c>
      <c r="D6657" s="16">
        <v>22</v>
      </c>
      <c r="E6657" s="17">
        <v>649.71</v>
      </c>
      <c r="F6657" s="16">
        <v>7.0000000000000007E-2</v>
      </c>
      <c r="G6657" s="15" t="s">
        <v>32</v>
      </c>
      <c r="H6657" s="18">
        <v>-157.51</v>
      </c>
      <c r="I6657" s="19">
        <v>30.42</v>
      </c>
      <c r="J6657" s="19">
        <v>8.65</v>
      </c>
      <c r="K6657" s="19" t="s">
        <v>124</v>
      </c>
      <c r="L6657" s="19" t="s">
        <v>164</v>
      </c>
      <c r="M6657" s="15" t="s">
        <v>2319</v>
      </c>
      <c r="N6657" s="15" t="s">
        <v>64</v>
      </c>
      <c r="O6657" s="15" t="s">
        <v>72</v>
      </c>
      <c r="P6657" s="20" t="s">
        <v>1212</v>
      </c>
      <c r="Q6657" s="15" t="s">
        <v>83</v>
      </c>
      <c r="R6657" s="4"/>
      <c r="S6657" s="4"/>
    </row>
    <row r="6658" spans="1:19" ht="21" customHeight="1" x14ac:dyDescent="0.25">
      <c r="A6658" s="14">
        <f>DATE(2012,12,31)-1419</f>
        <v>39855</v>
      </c>
      <c r="B6658" s="15" t="s">
        <v>1724</v>
      </c>
      <c r="C6658" s="15" t="s">
        <v>85</v>
      </c>
      <c r="D6658" s="16">
        <v>36</v>
      </c>
      <c r="E6658" s="17">
        <v>9757.48</v>
      </c>
      <c r="F6658" s="16">
        <v>7.0000000000000007E-2</v>
      </c>
      <c r="G6658" s="15" t="s">
        <v>58</v>
      </c>
      <c r="H6658" s="18">
        <v>-96.05</v>
      </c>
      <c r="I6658" s="19">
        <v>270.98</v>
      </c>
      <c r="J6658" s="19">
        <v>50</v>
      </c>
      <c r="K6658" s="19" t="s">
        <v>124</v>
      </c>
      <c r="L6658" s="19" t="s">
        <v>158</v>
      </c>
      <c r="M6658" s="15" t="s">
        <v>158</v>
      </c>
      <c r="N6658" s="15" t="s">
        <v>54</v>
      </c>
      <c r="O6658" s="15" t="s">
        <v>252</v>
      </c>
      <c r="P6658" s="20" t="s">
        <v>848</v>
      </c>
      <c r="Q6658" s="15" t="s">
        <v>181</v>
      </c>
      <c r="R6658" s="4"/>
      <c r="S6658" s="4"/>
    </row>
    <row r="6659" spans="1:19" ht="21" customHeight="1" x14ac:dyDescent="0.25">
      <c r="A6659" s="14">
        <f>DATE(2012,12,31)-1279</f>
        <v>39995</v>
      </c>
      <c r="B6659" s="15" t="s">
        <v>620</v>
      </c>
      <c r="C6659" s="15" t="s">
        <v>51</v>
      </c>
      <c r="D6659" s="16">
        <v>42</v>
      </c>
      <c r="E6659" s="17">
        <v>1967.83</v>
      </c>
      <c r="F6659" s="16">
        <v>0.04</v>
      </c>
      <c r="G6659" s="15" t="s">
        <v>32</v>
      </c>
      <c r="H6659" s="18">
        <v>659.6</v>
      </c>
      <c r="I6659" s="19">
        <v>45.19</v>
      </c>
      <c r="J6659" s="19">
        <v>1.99</v>
      </c>
      <c r="K6659" s="19" t="s">
        <v>124</v>
      </c>
      <c r="L6659" s="19" t="s">
        <v>319</v>
      </c>
      <c r="M6659" s="15" t="s">
        <v>2300</v>
      </c>
      <c r="N6659" s="15" t="s">
        <v>64</v>
      </c>
      <c r="O6659" s="15" t="s">
        <v>72</v>
      </c>
      <c r="P6659" s="20" t="s">
        <v>611</v>
      </c>
      <c r="Q6659" s="15" t="s">
        <v>49</v>
      </c>
      <c r="R6659" s="4"/>
      <c r="S6659" s="4"/>
    </row>
    <row r="6660" spans="1:19" ht="21" customHeight="1" x14ac:dyDescent="0.25">
      <c r="A6660" s="14">
        <f>DATE(2012,12,31)-1279</f>
        <v>39995</v>
      </c>
      <c r="B6660" s="15" t="s">
        <v>620</v>
      </c>
      <c r="C6660" s="15" t="s">
        <v>51</v>
      </c>
      <c r="D6660" s="16">
        <v>9</v>
      </c>
      <c r="E6660" s="17">
        <v>52.59</v>
      </c>
      <c r="F6660" s="16">
        <v>0.03</v>
      </c>
      <c r="G6660" s="15" t="s">
        <v>32</v>
      </c>
      <c r="H6660" s="18">
        <v>-28.14</v>
      </c>
      <c r="I6660" s="19">
        <v>4.9800000000000004</v>
      </c>
      <c r="J6660" s="19">
        <v>6.07</v>
      </c>
      <c r="K6660" s="19" t="s">
        <v>124</v>
      </c>
      <c r="L6660" s="19" t="s">
        <v>164</v>
      </c>
      <c r="M6660" s="15" t="s">
        <v>2319</v>
      </c>
      <c r="N6660" s="15" t="s">
        <v>36</v>
      </c>
      <c r="O6660" s="15" t="s">
        <v>117</v>
      </c>
      <c r="P6660" s="20" t="s">
        <v>453</v>
      </c>
      <c r="Q6660" s="15" t="s">
        <v>83</v>
      </c>
      <c r="R6660" s="4"/>
      <c r="S6660" s="4"/>
    </row>
    <row r="6661" spans="1:19" ht="21" customHeight="1" x14ac:dyDescent="0.25">
      <c r="A6661" s="14">
        <f>DATE(2012,12,31)-1181</f>
        <v>40093</v>
      </c>
      <c r="B6661" s="15" t="s">
        <v>163</v>
      </c>
      <c r="C6661" s="15" t="s">
        <v>43</v>
      </c>
      <c r="D6661" s="16">
        <v>36</v>
      </c>
      <c r="E6661" s="17">
        <v>277.88</v>
      </c>
      <c r="F6661" s="16">
        <v>0.09</v>
      </c>
      <c r="G6661" s="15" t="s">
        <v>32</v>
      </c>
      <c r="H6661" s="18">
        <v>-64.41149999999999</v>
      </c>
      <c r="I6661" s="19">
        <v>7.68</v>
      </c>
      <c r="J6661" s="19">
        <v>6.16</v>
      </c>
      <c r="K6661" s="19" t="s">
        <v>124</v>
      </c>
      <c r="L6661" s="19" t="s">
        <v>164</v>
      </c>
      <c r="M6661" s="15" t="s">
        <v>2319</v>
      </c>
      <c r="N6661" s="15" t="s">
        <v>36</v>
      </c>
      <c r="O6661" s="15" t="s">
        <v>170</v>
      </c>
      <c r="P6661" s="20" t="s">
        <v>1510</v>
      </c>
      <c r="Q6661" s="15" t="s">
        <v>83</v>
      </c>
      <c r="R6661" s="4"/>
      <c r="S6661" s="4"/>
    </row>
    <row r="6662" spans="1:19" ht="21" customHeight="1" x14ac:dyDescent="0.25">
      <c r="A6662" s="14">
        <f>DATE(2012,12,31)-1181</f>
        <v>40093</v>
      </c>
      <c r="B6662" s="15" t="s">
        <v>2191</v>
      </c>
      <c r="C6662" s="15" t="s">
        <v>43</v>
      </c>
      <c r="D6662" s="16">
        <v>13</v>
      </c>
      <c r="E6662" s="17">
        <v>3939.89</v>
      </c>
      <c r="F6662" s="16">
        <v>0.05</v>
      </c>
      <c r="G6662" s="15" t="s">
        <v>58</v>
      </c>
      <c r="H6662" s="18">
        <v>598.24</v>
      </c>
      <c r="I6662" s="19">
        <v>291.73</v>
      </c>
      <c r="J6662" s="19">
        <v>48.8</v>
      </c>
      <c r="K6662" s="19" t="s">
        <v>124</v>
      </c>
      <c r="L6662" s="19" t="s">
        <v>164</v>
      </c>
      <c r="M6662" s="15" t="s">
        <v>2319</v>
      </c>
      <c r="N6662" s="15" t="s">
        <v>54</v>
      </c>
      <c r="O6662" s="15" t="s">
        <v>252</v>
      </c>
      <c r="P6662" s="20" t="s">
        <v>358</v>
      </c>
      <c r="Q6662" s="15" t="s">
        <v>181</v>
      </c>
      <c r="R6662" s="4"/>
      <c r="S6662" s="4"/>
    </row>
    <row r="6663" spans="1:19" ht="21" customHeight="1" x14ac:dyDescent="0.25">
      <c r="A6663" s="14">
        <f>DATE(2012,12,31)-1181</f>
        <v>40093</v>
      </c>
      <c r="B6663" s="15" t="s">
        <v>1597</v>
      </c>
      <c r="C6663" s="15" t="s">
        <v>43</v>
      </c>
      <c r="D6663" s="16">
        <v>47</v>
      </c>
      <c r="E6663" s="17">
        <v>925.3</v>
      </c>
      <c r="F6663" s="16">
        <v>0.04</v>
      </c>
      <c r="G6663" s="15" t="s">
        <v>32</v>
      </c>
      <c r="H6663" s="18">
        <v>257.31</v>
      </c>
      <c r="I6663" s="19">
        <v>19.98</v>
      </c>
      <c r="J6663" s="19">
        <v>5.77</v>
      </c>
      <c r="K6663" s="19" t="s">
        <v>124</v>
      </c>
      <c r="L6663" s="19" t="s">
        <v>164</v>
      </c>
      <c r="M6663" s="15" t="s">
        <v>2319</v>
      </c>
      <c r="N6663" s="15" t="s">
        <v>36</v>
      </c>
      <c r="O6663" s="15" t="s">
        <v>117</v>
      </c>
      <c r="P6663" s="20" t="s">
        <v>547</v>
      </c>
      <c r="Q6663" s="15" t="s">
        <v>83</v>
      </c>
      <c r="R6663" s="4"/>
      <c r="S6663" s="4"/>
    </row>
    <row r="6664" spans="1:19" ht="21" customHeight="1" x14ac:dyDescent="0.25">
      <c r="A6664" s="14">
        <f>DATE(2012,12,31)-69</f>
        <v>41205</v>
      </c>
      <c r="B6664" s="15" t="s">
        <v>311</v>
      </c>
      <c r="C6664" s="15" t="s">
        <v>51</v>
      </c>
      <c r="D6664" s="16">
        <v>5</v>
      </c>
      <c r="E6664" s="17">
        <v>80.56</v>
      </c>
      <c r="F6664" s="16">
        <v>0.03</v>
      </c>
      <c r="G6664" s="15" t="s">
        <v>32</v>
      </c>
      <c r="H6664" s="18">
        <v>12.5</v>
      </c>
      <c r="I6664" s="19">
        <v>15.67</v>
      </c>
      <c r="J6664" s="19">
        <v>1.39</v>
      </c>
      <c r="K6664" s="19" t="s">
        <v>44</v>
      </c>
      <c r="L6664" s="19" t="s">
        <v>52</v>
      </c>
      <c r="M6664" s="15" t="s">
        <v>2320</v>
      </c>
      <c r="N6664" s="15" t="s">
        <v>36</v>
      </c>
      <c r="O6664" s="15" t="s">
        <v>189</v>
      </c>
      <c r="P6664" s="20" t="s">
        <v>1794</v>
      </c>
      <c r="Q6664" s="15" t="s">
        <v>83</v>
      </c>
      <c r="R6664" s="4"/>
      <c r="S6664" s="4"/>
    </row>
    <row r="6665" spans="1:19" ht="21" customHeight="1" x14ac:dyDescent="0.25">
      <c r="A6665" s="14">
        <f>DATE(2012,12,31)-991</f>
        <v>40283</v>
      </c>
      <c r="B6665" s="15" t="s">
        <v>844</v>
      </c>
      <c r="C6665" s="15" t="s">
        <v>85</v>
      </c>
      <c r="D6665" s="16">
        <v>40</v>
      </c>
      <c r="E6665" s="17">
        <v>245.82</v>
      </c>
      <c r="F6665" s="16">
        <v>0.08</v>
      </c>
      <c r="G6665" s="15" t="s">
        <v>32</v>
      </c>
      <c r="H6665" s="18">
        <v>86.44</v>
      </c>
      <c r="I6665" s="19">
        <v>6.45</v>
      </c>
      <c r="J6665" s="19">
        <v>1.34</v>
      </c>
      <c r="K6665" s="19" t="s">
        <v>44</v>
      </c>
      <c r="L6665" s="19" t="s">
        <v>236</v>
      </c>
      <c r="M6665" s="15" t="s">
        <v>2296</v>
      </c>
      <c r="N6665" s="15" t="s">
        <v>36</v>
      </c>
      <c r="O6665" s="15" t="s">
        <v>117</v>
      </c>
      <c r="P6665" s="20" t="s">
        <v>1102</v>
      </c>
      <c r="Q6665" s="15" t="s">
        <v>79</v>
      </c>
      <c r="R6665" s="4"/>
      <c r="S6665" s="4"/>
    </row>
    <row r="6666" spans="1:19" ht="21" customHeight="1" x14ac:dyDescent="0.25">
      <c r="A6666" s="14">
        <f>DATE(2012,12,31)-991</f>
        <v>40283</v>
      </c>
      <c r="B6666" s="15" t="s">
        <v>1534</v>
      </c>
      <c r="C6666" s="15" t="s">
        <v>85</v>
      </c>
      <c r="D6666" s="16">
        <v>8</v>
      </c>
      <c r="E6666" s="17">
        <v>269.14</v>
      </c>
      <c r="F6666" s="16">
        <v>0.1</v>
      </c>
      <c r="G6666" s="15" t="s">
        <v>32</v>
      </c>
      <c r="H6666" s="18">
        <v>-160.72</v>
      </c>
      <c r="I6666" s="19">
        <v>35.770000000000003</v>
      </c>
      <c r="J6666" s="19">
        <v>9.02</v>
      </c>
      <c r="K6666" s="19" t="s">
        <v>44</v>
      </c>
      <c r="L6666" s="19" t="s">
        <v>52</v>
      </c>
      <c r="M6666" s="15" t="s">
        <v>2320</v>
      </c>
      <c r="N6666" s="15" t="s">
        <v>64</v>
      </c>
      <c r="O6666" s="15" t="s">
        <v>72</v>
      </c>
      <c r="P6666" s="20" t="s">
        <v>510</v>
      </c>
      <c r="Q6666" s="15" t="s">
        <v>83</v>
      </c>
      <c r="R6666" s="4"/>
      <c r="S6666" s="4"/>
    </row>
    <row r="6667" spans="1:19" ht="21" customHeight="1" x14ac:dyDescent="0.25">
      <c r="A6667" s="14">
        <f>DATE(2012,12,31)-669</f>
        <v>40605</v>
      </c>
      <c r="B6667" s="15" t="s">
        <v>688</v>
      </c>
      <c r="C6667" s="15" t="s">
        <v>85</v>
      </c>
      <c r="D6667" s="16">
        <v>40</v>
      </c>
      <c r="E6667" s="17">
        <v>649.46</v>
      </c>
      <c r="F6667" s="16">
        <v>0.01</v>
      </c>
      <c r="G6667" s="15" t="s">
        <v>32</v>
      </c>
      <c r="H6667" s="18">
        <v>189.04</v>
      </c>
      <c r="I6667" s="19">
        <v>15.98</v>
      </c>
      <c r="J6667" s="19">
        <v>4</v>
      </c>
      <c r="K6667" s="19" t="s">
        <v>44</v>
      </c>
      <c r="L6667" s="19" t="s">
        <v>52</v>
      </c>
      <c r="M6667" s="15" t="s">
        <v>2320</v>
      </c>
      <c r="N6667" s="15" t="s">
        <v>64</v>
      </c>
      <c r="O6667" s="15" t="s">
        <v>72</v>
      </c>
      <c r="P6667" s="20" t="s">
        <v>1008</v>
      </c>
      <c r="Q6667" s="15" t="s">
        <v>83</v>
      </c>
      <c r="R6667" s="4"/>
      <c r="S6667" s="4"/>
    </row>
    <row r="6668" spans="1:19" ht="21" customHeight="1" x14ac:dyDescent="0.25">
      <c r="A6668" s="14">
        <f>DATE(2012,12,31)-836</f>
        <v>40438</v>
      </c>
      <c r="B6668" s="15" t="s">
        <v>688</v>
      </c>
      <c r="C6668" s="15" t="s">
        <v>85</v>
      </c>
      <c r="D6668" s="16">
        <v>48</v>
      </c>
      <c r="E6668" s="17">
        <v>12072.9</v>
      </c>
      <c r="F6668" s="16">
        <v>0.04</v>
      </c>
      <c r="G6668" s="15" t="s">
        <v>58</v>
      </c>
      <c r="H6668" s="18">
        <v>3064.51</v>
      </c>
      <c r="I6668" s="19">
        <v>243.98</v>
      </c>
      <c r="J6668" s="19">
        <v>43.32</v>
      </c>
      <c r="K6668" s="19" t="s">
        <v>124</v>
      </c>
      <c r="L6668" s="19" t="s">
        <v>319</v>
      </c>
      <c r="M6668" s="15" t="s">
        <v>2300</v>
      </c>
      <c r="N6668" s="15" t="s">
        <v>54</v>
      </c>
      <c r="O6668" s="15" t="s">
        <v>252</v>
      </c>
      <c r="P6668" s="20" t="s">
        <v>193</v>
      </c>
      <c r="Q6668" s="15" t="s">
        <v>181</v>
      </c>
      <c r="R6668" s="4"/>
      <c r="S6668" s="4"/>
    </row>
    <row r="6669" spans="1:19" ht="21" customHeight="1" x14ac:dyDescent="0.25">
      <c r="A6669" s="14">
        <f>DATE(2012,12,31)-589</f>
        <v>40685</v>
      </c>
      <c r="B6669" s="15" t="s">
        <v>688</v>
      </c>
      <c r="C6669" s="15" t="s">
        <v>85</v>
      </c>
      <c r="D6669" s="16">
        <v>49</v>
      </c>
      <c r="E6669" s="17">
        <v>20701.928</v>
      </c>
      <c r="F6669" s="16">
        <v>0.08</v>
      </c>
      <c r="G6669" s="15" t="s">
        <v>58</v>
      </c>
      <c r="H6669" s="18">
        <v>3918.54</v>
      </c>
      <c r="I6669" s="19">
        <v>550.98</v>
      </c>
      <c r="J6669" s="19">
        <v>45.7</v>
      </c>
      <c r="K6669" s="19" t="s">
        <v>124</v>
      </c>
      <c r="L6669" s="19" t="s">
        <v>319</v>
      </c>
      <c r="M6669" s="15" t="s">
        <v>2300</v>
      </c>
      <c r="N6669" s="15" t="s">
        <v>54</v>
      </c>
      <c r="O6669" s="15" t="s">
        <v>61</v>
      </c>
      <c r="P6669" s="20" t="s">
        <v>1833</v>
      </c>
      <c r="Q6669" s="15" t="s">
        <v>63</v>
      </c>
      <c r="R6669" s="4"/>
      <c r="S6669" s="4"/>
    </row>
    <row r="6670" spans="1:19" ht="21" customHeight="1" x14ac:dyDescent="0.25">
      <c r="A6670" s="14">
        <f>DATE(2012,12,31)-1024</f>
        <v>40250</v>
      </c>
      <c r="B6670" s="15" t="s">
        <v>527</v>
      </c>
      <c r="C6670" s="15" t="s">
        <v>31</v>
      </c>
      <c r="D6670" s="16">
        <v>9</v>
      </c>
      <c r="E6670" s="17">
        <v>436.3</v>
      </c>
      <c r="F6670" s="16">
        <v>0.08</v>
      </c>
      <c r="G6670" s="15" t="s">
        <v>58</v>
      </c>
      <c r="H6670" s="18">
        <v>-50.31</v>
      </c>
      <c r="I6670" s="19">
        <v>50.98</v>
      </c>
      <c r="J6670" s="19">
        <v>14.19</v>
      </c>
      <c r="K6670" s="19" t="s">
        <v>124</v>
      </c>
      <c r="L6670" s="19" t="s">
        <v>319</v>
      </c>
      <c r="M6670" s="15" t="s">
        <v>2300</v>
      </c>
      <c r="N6670" s="15" t="s">
        <v>54</v>
      </c>
      <c r="O6670" s="15" t="s">
        <v>252</v>
      </c>
      <c r="P6670" s="20" t="s">
        <v>297</v>
      </c>
      <c r="Q6670" s="15" t="s">
        <v>181</v>
      </c>
      <c r="R6670" s="4"/>
      <c r="S6670" s="4"/>
    </row>
    <row r="6671" spans="1:19" ht="21" customHeight="1" x14ac:dyDescent="0.25">
      <c r="A6671" s="14">
        <f>DATE(2012,12,31)-1024</f>
        <v>40250</v>
      </c>
      <c r="B6671" s="15" t="s">
        <v>527</v>
      </c>
      <c r="C6671" s="15" t="s">
        <v>31</v>
      </c>
      <c r="D6671" s="16">
        <v>47</v>
      </c>
      <c r="E6671" s="17">
        <v>364.23</v>
      </c>
      <c r="F6671" s="16">
        <v>0.01</v>
      </c>
      <c r="G6671" s="15" t="s">
        <v>32</v>
      </c>
      <c r="H6671" s="18">
        <v>41.58</v>
      </c>
      <c r="I6671" s="19">
        <v>7.59</v>
      </c>
      <c r="J6671" s="19">
        <v>4</v>
      </c>
      <c r="K6671" s="19" t="s">
        <v>44</v>
      </c>
      <c r="L6671" s="19" t="s">
        <v>52</v>
      </c>
      <c r="M6671" s="15" t="s">
        <v>2320</v>
      </c>
      <c r="N6671" s="15" t="s">
        <v>54</v>
      </c>
      <c r="O6671" s="15" t="s">
        <v>55</v>
      </c>
      <c r="P6671" s="20" t="s">
        <v>793</v>
      </c>
      <c r="Q6671" s="15" t="s">
        <v>79</v>
      </c>
      <c r="R6671" s="4"/>
      <c r="S6671" s="4"/>
    </row>
    <row r="6672" spans="1:19" ht="21" customHeight="1" x14ac:dyDescent="0.25">
      <c r="A6672" s="14">
        <f>DATE(2012,12,31)-890</f>
        <v>40384</v>
      </c>
      <c r="B6672" s="15" t="s">
        <v>527</v>
      </c>
      <c r="C6672" s="15" t="s">
        <v>31</v>
      </c>
      <c r="D6672" s="16">
        <v>29</v>
      </c>
      <c r="E6672" s="17">
        <v>475.58</v>
      </c>
      <c r="F6672" s="16">
        <v>0.04</v>
      </c>
      <c r="G6672" s="15" t="s">
        <v>32</v>
      </c>
      <c r="H6672" s="18">
        <v>108.21</v>
      </c>
      <c r="I6672" s="19">
        <v>15.98</v>
      </c>
      <c r="J6672" s="19">
        <v>4</v>
      </c>
      <c r="K6672" s="19" t="s">
        <v>44</v>
      </c>
      <c r="L6672" s="19" t="s">
        <v>52</v>
      </c>
      <c r="M6672" s="15" t="s">
        <v>2320</v>
      </c>
      <c r="N6672" s="15" t="s">
        <v>64</v>
      </c>
      <c r="O6672" s="15" t="s">
        <v>72</v>
      </c>
      <c r="P6672" s="20" t="s">
        <v>866</v>
      </c>
      <c r="Q6672" s="15" t="s">
        <v>83</v>
      </c>
      <c r="R6672" s="4"/>
      <c r="S6672" s="4"/>
    </row>
    <row r="6673" spans="1:19" ht="21" customHeight="1" x14ac:dyDescent="0.25">
      <c r="A6673" s="14">
        <f>DATE(2012,12,31)-888</f>
        <v>40386</v>
      </c>
      <c r="B6673" s="15" t="s">
        <v>1192</v>
      </c>
      <c r="C6673" s="15" t="s">
        <v>85</v>
      </c>
      <c r="D6673" s="16">
        <v>4</v>
      </c>
      <c r="E6673" s="17">
        <v>20.190000000000001</v>
      </c>
      <c r="F6673" s="16">
        <v>0.03</v>
      </c>
      <c r="G6673" s="15" t="s">
        <v>32</v>
      </c>
      <c r="H6673" s="18">
        <v>1.3</v>
      </c>
      <c r="I6673" s="19">
        <v>4.91</v>
      </c>
      <c r="J6673" s="19">
        <v>0.5</v>
      </c>
      <c r="K6673" s="19" t="s">
        <v>44</v>
      </c>
      <c r="L6673" s="19" t="s">
        <v>52</v>
      </c>
      <c r="M6673" s="15" t="s">
        <v>2320</v>
      </c>
      <c r="N6673" s="15" t="s">
        <v>36</v>
      </c>
      <c r="O6673" s="15" t="s">
        <v>114</v>
      </c>
      <c r="P6673" s="20" t="s">
        <v>1175</v>
      </c>
      <c r="Q6673" s="15" t="s">
        <v>83</v>
      </c>
      <c r="R6673" s="4"/>
      <c r="S6673" s="4"/>
    </row>
    <row r="6674" spans="1:19" ht="21" customHeight="1" x14ac:dyDescent="0.25">
      <c r="A6674" s="14">
        <f>DATE(2012,12,31)-888</f>
        <v>40386</v>
      </c>
      <c r="B6674" s="15" t="s">
        <v>649</v>
      </c>
      <c r="C6674" s="15" t="s">
        <v>85</v>
      </c>
      <c r="D6674" s="16">
        <v>43</v>
      </c>
      <c r="E6674" s="17">
        <v>74.989999999999995</v>
      </c>
      <c r="F6674" s="16">
        <v>0.08</v>
      </c>
      <c r="G6674" s="15" t="s">
        <v>32</v>
      </c>
      <c r="H6674" s="18">
        <v>-8.9499999999999993</v>
      </c>
      <c r="I6674" s="19">
        <v>1.82</v>
      </c>
      <c r="J6674" s="19">
        <v>0.83</v>
      </c>
      <c r="K6674" s="19" t="s">
        <v>44</v>
      </c>
      <c r="L6674" s="19" t="s">
        <v>52</v>
      </c>
      <c r="M6674" s="15" t="s">
        <v>2320</v>
      </c>
      <c r="N6674" s="15" t="s">
        <v>36</v>
      </c>
      <c r="O6674" s="15" t="s">
        <v>77</v>
      </c>
      <c r="P6674" s="20" t="s">
        <v>1684</v>
      </c>
      <c r="Q6674" s="15" t="s">
        <v>79</v>
      </c>
      <c r="R6674" s="4"/>
      <c r="S6674" s="4"/>
    </row>
    <row r="6675" spans="1:19" ht="21" customHeight="1" x14ac:dyDescent="0.25">
      <c r="A6675" s="14">
        <f>DATE(2012,12,31)-364</f>
        <v>40910</v>
      </c>
      <c r="B6675" s="15" t="s">
        <v>1334</v>
      </c>
      <c r="C6675" s="15" t="s">
        <v>85</v>
      </c>
      <c r="D6675" s="16">
        <v>27</v>
      </c>
      <c r="E6675" s="17">
        <v>279.39999999999998</v>
      </c>
      <c r="F6675" s="16">
        <v>0.1</v>
      </c>
      <c r="G6675" s="15" t="s">
        <v>32</v>
      </c>
      <c r="H6675" s="18">
        <v>-92.25</v>
      </c>
      <c r="I6675" s="19">
        <v>10.48</v>
      </c>
      <c r="J6675" s="19">
        <v>6.91</v>
      </c>
      <c r="K6675" s="19" t="s">
        <v>44</v>
      </c>
      <c r="L6675" s="19" t="s">
        <v>52</v>
      </c>
      <c r="M6675" s="15" t="s">
        <v>2320</v>
      </c>
      <c r="N6675" s="15" t="s">
        <v>36</v>
      </c>
      <c r="O6675" s="15" t="s">
        <v>37</v>
      </c>
      <c r="P6675" s="20" t="s">
        <v>877</v>
      </c>
      <c r="Q6675" s="15" t="s">
        <v>83</v>
      </c>
      <c r="R6675" s="4"/>
      <c r="S6675" s="4"/>
    </row>
    <row r="6676" spans="1:19" ht="21" customHeight="1" x14ac:dyDescent="0.25">
      <c r="A6676" s="14">
        <f>DATE(2012,12,31)-1119</f>
        <v>40155</v>
      </c>
      <c r="B6676" s="15" t="s">
        <v>1334</v>
      </c>
      <c r="C6676" s="15" t="s">
        <v>43</v>
      </c>
      <c r="D6676" s="16">
        <v>17</v>
      </c>
      <c r="E6676" s="17">
        <v>5001.29</v>
      </c>
      <c r="F6676" s="16">
        <v>0.09</v>
      </c>
      <c r="G6676" s="15" t="s">
        <v>32</v>
      </c>
      <c r="H6676" s="18">
        <v>1680.9175</v>
      </c>
      <c r="I6676" s="19">
        <v>304.99</v>
      </c>
      <c r="J6676" s="19">
        <v>19.989999999999998</v>
      </c>
      <c r="K6676" s="19" t="s">
        <v>44</v>
      </c>
      <c r="L6676" s="19" t="s">
        <v>52</v>
      </c>
      <c r="M6676" s="15" t="s">
        <v>2320</v>
      </c>
      <c r="N6676" s="15" t="s">
        <v>36</v>
      </c>
      <c r="O6676" s="15" t="s">
        <v>170</v>
      </c>
      <c r="P6676" s="20" t="s">
        <v>1506</v>
      </c>
      <c r="Q6676" s="15" t="s">
        <v>83</v>
      </c>
      <c r="R6676" s="4"/>
      <c r="S6676" s="4"/>
    </row>
    <row r="6677" spans="1:19" ht="21" customHeight="1" x14ac:dyDescent="0.25">
      <c r="A6677" s="14">
        <f>DATE(2012,12,31)-188</f>
        <v>41086</v>
      </c>
      <c r="B6677" s="15" t="s">
        <v>932</v>
      </c>
      <c r="C6677" s="15" t="s">
        <v>31</v>
      </c>
      <c r="D6677" s="16">
        <v>27</v>
      </c>
      <c r="E6677" s="17">
        <v>302.2</v>
      </c>
      <c r="F6677" s="16">
        <v>0.04</v>
      </c>
      <c r="G6677" s="15" t="s">
        <v>32</v>
      </c>
      <c r="H6677" s="18">
        <v>20.27</v>
      </c>
      <c r="I6677" s="19">
        <v>10.98</v>
      </c>
      <c r="J6677" s="19">
        <v>3.37</v>
      </c>
      <c r="K6677" s="19" t="s">
        <v>44</v>
      </c>
      <c r="L6677" s="19" t="s">
        <v>52</v>
      </c>
      <c r="M6677" s="15" t="s">
        <v>2320</v>
      </c>
      <c r="N6677" s="15" t="s">
        <v>36</v>
      </c>
      <c r="O6677" s="15" t="s">
        <v>47</v>
      </c>
      <c r="P6677" s="20" t="s">
        <v>1201</v>
      </c>
      <c r="Q6677" s="15" t="s">
        <v>49</v>
      </c>
      <c r="R6677" s="4"/>
      <c r="S6677" s="4"/>
    </row>
    <row r="6678" spans="1:19" ht="21" customHeight="1" x14ac:dyDescent="0.25">
      <c r="A6678" s="14">
        <f>DATE(2012,12,31)-1269</f>
        <v>40005</v>
      </c>
      <c r="B6678" s="15" t="s">
        <v>932</v>
      </c>
      <c r="C6678" s="15" t="s">
        <v>85</v>
      </c>
      <c r="D6678" s="16">
        <v>16</v>
      </c>
      <c r="E6678" s="17">
        <v>230.74</v>
      </c>
      <c r="F6678" s="16">
        <v>0.08</v>
      </c>
      <c r="G6678" s="15" t="s">
        <v>101</v>
      </c>
      <c r="H6678" s="18">
        <v>27.23</v>
      </c>
      <c r="I6678" s="19">
        <v>14.2</v>
      </c>
      <c r="J6678" s="19">
        <v>5.3</v>
      </c>
      <c r="K6678" s="19" t="s">
        <v>44</v>
      </c>
      <c r="L6678" s="19" t="s">
        <v>52</v>
      </c>
      <c r="M6678" s="15" t="s">
        <v>2320</v>
      </c>
      <c r="N6678" s="15" t="s">
        <v>54</v>
      </c>
      <c r="O6678" s="15" t="s">
        <v>55</v>
      </c>
      <c r="P6678" s="20" t="s">
        <v>751</v>
      </c>
      <c r="Q6678" s="15" t="s">
        <v>79</v>
      </c>
      <c r="R6678" s="4"/>
      <c r="S6678" s="4"/>
    </row>
    <row r="6679" spans="1:19" ht="21" customHeight="1" x14ac:dyDescent="0.25">
      <c r="A6679" s="14">
        <f>DATE(2012,12,31)-110</f>
        <v>41164</v>
      </c>
      <c r="B6679" s="15" t="s">
        <v>932</v>
      </c>
      <c r="C6679" s="15" t="s">
        <v>43</v>
      </c>
      <c r="D6679" s="16">
        <v>41</v>
      </c>
      <c r="E6679" s="17">
        <v>8188.19</v>
      </c>
      <c r="F6679" s="16">
        <v>0.05</v>
      </c>
      <c r="G6679" s="15" t="s">
        <v>32</v>
      </c>
      <c r="H6679" s="18">
        <v>3702</v>
      </c>
      <c r="I6679" s="19">
        <v>204.1</v>
      </c>
      <c r="J6679" s="19">
        <v>13.99</v>
      </c>
      <c r="K6679" s="19" t="s">
        <v>44</v>
      </c>
      <c r="L6679" s="19" t="s">
        <v>52</v>
      </c>
      <c r="M6679" s="15" t="s">
        <v>2320</v>
      </c>
      <c r="N6679" s="15" t="s">
        <v>64</v>
      </c>
      <c r="O6679" s="15" t="s">
        <v>122</v>
      </c>
      <c r="P6679" s="20" t="s">
        <v>1535</v>
      </c>
      <c r="Q6679" s="15" t="s">
        <v>57</v>
      </c>
      <c r="R6679" s="4"/>
      <c r="S6679" s="4"/>
    </row>
    <row r="6680" spans="1:19" ht="21" customHeight="1" x14ac:dyDescent="0.25">
      <c r="A6680" s="14">
        <f>DATE(2012,12,31)-45</f>
        <v>41229</v>
      </c>
      <c r="B6680" s="15" t="s">
        <v>1778</v>
      </c>
      <c r="C6680" s="15" t="s">
        <v>43</v>
      </c>
      <c r="D6680" s="16">
        <v>38</v>
      </c>
      <c r="E6680" s="17">
        <v>3191.24</v>
      </c>
      <c r="F6680" s="16">
        <v>0</v>
      </c>
      <c r="G6680" s="15" t="s">
        <v>32</v>
      </c>
      <c r="H6680" s="18">
        <v>1620.23</v>
      </c>
      <c r="I6680" s="19">
        <v>83.98</v>
      </c>
      <c r="J6680" s="19">
        <v>5.01</v>
      </c>
      <c r="K6680" s="19" t="s">
        <v>44</v>
      </c>
      <c r="L6680" s="19" t="s">
        <v>52</v>
      </c>
      <c r="M6680" s="15" t="s">
        <v>2320</v>
      </c>
      <c r="N6680" s="15" t="s">
        <v>36</v>
      </c>
      <c r="O6680" s="15" t="s">
        <v>189</v>
      </c>
      <c r="P6680" s="20" t="s">
        <v>967</v>
      </c>
      <c r="Q6680" s="15" t="s">
        <v>83</v>
      </c>
      <c r="R6680" s="4"/>
      <c r="S6680" s="4"/>
    </row>
    <row r="6681" spans="1:19" ht="21" customHeight="1" x14ac:dyDescent="0.25">
      <c r="A6681" s="14">
        <f>DATE(2012,12,31)-852</f>
        <v>40422</v>
      </c>
      <c r="B6681" s="15" t="s">
        <v>1905</v>
      </c>
      <c r="C6681" s="15" t="s">
        <v>31</v>
      </c>
      <c r="D6681" s="16">
        <v>38</v>
      </c>
      <c r="E6681" s="17">
        <v>81.97</v>
      </c>
      <c r="F6681" s="16">
        <v>0.05</v>
      </c>
      <c r="G6681" s="15" t="s">
        <v>32</v>
      </c>
      <c r="H6681" s="18">
        <v>-148.79849999999999</v>
      </c>
      <c r="I6681" s="19">
        <v>1.98</v>
      </c>
      <c r="J6681" s="19">
        <v>4.7699999999999996</v>
      </c>
      <c r="K6681" s="19" t="s">
        <v>44</v>
      </c>
      <c r="L6681" s="19" t="s">
        <v>52</v>
      </c>
      <c r="M6681" s="15" t="s">
        <v>2320</v>
      </c>
      <c r="N6681" s="15" t="s">
        <v>36</v>
      </c>
      <c r="O6681" s="15" t="s">
        <v>170</v>
      </c>
      <c r="P6681" s="20" t="s">
        <v>1880</v>
      </c>
      <c r="Q6681" s="15" t="s">
        <v>83</v>
      </c>
      <c r="R6681" s="4"/>
      <c r="S6681" s="4"/>
    </row>
    <row r="6682" spans="1:19" ht="21" customHeight="1" x14ac:dyDescent="0.25">
      <c r="A6682" s="14">
        <f>DATE(2012,12,31)-81</f>
        <v>41193</v>
      </c>
      <c r="B6682" s="15" t="s">
        <v>1905</v>
      </c>
      <c r="C6682" s="15" t="s">
        <v>43</v>
      </c>
      <c r="D6682" s="16">
        <v>48</v>
      </c>
      <c r="E6682" s="17">
        <v>179.65</v>
      </c>
      <c r="F6682" s="16">
        <v>0.1</v>
      </c>
      <c r="G6682" s="15" t="s">
        <v>32</v>
      </c>
      <c r="H6682" s="18">
        <v>3.32</v>
      </c>
      <c r="I6682" s="19">
        <v>4.13</v>
      </c>
      <c r="J6682" s="19">
        <v>1.23</v>
      </c>
      <c r="K6682" s="19" t="s">
        <v>44</v>
      </c>
      <c r="L6682" s="19" t="s">
        <v>52</v>
      </c>
      <c r="M6682" s="15" t="s">
        <v>2320</v>
      </c>
      <c r="N6682" s="15" t="s">
        <v>36</v>
      </c>
      <c r="O6682" s="15" t="s">
        <v>77</v>
      </c>
      <c r="P6682" s="20" t="s">
        <v>1771</v>
      </c>
      <c r="Q6682" s="15" t="s">
        <v>79</v>
      </c>
      <c r="R6682" s="4"/>
      <c r="S6682" s="4"/>
    </row>
    <row r="6683" spans="1:19" ht="21" customHeight="1" x14ac:dyDescent="0.25">
      <c r="A6683" s="14">
        <f>DATE(2012,12,31)-902</f>
        <v>40372</v>
      </c>
      <c r="B6683" s="15" t="s">
        <v>1648</v>
      </c>
      <c r="C6683" s="15" t="s">
        <v>31</v>
      </c>
      <c r="D6683" s="16">
        <v>50</v>
      </c>
      <c r="E6683" s="17">
        <v>274.04000000000002</v>
      </c>
      <c r="F6683" s="16">
        <v>0.1</v>
      </c>
      <c r="G6683" s="15" t="s">
        <v>101</v>
      </c>
      <c r="H6683" s="18">
        <v>-243.869</v>
      </c>
      <c r="I6683" s="19">
        <v>5.38</v>
      </c>
      <c r="J6683" s="19">
        <v>7.57</v>
      </c>
      <c r="K6683" s="19" t="s">
        <v>44</v>
      </c>
      <c r="L6683" s="19" t="s">
        <v>52</v>
      </c>
      <c r="M6683" s="15" t="s">
        <v>2320</v>
      </c>
      <c r="N6683" s="15" t="s">
        <v>36</v>
      </c>
      <c r="O6683" s="15" t="s">
        <v>170</v>
      </c>
      <c r="P6683" s="20" t="s">
        <v>344</v>
      </c>
      <c r="Q6683" s="15" t="s">
        <v>83</v>
      </c>
      <c r="R6683" s="4"/>
      <c r="S6683" s="4"/>
    </row>
    <row r="6684" spans="1:19" ht="21" customHeight="1" x14ac:dyDescent="0.25">
      <c r="A6684" s="14">
        <f>DATE(2012,12,31)-1277</f>
        <v>39997</v>
      </c>
      <c r="B6684" s="15" t="s">
        <v>1832</v>
      </c>
      <c r="C6684" s="15" t="s">
        <v>51</v>
      </c>
      <c r="D6684" s="16">
        <v>34</v>
      </c>
      <c r="E6684" s="17">
        <v>3419.1505000000002</v>
      </c>
      <c r="F6684" s="16">
        <v>0</v>
      </c>
      <c r="G6684" s="15" t="s">
        <v>32</v>
      </c>
      <c r="H6684" s="18">
        <v>858.58199999999999</v>
      </c>
      <c r="I6684" s="19">
        <v>115.99</v>
      </c>
      <c r="J6684" s="19">
        <v>5.92</v>
      </c>
      <c r="K6684" s="19" t="s">
        <v>44</v>
      </c>
      <c r="L6684" s="19" t="s">
        <v>52</v>
      </c>
      <c r="M6684" s="15" t="s">
        <v>2320</v>
      </c>
      <c r="N6684" s="15" t="s">
        <v>64</v>
      </c>
      <c r="O6684" s="15" t="s">
        <v>65</v>
      </c>
      <c r="P6684" s="20" t="s">
        <v>666</v>
      </c>
      <c r="Q6684" s="15" t="s">
        <v>83</v>
      </c>
      <c r="R6684" s="4"/>
      <c r="S6684" s="4"/>
    </row>
    <row r="6685" spans="1:19" ht="21" customHeight="1" x14ac:dyDescent="0.25">
      <c r="A6685" s="14">
        <f>DATE(2012,12,31)-662</f>
        <v>40612</v>
      </c>
      <c r="B6685" s="15" t="s">
        <v>937</v>
      </c>
      <c r="C6685" s="15" t="s">
        <v>85</v>
      </c>
      <c r="D6685" s="16">
        <v>30</v>
      </c>
      <c r="E6685" s="17">
        <v>176.15</v>
      </c>
      <c r="F6685" s="16">
        <v>0.01</v>
      </c>
      <c r="G6685" s="15" t="s">
        <v>32</v>
      </c>
      <c r="H6685" s="18">
        <v>-125.36150000000001</v>
      </c>
      <c r="I6685" s="19">
        <v>5.53</v>
      </c>
      <c r="J6685" s="19">
        <v>6.98</v>
      </c>
      <c r="K6685" s="19" t="s">
        <v>124</v>
      </c>
      <c r="L6685" s="19" t="s">
        <v>164</v>
      </c>
      <c r="M6685" s="15" t="s">
        <v>2319</v>
      </c>
      <c r="N6685" s="15" t="s">
        <v>36</v>
      </c>
      <c r="O6685" s="15" t="s">
        <v>170</v>
      </c>
      <c r="P6685" s="20" t="s">
        <v>1161</v>
      </c>
      <c r="Q6685" s="15" t="s">
        <v>83</v>
      </c>
      <c r="R6685" s="4"/>
      <c r="S6685" s="4"/>
    </row>
    <row r="6686" spans="1:19" ht="21" customHeight="1" x14ac:dyDescent="0.25">
      <c r="A6686" s="14">
        <f>DATE(2012,12,31)-662</f>
        <v>40612</v>
      </c>
      <c r="B6686" s="15" t="s">
        <v>665</v>
      </c>
      <c r="C6686" s="15" t="s">
        <v>85</v>
      </c>
      <c r="D6686" s="16">
        <v>29</v>
      </c>
      <c r="E6686" s="17">
        <v>2946.05</v>
      </c>
      <c r="F6686" s="16">
        <v>0.06</v>
      </c>
      <c r="G6686" s="15" t="s">
        <v>58</v>
      </c>
      <c r="H6686" s="18">
        <v>-690.21</v>
      </c>
      <c r="I6686" s="19">
        <v>105.49</v>
      </c>
      <c r="J6686" s="19">
        <v>41.64</v>
      </c>
      <c r="K6686" s="19" t="s">
        <v>44</v>
      </c>
      <c r="L6686" s="19" t="s">
        <v>120</v>
      </c>
      <c r="M6686" s="15" t="s">
        <v>2262</v>
      </c>
      <c r="N6686" s="15" t="s">
        <v>54</v>
      </c>
      <c r="O6686" s="15" t="s">
        <v>61</v>
      </c>
      <c r="P6686" s="20" t="s">
        <v>1117</v>
      </c>
      <c r="Q6686" s="15" t="s">
        <v>63</v>
      </c>
      <c r="R6686" s="4"/>
      <c r="S6686" s="4"/>
    </row>
    <row r="6687" spans="1:19" ht="21" customHeight="1" x14ac:dyDescent="0.25">
      <c r="A6687" s="14">
        <f>DATE(2012,12,31)-380</f>
        <v>40894</v>
      </c>
      <c r="B6687" s="15" t="s">
        <v>665</v>
      </c>
      <c r="C6687" s="15" t="s">
        <v>43</v>
      </c>
      <c r="D6687" s="16">
        <v>35</v>
      </c>
      <c r="E6687" s="17">
        <v>173.22</v>
      </c>
      <c r="F6687" s="16">
        <v>0.04</v>
      </c>
      <c r="G6687" s="15" t="s">
        <v>32</v>
      </c>
      <c r="H6687" s="18">
        <v>84.03</v>
      </c>
      <c r="I6687" s="19">
        <v>4.91</v>
      </c>
      <c r="J6687" s="19">
        <v>0.5</v>
      </c>
      <c r="K6687" s="19" t="s">
        <v>44</v>
      </c>
      <c r="L6687" s="19" t="s">
        <v>45</v>
      </c>
      <c r="M6687" s="15" t="s">
        <v>2271</v>
      </c>
      <c r="N6687" s="15" t="s">
        <v>36</v>
      </c>
      <c r="O6687" s="15" t="s">
        <v>114</v>
      </c>
      <c r="P6687" s="20" t="s">
        <v>951</v>
      </c>
      <c r="Q6687" s="15" t="s">
        <v>83</v>
      </c>
      <c r="R6687" s="4"/>
      <c r="S6687" s="4"/>
    </row>
    <row r="6688" spans="1:19" ht="21" customHeight="1" x14ac:dyDescent="0.25">
      <c r="A6688" s="14">
        <f>DATE(2012,12,31)-406</f>
        <v>40868</v>
      </c>
      <c r="B6688" s="15" t="s">
        <v>2182</v>
      </c>
      <c r="C6688" s="15" t="s">
        <v>51</v>
      </c>
      <c r="D6688" s="16">
        <v>40</v>
      </c>
      <c r="E6688" s="17">
        <v>102.15</v>
      </c>
      <c r="F6688" s="16">
        <v>0.03</v>
      </c>
      <c r="G6688" s="15" t="s">
        <v>101</v>
      </c>
      <c r="H6688" s="18">
        <v>-138.51</v>
      </c>
      <c r="I6688" s="19">
        <v>2.08</v>
      </c>
      <c r="J6688" s="19">
        <v>5.33</v>
      </c>
      <c r="K6688" s="19" t="s">
        <v>124</v>
      </c>
      <c r="L6688" s="19" t="s">
        <v>160</v>
      </c>
      <c r="M6688" s="15" t="s">
        <v>2281</v>
      </c>
      <c r="N6688" s="15" t="s">
        <v>54</v>
      </c>
      <c r="O6688" s="15" t="s">
        <v>55</v>
      </c>
      <c r="P6688" s="20" t="s">
        <v>344</v>
      </c>
      <c r="Q6688" s="15" t="s">
        <v>83</v>
      </c>
      <c r="R6688" s="4"/>
      <c r="S6688" s="4"/>
    </row>
    <row r="6689" spans="1:19" ht="21" customHeight="1" x14ac:dyDescent="0.25">
      <c r="A6689" s="14">
        <f>DATE(2012,12,31)-1021</f>
        <v>40253</v>
      </c>
      <c r="B6689" s="15" t="s">
        <v>784</v>
      </c>
      <c r="C6689" s="15" t="s">
        <v>85</v>
      </c>
      <c r="D6689" s="16">
        <v>46</v>
      </c>
      <c r="E6689" s="17">
        <v>399.58</v>
      </c>
      <c r="F6689" s="16">
        <v>0.04</v>
      </c>
      <c r="G6689" s="15" t="s">
        <v>32</v>
      </c>
      <c r="H6689" s="18">
        <v>-188.53</v>
      </c>
      <c r="I6689" s="19">
        <v>8.4499999999999993</v>
      </c>
      <c r="J6689" s="19">
        <v>7.77</v>
      </c>
      <c r="K6689" s="19" t="s">
        <v>44</v>
      </c>
      <c r="L6689" s="19" t="s">
        <v>52</v>
      </c>
      <c r="M6689" s="15" t="s">
        <v>2320</v>
      </c>
      <c r="N6689" s="15" t="s">
        <v>36</v>
      </c>
      <c r="O6689" s="15" t="s">
        <v>47</v>
      </c>
      <c r="P6689" s="20" t="s">
        <v>786</v>
      </c>
      <c r="Q6689" s="15" t="s">
        <v>49</v>
      </c>
      <c r="R6689" s="4"/>
      <c r="S6689" s="4"/>
    </row>
    <row r="6690" spans="1:19" ht="21" customHeight="1" x14ac:dyDescent="0.25">
      <c r="A6690" s="14">
        <f>DATE(2012,12,31)-930</f>
        <v>40344</v>
      </c>
      <c r="B6690" s="15" t="s">
        <v>784</v>
      </c>
      <c r="C6690" s="15" t="s">
        <v>31</v>
      </c>
      <c r="D6690" s="16">
        <v>37</v>
      </c>
      <c r="E6690" s="17">
        <v>102.46</v>
      </c>
      <c r="F6690" s="16">
        <v>0.08</v>
      </c>
      <c r="G6690" s="15" t="s">
        <v>32</v>
      </c>
      <c r="H6690" s="18">
        <v>36.64</v>
      </c>
      <c r="I6690" s="19">
        <v>2.88</v>
      </c>
      <c r="J6690" s="19">
        <v>0.5</v>
      </c>
      <c r="K6690" s="19" t="s">
        <v>33</v>
      </c>
      <c r="L6690" s="19" t="s">
        <v>59</v>
      </c>
      <c r="M6690" s="15" t="s">
        <v>2269</v>
      </c>
      <c r="N6690" s="15" t="s">
        <v>36</v>
      </c>
      <c r="O6690" s="15" t="s">
        <v>114</v>
      </c>
      <c r="P6690" s="20" t="s">
        <v>1737</v>
      </c>
      <c r="Q6690" s="15" t="s">
        <v>83</v>
      </c>
      <c r="R6690" s="4"/>
      <c r="S6690" s="4"/>
    </row>
    <row r="6691" spans="1:19" ht="21" customHeight="1" x14ac:dyDescent="0.25">
      <c r="A6691" s="14">
        <f>DATE(2012,12,31)-930</f>
        <v>40344</v>
      </c>
      <c r="B6691" s="15" t="s">
        <v>201</v>
      </c>
      <c r="C6691" s="15" t="s">
        <v>31</v>
      </c>
      <c r="D6691" s="16">
        <v>43</v>
      </c>
      <c r="E6691" s="17">
        <v>1097.5999999999999</v>
      </c>
      <c r="F6691" s="16">
        <v>0.05</v>
      </c>
      <c r="G6691" s="15" t="s">
        <v>32</v>
      </c>
      <c r="H6691" s="18">
        <v>216.12</v>
      </c>
      <c r="I6691" s="19">
        <v>25.38</v>
      </c>
      <c r="J6691" s="19">
        <v>8.99</v>
      </c>
      <c r="K6691" s="19" t="s">
        <v>33</v>
      </c>
      <c r="L6691" s="19" t="s">
        <v>34</v>
      </c>
      <c r="M6691" s="15" t="s">
        <v>2315</v>
      </c>
      <c r="N6691" s="15" t="s">
        <v>54</v>
      </c>
      <c r="O6691" s="15" t="s">
        <v>55</v>
      </c>
      <c r="P6691" s="20" t="s">
        <v>2142</v>
      </c>
      <c r="Q6691" s="15" t="s">
        <v>49</v>
      </c>
      <c r="R6691" s="4"/>
      <c r="S6691" s="4"/>
    </row>
    <row r="6692" spans="1:19" ht="21" customHeight="1" x14ac:dyDescent="0.25">
      <c r="A6692" s="14">
        <f>DATE(2012,12,31)-930</f>
        <v>40344</v>
      </c>
      <c r="B6692" s="15" t="s">
        <v>398</v>
      </c>
      <c r="C6692" s="15" t="s">
        <v>31</v>
      </c>
      <c r="D6692" s="16">
        <v>1</v>
      </c>
      <c r="E6692" s="17">
        <v>195.04</v>
      </c>
      <c r="F6692" s="16">
        <v>0.08</v>
      </c>
      <c r="G6692" s="15" t="s">
        <v>32</v>
      </c>
      <c r="H6692" s="18">
        <v>-149.41</v>
      </c>
      <c r="I6692" s="19">
        <v>167.27</v>
      </c>
      <c r="J6692" s="19">
        <v>35</v>
      </c>
      <c r="K6692" s="19" t="s">
        <v>33</v>
      </c>
      <c r="L6692" s="19" t="s">
        <v>59</v>
      </c>
      <c r="M6692" s="15" t="s">
        <v>2269</v>
      </c>
      <c r="N6692" s="15" t="s">
        <v>36</v>
      </c>
      <c r="O6692" s="15" t="s">
        <v>37</v>
      </c>
      <c r="P6692" s="20" t="s">
        <v>743</v>
      </c>
      <c r="Q6692" s="15" t="s">
        <v>39</v>
      </c>
      <c r="R6692" s="4"/>
      <c r="S6692" s="4"/>
    </row>
    <row r="6693" spans="1:19" ht="21" customHeight="1" x14ac:dyDescent="0.25">
      <c r="A6693" s="14">
        <f>DATE(2012,12,31)-36</f>
        <v>41238</v>
      </c>
      <c r="B6693" s="15" t="s">
        <v>2082</v>
      </c>
      <c r="C6693" s="15" t="s">
        <v>31</v>
      </c>
      <c r="D6693" s="16">
        <v>13</v>
      </c>
      <c r="E6693" s="17">
        <v>87.91</v>
      </c>
      <c r="F6693" s="16">
        <v>0.05</v>
      </c>
      <c r="G6693" s="15" t="s">
        <v>32</v>
      </c>
      <c r="H6693" s="18">
        <v>-27.91</v>
      </c>
      <c r="I6693" s="19">
        <v>6.68</v>
      </c>
      <c r="J6693" s="19">
        <v>5.41</v>
      </c>
      <c r="K6693" s="19" t="s">
        <v>33</v>
      </c>
      <c r="L6693" s="19" t="s">
        <v>34</v>
      </c>
      <c r="M6693" s="15" t="s">
        <v>2315</v>
      </c>
      <c r="N6693" s="15" t="s">
        <v>36</v>
      </c>
      <c r="O6693" s="15" t="s">
        <v>117</v>
      </c>
      <c r="P6693" s="20" t="s">
        <v>1698</v>
      </c>
      <c r="Q6693" s="15" t="s">
        <v>83</v>
      </c>
      <c r="R6693" s="4"/>
      <c r="S6693" s="4"/>
    </row>
    <row r="6694" spans="1:19" ht="21" customHeight="1" x14ac:dyDescent="0.25">
      <c r="A6694" s="14">
        <f>DATE(2012,12,31)-1051</f>
        <v>40223</v>
      </c>
      <c r="B6694" s="15" t="s">
        <v>340</v>
      </c>
      <c r="C6694" s="15" t="s">
        <v>85</v>
      </c>
      <c r="D6694" s="16">
        <v>12</v>
      </c>
      <c r="E6694" s="17">
        <v>174.11</v>
      </c>
      <c r="F6694" s="16">
        <v>0.06</v>
      </c>
      <c r="G6694" s="15" t="s">
        <v>32</v>
      </c>
      <c r="H6694" s="18">
        <v>-24.52</v>
      </c>
      <c r="I6694" s="19">
        <v>13.73</v>
      </c>
      <c r="J6694" s="19">
        <v>6.85</v>
      </c>
      <c r="K6694" s="19" t="s">
        <v>33</v>
      </c>
      <c r="L6694" s="19" t="s">
        <v>145</v>
      </c>
      <c r="M6694" s="15" t="s">
        <v>2313</v>
      </c>
      <c r="N6694" s="15" t="s">
        <v>54</v>
      </c>
      <c r="O6694" s="15" t="s">
        <v>55</v>
      </c>
      <c r="P6694" s="20" t="s">
        <v>930</v>
      </c>
      <c r="Q6694" s="15" t="s">
        <v>79</v>
      </c>
      <c r="R6694" s="4"/>
      <c r="S6694" s="4"/>
    </row>
    <row r="6695" spans="1:19" ht="21" customHeight="1" x14ac:dyDescent="0.25">
      <c r="A6695" s="14">
        <f>DATE(2012,12,31)-505</f>
        <v>40769</v>
      </c>
      <c r="B6695" s="15" t="s">
        <v>992</v>
      </c>
      <c r="C6695" s="15" t="s">
        <v>85</v>
      </c>
      <c r="D6695" s="16">
        <v>3</v>
      </c>
      <c r="E6695" s="17">
        <v>19.57</v>
      </c>
      <c r="F6695" s="16">
        <v>0.02</v>
      </c>
      <c r="G6695" s="15" t="s">
        <v>32</v>
      </c>
      <c r="H6695" s="18">
        <v>-5.35</v>
      </c>
      <c r="I6695" s="19">
        <v>5.84</v>
      </c>
      <c r="J6695" s="19">
        <v>1.2</v>
      </c>
      <c r="K6695" s="19" t="s">
        <v>33</v>
      </c>
      <c r="L6695" s="19" t="s">
        <v>145</v>
      </c>
      <c r="M6695" s="15" t="s">
        <v>2313</v>
      </c>
      <c r="N6695" s="15" t="s">
        <v>36</v>
      </c>
      <c r="O6695" s="15" t="s">
        <v>77</v>
      </c>
      <c r="P6695" s="20" t="s">
        <v>859</v>
      </c>
      <c r="Q6695" s="15" t="s">
        <v>79</v>
      </c>
      <c r="R6695" s="4"/>
      <c r="S6695" s="4"/>
    </row>
    <row r="6696" spans="1:19" ht="21" customHeight="1" x14ac:dyDescent="0.25">
      <c r="A6696" s="14">
        <f>DATE(2012,12,31)-1222</f>
        <v>40052</v>
      </c>
      <c r="B6696" s="15" t="s">
        <v>812</v>
      </c>
      <c r="C6696" s="15" t="s">
        <v>51</v>
      </c>
      <c r="D6696" s="16">
        <v>50</v>
      </c>
      <c r="E6696" s="17">
        <v>343</v>
      </c>
      <c r="F6696" s="16">
        <v>0</v>
      </c>
      <c r="G6696" s="15" t="s">
        <v>32</v>
      </c>
      <c r="H6696" s="18">
        <v>-76.94</v>
      </c>
      <c r="I6696" s="19">
        <v>6.68</v>
      </c>
      <c r="J6696" s="19">
        <v>5.66</v>
      </c>
      <c r="K6696" s="19" t="s">
        <v>33</v>
      </c>
      <c r="L6696" s="19" t="s">
        <v>59</v>
      </c>
      <c r="M6696" s="15" t="s">
        <v>2269</v>
      </c>
      <c r="N6696" s="15" t="s">
        <v>36</v>
      </c>
      <c r="O6696" s="15" t="s">
        <v>117</v>
      </c>
      <c r="P6696" s="20" t="s">
        <v>2076</v>
      </c>
      <c r="Q6696" s="15" t="s">
        <v>83</v>
      </c>
      <c r="R6696" s="4"/>
      <c r="S6696" s="4"/>
    </row>
    <row r="6697" spans="1:19" ht="21" customHeight="1" x14ac:dyDescent="0.25">
      <c r="A6697" s="14">
        <f>DATE(2012,12,31)-1</f>
        <v>41273</v>
      </c>
      <c r="B6697" s="15" t="s">
        <v>390</v>
      </c>
      <c r="C6697" s="15" t="s">
        <v>43</v>
      </c>
      <c r="D6697" s="16">
        <v>45</v>
      </c>
      <c r="E6697" s="17">
        <v>580.96</v>
      </c>
      <c r="F6697" s="16">
        <v>0.08</v>
      </c>
      <c r="G6697" s="15" t="s">
        <v>32</v>
      </c>
      <c r="H6697" s="18">
        <v>-33.47</v>
      </c>
      <c r="I6697" s="19">
        <v>13.73</v>
      </c>
      <c r="J6697" s="19">
        <v>6.85</v>
      </c>
      <c r="K6697" s="19" t="s">
        <v>69</v>
      </c>
      <c r="L6697" s="19" t="s">
        <v>75</v>
      </c>
      <c r="M6697" s="15" t="s">
        <v>2284</v>
      </c>
      <c r="N6697" s="15" t="s">
        <v>54</v>
      </c>
      <c r="O6697" s="15" t="s">
        <v>55</v>
      </c>
      <c r="P6697" s="20" t="s">
        <v>748</v>
      </c>
      <c r="Q6697" s="15" t="s">
        <v>79</v>
      </c>
      <c r="R6697" s="4"/>
      <c r="S6697" s="4"/>
    </row>
    <row r="6698" spans="1:19" ht="21" customHeight="1" x14ac:dyDescent="0.25">
      <c r="A6698" s="14">
        <f>DATE(2012,12,31)-964</f>
        <v>40310</v>
      </c>
      <c r="B6698" s="15" t="s">
        <v>136</v>
      </c>
      <c r="C6698" s="15" t="s">
        <v>85</v>
      </c>
      <c r="D6698" s="16">
        <v>50</v>
      </c>
      <c r="E6698" s="17">
        <v>230.23</v>
      </c>
      <c r="F6698" s="16">
        <v>0.06</v>
      </c>
      <c r="G6698" s="15" t="s">
        <v>101</v>
      </c>
      <c r="H6698" s="18">
        <v>-150.93</v>
      </c>
      <c r="I6698" s="19">
        <v>4.28</v>
      </c>
      <c r="J6698" s="19">
        <v>5.74</v>
      </c>
      <c r="K6698" s="19" t="s">
        <v>69</v>
      </c>
      <c r="L6698" s="19" t="s">
        <v>70</v>
      </c>
      <c r="M6698" s="15" t="s">
        <v>2230</v>
      </c>
      <c r="N6698" s="15" t="s">
        <v>36</v>
      </c>
      <c r="O6698" s="15" t="s">
        <v>117</v>
      </c>
      <c r="P6698" s="20" t="s">
        <v>2204</v>
      </c>
      <c r="Q6698" s="15" t="s">
        <v>83</v>
      </c>
      <c r="R6698" s="4"/>
      <c r="S6698" s="4"/>
    </row>
    <row r="6699" spans="1:19" ht="21" customHeight="1" x14ac:dyDescent="0.25">
      <c r="A6699" s="14">
        <f>DATE(2012,12,31)-750</f>
        <v>40524</v>
      </c>
      <c r="B6699" s="15" t="s">
        <v>810</v>
      </c>
      <c r="C6699" s="15" t="s">
        <v>85</v>
      </c>
      <c r="D6699" s="16">
        <v>41</v>
      </c>
      <c r="E6699" s="17">
        <v>5824.01</v>
      </c>
      <c r="F6699" s="16">
        <v>0.1</v>
      </c>
      <c r="G6699" s="15" t="s">
        <v>58</v>
      </c>
      <c r="H6699" s="18">
        <v>-288.68</v>
      </c>
      <c r="I6699" s="19">
        <v>150.97999999999999</v>
      </c>
      <c r="J6699" s="19">
        <v>30</v>
      </c>
      <c r="K6699" s="19" t="s">
        <v>69</v>
      </c>
      <c r="L6699" s="19" t="s">
        <v>70</v>
      </c>
      <c r="M6699" s="15" t="s">
        <v>2230</v>
      </c>
      <c r="N6699" s="15" t="s">
        <v>54</v>
      </c>
      <c r="O6699" s="15" t="s">
        <v>252</v>
      </c>
      <c r="P6699" s="20" t="s">
        <v>2031</v>
      </c>
      <c r="Q6699" s="15" t="s">
        <v>181</v>
      </c>
      <c r="R6699" s="4"/>
      <c r="S6699" s="4"/>
    </row>
    <row r="6700" spans="1:19" ht="21" customHeight="1" x14ac:dyDescent="0.25">
      <c r="A6700" s="14">
        <f>DATE(2012,12,31)-142</f>
        <v>41132</v>
      </c>
      <c r="B6700" s="15" t="s">
        <v>864</v>
      </c>
      <c r="C6700" s="15" t="s">
        <v>51</v>
      </c>
      <c r="D6700" s="16">
        <v>5</v>
      </c>
      <c r="E6700" s="17">
        <v>66.430000000000007</v>
      </c>
      <c r="F6700" s="16">
        <v>0.01</v>
      </c>
      <c r="G6700" s="15" t="s">
        <v>32</v>
      </c>
      <c r="H6700" s="18">
        <v>-9.4499999999999993</v>
      </c>
      <c r="I6700" s="19">
        <v>10.68</v>
      </c>
      <c r="J6700" s="19">
        <v>13.04</v>
      </c>
      <c r="K6700" s="19" t="s">
        <v>69</v>
      </c>
      <c r="L6700" s="19" t="s">
        <v>70</v>
      </c>
      <c r="M6700" s="15" t="s">
        <v>2230</v>
      </c>
      <c r="N6700" s="15" t="s">
        <v>54</v>
      </c>
      <c r="O6700" s="15" t="s">
        <v>55</v>
      </c>
      <c r="P6700" s="20" t="s">
        <v>1053</v>
      </c>
      <c r="Q6700" s="15" t="s">
        <v>39</v>
      </c>
      <c r="R6700" s="4"/>
      <c r="S6700" s="4"/>
    </row>
    <row r="6701" spans="1:19" ht="21" customHeight="1" x14ac:dyDescent="0.25">
      <c r="A6701" s="14">
        <f>DATE(2012,12,31)-142</f>
        <v>41132</v>
      </c>
      <c r="B6701" s="15" t="s">
        <v>696</v>
      </c>
      <c r="C6701" s="15" t="s">
        <v>51</v>
      </c>
      <c r="D6701" s="16">
        <v>25</v>
      </c>
      <c r="E6701" s="17">
        <v>2674.18</v>
      </c>
      <c r="F6701" s="16">
        <v>0.06</v>
      </c>
      <c r="G6701" s="15" t="s">
        <v>32</v>
      </c>
      <c r="H6701" s="18">
        <v>631.99</v>
      </c>
      <c r="I6701" s="19">
        <v>110.98</v>
      </c>
      <c r="J6701" s="19">
        <v>13.99</v>
      </c>
      <c r="K6701" s="19" t="s">
        <v>111</v>
      </c>
      <c r="L6701" s="19" t="s">
        <v>2301</v>
      </c>
      <c r="M6701" s="15" t="s">
        <v>2302</v>
      </c>
      <c r="N6701" s="15" t="s">
        <v>54</v>
      </c>
      <c r="O6701" s="15" t="s">
        <v>55</v>
      </c>
      <c r="P6701" s="20" t="s">
        <v>1486</v>
      </c>
      <c r="Q6701" s="15" t="s">
        <v>57</v>
      </c>
      <c r="R6701" s="4"/>
      <c r="S6701" s="4"/>
    </row>
    <row r="6702" spans="1:19" ht="21" customHeight="1" x14ac:dyDescent="0.25">
      <c r="A6702" s="14">
        <f>DATE(2012,12,31)-142</f>
        <v>41132</v>
      </c>
      <c r="B6702" s="15" t="s">
        <v>696</v>
      </c>
      <c r="C6702" s="15" t="s">
        <v>51</v>
      </c>
      <c r="D6702" s="16">
        <v>50</v>
      </c>
      <c r="E6702" s="17">
        <v>5513.82</v>
      </c>
      <c r="F6702" s="16">
        <v>0.03</v>
      </c>
      <c r="G6702" s="15" t="s">
        <v>32</v>
      </c>
      <c r="H6702" s="18">
        <v>1581.93</v>
      </c>
      <c r="I6702" s="19">
        <v>105.98</v>
      </c>
      <c r="J6702" s="19">
        <v>13.99</v>
      </c>
      <c r="K6702" s="19" t="s">
        <v>44</v>
      </c>
      <c r="L6702" s="19" t="s">
        <v>45</v>
      </c>
      <c r="M6702" s="15" t="s">
        <v>2271</v>
      </c>
      <c r="N6702" s="15" t="s">
        <v>54</v>
      </c>
      <c r="O6702" s="15" t="s">
        <v>55</v>
      </c>
      <c r="P6702" s="20" t="s">
        <v>456</v>
      </c>
      <c r="Q6702" s="15" t="s">
        <v>57</v>
      </c>
      <c r="R6702" s="4"/>
      <c r="S6702" s="4"/>
    </row>
    <row r="6703" spans="1:19" ht="21" customHeight="1" x14ac:dyDescent="0.25">
      <c r="A6703" s="14">
        <f>DATE(2012,12,31)-142</f>
        <v>41132</v>
      </c>
      <c r="B6703" s="15" t="s">
        <v>1233</v>
      </c>
      <c r="C6703" s="15" t="s">
        <v>51</v>
      </c>
      <c r="D6703" s="16">
        <v>37</v>
      </c>
      <c r="E6703" s="17">
        <v>241.14</v>
      </c>
      <c r="F6703" s="16">
        <v>0.08</v>
      </c>
      <c r="G6703" s="15" t="s">
        <v>32</v>
      </c>
      <c r="H6703" s="18">
        <v>-120.08</v>
      </c>
      <c r="I6703" s="19">
        <v>6.68</v>
      </c>
      <c r="J6703" s="19">
        <v>6.93</v>
      </c>
      <c r="K6703" s="19" t="s">
        <v>44</v>
      </c>
      <c r="L6703" s="19" t="s">
        <v>45</v>
      </c>
      <c r="M6703" s="15" t="s">
        <v>2271</v>
      </c>
      <c r="N6703" s="15" t="s">
        <v>36</v>
      </c>
      <c r="O6703" s="15" t="s">
        <v>117</v>
      </c>
      <c r="P6703" s="20" t="s">
        <v>400</v>
      </c>
      <c r="Q6703" s="15" t="s">
        <v>83</v>
      </c>
      <c r="R6703" s="4"/>
      <c r="S6703" s="4"/>
    </row>
    <row r="6704" spans="1:19" ht="21" customHeight="1" x14ac:dyDescent="0.25">
      <c r="A6704" s="14">
        <f>DATE(2012,12,31)-1298</f>
        <v>39976</v>
      </c>
      <c r="B6704" s="15" t="s">
        <v>1485</v>
      </c>
      <c r="C6704" s="15" t="s">
        <v>85</v>
      </c>
      <c r="D6704" s="16">
        <v>38</v>
      </c>
      <c r="E6704" s="17">
        <v>1756.27</v>
      </c>
      <c r="F6704" s="16">
        <v>0.09</v>
      </c>
      <c r="G6704" s="15" t="s">
        <v>32</v>
      </c>
      <c r="H6704" s="18">
        <v>649.04999999999995</v>
      </c>
      <c r="I6704" s="19">
        <v>46.89</v>
      </c>
      <c r="J6704" s="19">
        <v>5.0999999999999996</v>
      </c>
      <c r="K6704" s="19" t="s">
        <v>124</v>
      </c>
      <c r="L6704" s="19" t="s">
        <v>164</v>
      </c>
      <c r="M6704" s="15" t="s">
        <v>2319</v>
      </c>
      <c r="N6704" s="15" t="s">
        <v>36</v>
      </c>
      <c r="O6704" s="15" t="s">
        <v>176</v>
      </c>
      <c r="P6704" s="20" t="s">
        <v>858</v>
      </c>
      <c r="Q6704" s="15" t="s">
        <v>57</v>
      </c>
      <c r="R6704" s="4"/>
      <c r="S6704" s="4"/>
    </row>
    <row r="6705" spans="1:19" ht="21" customHeight="1" x14ac:dyDescent="0.25">
      <c r="A6705" s="14">
        <f>DATE(2012,12,31)-1298</f>
        <v>39976</v>
      </c>
      <c r="B6705" s="15" t="s">
        <v>1945</v>
      </c>
      <c r="C6705" s="15" t="s">
        <v>85</v>
      </c>
      <c r="D6705" s="16">
        <v>50</v>
      </c>
      <c r="E6705" s="17">
        <v>345.58</v>
      </c>
      <c r="F6705" s="16">
        <v>0.05</v>
      </c>
      <c r="G6705" s="15" t="s">
        <v>32</v>
      </c>
      <c r="H6705" s="18">
        <v>-38.04</v>
      </c>
      <c r="I6705" s="19">
        <v>6.64</v>
      </c>
      <c r="J6705" s="19">
        <v>4.95</v>
      </c>
      <c r="K6705" s="19" t="s">
        <v>33</v>
      </c>
      <c r="L6705" s="19" t="s">
        <v>128</v>
      </c>
      <c r="M6705" s="15" t="s">
        <v>129</v>
      </c>
      <c r="N6705" s="15" t="s">
        <v>54</v>
      </c>
      <c r="O6705" s="15" t="s">
        <v>55</v>
      </c>
      <c r="P6705" s="20" t="s">
        <v>1863</v>
      </c>
      <c r="Q6705" s="15" t="s">
        <v>49</v>
      </c>
      <c r="R6705" s="4"/>
      <c r="S6705" s="4"/>
    </row>
    <row r="6706" spans="1:19" ht="21" customHeight="1" x14ac:dyDescent="0.25">
      <c r="A6706" s="14">
        <f>DATE(2012,12,31)-779</f>
        <v>40495</v>
      </c>
      <c r="B6706" s="15" t="s">
        <v>1458</v>
      </c>
      <c r="C6706" s="15" t="s">
        <v>85</v>
      </c>
      <c r="D6706" s="16">
        <v>8</v>
      </c>
      <c r="E6706" s="17">
        <v>52.39</v>
      </c>
      <c r="F6706" s="16">
        <v>0.08</v>
      </c>
      <c r="G6706" s="15" t="s">
        <v>32</v>
      </c>
      <c r="H6706" s="18">
        <v>-17.38</v>
      </c>
      <c r="I6706" s="19">
        <v>5.89</v>
      </c>
      <c r="J6706" s="19">
        <v>5.57</v>
      </c>
      <c r="K6706" s="19" t="s">
        <v>33</v>
      </c>
      <c r="L6706" s="19" t="s">
        <v>93</v>
      </c>
      <c r="M6706" s="15" t="s">
        <v>94</v>
      </c>
      <c r="N6706" s="15" t="s">
        <v>54</v>
      </c>
      <c r="O6706" s="15" t="s">
        <v>55</v>
      </c>
      <c r="P6706" s="20" t="s">
        <v>1140</v>
      </c>
      <c r="Q6706" s="15" t="s">
        <v>83</v>
      </c>
      <c r="R6706" s="4"/>
      <c r="S6706" s="4"/>
    </row>
    <row r="6707" spans="1:19" ht="21" customHeight="1" x14ac:dyDescent="0.25">
      <c r="A6707" s="14">
        <f>DATE(2012,12,31)-1102</f>
        <v>40172</v>
      </c>
      <c r="B6707" s="15" t="s">
        <v>1458</v>
      </c>
      <c r="C6707" s="15" t="s">
        <v>51</v>
      </c>
      <c r="D6707" s="16">
        <v>8</v>
      </c>
      <c r="E6707" s="17">
        <v>365.22</v>
      </c>
      <c r="F6707" s="16">
        <v>0.04</v>
      </c>
      <c r="G6707" s="15" t="s">
        <v>32</v>
      </c>
      <c r="H6707" s="18">
        <v>58.08</v>
      </c>
      <c r="I6707" s="19">
        <v>46.89</v>
      </c>
      <c r="J6707" s="19">
        <v>5.0999999999999996</v>
      </c>
      <c r="K6707" s="19" t="s">
        <v>33</v>
      </c>
      <c r="L6707" s="19" t="s">
        <v>128</v>
      </c>
      <c r="M6707" s="15" t="s">
        <v>129</v>
      </c>
      <c r="N6707" s="15" t="s">
        <v>36</v>
      </c>
      <c r="O6707" s="15" t="s">
        <v>176</v>
      </c>
      <c r="P6707" s="20" t="s">
        <v>947</v>
      </c>
      <c r="Q6707" s="15" t="s">
        <v>57</v>
      </c>
      <c r="R6707" s="4"/>
      <c r="S6707" s="4"/>
    </row>
    <row r="6708" spans="1:19" ht="21" customHeight="1" x14ac:dyDescent="0.25">
      <c r="A6708" s="14">
        <f>DATE(2012,12,31)-1221</f>
        <v>40053</v>
      </c>
      <c r="B6708" s="15" t="s">
        <v>1458</v>
      </c>
      <c r="C6708" s="15" t="s">
        <v>85</v>
      </c>
      <c r="D6708" s="16">
        <v>16</v>
      </c>
      <c r="E6708" s="17">
        <v>273.36</v>
      </c>
      <c r="F6708" s="16">
        <v>0.04</v>
      </c>
      <c r="G6708" s="15" t="s">
        <v>32</v>
      </c>
      <c r="H6708" s="18">
        <v>32.25</v>
      </c>
      <c r="I6708" s="19">
        <v>17.239999999999998</v>
      </c>
      <c r="J6708" s="19">
        <v>3.26</v>
      </c>
      <c r="K6708" s="19" t="s">
        <v>97</v>
      </c>
      <c r="L6708" s="19" t="s">
        <v>98</v>
      </c>
      <c r="M6708" s="15" t="s">
        <v>2279</v>
      </c>
      <c r="N6708" s="15" t="s">
        <v>36</v>
      </c>
      <c r="O6708" s="15" t="s">
        <v>47</v>
      </c>
      <c r="P6708" s="20" t="s">
        <v>1472</v>
      </c>
      <c r="Q6708" s="15" t="s">
        <v>49</v>
      </c>
      <c r="R6708" s="4"/>
      <c r="S6708" s="4"/>
    </row>
    <row r="6709" spans="1:19" ht="21" customHeight="1" x14ac:dyDescent="0.25">
      <c r="A6709" s="14">
        <f>DATE(2012,12,31)-1221</f>
        <v>40053</v>
      </c>
      <c r="B6709" s="15" t="s">
        <v>1653</v>
      </c>
      <c r="C6709" s="15" t="s">
        <v>85</v>
      </c>
      <c r="D6709" s="16">
        <v>19</v>
      </c>
      <c r="E6709" s="17">
        <v>3240.7280000000001</v>
      </c>
      <c r="F6709" s="16">
        <v>7.0000000000000007E-2</v>
      </c>
      <c r="G6709" s="15" t="s">
        <v>58</v>
      </c>
      <c r="H6709" s="18">
        <v>-691.31</v>
      </c>
      <c r="I6709" s="19">
        <v>218.75</v>
      </c>
      <c r="J6709" s="19">
        <v>69.64</v>
      </c>
      <c r="K6709" s="19" t="s">
        <v>97</v>
      </c>
      <c r="L6709" s="19" t="s">
        <v>195</v>
      </c>
      <c r="M6709" s="15" t="s">
        <v>2138</v>
      </c>
      <c r="N6709" s="15" t="s">
        <v>54</v>
      </c>
      <c r="O6709" s="15" t="s">
        <v>61</v>
      </c>
      <c r="P6709" s="20" t="s">
        <v>268</v>
      </c>
      <c r="Q6709" s="15" t="s">
        <v>63</v>
      </c>
      <c r="R6709" s="4"/>
      <c r="S6709" s="4"/>
    </row>
    <row r="6710" spans="1:19" ht="21" customHeight="1" x14ac:dyDescent="0.25">
      <c r="A6710" s="14">
        <f>DATE(2012,12,31)-1221</f>
        <v>40053</v>
      </c>
      <c r="B6710" s="15" t="s">
        <v>448</v>
      </c>
      <c r="C6710" s="15" t="s">
        <v>85</v>
      </c>
      <c r="D6710" s="16">
        <v>49</v>
      </c>
      <c r="E6710" s="17">
        <v>8058.96</v>
      </c>
      <c r="F6710" s="16">
        <v>0.08</v>
      </c>
      <c r="G6710" s="15" t="s">
        <v>32</v>
      </c>
      <c r="H6710" s="18">
        <v>-1621.38</v>
      </c>
      <c r="I6710" s="19">
        <v>209.37</v>
      </c>
      <c r="J6710" s="19">
        <v>69</v>
      </c>
      <c r="K6710" s="19" t="s">
        <v>97</v>
      </c>
      <c r="L6710" s="19" t="s">
        <v>98</v>
      </c>
      <c r="M6710" s="15" t="s">
        <v>2279</v>
      </c>
      <c r="N6710" s="15" t="s">
        <v>54</v>
      </c>
      <c r="O6710" s="15" t="s">
        <v>61</v>
      </c>
      <c r="P6710" s="20" t="s">
        <v>360</v>
      </c>
      <c r="Q6710" s="15" t="s">
        <v>39</v>
      </c>
      <c r="R6710" s="4"/>
      <c r="S6710" s="4"/>
    </row>
    <row r="6711" spans="1:19" ht="21" customHeight="1" x14ac:dyDescent="0.25">
      <c r="A6711" s="14">
        <f>DATE(2012,12,31)-355</f>
        <v>40919</v>
      </c>
      <c r="B6711" s="15" t="s">
        <v>401</v>
      </c>
      <c r="C6711" s="15" t="s">
        <v>85</v>
      </c>
      <c r="D6711" s="16">
        <v>19</v>
      </c>
      <c r="E6711" s="17">
        <v>172.54</v>
      </c>
      <c r="F6711" s="16">
        <v>0.08</v>
      </c>
      <c r="G6711" s="15" t="s">
        <v>32</v>
      </c>
      <c r="H6711" s="18">
        <v>44.23</v>
      </c>
      <c r="I6711" s="19">
        <v>9.11</v>
      </c>
      <c r="J6711" s="19">
        <v>2.15</v>
      </c>
      <c r="K6711" s="19" t="s">
        <v>97</v>
      </c>
      <c r="L6711" s="19" t="s">
        <v>283</v>
      </c>
      <c r="M6711" s="15" t="s">
        <v>2306</v>
      </c>
      <c r="N6711" s="15" t="s">
        <v>36</v>
      </c>
      <c r="O6711" s="15" t="s">
        <v>117</v>
      </c>
      <c r="P6711" s="20" t="s">
        <v>1400</v>
      </c>
      <c r="Q6711" s="15" t="s">
        <v>79</v>
      </c>
      <c r="R6711" s="4"/>
      <c r="S6711" s="4"/>
    </row>
    <row r="6712" spans="1:19" ht="21" customHeight="1" x14ac:dyDescent="0.25">
      <c r="A6712" s="14">
        <f>DATE(2012,12,31)-1028</f>
        <v>40246</v>
      </c>
      <c r="B6712" s="15" t="s">
        <v>1211</v>
      </c>
      <c r="C6712" s="15" t="s">
        <v>85</v>
      </c>
      <c r="D6712" s="16">
        <v>38</v>
      </c>
      <c r="E6712" s="17">
        <v>185.19</v>
      </c>
      <c r="F6712" s="16">
        <v>7.0000000000000007E-2</v>
      </c>
      <c r="G6712" s="15" t="s">
        <v>32</v>
      </c>
      <c r="H6712" s="18">
        <v>-175.62</v>
      </c>
      <c r="I6712" s="19">
        <v>4.9800000000000004</v>
      </c>
      <c r="J6712" s="19">
        <v>7.44</v>
      </c>
      <c r="K6712" s="19" t="s">
        <v>124</v>
      </c>
      <c r="L6712" s="19" t="s">
        <v>493</v>
      </c>
      <c r="M6712" s="15" t="s">
        <v>2299</v>
      </c>
      <c r="N6712" s="15" t="s">
        <v>36</v>
      </c>
      <c r="O6712" s="15" t="s">
        <v>117</v>
      </c>
      <c r="P6712" s="20" t="s">
        <v>625</v>
      </c>
      <c r="Q6712" s="15" t="s">
        <v>83</v>
      </c>
      <c r="R6712" s="4"/>
      <c r="S6712" s="4"/>
    </row>
    <row r="6713" spans="1:19" ht="21" customHeight="1" x14ac:dyDescent="0.25">
      <c r="A6713" s="14">
        <f>DATE(2012,12,31)-1028</f>
        <v>40246</v>
      </c>
      <c r="B6713" s="15" t="s">
        <v>386</v>
      </c>
      <c r="C6713" s="15" t="s">
        <v>85</v>
      </c>
      <c r="D6713" s="16">
        <v>22</v>
      </c>
      <c r="E6713" s="17">
        <v>220.26</v>
      </c>
      <c r="F6713" s="16">
        <v>7.0000000000000007E-2</v>
      </c>
      <c r="G6713" s="15" t="s">
        <v>32</v>
      </c>
      <c r="H6713" s="18">
        <v>-35.950000000000003</v>
      </c>
      <c r="I6713" s="19">
        <v>10.23</v>
      </c>
      <c r="J6713" s="19">
        <v>4.68</v>
      </c>
      <c r="K6713" s="19" t="s">
        <v>124</v>
      </c>
      <c r="L6713" s="19" t="s">
        <v>160</v>
      </c>
      <c r="M6713" s="15" t="s">
        <v>2281</v>
      </c>
      <c r="N6713" s="15" t="s">
        <v>36</v>
      </c>
      <c r="O6713" s="15" t="s">
        <v>47</v>
      </c>
      <c r="P6713" s="20" t="s">
        <v>360</v>
      </c>
      <c r="Q6713" s="15" t="s">
        <v>49</v>
      </c>
      <c r="R6713" s="4"/>
      <c r="S6713" s="4"/>
    </row>
    <row r="6714" spans="1:19" ht="21" customHeight="1" x14ac:dyDescent="0.25">
      <c r="A6714" s="14">
        <f>DATE(2012,12,31)-1028</f>
        <v>40246</v>
      </c>
      <c r="B6714" s="15" t="s">
        <v>923</v>
      </c>
      <c r="C6714" s="15" t="s">
        <v>85</v>
      </c>
      <c r="D6714" s="16">
        <v>48</v>
      </c>
      <c r="E6714" s="17">
        <v>843.03</v>
      </c>
      <c r="F6714" s="16">
        <v>0.08</v>
      </c>
      <c r="G6714" s="15" t="s">
        <v>32</v>
      </c>
      <c r="H6714" s="18">
        <v>419.89499999999998</v>
      </c>
      <c r="I6714" s="19">
        <v>20.99</v>
      </c>
      <c r="J6714" s="19">
        <v>0.99</v>
      </c>
      <c r="K6714" s="19" t="s">
        <v>124</v>
      </c>
      <c r="L6714" s="19" t="s">
        <v>158</v>
      </c>
      <c r="M6714" s="15" t="s">
        <v>158</v>
      </c>
      <c r="N6714" s="15" t="s">
        <v>64</v>
      </c>
      <c r="O6714" s="15" t="s">
        <v>65</v>
      </c>
      <c r="P6714" s="20" t="s">
        <v>1747</v>
      </c>
      <c r="Q6714" s="15" t="s">
        <v>79</v>
      </c>
      <c r="R6714" s="4"/>
      <c r="S6714" s="4"/>
    </row>
    <row r="6715" spans="1:19" ht="21" customHeight="1" x14ac:dyDescent="0.25">
      <c r="A6715" s="14">
        <f>DATE(2012,12,31)-1234</f>
        <v>40040</v>
      </c>
      <c r="B6715" s="15" t="s">
        <v>418</v>
      </c>
      <c r="C6715" s="15" t="s">
        <v>51</v>
      </c>
      <c r="D6715" s="16">
        <v>30</v>
      </c>
      <c r="E6715" s="17">
        <v>5290.57</v>
      </c>
      <c r="F6715" s="16">
        <v>0.08</v>
      </c>
      <c r="G6715" s="15" t="s">
        <v>32</v>
      </c>
      <c r="H6715" s="18">
        <v>1389.18</v>
      </c>
      <c r="I6715" s="19">
        <v>178.47</v>
      </c>
      <c r="J6715" s="19">
        <v>19.989999999999998</v>
      </c>
      <c r="K6715" s="19" t="s">
        <v>124</v>
      </c>
      <c r="L6715" s="19" t="s">
        <v>319</v>
      </c>
      <c r="M6715" s="15" t="s">
        <v>2300</v>
      </c>
      <c r="N6715" s="15" t="s">
        <v>36</v>
      </c>
      <c r="O6715" s="15" t="s">
        <v>37</v>
      </c>
      <c r="P6715" s="20" t="s">
        <v>1303</v>
      </c>
      <c r="Q6715" s="15" t="s">
        <v>83</v>
      </c>
      <c r="R6715" s="4"/>
      <c r="S6715" s="4"/>
    </row>
    <row r="6716" spans="1:19" ht="21" customHeight="1" x14ac:dyDescent="0.25">
      <c r="A6716" s="14">
        <f>DATE(2012,12,31)-1286</f>
        <v>39988</v>
      </c>
      <c r="B6716" s="15" t="s">
        <v>1579</v>
      </c>
      <c r="C6716" s="15" t="s">
        <v>31</v>
      </c>
      <c r="D6716" s="16">
        <v>17</v>
      </c>
      <c r="E6716" s="17">
        <v>283.65349999999995</v>
      </c>
      <c r="F6716" s="16">
        <v>0.09</v>
      </c>
      <c r="G6716" s="15" t="s">
        <v>32</v>
      </c>
      <c r="H6716" s="18">
        <v>-113.047</v>
      </c>
      <c r="I6716" s="19">
        <v>20.99</v>
      </c>
      <c r="J6716" s="19">
        <v>2.5</v>
      </c>
      <c r="K6716" s="19" t="s">
        <v>44</v>
      </c>
      <c r="L6716" s="19" t="s">
        <v>52</v>
      </c>
      <c r="M6716" s="15" t="s">
        <v>2320</v>
      </c>
      <c r="N6716" s="15" t="s">
        <v>64</v>
      </c>
      <c r="O6716" s="15" t="s">
        <v>65</v>
      </c>
      <c r="P6716" s="20" t="s">
        <v>2321</v>
      </c>
      <c r="Q6716" s="15" t="s">
        <v>79</v>
      </c>
      <c r="R6716" s="4"/>
      <c r="S6716" s="4"/>
    </row>
    <row r="6717" spans="1:19" ht="21" customHeight="1" x14ac:dyDescent="0.25">
      <c r="A6717" s="14">
        <f>DATE(2012,12,31)-1241</f>
        <v>40033</v>
      </c>
      <c r="B6717" s="15" t="s">
        <v>1579</v>
      </c>
      <c r="C6717" s="15" t="s">
        <v>51</v>
      </c>
      <c r="D6717" s="16">
        <v>15</v>
      </c>
      <c r="E6717" s="17">
        <v>1187.1524999999999</v>
      </c>
      <c r="F6717" s="16">
        <v>0.03</v>
      </c>
      <c r="G6717" s="15" t="s">
        <v>32</v>
      </c>
      <c r="H6717" s="18">
        <v>33.192</v>
      </c>
      <c r="I6717" s="19">
        <v>95.99</v>
      </c>
      <c r="J6717" s="19">
        <v>4.9000000000000004</v>
      </c>
      <c r="K6717" s="19" t="s">
        <v>44</v>
      </c>
      <c r="L6717" s="19" t="s">
        <v>52</v>
      </c>
      <c r="M6717" s="15" t="s">
        <v>2320</v>
      </c>
      <c r="N6717" s="15" t="s">
        <v>64</v>
      </c>
      <c r="O6717" s="15" t="s">
        <v>65</v>
      </c>
      <c r="P6717" s="20" t="s">
        <v>395</v>
      </c>
      <c r="Q6717" s="15" t="s">
        <v>83</v>
      </c>
      <c r="R6717" s="4"/>
      <c r="S6717" s="4"/>
    </row>
    <row r="6718" spans="1:19" ht="21" customHeight="1" x14ac:dyDescent="0.25">
      <c r="A6718" s="14">
        <f>DATE(2012,12,31)-1038</f>
        <v>40236</v>
      </c>
      <c r="B6718" s="15" t="s">
        <v>1579</v>
      </c>
      <c r="C6718" s="15" t="s">
        <v>85</v>
      </c>
      <c r="D6718" s="16">
        <v>30</v>
      </c>
      <c r="E6718" s="17">
        <v>17034.919999999998</v>
      </c>
      <c r="F6718" s="16">
        <v>0.09</v>
      </c>
      <c r="G6718" s="15" t="s">
        <v>32</v>
      </c>
      <c r="H6718" s="18">
        <v>5916.3429999999998</v>
      </c>
      <c r="I6718" s="19">
        <v>599.99</v>
      </c>
      <c r="J6718" s="19">
        <v>24.49</v>
      </c>
      <c r="K6718" s="19" t="s">
        <v>44</v>
      </c>
      <c r="L6718" s="19" t="s">
        <v>89</v>
      </c>
      <c r="M6718" s="15" t="s">
        <v>2305</v>
      </c>
      <c r="N6718" s="15" t="s">
        <v>64</v>
      </c>
      <c r="O6718" s="15" t="s">
        <v>460</v>
      </c>
      <c r="P6718" s="20" t="s">
        <v>1151</v>
      </c>
      <c r="Q6718" s="15" t="s">
        <v>39</v>
      </c>
      <c r="R6718" s="4"/>
      <c r="S6718" s="4"/>
    </row>
    <row r="6719" spans="1:19" ht="21" customHeight="1" x14ac:dyDescent="0.25">
      <c r="A6719" s="14">
        <f>DATE(2012,12,31)-1038</f>
        <v>40236</v>
      </c>
      <c r="B6719" s="15" t="s">
        <v>1579</v>
      </c>
      <c r="C6719" s="15" t="s">
        <v>85</v>
      </c>
      <c r="D6719" s="16">
        <v>3</v>
      </c>
      <c r="E6719" s="17">
        <v>22.6</v>
      </c>
      <c r="F6719" s="16">
        <v>0.04</v>
      </c>
      <c r="G6719" s="15" t="s">
        <v>101</v>
      </c>
      <c r="H6719" s="18">
        <v>-4.63</v>
      </c>
      <c r="I6719" s="19">
        <v>5.88</v>
      </c>
      <c r="J6719" s="19">
        <v>3.04</v>
      </c>
      <c r="K6719" s="19" t="s">
        <v>44</v>
      </c>
      <c r="L6719" s="19" t="s">
        <v>80</v>
      </c>
      <c r="M6719" s="15" t="s">
        <v>2297</v>
      </c>
      <c r="N6719" s="15" t="s">
        <v>36</v>
      </c>
      <c r="O6719" s="15" t="s">
        <v>117</v>
      </c>
      <c r="P6719" s="20" t="s">
        <v>957</v>
      </c>
      <c r="Q6719" s="15" t="s">
        <v>79</v>
      </c>
      <c r="R6719" s="4"/>
      <c r="S6719" s="4"/>
    </row>
    <row r="6720" spans="1:19" ht="21" customHeight="1" x14ac:dyDescent="0.25">
      <c r="A6720" s="14">
        <f>DATE(2012,12,31)-1038</f>
        <v>40236</v>
      </c>
      <c r="B6720" s="15" t="s">
        <v>149</v>
      </c>
      <c r="C6720" s="15" t="s">
        <v>85</v>
      </c>
      <c r="D6720" s="16">
        <v>9</v>
      </c>
      <c r="E6720" s="17">
        <v>918.73949999999991</v>
      </c>
      <c r="F6720" s="16">
        <v>0.06</v>
      </c>
      <c r="G6720" s="15" t="s">
        <v>101</v>
      </c>
      <c r="H6720" s="18">
        <v>-303.55599999999998</v>
      </c>
      <c r="I6720" s="19">
        <v>125.99</v>
      </c>
      <c r="J6720" s="19">
        <v>7.69</v>
      </c>
      <c r="K6720" s="19" t="s">
        <v>124</v>
      </c>
      <c r="L6720" s="19" t="s">
        <v>160</v>
      </c>
      <c r="M6720" s="15" t="s">
        <v>2281</v>
      </c>
      <c r="N6720" s="15" t="s">
        <v>64</v>
      </c>
      <c r="O6720" s="15" t="s">
        <v>65</v>
      </c>
      <c r="P6720" s="20" t="s">
        <v>1451</v>
      </c>
      <c r="Q6720" s="15" t="s">
        <v>83</v>
      </c>
      <c r="R6720" s="4"/>
      <c r="S6720" s="4"/>
    </row>
    <row r="6721" spans="1:19" ht="21" customHeight="1" x14ac:dyDescent="0.25">
      <c r="A6721" s="14">
        <f>DATE(2012,12,31)-1143</f>
        <v>40131</v>
      </c>
      <c r="B6721" s="15" t="s">
        <v>149</v>
      </c>
      <c r="C6721" s="15" t="s">
        <v>85</v>
      </c>
      <c r="D6721" s="16">
        <v>12</v>
      </c>
      <c r="E6721" s="17">
        <v>61.09</v>
      </c>
      <c r="F6721" s="16">
        <v>0.04</v>
      </c>
      <c r="G6721" s="15" t="s">
        <v>32</v>
      </c>
      <c r="H6721" s="18">
        <v>24.06</v>
      </c>
      <c r="I6721" s="19">
        <v>4.91</v>
      </c>
      <c r="J6721" s="19">
        <v>0.5</v>
      </c>
      <c r="K6721" s="19" t="s">
        <v>124</v>
      </c>
      <c r="L6721" s="19" t="s">
        <v>164</v>
      </c>
      <c r="M6721" s="15" t="s">
        <v>2319</v>
      </c>
      <c r="N6721" s="15" t="s">
        <v>36</v>
      </c>
      <c r="O6721" s="15" t="s">
        <v>114</v>
      </c>
      <c r="P6721" s="20" t="s">
        <v>260</v>
      </c>
      <c r="Q6721" s="15" t="s">
        <v>83</v>
      </c>
      <c r="R6721" s="4"/>
      <c r="S6721" s="4"/>
    </row>
    <row r="6722" spans="1:19" ht="21" customHeight="1" x14ac:dyDescent="0.25">
      <c r="A6722" s="14">
        <f>DATE(2012,12,31)-1143</f>
        <v>40131</v>
      </c>
      <c r="B6722" s="15" t="s">
        <v>1509</v>
      </c>
      <c r="C6722" s="15" t="s">
        <v>85</v>
      </c>
      <c r="D6722" s="16">
        <v>48</v>
      </c>
      <c r="E6722" s="17">
        <v>777.76</v>
      </c>
      <c r="F6722" s="16">
        <v>0.02</v>
      </c>
      <c r="G6722" s="15" t="s">
        <v>32</v>
      </c>
      <c r="H6722" s="18">
        <v>63.46</v>
      </c>
      <c r="I6722" s="19">
        <v>15.94</v>
      </c>
      <c r="J6722" s="19">
        <v>5.45</v>
      </c>
      <c r="K6722" s="19" t="s">
        <v>124</v>
      </c>
      <c r="L6722" s="19" t="s">
        <v>158</v>
      </c>
      <c r="M6722" s="15" t="s">
        <v>158</v>
      </c>
      <c r="N6722" s="15" t="s">
        <v>36</v>
      </c>
      <c r="O6722" s="15" t="s">
        <v>77</v>
      </c>
      <c r="P6722" s="20" t="s">
        <v>2173</v>
      </c>
      <c r="Q6722" s="15" t="s">
        <v>49</v>
      </c>
      <c r="R6722" s="4"/>
      <c r="S6722" s="4"/>
    </row>
    <row r="6723" spans="1:19" ht="21" customHeight="1" x14ac:dyDescent="0.25">
      <c r="A6723" s="14">
        <f>DATE(2012,12,31)-63</f>
        <v>41211</v>
      </c>
      <c r="B6723" s="15" t="s">
        <v>1671</v>
      </c>
      <c r="C6723" s="15" t="s">
        <v>51</v>
      </c>
      <c r="D6723" s="16">
        <v>24</v>
      </c>
      <c r="E6723" s="17">
        <v>113.43</v>
      </c>
      <c r="F6723" s="16">
        <v>0.09</v>
      </c>
      <c r="G6723" s="15" t="s">
        <v>32</v>
      </c>
      <c r="H6723" s="18">
        <v>-53.06</v>
      </c>
      <c r="I6723" s="19">
        <v>4.95</v>
      </c>
      <c r="J6723" s="19">
        <v>5.32</v>
      </c>
      <c r="K6723" s="19" t="s">
        <v>33</v>
      </c>
      <c r="L6723" s="19" t="s">
        <v>34</v>
      </c>
      <c r="M6723" s="15" t="s">
        <v>2315</v>
      </c>
      <c r="N6723" s="15" t="s">
        <v>54</v>
      </c>
      <c r="O6723" s="15" t="s">
        <v>55</v>
      </c>
      <c r="P6723" s="20" t="s">
        <v>1451</v>
      </c>
      <c r="Q6723" s="15" t="s">
        <v>83</v>
      </c>
      <c r="R6723" s="4"/>
      <c r="S6723" s="4"/>
    </row>
    <row r="6724" spans="1:19" ht="21" customHeight="1" x14ac:dyDescent="0.25">
      <c r="A6724" s="14">
        <f>DATE(2012,12,31)-812</f>
        <v>40462</v>
      </c>
      <c r="B6724" s="15" t="s">
        <v>1342</v>
      </c>
      <c r="C6724" s="15" t="s">
        <v>85</v>
      </c>
      <c r="D6724" s="16">
        <v>46</v>
      </c>
      <c r="E6724" s="17">
        <v>7685.62</v>
      </c>
      <c r="F6724" s="16">
        <v>0.02</v>
      </c>
      <c r="G6724" s="15" t="s">
        <v>101</v>
      </c>
      <c r="H6724" s="18">
        <v>1952.15</v>
      </c>
      <c r="I6724" s="19">
        <v>165.2</v>
      </c>
      <c r="J6724" s="19">
        <v>19.989999999999998</v>
      </c>
      <c r="K6724" s="19" t="s">
        <v>33</v>
      </c>
      <c r="L6724" s="19" t="s">
        <v>34</v>
      </c>
      <c r="M6724" s="15" t="s">
        <v>2315</v>
      </c>
      <c r="N6724" s="15" t="s">
        <v>36</v>
      </c>
      <c r="O6724" s="15" t="s">
        <v>37</v>
      </c>
      <c r="P6724" s="20" t="s">
        <v>2199</v>
      </c>
      <c r="Q6724" s="15" t="s">
        <v>83</v>
      </c>
      <c r="R6724" s="4"/>
      <c r="S6724" s="4"/>
    </row>
    <row r="6725" spans="1:19" ht="21" customHeight="1" x14ac:dyDescent="0.25">
      <c r="A6725" s="14">
        <f>DATE(2012,12,31)-1218</f>
        <v>40056</v>
      </c>
      <c r="B6725" s="15" t="s">
        <v>1342</v>
      </c>
      <c r="C6725" s="15" t="s">
        <v>85</v>
      </c>
      <c r="D6725" s="16">
        <v>6</v>
      </c>
      <c r="E6725" s="17">
        <v>18.02</v>
      </c>
      <c r="F6725" s="16">
        <v>0.01</v>
      </c>
      <c r="G6725" s="15" t="s">
        <v>32</v>
      </c>
      <c r="H6725" s="18">
        <v>-3.09</v>
      </c>
      <c r="I6725" s="19">
        <v>2.78</v>
      </c>
      <c r="J6725" s="19">
        <v>1.34</v>
      </c>
      <c r="K6725" s="19" t="s">
        <v>33</v>
      </c>
      <c r="L6725" s="19" t="s">
        <v>59</v>
      </c>
      <c r="M6725" s="15" t="s">
        <v>2269</v>
      </c>
      <c r="N6725" s="15" t="s">
        <v>36</v>
      </c>
      <c r="O6725" s="15" t="s">
        <v>77</v>
      </c>
      <c r="P6725" s="20" t="s">
        <v>425</v>
      </c>
      <c r="Q6725" s="15" t="s">
        <v>79</v>
      </c>
      <c r="R6725" s="4"/>
      <c r="S6725" s="4"/>
    </row>
    <row r="6726" spans="1:19" ht="21" customHeight="1" x14ac:dyDescent="0.25">
      <c r="A6726" s="14">
        <f>DATE(2012,12,31)-140</f>
        <v>41134</v>
      </c>
      <c r="B6726" s="15" t="s">
        <v>1342</v>
      </c>
      <c r="C6726" s="15" t="s">
        <v>51</v>
      </c>
      <c r="D6726" s="16">
        <v>12</v>
      </c>
      <c r="E6726" s="17">
        <v>214.94</v>
      </c>
      <c r="F6726" s="16">
        <v>0.06</v>
      </c>
      <c r="G6726" s="15" t="s">
        <v>32</v>
      </c>
      <c r="H6726" s="18">
        <v>26.75</v>
      </c>
      <c r="I6726" s="19">
        <v>17.48</v>
      </c>
      <c r="J6726" s="19">
        <v>1.99</v>
      </c>
      <c r="K6726" s="19" t="s">
        <v>33</v>
      </c>
      <c r="L6726" s="19" t="s">
        <v>34</v>
      </c>
      <c r="M6726" s="15" t="s">
        <v>2315</v>
      </c>
      <c r="N6726" s="15" t="s">
        <v>64</v>
      </c>
      <c r="O6726" s="15" t="s">
        <v>72</v>
      </c>
      <c r="P6726" s="20" t="s">
        <v>1131</v>
      </c>
      <c r="Q6726" s="15" t="s">
        <v>49</v>
      </c>
      <c r="R6726" s="4"/>
      <c r="S6726" s="4"/>
    </row>
    <row r="6727" spans="1:19" ht="21" customHeight="1" x14ac:dyDescent="0.25">
      <c r="A6727" s="14">
        <f>DATE(2012,12,31)-340</f>
        <v>40934</v>
      </c>
      <c r="B6727" s="15" t="s">
        <v>931</v>
      </c>
      <c r="C6727" s="15" t="s">
        <v>85</v>
      </c>
      <c r="D6727" s="16">
        <v>30</v>
      </c>
      <c r="E6727" s="17">
        <v>183.33</v>
      </c>
      <c r="F6727" s="16">
        <v>0.05</v>
      </c>
      <c r="G6727" s="15" t="s">
        <v>32</v>
      </c>
      <c r="H6727" s="18">
        <v>-106.54</v>
      </c>
      <c r="I6727" s="19">
        <v>5.98</v>
      </c>
      <c r="J6727" s="19">
        <v>4.38</v>
      </c>
      <c r="K6727" s="19" t="s">
        <v>33</v>
      </c>
      <c r="L6727" s="19" t="s">
        <v>59</v>
      </c>
      <c r="M6727" s="15" t="s">
        <v>2269</v>
      </c>
      <c r="N6727" s="15" t="s">
        <v>64</v>
      </c>
      <c r="O6727" s="15" t="s">
        <v>72</v>
      </c>
      <c r="P6727" s="20" t="s">
        <v>1374</v>
      </c>
      <c r="Q6727" s="15" t="s">
        <v>49</v>
      </c>
      <c r="R6727" s="4"/>
      <c r="S6727" s="4"/>
    </row>
    <row r="6728" spans="1:19" ht="21" customHeight="1" x14ac:dyDescent="0.25">
      <c r="A6728" s="14">
        <f>DATE(2012,12,31)-340</f>
        <v>40934</v>
      </c>
      <c r="B6728" s="15" t="s">
        <v>210</v>
      </c>
      <c r="C6728" s="15" t="s">
        <v>85</v>
      </c>
      <c r="D6728" s="16">
        <v>12</v>
      </c>
      <c r="E6728" s="17">
        <v>88.06</v>
      </c>
      <c r="F6728" s="16">
        <v>0.04</v>
      </c>
      <c r="G6728" s="15" t="s">
        <v>32</v>
      </c>
      <c r="H6728" s="18">
        <v>-69.05</v>
      </c>
      <c r="I6728" s="19">
        <v>6.48</v>
      </c>
      <c r="J6728" s="19">
        <v>9.68</v>
      </c>
      <c r="K6728" s="19" t="s">
        <v>33</v>
      </c>
      <c r="L6728" s="19" t="s">
        <v>145</v>
      </c>
      <c r="M6728" s="15" t="s">
        <v>2313</v>
      </c>
      <c r="N6728" s="15" t="s">
        <v>54</v>
      </c>
      <c r="O6728" s="15" t="s">
        <v>55</v>
      </c>
      <c r="P6728" s="20" t="s">
        <v>266</v>
      </c>
      <c r="Q6728" s="15" t="s">
        <v>49</v>
      </c>
      <c r="R6728" s="4"/>
      <c r="S6728" s="4"/>
    </row>
    <row r="6729" spans="1:19" ht="21" customHeight="1" x14ac:dyDescent="0.25">
      <c r="A6729" s="14">
        <f>DATE(2012,12,31)-858</f>
        <v>40416</v>
      </c>
      <c r="B6729" s="15" t="s">
        <v>210</v>
      </c>
      <c r="C6729" s="15" t="s">
        <v>51</v>
      </c>
      <c r="D6729" s="16">
        <v>42</v>
      </c>
      <c r="E6729" s="17">
        <v>309.17</v>
      </c>
      <c r="F6729" s="16">
        <v>0.09</v>
      </c>
      <c r="G6729" s="15" t="s">
        <v>32</v>
      </c>
      <c r="H6729" s="18">
        <v>-283.31</v>
      </c>
      <c r="I6729" s="19">
        <v>7.77</v>
      </c>
      <c r="J6729" s="19">
        <v>9.23</v>
      </c>
      <c r="K6729" s="19" t="s">
        <v>33</v>
      </c>
      <c r="L6729" s="19" t="s">
        <v>59</v>
      </c>
      <c r="M6729" s="15" t="s">
        <v>2269</v>
      </c>
      <c r="N6729" s="15" t="s">
        <v>36</v>
      </c>
      <c r="O6729" s="15" t="s">
        <v>176</v>
      </c>
      <c r="P6729" s="20" t="s">
        <v>1167</v>
      </c>
      <c r="Q6729" s="15" t="s">
        <v>83</v>
      </c>
      <c r="R6729" s="4"/>
      <c r="S6729" s="4"/>
    </row>
    <row r="6730" spans="1:19" ht="21" customHeight="1" x14ac:dyDescent="0.25">
      <c r="A6730" s="14">
        <f>DATE(2012,12,31)-858</f>
        <v>40416</v>
      </c>
      <c r="B6730" s="15" t="s">
        <v>210</v>
      </c>
      <c r="C6730" s="15" t="s">
        <v>51</v>
      </c>
      <c r="D6730" s="16">
        <v>29</v>
      </c>
      <c r="E6730" s="17">
        <v>412.86</v>
      </c>
      <c r="F6730" s="16">
        <v>7.0000000000000007E-2</v>
      </c>
      <c r="G6730" s="15" t="s">
        <v>32</v>
      </c>
      <c r="H6730" s="18">
        <v>-104.43</v>
      </c>
      <c r="I6730" s="19">
        <v>15.14</v>
      </c>
      <c r="J6730" s="19">
        <v>4.53</v>
      </c>
      <c r="K6730" s="19" t="s">
        <v>33</v>
      </c>
      <c r="L6730" s="19" t="s">
        <v>59</v>
      </c>
      <c r="M6730" s="15" t="s">
        <v>2269</v>
      </c>
      <c r="N6730" s="15" t="s">
        <v>36</v>
      </c>
      <c r="O6730" s="15" t="s">
        <v>37</v>
      </c>
      <c r="P6730" s="20" t="s">
        <v>1101</v>
      </c>
      <c r="Q6730" s="15" t="s">
        <v>83</v>
      </c>
      <c r="R6730" s="4"/>
      <c r="S6730" s="4"/>
    </row>
    <row r="6731" spans="1:19" ht="21" customHeight="1" x14ac:dyDescent="0.25">
      <c r="A6731" s="14">
        <f>DATE(2012,12,31)-1266</f>
        <v>40008</v>
      </c>
      <c r="B6731" s="15" t="s">
        <v>149</v>
      </c>
      <c r="C6731" s="15" t="s">
        <v>43</v>
      </c>
      <c r="D6731" s="16">
        <v>47</v>
      </c>
      <c r="E6731" s="17">
        <v>945.86</v>
      </c>
      <c r="F6731" s="16">
        <v>0.1</v>
      </c>
      <c r="G6731" s="15" t="s">
        <v>32</v>
      </c>
      <c r="H6731" s="18">
        <v>31.59</v>
      </c>
      <c r="I6731" s="19">
        <v>22.01</v>
      </c>
      <c r="J6731" s="19">
        <v>5.53</v>
      </c>
      <c r="K6731" s="19" t="s">
        <v>33</v>
      </c>
      <c r="L6731" s="19" t="s">
        <v>59</v>
      </c>
      <c r="M6731" s="15" t="s">
        <v>2269</v>
      </c>
      <c r="N6731" s="15" t="s">
        <v>36</v>
      </c>
      <c r="O6731" s="15" t="s">
        <v>77</v>
      </c>
      <c r="P6731" s="20" t="s">
        <v>232</v>
      </c>
      <c r="Q6731" s="15" t="s">
        <v>49</v>
      </c>
      <c r="R6731" s="4"/>
      <c r="S6731" s="4"/>
    </row>
    <row r="6732" spans="1:19" ht="21" customHeight="1" x14ac:dyDescent="0.25">
      <c r="A6732" s="14">
        <f>DATE(2012,12,31)-1266</f>
        <v>40008</v>
      </c>
      <c r="B6732" s="15" t="s">
        <v>992</v>
      </c>
      <c r="C6732" s="15" t="s">
        <v>43</v>
      </c>
      <c r="D6732" s="16">
        <v>12</v>
      </c>
      <c r="E6732" s="17">
        <v>2340.5040000000004</v>
      </c>
      <c r="F6732" s="16">
        <v>0.04</v>
      </c>
      <c r="G6732" s="15" t="s">
        <v>58</v>
      </c>
      <c r="H6732" s="18">
        <v>243.16</v>
      </c>
      <c r="I6732" s="19">
        <v>236.97</v>
      </c>
      <c r="J6732" s="19">
        <v>59.24</v>
      </c>
      <c r="K6732" s="19" t="s">
        <v>33</v>
      </c>
      <c r="L6732" s="19" t="s">
        <v>145</v>
      </c>
      <c r="M6732" s="15" t="s">
        <v>2313</v>
      </c>
      <c r="N6732" s="15" t="s">
        <v>54</v>
      </c>
      <c r="O6732" s="15" t="s">
        <v>61</v>
      </c>
      <c r="P6732" s="20" t="s">
        <v>445</v>
      </c>
      <c r="Q6732" s="15" t="s">
        <v>63</v>
      </c>
      <c r="R6732" s="4"/>
      <c r="S6732" s="4"/>
    </row>
    <row r="6733" spans="1:19" ht="21" customHeight="1" x14ac:dyDescent="0.25">
      <c r="A6733" s="14">
        <f>DATE(2012,12,31)-1371</f>
        <v>39903</v>
      </c>
      <c r="B6733" s="15" t="s">
        <v>1278</v>
      </c>
      <c r="C6733" s="15" t="s">
        <v>85</v>
      </c>
      <c r="D6733" s="16">
        <v>8</v>
      </c>
      <c r="E6733" s="17">
        <v>155.92400000000001</v>
      </c>
      <c r="F6733" s="16">
        <v>0.09</v>
      </c>
      <c r="G6733" s="15" t="s">
        <v>101</v>
      </c>
      <c r="H6733" s="18">
        <v>-63.118000000000002</v>
      </c>
      <c r="I6733" s="19">
        <v>20.99</v>
      </c>
      <c r="J6733" s="19">
        <v>4.8099999999999996</v>
      </c>
      <c r="K6733" s="19" t="s">
        <v>33</v>
      </c>
      <c r="L6733" s="19" t="s">
        <v>145</v>
      </c>
      <c r="M6733" s="15" t="s">
        <v>2313</v>
      </c>
      <c r="N6733" s="15" t="s">
        <v>64</v>
      </c>
      <c r="O6733" s="15" t="s">
        <v>65</v>
      </c>
      <c r="P6733" s="20" t="s">
        <v>477</v>
      </c>
      <c r="Q6733" s="15" t="s">
        <v>57</v>
      </c>
      <c r="R6733" s="4"/>
      <c r="S6733" s="4"/>
    </row>
    <row r="6734" spans="1:19" ht="21" customHeight="1" x14ac:dyDescent="0.25">
      <c r="A6734" s="14">
        <f>DATE(2012,12,31)-185</f>
        <v>41089</v>
      </c>
      <c r="B6734" s="15" t="s">
        <v>390</v>
      </c>
      <c r="C6734" s="15" t="s">
        <v>31</v>
      </c>
      <c r="D6734" s="16">
        <v>31</v>
      </c>
      <c r="E6734" s="17">
        <v>3229.66</v>
      </c>
      <c r="F6734" s="16">
        <v>0.05</v>
      </c>
      <c r="G6734" s="15" t="s">
        <v>101</v>
      </c>
      <c r="H6734" s="18">
        <v>695.06099999999992</v>
      </c>
      <c r="I6734" s="19">
        <v>125.99</v>
      </c>
      <c r="J6734" s="19">
        <v>3</v>
      </c>
      <c r="K6734" s="19" t="s">
        <v>33</v>
      </c>
      <c r="L6734" s="19" t="s">
        <v>34</v>
      </c>
      <c r="M6734" s="15" t="s">
        <v>2315</v>
      </c>
      <c r="N6734" s="15" t="s">
        <v>64</v>
      </c>
      <c r="O6734" s="15" t="s">
        <v>65</v>
      </c>
      <c r="P6734" s="20" t="s">
        <v>597</v>
      </c>
      <c r="Q6734" s="15" t="s">
        <v>83</v>
      </c>
      <c r="R6734" s="4"/>
      <c r="S6734" s="4"/>
    </row>
    <row r="6735" spans="1:19" ht="21" customHeight="1" x14ac:dyDescent="0.25">
      <c r="A6735" s="14">
        <f>DATE(2012,12,31)-185</f>
        <v>41089</v>
      </c>
      <c r="B6735" s="15" t="s">
        <v>390</v>
      </c>
      <c r="C6735" s="15" t="s">
        <v>31</v>
      </c>
      <c r="D6735" s="16">
        <v>24</v>
      </c>
      <c r="E6735" s="17">
        <v>4010.9375</v>
      </c>
      <c r="F6735" s="16">
        <v>0</v>
      </c>
      <c r="G6735" s="15" t="s">
        <v>101</v>
      </c>
      <c r="H6735" s="18">
        <v>630.702</v>
      </c>
      <c r="I6735" s="19">
        <v>195.99</v>
      </c>
      <c r="J6735" s="19">
        <v>8.99</v>
      </c>
      <c r="K6735" s="19" t="s">
        <v>97</v>
      </c>
      <c r="L6735" s="19" t="s">
        <v>195</v>
      </c>
      <c r="M6735" s="15" t="s">
        <v>2138</v>
      </c>
      <c r="N6735" s="15" t="s">
        <v>64</v>
      </c>
      <c r="O6735" s="15" t="s">
        <v>65</v>
      </c>
      <c r="P6735" s="20" t="s">
        <v>986</v>
      </c>
      <c r="Q6735" s="15" t="s">
        <v>83</v>
      </c>
      <c r="R6735" s="4"/>
      <c r="S6735" s="4"/>
    </row>
    <row r="6736" spans="1:19" ht="21" customHeight="1" x14ac:dyDescent="0.25">
      <c r="A6736" s="14">
        <f>DATE(2012,12,31)-669</f>
        <v>40605</v>
      </c>
      <c r="B6736" s="15" t="s">
        <v>390</v>
      </c>
      <c r="C6736" s="15" t="s">
        <v>31</v>
      </c>
      <c r="D6736" s="16">
        <v>1</v>
      </c>
      <c r="E6736" s="17">
        <v>22.74</v>
      </c>
      <c r="F6736" s="16">
        <v>0.03</v>
      </c>
      <c r="G6736" s="15" t="s">
        <v>101</v>
      </c>
      <c r="H6736" s="18">
        <v>-13.59</v>
      </c>
      <c r="I6736" s="19">
        <v>12.64</v>
      </c>
      <c r="J6736" s="19">
        <v>4.9800000000000004</v>
      </c>
      <c r="K6736" s="19" t="s">
        <v>69</v>
      </c>
      <c r="L6736" s="19" t="s">
        <v>75</v>
      </c>
      <c r="M6736" s="15" t="s">
        <v>2284</v>
      </c>
      <c r="N6736" s="15" t="s">
        <v>54</v>
      </c>
      <c r="O6736" s="15" t="s">
        <v>55</v>
      </c>
      <c r="P6736" s="20" t="s">
        <v>860</v>
      </c>
      <c r="Q6736" s="15" t="s">
        <v>49</v>
      </c>
      <c r="R6736" s="4"/>
      <c r="S6736" s="4"/>
    </row>
    <row r="6737" spans="1:19" ht="21" customHeight="1" x14ac:dyDescent="0.25">
      <c r="A6737" s="14">
        <f>DATE(2012,12,31)-1298</f>
        <v>39976</v>
      </c>
      <c r="B6737" s="15" t="s">
        <v>481</v>
      </c>
      <c r="C6737" s="15" t="s">
        <v>51</v>
      </c>
      <c r="D6737" s="16">
        <v>3</v>
      </c>
      <c r="E6737" s="17">
        <v>34.229999999999997</v>
      </c>
      <c r="F6737" s="16">
        <v>0.02</v>
      </c>
      <c r="G6737" s="15" t="s">
        <v>101</v>
      </c>
      <c r="H6737" s="18">
        <v>-9.5</v>
      </c>
      <c r="I6737" s="19">
        <v>6.48</v>
      </c>
      <c r="J6737" s="19">
        <v>7.86</v>
      </c>
      <c r="K6737" s="19" t="s">
        <v>69</v>
      </c>
      <c r="L6737" s="19" t="s">
        <v>75</v>
      </c>
      <c r="M6737" s="15" t="s">
        <v>2284</v>
      </c>
      <c r="N6737" s="15" t="s">
        <v>36</v>
      </c>
      <c r="O6737" s="15" t="s">
        <v>117</v>
      </c>
      <c r="P6737" s="20" t="s">
        <v>1429</v>
      </c>
      <c r="Q6737" s="15" t="s">
        <v>83</v>
      </c>
      <c r="R6737" s="4"/>
      <c r="S6737" s="4"/>
    </row>
    <row r="6738" spans="1:19" ht="21" customHeight="1" x14ac:dyDescent="0.25">
      <c r="A6738" s="14">
        <f>DATE(2012,12,31)-1298</f>
        <v>39976</v>
      </c>
      <c r="B6738" s="15" t="s">
        <v>481</v>
      </c>
      <c r="C6738" s="15" t="s">
        <v>51</v>
      </c>
      <c r="D6738" s="16">
        <v>22</v>
      </c>
      <c r="E6738" s="17">
        <v>383.33</v>
      </c>
      <c r="F6738" s="16">
        <v>0.03</v>
      </c>
      <c r="G6738" s="15" t="s">
        <v>32</v>
      </c>
      <c r="H6738" s="18">
        <v>27.62</v>
      </c>
      <c r="I6738" s="19">
        <v>17.07</v>
      </c>
      <c r="J6738" s="19">
        <v>8.1300000000000008</v>
      </c>
      <c r="K6738" s="19" t="s">
        <v>69</v>
      </c>
      <c r="L6738" s="19" t="s">
        <v>70</v>
      </c>
      <c r="M6738" s="15" t="s">
        <v>2230</v>
      </c>
      <c r="N6738" s="15" t="s">
        <v>36</v>
      </c>
      <c r="O6738" s="15" t="s">
        <v>189</v>
      </c>
      <c r="P6738" s="20" t="s">
        <v>755</v>
      </c>
      <c r="Q6738" s="15" t="s">
        <v>83</v>
      </c>
      <c r="R6738" s="4"/>
      <c r="S6738" s="4"/>
    </row>
    <row r="6739" spans="1:19" ht="21" customHeight="1" x14ac:dyDescent="0.25">
      <c r="A6739" s="14">
        <f>DATE(2012,12,31)-476</f>
        <v>40798</v>
      </c>
      <c r="B6739" s="15" t="s">
        <v>1876</v>
      </c>
      <c r="C6739" s="15" t="s">
        <v>51</v>
      </c>
      <c r="D6739" s="16">
        <v>4</v>
      </c>
      <c r="E6739" s="17">
        <v>108.87</v>
      </c>
      <c r="F6739" s="16">
        <v>0.05</v>
      </c>
      <c r="G6739" s="15" t="s">
        <v>32</v>
      </c>
      <c r="H6739" s="18">
        <v>-39.92</v>
      </c>
      <c r="I6739" s="19">
        <v>22.84</v>
      </c>
      <c r="J6739" s="19">
        <v>16.87</v>
      </c>
      <c r="K6739" s="19" t="s">
        <v>69</v>
      </c>
      <c r="L6739" s="19" t="s">
        <v>70</v>
      </c>
      <c r="M6739" s="15" t="s">
        <v>2230</v>
      </c>
      <c r="N6739" s="15" t="s">
        <v>36</v>
      </c>
      <c r="O6739" s="15" t="s">
        <v>117</v>
      </c>
      <c r="P6739" s="20" t="s">
        <v>1734</v>
      </c>
      <c r="Q6739" s="15" t="s">
        <v>83</v>
      </c>
      <c r="R6739" s="4"/>
      <c r="S6739" s="4"/>
    </row>
    <row r="6740" spans="1:19" ht="21" customHeight="1" x14ac:dyDescent="0.25">
      <c r="A6740" s="14">
        <f>DATE(2012,12,31)-264</f>
        <v>41010</v>
      </c>
      <c r="B6740" s="15" t="s">
        <v>1916</v>
      </c>
      <c r="C6740" s="15" t="s">
        <v>85</v>
      </c>
      <c r="D6740" s="16">
        <v>5</v>
      </c>
      <c r="E6740" s="17">
        <v>2600.44</v>
      </c>
      <c r="F6740" s="16">
        <v>0.03</v>
      </c>
      <c r="G6740" s="15" t="s">
        <v>101</v>
      </c>
      <c r="H6740" s="18">
        <v>-921.94</v>
      </c>
      <c r="I6740" s="19">
        <v>499.99</v>
      </c>
      <c r="J6740" s="19">
        <v>24.49</v>
      </c>
      <c r="K6740" s="19" t="s">
        <v>69</v>
      </c>
      <c r="L6740" s="19" t="s">
        <v>75</v>
      </c>
      <c r="M6740" s="15" t="s">
        <v>2284</v>
      </c>
      <c r="N6740" s="15" t="s">
        <v>64</v>
      </c>
      <c r="O6740" s="15" t="s">
        <v>460</v>
      </c>
      <c r="P6740" s="20" t="s">
        <v>771</v>
      </c>
      <c r="Q6740" s="15" t="s">
        <v>39</v>
      </c>
      <c r="R6740" s="4"/>
      <c r="S6740" s="4"/>
    </row>
    <row r="6741" spans="1:19" ht="21" customHeight="1" x14ac:dyDescent="0.25">
      <c r="A6741" s="14">
        <f>DATE(2012,12,31)-1352</f>
        <v>39922</v>
      </c>
      <c r="B6741" s="15" t="s">
        <v>448</v>
      </c>
      <c r="C6741" s="15" t="s">
        <v>51</v>
      </c>
      <c r="D6741" s="16">
        <v>20</v>
      </c>
      <c r="E6741" s="17">
        <v>3960.99</v>
      </c>
      <c r="F6741" s="16">
        <v>0.09</v>
      </c>
      <c r="G6741" s="15" t="s">
        <v>101</v>
      </c>
      <c r="H6741" s="18">
        <v>631.33000000000004</v>
      </c>
      <c r="I6741" s="19">
        <v>199.99</v>
      </c>
      <c r="J6741" s="19">
        <v>24.49</v>
      </c>
      <c r="K6741" s="19" t="s">
        <v>69</v>
      </c>
      <c r="L6741" s="19" t="s">
        <v>70</v>
      </c>
      <c r="M6741" s="15" t="s">
        <v>2230</v>
      </c>
      <c r="N6741" s="15" t="s">
        <v>64</v>
      </c>
      <c r="O6741" s="15" t="s">
        <v>460</v>
      </c>
      <c r="P6741" s="20" t="s">
        <v>422</v>
      </c>
      <c r="Q6741" s="15" t="s">
        <v>39</v>
      </c>
      <c r="R6741" s="4"/>
      <c r="S6741" s="4"/>
    </row>
    <row r="6742" spans="1:19" ht="21" customHeight="1" x14ac:dyDescent="0.25">
      <c r="A6742" s="14">
        <f>DATE(2012,12,31)-1352</f>
        <v>39922</v>
      </c>
      <c r="B6742" s="15" t="s">
        <v>2057</v>
      </c>
      <c r="C6742" s="15" t="s">
        <v>51</v>
      </c>
      <c r="D6742" s="16">
        <v>40</v>
      </c>
      <c r="E6742" s="17">
        <v>750.14</v>
      </c>
      <c r="F6742" s="16">
        <v>0.02</v>
      </c>
      <c r="G6742" s="15" t="s">
        <v>32</v>
      </c>
      <c r="H6742" s="18">
        <v>93.68</v>
      </c>
      <c r="I6742" s="19">
        <v>17.670000000000002</v>
      </c>
      <c r="J6742" s="19">
        <v>8.99</v>
      </c>
      <c r="K6742" s="19" t="s">
        <v>69</v>
      </c>
      <c r="L6742" s="19" t="s">
        <v>75</v>
      </c>
      <c r="M6742" s="15" t="s">
        <v>2284</v>
      </c>
      <c r="N6742" s="15" t="s">
        <v>54</v>
      </c>
      <c r="O6742" s="15" t="s">
        <v>55</v>
      </c>
      <c r="P6742" s="20" t="s">
        <v>1262</v>
      </c>
      <c r="Q6742" s="15" t="s">
        <v>49</v>
      </c>
      <c r="R6742" s="4"/>
      <c r="S6742" s="4"/>
    </row>
    <row r="6743" spans="1:19" ht="21" customHeight="1" x14ac:dyDescent="0.25">
      <c r="A6743" s="14">
        <f>DATE(2012,12,31)-588</f>
        <v>40686</v>
      </c>
      <c r="B6743" s="15" t="s">
        <v>1282</v>
      </c>
      <c r="C6743" s="15" t="s">
        <v>43</v>
      </c>
      <c r="D6743" s="16">
        <v>16</v>
      </c>
      <c r="E6743" s="17">
        <v>139.69</v>
      </c>
      <c r="F6743" s="16">
        <v>0.01</v>
      </c>
      <c r="G6743" s="15" t="s">
        <v>32</v>
      </c>
      <c r="H6743" s="18">
        <v>-95.64</v>
      </c>
      <c r="I6743" s="19">
        <v>7.77</v>
      </c>
      <c r="J6743" s="19">
        <v>9.23</v>
      </c>
      <c r="K6743" s="19" t="s">
        <v>69</v>
      </c>
      <c r="L6743" s="19" t="s">
        <v>75</v>
      </c>
      <c r="M6743" s="15" t="s">
        <v>2284</v>
      </c>
      <c r="N6743" s="15" t="s">
        <v>36</v>
      </c>
      <c r="O6743" s="15" t="s">
        <v>176</v>
      </c>
      <c r="P6743" s="20" t="s">
        <v>618</v>
      </c>
      <c r="Q6743" s="15" t="s">
        <v>83</v>
      </c>
      <c r="R6743" s="4"/>
      <c r="S6743" s="4"/>
    </row>
    <row r="6744" spans="1:19" ht="21" customHeight="1" x14ac:dyDescent="0.25">
      <c r="A6744" s="14">
        <f>DATE(2012,12,31)-588</f>
        <v>40686</v>
      </c>
      <c r="B6744" s="15" t="s">
        <v>1282</v>
      </c>
      <c r="C6744" s="15" t="s">
        <v>43</v>
      </c>
      <c r="D6744" s="16">
        <v>39</v>
      </c>
      <c r="E6744" s="17">
        <v>6030.58</v>
      </c>
      <c r="F6744" s="16">
        <v>0.09</v>
      </c>
      <c r="G6744" s="15" t="s">
        <v>32</v>
      </c>
      <c r="H6744" s="18">
        <v>1197.855</v>
      </c>
      <c r="I6744" s="19">
        <v>195.99</v>
      </c>
      <c r="J6744" s="19">
        <v>8.99</v>
      </c>
      <c r="K6744" s="19" t="s">
        <v>69</v>
      </c>
      <c r="L6744" s="19" t="s">
        <v>75</v>
      </c>
      <c r="M6744" s="15" t="s">
        <v>2284</v>
      </c>
      <c r="N6744" s="15" t="s">
        <v>64</v>
      </c>
      <c r="O6744" s="15" t="s">
        <v>65</v>
      </c>
      <c r="P6744" s="20" t="s">
        <v>927</v>
      </c>
      <c r="Q6744" s="15" t="s">
        <v>83</v>
      </c>
      <c r="R6744" s="4"/>
      <c r="S6744" s="4"/>
    </row>
    <row r="6745" spans="1:19" ht="21" customHeight="1" x14ac:dyDescent="0.25">
      <c r="A6745" s="14">
        <f>DATE(2012,12,31)-429</f>
        <v>40845</v>
      </c>
      <c r="B6745" s="15" t="s">
        <v>1781</v>
      </c>
      <c r="C6745" s="15" t="s">
        <v>51</v>
      </c>
      <c r="D6745" s="16">
        <v>33</v>
      </c>
      <c r="E6745" s="17">
        <v>94.39</v>
      </c>
      <c r="F6745" s="16">
        <v>7.0000000000000007E-2</v>
      </c>
      <c r="G6745" s="15" t="s">
        <v>32</v>
      </c>
      <c r="H6745" s="18">
        <v>12.31</v>
      </c>
      <c r="I6745" s="19">
        <v>2.88</v>
      </c>
      <c r="J6745" s="19">
        <v>0.7</v>
      </c>
      <c r="K6745" s="19" t="s">
        <v>69</v>
      </c>
      <c r="L6745" s="19" t="s">
        <v>70</v>
      </c>
      <c r="M6745" s="15" t="s">
        <v>2230</v>
      </c>
      <c r="N6745" s="15" t="s">
        <v>36</v>
      </c>
      <c r="O6745" s="15" t="s">
        <v>77</v>
      </c>
      <c r="P6745" s="20" t="s">
        <v>1365</v>
      </c>
      <c r="Q6745" s="15" t="s">
        <v>79</v>
      </c>
      <c r="R6745" s="4"/>
      <c r="S6745" s="4"/>
    </row>
    <row r="6746" spans="1:19" ht="21" customHeight="1" x14ac:dyDescent="0.25">
      <c r="A6746" s="14">
        <f>DATE(2012,12,31)-787</f>
        <v>40487</v>
      </c>
      <c r="B6746" s="15" t="s">
        <v>1781</v>
      </c>
      <c r="C6746" s="15" t="s">
        <v>51</v>
      </c>
      <c r="D6746" s="16">
        <v>28</v>
      </c>
      <c r="E6746" s="17">
        <v>199.94</v>
      </c>
      <c r="F6746" s="16">
        <v>0.01</v>
      </c>
      <c r="G6746" s="15" t="s">
        <v>32</v>
      </c>
      <c r="H6746" s="18">
        <v>-147.27000000000001</v>
      </c>
      <c r="I6746" s="19">
        <v>6.48</v>
      </c>
      <c r="J6746" s="19">
        <v>9.5399999999999991</v>
      </c>
      <c r="K6746" s="19" t="s">
        <v>69</v>
      </c>
      <c r="L6746" s="19" t="s">
        <v>70</v>
      </c>
      <c r="M6746" s="15" t="s">
        <v>2230</v>
      </c>
      <c r="N6746" s="15" t="s">
        <v>36</v>
      </c>
      <c r="O6746" s="15" t="s">
        <v>117</v>
      </c>
      <c r="P6746" s="20" t="s">
        <v>795</v>
      </c>
      <c r="Q6746" s="15" t="s">
        <v>83</v>
      </c>
      <c r="R6746" s="4"/>
      <c r="S6746" s="4"/>
    </row>
    <row r="6747" spans="1:19" ht="21" customHeight="1" x14ac:dyDescent="0.25">
      <c r="A6747" s="14">
        <f>DATE(2012,12,31)-1212</f>
        <v>40062</v>
      </c>
      <c r="B6747" s="15" t="s">
        <v>721</v>
      </c>
      <c r="C6747" s="15" t="s">
        <v>85</v>
      </c>
      <c r="D6747" s="16">
        <v>43</v>
      </c>
      <c r="E6747" s="17">
        <v>5041.46</v>
      </c>
      <c r="F6747" s="16">
        <v>0.06</v>
      </c>
      <c r="G6747" s="15" t="s">
        <v>58</v>
      </c>
      <c r="H6747" s="18">
        <v>-2136.66</v>
      </c>
      <c r="I6747" s="19">
        <v>122.99</v>
      </c>
      <c r="J6747" s="19">
        <v>70.2</v>
      </c>
      <c r="K6747" s="19" t="s">
        <v>69</v>
      </c>
      <c r="L6747" s="19" t="s">
        <v>75</v>
      </c>
      <c r="M6747" s="15" t="s">
        <v>2284</v>
      </c>
      <c r="N6747" s="15" t="s">
        <v>54</v>
      </c>
      <c r="O6747" s="15" t="s">
        <v>252</v>
      </c>
      <c r="P6747" s="20" t="s">
        <v>709</v>
      </c>
      <c r="Q6747" s="15" t="s">
        <v>181</v>
      </c>
      <c r="R6747" s="4"/>
      <c r="S6747" s="4"/>
    </row>
    <row r="6748" spans="1:19" ht="21" customHeight="1" x14ac:dyDescent="0.25">
      <c r="A6748" s="14">
        <f>DATE(2012,12,31)-1212</f>
        <v>40062</v>
      </c>
      <c r="B6748" s="15" t="s">
        <v>721</v>
      </c>
      <c r="C6748" s="15" t="s">
        <v>85</v>
      </c>
      <c r="D6748" s="16">
        <v>45</v>
      </c>
      <c r="E6748" s="17">
        <v>282.98</v>
      </c>
      <c r="F6748" s="16">
        <v>0.06</v>
      </c>
      <c r="G6748" s="15" t="s">
        <v>32</v>
      </c>
      <c r="H6748" s="18">
        <v>-237.47</v>
      </c>
      <c r="I6748" s="19">
        <v>6.48</v>
      </c>
      <c r="J6748" s="19">
        <v>8.8800000000000008</v>
      </c>
      <c r="K6748" s="19" t="s">
        <v>69</v>
      </c>
      <c r="L6748" s="19" t="s">
        <v>215</v>
      </c>
      <c r="M6748" s="15" t="s">
        <v>2322</v>
      </c>
      <c r="N6748" s="15" t="s">
        <v>36</v>
      </c>
      <c r="O6748" s="15" t="s">
        <v>117</v>
      </c>
      <c r="P6748" s="20" t="s">
        <v>2049</v>
      </c>
      <c r="Q6748" s="15" t="s">
        <v>83</v>
      </c>
      <c r="R6748" s="4"/>
      <c r="S6748" s="4"/>
    </row>
    <row r="6749" spans="1:19" ht="21" customHeight="1" x14ac:dyDescent="0.25">
      <c r="A6749" s="14">
        <f>DATE(2012,12,31)-1212</f>
        <v>40062</v>
      </c>
      <c r="B6749" s="15" t="s">
        <v>50</v>
      </c>
      <c r="C6749" s="15" t="s">
        <v>85</v>
      </c>
      <c r="D6749" s="16">
        <v>27</v>
      </c>
      <c r="E6749" s="17">
        <v>8817.7099999999991</v>
      </c>
      <c r="F6749" s="16">
        <v>0.09</v>
      </c>
      <c r="G6749" s="15" t="s">
        <v>58</v>
      </c>
      <c r="H6749" s="18">
        <v>-2946.0509999999999</v>
      </c>
      <c r="I6749" s="19">
        <v>349.45</v>
      </c>
      <c r="J6749" s="19">
        <v>60</v>
      </c>
      <c r="K6749" s="19" t="s">
        <v>69</v>
      </c>
      <c r="L6749" s="19" t="s">
        <v>215</v>
      </c>
      <c r="M6749" s="15" t="s">
        <v>2322</v>
      </c>
      <c r="N6749" s="15" t="s">
        <v>54</v>
      </c>
      <c r="O6749" s="15" t="s">
        <v>61</v>
      </c>
      <c r="P6749" s="20" t="s">
        <v>654</v>
      </c>
      <c r="Q6749" s="15" t="s">
        <v>181</v>
      </c>
      <c r="R6749" s="4"/>
      <c r="S6749" s="4"/>
    </row>
    <row r="6750" spans="1:19" ht="21" customHeight="1" x14ac:dyDescent="0.25">
      <c r="A6750" s="14">
        <f>DATE(2012,12,31)-1111</f>
        <v>40163</v>
      </c>
      <c r="B6750" s="15" t="s">
        <v>633</v>
      </c>
      <c r="C6750" s="15" t="s">
        <v>85</v>
      </c>
      <c r="D6750" s="16">
        <v>15</v>
      </c>
      <c r="E6750" s="17">
        <v>2277.67</v>
      </c>
      <c r="F6750" s="16">
        <v>0</v>
      </c>
      <c r="G6750" s="15" t="s">
        <v>58</v>
      </c>
      <c r="H6750" s="18">
        <v>-173.96</v>
      </c>
      <c r="I6750" s="19">
        <v>140.97999999999999</v>
      </c>
      <c r="J6750" s="19">
        <v>36.090000000000003</v>
      </c>
      <c r="K6750" s="19" t="s">
        <v>69</v>
      </c>
      <c r="L6750" s="19" t="s">
        <v>215</v>
      </c>
      <c r="M6750" s="15" t="s">
        <v>2322</v>
      </c>
      <c r="N6750" s="15" t="s">
        <v>54</v>
      </c>
      <c r="O6750" s="15" t="s">
        <v>134</v>
      </c>
      <c r="P6750" s="20" t="s">
        <v>601</v>
      </c>
      <c r="Q6750" s="15" t="s">
        <v>63</v>
      </c>
      <c r="R6750" s="4"/>
      <c r="S6750" s="4"/>
    </row>
    <row r="6751" spans="1:19" ht="21" customHeight="1" x14ac:dyDescent="0.25">
      <c r="A6751" s="14">
        <f>DATE(2012,12,31)-765</f>
        <v>40509</v>
      </c>
      <c r="B6751" s="15" t="s">
        <v>633</v>
      </c>
      <c r="C6751" s="15" t="s">
        <v>43</v>
      </c>
      <c r="D6751" s="16">
        <v>35</v>
      </c>
      <c r="E6751" s="17">
        <v>3337.5164999999997</v>
      </c>
      <c r="F6751" s="16">
        <v>7.0000000000000007E-2</v>
      </c>
      <c r="G6751" s="15" t="s">
        <v>32</v>
      </c>
      <c r="H6751" s="18">
        <v>850.53599999999994</v>
      </c>
      <c r="I6751" s="19">
        <v>115.99</v>
      </c>
      <c r="J6751" s="19">
        <v>2.5</v>
      </c>
      <c r="K6751" s="19" t="s">
        <v>69</v>
      </c>
      <c r="L6751" s="19" t="s">
        <v>215</v>
      </c>
      <c r="M6751" s="15" t="s">
        <v>2322</v>
      </c>
      <c r="N6751" s="15" t="s">
        <v>64</v>
      </c>
      <c r="O6751" s="15" t="s">
        <v>65</v>
      </c>
      <c r="P6751" s="20" t="s">
        <v>387</v>
      </c>
      <c r="Q6751" s="15" t="s">
        <v>83</v>
      </c>
      <c r="R6751" s="4"/>
      <c r="S6751" s="4"/>
    </row>
    <row r="6752" spans="1:19" ht="21" customHeight="1" x14ac:dyDescent="0.25">
      <c r="A6752" s="14">
        <f>DATE(2012,12,31)-765</f>
        <v>40509</v>
      </c>
      <c r="B6752" s="15" t="s">
        <v>2180</v>
      </c>
      <c r="C6752" s="15" t="s">
        <v>43</v>
      </c>
      <c r="D6752" s="16">
        <v>35</v>
      </c>
      <c r="E6752" s="17">
        <v>1018.4019999999999</v>
      </c>
      <c r="F6752" s="16">
        <v>0.09</v>
      </c>
      <c r="G6752" s="15" t="s">
        <v>32</v>
      </c>
      <c r="H6752" s="18">
        <v>296.86500000000001</v>
      </c>
      <c r="I6752" s="19">
        <v>35.99</v>
      </c>
      <c r="J6752" s="19">
        <v>5.99</v>
      </c>
      <c r="K6752" s="19" t="s">
        <v>69</v>
      </c>
      <c r="L6752" s="19" t="s">
        <v>215</v>
      </c>
      <c r="M6752" s="15" t="s">
        <v>2322</v>
      </c>
      <c r="N6752" s="15" t="s">
        <v>64</v>
      </c>
      <c r="O6752" s="15" t="s">
        <v>65</v>
      </c>
      <c r="P6752" s="20" t="s">
        <v>166</v>
      </c>
      <c r="Q6752" s="15" t="s">
        <v>79</v>
      </c>
      <c r="R6752" s="4"/>
      <c r="S6752" s="4"/>
    </row>
    <row r="6753" spans="1:19" ht="21" customHeight="1" x14ac:dyDescent="0.25">
      <c r="A6753" s="14">
        <f>DATE(2012,12,31)-765</f>
        <v>40509</v>
      </c>
      <c r="B6753" s="15" t="s">
        <v>854</v>
      </c>
      <c r="C6753" s="15" t="s">
        <v>43</v>
      </c>
      <c r="D6753" s="16">
        <v>47</v>
      </c>
      <c r="E6753" s="17">
        <v>2679.1234999999997</v>
      </c>
      <c r="F6753" s="16">
        <v>0.01</v>
      </c>
      <c r="G6753" s="15" t="s">
        <v>32</v>
      </c>
      <c r="H6753" s="18">
        <v>47.277000000000001</v>
      </c>
      <c r="I6753" s="19">
        <v>65.989999999999995</v>
      </c>
      <c r="J6753" s="19">
        <v>19.989999999999998</v>
      </c>
      <c r="K6753" s="19" t="s">
        <v>69</v>
      </c>
      <c r="L6753" s="19" t="s">
        <v>215</v>
      </c>
      <c r="M6753" s="15" t="s">
        <v>2322</v>
      </c>
      <c r="N6753" s="15" t="s">
        <v>64</v>
      </c>
      <c r="O6753" s="15" t="s">
        <v>65</v>
      </c>
      <c r="P6753" s="20" t="s">
        <v>912</v>
      </c>
      <c r="Q6753" s="15" t="s">
        <v>83</v>
      </c>
      <c r="R6753" s="4"/>
      <c r="S6753" s="4"/>
    </row>
    <row r="6754" spans="1:19" ht="21" customHeight="1" x14ac:dyDescent="0.25">
      <c r="A6754" s="14">
        <f>DATE(2012,12,31)-240</f>
        <v>41034</v>
      </c>
      <c r="B6754" s="15" t="s">
        <v>854</v>
      </c>
      <c r="C6754" s="15" t="s">
        <v>43</v>
      </c>
      <c r="D6754" s="16">
        <v>32</v>
      </c>
      <c r="E6754" s="17">
        <v>1282.49</v>
      </c>
      <c r="F6754" s="16">
        <v>7.0000000000000007E-2</v>
      </c>
      <c r="G6754" s="15" t="s">
        <v>32</v>
      </c>
      <c r="H6754" s="18">
        <v>154.74</v>
      </c>
      <c r="I6754" s="19">
        <v>40.97</v>
      </c>
      <c r="J6754" s="19">
        <v>14.45</v>
      </c>
      <c r="K6754" s="19" t="s">
        <v>69</v>
      </c>
      <c r="L6754" s="19" t="s">
        <v>75</v>
      </c>
      <c r="M6754" s="15" t="s">
        <v>2284</v>
      </c>
      <c r="N6754" s="15" t="s">
        <v>54</v>
      </c>
      <c r="O6754" s="15" t="s">
        <v>55</v>
      </c>
      <c r="P6754" s="20" t="s">
        <v>2004</v>
      </c>
      <c r="Q6754" s="15" t="s">
        <v>39</v>
      </c>
      <c r="R6754" s="4"/>
      <c r="S6754" s="4"/>
    </row>
    <row r="6755" spans="1:19" ht="21" customHeight="1" x14ac:dyDescent="0.25">
      <c r="A6755" s="14">
        <f>DATE(2012,12,31)-1137</f>
        <v>40137</v>
      </c>
      <c r="B6755" s="15" t="s">
        <v>1994</v>
      </c>
      <c r="C6755" s="15" t="s">
        <v>85</v>
      </c>
      <c r="D6755" s="16">
        <v>7</v>
      </c>
      <c r="E6755" s="17">
        <v>2813.34</v>
      </c>
      <c r="F6755" s="16">
        <v>0.1</v>
      </c>
      <c r="G6755" s="15" t="s">
        <v>58</v>
      </c>
      <c r="H6755" s="18">
        <v>-688.4396999999999</v>
      </c>
      <c r="I6755" s="19">
        <v>442.14</v>
      </c>
      <c r="J6755" s="19">
        <v>14.7</v>
      </c>
      <c r="K6755" s="19" t="s">
        <v>111</v>
      </c>
      <c r="L6755" s="19" t="s">
        <v>407</v>
      </c>
      <c r="M6755" s="15" t="s">
        <v>407</v>
      </c>
      <c r="N6755" s="15" t="s">
        <v>64</v>
      </c>
      <c r="O6755" s="15" t="s">
        <v>122</v>
      </c>
      <c r="P6755" s="20" t="s">
        <v>1848</v>
      </c>
      <c r="Q6755" s="15" t="s">
        <v>181</v>
      </c>
      <c r="R6755" s="4"/>
      <c r="S6755" s="4"/>
    </row>
    <row r="6756" spans="1:19" ht="21" customHeight="1" x14ac:dyDescent="0.25">
      <c r="A6756" s="14">
        <f>DATE(2012,12,31)-1137</f>
        <v>40137</v>
      </c>
      <c r="B6756" s="15" t="s">
        <v>311</v>
      </c>
      <c r="C6756" s="15" t="s">
        <v>85</v>
      </c>
      <c r="D6756" s="16">
        <v>45</v>
      </c>
      <c r="E6756" s="17">
        <v>2682.8</v>
      </c>
      <c r="F6756" s="16">
        <v>0.01</v>
      </c>
      <c r="G6756" s="15" t="s">
        <v>32</v>
      </c>
      <c r="H6756" s="18">
        <v>860.22</v>
      </c>
      <c r="I6756" s="19">
        <v>60.22</v>
      </c>
      <c r="J6756" s="19">
        <v>3.5</v>
      </c>
      <c r="K6756" s="19" t="s">
        <v>111</v>
      </c>
      <c r="L6756" s="19" t="s">
        <v>442</v>
      </c>
      <c r="M6756" s="15" t="s">
        <v>2304</v>
      </c>
      <c r="N6756" s="15" t="s">
        <v>36</v>
      </c>
      <c r="O6756" s="15" t="s">
        <v>176</v>
      </c>
      <c r="P6756" s="20" t="s">
        <v>1118</v>
      </c>
      <c r="Q6756" s="15" t="s">
        <v>83</v>
      </c>
      <c r="R6756" s="4"/>
      <c r="S6756" s="4"/>
    </row>
    <row r="6757" spans="1:19" ht="21" customHeight="1" x14ac:dyDescent="0.25">
      <c r="A6757" s="14">
        <f>DATE(2012,12,31)-1443</f>
        <v>39831</v>
      </c>
      <c r="B6757" s="15" t="s">
        <v>764</v>
      </c>
      <c r="C6757" s="15" t="s">
        <v>43</v>
      </c>
      <c r="D6757" s="16">
        <v>47</v>
      </c>
      <c r="E6757" s="17">
        <v>672.46</v>
      </c>
      <c r="F6757" s="16">
        <v>0.1</v>
      </c>
      <c r="G6757" s="15" t="s">
        <v>32</v>
      </c>
      <c r="H6757" s="18">
        <v>279.74</v>
      </c>
      <c r="I6757" s="19">
        <v>15.74</v>
      </c>
      <c r="J6757" s="19">
        <v>1.39</v>
      </c>
      <c r="K6757" s="19" t="s">
        <v>44</v>
      </c>
      <c r="L6757" s="19" t="s">
        <v>89</v>
      </c>
      <c r="M6757" s="15" t="s">
        <v>2305</v>
      </c>
      <c r="N6757" s="15" t="s">
        <v>36</v>
      </c>
      <c r="O6757" s="15" t="s">
        <v>189</v>
      </c>
      <c r="P6757" s="20" t="s">
        <v>1967</v>
      </c>
      <c r="Q6757" s="15" t="s">
        <v>83</v>
      </c>
      <c r="R6757" s="4"/>
      <c r="S6757" s="4"/>
    </row>
    <row r="6758" spans="1:19" ht="21" customHeight="1" x14ac:dyDescent="0.25">
      <c r="A6758" s="14">
        <f>DATE(2012,12,31)-1455</f>
        <v>39819</v>
      </c>
      <c r="B6758" s="15" t="s">
        <v>764</v>
      </c>
      <c r="C6758" s="15" t="s">
        <v>31</v>
      </c>
      <c r="D6758" s="16">
        <v>23</v>
      </c>
      <c r="E6758" s="17">
        <v>2357.4499999999998</v>
      </c>
      <c r="F6758" s="16">
        <v>0.02</v>
      </c>
      <c r="G6758" s="15" t="s">
        <v>58</v>
      </c>
      <c r="H6758" s="18">
        <v>-108.8</v>
      </c>
      <c r="I6758" s="19">
        <v>100.98</v>
      </c>
      <c r="J6758" s="19">
        <v>35.840000000000003</v>
      </c>
      <c r="K6758" s="19" t="s">
        <v>44</v>
      </c>
      <c r="L6758" s="19" t="s">
        <v>89</v>
      </c>
      <c r="M6758" s="15" t="s">
        <v>2305</v>
      </c>
      <c r="N6758" s="15" t="s">
        <v>54</v>
      </c>
      <c r="O6758" s="15" t="s">
        <v>134</v>
      </c>
      <c r="P6758" s="20" t="s">
        <v>458</v>
      </c>
      <c r="Q6758" s="15" t="s">
        <v>63</v>
      </c>
      <c r="R6758" s="4"/>
      <c r="S6758" s="4"/>
    </row>
    <row r="6759" spans="1:19" ht="21" customHeight="1" x14ac:dyDescent="0.25">
      <c r="A6759" s="14">
        <f>DATE(2012,12,31)-1405</f>
        <v>39869</v>
      </c>
      <c r="B6759" s="15" t="s">
        <v>602</v>
      </c>
      <c r="C6759" s="15" t="s">
        <v>43</v>
      </c>
      <c r="D6759" s="16">
        <v>39</v>
      </c>
      <c r="E6759" s="17">
        <v>1140.26</v>
      </c>
      <c r="F6759" s="16">
        <v>0.04</v>
      </c>
      <c r="G6759" s="15" t="s">
        <v>101</v>
      </c>
      <c r="H6759" s="18">
        <v>387.2</v>
      </c>
      <c r="I6759" s="19">
        <v>29.18</v>
      </c>
      <c r="J6759" s="19">
        <v>8.5500000000000007</v>
      </c>
      <c r="K6759" s="19" t="s">
        <v>44</v>
      </c>
      <c r="L6759" s="19" t="s">
        <v>45</v>
      </c>
      <c r="M6759" s="15" t="s">
        <v>2271</v>
      </c>
      <c r="N6759" s="15" t="s">
        <v>54</v>
      </c>
      <c r="O6759" s="15" t="s">
        <v>55</v>
      </c>
      <c r="P6759" s="20" t="s">
        <v>1365</v>
      </c>
      <c r="Q6759" s="15" t="s">
        <v>83</v>
      </c>
      <c r="R6759" s="4"/>
      <c r="S6759" s="4"/>
    </row>
    <row r="6760" spans="1:19" ht="21" customHeight="1" x14ac:dyDescent="0.25">
      <c r="A6760" s="14">
        <f>DATE(2012,12,31)-1405</f>
        <v>39869</v>
      </c>
      <c r="B6760" s="15" t="s">
        <v>602</v>
      </c>
      <c r="C6760" s="15" t="s">
        <v>43</v>
      </c>
      <c r="D6760" s="16">
        <v>31</v>
      </c>
      <c r="E6760" s="17">
        <v>2645.8</v>
      </c>
      <c r="F6760" s="16">
        <v>0</v>
      </c>
      <c r="G6760" s="15" t="s">
        <v>32</v>
      </c>
      <c r="H6760" s="18">
        <v>-684.78</v>
      </c>
      <c r="I6760" s="19">
        <v>80.98</v>
      </c>
      <c r="J6760" s="19">
        <v>35</v>
      </c>
      <c r="K6760" s="19" t="s">
        <v>44</v>
      </c>
      <c r="L6760" s="19" t="s">
        <v>120</v>
      </c>
      <c r="M6760" s="15" t="s">
        <v>2262</v>
      </c>
      <c r="N6760" s="15" t="s">
        <v>36</v>
      </c>
      <c r="O6760" s="15" t="s">
        <v>37</v>
      </c>
      <c r="P6760" s="20" t="s">
        <v>1527</v>
      </c>
      <c r="Q6760" s="15" t="s">
        <v>39</v>
      </c>
      <c r="R6760" s="4"/>
      <c r="S6760" s="4"/>
    </row>
    <row r="6761" spans="1:19" ht="21" customHeight="1" x14ac:dyDescent="0.25">
      <c r="A6761" s="14">
        <f>DATE(2012,12,31)-1349</f>
        <v>39925</v>
      </c>
      <c r="B6761" s="15" t="s">
        <v>908</v>
      </c>
      <c r="C6761" s="15" t="s">
        <v>31</v>
      </c>
      <c r="D6761" s="16">
        <v>45</v>
      </c>
      <c r="E6761" s="17">
        <v>221.06</v>
      </c>
      <c r="F6761" s="16">
        <v>0.02</v>
      </c>
      <c r="G6761" s="15" t="s">
        <v>32</v>
      </c>
      <c r="H6761" s="18">
        <v>-124.28049999999999</v>
      </c>
      <c r="I6761" s="19">
        <v>4.57</v>
      </c>
      <c r="J6761" s="19">
        <v>5.42</v>
      </c>
      <c r="K6761" s="19" t="s">
        <v>44</v>
      </c>
      <c r="L6761" s="19" t="s">
        <v>120</v>
      </c>
      <c r="M6761" s="15" t="s">
        <v>2262</v>
      </c>
      <c r="N6761" s="15" t="s">
        <v>36</v>
      </c>
      <c r="O6761" s="15" t="s">
        <v>170</v>
      </c>
      <c r="P6761" s="20" t="s">
        <v>95</v>
      </c>
      <c r="Q6761" s="15" t="s">
        <v>83</v>
      </c>
      <c r="R6761" s="4"/>
      <c r="S6761" s="4"/>
    </row>
    <row r="6762" spans="1:19" ht="21" customHeight="1" x14ac:dyDescent="0.25">
      <c r="A6762" s="14">
        <f>DATE(2012,12,31)-654</f>
        <v>40620</v>
      </c>
      <c r="B6762" s="15" t="s">
        <v>961</v>
      </c>
      <c r="C6762" s="15" t="s">
        <v>85</v>
      </c>
      <c r="D6762" s="16">
        <v>15</v>
      </c>
      <c r="E6762" s="17">
        <v>2130.66</v>
      </c>
      <c r="F6762" s="16">
        <v>0.01</v>
      </c>
      <c r="G6762" s="15" t="s">
        <v>58</v>
      </c>
      <c r="H6762" s="18">
        <v>-113.77</v>
      </c>
      <c r="I6762" s="19">
        <v>130.97999999999999</v>
      </c>
      <c r="J6762" s="19">
        <v>30</v>
      </c>
      <c r="K6762" s="19" t="s">
        <v>44</v>
      </c>
      <c r="L6762" s="19" t="s">
        <v>120</v>
      </c>
      <c r="M6762" s="15" t="s">
        <v>2262</v>
      </c>
      <c r="N6762" s="15" t="s">
        <v>54</v>
      </c>
      <c r="O6762" s="15" t="s">
        <v>252</v>
      </c>
      <c r="P6762" s="20" t="s">
        <v>684</v>
      </c>
      <c r="Q6762" s="15" t="s">
        <v>181</v>
      </c>
      <c r="R6762" s="4"/>
      <c r="S6762" s="4"/>
    </row>
    <row r="6763" spans="1:19" ht="21" customHeight="1" x14ac:dyDescent="0.25">
      <c r="A6763" s="14">
        <f>DATE(2012,12,31)-1028</f>
        <v>40246</v>
      </c>
      <c r="B6763" s="15" t="s">
        <v>398</v>
      </c>
      <c r="C6763" s="15" t="s">
        <v>85</v>
      </c>
      <c r="D6763" s="16">
        <v>28</v>
      </c>
      <c r="E6763" s="17">
        <v>164.22</v>
      </c>
      <c r="F6763" s="16">
        <v>0.1</v>
      </c>
      <c r="G6763" s="15" t="s">
        <v>32</v>
      </c>
      <c r="H6763" s="18">
        <v>-124.72</v>
      </c>
      <c r="I6763" s="19">
        <v>5.98</v>
      </c>
      <c r="J6763" s="19">
        <v>7.5</v>
      </c>
      <c r="K6763" s="19" t="s">
        <v>44</v>
      </c>
      <c r="L6763" s="19" t="s">
        <v>45</v>
      </c>
      <c r="M6763" s="15" t="s">
        <v>2271</v>
      </c>
      <c r="N6763" s="15" t="s">
        <v>36</v>
      </c>
      <c r="O6763" s="15" t="s">
        <v>117</v>
      </c>
      <c r="P6763" s="20" t="s">
        <v>819</v>
      </c>
      <c r="Q6763" s="15" t="s">
        <v>83</v>
      </c>
      <c r="R6763" s="4"/>
      <c r="S6763" s="4"/>
    </row>
    <row r="6764" spans="1:19" ht="21" customHeight="1" x14ac:dyDescent="0.25">
      <c r="A6764" s="14">
        <f>DATE(2012,12,31)-1028</f>
        <v>40246</v>
      </c>
      <c r="B6764" s="15" t="s">
        <v>398</v>
      </c>
      <c r="C6764" s="15" t="s">
        <v>85</v>
      </c>
      <c r="D6764" s="16">
        <v>25</v>
      </c>
      <c r="E6764" s="17">
        <v>135.91</v>
      </c>
      <c r="F6764" s="16">
        <v>7.0000000000000007E-2</v>
      </c>
      <c r="G6764" s="15" t="s">
        <v>32</v>
      </c>
      <c r="H6764" s="18">
        <v>37.5</v>
      </c>
      <c r="I6764" s="19">
        <v>5.68</v>
      </c>
      <c r="J6764" s="19">
        <v>1.21</v>
      </c>
      <c r="K6764" s="19" t="s">
        <v>44</v>
      </c>
      <c r="L6764" s="19" t="s">
        <v>89</v>
      </c>
      <c r="M6764" s="15" t="s">
        <v>2305</v>
      </c>
      <c r="N6764" s="15" t="s">
        <v>36</v>
      </c>
      <c r="O6764" s="15" t="s">
        <v>117</v>
      </c>
      <c r="P6764" s="20" t="s">
        <v>753</v>
      </c>
      <c r="Q6764" s="15" t="s">
        <v>79</v>
      </c>
      <c r="R6764" s="4"/>
      <c r="S6764" s="4"/>
    </row>
    <row r="6765" spans="1:19" ht="21" customHeight="1" x14ac:dyDescent="0.25">
      <c r="A6765" s="14">
        <f>DATE(2012,12,31)-528</f>
        <v>40746</v>
      </c>
      <c r="B6765" s="15" t="s">
        <v>398</v>
      </c>
      <c r="C6765" s="15" t="s">
        <v>85</v>
      </c>
      <c r="D6765" s="16">
        <v>25</v>
      </c>
      <c r="E6765" s="17">
        <v>3308.28</v>
      </c>
      <c r="F6765" s="16">
        <v>0.08</v>
      </c>
      <c r="G6765" s="15" t="s">
        <v>58</v>
      </c>
      <c r="H6765" s="18">
        <v>-581.59</v>
      </c>
      <c r="I6765" s="19">
        <v>130.97999999999999</v>
      </c>
      <c r="J6765" s="19">
        <v>54.74</v>
      </c>
      <c r="K6765" s="19" t="s">
        <v>44</v>
      </c>
      <c r="L6765" s="19" t="s">
        <v>89</v>
      </c>
      <c r="M6765" s="15" t="s">
        <v>2305</v>
      </c>
      <c r="N6765" s="15" t="s">
        <v>54</v>
      </c>
      <c r="O6765" s="15" t="s">
        <v>134</v>
      </c>
      <c r="P6765" s="20" t="s">
        <v>1031</v>
      </c>
      <c r="Q6765" s="15" t="s">
        <v>63</v>
      </c>
      <c r="R6765" s="4"/>
      <c r="S6765" s="4"/>
    </row>
    <row r="6766" spans="1:19" ht="21" customHeight="1" x14ac:dyDescent="0.25">
      <c r="A6766" s="14">
        <f>DATE(2012,12,31)-266</f>
        <v>41008</v>
      </c>
      <c r="B6766" s="15" t="s">
        <v>1731</v>
      </c>
      <c r="C6766" s="15" t="s">
        <v>85</v>
      </c>
      <c r="D6766" s="16">
        <v>47</v>
      </c>
      <c r="E6766" s="17">
        <v>370.6</v>
      </c>
      <c r="F6766" s="16">
        <v>0.03</v>
      </c>
      <c r="G6766" s="15" t="s">
        <v>32</v>
      </c>
      <c r="H6766" s="18">
        <v>160.72</v>
      </c>
      <c r="I6766" s="19">
        <v>7.64</v>
      </c>
      <c r="J6766" s="19">
        <v>1.39</v>
      </c>
      <c r="K6766" s="19" t="s">
        <v>44</v>
      </c>
      <c r="L6766" s="19" t="s">
        <v>89</v>
      </c>
      <c r="M6766" s="15" t="s">
        <v>2305</v>
      </c>
      <c r="N6766" s="15" t="s">
        <v>36</v>
      </c>
      <c r="O6766" s="15" t="s">
        <v>189</v>
      </c>
      <c r="P6766" s="20" t="s">
        <v>1039</v>
      </c>
      <c r="Q6766" s="15" t="s">
        <v>83</v>
      </c>
      <c r="R6766" s="4"/>
      <c r="S6766" s="4"/>
    </row>
    <row r="6767" spans="1:19" ht="21" customHeight="1" x14ac:dyDescent="0.25">
      <c r="A6767" s="14">
        <f>DATE(2012,12,31)-950</f>
        <v>40324</v>
      </c>
      <c r="B6767" s="15" t="s">
        <v>1820</v>
      </c>
      <c r="C6767" s="15" t="s">
        <v>51</v>
      </c>
      <c r="D6767" s="16">
        <v>43</v>
      </c>
      <c r="E6767" s="17">
        <v>4072.01</v>
      </c>
      <c r="F6767" s="16">
        <v>0.01</v>
      </c>
      <c r="G6767" s="15" t="s">
        <v>32</v>
      </c>
      <c r="H6767" s="18">
        <v>1675.98</v>
      </c>
      <c r="I6767" s="19">
        <v>90.24</v>
      </c>
      <c r="J6767" s="19">
        <v>0.99</v>
      </c>
      <c r="K6767" s="19" t="s">
        <v>44</v>
      </c>
      <c r="L6767" s="19" t="s">
        <v>89</v>
      </c>
      <c r="M6767" s="15" t="s">
        <v>2305</v>
      </c>
      <c r="N6767" s="15" t="s">
        <v>36</v>
      </c>
      <c r="O6767" s="15" t="s">
        <v>176</v>
      </c>
      <c r="P6767" s="20" t="s">
        <v>2071</v>
      </c>
      <c r="Q6767" s="15" t="s">
        <v>83</v>
      </c>
      <c r="R6767" s="4"/>
      <c r="S6767" s="4"/>
    </row>
    <row r="6768" spans="1:19" ht="21" customHeight="1" x14ac:dyDescent="0.25">
      <c r="A6768" s="14">
        <f>DATE(2012,12,31)-1134</f>
        <v>40140</v>
      </c>
      <c r="B6768" s="15" t="s">
        <v>1820</v>
      </c>
      <c r="C6768" s="15" t="s">
        <v>85</v>
      </c>
      <c r="D6768" s="16">
        <v>48</v>
      </c>
      <c r="E6768" s="17">
        <v>10051.52</v>
      </c>
      <c r="F6768" s="16">
        <v>0.05</v>
      </c>
      <c r="G6768" s="15" t="s">
        <v>32</v>
      </c>
      <c r="H6768" s="18">
        <v>4938.78</v>
      </c>
      <c r="I6768" s="19">
        <v>204.1</v>
      </c>
      <c r="J6768" s="19">
        <v>13.99</v>
      </c>
      <c r="K6768" s="19" t="s">
        <v>44</v>
      </c>
      <c r="L6768" s="19" t="s">
        <v>80</v>
      </c>
      <c r="M6768" s="15" t="s">
        <v>2297</v>
      </c>
      <c r="N6768" s="15" t="s">
        <v>64</v>
      </c>
      <c r="O6768" s="15" t="s">
        <v>122</v>
      </c>
      <c r="P6768" s="20" t="s">
        <v>1577</v>
      </c>
      <c r="Q6768" s="15" t="s">
        <v>57</v>
      </c>
      <c r="R6768" s="4"/>
      <c r="S6768" s="4"/>
    </row>
    <row r="6769" spans="1:19" ht="21" customHeight="1" x14ac:dyDescent="0.25">
      <c r="A6769" s="14">
        <f>DATE(2012,12,31)-886</f>
        <v>40388</v>
      </c>
      <c r="B6769" s="15" t="s">
        <v>1820</v>
      </c>
      <c r="C6769" s="15" t="s">
        <v>51</v>
      </c>
      <c r="D6769" s="16">
        <v>31</v>
      </c>
      <c r="E6769" s="17">
        <v>5875.66</v>
      </c>
      <c r="F6769" s="16">
        <v>0.02</v>
      </c>
      <c r="G6769" s="15" t="s">
        <v>32</v>
      </c>
      <c r="H6769" s="18">
        <v>1856.12</v>
      </c>
      <c r="I6769" s="19">
        <v>178.47</v>
      </c>
      <c r="J6769" s="19">
        <v>19.989999999999998</v>
      </c>
      <c r="K6769" s="19" t="s">
        <v>44</v>
      </c>
      <c r="L6769" s="19" t="s">
        <v>120</v>
      </c>
      <c r="M6769" s="15" t="s">
        <v>2262</v>
      </c>
      <c r="N6769" s="15" t="s">
        <v>36</v>
      </c>
      <c r="O6769" s="15" t="s">
        <v>37</v>
      </c>
      <c r="P6769" s="20" t="s">
        <v>238</v>
      </c>
      <c r="Q6769" s="15" t="s">
        <v>83</v>
      </c>
      <c r="R6769" s="4"/>
      <c r="S6769" s="4"/>
    </row>
    <row r="6770" spans="1:19" ht="21" customHeight="1" x14ac:dyDescent="0.25">
      <c r="A6770" s="14">
        <f>DATE(2012,12,31)-302</f>
        <v>40972</v>
      </c>
      <c r="B6770" s="15" t="s">
        <v>350</v>
      </c>
      <c r="C6770" s="15" t="s">
        <v>85</v>
      </c>
      <c r="D6770" s="16">
        <v>14</v>
      </c>
      <c r="E6770" s="17">
        <v>41.37</v>
      </c>
      <c r="F6770" s="16">
        <v>0.05</v>
      </c>
      <c r="G6770" s="15" t="s">
        <v>32</v>
      </c>
      <c r="H6770" s="18">
        <v>1.82</v>
      </c>
      <c r="I6770" s="19">
        <v>2.94</v>
      </c>
      <c r="J6770" s="19">
        <v>0.7</v>
      </c>
      <c r="K6770" s="19" t="s">
        <v>44</v>
      </c>
      <c r="L6770" s="19" t="s">
        <v>45</v>
      </c>
      <c r="M6770" s="15" t="s">
        <v>2271</v>
      </c>
      <c r="N6770" s="15" t="s">
        <v>36</v>
      </c>
      <c r="O6770" s="15" t="s">
        <v>77</v>
      </c>
      <c r="P6770" s="20" t="s">
        <v>508</v>
      </c>
      <c r="Q6770" s="15" t="s">
        <v>79</v>
      </c>
      <c r="R6770" s="4"/>
      <c r="S6770" s="4"/>
    </row>
    <row r="6771" spans="1:19" ht="21" customHeight="1" x14ac:dyDescent="0.25">
      <c r="A6771" s="14">
        <f>DATE(2012,12,31)-1239</f>
        <v>40035</v>
      </c>
      <c r="B6771" s="15" t="s">
        <v>498</v>
      </c>
      <c r="C6771" s="15" t="s">
        <v>43</v>
      </c>
      <c r="D6771" s="16">
        <v>14</v>
      </c>
      <c r="E6771" s="17">
        <v>89.93</v>
      </c>
      <c r="F6771" s="16">
        <v>0.03</v>
      </c>
      <c r="G6771" s="15" t="s">
        <v>32</v>
      </c>
      <c r="H6771" s="18">
        <v>-44.82</v>
      </c>
      <c r="I6771" s="19">
        <v>5.98</v>
      </c>
      <c r="J6771" s="19">
        <v>3.85</v>
      </c>
      <c r="K6771" s="19" t="s">
        <v>44</v>
      </c>
      <c r="L6771" s="19" t="s">
        <v>89</v>
      </c>
      <c r="M6771" s="15" t="s">
        <v>2305</v>
      </c>
      <c r="N6771" s="15" t="s">
        <v>64</v>
      </c>
      <c r="O6771" s="15" t="s">
        <v>72</v>
      </c>
      <c r="P6771" s="20" t="s">
        <v>1160</v>
      </c>
      <c r="Q6771" s="15" t="s">
        <v>49</v>
      </c>
      <c r="R6771" s="4"/>
      <c r="S6771" s="4"/>
    </row>
    <row r="6772" spans="1:19" ht="21" customHeight="1" x14ac:dyDescent="0.25">
      <c r="A6772" s="14">
        <f>DATE(2012,12,31)-16</f>
        <v>41258</v>
      </c>
      <c r="B6772" s="15" t="s">
        <v>498</v>
      </c>
      <c r="C6772" s="15" t="s">
        <v>43</v>
      </c>
      <c r="D6772" s="16">
        <v>18</v>
      </c>
      <c r="E6772" s="17">
        <v>71.22</v>
      </c>
      <c r="F6772" s="16">
        <v>0.04</v>
      </c>
      <c r="G6772" s="15" t="s">
        <v>32</v>
      </c>
      <c r="H6772" s="18">
        <v>20.43</v>
      </c>
      <c r="I6772" s="19">
        <v>3.85</v>
      </c>
      <c r="J6772" s="19">
        <v>0.7</v>
      </c>
      <c r="K6772" s="19" t="s">
        <v>44</v>
      </c>
      <c r="L6772" s="19" t="s">
        <v>45</v>
      </c>
      <c r="M6772" s="15" t="s">
        <v>2271</v>
      </c>
      <c r="N6772" s="15" t="s">
        <v>36</v>
      </c>
      <c r="O6772" s="15" t="s">
        <v>77</v>
      </c>
      <c r="P6772" s="20" t="s">
        <v>1805</v>
      </c>
      <c r="Q6772" s="15" t="s">
        <v>79</v>
      </c>
      <c r="R6772" s="4"/>
      <c r="S6772" s="4"/>
    </row>
    <row r="6773" spans="1:19" ht="21" customHeight="1" x14ac:dyDescent="0.25">
      <c r="A6773" s="14">
        <f>DATE(2012,12,31)-621</f>
        <v>40653</v>
      </c>
      <c r="B6773" s="15" t="s">
        <v>944</v>
      </c>
      <c r="C6773" s="15" t="s">
        <v>85</v>
      </c>
      <c r="D6773" s="16">
        <v>25</v>
      </c>
      <c r="E6773" s="17">
        <v>1387.29</v>
      </c>
      <c r="F6773" s="16">
        <v>0.03</v>
      </c>
      <c r="G6773" s="15" t="s">
        <v>101</v>
      </c>
      <c r="H6773" s="18">
        <v>405.64</v>
      </c>
      <c r="I6773" s="19">
        <v>55.48</v>
      </c>
      <c r="J6773" s="19">
        <v>14.3</v>
      </c>
      <c r="K6773" s="19" t="s">
        <v>44</v>
      </c>
      <c r="L6773" s="19" t="s">
        <v>89</v>
      </c>
      <c r="M6773" s="15" t="s">
        <v>2305</v>
      </c>
      <c r="N6773" s="15" t="s">
        <v>36</v>
      </c>
      <c r="O6773" s="15" t="s">
        <v>117</v>
      </c>
      <c r="P6773" s="20" t="s">
        <v>377</v>
      </c>
      <c r="Q6773" s="15" t="s">
        <v>83</v>
      </c>
      <c r="R6773" s="4"/>
      <c r="S6773" s="4"/>
    </row>
    <row r="6774" spans="1:19" ht="21" customHeight="1" x14ac:dyDescent="0.25">
      <c r="A6774" s="14">
        <f>DATE(2012,12,31)-1374</f>
        <v>39900</v>
      </c>
      <c r="B6774" s="15" t="s">
        <v>1536</v>
      </c>
      <c r="C6774" s="15" t="s">
        <v>43</v>
      </c>
      <c r="D6774" s="16">
        <v>16</v>
      </c>
      <c r="E6774" s="17">
        <v>2365.4299999999998</v>
      </c>
      <c r="F6774" s="16">
        <v>0.04</v>
      </c>
      <c r="G6774" s="15" t="s">
        <v>32</v>
      </c>
      <c r="H6774" s="18">
        <v>619.71</v>
      </c>
      <c r="I6774" s="19">
        <v>150.97999999999999</v>
      </c>
      <c r="J6774" s="19">
        <v>13.99</v>
      </c>
      <c r="K6774" s="19" t="s">
        <v>44</v>
      </c>
      <c r="L6774" s="19" t="s">
        <v>89</v>
      </c>
      <c r="M6774" s="15" t="s">
        <v>2305</v>
      </c>
      <c r="N6774" s="15" t="s">
        <v>64</v>
      </c>
      <c r="O6774" s="15" t="s">
        <v>122</v>
      </c>
      <c r="P6774" s="20" t="s">
        <v>440</v>
      </c>
      <c r="Q6774" s="15" t="s">
        <v>57</v>
      </c>
      <c r="R6774" s="4"/>
      <c r="S6774" s="4"/>
    </row>
    <row r="6775" spans="1:19" ht="21" customHeight="1" x14ac:dyDescent="0.25">
      <c r="A6775" s="14">
        <f>DATE(2012,12,31)-1200</f>
        <v>40074</v>
      </c>
      <c r="B6775" s="15" t="s">
        <v>1956</v>
      </c>
      <c r="C6775" s="15" t="s">
        <v>85</v>
      </c>
      <c r="D6775" s="16">
        <v>16</v>
      </c>
      <c r="E6775" s="17">
        <v>88.24</v>
      </c>
      <c r="F6775" s="16">
        <v>0.01</v>
      </c>
      <c r="G6775" s="15" t="s">
        <v>32</v>
      </c>
      <c r="H6775" s="18">
        <v>-56.6</v>
      </c>
      <c r="I6775" s="19">
        <v>4.9800000000000004</v>
      </c>
      <c r="J6775" s="19">
        <v>4.62</v>
      </c>
      <c r="K6775" s="19" t="s">
        <v>44</v>
      </c>
      <c r="L6775" s="19" t="s">
        <v>89</v>
      </c>
      <c r="M6775" s="15" t="s">
        <v>2305</v>
      </c>
      <c r="N6775" s="15" t="s">
        <v>64</v>
      </c>
      <c r="O6775" s="15" t="s">
        <v>72</v>
      </c>
      <c r="P6775" s="20" t="s">
        <v>868</v>
      </c>
      <c r="Q6775" s="15" t="s">
        <v>49</v>
      </c>
      <c r="R6775" s="4"/>
      <c r="S6775" s="4"/>
    </row>
    <row r="6776" spans="1:19" ht="21" customHeight="1" x14ac:dyDescent="0.25">
      <c r="A6776" s="14">
        <f>DATE(2012,12,31)-1240</f>
        <v>40034</v>
      </c>
      <c r="B6776" s="15" t="s">
        <v>1956</v>
      </c>
      <c r="C6776" s="15" t="s">
        <v>51</v>
      </c>
      <c r="D6776" s="16">
        <v>3</v>
      </c>
      <c r="E6776" s="17">
        <v>21.64</v>
      </c>
      <c r="F6776" s="16">
        <v>0.08</v>
      </c>
      <c r="G6776" s="15" t="s">
        <v>32</v>
      </c>
      <c r="H6776" s="18">
        <v>-13.3285</v>
      </c>
      <c r="I6776" s="19">
        <v>5.74</v>
      </c>
      <c r="J6776" s="19">
        <v>5.01</v>
      </c>
      <c r="K6776" s="19" t="s">
        <v>44</v>
      </c>
      <c r="L6776" s="19" t="s">
        <v>120</v>
      </c>
      <c r="M6776" s="15" t="s">
        <v>2262</v>
      </c>
      <c r="N6776" s="15" t="s">
        <v>36</v>
      </c>
      <c r="O6776" s="15" t="s">
        <v>170</v>
      </c>
      <c r="P6776" s="20" t="s">
        <v>1806</v>
      </c>
      <c r="Q6776" s="15" t="s">
        <v>83</v>
      </c>
      <c r="R6776" s="4"/>
      <c r="S6776" s="4"/>
    </row>
    <row r="6777" spans="1:19" ht="21" customHeight="1" x14ac:dyDescent="0.25">
      <c r="A6777" s="14">
        <f>DATE(2012,12,31)-794</f>
        <v>40480</v>
      </c>
      <c r="B6777" s="15" t="s">
        <v>979</v>
      </c>
      <c r="C6777" s="15" t="s">
        <v>43</v>
      </c>
      <c r="D6777" s="16">
        <v>45</v>
      </c>
      <c r="E6777" s="17">
        <v>254.92</v>
      </c>
      <c r="F6777" s="16">
        <v>0.1</v>
      </c>
      <c r="G6777" s="15" t="s">
        <v>32</v>
      </c>
      <c r="H6777" s="18">
        <v>-99.62</v>
      </c>
      <c r="I6777" s="19">
        <v>5.98</v>
      </c>
      <c r="J6777" s="19">
        <v>5.46</v>
      </c>
      <c r="K6777" s="19" t="s">
        <v>44</v>
      </c>
      <c r="L6777" s="19" t="s">
        <v>89</v>
      </c>
      <c r="M6777" s="15" t="s">
        <v>2305</v>
      </c>
      <c r="N6777" s="15" t="s">
        <v>36</v>
      </c>
      <c r="O6777" s="15" t="s">
        <v>117</v>
      </c>
      <c r="P6777" s="20" t="s">
        <v>543</v>
      </c>
      <c r="Q6777" s="15" t="s">
        <v>83</v>
      </c>
      <c r="R6777" s="4"/>
      <c r="S6777" s="4"/>
    </row>
    <row r="6778" spans="1:19" ht="21" customHeight="1" x14ac:dyDescent="0.25">
      <c r="A6778" s="14">
        <f>DATE(2012,12,31)-1177</f>
        <v>40097</v>
      </c>
      <c r="B6778" s="15" t="s">
        <v>136</v>
      </c>
      <c r="C6778" s="15" t="s">
        <v>31</v>
      </c>
      <c r="D6778" s="16">
        <v>46</v>
      </c>
      <c r="E6778" s="17">
        <v>863.26</v>
      </c>
      <c r="F6778" s="16">
        <v>0.09</v>
      </c>
      <c r="G6778" s="15" t="s">
        <v>101</v>
      </c>
      <c r="H6778" s="18">
        <v>229.6</v>
      </c>
      <c r="I6778" s="19">
        <v>19.23</v>
      </c>
      <c r="J6778" s="19">
        <v>6.15</v>
      </c>
      <c r="K6778" s="19" t="s">
        <v>44</v>
      </c>
      <c r="L6778" s="19" t="s">
        <v>89</v>
      </c>
      <c r="M6778" s="15" t="s">
        <v>2305</v>
      </c>
      <c r="N6778" s="15" t="s">
        <v>54</v>
      </c>
      <c r="O6778" s="15" t="s">
        <v>55</v>
      </c>
      <c r="P6778" s="20" t="s">
        <v>980</v>
      </c>
      <c r="Q6778" s="15" t="s">
        <v>49</v>
      </c>
      <c r="R6778" s="4"/>
      <c r="S6778" s="4"/>
    </row>
    <row r="6779" spans="1:19" ht="21" customHeight="1" x14ac:dyDescent="0.25">
      <c r="A6779" s="14">
        <f>DATE(2012,12,31)-61</f>
        <v>41213</v>
      </c>
      <c r="B6779" s="15" t="s">
        <v>804</v>
      </c>
      <c r="C6779" s="15" t="s">
        <v>51</v>
      </c>
      <c r="D6779" s="16">
        <v>49</v>
      </c>
      <c r="E6779" s="17">
        <v>414.11</v>
      </c>
      <c r="F6779" s="16">
        <v>0.08</v>
      </c>
      <c r="G6779" s="15" t="s">
        <v>32</v>
      </c>
      <c r="H6779" s="18">
        <v>-172.32</v>
      </c>
      <c r="I6779" s="19">
        <v>8.74</v>
      </c>
      <c r="J6779" s="19">
        <v>8.2899999999999991</v>
      </c>
      <c r="K6779" s="19" t="s">
        <v>44</v>
      </c>
      <c r="L6779" s="19" t="s">
        <v>120</v>
      </c>
      <c r="M6779" s="15" t="s">
        <v>2262</v>
      </c>
      <c r="N6779" s="15" t="s">
        <v>36</v>
      </c>
      <c r="O6779" s="15" t="s">
        <v>189</v>
      </c>
      <c r="P6779" s="20" t="s">
        <v>1801</v>
      </c>
      <c r="Q6779" s="15" t="s">
        <v>83</v>
      </c>
      <c r="R6779" s="4"/>
      <c r="S6779" s="4"/>
    </row>
    <row r="6780" spans="1:19" ht="21" customHeight="1" x14ac:dyDescent="0.25">
      <c r="A6780" s="14">
        <f>DATE(2012,12,31)-45</f>
        <v>41229</v>
      </c>
      <c r="B6780" s="15" t="s">
        <v>804</v>
      </c>
      <c r="C6780" s="15" t="s">
        <v>31</v>
      </c>
      <c r="D6780" s="16">
        <v>20</v>
      </c>
      <c r="E6780" s="17">
        <v>340.952</v>
      </c>
      <c r="F6780" s="16">
        <v>0.09</v>
      </c>
      <c r="G6780" s="15" t="s">
        <v>32</v>
      </c>
      <c r="H6780" s="18">
        <v>108.93600000000001</v>
      </c>
      <c r="I6780" s="19">
        <v>20.99</v>
      </c>
      <c r="J6780" s="19">
        <v>0.99</v>
      </c>
      <c r="K6780" s="19" t="s">
        <v>124</v>
      </c>
      <c r="L6780" s="19" t="s">
        <v>160</v>
      </c>
      <c r="M6780" s="15" t="s">
        <v>2281</v>
      </c>
      <c r="N6780" s="15" t="s">
        <v>64</v>
      </c>
      <c r="O6780" s="15" t="s">
        <v>65</v>
      </c>
      <c r="P6780" s="20" t="s">
        <v>2323</v>
      </c>
      <c r="Q6780" s="15" t="s">
        <v>79</v>
      </c>
      <c r="R6780" s="4"/>
      <c r="S6780" s="4"/>
    </row>
    <row r="6781" spans="1:19" ht="21" customHeight="1" x14ac:dyDescent="0.25">
      <c r="A6781" s="14">
        <f>DATE(2012,12,31)-814</f>
        <v>40460</v>
      </c>
      <c r="B6781" s="15" t="s">
        <v>416</v>
      </c>
      <c r="C6781" s="15" t="s">
        <v>51</v>
      </c>
      <c r="D6781" s="16">
        <v>32</v>
      </c>
      <c r="E6781" s="17">
        <v>1859.01</v>
      </c>
      <c r="F6781" s="16">
        <v>0.09</v>
      </c>
      <c r="G6781" s="15" t="s">
        <v>58</v>
      </c>
      <c r="H6781" s="18">
        <v>-588.9</v>
      </c>
      <c r="I6781" s="19">
        <v>60.98</v>
      </c>
      <c r="J6781" s="19">
        <v>30</v>
      </c>
      <c r="K6781" s="19" t="s">
        <v>124</v>
      </c>
      <c r="L6781" s="19" t="s">
        <v>160</v>
      </c>
      <c r="M6781" s="15" t="s">
        <v>2281</v>
      </c>
      <c r="N6781" s="15" t="s">
        <v>54</v>
      </c>
      <c r="O6781" s="15" t="s">
        <v>252</v>
      </c>
      <c r="P6781" s="20" t="s">
        <v>135</v>
      </c>
      <c r="Q6781" s="15" t="s">
        <v>181</v>
      </c>
      <c r="R6781" s="4"/>
      <c r="S6781" s="4"/>
    </row>
    <row r="6782" spans="1:19" ht="21" customHeight="1" x14ac:dyDescent="0.25">
      <c r="A6782" s="14">
        <f>DATE(2012,12,31)-814</f>
        <v>40460</v>
      </c>
      <c r="B6782" s="15" t="s">
        <v>942</v>
      </c>
      <c r="C6782" s="15" t="s">
        <v>51</v>
      </c>
      <c r="D6782" s="16">
        <v>19</v>
      </c>
      <c r="E6782" s="17">
        <v>1781.11</v>
      </c>
      <c r="F6782" s="16">
        <v>0.1</v>
      </c>
      <c r="G6782" s="15" t="s">
        <v>32</v>
      </c>
      <c r="H6782" s="18">
        <v>51.44</v>
      </c>
      <c r="I6782" s="19">
        <v>99.99</v>
      </c>
      <c r="J6782" s="19">
        <v>19.989999999999998</v>
      </c>
      <c r="K6782" s="19" t="s">
        <v>33</v>
      </c>
      <c r="L6782" s="19" t="s">
        <v>145</v>
      </c>
      <c r="M6782" s="15" t="s">
        <v>2313</v>
      </c>
      <c r="N6782" s="15" t="s">
        <v>64</v>
      </c>
      <c r="O6782" s="15" t="s">
        <v>72</v>
      </c>
      <c r="P6782" s="20" t="s">
        <v>1272</v>
      </c>
      <c r="Q6782" s="15" t="s">
        <v>83</v>
      </c>
      <c r="R6782" s="4"/>
      <c r="S6782" s="4"/>
    </row>
    <row r="6783" spans="1:19" ht="21" customHeight="1" x14ac:dyDescent="0.25">
      <c r="A6783" s="14">
        <f>DATE(2012,12,31)-814</f>
        <v>40460</v>
      </c>
      <c r="B6783" s="15" t="s">
        <v>1525</v>
      </c>
      <c r="C6783" s="15" t="s">
        <v>51</v>
      </c>
      <c r="D6783" s="16">
        <v>44</v>
      </c>
      <c r="E6783" s="17">
        <v>185.32</v>
      </c>
      <c r="F6783" s="16">
        <v>0.03</v>
      </c>
      <c r="G6783" s="15" t="s">
        <v>32</v>
      </c>
      <c r="H6783" s="18">
        <v>-192.56</v>
      </c>
      <c r="I6783" s="19">
        <v>4.18</v>
      </c>
      <c r="J6783" s="19">
        <v>6.92</v>
      </c>
      <c r="K6783" s="19" t="s">
        <v>33</v>
      </c>
      <c r="L6783" s="19" t="s">
        <v>93</v>
      </c>
      <c r="M6783" s="15" t="s">
        <v>94</v>
      </c>
      <c r="N6783" s="15" t="s">
        <v>54</v>
      </c>
      <c r="O6783" s="15" t="s">
        <v>55</v>
      </c>
      <c r="P6783" s="20" t="s">
        <v>697</v>
      </c>
      <c r="Q6783" s="15" t="s">
        <v>83</v>
      </c>
      <c r="R6783" s="4"/>
      <c r="S6783" s="4"/>
    </row>
    <row r="6784" spans="1:19" ht="21" customHeight="1" x14ac:dyDescent="0.25">
      <c r="A6784" s="14">
        <f>DATE(2012,12,31)-814</f>
        <v>40460</v>
      </c>
      <c r="B6784" s="15" t="s">
        <v>1950</v>
      </c>
      <c r="C6784" s="15" t="s">
        <v>51</v>
      </c>
      <c r="D6784" s="16">
        <v>15</v>
      </c>
      <c r="E6784" s="17">
        <v>73.41</v>
      </c>
      <c r="F6784" s="16">
        <v>0.08</v>
      </c>
      <c r="G6784" s="15" t="s">
        <v>32</v>
      </c>
      <c r="H6784" s="18">
        <v>-44.792499999999997</v>
      </c>
      <c r="I6784" s="19">
        <v>4.91</v>
      </c>
      <c r="J6784" s="19">
        <v>4.97</v>
      </c>
      <c r="K6784" s="19" t="s">
        <v>33</v>
      </c>
      <c r="L6784" s="19" t="s">
        <v>93</v>
      </c>
      <c r="M6784" s="15" t="s">
        <v>94</v>
      </c>
      <c r="N6784" s="15" t="s">
        <v>36</v>
      </c>
      <c r="O6784" s="15" t="s">
        <v>170</v>
      </c>
      <c r="P6784" s="20" t="s">
        <v>859</v>
      </c>
      <c r="Q6784" s="15" t="s">
        <v>83</v>
      </c>
      <c r="R6784" s="4"/>
      <c r="S6784" s="4"/>
    </row>
    <row r="6785" spans="1:19" ht="21" customHeight="1" x14ac:dyDescent="0.25">
      <c r="A6785" s="14">
        <f>DATE(2012,12,31)-814</f>
        <v>40460</v>
      </c>
      <c r="B6785" s="15" t="s">
        <v>732</v>
      </c>
      <c r="C6785" s="15" t="s">
        <v>51</v>
      </c>
      <c r="D6785" s="16">
        <v>28</v>
      </c>
      <c r="E6785" s="17">
        <v>43.66</v>
      </c>
      <c r="F6785" s="16">
        <v>0.04</v>
      </c>
      <c r="G6785" s="15" t="s">
        <v>32</v>
      </c>
      <c r="H6785" s="18">
        <v>5.77</v>
      </c>
      <c r="I6785" s="19">
        <v>1.48</v>
      </c>
      <c r="J6785" s="19">
        <v>0.7</v>
      </c>
      <c r="K6785" s="19" t="s">
        <v>33</v>
      </c>
      <c r="L6785" s="19" t="s">
        <v>128</v>
      </c>
      <c r="M6785" s="15" t="s">
        <v>129</v>
      </c>
      <c r="N6785" s="15" t="s">
        <v>36</v>
      </c>
      <c r="O6785" s="15" t="s">
        <v>105</v>
      </c>
      <c r="P6785" s="20" t="s">
        <v>232</v>
      </c>
      <c r="Q6785" s="15" t="s">
        <v>79</v>
      </c>
      <c r="R6785" s="4"/>
      <c r="S6785" s="4"/>
    </row>
    <row r="6786" spans="1:19" ht="21" customHeight="1" x14ac:dyDescent="0.25">
      <c r="A6786" s="14">
        <f>DATE(2012,12,31)-1254</f>
        <v>40020</v>
      </c>
      <c r="B6786" s="15" t="s">
        <v>1840</v>
      </c>
      <c r="C6786" s="15" t="s">
        <v>85</v>
      </c>
      <c r="D6786" s="16">
        <v>50</v>
      </c>
      <c r="E6786" s="17">
        <v>387.03</v>
      </c>
      <c r="F6786" s="16">
        <v>0.04</v>
      </c>
      <c r="G6786" s="15" t="s">
        <v>32</v>
      </c>
      <c r="H6786" s="18">
        <v>-7.73</v>
      </c>
      <c r="I6786" s="19">
        <v>7.96</v>
      </c>
      <c r="J6786" s="19">
        <v>4.95</v>
      </c>
      <c r="K6786" s="19" t="s">
        <v>33</v>
      </c>
      <c r="L6786" s="19" t="s">
        <v>128</v>
      </c>
      <c r="M6786" s="15" t="s">
        <v>129</v>
      </c>
      <c r="N6786" s="15" t="s">
        <v>54</v>
      </c>
      <c r="O6786" s="15" t="s">
        <v>55</v>
      </c>
      <c r="P6786" s="20" t="s">
        <v>987</v>
      </c>
      <c r="Q6786" s="15" t="s">
        <v>83</v>
      </c>
      <c r="R6786" s="4"/>
      <c r="S6786" s="4"/>
    </row>
    <row r="6787" spans="1:19" ht="21" customHeight="1" x14ac:dyDescent="0.25">
      <c r="A6787" s="14">
        <f>DATE(2012,12,31)-1308</f>
        <v>39966</v>
      </c>
      <c r="B6787" s="15" t="s">
        <v>1668</v>
      </c>
      <c r="C6787" s="15" t="s">
        <v>85</v>
      </c>
      <c r="D6787" s="16">
        <v>34</v>
      </c>
      <c r="E6787" s="17">
        <v>817.53</v>
      </c>
      <c r="F6787" s="16">
        <v>0.03</v>
      </c>
      <c r="G6787" s="15" t="s">
        <v>32</v>
      </c>
      <c r="H6787" s="18">
        <v>76.63</v>
      </c>
      <c r="I6787" s="19">
        <v>22.84</v>
      </c>
      <c r="J6787" s="19">
        <v>11.54</v>
      </c>
      <c r="K6787" s="19" t="s">
        <v>33</v>
      </c>
      <c r="L6787" s="19" t="s">
        <v>128</v>
      </c>
      <c r="M6787" s="15" t="s">
        <v>129</v>
      </c>
      <c r="N6787" s="15" t="s">
        <v>36</v>
      </c>
      <c r="O6787" s="15" t="s">
        <v>117</v>
      </c>
      <c r="P6787" s="20" t="s">
        <v>1084</v>
      </c>
      <c r="Q6787" s="15" t="s">
        <v>83</v>
      </c>
      <c r="R6787" s="4"/>
      <c r="S6787" s="4"/>
    </row>
    <row r="6788" spans="1:19" ht="21" customHeight="1" x14ac:dyDescent="0.25">
      <c r="A6788" s="14">
        <f>DATE(2012,12,31)-1308</f>
        <v>39966</v>
      </c>
      <c r="B6788" s="15" t="s">
        <v>1410</v>
      </c>
      <c r="C6788" s="15" t="s">
        <v>85</v>
      </c>
      <c r="D6788" s="16">
        <v>2</v>
      </c>
      <c r="E6788" s="17">
        <v>25.96</v>
      </c>
      <c r="F6788" s="16">
        <v>0.06</v>
      </c>
      <c r="G6788" s="15" t="s">
        <v>32</v>
      </c>
      <c r="H6788" s="18">
        <v>-29.292900000000003</v>
      </c>
      <c r="I6788" s="19">
        <v>9.99</v>
      </c>
      <c r="J6788" s="19">
        <v>6.24</v>
      </c>
      <c r="K6788" s="19" t="s">
        <v>97</v>
      </c>
      <c r="L6788" s="19" t="s">
        <v>98</v>
      </c>
      <c r="M6788" s="15" t="s">
        <v>2279</v>
      </c>
      <c r="N6788" s="15" t="s">
        <v>64</v>
      </c>
      <c r="O6788" s="15" t="s">
        <v>122</v>
      </c>
      <c r="P6788" s="20" t="s">
        <v>225</v>
      </c>
      <c r="Q6788" s="15" t="s">
        <v>57</v>
      </c>
      <c r="R6788" s="4"/>
      <c r="S6788" s="4"/>
    </row>
    <row r="6789" spans="1:19" ht="21" customHeight="1" x14ac:dyDescent="0.25">
      <c r="A6789" s="14">
        <f>DATE(2012,12,31)-1308</f>
        <v>39966</v>
      </c>
      <c r="B6789" s="15" t="s">
        <v>2177</v>
      </c>
      <c r="C6789" s="15" t="s">
        <v>85</v>
      </c>
      <c r="D6789" s="16">
        <v>17</v>
      </c>
      <c r="E6789" s="17">
        <v>182.47</v>
      </c>
      <c r="F6789" s="16">
        <v>0.05</v>
      </c>
      <c r="G6789" s="15" t="s">
        <v>32</v>
      </c>
      <c r="H6789" s="18">
        <v>-3.18</v>
      </c>
      <c r="I6789" s="19">
        <v>10.98</v>
      </c>
      <c r="J6789" s="19">
        <v>3.37</v>
      </c>
      <c r="K6789" s="19" t="s">
        <v>97</v>
      </c>
      <c r="L6789" s="19" t="s">
        <v>283</v>
      </c>
      <c r="M6789" s="15" t="s">
        <v>2306</v>
      </c>
      <c r="N6789" s="15" t="s">
        <v>36</v>
      </c>
      <c r="O6789" s="15" t="s">
        <v>47</v>
      </c>
      <c r="P6789" s="20" t="s">
        <v>402</v>
      </c>
      <c r="Q6789" s="15" t="s">
        <v>49</v>
      </c>
      <c r="R6789" s="4"/>
      <c r="S6789" s="4"/>
    </row>
    <row r="6790" spans="1:19" ht="21" customHeight="1" x14ac:dyDescent="0.25">
      <c r="A6790" s="14">
        <f>DATE(2012,12,31)-1094</f>
        <v>40180</v>
      </c>
      <c r="B6790" s="15" t="s">
        <v>672</v>
      </c>
      <c r="C6790" s="15" t="s">
        <v>85</v>
      </c>
      <c r="D6790" s="16">
        <v>32</v>
      </c>
      <c r="E6790" s="17">
        <v>11103.75</v>
      </c>
      <c r="F6790" s="16">
        <v>0.1</v>
      </c>
      <c r="G6790" s="15" t="s">
        <v>58</v>
      </c>
      <c r="H6790" s="18">
        <v>-522.59</v>
      </c>
      <c r="I6790" s="19">
        <v>370.98</v>
      </c>
      <c r="J6790" s="19">
        <v>99</v>
      </c>
      <c r="K6790" s="19" t="s">
        <v>97</v>
      </c>
      <c r="L6790" s="19" t="s">
        <v>98</v>
      </c>
      <c r="M6790" s="15" t="s">
        <v>2279</v>
      </c>
      <c r="N6790" s="15" t="s">
        <v>36</v>
      </c>
      <c r="O6790" s="15" t="s">
        <v>37</v>
      </c>
      <c r="P6790" s="20" t="s">
        <v>123</v>
      </c>
      <c r="Q6790" s="15" t="s">
        <v>181</v>
      </c>
      <c r="R6790" s="4"/>
      <c r="S6790" s="4"/>
    </row>
    <row r="6791" spans="1:19" ht="21" customHeight="1" x14ac:dyDescent="0.25">
      <c r="A6791" s="14">
        <f>DATE(2012,12,31)-1117</f>
        <v>40157</v>
      </c>
      <c r="B6791" s="15" t="s">
        <v>355</v>
      </c>
      <c r="C6791" s="15" t="s">
        <v>85</v>
      </c>
      <c r="D6791" s="16">
        <v>18</v>
      </c>
      <c r="E6791" s="17">
        <v>47.55</v>
      </c>
      <c r="F6791" s="16">
        <v>0</v>
      </c>
      <c r="G6791" s="15" t="s">
        <v>101</v>
      </c>
      <c r="H6791" s="18">
        <v>10.01</v>
      </c>
      <c r="I6791" s="19">
        <v>2.21</v>
      </c>
      <c r="J6791" s="19">
        <v>1</v>
      </c>
      <c r="K6791" s="19" t="s">
        <v>97</v>
      </c>
      <c r="L6791" s="19" t="s">
        <v>283</v>
      </c>
      <c r="M6791" s="15" t="s">
        <v>2306</v>
      </c>
      <c r="N6791" s="15" t="s">
        <v>36</v>
      </c>
      <c r="O6791" s="15" t="s">
        <v>77</v>
      </c>
      <c r="P6791" s="20" t="s">
        <v>139</v>
      </c>
      <c r="Q6791" s="15" t="s">
        <v>79</v>
      </c>
      <c r="R6791" s="4"/>
      <c r="S6791" s="4"/>
    </row>
    <row r="6792" spans="1:19" ht="21" customHeight="1" x14ac:dyDescent="0.25">
      <c r="A6792" s="14">
        <f>DATE(2012,12,31)-922</f>
        <v>40352</v>
      </c>
      <c r="B6792" s="15" t="s">
        <v>1607</v>
      </c>
      <c r="C6792" s="15" t="s">
        <v>85</v>
      </c>
      <c r="D6792" s="16">
        <v>22</v>
      </c>
      <c r="E6792" s="17">
        <v>346.42</v>
      </c>
      <c r="F6792" s="16">
        <v>0.05</v>
      </c>
      <c r="G6792" s="15" t="s">
        <v>32</v>
      </c>
      <c r="H6792" s="18">
        <v>67.959999999999994</v>
      </c>
      <c r="I6792" s="19">
        <v>16.48</v>
      </c>
      <c r="J6792" s="19">
        <v>1.99</v>
      </c>
      <c r="K6792" s="19" t="s">
        <v>97</v>
      </c>
      <c r="L6792" s="19" t="s">
        <v>98</v>
      </c>
      <c r="M6792" s="15" t="s">
        <v>2279</v>
      </c>
      <c r="N6792" s="15" t="s">
        <v>64</v>
      </c>
      <c r="O6792" s="15" t="s">
        <v>72</v>
      </c>
      <c r="P6792" s="20" t="s">
        <v>834</v>
      </c>
      <c r="Q6792" s="15" t="s">
        <v>49</v>
      </c>
      <c r="R6792" s="4"/>
      <c r="S6792" s="4"/>
    </row>
    <row r="6793" spans="1:19" ht="21" customHeight="1" x14ac:dyDescent="0.25">
      <c r="A6793" s="14">
        <f>DATE(2012,12,31)-922</f>
        <v>40352</v>
      </c>
      <c r="B6793" s="15" t="s">
        <v>1890</v>
      </c>
      <c r="C6793" s="15" t="s">
        <v>85</v>
      </c>
      <c r="D6793" s="16">
        <v>41</v>
      </c>
      <c r="E6793" s="17">
        <v>773.44</v>
      </c>
      <c r="F6793" s="16">
        <v>0.08</v>
      </c>
      <c r="G6793" s="15" t="s">
        <v>101</v>
      </c>
      <c r="H6793" s="18">
        <v>133.83000000000001</v>
      </c>
      <c r="I6793" s="19">
        <v>20.239999999999998</v>
      </c>
      <c r="J6793" s="19">
        <v>6.67</v>
      </c>
      <c r="K6793" s="19" t="s">
        <v>97</v>
      </c>
      <c r="L6793" s="19" t="s">
        <v>195</v>
      </c>
      <c r="M6793" s="15" t="s">
        <v>2138</v>
      </c>
      <c r="N6793" s="15" t="s">
        <v>54</v>
      </c>
      <c r="O6793" s="15" t="s">
        <v>55</v>
      </c>
      <c r="P6793" s="20" t="s">
        <v>1879</v>
      </c>
      <c r="Q6793" s="15" t="s">
        <v>49</v>
      </c>
      <c r="R6793" s="4"/>
      <c r="S6793" s="4"/>
    </row>
    <row r="6794" spans="1:19" ht="21" customHeight="1" x14ac:dyDescent="0.25">
      <c r="A6794" s="14">
        <f>DATE(2012,12,31)-922</f>
        <v>40352</v>
      </c>
      <c r="B6794" s="15" t="s">
        <v>1612</v>
      </c>
      <c r="C6794" s="15" t="s">
        <v>85</v>
      </c>
      <c r="D6794" s="16">
        <v>43</v>
      </c>
      <c r="E6794" s="17">
        <v>881.84</v>
      </c>
      <c r="F6794" s="16">
        <v>0</v>
      </c>
      <c r="G6794" s="15" t="s">
        <v>32</v>
      </c>
      <c r="H6794" s="18">
        <v>153.80000000000001</v>
      </c>
      <c r="I6794" s="19">
        <v>18.97</v>
      </c>
      <c r="J6794" s="19">
        <v>9.0299999999999994</v>
      </c>
      <c r="K6794" s="19" t="s">
        <v>97</v>
      </c>
      <c r="L6794" s="19" t="s">
        <v>98</v>
      </c>
      <c r="M6794" s="15" t="s">
        <v>2279</v>
      </c>
      <c r="N6794" s="15" t="s">
        <v>36</v>
      </c>
      <c r="O6794" s="15" t="s">
        <v>117</v>
      </c>
      <c r="P6794" s="20" t="s">
        <v>2090</v>
      </c>
      <c r="Q6794" s="15" t="s">
        <v>83</v>
      </c>
      <c r="R6794" s="4"/>
      <c r="S6794" s="4"/>
    </row>
    <row r="6795" spans="1:19" ht="21" customHeight="1" x14ac:dyDescent="0.25">
      <c r="A6795" s="14">
        <f>DATE(2012,12,31)-922</f>
        <v>40352</v>
      </c>
      <c r="B6795" s="15" t="s">
        <v>1574</v>
      </c>
      <c r="C6795" s="15" t="s">
        <v>85</v>
      </c>
      <c r="D6795" s="16">
        <v>50</v>
      </c>
      <c r="E6795" s="17">
        <v>5067.5725000000002</v>
      </c>
      <c r="F6795" s="16">
        <v>0.09</v>
      </c>
      <c r="G6795" s="15" t="s">
        <v>32</v>
      </c>
      <c r="H6795" s="18">
        <v>1275.912</v>
      </c>
      <c r="I6795" s="19">
        <v>125.99</v>
      </c>
      <c r="J6795" s="19">
        <v>8.99</v>
      </c>
      <c r="K6795" s="19" t="s">
        <v>97</v>
      </c>
      <c r="L6795" s="19" t="s">
        <v>98</v>
      </c>
      <c r="M6795" s="15" t="s">
        <v>2279</v>
      </c>
      <c r="N6795" s="15" t="s">
        <v>64</v>
      </c>
      <c r="O6795" s="15" t="s">
        <v>65</v>
      </c>
      <c r="P6795" s="20" t="s">
        <v>1187</v>
      </c>
      <c r="Q6795" s="15" t="s">
        <v>83</v>
      </c>
      <c r="R6795" s="4"/>
      <c r="S6795" s="4"/>
    </row>
    <row r="6796" spans="1:19" ht="21" customHeight="1" x14ac:dyDescent="0.25">
      <c r="A6796" s="14">
        <f>DATE(2012,12,31)-599</f>
        <v>40675</v>
      </c>
      <c r="B6796" s="15" t="s">
        <v>1760</v>
      </c>
      <c r="C6796" s="15" t="s">
        <v>51</v>
      </c>
      <c r="D6796" s="16">
        <v>42</v>
      </c>
      <c r="E6796" s="17">
        <v>271.14</v>
      </c>
      <c r="F6796" s="16">
        <v>7.0000000000000007E-2</v>
      </c>
      <c r="G6796" s="15" t="s">
        <v>32</v>
      </c>
      <c r="H6796" s="18">
        <v>-174.74</v>
      </c>
      <c r="I6796" s="19">
        <v>6.48</v>
      </c>
      <c r="J6796" s="19">
        <v>7.91</v>
      </c>
      <c r="K6796" s="19" t="s">
        <v>124</v>
      </c>
      <c r="L6796" s="19" t="s">
        <v>160</v>
      </c>
      <c r="M6796" s="15" t="s">
        <v>2281</v>
      </c>
      <c r="N6796" s="15" t="s">
        <v>36</v>
      </c>
      <c r="O6796" s="15" t="s">
        <v>117</v>
      </c>
      <c r="P6796" s="20" t="s">
        <v>581</v>
      </c>
      <c r="Q6796" s="15" t="s">
        <v>83</v>
      </c>
      <c r="R6796" s="4"/>
      <c r="S6796" s="4"/>
    </row>
    <row r="6797" spans="1:19" ht="21" customHeight="1" x14ac:dyDescent="0.25">
      <c r="A6797" s="14">
        <f>DATE(2012,12,31)-1085</f>
        <v>40189</v>
      </c>
      <c r="B6797" s="15" t="s">
        <v>1645</v>
      </c>
      <c r="C6797" s="15" t="s">
        <v>31</v>
      </c>
      <c r="D6797" s="16">
        <v>27</v>
      </c>
      <c r="E6797" s="17">
        <v>360.7</v>
      </c>
      <c r="F6797" s="16">
        <v>0</v>
      </c>
      <c r="G6797" s="15" t="s">
        <v>32</v>
      </c>
      <c r="H6797" s="18">
        <v>146.166</v>
      </c>
      <c r="I6797" s="19">
        <v>12.97</v>
      </c>
      <c r="J6797" s="19">
        <v>1.49</v>
      </c>
      <c r="K6797" s="19" t="s">
        <v>124</v>
      </c>
      <c r="L6797" s="19" t="s">
        <v>493</v>
      </c>
      <c r="M6797" s="15" t="s">
        <v>2299</v>
      </c>
      <c r="N6797" s="15" t="s">
        <v>36</v>
      </c>
      <c r="O6797" s="15" t="s">
        <v>170</v>
      </c>
      <c r="P6797" s="20" t="s">
        <v>1101</v>
      </c>
      <c r="Q6797" s="15" t="s">
        <v>83</v>
      </c>
      <c r="R6797" s="4"/>
      <c r="S6797" s="4"/>
    </row>
    <row r="6798" spans="1:19" ht="21" customHeight="1" x14ac:dyDescent="0.25">
      <c r="A6798" s="14">
        <f>DATE(2012,12,31)-516</f>
        <v>40758</v>
      </c>
      <c r="B6798" s="15" t="s">
        <v>198</v>
      </c>
      <c r="C6798" s="15" t="s">
        <v>43</v>
      </c>
      <c r="D6798" s="16">
        <v>48</v>
      </c>
      <c r="E6798" s="17">
        <v>238.79</v>
      </c>
      <c r="F6798" s="16">
        <v>0.04</v>
      </c>
      <c r="G6798" s="15" t="s">
        <v>32</v>
      </c>
      <c r="H6798" s="18">
        <v>-83.78</v>
      </c>
      <c r="I6798" s="19">
        <v>4.9800000000000004</v>
      </c>
      <c r="J6798" s="19">
        <v>4.72</v>
      </c>
      <c r="K6798" s="19" t="s">
        <v>124</v>
      </c>
      <c r="L6798" s="19" t="s">
        <v>160</v>
      </c>
      <c r="M6798" s="15" t="s">
        <v>2281</v>
      </c>
      <c r="N6798" s="15" t="s">
        <v>36</v>
      </c>
      <c r="O6798" s="15" t="s">
        <v>117</v>
      </c>
      <c r="P6798" s="20" t="s">
        <v>1547</v>
      </c>
      <c r="Q6798" s="15" t="s">
        <v>83</v>
      </c>
      <c r="R6798" s="4"/>
      <c r="S6798" s="4"/>
    </row>
    <row r="6799" spans="1:19" ht="21" customHeight="1" x14ac:dyDescent="0.25">
      <c r="A6799" s="14">
        <f>DATE(2012,12,31)-516</f>
        <v>40758</v>
      </c>
      <c r="B6799" s="15" t="s">
        <v>198</v>
      </c>
      <c r="C6799" s="15" t="s">
        <v>43</v>
      </c>
      <c r="D6799" s="16">
        <v>47</v>
      </c>
      <c r="E6799" s="17">
        <v>148.26</v>
      </c>
      <c r="F6799" s="16">
        <v>0.04</v>
      </c>
      <c r="G6799" s="15" t="s">
        <v>101</v>
      </c>
      <c r="H6799" s="18">
        <v>49.04</v>
      </c>
      <c r="I6799" s="19">
        <v>2.94</v>
      </c>
      <c r="J6799" s="19">
        <v>0.81</v>
      </c>
      <c r="K6799" s="19" t="s">
        <v>124</v>
      </c>
      <c r="L6799" s="19" t="s">
        <v>160</v>
      </c>
      <c r="M6799" s="15" t="s">
        <v>2281</v>
      </c>
      <c r="N6799" s="15" t="s">
        <v>36</v>
      </c>
      <c r="O6799" s="15" t="s">
        <v>77</v>
      </c>
      <c r="P6799" s="20" t="s">
        <v>1800</v>
      </c>
      <c r="Q6799" s="15" t="s">
        <v>79</v>
      </c>
      <c r="R6799" s="4"/>
      <c r="S6799" s="4"/>
    </row>
    <row r="6800" spans="1:19" ht="21" customHeight="1" x14ac:dyDescent="0.25">
      <c r="A6800" s="14">
        <f>DATE(2012,12,31)-377</f>
        <v>40897</v>
      </c>
      <c r="B6800" s="15" t="s">
        <v>198</v>
      </c>
      <c r="C6800" s="15" t="s">
        <v>85</v>
      </c>
      <c r="D6800" s="16">
        <v>47</v>
      </c>
      <c r="E6800" s="17">
        <v>725.8</v>
      </c>
      <c r="F6800" s="16">
        <v>0.01</v>
      </c>
      <c r="G6800" s="15" t="s">
        <v>101</v>
      </c>
      <c r="H6800" s="18">
        <v>327.45</v>
      </c>
      <c r="I6800" s="19">
        <v>15.04</v>
      </c>
      <c r="J6800" s="19">
        <v>1.97</v>
      </c>
      <c r="K6800" s="19" t="s">
        <v>124</v>
      </c>
      <c r="L6800" s="19" t="s">
        <v>160</v>
      </c>
      <c r="M6800" s="15" t="s">
        <v>2281</v>
      </c>
      <c r="N6800" s="15" t="s">
        <v>36</v>
      </c>
      <c r="O6800" s="15" t="s">
        <v>117</v>
      </c>
      <c r="P6800" s="20" t="s">
        <v>1744</v>
      </c>
      <c r="Q6800" s="15" t="s">
        <v>79</v>
      </c>
      <c r="R6800" s="4"/>
      <c r="S6800" s="4"/>
    </row>
    <row r="6801" spans="1:19" ht="21" customHeight="1" x14ac:dyDescent="0.25">
      <c r="A6801" s="14">
        <f>DATE(2012,12,31)-1369</f>
        <v>39905</v>
      </c>
      <c r="B6801" s="15" t="s">
        <v>198</v>
      </c>
      <c r="C6801" s="15" t="s">
        <v>85</v>
      </c>
      <c r="D6801" s="16">
        <v>17</v>
      </c>
      <c r="E6801" s="17">
        <v>585.47</v>
      </c>
      <c r="F6801" s="16">
        <v>0.1</v>
      </c>
      <c r="G6801" s="15" t="s">
        <v>101</v>
      </c>
      <c r="H6801" s="18">
        <v>178.14</v>
      </c>
      <c r="I6801" s="19">
        <v>37.94</v>
      </c>
      <c r="J6801" s="19">
        <v>5.08</v>
      </c>
      <c r="K6801" s="19" t="s">
        <v>124</v>
      </c>
      <c r="L6801" s="19" t="s">
        <v>160</v>
      </c>
      <c r="M6801" s="15" t="s">
        <v>2281</v>
      </c>
      <c r="N6801" s="15" t="s">
        <v>36</v>
      </c>
      <c r="O6801" s="15" t="s">
        <v>117</v>
      </c>
      <c r="P6801" s="20" t="s">
        <v>2003</v>
      </c>
      <c r="Q6801" s="15" t="s">
        <v>79</v>
      </c>
      <c r="R6801" s="4"/>
      <c r="S6801" s="4"/>
    </row>
    <row r="6802" spans="1:19" ht="21" customHeight="1" x14ac:dyDescent="0.25">
      <c r="A6802" s="14">
        <f>DATE(2012,12,31)-595</f>
        <v>40679</v>
      </c>
      <c r="B6802" s="15" t="s">
        <v>198</v>
      </c>
      <c r="C6802" s="15" t="s">
        <v>51</v>
      </c>
      <c r="D6802" s="16">
        <v>44</v>
      </c>
      <c r="E6802" s="17">
        <v>831.58050000000003</v>
      </c>
      <c r="F6802" s="16">
        <v>0.01</v>
      </c>
      <c r="G6802" s="15" t="s">
        <v>32</v>
      </c>
      <c r="H6802" s="18">
        <v>273.05099999999999</v>
      </c>
      <c r="I6802" s="19">
        <v>20.99</v>
      </c>
      <c r="J6802" s="19">
        <v>0.99</v>
      </c>
      <c r="K6802" s="19" t="s">
        <v>124</v>
      </c>
      <c r="L6802" s="19" t="s">
        <v>160</v>
      </c>
      <c r="M6802" s="15" t="s">
        <v>2281</v>
      </c>
      <c r="N6802" s="15" t="s">
        <v>64</v>
      </c>
      <c r="O6802" s="15" t="s">
        <v>65</v>
      </c>
      <c r="P6802" s="20" t="s">
        <v>1165</v>
      </c>
      <c r="Q6802" s="15" t="s">
        <v>79</v>
      </c>
      <c r="R6802" s="4"/>
      <c r="S6802" s="4"/>
    </row>
    <row r="6803" spans="1:19" ht="21" customHeight="1" x14ac:dyDescent="0.25">
      <c r="A6803" s="14">
        <f>DATE(2012,12,31)-646</f>
        <v>40628</v>
      </c>
      <c r="B6803" s="15" t="s">
        <v>2159</v>
      </c>
      <c r="C6803" s="15" t="s">
        <v>85</v>
      </c>
      <c r="D6803" s="16">
        <v>3</v>
      </c>
      <c r="E6803" s="17">
        <v>13.71</v>
      </c>
      <c r="F6803" s="16">
        <v>0.03</v>
      </c>
      <c r="G6803" s="15" t="s">
        <v>32</v>
      </c>
      <c r="H6803" s="18">
        <v>-10.27</v>
      </c>
      <c r="I6803" s="19">
        <v>3.28</v>
      </c>
      <c r="J6803" s="19">
        <v>3.97</v>
      </c>
      <c r="K6803" s="19" t="s">
        <v>124</v>
      </c>
      <c r="L6803" s="19" t="s">
        <v>493</v>
      </c>
      <c r="M6803" s="15" t="s">
        <v>2299</v>
      </c>
      <c r="N6803" s="15" t="s">
        <v>36</v>
      </c>
      <c r="O6803" s="15" t="s">
        <v>77</v>
      </c>
      <c r="P6803" s="20" t="s">
        <v>1114</v>
      </c>
      <c r="Q6803" s="15" t="s">
        <v>79</v>
      </c>
      <c r="R6803" s="4"/>
      <c r="S6803" s="4"/>
    </row>
    <row r="6804" spans="1:19" ht="21" customHeight="1" x14ac:dyDescent="0.25">
      <c r="A6804" s="14">
        <f>DATE(2012,12,31)-30</f>
        <v>41244</v>
      </c>
      <c r="B6804" s="15" t="s">
        <v>1926</v>
      </c>
      <c r="C6804" s="15" t="s">
        <v>43</v>
      </c>
      <c r="D6804" s="16">
        <v>17</v>
      </c>
      <c r="E6804" s="17">
        <v>464.59</v>
      </c>
      <c r="F6804" s="16">
        <v>7.0000000000000007E-2</v>
      </c>
      <c r="G6804" s="15" t="s">
        <v>32</v>
      </c>
      <c r="H6804" s="18">
        <v>168.215</v>
      </c>
      <c r="I6804" s="19">
        <v>28.53</v>
      </c>
      <c r="J6804" s="19">
        <v>1.49</v>
      </c>
      <c r="K6804" s="19" t="s">
        <v>124</v>
      </c>
      <c r="L6804" s="19" t="s">
        <v>493</v>
      </c>
      <c r="M6804" s="15" t="s">
        <v>2299</v>
      </c>
      <c r="N6804" s="15" t="s">
        <v>36</v>
      </c>
      <c r="O6804" s="15" t="s">
        <v>170</v>
      </c>
      <c r="P6804" s="20" t="s">
        <v>203</v>
      </c>
      <c r="Q6804" s="15" t="s">
        <v>83</v>
      </c>
      <c r="R6804" s="4"/>
      <c r="S6804" s="4"/>
    </row>
    <row r="6805" spans="1:19" ht="21" customHeight="1" x14ac:dyDescent="0.25">
      <c r="A6805" s="14">
        <f>DATE(2012,12,31)-30</f>
        <v>41244</v>
      </c>
      <c r="B6805" s="15" t="s">
        <v>1926</v>
      </c>
      <c r="C6805" s="15" t="s">
        <v>43</v>
      </c>
      <c r="D6805" s="16">
        <v>47</v>
      </c>
      <c r="E6805" s="17">
        <v>316.68</v>
      </c>
      <c r="F6805" s="16">
        <v>0.06</v>
      </c>
      <c r="G6805" s="15" t="s">
        <v>32</v>
      </c>
      <c r="H6805" s="18">
        <v>-161</v>
      </c>
      <c r="I6805" s="19">
        <v>6.48</v>
      </c>
      <c r="J6805" s="19">
        <v>7.49</v>
      </c>
      <c r="K6805" s="19" t="s">
        <v>124</v>
      </c>
      <c r="L6805" s="19" t="s">
        <v>125</v>
      </c>
      <c r="M6805" s="15" t="s">
        <v>2265</v>
      </c>
      <c r="N6805" s="15" t="s">
        <v>36</v>
      </c>
      <c r="O6805" s="15" t="s">
        <v>117</v>
      </c>
      <c r="P6805" s="20" t="s">
        <v>1387</v>
      </c>
      <c r="Q6805" s="15" t="s">
        <v>83</v>
      </c>
      <c r="R6805" s="4"/>
      <c r="S6805" s="4"/>
    </row>
    <row r="6806" spans="1:19" ht="21" customHeight="1" x14ac:dyDescent="0.25">
      <c r="A6806" s="14">
        <f>DATE(2012,12,31)-176</f>
        <v>41098</v>
      </c>
      <c r="B6806" s="15" t="s">
        <v>1926</v>
      </c>
      <c r="C6806" s="15" t="s">
        <v>85</v>
      </c>
      <c r="D6806" s="16">
        <v>6</v>
      </c>
      <c r="E6806" s="17">
        <v>201.83</v>
      </c>
      <c r="F6806" s="16">
        <v>0.02</v>
      </c>
      <c r="G6806" s="15" t="s">
        <v>32</v>
      </c>
      <c r="H6806" s="18">
        <v>34.979999999999997</v>
      </c>
      <c r="I6806" s="19">
        <v>30.98</v>
      </c>
      <c r="J6806" s="19">
        <v>5.09</v>
      </c>
      <c r="K6806" s="19" t="s">
        <v>124</v>
      </c>
      <c r="L6806" s="19" t="s">
        <v>164</v>
      </c>
      <c r="M6806" s="15" t="s">
        <v>2319</v>
      </c>
      <c r="N6806" s="15" t="s">
        <v>36</v>
      </c>
      <c r="O6806" s="15" t="s">
        <v>117</v>
      </c>
      <c r="P6806" s="20" t="s">
        <v>1698</v>
      </c>
      <c r="Q6806" s="15" t="s">
        <v>83</v>
      </c>
      <c r="R6806" s="4"/>
      <c r="S6806" s="4"/>
    </row>
    <row r="6807" spans="1:19" ht="21" customHeight="1" x14ac:dyDescent="0.25">
      <c r="A6807" s="14">
        <f>DATE(2012,12,31)-1041</f>
        <v>40233</v>
      </c>
      <c r="B6807" s="15" t="s">
        <v>1021</v>
      </c>
      <c r="C6807" s="15" t="s">
        <v>51</v>
      </c>
      <c r="D6807" s="16">
        <v>26</v>
      </c>
      <c r="E6807" s="17">
        <v>176.34</v>
      </c>
      <c r="F6807" s="16">
        <v>0</v>
      </c>
      <c r="G6807" s="15" t="s">
        <v>32</v>
      </c>
      <c r="H6807" s="18">
        <v>-103.32</v>
      </c>
      <c r="I6807" s="19">
        <v>6.48</v>
      </c>
      <c r="J6807" s="19">
        <v>7.86</v>
      </c>
      <c r="K6807" s="19" t="s">
        <v>124</v>
      </c>
      <c r="L6807" s="19" t="s">
        <v>168</v>
      </c>
      <c r="M6807" s="15" t="s">
        <v>2324</v>
      </c>
      <c r="N6807" s="15" t="s">
        <v>36</v>
      </c>
      <c r="O6807" s="15" t="s">
        <v>117</v>
      </c>
      <c r="P6807" s="20" t="s">
        <v>532</v>
      </c>
      <c r="Q6807" s="15" t="s">
        <v>83</v>
      </c>
      <c r="R6807" s="4"/>
      <c r="S6807" s="4"/>
    </row>
    <row r="6808" spans="1:19" ht="21" customHeight="1" x14ac:dyDescent="0.25">
      <c r="A6808" s="14">
        <f>DATE(2012,12,31)-1041</f>
        <v>40233</v>
      </c>
      <c r="B6808" s="15" t="s">
        <v>812</v>
      </c>
      <c r="C6808" s="15" t="s">
        <v>51</v>
      </c>
      <c r="D6808" s="16">
        <v>5</v>
      </c>
      <c r="E6808" s="17">
        <v>186.5</v>
      </c>
      <c r="F6808" s="16">
        <v>0.04</v>
      </c>
      <c r="G6808" s="15" t="s">
        <v>101</v>
      </c>
      <c r="H6808" s="18">
        <v>4.1600000000000108</v>
      </c>
      <c r="I6808" s="19">
        <v>37.44</v>
      </c>
      <c r="J6808" s="19">
        <v>4.2699999999999996</v>
      </c>
      <c r="K6808" s="19" t="s">
        <v>124</v>
      </c>
      <c r="L6808" s="19" t="s">
        <v>158</v>
      </c>
      <c r="M6808" s="15" t="s">
        <v>158</v>
      </c>
      <c r="N6808" s="15" t="s">
        <v>36</v>
      </c>
      <c r="O6808" s="15" t="s">
        <v>77</v>
      </c>
      <c r="P6808" s="20" t="s">
        <v>211</v>
      </c>
      <c r="Q6808" s="15" t="s">
        <v>79</v>
      </c>
      <c r="R6808" s="4"/>
      <c r="S6808" s="4"/>
    </row>
    <row r="6809" spans="1:19" ht="21" customHeight="1" x14ac:dyDescent="0.25">
      <c r="A6809" s="14">
        <f>DATE(2012,12,31)-214</f>
        <v>41060</v>
      </c>
      <c r="B6809" s="15" t="s">
        <v>1360</v>
      </c>
      <c r="C6809" s="15" t="s">
        <v>85</v>
      </c>
      <c r="D6809" s="16">
        <v>46</v>
      </c>
      <c r="E6809" s="17">
        <v>7965.9024999999992</v>
      </c>
      <c r="F6809" s="16">
        <v>0.01</v>
      </c>
      <c r="G6809" s="15" t="s">
        <v>32</v>
      </c>
      <c r="H6809" s="18">
        <v>2311.9560000000001</v>
      </c>
      <c r="I6809" s="19">
        <v>195.99</v>
      </c>
      <c r="J6809" s="19">
        <v>8.99</v>
      </c>
      <c r="K6809" s="19" t="s">
        <v>124</v>
      </c>
      <c r="L6809" s="19" t="s">
        <v>125</v>
      </c>
      <c r="M6809" s="15" t="s">
        <v>2325</v>
      </c>
      <c r="N6809" s="15" t="s">
        <v>64</v>
      </c>
      <c r="O6809" s="15" t="s">
        <v>65</v>
      </c>
      <c r="P6809" s="20" t="s">
        <v>1587</v>
      </c>
      <c r="Q6809" s="15" t="s">
        <v>83</v>
      </c>
      <c r="R6809" s="4"/>
      <c r="S6809" s="4"/>
    </row>
    <row r="6810" spans="1:19" ht="21" customHeight="1" x14ac:dyDescent="0.25">
      <c r="A6810" s="14">
        <f>DATE(2012,12,31)-28</f>
        <v>41246</v>
      </c>
      <c r="B6810" s="15" t="s">
        <v>1360</v>
      </c>
      <c r="C6810" s="15" t="s">
        <v>31</v>
      </c>
      <c r="D6810" s="16">
        <v>4</v>
      </c>
      <c r="E6810" s="17">
        <v>16.91</v>
      </c>
      <c r="F6810" s="16">
        <v>0.08</v>
      </c>
      <c r="G6810" s="15" t="s">
        <v>32</v>
      </c>
      <c r="H6810" s="18">
        <v>0.21000000000000085</v>
      </c>
      <c r="I6810" s="19">
        <v>4.13</v>
      </c>
      <c r="J6810" s="19">
        <v>0.5</v>
      </c>
      <c r="K6810" s="19" t="s">
        <v>124</v>
      </c>
      <c r="L6810" s="19" t="s">
        <v>158</v>
      </c>
      <c r="M6810" s="15" t="s">
        <v>158</v>
      </c>
      <c r="N6810" s="15" t="s">
        <v>36</v>
      </c>
      <c r="O6810" s="15" t="s">
        <v>114</v>
      </c>
      <c r="P6810" s="20" t="s">
        <v>960</v>
      </c>
      <c r="Q6810" s="15" t="s">
        <v>83</v>
      </c>
      <c r="R6810" s="4"/>
      <c r="S6810" s="4"/>
    </row>
    <row r="6811" spans="1:19" ht="21" customHeight="1" x14ac:dyDescent="0.25">
      <c r="A6811" s="14">
        <f>DATE(2012,12,31)-28</f>
        <v>41246</v>
      </c>
      <c r="B6811" s="15" t="s">
        <v>1360</v>
      </c>
      <c r="C6811" s="15" t="s">
        <v>31</v>
      </c>
      <c r="D6811" s="16">
        <v>8</v>
      </c>
      <c r="E6811" s="17">
        <v>464.66</v>
      </c>
      <c r="F6811" s="16">
        <v>0.04</v>
      </c>
      <c r="G6811" s="15" t="s">
        <v>32</v>
      </c>
      <c r="H6811" s="18">
        <v>219.02</v>
      </c>
      <c r="I6811" s="19">
        <v>54.74</v>
      </c>
      <c r="J6811" s="19">
        <v>14.83</v>
      </c>
      <c r="K6811" s="19" t="s">
        <v>44</v>
      </c>
      <c r="L6811" s="19" t="s">
        <v>52</v>
      </c>
      <c r="M6811" s="15" t="s">
        <v>2320</v>
      </c>
      <c r="N6811" s="15" t="s">
        <v>54</v>
      </c>
      <c r="O6811" s="15" t="s">
        <v>55</v>
      </c>
      <c r="P6811" s="20" t="s">
        <v>127</v>
      </c>
      <c r="Q6811" s="15" t="s">
        <v>83</v>
      </c>
      <c r="R6811" s="4"/>
      <c r="S6811" s="4"/>
    </row>
    <row r="6812" spans="1:19" ht="21" customHeight="1" x14ac:dyDescent="0.25">
      <c r="A6812" s="14">
        <f>DATE(2012,12,31)-392</f>
        <v>40882</v>
      </c>
      <c r="B6812" s="15" t="s">
        <v>1360</v>
      </c>
      <c r="C6812" s="15" t="s">
        <v>51</v>
      </c>
      <c r="D6812" s="16">
        <v>13</v>
      </c>
      <c r="E6812" s="17">
        <v>66.83</v>
      </c>
      <c r="F6812" s="16">
        <v>0</v>
      </c>
      <c r="G6812" s="15" t="s">
        <v>32</v>
      </c>
      <c r="H6812" s="18">
        <v>23.16</v>
      </c>
      <c r="I6812" s="19">
        <v>4.9800000000000004</v>
      </c>
      <c r="J6812" s="19">
        <v>0.8</v>
      </c>
      <c r="K6812" s="19" t="s">
        <v>44</v>
      </c>
      <c r="L6812" s="19" t="s">
        <v>236</v>
      </c>
      <c r="M6812" s="15" t="s">
        <v>2296</v>
      </c>
      <c r="N6812" s="15" t="s">
        <v>36</v>
      </c>
      <c r="O6812" s="15" t="s">
        <v>117</v>
      </c>
      <c r="P6812" s="20" t="s">
        <v>1550</v>
      </c>
      <c r="Q6812" s="15" t="s">
        <v>79</v>
      </c>
      <c r="R6812" s="4"/>
      <c r="S6812" s="4"/>
    </row>
    <row r="6813" spans="1:19" ht="21" customHeight="1" x14ac:dyDescent="0.25">
      <c r="A6813" s="14">
        <f>DATE(2012,12,31)-1064</f>
        <v>40210</v>
      </c>
      <c r="B6813" s="15" t="s">
        <v>448</v>
      </c>
      <c r="C6813" s="15" t="s">
        <v>51</v>
      </c>
      <c r="D6813" s="16">
        <v>36</v>
      </c>
      <c r="E6813" s="17">
        <v>111.83</v>
      </c>
      <c r="F6813" s="16">
        <v>0</v>
      </c>
      <c r="G6813" s="15" t="s">
        <v>32</v>
      </c>
      <c r="H6813" s="18">
        <v>19.36</v>
      </c>
      <c r="I6813" s="19">
        <v>2.94</v>
      </c>
      <c r="J6813" s="19">
        <v>0.7</v>
      </c>
      <c r="K6813" s="19" t="s">
        <v>44</v>
      </c>
      <c r="L6813" s="19" t="s">
        <v>52</v>
      </c>
      <c r="M6813" s="15" t="s">
        <v>2320</v>
      </c>
      <c r="N6813" s="15" t="s">
        <v>36</v>
      </c>
      <c r="O6813" s="15" t="s">
        <v>77</v>
      </c>
      <c r="P6813" s="20" t="s">
        <v>547</v>
      </c>
      <c r="Q6813" s="15" t="s">
        <v>79</v>
      </c>
      <c r="R6813" s="4"/>
      <c r="S6813" s="4"/>
    </row>
    <row r="6814" spans="1:19" ht="21" customHeight="1" x14ac:dyDescent="0.25">
      <c r="A6814" s="14">
        <f>DATE(2012,12,31)-1064</f>
        <v>40210</v>
      </c>
      <c r="B6814" s="15" t="s">
        <v>1944</v>
      </c>
      <c r="C6814" s="15" t="s">
        <v>51</v>
      </c>
      <c r="D6814" s="16">
        <v>50</v>
      </c>
      <c r="E6814" s="17">
        <v>4159.6279999999997</v>
      </c>
      <c r="F6814" s="16">
        <v>0.05</v>
      </c>
      <c r="G6814" s="15" t="s">
        <v>101</v>
      </c>
      <c r="H6814" s="18">
        <v>1332.9090000000001</v>
      </c>
      <c r="I6814" s="19">
        <v>95.99</v>
      </c>
      <c r="J6814" s="19">
        <v>4.9000000000000004</v>
      </c>
      <c r="K6814" s="19" t="s">
        <v>44</v>
      </c>
      <c r="L6814" s="19" t="s">
        <v>52</v>
      </c>
      <c r="M6814" s="15" t="s">
        <v>2320</v>
      </c>
      <c r="N6814" s="15" t="s">
        <v>64</v>
      </c>
      <c r="O6814" s="15" t="s">
        <v>65</v>
      </c>
      <c r="P6814" s="20" t="s">
        <v>873</v>
      </c>
      <c r="Q6814" s="15" t="s">
        <v>83</v>
      </c>
      <c r="R6814" s="4"/>
      <c r="S6814" s="4"/>
    </row>
    <row r="6815" spans="1:19" ht="21" customHeight="1" x14ac:dyDescent="0.25">
      <c r="A6815" s="14">
        <f>DATE(2012,12,31)-1064</f>
        <v>40210</v>
      </c>
      <c r="B6815" s="15" t="s">
        <v>1412</v>
      </c>
      <c r="C6815" s="15" t="s">
        <v>51</v>
      </c>
      <c r="D6815" s="16">
        <v>4</v>
      </c>
      <c r="E6815" s="17">
        <v>37.729999999999997</v>
      </c>
      <c r="F6815" s="16">
        <v>0.06</v>
      </c>
      <c r="G6815" s="15" t="s">
        <v>32</v>
      </c>
      <c r="H6815" s="18">
        <v>-13.72</v>
      </c>
      <c r="I6815" s="19">
        <v>8.67</v>
      </c>
      <c r="J6815" s="19">
        <v>3.5</v>
      </c>
      <c r="K6815" s="19" t="s">
        <v>44</v>
      </c>
      <c r="L6815" s="19" t="s">
        <v>52</v>
      </c>
      <c r="M6815" s="15" t="s">
        <v>2320</v>
      </c>
      <c r="N6815" s="15" t="s">
        <v>36</v>
      </c>
      <c r="O6815" s="15" t="s">
        <v>176</v>
      </c>
      <c r="P6815" s="20" t="s">
        <v>308</v>
      </c>
      <c r="Q6815" s="15" t="s">
        <v>83</v>
      </c>
      <c r="R6815" s="4"/>
      <c r="S6815" s="4"/>
    </row>
    <row r="6816" spans="1:19" ht="21" customHeight="1" x14ac:dyDescent="0.25">
      <c r="A6816" s="14">
        <f>DATE(2012,12,31)-1064</f>
        <v>40210</v>
      </c>
      <c r="B6816" s="15" t="s">
        <v>1412</v>
      </c>
      <c r="C6816" s="15" t="s">
        <v>51</v>
      </c>
      <c r="D6816" s="16">
        <v>5</v>
      </c>
      <c r="E6816" s="17">
        <v>519.69000000000005</v>
      </c>
      <c r="F6816" s="16">
        <v>0.02</v>
      </c>
      <c r="G6816" s="15" t="s">
        <v>101</v>
      </c>
      <c r="H6816" s="18">
        <v>-122.09</v>
      </c>
      <c r="I6816" s="19">
        <v>100.98</v>
      </c>
      <c r="J6816" s="19">
        <v>7.18</v>
      </c>
      <c r="K6816" s="19" t="s">
        <v>44</v>
      </c>
      <c r="L6816" s="19" t="s">
        <v>52</v>
      </c>
      <c r="M6816" s="15" t="s">
        <v>2320</v>
      </c>
      <c r="N6816" s="15" t="s">
        <v>64</v>
      </c>
      <c r="O6816" s="15" t="s">
        <v>72</v>
      </c>
      <c r="P6816" s="20" t="s">
        <v>1584</v>
      </c>
      <c r="Q6816" s="15" t="s">
        <v>83</v>
      </c>
      <c r="R6816" s="4"/>
      <c r="S6816" s="4"/>
    </row>
    <row r="6817" spans="1:19" ht="21" customHeight="1" x14ac:dyDescent="0.25">
      <c r="A6817" s="14">
        <f>DATE(2012,12,31)-74</f>
        <v>41200</v>
      </c>
      <c r="B6817" s="15" t="s">
        <v>468</v>
      </c>
      <c r="C6817" s="15" t="s">
        <v>85</v>
      </c>
      <c r="D6817" s="16">
        <v>14</v>
      </c>
      <c r="E6817" s="17">
        <v>9171.7099999999991</v>
      </c>
      <c r="F6817" s="16">
        <v>0.06</v>
      </c>
      <c r="G6817" s="15" t="s">
        <v>58</v>
      </c>
      <c r="H6817" s="18">
        <v>2636.01</v>
      </c>
      <c r="I6817" s="19">
        <v>808.49</v>
      </c>
      <c r="J6817" s="19">
        <v>55.3</v>
      </c>
      <c r="K6817" s="19" t="s">
        <v>44</v>
      </c>
      <c r="L6817" s="19" t="s">
        <v>52</v>
      </c>
      <c r="M6817" s="15" t="s">
        <v>2320</v>
      </c>
      <c r="N6817" s="15" t="s">
        <v>64</v>
      </c>
      <c r="O6817" s="15" t="s">
        <v>122</v>
      </c>
      <c r="P6817" s="20" t="s">
        <v>1662</v>
      </c>
      <c r="Q6817" s="15" t="s">
        <v>181</v>
      </c>
      <c r="R6817" s="4"/>
      <c r="S6817" s="4"/>
    </row>
    <row r="6818" spans="1:19" ht="21" customHeight="1" x14ac:dyDescent="0.25">
      <c r="A6818" s="14">
        <f>DATE(2012,12,31)-74</f>
        <v>41200</v>
      </c>
      <c r="B6818" s="15" t="s">
        <v>1554</v>
      </c>
      <c r="C6818" s="15" t="s">
        <v>85</v>
      </c>
      <c r="D6818" s="16">
        <v>6</v>
      </c>
      <c r="E6818" s="17">
        <v>18.05</v>
      </c>
      <c r="F6818" s="16">
        <v>0.06</v>
      </c>
      <c r="G6818" s="15" t="s">
        <v>32</v>
      </c>
      <c r="H6818" s="18">
        <v>0.13</v>
      </c>
      <c r="I6818" s="19">
        <v>2.88</v>
      </c>
      <c r="J6818" s="19">
        <v>0.99</v>
      </c>
      <c r="K6818" s="19" t="s">
        <v>44</v>
      </c>
      <c r="L6818" s="19" t="s">
        <v>236</v>
      </c>
      <c r="M6818" s="15" t="s">
        <v>2296</v>
      </c>
      <c r="N6818" s="15" t="s">
        <v>36</v>
      </c>
      <c r="O6818" s="15" t="s">
        <v>114</v>
      </c>
      <c r="P6818" s="20" t="s">
        <v>902</v>
      </c>
      <c r="Q6818" s="15" t="s">
        <v>83</v>
      </c>
      <c r="R6818" s="4"/>
      <c r="S6818" s="4"/>
    </row>
    <row r="6819" spans="1:19" ht="21" customHeight="1" x14ac:dyDescent="0.25">
      <c r="A6819" s="14">
        <f>DATE(2012,12,31)-74</f>
        <v>41200</v>
      </c>
      <c r="B6819" s="15" t="s">
        <v>595</v>
      </c>
      <c r="C6819" s="15" t="s">
        <v>85</v>
      </c>
      <c r="D6819" s="16">
        <v>50</v>
      </c>
      <c r="E6819" s="17">
        <v>2896.3579999999997</v>
      </c>
      <c r="F6819" s="16">
        <v>0</v>
      </c>
      <c r="G6819" s="15" t="s">
        <v>32</v>
      </c>
      <c r="H6819" s="18">
        <v>583.49700000000007</v>
      </c>
      <c r="I6819" s="19">
        <v>65.989999999999995</v>
      </c>
      <c r="J6819" s="19">
        <v>8.99</v>
      </c>
      <c r="K6819" s="19" t="s">
        <v>44</v>
      </c>
      <c r="L6819" s="19" t="s">
        <v>52</v>
      </c>
      <c r="M6819" s="15" t="s">
        <v>2320</v>
      </c>
      <c r="N6819" s="15" t="s">
        <v>64</v>
      </c>
      <c r="O6819" s="15" t="s">
        <v>65</v>
      </c>
      <c r="P6819" s="20" t="s">
        <v>1616</v>
      </c>
      <c r="Q6819" s="15" t="s">
        <v>83</v>
      </c>
      <c r="R6819" s="4"/>
      <c r="S6819" s="4"/>
    </row>
    <row r="6820" spans="1:19" ht="21" customHeight="1" x14ac:dyDescent="0.25">
      <c r="A6820" s="14">
        <f>DATE(2012,12,31)-5</f>
        <v>41269</v>
      </c>
      <c r="B6820" s="15" t="s">
        <v>1188</v>
      </c>
      <c r="C6820" s="15" t="s">
        <v>51</v>
      </c>
      <c r="D6820" s="16">
        <v>43</v>
      </c>
      <c r="E6820" s="17">
        <v>255.7</v>
      </c>
      <c r="F6820" s="16">
        <v>0</v>
      </c>
      <c r="G6820" s="15" t="s">
        <v>32</v>
      </c>
      <c r="H6820" s="18">
        <v>-35.74</v>
      </c>
      <c r="I6820" s="19">
        <v>5.81</v>
      </c>
      <c r="J6820" s="19">
        <v>3.37</v>
      </c>
      <c r="K6820" s="19" t="s">
        <v>44</v>
      </c>
      <c r="L6820" s="19" t="s">
        <v>52</v>
      </c>
      <c r="M6820" s="15" t="s">
        <v>2320</v>
      </c>
      <c r="N6820" s="15" t="s">
        <v>36</v>
      </c>
      <c r="O6820" s="15" t="s">
        <v>105</v>
      </c>
      <c r="P6820" s="20" t="s">
        <v>1326</v>
      </c>
      <c r="Q6820" s="15" t="s">
        <v>79</v>
      </c>
      <c r="R6820" s="4"/>
      <c r="S6820" s="4"/>
    </row>
    <row r="6821" spans="1:19" ht="21" customHeight="1" x14ac:dyDescent="0.25">
      <c r="A6821" s="14">
        <f>DATE(2012,12,31)-249</f>
        <v>41025</v>
      </c>
      <c r="B6821" s="15" t="s">
        <v>562</v>
      </c>
      <c r="C6821" s="15" t="s">
        <v>43</v>
      </c>
      <c r="D6821" s="16">
        <v>36</v>
      </c>
      <c r="E6821" s="17">
        <v>570.14</v>
      </c>
      <c r="F6821" s="16">
        <v>0.03</v>
      </c>
      <c r="G6821" s="15" t="s">
        <v>32</v>
      </c>
      <c r="H6821" s="18">
        <v>-90.72</v>
      </c>
      <c r="I6821" s="19">
        <v>15.31</v>
      </c>
      <c r="J6821" s="19">
        <v>8.7799999999999994</v>
      </c>
      <c r="K6821" s="19" t="s">
        <v>44</v>
      </c>
      <c r="L6821" s="19" t="s">
        <v>45</v>
      </c>
      <c r="M6821" s="15" t="s">
        <v>2271</v>
      </c>
      <c r="N6821" s="15" t="s">
        <v>36</v>
      </c>
      <c r="O6821" s="15" t="s">
        <v>37</v>
      </c>
      <c r="P6821" s="20" t="s">
        <v>1566</v>
      </c>
      <c r="Q6821" s="15" t="s">
        <v>83</v>
      </c>
      <c r="R6821" s="4"/>
      <c r="S6821" s="4"/>
    </row>
    <row r="6822" spans="1:19" ht="21" customHeight="1" x14ac:dyDescent="0.25">
      <c r="A6822" s="14">
        <f>DATE(2012,12,31)-357</f>
        <v>40917</v>
      </c>
      <c r="B6822" s="15" t="s">
        <v>562</v>
      </c>
      <c r="C6822" s="15" t="s">
        <v>51</v>
      </c>
      <c r="D6822" s="16">
        <v>11</v>
      </c>
      <c r="E6822" s="17">
        <v>1247.8595</v>
      </c>
      <c r="F6822" s="16">
        <v>0.01</v>
      </c>
      <c r="G6822" s="15" t="s">
        <v>32</v>
      </c>
      <c r="H6822" s="18">
        <v>-55.802999999999997</v>
      </c>
      <c r="I6822" s="19">
        <v>125.99</v>
      </c>
      <c r="J6822" s="19">
        <v>8.99</v>
      </c>
      <c r="K6822" s="19" t="s">
        <v>111</v>
      </c>
      <c r="L6822" s="19" t="s">
        <v>2301</v>
      </c>
      <c r="M6822" s="15" t="s">
        <v>2302</v>
      </c>
      <c r="N6822" s="15" t="s">
        <v>64</v>
      </c>
      <c r="O6822" s="15" t="s">
        <v>65</v>
      </c>
      <c r="P6822" s="20" t="s">
        <v>985</v>
      </c>
      <c r="Q6822" s="15" t="s">
        <v>83</v>
      </c>
      <c r="R6822" s="4"/>
      <c r="S6822" s="4"/>
    </row>
    <row r="6823" spans="1:19" ht="21" customHeight="1" x14ac:dyDescent="0.25">
      <c r="A6823" s="14">
        <f>DATE(2012,12,31)-62</f>
        <v>41212</v>
      </c>
      <c r="B6823" s="15" t="s">
        <v>119</v>
      </c>
      <c r="C6823" s="15" t="s">
        <v>31</v>
      </c>
      <c r="D6823" s="16">
        <v>28</v>
      </c>
      <c r="E6823" s="17">
        <v>31.2</v>
      </c>
      <c r="F6823" s="16">
        <v>0.09</v>
      </c>
      <c r="G6823" s="15" t="s">
        <v>32</v>
      </c>
      <c r="H6823" s="18">
        <v>-2.81</v>
      </c>
      <c r="I6823" s="19">
        <v>1.1399999999999999</v>
      </c>
      <c r="J6823" s="19">
        <v>0.7</v>
      </c>
      <c r="K6823" s="19" t="s">
        <v>44</v>
      </c>
      <c r="L6823" s="19" t="s">
        <v>120</v>
      </c>
      <c r="M6823" s="15" t="s">
        <v>2262</v>
      </c>
      <c r="N6823" s="15" t="s">
        <v>36</v>
      </c>
      <c r="O6823" s="15" t="s">
        <v>105</v>
      </c>
      <c r="P6823" s="20" t="s">
        <v>1385</v>
      </c>
      <c r="Q6823" s="15" t="s">
        <v>79</v>
      </c>
      <c r="R6823" s="4"/>
      <c r="S6823" s="4"/>
    </row>
    <row r="6824" spans="1:19" ht="21" customHeight="1" x14ac:dyDescent="0.25">
      <c r="A6824" s="14">
        <f>DATE(2012,12,31)-62</f>
        <v>41212</v>
      </c>
      <c r="B6824" s="15" t="s">
        <v>1518</v>
      </c>
      <c r="C6824" s="15" t="s">
        <v>31</v>
      </c>
      <c r="D6824" s="16">
        <v>18</v>
      </c>
      <c r="E6824" s="17">
        <v>132.78</v>
      </c>
      <c r="F6824" s="16">
        <v>0.09</v>
      </c>
      <c r="G6824" s="15" t="s">
        <v>32</v>
      </c>
      <c r="H6824" s="18">
        <v>-130.96</v>
      </c>
      <c r="I6824" s="19">
        <v>7.28</v>
      </c>
      <c r="J6824" s="19">
        <v>11.15</v>
      </c>
      <c r="K6824" s="19" t="s">
        <v>97</v>
      </c>
      <c r="L6824" s="19" t="s">
        <v>195</v>
      </c>
      <c r="M6824" s="15" t="s">
        <v>2138</v>
      </c>
      <c r="N6824" s="15" t="s">
        <v>36</v>
      </c>
      <c r="O6824" s="15" t="s">
        <v>117</v>
      </c>
      <c r="P6824" s="20" t="s">
        <v>912</v>
      </c>
      <c r="Q6824" s="15" t="s">
        <v>83</v>
      </c>
      <c r="R6824" s="4"/>
      <c r="S6824" s="4"/>
    </row>
    <row r="6825" spans="1:19" ht="21" customHeight="1" x14ac:dyDescent="0.25">
      <c r="A6825" s="14">
        <f>DATE(2012,12,31)-491</f>
        <v>40783</v>
      </c>
      <c r="B6825" s="15" t="s">
        <v>1518</v>
      </c>
      <c r="C6825" s="15" t="s">
        <v>51</v>
      </c>
      <c r="D6825" s="16">
        <v>17</v>
      </c>
      <c r="E6825" s="17">
        <v>47.12</v>
      </c>
      <c r="F6825" s="16">
        <v>0.01</v>
      </c>
      <c r="G6825" s="15" t="s">
        <v>32</v>
      </c>
      <c r="H6825" s="18">
        <v>-47.01</v>
      </c>
      <c r="I6825" s="19">
        <v>2.52</v>
      </c>
      <c r="J6825" s="19">
        <v>4.28</v>
      </c>
      <c r="K6825" s="19" t="s">
        <v>33</v>
      </c>
      <c r="L6825" s="19" t="s">
        <v>128</v>
      </c>
      <c r="M6825" s="15" t="s">
        <v>129</v>
      </c>
      <c r="N6825" s="15" t="s">
        <v>36</v>
      </c>
      <c r="O6825" s="15" t="s">
        <v>77</v>
      </c>
      <c r="P6825" s="20" t="s">
        <v>1025</v>
      </c>
      <c r="Q6825" s="15" t="s">
        <v>79</v>
      </c>
      <c r="R6825" s="4"/>
      <c r="S6825" s="4"/>
    </row>
    <row r="6826" spans="1:19" ht="21" customHeight="1" x14ac:dyDescent="0.25">
      <c r="A6826" s="14">
        <f>DATE(2012,12,31)-1132</f>
        <v>40142</v>
      </c>
      <c r="B6826" s="15" t="s">
        <v>1166</v>
      </c>
      <c r="C6826" s="15" t="s">
        <v>85</v>
      </c>
      <c r="D6826" s="16">
        <v>4</v>
      </c>
      <c r="E6826" s="17">
        <v>29.24</v>
      </c>
      <c r="F6826" s="16">
        <v>0.01</v>
      </c>
      <c r="G6826" s="15" t="s">
        <v>32</v>
      </c>
      <c r="H6826" s="18">
        <v>-1.73</v>
      </c>
      <c r="I6826" s="19">
        <v>6.98</v>
      </c>
      <c r="J6826" s="19">
        <v>1.6</v>
      </c>
      <c r="K6826" s="19" t="s">
        <v>33</v>
      </c>
      <c r="L6826" s="19" t="s">
        <v>34</v>
      </c>
      <c r="M6826" s="15" t="s">
        <v>2315</v>
      </c>
      <c r="N6826" s="15" t="s">
        <v>36</v>
      </c>
      <c r="O6826" s="15" t="s">
        <v>117</v>
      </c>
      <c r="P6826" s="20" t="s">
        <v>387</v>
      </c>
      <c r="Q6826" s="15" t="s">
        <v>79</v>
      </c>
      <c r="R6826" s="4"/>
      <c r="S6826" s="4"/>
    </row>
    <row r="6827" spans="1:19" ht="21" customHeight="1" x14ac:dyDescent="0.25">
      <c r="A6827" s="14">
        <f>DATE(2012,12,31)-258</f>
        <v>41016</v>
      </c>
      <c r="B6827" s="15" t="s">
        <v>2077</v>
      </c>
      <c r="C6827" s="15" t="s">
        <v>43</v>
      </c>
      <c r="D6827" s="16">
        <v>42</v>
      </c>
      <c r="E6827" s="17">
        <v>825.63</v>
      </c>
      <c r="F6827" s="16">
        <v>0.03</v>
      </c>
      <c r="G6827" s="15" t="s">
        <v>32</v>
      </c>
      <c r="H6827" s="18">
        <v>379.73750000000001</v>
      </c>
      <c r="I6827" s="19">
        <v>18.940000000000001</v>
      </c>
      <c r="J6827" s="19">
        <v>1.49</v>
      </c>
      <c r="K6827" s="19" t="s">
        <v>69</v>
      </c>
      <c r="L6827" s="19" t="s">
        <v>70</v>
      </c>
      <c r="M6827" s="15" t="s">
        <v>2230</v>
      </c>
      <c r="N6827" s="15" t="s">
        <v>36</v>
      </c>
      <c r="O6827" s="15" t="s">
        <v>170</v>
      </c>
      <c r="P6827" s="20" t="s">
        <v>653</v>
      </c>
      <c r="Q6827" s="15" t="s">
        <v>83</v>
      </c>
      <c r="R6827" s="4"/>
      <c r="S6827" s="4"/>
    </row>
    <row r="6828" spans="1:19" ht="21" customHeight="1" x14ac:dyDescent="0.25">
      <c r="A6828" s="14">
        <f>DATE(2012,12,31)-1329</f>
        <v>39945</v>
      </c>
      <c r="B6828" s="15" t="s">
        <v>2077</v>
      </c>
      <c r="C6828" s="15" t="s">
        <v>85</v>
      </c>
      <c r="D6828" s="16">
        <v>44</v>
      </c>
      <c r="E6828" s="17">
        <v>3202.25</v>
      </c>
      <c r="F6828" s="16">
        <v>0.09</v>
      </c>
      <c r="G6828" s="15" t="s">
        <v>32</v>
      </c>
      <c r="H6828" s="18">
        <v>991.26</v>
      </c>
      <c r="I6828" s="19">
        <v>78.69</v>
      </c>
      <c r="J6828" s="19">
        <v>19.989999999999998</v>
      </c>
      <c r="K6828" s="19" t="s">
        <v>44</v>
      </c>
      <c r="L6828" s="19" t="s">
        <v>89</v>
      </c>
      <c r="M6828" s="15" t="s">
        <v>2305</v>
      </c>
      <c r="N6828" s="15" t="s">
        <v>54</v>
      </c>
      <c r="O6828" s="15" t="s">
        <v>55</v>
      </c>
      <c r="P6828" s="20" t="s">
        <v>1968</v>
      </c>
      <c r="Q6828" s="15" t="s">
        <v>83</v>
      </c>
      <c r="R6828" s="4"/>
      <c r="S6828" s="4"/>
    </row>
    <row r="6829" spans="1:19" ht="21" customHeight="1" x14ac:dyDescent="0.25">
      <c r="A6829" s="14">
        <f>DATE(2012,12,31)-1329</f>
        <v>39945</v>
      </c>
      <c r="B6829" s="15" t="s">
        <v>548</v>
      </c>
      <c r="C6829" s="15" t="s">
        <v>85</v>
      </c>
      <c r="D6829" s="16">
        <v>11</v>
      </c>
      <c r="E6829" s="17">
        <v>81.25</v>
      </c>
      <c r="F6829" s="16">
        <v>0.01</v>
      </c>
      <c r="G6829" s="15" t="s">
        <v>32</v>
      </c>
      <c r="H6829" s="18">
        <v>-44.54</v>
      </c>
      <c r="I6829" s="19">
        <v>6.48</v>
      </c>
      <c r="J6829" s="19">
        <v>7.86</v>
      </c>
      <c r="K6829" s="19" t="s">
        <v>124</v>
      </c>
      <c r="L6829" s="19" t="s">
        <v>160</v>
      </c>
      <c r="M6829" s="15" t="s">
        <v>2281</v>
      </c>
      <c r="N6829" s="15" t="s">
        <v>36</v>
      </c>
      <c r="O6829" s="15" t="s">
        <v>117</v>
      </c>
      <c r="P6829" s="20" t="s">
        <v>487</v>
      </c>
      <c r="Q6829" s="15" t="s">
        <v>83</v>
      </c>
      <c r="R6829" s="4"/>
      <c r="S6829" s="4"/>
    </row>
    <row r="6830" spans="1:19" ht="21" customHeight="1" x14ac:dyDescent="0.25">
      <c r="A6830" s="14">
        <f>DATE(2012,12,31)-1329</f>
        <v>39945</v>
      </c>
      <c r="B6830" s="15" t="s">
        <v>764</v>
      </c>
      <c r="C6830" s="15" t="s">
        <v>85</v>
      </c>
      <c r="D6830" s="16">
        <v>18</v>
      </c>
      <c r="E6830" s="17">
        <v>57.17</v>
      </c>
      <c r="F6830" s="16">
        <v>0.08</v>
      </c>
      <c r="G6830" s="15" t="s">
        <v>32</v>
      </c>
      <c r="H6830" s="18">
        <v>-24.03</v>
      </c>
      <c r="I6830" s="19">
        <v>3.28</v>
      </c>
      <c r="J6830" s="19">
        <v>2.31</v>
      </c>
      <c r="K6830" s="19" t="s">
        <v>44</v>
      </c>
      <c r="L6830" s="19" t="s">
        <v>52</v>
      </c>
      <c r="M6830" s="15" t="s">
        <v>2320</v>
      </c>
      <c r="N6830" s="15" t="s">
        <v>36</v>
      </c>
      <c r="O6830" s="15" t="s">
        <v>77</v>
      </c>
      <c r="P6830" s="20" t="s">
        <v>987</v>
      </c>
      <c r="Q6830" s="15" t="s">
        <v>79</v>
      </c>
      <c r="R6830" s="4"/>
      <c r="S6830" s="4"/>
    </row>
    <row r="6831" spans="1:19" ht="21" customHeight="1" x14ac:dyDescent="0.25">
      <c r="A6831" s="14">
        <f>DATE(2012,12,31)-1329</f>
        <v>39945</v>
      </c>
      <c r="B6831" s="15" t="s">
        <v>764</v>
      </c>
      <c r="C6831" s="15" t="s">
        <v>85</v>
      </c>
      <c r="D6831" s="16">
        <v>12</v>
      </c>
      <c r="E6831" s="17">
        <v>41.97</v>
      </c>
      <c r="F6831" s="16">
        <v>0.05</v>
      </c>
      <c r="G6831" s="15" t="s">
        <v>32</v>
      </c>
      <c r="H6831" s="18">
        <v>-37.03</v>
      </c>
      <c r="I6831" s="19">
        <v>3.28</v>
      </c>
      <c r="J6831" s="19">
        <v>4.2</v>
      </c>
      <c r="K6831" s="19" t="s">
        <v>44</v>
      </c>
      <c r="L6831" s="19" t="s">
        <v>52</v>
      </c>
      <c r="M6831" s="15" t="s">
        <v>2320</v>
      </c>
      <c r="N6831" s="15" t="s">
        <v>36</v>
      </c>
      <c r="O6831" s="15" t="s">
        <v>77</v>
      </c>
      <c r="P6831" s="20" t="s">
        <v>477</v>
      </c>
      <c r="Q6831" s="15" t="s">
        <v>79</v>
      </c>
      <c r="R6831" s="4"/>
      <c r="S6831" s="4"/>
    </row>
    <row r="6832" spans="1:19" ht="21" customHeight="1" x14ac:dyDescent="0.25">
      <c r="A6832" s="14">
        <f>DATE(2012,12,31)-1329</f>
        <v>39945</v>
      </c>
      <c r="B6832" s="15" t="s">
        <v>764</v>
      </c>
      <c r="C6832" s="15" t="s">
        <v>85</v>
      </c>
      <c r="D6832" s="16">
        <v>10</v>
      </c>
      <c r="E6832" s="17">
        <v>35.64</v>
      </c>
      <c r="F6832" s="16">
        <v>0.05</v>
      </c>
      <c r="G6832" s="15" t="s">
        <v>32</v>
      </c>
      <c r="H6832" s="18">
        <v>-0.71</v>
      </c>
      <c r="I6832" s="19">
        <v>3.58</v>
      </c>
      <c r="J6832" s="19">
        <v>1.63</v>
      </c>
      <c r="K6832" s="19" t="s">
        <v>69</v>
      </c>
      <c r="L6832" s="19" t="s">
        <v>70</v>
      </c>
      <c r="M6832" s="15" t="s">
        <v>2230</v>
      </c>
      <c r="N6832" s="15" t="s">
        <v>36</v>
      </c>
      <c r="O6832" s="15" t="s">
        <v>105</v>
      </c>
      <c r="P6832" s="20" t="s">
        <v>841</v>
      </c>
      <c r="Q6832" s="15" t="s">
        <v>79</v>
      </c>
      <c r="R6832" s="4"/>
      <c r="S6832" s="4"/>
    </row>
    <row r="6833" spans="1:19" ht="21" customHeight="1" x14ac:dyDescent="0.25">
      <c r="A6833" s="14">
        <f>DATE(2012,12,31)-1446</f>
        <v>39828</v>
      </c>
      <c r="B6833" s="15" t="s">
        <v>764</v>
      </c>
      <c r="C6833" s="15" t="s">
        <v>85</v>
      </c>
      <c r="D6833" s="16">
        <v>7</v>
      </c>
      <c r="E6833" s="17">
        <v>51.27</v>
      </c>
      <c r="F6833" s="16">
        <v>0.06</v>
      </c>
      <c r="G6833" s="15" t="s">
        <v>32</v>
      </c>
      <c r="H6833" s="18">
        <v>3.27</v>
      </c>
      <c r="I6833" s="19">
        <v>7.04</v>
      </c>
      <c r="J6833" s="19">
        <v>2.17</v>
      </c>
      <c r="K6833" s="19" t="s">
        <v>44</v>
      </c>
      <c r="L6833" s="19" t="s">
        <v>89</v>
      </c>
      <c r="M6833" s="15" t="s">
        <v>2326</v>
      </c>
      <c r="N6833" s="15" t="s">
        <v>36</v>
      </c>
      <c r="O6833" s="15" t="s">
        <v>117</v>
      </c>
      <c r="P6833" s="20" t="s">
        <v>1686</v>
      </c>
      <c r="Q6833" s="15" t="s">
        <v>79</v>
      </c>
      <c r="R6833" s="4"/>
      <c r="S6833" s="4"/>
    </row>
    <row r="6834" spans="1:19" ht="21" customHeight="1" x14ac:dyDescent="0.25">
      <c r="A6834" s="14">
        <f>DATE(2012,12,31)-144</f>
        <v>41130</v>
      </c>
      <c r="B6834" s="15" t="s">
        <v>1681</v>
      </c>
      <c r="C6834" s="15" t="s">
        <v>51</v>
      </c>
      <c r="D6834" s="16">
        <v>31</v>
      </c>
      <c r="E6834" s="17">
        <v>7323.78</v>
      </c>
      <c r="F6834" s="16">
        <v>0.04</v>
      </c>
      <c r="G6834" s="15" t="s">
        <v>58</v>
      </c>
      <c r="H6834" s="18">
        <v>573.54999999999995</v>
      </c>
      <c r="I6834" s="19">
        <v>243.98</v>
      </c>
      <c r="J6834" s="19">
        <v>62.94</v>
      </c>
      <c r="K6834" s="19" t="s">
        <v>44</v>
      </c>
      <c r="L6834" s="19" t="s">
        <v>89</v>
      </c>
      <c r="M6834" s="15" t="s">
        <v>2326</v>
      </c>
      <c r="N6834" s="15" t="s">
        <v>54</v>
      </c>
      <c r="O6834" s="15" t="s">
        <v>252</v>
      </c>
      <c r="P6834" s="20" t="s">
        <v>2035</v>
      </c>
      <c r="Q6834" s="15" t="s">
        <v>181</v>
      </c>
      <c r="R6834" s="4"/>
      <c r="S6834" s="4"/>
    </row>
    <row r="6835" spans="1:19" ht="21" customHeight="1" x14ac:dyDescent="0.25">
      <c r="A6835" s="14">
        <f>DATE(2012,12,31)-1212</f>
        <v>40062</v>
      </c>
      <c r="B6835" s="15" t="s">
        <v>1681</v>
      </c>
      <c r="C6835" s="15" t="s">
        <v>31</v>
      </c>
      <c r="D6835" s="16">
        <v>17</v>
      </c>
      <c r="E6835" s="17">
        <v>108.11</v>
      </c>
      <c r="F6835" s="16">
        <v>0.09</v>
      </c>
      <c r="G6835" s="15" t="s">
        <v>32</v>
      </c>
      <c r="H6835" s="18">
        <v>-62.23</v>
      </c>
      <c r="I6835" s="19">
        <v>6.48</v>
      </c>
      <c r="J6835" s="19">
        <v>6.86</v>
      </c>
      <c r="K6835" s="19" t="s">
        <v>44</v>
      </c>
      <c r="L6835" s="19" t="s">
        <v>45</v>
      </c>
      <c r="M6835" s="15" t="s">
        <v>2271</v>
      </c>
      <c r="N6835" s="15" t="s">
        <v>36</v>
      </c>
      <c r="O6835" s="15" t="s">
        <v>117</v>
      </c>
      <c r="P6835" s="20" t="s">
        <v>1153</v>
      </c>
      <c r="Q6835" s="15" t="s">
        <v>83</v>
      </c>
      <c r="R6835" s="4"/>
      <c r="S6835" s="4"/>
    </row>
    <row r="6836" spans="1:19" ht="21" customHeight="1" x14ac:dyDescent="0.25">
      <c r="A6836" s="14">
        <f>DATE(2012,12,31)-801</f>
        <v>40473</v>
      </c>
      <c r="B6836" s="15" t="s">
        <v>1681</v>
      </c>
      <c r="C6836" s="15" t="s">
        <v>43</v>
      </c>
      <c r="D6836" s="16">
        <v>8</v>
      </c>
      <c r="E6836" s="17">
        <v>28761.52</v>
      </c>
      <c r="F6836" s="16">
        <v>0.04</v>
      </c>
      <c r="G6836" s="15" t="s">
        <v>32</v>
      </c>
      <c r="H6836" s="18">
        <v>285.11300000000028</v>
      </c>
      <c r="I6836" s="19">
        <v>3499.99</v>
      </c>
      <c r="J6836" s="19">
        <v>24.49</v>
      </c>
      <c r="K6836" s="19" t="s">
        <v>33</v>
      </c>
      <c r="L6836" s="19" t="s">
        <v>93</v>
      </c>
      <c r="M6836" s="15" t="s">
        <v>94</v>
      </c>
      <c r="N6836" s="15" t="s">
        <v>64</v>
      </c>
      <c r="O6836" s="15" t="s">
        <v>460</v>
      </c>
      <c r="P6836" s="20" t="s">
        <v>2029</v>
      </c>
      <c r="Q6836" s="15" t="s">
        <v>39</v>
      </c>
      <c r="R6836" s="4"/>
      <c r="S6836" s="4"/>
    </row>
    <row r="6837" spans="1:19" ht="21" customHeight="1" x14ac:dyDescent="0.25">
      <c r="A6837" s="14">
        <f>DATE(2012,12,31)-79</f>
        <v>41195</v>
      </c>
      <c r="B6837" s="15" t="s">
        <v>580</v>
      </c>
      <c r="C6837" s="15" t="s">
        <v>51</v>
      </c>
      <c r="D6837" s="16">
        <v>43</v>
      </c>
      <c r="E6837" s="17">
        <v>2387.61</v>
      </c>
      <c r="F6837" s="16">
        <v>0.01</v>
      </c>
      <c r="G6837" s="15" t="s">
        <v>32</v>
      </c>
      <c r="H6837" s="18">
        <v>527.13</v>
      </c>
      <c r="I6837" s="19">
        <v>54.2</v>
      </c>
      <c r="J6837" s="19">
        <v>11.1</v>
      </c>
      <c r="K6837" s="19" t="s">
        <v>124</v>
      </c>
      <c r="L6837" s="19" t="s">
        <v>493</v>
      </c>
      <c r="M6837" s="15" t="s">
        <v>2299</v>
      </c>
      <c r="N6837" s="15" t="s">
        <v>54</v>
      </c>
      <c r="O6837" s="15" t="s">
        <v>55</v>
      </c>
      <c r="P6837" s="20" t="s">
        <v>209</v>
      </c>
      <c r="Q6837" s="15" t="s">
        <v>57</v>
      </c>
      <c r="R6837" s="4"/>
      <c r="S6837" s="4"/>
    </row>
    <row r="6838" spans="1:19" ht="21" customHeight="1" x14ac:dyDescent="0.25">
      <c r="A6838" s="14">
        <f>DATE(2012,12,31)-52</f>
        <v>41222</v>
      </c>
      <c r="B6838" s="15" t="s">
        <v>151</v>
      </c>
      <c r="C6838" s="15" t="s">
        <v>85</v>
      </c>
      <c r="D6838" s="16">
        <v>19</v>
      </c>
      <c r="E6838" s="17">
        <v>200.41</v>
      </c>
      <c r="F6838" s="16">
        <v>0.05</v>
      </c>
      <c r="G6838" s="15" t="s">
        <v>32</v>
      </c>
      <c r="H6838" s="18">
        <v>-23.65</v>
      </c>
      <c r="I6838" s="19">
        <v>10.23</v>
      </c>
      <c r="J6838" s="19">
        <v>4.68</v>
      </c>
      <c r="K6838" s="19" t="s">
        <v>124</v>
      </c>
      <c r="L6838" s="19" t="s">
        <v>160</v>
      </c>
      <c r="M6838" s="15" t="s">
        <v>2281</v>
      </c>
      <c r="N6838" s="15" t="s">
        <v>36</v>
      </c>
      <c r="O6838" s="15" t="s">
        <v>47</v>
      </c>
      <c r="P6838" s="20" t="s">
        <v>1079</v>
      </c>
      <c r="Q6838" s="15" t="s">
        <v>49</v>
      </c>
      <c r="R6838" s="4"/>
      <c r="S6838" s="4"/>
    </row>
    <row r="6839" spans="1:19" ht="21" customHeight="1" x14ac:dyDescent="0.25">
      <c r="A6839" s="14">
        <f>DATE(2012,12,31)-971</f>
        <v>40303</v>
      </c>
      <c r="B6839" s="15" t="s">
        <v>939</v>
      </c>
      <c r="C6839" s="15" t="s">
        <v>51</v>
      </c>
      <c r="D6839" s="16">
        <v>48</v>
      </c>
      <c r="E6839" s="17">
        <v>4480.8900000000003</v>
      </c>
      <c r="F6839" s="16">
        <v>0.02</v>
      </c>
      <c r="G6839" s="15" t="s">
        <v>58</v>
      </c>
      <c r="H6839" s="18">
        <v>195.04</v>
      </c>
      <c r="I6839" s="19">
        <v>90.98</v>
      </c>
      <c r="J6839" s="19">
        <v>30</v>
      </c>
      <c r="K6839" s="19" t="s">
        <v>124</v>
      </c>
      <c r="L6839" s="19" t="s">
        <v>164</v>
      </c>
      <c r="M6839" s="15" t="s">
        <v>2319</v>
      </c>
      <c r="N6839" s="15" t="s">
        <v>54</v>
      </c>
      <c r="O6839" s="15" t="s">
        <v>252</v>
      </c>
      <c r="P6839" s="20" t="s">
        <v>1679</v>
      </c>
      <c r="Q6839" s="15" t="s">
        <v>181</v>
      </c>
      <c r="R6839" s="4"/>
      <c r="S6839" s="4"/>
    </row>
    <row r="6840" spans="1:19" ht="21" customHeight="1" x14ac:dyDescent="0.25">
      <c r="A6840" s="14">
        <f>DATE(2012,12,31)-1416</f>
        <v>39858</v>
      </c>
      <c r="B6840" s="15" t="s">
        <v>1784</v>
      </c>
      <c r="C6840" s="15" t="s">
        <v>85</v>
      </c>
      <c r="D6840" s="16">
        <v>8</v>
      </c>
      <c r="E6840" s="17">
        <v>2651.21</v>
      </c>
      <c r="F6840" s="16">
        <v>0.09</v>
      </c>
      <c r="G6840" s="15" t="s">
        <v>58</v>
      </c>
      <c r="H6840" s="18">
        <v>-93.849999999999909</v>
      </c>
      <c r="I6840" s="19">
        <v>348.21</v>
      </c>
      <c r="J6840" s="19">
        <v>40.19</v>
      </c>
      <c r="K6840" s="19" t="s">
        <v>44</v>
      </c>
      <c r="L6840" s="19" t="s">
        <v>52</v>
      </c>
      <c r="M6840" s="15" t="s">
        <v>2320</v>
      </c>
      <c r="N6840" s="15" t="s">
        <v>54</v>
      </c>
      <c r="O6840" s="15" t="s">
        <v>61</v>
      </c>
      <c r="P6840" s="20" t="s">
        <v>1551</v>
      </c>
      <c r="Q6840" s="15" t="s">
        <v>63</v>
      </c>
      <c r="R6840" s="4"/>
      <c r="S6840" s="4"/>
    </row>
    <row r="6841" spans="1:19" ht="21" customHeight="1" x14ac:dyDescent="0.25">
      <c r="A6841" s="14">
        <f>DATE(2012,12,31)-532</f>
        <v>40742</v>
      </c>
      <c r="B6841" s="15" t="s">
        <v>1784</v>
      </c>
      <c r="C6841" s="15" t="s">
        <v>43</v>
      </c>
      <c r="D6841" s="16">
        <v>39</v>
      </c>
      <c r="E6841" s="17">
        <v>4799.7885000000006</v>
      </c>
      <c r="F6841" s="16">
        <v>0.09</v>
      </c>
      <c r="G6841" s="15" t="s">
        <v>32</v>
      </c>
      <c r="H6841" s="18">
        <v>1231.893</v>
      </c>
      <c r="I6841" s="19">
        <v>155.99</v>
      </c>
      <c r="J6841" s="19">
        <v>3.9</v>
      </c>
      <c r="K6841" s="19" t="s">
        <v>44</v>
      </c>
      <c r="L6841" s="19" t="s">
        <v>52</v>
      </c>
      <c r="M6841" s="15" t="s">
        <v>2320</v>
      </c>
      <c r="N6841" s="15" t="s">
        <v>64</v>
      </c>
      <c r="O6841" s="15" t="s">
        <v>65</v>
      </c>
      <c r="P6841" s="20" t="s">
        <v>1324</v>
      </c>
      <c r="Q6841" s="15" t="s">
        <v>83</v>
      </c>
      <c r="R6841" s="4"/>
      <c r="S6841" s="4"/>
    </row>
    <row r="6842" spans="1:19" ht="21" customHeight="1" x14ac:dyDescent="0.25">
      <c r="A6842" s="14">
        <f>DATE(2012,12,31)-905</f>
        <v>40369</v>
      </c>
      <c r="B6842" s="15" t="s">
        <v>759</v>
      </c>
      <c r="C6842" s="15" t="s">
        <v>85</v>
      </c>
      <c r="D6842" s="16">
        <v>1</v>
      </c>
      <c r="E6842" s="17">
        <v>97.13</v>
      </c>
      <c r="F6842" s="16">
        <v>0.05</v>
      </c>
      <c r="G6842" s="15" t="s">
        <v>32</v>
      </c>
      <c r="H6842" s="18">
        <v>-37.06</v>
      </c>
      <c r="I6842" s="19">
        <v>98.31</v>
      </c>
      <c r="J6842" s="19">
        <v>0.49</v>
      </c>
      <c r="K6842" s="19" t="s">
        <v>44</v>
      </c>
      <c r="L6842" s="19" t="s">
        <v>52</v>
      </c>
      <c r="M6842" s="15" t="s">
        <v>2320</v>
      </c>
      <c r="N6842" s="15" t="s">
        <v>36</v>
      </c>
      <c r="O6842" s="15" t="s">
        <v>114</v>
      </c>
      <c r="P6842" s="20" t="s">
        <v>1568</v>
      </c>
      <c r="Q6842" s="15" t="s">
        <v>83</v>
      </c>
      <c r="R6842" s="4"/>
      <c r="S6842" s="4"/>
    </row>
    <row r="6843" spans="1:19" ht="21" customHeight="1" x14ac:dyDescent="0.25">
      <c r="A6843" s="14">
        <f>DATE(2012,12,31)-201</f>
        <v>41073</v>
      </c>
      <c r="B6843" s="15" t="s">
        <v>1177</v>
      </c>
      <c r="C6843" s="15" t="s">
        <v>43</v>
      </c>
      <c r="D6843" s="16">
        <v>47</v>
      </c>
      <c r="E6843" s="17">
        <v>7647.97</v>
      </c>
      <c r="F6843" s="16">
        <v>0.05</v>
      </c>
      <c r="G6843" s="15" t="s">
        <v>101</v>
      </c>
      <c r="H6843" s="18">
        <v>-1014.01</v>
      </c>
      <c r="I6843" s="19">
        <v>167.27</v>
      </c>
      <c r="J6843" s="19">
        <v>35</v>
      </c>
      <c r="K6843" s="19" t="s">
        <v>33</v>
      </c>
      <c r="L6843" s="19" t="s">
        <v>145</v>
      </c>
      <c r="M6843" s="15" t="s">
        <v>2313</v>
      </c>
      <c r="N6843" s="15" t="s">
        <v>36</v>
      </c>
      <c r="O6843" s="15" t="s">
        <v>37</v>
      </c>
      <c r="P6843" s="20" t="s">
        <v>1345</v>
      </c>
      <c r="Q6843" s="15" t="s">
        <v>39</v>
      </c>
      <c r="R6843" s="4"/>
      <c r="S6843" s="4"/>
    </row>
    <row r="6844" spans="1:19" ht="21" customHeight="1" x14ac:dyDescent="0.25">
      <c r="A6844" s="14">
        <f>DATE(2012,12,31)-201</f>
        <v>41073</v>
      </c>
      <c r="B6844" s="15" t="s">
        <v>1273</v>
      </c>
      <c r="C6844" s="15" t="s">
        <v>43</v>
      </c>
      <c r="D6844" s="16">
        <v>43</v>
      </c>
      <c r="E6844" s="17">
        <v>6861.8545000000004</v>
      </c>
      <c r="F6844" s="16">
        <v>7.0000000000000007E-2</v>
      </c>
      <c r="G6844" s="15" t="s">
        <v>32</v>
      </c>
      <c r="H6844" s="18">
        <v>1754.0819999999999</v>
      </c>
      <c r="I6844" s="19">
        <v>195.99</v>
      </c>
      <c r="J6844" s="19">
        <v>3.99</v>
      </c>
      <c r="K6844" s="19" t="s">
        <v>69</v>
      </c>
      <c r="L6844" s="19" t="s">
        <v>215</v>
      </c>
      <c r="M6844" s="15" t="s">
        <v>2322</v>
      </c>
      <c r="N6844" s="15" t="s">
        <v>64</v>
      </c>
      <c r="O6844" s="15" t="s">
        <v>65</v>
      </c>
      <c r="P6844" s="20" t="s">
        <v>1246</v>
      </c>
      <c r="Q6844" s="15" t="s">
        <v>83</v>
      </c>
      <c r="R6844" s="4"/>
      <c r="S6844" s="4"/>
    </row>
    <row r="6845" spans="1:19" ht="21" customHeight="1" x14ac:dyDescent="0.25">
      <c r="A6845" s="14">
        <f>DATE(2012,12,31)-1160</f>
        <v>40114</v>
      </c>
      <c r="B6845" s="15" t="s">
        <v>404</v>
      </c>
      <c r="C6845" s="15" t="s">
        <v>85</v>
      </c>
      <c r="D6845" s="16">
        <v>43</v>
      </c>
      <c r="E6845" s="17">
        <v>856.9</v>
      </c>
      <c r="F6845" s="16">
        <v>0.02</v>
      </c>
      <c r="G6845" s="15" t="s">
        <v>32</v>
      </c>
      <c r="H6845" s="18">
        <v>106.93</v>
      </c>
      <c r="I6845" s="19">
        <v>18.97</v>
      </c>
      <c r="J6845" s="19">
        <v>9.5399999999999991</v>
      </c>
      <c r="K6845" s="19" t="s">
        <v>111</v>
      </c>
      <c r="L6845" s="19" t="s">
        <v>407</v>
      </c>
      <c r="M6845" s="15" t="s">
        <v>407</v>
      </c>
      <c r="N6845" s="15" t="s">
        <v>36</v>
      </c>
      <c r="O6845" s="15" t="s">
        <v>117</v>
      </c>
      <c r="P6845" s="20" t="s">
        <v>1922</v>
      </c>
      <c r="Q6845" s="15" t="s">
        <v>83</v>
      </c>
      <c r="R6845" s="4"/>
      <c r="S6845" s="4"/>
    </row>
    <row r="6846" spans="1:19" ht="21" customHeight="1" x14ac:dyDescent="0.25">
      <c r="A6846" s="14">
        <f>DATE(2012,12,31)-1380</f>
        <v>39894</v>
      </c>
      <c r="B6846" s="15" t="s">
        <v>404</v>
      </c>
      <c r="C6846" s="15" t="s">
        <v>43</v>
      </c>
      <c r="D6846" s="16">
        <v>27</v>
      </c>
      <c r="E6846" s="17">
        <v>337.61</v>
      </c>
      <c r="F6846" s="16">
        <v>0.03</v>
      </c>
      <c r="G6846" s="15" t="s">
        <v>32</v>
      </c>
      <c r="H6846" s="18">
        <v>15.61</v>
      </c>
      <c r="I6846" s="19">
        <v>12.28</v>
      </c>
      <c r="J6846" s="19">
        <v>6.35</v>
      </c>
      <c r="K6846" s="19" t="s">
        <v>44</v>
      </c>
      <c r="L6846" s="19" t="s">
        <v>120</v>
      </c>
      <c r="M6846" s="15" t="s">
        <v>2262</v>
      </c>
      <c r="N6846" s="15" t="s">
        <v>36</v>
      </c>
      <c r="O6846" s="15" t="s">
        <v>117</v>
      </c>
      <c r="P6846" s="20" t="s">
        <v>912</v>
      </c>
      <c r="Q6846" s="15" t="s">
        <v>83</v>
      </c>
      <c r="R6846" s="4"/>
      <c r="S6846" s="4"/>
    </row>
    <row r="6847" spans="1:19" ht="21" customHeight="1" x14ac:dyDescent="0.25">
      <c r="A6847" s="14">
        <f>DATE(2012,12,31)-1380</f>
        <v>39894</v>
      </c>
      <c r="B6847" s="15" t="s">
        <v>404</v>
      </c>
      <c r="C6847" s="15" t="s">
        <v>43</v>
      </c>
      <c r="D6847" s="16">
        <v>42</v>
      </c>
      <c r="E6847" s="17">
        <v>636.34</v>
      </c>
      <c r="F6847" s="16">
        <v>0.08</v>
      </c>
      <c r="G6847" s="15" t="s">
        <v>32</v>
      </c>
      <c r="H6847" s="18">
        <v>-99.26</v>
      </c>
      <c r="I6847" s="19">
        <v>15.14</v>
      </c>
      <c r="J6847" s="19">
        <v>4.53</v>
      </c>
      <c r="K6847" s="19" t="s">
        <v>44</v>
      </c>
      <c r="L6847" s="19" t="s">
        <v>89</v>
      </c>
      <c r="M6847" s="15" t="s">
        <v>2326</v>
      </c>
      <c r="N6847" s="15" t="s">
        <v>36</v>
      </c>
      <c r="O6847" s="15" t="s">
        <v>37</v>
      </c>
      <c r="P6847" s="20" t="s">
        <v>2249</v>
      </c>
      <c r="Q6847" s="15" t="s">
        <v>83</v>
      </c>
      <c r="R6847" s="4"/>
      <c r="S6847" s="4"/>
    </row>
    <row r="6848" spans="1:19" ht="21" customHeight="1" x14ac:dyDescent="0.25">
      <c r="A6848" s="14">
        <f>DATE(2012,12,31)-69</f>
        <v>41205</v>
      </c>
      <c r="B6848" s="15" t="s">
        <v>404</v>
      </c>
      <c r="C6848" s="15" t="s">
        <v>85</v>
      </c>
      <c r="D6848" s="16">
        <v>7</v>
      </c>
      <c r="E6848" s="17">
        <v>53.29</v>
      </c>
      <c r="F6848" s="16">
        <v>0.01</v>
      </c>
      <c r="G6848" s="15" t="s">
        <v>32</v>
      </c>
      <c r="H6848" s="18">
        <v>-28.88</v>
      </c>
      <c r="I6848" s="19">
        <v>6.48</v>
      </c>
      <c r="J6848" s="19">
        <v>7.49</v>
      </c>
      <c r="K6848" s="19" t="s">
        <v>124</v>
      </c>
      <c r="L6848" s="19" t="s">
        <v>160</v>
      </c>
      <c r="M6848" s="15" t="s">
        <v>2281</v>
      </c>
      <c r="N6848" s="15" t="s">
        <v>36</v>
      </c>
      <c r="O6848" s="15" t="s">
        <v>117</v>
      </c>
      <c r="P6848" s="20" t="s">
        <v>2234</v>
      </c>
      <c r="Q6848" s="15" t="s">
        <v>83</v>
      </c>
      <c r="R6848" s="4"/>
      <c r="S6848" s="4"/>
    </row>
    <row r="6849" spans="1:19" ht="21" customHeight="1" x14ac:dyDescent="0.25">
      <c r="A6849" s="14">
        <f>DATE(2012,12,31)-1166</f>
        <v>40108</v>
      </c>
      <c r="B6849" s="15" t="s">
        <v>404</v>
      </c>
      <c r="C6849" s="15" t="s">
        <v>51</v>
      </c>
      <c r="D6849" s="16">
        <v>45</v>
      </c>
      <c r="E6849" s="17">
        <v>2096.6999999999998</v>
      </c>
      <c r="F6849" s="16">
        <v>0.03</v>
      </c>
      <c r="G6849" s="15" t="s">
        <v>32</v>
      </c>
      <c r="H6849" s="18">
        <v>939.67</v>
      </c>
      <c r="I6849" s="19">
        <v>47.9</v>
      </c>
      <c r="J6849" s="19">
        <v>5.86</v>
      </c>
      <c r="K6849" s="19" t="s">
        <v>33</v>
      </c>
      <c r="L6849" s="19" t="s">
        <v>145</v>
      </c>
      <c r="M6849" s="15" t="s">
        <v>2313</v>
      </c>
      <c r="N6849" s="15" t="s">
        <v>36</v>
      </c>
      <c r="O6849" s="15" t="s">
        <v>117</v>
      </c>
      <c r="P6849" s="20" t="s">
        <v>374</v>
      </c>
      <c r="Q6849" s="15" t="s">
        <v>83</v>
      </c>
      <c r="R6849" s="4"/>
      <c r="S6849" s="4"/>
    </row>
    <row r="6850" spans="1:19" ht="21" customHeight="1" x14ac:dyDescent="0.25">
      <c r="A6850" s="14">
        <f>DATE(2012,12,31)-1166</f>
        <v>40108</v>
      </c>
      <c r="B6850" s="15" t="s">
        <v>1926</v>
      </c>
      <c r="C6850" s="15" t="s">
        <v>51</v>
      </c>
      <c r="D6850" s="16">
        <v>1</v>
      </c>
      <c r="E6850" s="17">
        <v>55.43</v>
      </c>
      <c r="F6850" s="16">
        <v>0.01</v>
      </c>
      <c r="G6850" s="15" t="s">
        <v>32</v>
      </c>
      <c r="H6850" s="18">
        <v>-48.91</v>
      </c>
      <c r="I6850" s="19">
        <v>35.44</v>
      </c>
      <c r="J6850" s="19">
        <v>19.989999999999998</v>
      </c>
      <c r="K6850" s="19" t="s">
        <v>69</v>
      </c>
      <c r="L6850" s="19" t="s">
        <v>75</v>
      </c>
      <c r="M6850" s="15" t="s">
        <v>2284</v>
      </c>
      <c r="N6850" s="15" t="s">
        <v>36</v>
      </c>
      <c r="O6850" s="15" t="s">
        <v>117</v>
      </c>
      <c r="P6850" s="20" t="s">
        <v>1816</v>
      </c>
      <c r="Q6850" s="15" t="s">
        <v>83</v>
      </c>
      <c r="R6850" s="4"/>
      <c r="S6850" s="4"/>
    </row>
    <row r="6851" spans="1:19" ht="21" customHeight="1" x14ac:dyDescent="0.25">
      <c r="A6851" s="14">
        <f>DATE(2012,12,31)-1293</f>
        <v>39981</v>
      </c>
      <c r="B6851" s="15" t="s">
        <v>2102</v>
      </c>
      <c r="C6851" s="15" t="s">
        <v>31</v>
      </c>
      <c r="D6851" s="16">
        <v>33</v>
      </c>
      <c r="E6851" s="17">
        <v>750.66</v>
      </c>
      <c r="F6851" s="16">
        <v>0</v>
      </c>
      <c r="G6851" s="15" t="s">
        <v>32</v>
      </c>
      <c r="H6851" s="18">
        <v>120.05</v>
      </c>
      <c r="I6851" s="19">
        <v>20.95</v>
      </c>
      <c r="J6851" s="19">
        <v>4</v>
      </c>
      <c r="K6851" s="19" t="s">
        <v>69</v>
      </c>
      <c r="L6851" s="19" t="s">
        <v>70</v>
      </c>
      <c r="M6851" s="15" t="s">
        <v>2230</v>
      </c>
      <c r="N6851" s="15" t="s">
        <v>64</v>
      </c>
      <c r="O6851" s="15" t="s">
        <v>72</v>
      </c>
      <c r="P6851" s="20" t="s">
        <v>1316</v>
      </c>
      <c r="Q6851" s="15" t="s">
        <v>83</v>
      </c>
      <c r="R6851" s="4"/>
      <c r="S6851" s="4"/>
    </row>
    <row r="6852" spans="1:19" ht="21" customHeight="1" x14ac:dyDescent="0.25">
      <c r="A6852" s="14">
        <f>DATE(2012,12,31)-1293</f>
        <v>39981</v>
      </c>
      <c r="B6852" s="15" t="s">
        <v>410</v>
      </c>
      <c r="C6852" s="15" t="s">
        <v>31</v>
      </c>
      <c r="D6852" s="16">
        <v>8</v>
      </c>
      <c r="E6852" s="17">
        <v>254.32</v>
      </c>
      <c r="F6852" s="16">
        <v>0.01</v>
      </c>
      <c r="G6852" s="15" t="s">
        <v>32</v>
      </c>
      <c r="H6852" s="18">
        <v>-117.39</v>
      </c>
      <c r="I6852" s="19">
        <v>30.98</v>
      </c>
      <c r="J6852" s="19">
        <v>6.5</v>
      </c>
      <c r="K6852" s="19" t="s">
        <v>69</v>
      </c>
      <c r="L6852" s="19" t="s">
        <v>70</v>
      </c>
      <c r="M6852" s="15" t="s">
        <v>2327</v>
      </c>
      <c r="N6852" s="15" t="s">
        <v>64</v>
      </c>
      <c r="O6852" s="15" t="s">
        <v>72</v>
      </c>
      <c r="P6852" s="20" t="s">
        <v>522</v>
      </c>
      <c r="Q6852" s="15" t="s">
        <v>83</v>
      </c>
      <c r="R6852" s="4"/>
      <c r="S6852" s="4"/>
    </row>
    <row r="6853" spans="1:19" ht="21" customHeight="1" x14ac:dyDescent="0.25">
      <c r="A6853" s="14">
        <f>DATE(2012,12,31)-1293</f>
        <v>39981</v>
      </c>
      <c r="B6853" s="15" t="s">
        <v>2167</v>
      </c>
      <c r="C6853" s="15" t="s">
        <v>31</v>
      </c>
      <c r="D6853" s="16">
        <v>42</v>
      </c>
      <c r="E6853" s="17">
        <v>2149.37</v>
      </c>
      <c r="F6853" s="16">
        <v>0.03</v>
      </c>
      <c r="G6853" s="15" t="s">
        <v>32</v>
      </c>
      <c r="H6853" s="18">
        <v>217.87</v>
      </c>
      <c r="I6853" s="19">
        <v>51.75</v>
      </c>
      <c r="J6853" s="19">
        <v>19.989999999999998</v>
      </c>
      <c r="K6853" s="19" t="s">
        <v>111</v>
      </c>
      <c r="L6853" s="19" t="s">
        <v>442</v>
      </c>
      <c r="M6853" s="15" t="s">
        <v>2304</v>
      </c>
      <c r="N6853" s="15" t="s">
        <v>54</v>
      </c>
      <c r="O6853" s="15" t="s">
        <v>55</v>
      </c>
      <c r="P6853" s="20" t="s">
        <v>1763</v>
      </c>
      <c r="Q6853" s="15" t="s">
        <v>83</v>
      </c>
      <c r="R6853" s="4"/>
      <c r="S6853" s="4"/>
    </row>
    <row r="6854" spans="1:19" ht="21" customHeight="1" x14ac:dyDescent="0.25">
      <c r="A6854" s="14">
        <f>DATE(2012,12,31)-1089</f>
        <v>40185</v>
      </c>
      <c r="B6854" s="15" t="s">
        <v>1919</v>
      </c>
      <c r="C6854" s="15" t="s">
        <v>31</v>
      </c>
      <c r="D6854" s="16">
        <v>21</v>
      </c>
      <c r="E6854" s="17">
        <v>106.2</v>
      </c>
      <c r="F6854" s="16">
        <v>0</v>
      </c>
      <c r="G6854" s="15" t="s">
        <v>32</v>
      </c>
      <c r="H6854" s="18">
        <v>48.76</v>
      </c>
      <c r="I6854" s="19">
        <v>4.91</v>
      </c>
      <c r="J6854" s="19">
        <v>0.5</v>
      </c>
      <c r="K6854" s="19" t="s">
        <v>44</v>
      </c>
      <c r="L6854" s="19" t="s">
        <v>45</v>
      </c>
      <c r="M6854" s="15" t="s">
        <v>2271</v>
      </c>
      <c r="N6854" s="15" t="s">
        <v>36</v>
      </c>
      <c r="O6854" s="15" t="s">
        <v>114</v>
      </c>
      <c r="P6854" s="20" t="s">
        <v>1229</v>
      </c>
      <c r="Q6854" s="15" t="s">
        <v>83</v>
      </c>
      <c r="R6854" s="4"/>
      <c r="S6854" s="4"/>
    </row>
    <row r="6855" spans="1:19" ht="21" customHeight="1" x14ac:dyDescent="0.25">
      <c r="A6855" s="14">
        <f>DATE(2012,12,31)-1259</f>
        <v>40015</v>
      </c>
      <c r="B6855" s="15" t="s">
        <v>688</v>
      </c>
      <c r="C6855" s="15" t="s">
        <v>43</v>
      </c>
      <c r="D6855" s="16">
        <v>24</v>
      </c>
      <c r="E6855" s="17">
        <v>520.67999999999995</v>
      </c>
      <c r="F6855" s="16">
        <v>0.09</v>
      </c>
      <c r="G6855" s="15" t="s">
        <v>32</v>
      </c>
      <c r="H6855" s="18">
        <v>-143.66</v>
      </c>
      <c r="I6855" s="19">
        <v>22.84</v>
      </c>
      <c r="J6855" s="19">
        <v>16.87</v>
      </c>
      <c r="K6855" s="19" t="s">
        <v>44</v>
      </c>
      <c r="L6855" s="19" t="s">
        <v>89</v>
      </c>
      <c r="M6855" s="15" t="s">
        <v>2326</v>
      </c>
      <c r="N6855" s="15" t="s">
        <v>36</v>
      </c>
      <c r="O6855" s="15" t="s">
        <v>117</v>
      </c>
      <c r="P6855" s="20" t="s">
        <v>1167</v>
      </c>
      <c r="Q6855" s="15" t="s">
        <v>83</v>
      </c>
      <c r="R6855" s="4"/>
      <c r="S6855" s="4"/>
    </row>
    <row r="6856" spans="1:19" ht="21" customHeight="1" x14ac:dyDescent="0.25">
      <c r="A6856" s="14">
        <f>DATE(2012,12,31)-1259</f>
        <v>40015</v>
      </c>
      <c r="B6856" s="15" t="s">
        <v>1748</v>
      </c>
      <c r="C6856" s="15" t="s">
        <v>43</v>
      </c>
      <c r="D6856" s="16">
        <v>25</v>
      </c>
      <c r="E6856" s="17">
        <v>358.78</v>
      </c>
      <c r="F6856" s="16">
        <v>0.1</v>
      </c>
      <c r="G6856" s="15" t="s">
        <v>101</v>
      </c>
      <c r="H6856" s="18">
        <v>-76.900000000000006</v>
      </c>
      <c r="I6856" s="19">
        <v>14.98</v>
      </c>
      <c r="J6856" s="19">
        <v>7.69</v>
      </c>
      <c r="K6856" s="19" t="s">
        <v>44</v>
      </c>
      <c r="L6856" s="19" t="s">
        <v>89</v>
      </c>
      <c r="M6856" s="15" t="s">
        <v>2326</v>
      </c>
      <c r="N6856" s="15" t="s">
        <v>36</v>
      </c>
      <c r="O6856" s="15" t="s">
        <v>37</v>
      </c>
      <c r="P6856" s="20" t="s">
        <v>621</v>
      </c>
      <c r="Q6856" s="15" t="s">
        <v>83</v>
      </c>
      <c r="R6856" s="4"/>
      <c r="S6856" s="4"/>
    </row>
    <row r="6857" spans="1:19" ht="21" customHeight="1" x14ac:dyDescent="0.25">
      <c r="A6857" s="14">
        <f>DATE(2012,12,31)-804</f>
        <v>40470</v>
      </c>
      <c r="B6857" s="15" t="s">
        <v>416</v>
      </c>
      <c r="C6857" s="15" t="s">
        <v>43</v>
      </c>
      <c r="D6857" s="16">
        <v>12</v>
      </c>
      <c r="E6857" s="17">
        <v>81.87</v>
      </c>
      <c r="F6857" s="16">
        <v>7.0000000000000007E-2</v>
      </c>
      <c r="G6857" s="15" t="s">
        <v>32</v>
      </c>
      <c r="H6857" s="18">
        <v>-31.14</v>
      </c>
      <c r="I6857" s="19">
        <v>6.48</v>
      </c>
      <c r="J6857" s="19">
        <v>5.94</v>
      </c>
      <c r="K6857" s="19" t="s">
        <v>44</v>
      </c>
      <c r="L6857" s="19" t="s">
        <v>80</v>
      </c>
      <c r="M6857" s="15" t="s">
        <v>2297</v>
      </c>
      <c r="N6857" s="15" t="s">
        <v>36</v>
      </c>
      <c r="O6857" s="15" t="s">
        <v>117</v>
      </c>
      <c r="P6857" s="20" t="s">
        <v>1141</v>
      </c>
      <c r="Q6857" s="15" t="s">
        <v>83</v>
      </c>
      <c r="R6857" s="4"/>
      <c r="S6857" s="4"/>
    </row>
    <row r="6858" spans="1:19" ht="21" customHeight="1" x14ac:dyDescent="0.25">
      <c r="A6858" s="14">
        <f>DATE(2012,12,31)-214</f>
        <v>41060</v>
      </c>
      <c r="B6858" s="15" t="s">
        <v>418</v>
      </c>
      <c r="C6858" s="15" t="s">
        <v>31</v>
      </c>
      <c r="D6858" s="16">
        <v>17</v>
      </c>
      <c r="E6858" s="17">
        <v>122.42</v>
      </c>
      <c r="F6858" s="16">
        <v>0.08</v>
      </c>
      <c r="G6858" s="15" t="s">
        <v>101</v>
      </c>
      <c r="H6858" s="18">
        <v>-37.04</v>
      </c>
      <c r="I6858" s="19">
        <v>6.48</v>
      </c>
      <c r="J6858" s="19">
        <v>6.22</v>
      </c>
      <c r="K6858" s="19" t="s">
        <v>44</v>
      </c>
      <c r="L6858" s="19" t="s">
        <v>45</v>
      </c>
      <c r="M6858" s="15" t="s">
        <v>2271</v>
      </c>
      <c r="N6858" s="15" t="s">
        <v>36</v>
      </c>
      <c r="O6858" s="15" t="s">
        <v>117</v>
      </c>
      <c r="P6858" s="20" t="s">
        <v>686</v>
      </c>
      <c r="Q6858" s="15" t="s">
        <v>83</v>
      </c>
      <c r="R6858" s="4"/>
      <c r="S6858" s="4"/>
    </row>
    <row r="6859" spans="1:19" ht="21" customHeight="1" x14ac:dyDescent="0.25">
      <c r="A6859" s="14">
        <f>DATE(2012,12,31)-801</f>
        <v>40473</v>
      </c>
      <c r="B6859" s="15" t="s">
        <v>336</v>
      </c>
      <c r="C6859" s="15" t="s">
        <v>43</v>
      </c>
      <c r="D6859" s="16">
        <v>6</v>
      </c>
      <c r="E6859" s="17">
        <v>1086.3900000000001</v>
      </c>
      <c r="F6859" s="16">
        <v>0.03</v>
      </c>
      <c r="G6859" s="15" t="s">
        <v>32</v>
      </c>
      <c r="H6859" s="18">
        <v>-311.23</v>
      </c>
      <c r="I6859" s="19">
        <v>167.27</v>
      </c>
      <c r="J6859" s="19">
        <v>35</v>
      </c>
      <c r="K6859" s="19" t="s">
        <v>44</v>
      </c>
      <c r="L6859" s="19" t="s">
        <v>89</v>
      </c>
      <c r="M6859" s="15" t="s">
        <v>2326</v>
      </c>
      <c r="N6859" s="15" t="s">
        <v>36</v>
      </c>
      <c r="O6859" s="15" t="s">
        <v>37</v>
      </c>
      <c r="P6859" s="20" t="s">
        <v>2268</v>
      </c>
      <c r="Q6859" s="15" t="s">
        <v>39</v>
      </c>
      <c r="R6859" s="4"/>
      <c r="S6859" s="4"/>
    </row>
    <row r="6860" spans="1:19" ht="21" customHeight="1" x14ac:dyDescent="0.25">
      <c r="A6860" s="14">
        <f>DATE(2012,12,31)-1414</f>
        <v>39860</v>
      </c>
      <c r="B6860" s="15" t="s">
        <v>2160</v>
      </c>
      <c r="C6860" s="15" t="s">
        <v>31</v>
      </c>
      <c r="D6860" s="16">
        <v>15</v>
      </c>
      <c r="E6860" s="17">
        <v>180.39</v>
      </c>
      <c r="F6860" s="16">
        <v>0.04</v>
      </c>
      <c r="G6860" s="15" t="s">
        <v>32</v>
      </c>
      <c r="H6860" s="18">
        <v>-8.11</v>
      </c>
      <c r="I6860" s="19">
        <v>11.58</v>
      </c>
      <c r="J6860" s="19">
        <v>6.97</v>
      </c>
      <c r="K6860" s="19" t="s">
        <v>44</v>
      </c>
      <c r="L6860" s="19" t="s">
        <v>45</v>
      </c>
      <c r="M6860" s="15" t="s">
        <v>2271</v>
      </c>
      <c r="N6860" s="15" t="s">
        <v>36</v>
      </c>
      <c r="O6860" s="15" t="s">
        <v>189</v>
      </c>
      <c r="P6860" s="20" t="s">
        <v>1472</v>
      </c>
      <c r="Q6860" s="15" t="s">
        <v>83</v>
      </c>
      <c r="R6860" s="4"/>
      <c r="S6860" s="4"/>
    </row>
    <row r="6861" spans="1:19" ht="21" customHeight="1" x14ac:dyDescent="0.25">
      <c r="A6861" s="14">
        <f>DATE(2012,12,31)-665</f>
        <v>40609</v>
      </c>
      <c r="B6861" s="15" t="s">
        <v>2160</v>
      </c>
      <c r="C6861" s="15" t="s">
        <v>31</v>
      </c>
      <c r="D6861" s="16">
        <v>36</v>
      </c>
      <c r="E6861" s="17">
        <v>411.75</v>
      </c>
      <c r="F6861" s="16">
        <v>0.05</v>
      </c>
      <c r="G6861" s="15" t="s">
        <v>32</v>
      </c>
      <c r="H6861" s="18">
        <v>-182.87</v>
      </c>
      <c r="I6861" s="19">
        <v>11.66</v>
      </c>
      <c r="J6861" s="19">
        <v>8.99</v>
      </c>
      <c r="K6861" s="19" t="s">
        <v>33</v>
      </c>
      <c r="L6861" s="19" t="s">
        <v>93</v>
      </c>
      <c r="M6861" s="15" t="s">
        <v>94</v>
      </c>
      <c r="N6861" s="15" t="s">
        <v>36</v>
      </c>
      <c r="O6861" s="15" t="s">
        <v>77</v>
      </c>
      <c r="P6861" s="20" t="s">
        <v>2034</v>
      </c>
      <c r="Q6861" s="15" t="s">
        <v>49</v>
      </c>
      <c r="R6861" s="4"/>
      <c r="S6861" s="4"/>
    </row>
    <row r="6862" spans="1:19" ht="21" customHeight="1" x14ac:dyDescent="0.25">
      <c r="A6862" s="14">
        <f>DATE(2012,12,31)-630</f>
        <v>40644</v>
      </c>
      <c r="B6862" s="15" t="s">
        <v>823</v>
      </c>
      <c r="C6862" s="15" t="s">
        <v>51</v>
      </c>
      <c r="D6862" s="16">
        <v>41</v>
      </c>
      <c r="E6862" s="17">
        <v>708.83</v>
      </c>
      <c r="F6862" s="16">
        <v>0.08</v>
      </c>
      <c r="G6862" s="15" t="s">
        <v>32</v>
      </c>
      <c r="H6862" s="18">
        <v>35.08</v>
      </c>
      <c r="I6862" s="19">
        <v>17.670000000000002</v>
      </c>
      <c r="J6862" s="19">
        <v>8.99</v>
      </c>
      <c r="K6862" s="19" t="s">
        <v>97</v>
      </c>
      <c r="L6862" s="19" t="s">
        <v>98</v>
      </c>
      <c r="M6862" s="15" t="s">
        <v>2328</v>
      </c>
      <c r="N6862" s="15" t="s">
        <v>54</v>
      </c>
      <c r="O6862" s="15" t="s">
        <v>55</v>
      </c>
      <c r="P6862" s="20" t="s">
        <v>281</v>
      </c>
      <c r="Q6862" s="15" t="s">
        <v>49</v>
      </c>
      <c r="R6862" s="4"/>
      <c r="S6862" s="4"/>
    </row>
    <row r="6863" spans="1:19" ht="21" customHeight="1" x14ac:dyDescent="0.25">
      <c r="A6863" s="14">
        <f>DATE(2012,12,31)-225</f>
        <v>41049</v>
      </c>
      <c r="B6863" s="15" t="s">
        <v>595</v>
      </c>
      <c r="C6863" s="15" t="s">
        <v>51</v>
      </c>
      <c r="D6863" s="16">
        <v>49</v>
      </c>
      <c r="E6863" s="17">
        <v>8223.07</v>
      </c>
      <c r="F6863" s="16">
        <v>0.06</v>
      </c>
      <c r="G6863" s="15" t="s">
        <v>101</v>
      </c>
      <c r="H6863" s="18">
        <v>2549.4030000000002</v>
      </c>
      <c r="I6863" s="19">
        <v>195.99</v>
      </c>
      <c r="J6863" s="19">
        <v>3.99</v>
      </c>
      <c r="K6863" s="19" t="s">
        <v>124</v>
      </c>
      <c r="L6863" s="19" t="s">
        <v>160</v>
      </c>
      <c r="M6863" s="15" t="s">
        <v>2281</v>
      </c>
      <c r="N6863" s="15" t="s">
        <v>64</v>
      </c>
      <c r="O6863" s="15" t="s">
        <v>65</v>
      </c>
      <c r="P6863" s="20" t="s">
        <v>2329</v>
      </c>
      <c r="Q6863" s="15" t="s">
        <v>83</v>
      </c>
      <c r="R6863" s="4"/>
      <c r="S6863" s="4"/>
    </row>
    <row r="6864" spans="1:19" ht="21" customHeight="1" x14ac:dyDescent="0.25">
      <c r="A6864" s="14">
        <f>DATE(2012,12,31)-1187</f>
        <v>40087</v>
      </c>
      <c r="B6864" s="15" t="s">
        <v>595</v>
      </c>
      <c r="C6864" s="15" t="s">
        <v>51</v>
      </c>
      <c r="D6864" s="16">
        <v>46</v>
      </c>
      <c r="E6864" s="17">
        <v>300.07</v>
      </c>
      <c r="F6864" s="16">
        <v>0.05</v>
      </c>
      <c r="G6864" s="15" t="s">
        <v>32</v>
      </c>
      <c r="H6864" s="18">
        <v>-209.58</v>
      </c>
      <c r="I6864" s="19">
        <v>6.48</v>
      </c>
      <c r="J6864" s="19">
        <v>8.4</v>
      </c>
      <c r="K6864" s="19" t="s">
        <v>124</v>
      </c>
      <c r="L6864" s="19" t="s">
        <v>160</v>
      </c>
      <c r="M6864" s="15" t="s">
        <v>2281</v>
      </c>
      <c r="N6864" s="15" t="s">
        <v>36</v>
      </c>
      <c r="O6864" s="15" t="s">
        <v>117</v>
      </c>
      <c r="P6864" s="20" t="s">
        <v>795</v>
      </c>
      <c r="Q6864" s="15" t="s">
        <v>83</v>
      </c>
      <c r="R6864" s="4"/>
      <c r="S6864" s="4"/>
    </row>
    <row r="6865" spans="1:19" ht="21" customHeight="1" x14ac:dyDescent="0.25">
      <c r="A6865" s="14">
        <f>DATE(2012,12,31)-1198</f>
        <v>40076</v>
      </c>
      <c r="B6865" s="15" t="s">
        <v>1939</v>
      </c>
      <c r="C6865" s="15" t="s">
        <v>85</v>
      </c>
      <c r="D6865" s="16">
        <v>48</v>
      </c>
      <c r="E6865" s="17">
        <v>128</v>
      </c>
      <c r="F6865" s="16">
        <v>0.09</v>
      </c>
      <c r="G6865" s="15" t="s">
        <v>32</v>
      </c>
      <c r="H6865" s="18">
        <v>45.51</v>
      </c>
      <c r="I6865" s="19">
        <v>2.89</v>
      </c>
      <c r="J6865" s="19">
        <v>0.5</v>
      </c>
      <c r="K6865" s="19" t="s">
        <v>124</v>
      </c>
      <c r="L6865" s="19" t="s">
        <v>160</v>
      </c>
      <c r="M6865" s="15" t="s">
        <v>2281</v>
      </c>
      <c r="N6865" s="15" t="s">
        <v>36</v>
      </c>
      <c r="O6865" s="15" t="s">
        <v>114</v>
      </c>
      <c r="P6865" s="20" t="s">
        <v>985</v>
      </c>
      <c r="Q6865" s="15" t="s">
        <v>83</v>
      </c>
      <c r="R6865" s="4"/>
      <c r="S6865" s="4"/>
    </row>
    <row r="6866" spans="1:19" ht="21" customHeight="1" x14ac:dyDescent="0.25">
      <c r="A6866" s="14">
        <f>DATE(2012,12,31)-1198</f>
        <v>40076</v>
      </c>
      <c r="B6866" s="15" t="s">
        <v>635</v>
      </c>
      <c r="C6866" s="15" t="s">
        <v>85</v>
      </c>
      <c r="D6866" s="16">
        <v>5</v>
      </c>
      <c r="E6866" s="17">
        <v>252.66</v>
      </c>
      <c r="F6866" s="16">
        <v>0.02</v>
      </c>
      <c r="G6866" s="15" t="s">
        <v>32</v>
      </c>
      <c r="H6866" s="18">
        <v>32.86</v>
      </c>
      <c r="I6866" s="19">
        <v>48.91</v>
      </c>
      <c r="J6866" s="19">
        <v>5.81</v>
      </c>
      <c r="K6866" s="19" t="s">
        <v>124</v>
      </c>
      <c r="L6866" s="19" t="s">
        <v>160</v>
      </c>
      <c r="M6866" s="15" t="s">
        <v>2281</v>
      </c>
      <c r="N6866" s="15" t="s">
        <v>36</v>
      </c>
      <c r="O6866" s="15" t="s">
        <v>117</v>
      </c>
      <c r="P6866" s="20" t="s">
        <v>698</v>
      </c>
      <c r="Q6866" s="15" t="s">
        <v>83</v>
      </c>
      <c r="R6866" s="4"/>
      <c r="S6866" s="4"/>
    </row>
    <row r="6867" spans="1:19" ht="21" customHeight="1" x14ac:dyDescent="0.25">
      <c r="A6867" s="14">
        <f>DATE(2012,12,31)-264</f>
        <v>41010</v>
      </c>
      <c r="B6867" s="15" t="s">
        <v>635</v>
      </c>
      <c r="C6867" s="15" t="s">
        <v>31</v>
      </c>
      <c r="D6867" s="16">
        <v>33</v>
      </c>
      <c r="E6867" s="17">
        <v>103.32</v>
      </c>
      <c r="F6867" s="16">
        <v>0</v>
      </c>
      <c r="G6867" s="15" t="s">
        <v>32</v>
      </c>
      <c r="H6867" s="18">
        <v>-25.68</v>
      </c>
      <c r="I6867" s="19">
        <v>2.98</v>
      </c>
      <c r="J6867" s="19">
        <v>2.0299999999999998</v>
      </c>
      <c r="K6867" s="19" t="s">
        <v>44</v>
      </c>
      <c r="L6867" s="19" t="s">
        <v>52</v>
      </c>
      <c r="M6867" s="15" t="s">
        <v>2320</v>
      </c>
      <c r="N6867" s="15" t="s">
        <v>36</v>
      </c>
      <c r="O6867" s="15" t="s">
        <v>77</v>
      </c>
      <c r="P6867" s="20" t="s">
        <v>1093</v>
      </c>
      <c r="Q6867" s="15" t="s">
        <v>79</v>
      </c>
      <c r="R6867" s="4"/>
      <c r="S6867" s="4"/>
    </row>
    <row r="6868" spans="1:19" ht="21" customHeight="1" x14ac:dyDescent="0.25">
      <c r="A6868" s="14">
        <f>DATE(2012,12,31)-1195</f>
        <v>40079</v>
      </c>
      <c r="B6868" s="15" t="s">
        <v>591</v>
      </c>
      <c r="C6868" s="15" t="s">
        <v>85</v>
      </c>
      <c r="D6868" s="16">
        <v>16</v>
      </c>
      <c r="E6868" s="17">
        <v>130.11000000000001</v>
      </c>
      <c r="F6868" s="16">
        <v>0.03</v>
      </c>
      <c r="G6868" s="15" t="s">
        <v>32</v>
      </c>
      <c r="H6868" s="18">
        <v>-47.69</v>
      </c>
      <c r="I6868" s="19">
        <v>8.1199999999999992</v>
      </c>
      <c r="J6868" s="19">
        <v>2.83</v>
      </c>
      <c r="K6868" s="19" t="s">
        <v>44</v>
      </c>
      <c r="L6868" s="19" t="s">
        <v>52</v>
      </c>
      <c r="M6868" s="15" t="s">
        <v>2320</v>
      </c>
      <c r="N6868" s="15" t="s">
        <v>64</v>
      </c>
      <c r="O6868" s="15" t="s">
        <v>72</v>
      </c>
      <c r="P6868" s="20" t="s">
        <v>1259</v>
      </c>
      <c r="Q6868" s="15" t="s">
        <v>49</v>
      </c>
      <c r="R6868" s="4"/>
      <c r="S6868" s="4"/>
    </row>
    <row r="6869" spans="1:19" ht="21" customHeight="1" x14ac:dyDescent="0.25">
      <c r="A6869" s="14">
        <f>DATE(2012,12,31)-1195</f>
        <v>40079</v>
      </c>
      <c r="B6869" s="15" t="s">
        <v>591</v>
      </c>
      <c r="C6869" s="15" t="s">
        <v>85</v>
      </c>
      <c r="D6869" s="16">
        <v>15</v>
      </c>
      <c r="E6869" s="17">
        <v>4012.58</v>
      </c>
      <c r="F6869" s="16">
        <v>0.05</v>
      </c>
      <c r="G6869" s="15" t="s">
        <v>101</v>
      </c>
      <c r="H6869" s="18">
        <v>-425.14</v>
      </c>
      <c r="I6869" s="19">
        <v>279.48</v>
      </c>
      <c r="J6869" s="19">
        <v>35</v>
      </c>
      <c r="K6869" s="19" t="s">
        <v>44</v>
      </c>
      <c r="L6869" s="19" t="s">
        <v>52</v>
      </c>
      <c r="M6869" s="15" t="s">
        <v>2320</v>
      </c>
      <c r="N6869" s="15" t="s">
        <v>36</v>
      </c>
      <c r="O6869" s="15" t="s">
        <v>37</v>
      </c>
      <c r="P6869" s="20" t="s">
        <v>1346</v>
      </c>
      <c r="Q6869" s="15" t="s">
        <v>39</v>
      </c>
      <c r="R6869" s="4"/>
      <c r="S6869" s="4"/>
    </row>
    <row r="6870" spans="1:19" ht="21" customHeight="1" x14ac:dyDescent="0.25">
      <c r="A6870" s="14">
        <f>DATE(2012,12,31)-1195</f>
        <v>40079</v>
      </c>
      <c r="B6870" s="15" t="s">
        <v>591</v>
      </c>
      <c r="C6870" s="15" t="s">
        <v>85</v>
      </c>
      <c r="D6870" s="16">
        <v>31</v>
      </c>
      <c r="E6870" s="17">
        <v>1295.54</v>
      </c>
      <c r="F6870" s="16">
        <v>0.06</v>
      </c>
      <c r="G6870" s="15" t="s">
        <v>32</v>
      </c>
      <c r="H6870" s="18">
        <v>214.23</v>
      </c>
      <c r="I6870" s="19">
        <v>40.99</v>
      </c>
      <c r="J6870" s="19">
        <v>17.48</v>
      </c>
      <c r="K6870" s="19" t="s">
        <v>44</v>
      </c>
      <c r="L6870" s="19" t="s">
        <v>52</v>
      </c>
      <c r="M6870" s="15" t="s">
        <v>2320</v>
      </c>
      <c r="N6870" s="15" t="s">
        <v>36</v>
      </c>
      <c r="O6870" s="15" t="s">
        <v>117</v>
      </c>
      <c r="P6870" s="20" t="s">
        <v>2002</v>
      </c>
      <c r="Q6870" s="15" t="s">
        <v>83</v>
      </c>
      <c r="R6870" s="4"/>
      <c r="S6870" s="4"/>
    </row>
    <row r="6871" spans="1:19" ht="21" customHeight="1" x14ac:dyDescent="0.25">
      <c r="A6871" s="14">
        <f>DATE(2012,12,31)-119</f>
        <v>41155</v>
      </c>
      <c r="B6871" s="15" t="s">
        <v>1731</v>
      </c>
      <c r="C6871" s="15" t="s">
        <v>85</v>
      </c>
      <c r="D6871" s="16">
        <v>31</v>
      </c>
      <c r="E6871" s="17">
        <v>846.85</v>
      </c>
      <c r="F6871" s="16">
        <v>0.03</v>
      </c>
      <c r="G6871" s="15" t="s">
        <v>32</v>
      </c>
      <c r="H6871" s="18">
        <v>-25.98</v>
      </c>
      <c r="I6871" s="19">
        <v>27.48</v>
      </c>
      <c r="J6871" s="19">
        <v>4</v>
      </c>
      <c r="K6871" s="19" t="s">
        <v>44</v>
      </c>
      <c r="L6871" s="19" t="s">
        <v>80</v>
      </c>
      <c r="M6871" s="15" t="s">
        <v>2297</v>
      </c>
      <c r="N6871" s="15" t="s">
        <v>64</v>
      </c>
      <c r="O6871" s="15" t="s">
        <v>72</v>
      </c>
      <c r="P6871" s="20" t="s">
        <v>786</v>
      </c>
      <c r="Q6871" s="15" t="s">
        <v>83</v>
      </c>
      <c r="R6871" s="4"/>
      <c r="S6871" s="4"/>
    </row>
    <row r="6872" spans="1:19" ht="21" customHeight="1" x14ac:dyDescent="0.25">
      <c r="A6872" s="14">
        <f>DATE(2012,12,31)-1405</f>
        <v>39869</v>
      </c>
      <c r="B6872" s="15" t="s">
        <v>500</v>
      </c>
      <c r="C6872" s="15" t="s">
        <v>51</v>
      </c>
      <c r="D6872" s="16">
        <v>31</v>
      </c>
      <c r="E6872" s="17">
        <v>305.76</v>
      </c>
      <c r="F6872" s="16">
        <v>0.1</v>
      </c>
      <c r="G6872" s="15" t="s">
        <v>32</v>
      </c>
      <c r="H6872" s="18">
        <v>-22.528500000000001</v>
      </c>
      <c r="I6872" s="19">
        <v>10.44</v>
      </c>
      <c r="J6872" s="19">
        <v>5.75</v>
      </c>
      <c r="K6872" s="19" t="s">
        <v>44</v>
      </c>
      <c r="L6872" s="19" t="s">
        <v>236</v>
      </c>
      <c r="M6872" s="15" t="s">
        <v>2296</v>
      </c>
      <c r="N6872" s="15" t="s">
        <v>36</v>
      </c>
      <c r="O6872" s="15" t="s">
        <v>170</v>
      </c>
      <c r="P6872" s="20" t="s">
        <v>1848</v>
      </c>
      <c r="Q6872" s="15" t="s">
        <v>83</v>
      </c>
      <c r="R6872" s="4"/>
      <c r="S6872" s="4"/>
    </row>
    <row r="6873" spans="1:19" ht="21" customHeight="1" x14ac:dyDescent="0.25">
      <c r="A6873" s="14">
        <f>DATE(2012,12,31)-1405</f>
        <v>39869</v>
      </c>
      <c r="B6873" s="15" t="s">
        <v>500</v>
      </c>
      <c r="C6873" s="15" t="s">
        <v>51</v>
      </c>
      <c r="D6873" s="16">
        <v>3</v>
      </c>
      <c r="E6873" s="17">
        <v>25.48</v>
      </c>
      <c r="F6873" s="16">
        <v>0.06</v>
      </c>
      <c r="G6873" s="15" t="s">
        <v>32</v>
      </c>
      <c r="H6873" s="18">
        <v>-26.8</v>
      </c>
      <c r="I6873" s="19">
        <v>8.33</v>
      </c>
      <c r="J6873" s="19">
        <v>1.99</v>
      </c>
      <c r="K6873" s="19" t="s">
        <v>44</v>
      </c>
      <c r="L6873" s="19" t="s">
        <v>52</v>
      </c>
      <c r="M6873" s="15" t="s">
        <v>2320</v>
      </c>
      <c r="N6873" s="15" t="s">
        <v>64</v>
      </c>
      <c r="O6873" s="15" t="s">
        <v>72</v>
      </c>
      <c r="P6873" s="20" t="s">
        <v>1089</v>
      </c>
      <c r="Q6873" s="15" t="s">
        <v>49</v>
      </c>
      <c r="R6873" s="4"/>
      <c r="S6873" s="4"/>
    </row>
    <row r="6874" spans="1:19" ht="21" customHeight="1" x14ac:dyDescent="0.25">
      <c r="A6874" s="14">
        <f>DATE(2012,12,31)-1373</f>
        <v>39901</v>
      </c>
      <c r="B6874" s="15" t="s">
        <v>1813</v>
      </c>
      <c r="C6874" s="15" t="s">
        <v>43</v>
      </c>
      <c r="D6874" s="16">
        <v>29</v>
      </c>
      <c r="E6874" s="17">
        <v>177.41</v>
      </c>
      <c r="F6874" s="16">
        <v>0.05</v>
      </c>
      <c r="G6874" s="15" t="s">
        <v>101</v>
      </c>
      <c r="H6874" s="18">
        <v>-116.05</v>
      </c>
      <c r="I6874" s="19">
        <v>5.78</v>
      </c>
      <c r="J6874" s="19">
        <v>7.64</v>
      </c>
      <c r="K6874" s="19" t="s">
        <v>69</v>
      </c>
      <c r="L6874" s="19" t="s">
        <v>70</v>
      </c>
      <c r="M6874" s="15" t="s">
        <v>2327</v>
      </c>
      <c r="N6874" s="15" t="s">
        <v>36</v>
      </c>
      <c r="O6874" s="15" t="s">
        <v>117</v>
      </c>
      <c r="P6874" s="20" t="s">
        <v>1221</v>
      </c>
      <c r="Q6874" s="15" t="s">
        <v>83</v>
      </c>
      <c r="R6874" s="4"/>
      <c r="S6874" s="4"/>
    </row>
    <row r="6875" spans="1:19" ht="21" customHeight="1" x14ac:dyDescent="0.25">
      <c r="A6875" s="14">
        <f>DATE(2012,12,31)-540</f>
        <v>40734</v>
      </c>
      <c r="B6875" s="15" t="s">
        <v>1320</v>
      </c>
      <c r="C6875" s="15" t="s">
        <v>31</v>
      </c>
      <c r="D6875" s="16">
        <v>33</v>
      </c>
      <c r="E6875" s="17">
        <v>5661.08</v>
      </c>
      <c r="F6875" s="16">
        <v>0</v>
      </c>
      <c r="G6875" s="15" t="s">
        <v>58</v>
      </c>
      <c r="H6875" s="18">
        <v>1055.47</v>
      </c>
      <c r="I6875" s="19">
        <v>160.97999999999999</v>
      </c>
      <c r="J6875" s="19">
        <v>30</v>
      </c>
      <c r="K6875" s="19" t="s">
        <v>44</v>
      </c>
      <c r="L6875" s="19" t="s">
        <v>45</v>
      </c>
      <c r="M6875" s="15" t="s">
        <v>2271</v>
      </c>
      <c r="N6875" s="15" t="s">
        <v>54</v>
      </c>
      <c r="O6875" s="15" t="s">
        <v>252</v>
      </c>
      <c r="P6875" s="20" t="s">
        <v>1323</v>
      </c>
      <c r="Q6875" s="15" t="s">
        <v>181</v>
      </c>
      <c r="R6875" s="4"/>
      <c r="S6875" s="4"/>
    </row>
    <row r="6876" spans="1:19" ht="21" customHeight="1" x14ac:dyDescent="0.25">
      <c r="A6876" s="14">
        <f>DATE(2012,12,31)-156</f>
        <v>41118</v>
      </c>
      <c r="B6876" s="15" t="s">
        <v>746</v>
      </c>
      <c r="C6876" s="15" t="s">
        <v>85</v>
      </c>
      <c r="D6876" s="16">
        <v>31</v>
      </c>
      <c r="E6876" s="17">
        <v>2245.7800000000002</v>
      </c>
      <c r="F6876" s="16">
        <v>0.05</v>
      </c>
      <c r="G6876" s="15" t="s">
        <v>58</v>
      </c>
      <c r="H6876" s="18">
        <v>-432.46</v>
      </c>
      <c r="I6876" s="19">
        <v>70.98</v>
      </c>
      <c r="J6876" s="19">
        <v>30</v>
      </c>
      <c r="K6876" s="19" t="s">
        <v>124</v>
      </c>
      <c r="L6876" s="19" t="s">
        <v>160</v>
      </c>
      <c r="M6876" s="15" t="s">
        <v>2281</v>
      </c>
      <c r="N6876" s="15" t="s">
        <v>54</v>
      </c>
      <c r="O6876" s="15" t="s">
        <v>252</v>
      </c>
      <c r="P6876" s="20" t="s">
        <v>1472</v>
      </c>
      <c r="Q6876" s="15" t="s">
        <v>181</v>
      </c>
      <c r="R6876" s="4"/>
      <c r="S6876" s="4"/>
    </row>
    <row r="6877" spans="1:19" ht="21" customHeight="1" x14ac:dyDescent="0.25">
      <c r="A6877" s="14">
        <f>DATE(2012,12,31)-1396</f>
        <v>39878</v>
      </c>
      <c r="B6877" s="15" t="s">
        <v>2330</v>
      </c>
      <c r="C6877" s="15" t="s">
        <v>85</v>
      </c>
      <c r="D6877" s="16">
        <v>26</v>
      </c>
      <c r="E6877" s="17">
        <v>1523.5</v>
      </c>
      <c r="F6877" s="16">
        <v>7.0000000000000007E-2</v>
      </c>
      <c r="G6877" s="15" t="s">
        <v>32</v>
      </c>
      <c r="H6877" s="18">
        <v>-807.89</v>
      </c>
      <c r="I6877" s="19">
        <v>60.98</v>
      </c>
      <c r="J6877" s="19">
        <v>49</v>
      </c>
      <c r="K6877" s="19" t="s">
        <v>33</v>
      </c>
      <c r="L6877" s="19" t="s">
        <v>59</v>
      </c>
      <c r="M6877" s="15" t="s">
        <v>2269</v>
      </c>
      <c r="N6877" s="15" t="s">
        <v>36</v>
      </c>
      <c r="O6877" s="15" t="s">
        <v>176</v>
      </c>
      <c r="P6877" s="20" t="s">
        <v>977</v>
      </c>
      <c r="Q6877" s="15" t="s">
        <v>39</v>
      </c>
      <c r="R6877" s="4"/>
      <c r="S6877" s="4"/>
    </row>
    <row r="6878" spans="1:19" ht="21" customHeight="1" x14ac:dyDescent="0.25">
      <c r="A6878" s="14">
        <f>DATE(2012,12,31)-835</f>
        <v>40439</v>
      </c>
      <c r="B6878" s="15" t="s">
        <v>657</v>
      </c>
      <c r="C6878" s="15" t="s">
        <v>31</v>
      </c>
      <c r="D6878" s="16">
        <v>22</v>
      </c>
      <c r="E6878" s="17">
        <v>3760.3065000000001</v>
      </c>
      <c r="F6878" s="16">
        <v>0.05</v>
      </c>
      <c r="G6878" s="15" t="s">
        <v>32</v>
      </c>
      <c r="H6878" s="18">
        <v>593.18100000000004</v>
      </c>
      <c r="I6878" s="19">
        <v>195.99</v>
      </c>
      <c r="J6878" s="19">
        <v>8.99</v>
      </c>
      <c r="K6878" s="19" t="s">
        <v>33</v>
      </c>
      <c r="L6878" s="19" t="s">
        <v>34</v>
      </c>
      <c r="M6878" s="15" t="s">
        <v>2315</v>
      </c>
      <c r="N6878" s="15" t="s">
        <v>64</v>
      </c>
      <c r="O6878" s="15" t="s">
        <v>65</v>
      </c>
      <c r="P6878" s="20" t="s">
        <v>918</v>
      </c>
      <c r="Q6878" s="15" t="s">
        <v>83</v>
      </c>
      <c r="R6878" s="4"/>
      <c r="S6878" s="4"/>
    </row>
    <row r="6879" spans="1:19" ht="21" customHeight="1" x14ac:dyDescent="0.25">
      <c r="A6879" s="14">
        <f>DATE(2012,12,31)-716</f>
        <v>40558</v>
      </c>
      <c r="B6879" s="15" t="s">
        <v>631</v>
      </c>
      <c r="C6879" s="15" t="s">
        <v>85</v>
      </c>
      <c r="D6879" s="16">
        <v>32</v>
      </c>
      <c r="E6879" s="17">
        <v>249.59</v>
      </c>
      <c r="F6879" s="16">
        <v>0.06</v>
      </c>
      <c r="G6879" s="15" t="s">
        <v>32</v>
      </c>
      <c r="H6879" s="18">
        <v>101.82</v>
      </c>
      <c r="I6879" s="19">
        <v>7.64</v>
      </c>
      <c r="J6879" s="19">
        <v>1.39</v>
      </c>
      <c r="K6879" s="19" t="s">
        <v>33</v>
      </c>
      <c r="L6879" s="19" t="s">
        <v>145</v>
      </c>
      <c r="M6879" s="15" t="s">
        <v>2313</v>
      </c>
      <c r="N6879" s="15" t="s">
        <v>36</v>
      </c>
      <c r="O6879" s="15" t="s">
        <v>189</v>
      </c>
      <c r="P6879" s="20" t="s">
        <v>458</v>
      </c>
      <c r="Q6879" s="15" t="s">
        <v>83</v>
      </c>
      <c r="R6879" s="4"/>
      <c r="S6879" s="4"/>
    </row>
    <row r="6880" spans="1:19" ht="21" customHeight="1" x14ac:dyDescent="0.25">
      <c r="A6880" s="14">
        <f>DATE(2012,12,31)-1383</f>
        <v>39891</v>
      </c>
      <c r="B6880" s="15" t="s">
        <v>1924</v>
      </c>
      <c r="C6880" s="15" t="s">
        <v>51</v>
      </c>
      <c r="D6880" s="16">
        <v>28</v>
      </c>
      <c r="E6880" s="17">
        <v>96.71</v>
      </c>
      <c r="F6880" s="16">
        <v>0.01</v>
      </c>
      <c r="G6880" s="15" t="s">
        <v>32</v>
      </c>
      <c r="H6880" s="18">
        <v>-72.44</v>
      </c>
      <c r="I6880" s="19">
        <v>3.28</v>
      </c>
      <c r="J6880" s="19">
        <v>3.97</v>
      </c>
      <c r="K6880" s="19" t="s">
        <v>33</v>
      </c>
      <c r="L6880" s="19" t="s">
        <v>128</v>
      </c>
      <c r="M6880" s="15" t="s">
        <v>129</v>
      </c>
      <c r="N6880" s="15" t="s">
        <v>36</v>
      </c>
      <c r="O6880" s="15" t="s">
        <v>77</v>
      </c>
      <c r="P6880" s="20" t="s">
        <v>2034</v>
      </c>
      <c r="Q6880" s="15" t="s">
        <v>79</v>
      </c>
      <c r="R6880" s="4"/>
      <c r="S6880" s="4"/>
    </row>
    <row r="6881" spans="1:19" ht="21" customHeight="1" x14ac:dyDescent="0.25">
      <c r="A6881" s="14">
        <f>DATE(2012,12,31)-1383</f>
        <v>39891</v>
      </c>
      <c r="B6881" s="15" t="s">
        <v>2155</v>
      </c>
      <c r="C6881" s="15" t="s">
        <v>51</v>
      </c>
      <c r="D6881" s="16">
        <v>11</v>
      </c>
      <c r="E6881" s="17">
        <v>259.69</v>
      </c>
      <c r="F6881" s="16">
        <v>0.1</v>
      </c>
      <c r="G6881" s="15" t="s">
        <v>32</v>
      </c>
      <c r="H6881" s="18">
        <v>-45.816000000000003</v>
      </c>
      <c r="I6881" s="19">
        <v>24.92</v>
      </c>
      <c r="J6881" s="19">
        <v>12.98</v>
      </c>
      <c r="K6881" s="19" t="s">
        <v>33</v>
      </c>
      <c r="L6881" s="19" t="s">
        <v>145</v>
      </c>
      <c r="M6881" s="15" t="s">
        <v>2313</v>
      </c>
      <c r="N6881" s="15" t="s">
        <v>36</v>
      </c>
      <c r="O6881" s="15" t="s">
        <v>170</v>
      </c>
      <c r="P6881" s="20" t="s">
        <v>729</v>
      </c>
      <c r="Q6881" s="15" t="s">
        <v>83</v>
      </c>
      <c r="R6881" s="4"/>
      <c r="S6881" s="4"/>
    </row>
    <row r="6882" spans="1:19" ht="21" customHeight="1" x14ac:dyDescent="0.25">
      <c r="A6882" s="14">
        <f>DATE(2012,12,31)-1383</f>
        <v>39891</v>
      </c>
      <c r="B6882" s="15" t="s">
        <v>2155</v>
      </c>
      <c r="C6882" s="15" t="s">
        <v>51</v>
      </c>
      <c r="D6882" s="16">
        <v>9</v>
      </c>
      <c r="E6882" s="17">
        <v>2503.86</v>
      </c>
      <c r="F6882" s="16">
        <v>0.06</v>
      </c>
      <c r="G6882" s="15" t="s">
        <v>58</v>
      </c>
      <c r="H6882" s="18">
        <v>-172.47749999999999</v>
      </c>
      <c r="I6882" s="19">
        <v>270.97000000000003</v>
      </c>
      <c r="J6882" s="19">
        <v>28.06</v>
      </c>
      <c r="K6882" s="19" t="s">
        <v>33</v>
      </c>
      <c r="L6882" s="19" t="s">
        <v>145</v>
      </c>
      <c r="M6882" s="15" t="s">
        <v>2313</v>
      </c>
      <c r="N6882" s="15" t="s">
        <v>64</v>
      </c>
      <c r="O6882" s="15" t="s">
        <v>122</v>
      </c>
      <c r="P6882" s="20" t="s">
        <v>975</v>
      </c>
      <c r="Q6882" s="15" t="s">
        <v>181</v>
      </c>
      <c r="R6882" s="4"/>
      <c r="S6882" s="4"/>
    </row>
    <row r="6883" spans="1:19" ht="21" customHeight="1" x14ac:dyDescent="0.25">
      <c r="A6883" s="14">
        <f>DATE(2012,12,31)-1383</f>
        <v>39891</v>
      </c>
      <c r="B6883" s="15" t="s">
        <v>898</v>
      </c>
      <c r="C6883" s="15" t="s">
        <v>51</v>
      </c>
      <c r="D6883" s="16">
        <v>29</v>
      </c>
      <c r="E6883" s="17">
        <v>374.67</v>
      </c>
      <c r="F6883" s="16">
        <v>0</v>
      </c>
      <c r="G6883" s="15" t="s">
        <v>101</v>
      </c>
      <c r="H6883" s="18">
        <v>30.63</v>
      </c>
      <c r="I6883" s="19">
        <v>12.28</v>
      </c>
      <c r="J6883" s="19">
        <v>6.35</v>
      </c>
      <c r="K6883" s="19" t="s">
        <v>33</v>
      </c>
      <c r="L6883" s="19" t="s">
        <v>59</v>
      </c>
      <c r="M6883" s="15" t="s">
        <v>2269</v>
      </c>
      <c r="N6883" s="15" t="s">
        <v>36</v>
      </c>
      <c r="O6883" s="15" t="s">
        <v>117</v>
      </c>
      <c r="P6883" s="20" t="s">
        <v>115</v>
      </c>
      <c r="Q6883" s="15" t="s">
        <v>83</v>
      </c>
      <c r="R6883" s="4"/>
      <c r="S6883" s="4"/>
    </row>
    <row r="6884" spans="1:19" ht="21" customHeight="1" x14ac:dyDescent="0.25">
      <c r="A6884" s="14">
        <f>DATE(2012,12,31)-941</f>
        <v>40333</v>
      </c>
      <c r="B6884" s="15" t="s">
        <v>898</v>
      </c>
      <c r="C6884" s="15" t="s">
        <v>31</v>
      </c>
      <c r="D6884" s="16">
        <v>21</v>
      </c>
      <c r="E6884" s="17">
        <v>86.64</v>
      </c>
      <c r="F6884" s="16">
        <v>0.09</v>
      </c>
      <c r="G6884" s="15" t="s">
        <v>32</v>
      </c>
      <c r="H6884" s="18">
        <v>-73.070999999999998</v>
      </c>
      <c r="I6884" s="19">
        <v>3.98</v>
      </c>
      <c r="J6884" s="19">
        <v>5.26</v>
      </c>
      <c r="K6884" s="19" t="s">
        <v>33</v>
      </c>
      <c r="L6884" s="19" t="s">
        <v>145</v>
      </c>
      <c r="M6884" s="15" t="s">
        <v>2313</v>
      </c>
      <c r="N6884" s="15" t="s">
        <v>36</v>
      </c>
      <c r="O6884" s="15" t="s">
        <v>170</v>
      </c>
      <c r="P6884" s="20" t="s">
        <v>662</v>
      </c>
      <c r="Q6884" s="15" t="s">
        <v>83</v>
      </c>
      <c r="R6884" s="4"/>
      <c r="S6884" s="4"/>
    </row>
    <row r="6885" spans="1:19" ht="21" customHeight="1" x14ac:dyDescent="0.25">
      <c r="A6885" s="14">
        <f>DATE(2012,12,31)-506</f>
        <v>40768</v>
      </c>
      <c r="B6885" s="15" t="s">
        <v>394</v>
      </c>
      <c r="C6885" s="15" t="s">
        <v>85</v>
      </c>
      <c r="D6885" s="16">
        <v>13</v>
      </c>
      <c r="E6885" s="17">
        <v>409.97</v>
      </c>
      <c r="F6885" s="16">
        <v>7.0000000000000007E-2</v>
      </c>
      <c r="G6885" s="15" t="s">
        <v>32</v>
      </c>
      <c r="H6885" s="18">
        <v>39.36</v>
      </c>
      <c r="I6885" s="19">
        <v>33.619999999999997</v>
      </c>
      <c r="J6885" s="19">
        <v>3.5</v>
      </c>
      <c r="K6885" s="19" t="s">
        <v>69</v>
      </c>
      <c r="L6885" s="19" t="s">
        <v>75</v>
      </c>
      <c r="M6885" s="15" t="s">
        <v>2284</v>
      </c>
      <c r="N6885" s="15" t="s">
        <v>36</v>
      </c>
      <c r="O6885" s="15" t="s">
        <v>176</v>
      </c>
      <c r="P6885" s="20" t="s">
        <v>1972</v>
      </c>
      <c r="Q6885" s="15" t="s">
        <v>83</v>
      </c>
      <c r="R6885" s="4"/>
      <c r="S6885" s="4"/>
    </row>
    <row r="6886" spans="1:19" ht="21" customHeight="1" x14ac:dyDescent="0.25">
      <c r="A6886" s="14">
        <f>DATE(2012,12,31)-912</f>
        <v>40362</v>
      </c>
      <c r="B6886" s="15" t="s">
        <v>1086</v>
      </c>
      <c r="C6886" s="15" t="s">
        <v>43</v>
      </c>
      <c r="D6886" s="16">
        <v>22</v>
      </c>
      <c r="E6886" s="17">
        <v>399.64</v>
      </c>
      <c r="F6886" s="16">
        <v>0.04</v>
      </c>
      <c r="G6886" s="15" t="s">
        <v>32</v>
      </c>
      <c r="H6886" s="18">
        <v>-15.416399999999999</v>
      </c>
      <c r="I6886" s="19">
        <v>17.98</v>
      </c>
      <c r="J6886" s="19">
        <v>8.51</v>
      </c>
      <c r="K6886" s="19" t="s">
        <v>69</v>
      </c>
      <c r="L6886" s="19" t="s">
        <v>70</v>
      </c>
      <c r="M6886" s="15" t="s">
        <v>2327</v>
      </c>
      <c r="N6886" s="15" t="s">
        <v>64</v>
      </c>
      <c r="O6886" s="15" t="s">
        <v>122</v>
      </c>
      <c r="P6886" s="20" t="s">
        <v>879</v>
      </c>
      <c r="Q6886" s="15" t="s">
        <v>57</v>
      </c>
      <c r="R6886" s="4"/>
      <c r="S6886" s="4"/>
    </row>
    <row r="6887" spans="1:19" ht="21" customHeight="1" x14ac:dyDescent="0.25">
      <c r="A6887" s="14">
        <f>DATE(2012,12,31)-912</f>
        <v>40362</v>
      </c>
      <c r="B6887" s="15" t="s">
        <v>1086</v>
      </c>
      <c r="C6887" s="15" t="s">
        <v>43</v>
      </c>
      <c r="D6887" s="16">
        <v>41</v>
      </c>
      <c r="E6887" s="17">
        <v>277.35000000000002</v>
      </c>
      <c r="F6887" s="16">
        <v>0.02</v>
      </c>
      <c r="G6887" s="15" t="s">
        <v>32</v>
      </c>
      <c r="H6887" s="18">
        <v>-103.28</v>
      </c>
      <c r="I6887" s="19">
        <v>6.48</v>
      </c>
      <c r="J6887" s="19">
        <v>6.57</v>
      </c>
      <c r="K6887" s="19" t="s">
        <v>69</v>
      </c>
      <c r="L6887" s="19" t="s">
        <v>70</v>
      </c>
      <c r="M6887" s="15" t="s">
        <v>2327</v>
      </c>
      <c r="N6887" s="15" t="s">
        <v>36</v>
      </c>
      <c r="O6887" s="15" t="s">
        <v>117</v>
      </c>
      <c r="P6887" s="20" t="s">
        <v>905</v>
      </c>
      <c r="Q6887" s="15" t="s">
        <v>83</v>
      </c>
      <c r="R6887" s="4"/>
      <c r="S6887" s="4"/>
    </row>
    <row r="6888" spans="1:19" ht="21" customHeight="1" x14ac:dyDescent="0.25">
      <c r="A6888" s="14">
        <f>DATE(2012,12,31)-456</f>
        <v>40818</v>
      </c>
      <c r="B6888" s="15" t="s">
        <v>1086</v>
      </c>
      <c r="C6888" s="15" t="s">
        <v>85</v>
      </c>
      <c r="D6888" s="16">
        <v>24</v>
      </c>
      <c r="E6888" s="17">
        <v>238.25</v>
      </c>
      <c r="F6888" s="16">
        <v>0.05</v>
      </c>
      <c r="G6888" s="15" t="s">
        <v>32</v>
      </c>
      <c r="H6888" s="18">
        <v>-83.55</v>
      </c>
      <c r="I6888" s="19">
        <v>9.3800000000000008</v>
      </c>
      <c r="J6888" s="19">
        <v>7.28</v>
      </c>
      <c r="K6888" s="19" t="s">
        <v>69</v>
      </c>
      <c r="L6888" s="19" t="s">
        <v>75</v>
      </c>
      <c r="M6888" s="15" t="s">
        <v>2284</v>
      </c>
      <c r="N6888" s="15" t="s">
        <v>36</v>
      </c>
      <c r="O6888" s="15" t="s">
        <v>37</v>
      </c>
      <c r="P6888" s="20" t="s">
        <v>583</v>
      </c>
      <c r="Q6888" s="15" t="s">
        <v>83</v>
      </c>
      <c r="R6888" s="4"/>
      <c r="S6888" s="4"/>
    </row>
    <row r="6889" spans="1:19" ht="21" customHeight="1" x14ac:dyDescent="0.25">
      <c r="A6889" s="14">
        <f>DATE(2012,12,31)-192</f>
        <v>41082</v>
      </c>
      <c r="B6889" s="15" t="s">
        <v>1480</v>
      </c>
      <c r="C6889" s="15" t="s">
        <v>51</v>
      </c>
      <c r="D6889" s="16">
        <v>20</v>
      </c>
      <c r="E6889" s="17">
        <v>1357.44</v>
      </c>
      <c r="F6889" s="16">
        <v>0.09</v>
      </c>
      <c r="G6889" s="15" t="s">
        <v>58</v>
      </c>
      <c r="H6889" s="18">
        <v>-102.3</v>
      </c>
      <c r="I6889" s="19">
        <v>70.98</v>
      </c>
      <c r="J6889" s="19">
        <v>26.85</v>
      </c>
      <c r="K6889" s="19" t="s">
        <v>69</v>
      </c>
      <c r="L6889" s="19" t="s">
        <v>70</v>
      </c>
      <c r="M6889" s="15" t="s">
        <v>2327</v>
      </c>
      <c r="N6889" s="15" t="s">
        <v>54</v>
      </c>
      <c r="O6889" s="15" t="s">
        <v>134</v>
      </c>
      <c r="P6889" s="20" t="s">
        <v>1322</v>
      </c>
      <c r="Q6889" s="15" t="s">
        <v>63</v>
      </c>
      <c r="R6889" s="4"/>
      <c r="S6889" s="4"/>
    </row>
    <row r="6890" spans="1:19" ht="21" customHeight="1" x14ac:dyDescent="0.25">
      <c r="A6890" s="14">
        <f>DATE(2012,12,31)-1116</f>
        <v>40158</v>
      </c>
      <c r="B6890" s="15" t="s">
        <v>818</v>
      </c>
      <c r="C6890" s="15" t="s">
        <v>51</v>
      </c>
      <c r="D6890" s="16">
        <v>25</v>
      </c>
      <c r="E6890" s="17">
        <v>334.71</v>
      </c>
      <c r="F6890" s="16">
        <v>0.01</v>
      </c>
      <c r="G6890" s="15" t="s">
        <v>32</v>
      </c>
      <c r="H6890" s="18">
        <v>31.74</v>
      </c>
      <c r="I6890" s="19">
        <v>12.28</v>
      </c>
      <c r="J6890" s="19">
        <v>6.47</v>
      </c>
      <c r="K6890" s="19" t="s">
        <v>69</v>
      </c>
      <c r="L6890" s="19" t="s">
        <v>75</v>
      </c>
      <c r="M6890" s="15" t="s">
        <v>2284</v>
      </c>
      <c r="N6890" s="15" t="s">
        <v>36</v>
      </c>
      <c r="O6890" s="15" t="s">
        <v>117</v>
      </c>
      <c r="P6890" s="20" t="s">
        <v>2154</v>
      </c>
      <c r="Q6890" s="15" t="s">
        <v>83</v>
      </c>
      <c r="R6890" s="4"/>
      <c r="S6890" s="4"/>
    </row>
    <row r="6891" spans="1:19" ht="21" customHeight="1" x14ac:dyDescent="0.25">
      <c r="A6891" s="14">
        <f>DATE(2012,12,31)-679</f>
        <v>40595</v>
      </c>
      <c r="B6891" s="15" t="s">
        <v>818</v>
      </c>
      <c r="C6891" s="15" t="s">
        <v>85</v>
      </c>
      <c r="D6891" s="16">
        <v>30</v>
      </c>
      <c r="E6891" s="17">
        <v>164.41</v>
      </c>
      <c r="F6891" s="16">
        <v>0</v>
      </c>
      <c r="G6891" s="15" t="s">
        <v>32</v>
      </c>
      <c r="H6891" s="18">
        <v>-128.52000000000001</v>
      </c>
      <c r="I6891" s="19">
        <v>4.9800000000000004</v>
      </c>
      <c r="J6891" s="19">
        <v>7.54</v>
      </c>
      <c r="K6891" s="19" t="s">
        <v>69</v>
      </c>
      <c r="L6891" s="19" t="s">
        <v>75</v>
      </c>
      <c r="M6891" s="15" t="s">
        <v>2284</v>
      </c>
      <c r="N6891" s="15" t="s">
        <v>36</v>
      </c>
      <c r="O6891" s="15" t="s">
        <v>117</v>
      </c>
      <c r="P6891" s="20" t="s">
        <v>966</v>
      </c>
      <c r="Q6891" s="15" t="s">
        <v>83</v>
      </c>
      <c r="R6891" s="4"/>
      <c r="S6891" s="4"/>
    </row>
    <row r="6892" spans="1:19" ht="21" customHeight="1" x14ac:dyDescent="0.25">
      <c r="A6892" s="14">
        <f>DATE(2012,12,31)-679</f>
        <v>40595</v>
      </c>
      <c r="B6892" s="15" t="s">
        <v>779</v>
      </c>
      <c r="C6892" s="15" t="s">
        <v>85</v>
      </c>
      <c r="D6892" s="16">
        <v>19</v>
      </c>
      <c r="E6892" s="17">
        <v>1882.18</v>
      </c>
      <c r="F6892" s="16">
        <v>0.09</v>
      </c>
      <c r="G6892" s="15" t="s">
        <v>101</v>
      </c>
      <c r="H6892" s="18">
        <v>336.26</v>
      </c>
      <c r="I6892" s="19">
        <v>107.53</v>
      </c>
      <c r="J6892" s="19">
        <v>5.81</v>
      </c>
      <c r="K6892" s="19" t="s">
        <v>69</v>
      </c>
      <c r="L6892" s="19" t="s">
        <v>75</v>
      </c>
      <c r="M6892" s="15" t="s">
        <v>2284</v>
      </c>
      <c r="N6892" s="15" t="s">
        <v>54</v>
      </c>
      <c r="O6892" s="15" t="s">
        <v>55</v>
      </c>
      <c r="P6892" s="20" t="s">
        <v>1056</v>
      </c>
      <c r="Q6892" s="15" t="s">
        <v>57</v>
      </c>
      <c r="R6892" s="4"/>
      <c r="S6892" s="4"/>
    </row>
    <row r="6893" spans="1:19" ht="21" customHeight="1" x14ac:dyDescent="0.25">
      <c r="A6893" s="14">
        <f>DATE(2012,12,31)-494</f>
        <v>40780</v>
      </c>
      <c r="B6893" s="15" t="s">
        <v>1605</v>
      </c>
      <c r="C6893" s="15" t="s">
        <v>31</v>
      </c>
      <c r="D6893" s="16">
        <v>13</v>
      </c>
      <c r="E6893" s="17">
        <v>98.82</v>
      </c>
      <c r="F6893" s="16">
        <v>0.09</v>
      </c>
      <c r="G6893" s="15" t="s">
        <v>32</v>
      </c>
      <c r="H6893" s="18">
        <v>-68.66</v>
      </c>
      <c r="I6893" s="19">
        <v>7.37</v>
      </c>
      <c r="J6893" s="19">
        <v>5.53</v>
      </c>
      <c r="K6893" s="19" t="s">
        <v>69</v>
      </c>
      <c r="L6893" s="19" t="s">
        <v>75</v>
      </c>
      <c r="M6893" s="15" t="s">
        <v>2284</v>
      </c>
      <c r="N6893" s="15" t="s">
        <v>64</v>
      </c>
      <c r="O6893" s="15" t="s">
        <v>72</v>
      </c>
      <c r="P6893" s="20" t="s">
        <v>726</v>
      </c>
      <c r="Q6893" s="15" t="s">
        <v>49</v>
      </c>
      <c r="R6893" s="4"/>
      <c r="S6893" s="4"/>
    </row>
    <row r="6894" spans="1:19" ht="21" customHeight="1" x14ac:dyDescent="0.25">
      <c r="A6894" s="14">
        <f>DATE(2012,12,31)-494</f>
        <v>40780</v>
      </c>
      <c r="B6894" s="15" t="s">
        <v>1360</v>
      </c>
      <c r="C6894" s="15" t="s">
        <v>31</v>
      </c>
      <c r="D6894" s="16">
        <v>40</v>
      </c>
      <c r="E6894" s="17">
        <v>289.19</v>
      </c>
      <c r="F6894" s="16">
        <v>0.01</v>
      </c>
      <c r="G6894" s="15" t="s">
        <v>32</v>
      </c>
      <c r="H6894" s="18">
        <v>-69.03</v>
      </c>
      <c r="I6894" s="19">
        <v>6.68</v>
      </c>
      <c r="J6894" s="19">
        <v>6.15</v>
      </c>
      <c r="K6894" s="19" t="s">
        <v>69</v>
      </c>
      <c r="L6894" s="19" t="s">
        <v>70</v>
      </c>
      <c r="M6894" s="15" t="s">
        <v>2327</v>
      </c>
      <c r="N6894" s="15" t="s">
        <v>36</v>
      </c>
      <c r="O6894" s="15" t="s">
        <v>117</v>
      </c>
      <c r="P6894" s="20" t="s">
        <v>964</v>
      </c>
      <c r="Q6894" s="15" t="s">
        <v>83</v>
      </c>
      <c r="R6894" s="4"/>
      <c r="S6894" s="4"/>
    </row>
    <row r="6895" spans="1:19" ht="21" customHeight="1" x14ac:dyDescent="0.25">
      <c r="A6895" s="14">
        <f>DATE(2012,12,31)-1</f>
        <v>41273</v>
      </c>
      <c r="B6895" s="15" t="s">
        <v>1110</v>
      </c>
      <c r="C6895" s="15" t="s">
        <v>31</v>
      </c>
      <c r="D6895" s="16">
        <v>31</v>
      </c>
      <c r="E6895" s="17">
        <v>672.93</v>
      </c>
      <c r="F6895" s="16">
        <v>0</v>
      </c>
      <c r="G6895" s="15" t="s">
        <v>32</v>
      </c>
      <c r="H6895" s="18">
        <v>27.85</v>
      </c>
      <c r="I6895" s="19">
        <v>19.98</v>
      </c>
      <c r="J6895" s="19">
        <v>4</v>
      </c>
      <c r="K6895" s="19" t="s">
        <v>69</v>
      </c>
      <c r="L6895" s="19" t="s">
        <v>70</v>
      </c>
      <c r="M6895" s="15" t="s">
        <v>2327</v>
      </c>
      <c r="N6895" s="15" t="s">
        <v>64</v>
      </c>
      <c r="O6895" s="15" t="s">
        <v>72</v>
      </c>
      <c r="P6895" s="20" t="s">
        <v>534</v>
      </c>
      <c r="Q6895" s="15" t="s">
        <v>83</v>
      </c>
      <c r="R6895" s="4"/>
      <c r="S6895" s="4"/>
    </row>
    <row r="6896" spans="1:19" ht="21" customHeight="1" x14ac:dyDescent="0.25">
      <c r="A6896" s="14">
        <f>DATE(2012,12,31)-1</f>
        <v>41273</v>
      </c>
      <c r="B6896" s="15" t="s">
        <v>1292</v>
      </c>
      <c r="C6896" s="15" t="s">
        <v>31</v>
      </c>
      <c r="D6896" s="16">
        <v>1</v>
      </c>
      <c r="E6896" s="17">
        <v>803.33</v>
      </c>
      <c r="F6896" s="16">
        <v>0.09</v>
      </c>
      <c r="G6896" s="15" t="s">
        <v>32</v>
      </c>
      <c r="H6896" s="18">
        <v>-745.2</v>
      </c>
      <c r="I6896" s="19">
        <v>832.81</v>
      </c>
      <c r="J6896" s="19">
        <v>24.49</v>
      </c>
      <c r="K6896" s="19" t="s">
        <v>69</v>
      </c>
      <c r="L6896" s="19" t="s">
        <v>70</v>
      </c>
      <c r="M6896" s="15" t="s">
        <v>2327</v>
      </c>
      <c r="N6896" s="15" t="s">
        <v>36</v>
      </c>
      <c r="O6896" s="15" t="s">
        <v>47</v>
      </c>
      <c r="P6896" s="20" t="s">
        <v>387</v>
      </c>
      <c r="Q6896" s="15" t="s">
        <v>57</v>
      </c>
      <c r="R6896" s="4"/>
      <c r="S6896" s="4"/>
    </row>
    <row r="6897" spans="1:19" ht="21" customHeight="1" x14ac:dyDescent="0.25">
      <c r="A6897" s="14">
        <f>DATE(2012,12,31)-606</f>
        <v>40668</v>
      </c>
      <c r="B6897" s="15" t="s">
        <v>1819</v>
      </c>
      <c r="C6897" s="15" t="s">
        <v>43</v>
      </c>
      <c r="D6897" s="16">
        <v>8</v>
      </c>
      <c r="E6897" s="17">
        <v>94.35</v>
      </c>
      <c r="F6897" s="16">
        <v>0.1</v>
      </c>
      <c r="G6897" s="15" t="s">
        <v>32</v>
      </c>
      <c r="H6897" s="18">
        <v>42.22</v>
      </c>
      <c r="I6897" s="19">
        <v>12.22</v>
      </c>
      <c r="J6897" s="19">
        <v>2.85</v>
      </c>
      <c r="K6897" s="19" t="s">
        <v>69</v>
      </c>
      <c r="L6897" s="19" t="s">
        <v>215</v>
      </c>
      <c r="M6897" s="15" t="s">
        <v>2322</v>
      </c>
      <c r="N6897" s="15" t="s">
        <v>54</v>
      </c>
      <c r="O6897" s="15" t="s">
        <v>55</v>
      </c>
      <c r="P6897" s="20" t="s">
        <v>1717</v>
      </c>
      <c r="Q6897" s="15" t="s">
        <v>49</v>
      </c>
      <c r="R6897" s="4"/>
      <c r="S6897" s="4"/>
    </row>
    <row r="6898" spans="1:19" ht="21" customHeight="1" x14ac:dyDescent="0.25">
      <c r="A6898" s="14">
        <f>DATE(2012,12,31)-606</f>
        <v>40668</v>
      </c>
      <c r="B6898" s="15" t="s">
        <v>861</v>
      </c>
      <c r="C6898" s="15" t="s">
        <v>43</v>
      </c>
      <c r="D6898" s="16">
        <v>50</v>
      </c>
      <c r="E6898" s="17">
        <v>276.75</v>
      </c>
      <c r="F6898" s="16">
        <v>0.04</v>
      </c>
      <c r="G6898" s="15" t="s">
        <v>32</v>
      </c>
      <c r="H6898" s="18">
        <v>-117.91</v>
      </c>
      <c r="I6898" s="19">
        <v>5.28</v>
      </c>
      <c r="J6898" s="19">
        <v>5.57</v>
      </c>
      <c r="K6898" s="19" t="s">
        <v>69</v>
      </c>
      <c r="L6898" s="19" t="s">
        <v>75</v>
      </c>
      <c r="M6898" s="15" t="s">
        <v>2284</v>
      </c>
      <c r="N6898" s="15" t="s">
        <v>36</v>
      </c>
      <c r="O6898" s="15" t="s">
        <v>117</v>
      </c>
      <c r="P6898" s="20" t="s">
        <v>356</v>
      </c>
      <c r="Q6898" s="15" t="s">
        <v>83</v>
      </c>
      <c r="R6898" s="4"/>
      <c r="S6898" s="4"/>
    </row>
    <row r="6899" spans="1:19" ht="21" customHeight="1" x14ac:dyDescent="0.25">
      <c r="A6899" s="14">
        <f>DATE(2012,12,31)-579</f>
        <v>40695</v>
      </c>
      <c r="B6899" s="15" t="s">
        <v>1740</v>
      </c>
      <c r="C6899" s="15" t="s">
        <v>51</v>
      </c>
      <c r="D6899" s="16">
        <v>11</v>
      </c>
      <c r="E6899" s="17">
        <v>123.34</v>
      </c>
      <c r="F6899" s="16">
        <v>7.0000000000000007E-2</v>
      </c>
      <c r="G6899" s="15" t="s">
        <v>32</v>
      </c>
      <c r="H6899" s="18">
        <v>0.64000000000000057</v>
      </c>
      <c r="I6899" s="19">
        <v>11.34</v>
      </c>
      <c r="J6899" s="19">
        <v>5.01</v>
      </c>
      <c r="K6899" s="19" t="s">
        <v>69</v>
      </c>
      <c r="L6899" s="19" t="s">
        <v>215</v>
      </c>
      <c r="M6899" s="15" t="s">
        <v>2322</v>
      </c>
      <c r="N6899" s="15" t="s">
        <v>36</v>
      </c>
      <c r="O6899" s="15" t="s">
        <v>117</v>
      </c>
      <c r="P6899" s="20" t="s">
        <v>1663</v>
      </c>
      <c r="Q6899" s="15" t="s">
        <v>83</v>
      </c>
      <c r="R6899" s="4"/>
      <c r="S6899" s="4"/>
    </row>
    <row r="6900" spans="1:19" ht="21" customHeight="1" x14ac:dyDescent="0.25">
      <c r="A6900" s="14">
        <f>DATE(2012,12,31)-579</f>
        <v>40695</v>
      </c>
      <c r="B6900" s="15" t="s">
        <v>1740</v>
      </c>
      <c r="C6900" s="15" t="s">
        <v>51</v>
      </c>
      <c r="D6900" s="16">
        <v>23</v>
      </c>
      <c r="E6900" s="17">
        <v>1642.47</v>
      </c>
      <c r="F6900" s="16">
        <v>0.01</v>
      </c>
      <c r="G6900" s="15" t="s">
        <v>58</v>
      </c>
      <c r="H6900" s="18">
        <v>-524.03</v>
      </c>
      <c r="I6900" s="19">
        <v>68.81</v>
      </c>
      <c r="J6900" s="19">
        <v>60</v>
      </c>
      <c r="K6900" s="19" t="s">
        <v>111</v>
      </c>
      <c r="L6900" s="19" t="s">
        <v>442</v>
      </c>
      <c r="M6900" s="15" t="s">
        <v>2304</v>
      </c>
      <c r="N6900" s="15" t="s">
        <v>36</v>
      </c>
      <c r="O6900" s="15" t="s">
        <v>176</v>
      </c>
      <c r="P6900" s="20" t="s">
        <v>171</v>
      </c>
      <c r="Q6900" s="15" t="s">
        <v>181</v>
      </c>
      <c r="R6900" s="4"/>
      <c r="S6900" s="4"/>
    </row>
    <row r="6901" spans="1:19" ht="21" customHeight="1" x14ac:dyDescent="0.25">
      <c r="A6901" s="14">
        <f>DATE(2012,12,31)-131</f>
        <v>41143</v>
      </c>
      <c r="B6901" s="15" t="s">
        <v>1740</v>
      </c>
      <c r="C6901" s="15" t="s">
        <v>51</v>
      </c>
      <c r="D6901" s="16">
        <v>50</v>
      </c>
      <c r="E6901" s="17">
        <v>375.11</v>
      </c>
      <c r="F6901" s="16">
        <v>0.01</v>
      </c>
      <c r="G6901" s="15" t="s">
        <v>32</v>
      </c>
      <c r="H6901" s="18">
        <v>-331.63</v>
      </c>
      <c r="I6901" s="19">
        <v>7.28</v>
      </c>
      <c r="J6901" s="19">
        <v>11.15</v>
      </c>
      <c r="K6901" s="19" t="s">
        <v>111</v>
      </c>
      <c r="L6901" s="19" t="s">
        <v>442</v>
      </c>
      <c r="M6901" s="15" t="s">
        <v>2304</v>
      </c>
      <c r="N6901" s="15" t="s">
        <v>36</v>
      </c>
      <c r="O6901" s="15" t="s">
        <v>117</v>
      </c>
      <c r="P6901" s="20" t="s">
        <v>1865</v>
      </c>
      <c r="Q6901" s="15" t="s">
        <v>83</v>
      </c>
      <c r="R6901" s="4"/>
      <c r="S6901" s="4"/>
    </row>
    <row r="6902" spans="1:19" ht="21" customHeight="1" x14ac:dyDescent="0.25">
      <c r="A6902" s="14">
        <f>DATE(2012,12,31)-276</f>
        <v>40998</v>
      </c>
      <c r="B6902" s="15" t="s">
        <v>1740</v>
      </c>
      <c r="C6902" s="15" t="s">
        <v>31</v>
      </c>
      <c r="D6902" s="16">
        <v>27</v>
      </c>
      <c r="E6902" s="17">
        <v>109.92</v>
      </c>
      <c r="F6902" s="16">
        <v>0.06</v>
      </c>
      <c r="G6902" s="15" t="s">
        <v>32</v>
      </c>
      <c r="H6902" s="18">
        <v>24.75</v>
      </c>
      <c r="I6902" s="19">
        <v>3.98</v>
      </c>
      <c r="J6902" s="19">
        <v>0.83</v>
      </c>
      <c r="K6902" s="19" t="s">
        <v>44</v>
      </c>
      <c r="L6902" s="19" t="s">
        <v>120</v>
      </c>
      <c r="M6902" s="15" t="s">
        <v>2262</v>
      </c>
      <c r="N6902" s="15" t="s">
        <v>36</v>
      </c>
      <c r="O6902" s="15" t="s">
        <v>77</v>
      </c>
      <c r="P6902" s="20" t="s">
        <v>2329</v>
      </c>
      <c r="Q6902" s="15" t="s">
        <v>79</v>
      </c>
      <c r="R6902" s="4"/>
      <c r="S6902" s="4"/>
    </row>
    <row r="6903" spans="1:19" ht="21" customHeight="1" x14ac:dyDescent="0.25">
      <c r="A6903" s="14">
        <f>DATE(2012,12,31)-241</f>
        <v>41033</v>
      </c>
      <c r="B6903" s="15" t="s">
        <v>1622</v>
      </c>
      <c r="C6903" s="15" t="s">
        <v>85</v>
      </c>
      <c r="D6903" s="16">
        <v>11</v>
      </c>
      <c r="E6903" s="17">
        <v>22145.37</v>
      </c>
      <c r="F6903" s="16">
        <v>0.02</v>
      </c>
      <c r="G6903" s="15" t="s">
        <v>32</v>
      </c>
      <c r="H6903" s="18">
        <v>6138.48</v>
      </c>
      <c r="I6903" s="19">
        <v>1938.02</v>
      </c>
      <c r="J6903" s="19">
        <v>13.99</v>
      </c>
      <c r="K6903" s="19" t="s">
        <v>44</v>
      </c>
      <c r="L6903" s="19" t="s">
        <v>120</v>
      </c>
      <c r="M6903" s="15" t="s">
        <v>2262</v>
      </c>
      <c r="N6903" s="15" t="s">
        <v>64</v>
      </c>
      <c r="O6903" s="15" t="s">
        <v>122</v>
      </c>
      <c r="P6903" s="20" t="s">
        <v>446</v>
      </c>
      <c r="Q6903" s="15" t="s">
        <v>57</v>
      </c>
      <c r="R6903" s="4"/>
      <c r="S6903" s="4"/>
    </row>
    <row r="6904" spans="1:19" ht="21" customHeight="1" x14ac:dyDescent="0.25">
      <c r="A6904" s="14">
        <f>DATE(2012,12,31)-18</f>
        <v>41256</v>
      </c>
      <c r="B6904" s="15" t="s">
        <v>1278</v>
      </c>
      <c r="C6904" s="15" t="s">
        <v>43</v>
      </c>
      <c r="D6904" s="16">
        <v>21</v>
      </c>
      <c r="E6904" s="17">
        <v>1537.5</v>
      </c>
      <c r="F6904" s="16">
        <v>0.04</v>
      </c>
      <c r="G6904" s="15" t="s">
        <v>32</v>
      </c>
      <c r="H6904" s="18">
        <v>-531.91999999999996</v>
      </c>
      <c r="I6904" s="19">
        <v>70.98</v>
      </c>
      <c r="J6904" s="19">
        <v>35</v>
      </c>
      <c r="K6904" s="19" t="s">
        <v>44</v>
      </c>
      <c r="L6904" s="19" t="s">
        <v>89</v>
      </c>
      <c r="M6904" s="15" t="s">
        <v>2326</v>
      </c>
      <c r="N6904" s="15" t="s">
        <v>36</v>
      </c>
      <c r="O6904" s="15" t="s">
        <v>37</v>
      </c>
      <c r="P6904" s="20" t="s">
        <v>2331</v>
      </c>
      <c r="Q6904" s="15" t="s">
        <v>39</v>
      </c>
      <c r="R6904" s="4"/>
      <c r="S6904" s="4"/>
    </row>
    <row r="6905" spans="1:19" ht="21" customHeight="1" x14ac:dyDescent="0.25">
      <c r="A6905" s="14">
        <f>DATE(2012,12,31)-503</f>
        <v>40771</v>
      </c>
      <c r="B6905" s="15" t="s">
        <v>1132</v>
      </c>
      <c r="C6905" s="15" t="s">
        <v>51</v>
      </c>
      <c r="D6905" s="16">
        <v>28</v>
      </c>
      <c r="E6905" s="17">
        <v>1457.78</v>
      </c>
      <c r="F6905" s="16">
        <v>0.04</v>
      </c>
      <c r="G6905" s="15" t="s">
        <v>32</v>
      </c>
      <c r="H6905" s="18">
        <v>68.23</v>
      </c>
      <c r="I6905" s="19">
        <v>49.99</v>
      </c>
      <c r="J6905" s="19">
        <v>19.989999999999998</v>
      </c>
      <c r="K6905" s="19" t="s">
        <v>44</v>
      </c>
      <c r="L6905" s="19" t="s">
        <v>80</v>
      </c>
      <c r="M6905" s="15" t="s">
        <v>2297</v>
      </c>
      <c r="N6905" s="15" t="s">
        <v>64</v>
      </c>
      <c r="O6905" s="15" t="s">
        <v>72</v>
      </c>
      <c r="P6905" s="20" t="s">
        <v>1357</v>
      </c>
      <c r="Q6905" s="15" t="s">
        <v>83</v>
      </c>
      <c r="R6905" s="4"/>
      <c r="S6905" s="4"/>
    </row>
    <row r="6906" spans="1:19" ht="21" customHeight="1" x14ac:dyDescent="0.25">
      <c r="A6906" s="14">
        <f>DATE(2012,12,31)-1395</f>
        <v>39879</v>
      </c>
      <c r="B6906" s="15" t="s">
        <v>1132</v>
      </c>
      <c r="C6906" s="15" t="s">
        <v>85</v>
      </c>
      <c r="D6906" s="16">
        <v>20</v>
      </c>
      <c r="E6906" s="17">
        <v>9418.14</v>
      </c>
      <c r="F6906" s="16">
        <v>0.09</v>
      </c>
      <c r="G6906" s="15" t="s">
        <v>58</v>
      </c>
      <c r="H6906" s="18">
        <v>909.36</v>
      </c>
      <c r="I6906" s="19">
        <v>517.48</v>
      </c>
      <c r="J6906" s="19">
        <v>16.63</v>
      </c>
      <c r="K6906" s="19" t="s">
        <v>44</v>
      </c>
      <c r="L6906" s="19" t="s">
        <v>45</v>
      </c>
      <c r="M6906" s="15" t="s">
        <v>2271</v>
      </c>
      <c r="N6906" s="15" t="s">
        <v>64</v>
      </c>
      <c r="O6906" s="15" t="s">
        <v>122</v>
      </c>
      <c r="P6906" s="20" t="s">
        <v>1838</v>
      </c>
      <c r="Q6906" s="15" t="s">
        <v>63</v>
      </c>
      <c r="R6906" s="4"/>
      <c r="S6906" s="4"/>
    </row>
    <row r="6907" spans="1:19" ht="21" customHeight="1" x14ac:dyDescent="0.25">
      <c r="A6907" s="14">
        <f>DATE(2012,12,31)-1191</f>
        <v>40083</v>
      </c>
      <c r="B6907" s="15" t="s">
        <v>1199</v>
      </c>
      <c r="C6907" s="15" t="s">
        <v>85</v>
      </c>
      <c r="D6907" s="16">
        <v>49</v>
      </c>
      <c r="E6907" s="17">
        <v>1981.26</v>
      </c>
      <c r="F6907" s="16">
        <v>7.0000000000000007E-2</v>
      </c>
      <c r="G6907" s="15" t="s">
        <v>101</v>
      </c>
      <c r="H6907" s="18">
        <v>100.8</v>
      </c>
      <c r="I6907" s="19">
        <v>41.32</v>
      </c>
      <c r="J6907" s="19">
        <v>8.66</v>
      </c>
      <c r="K6907" s="19" t="s">
        <v>44</v>
      </c>
      <c r="L6907" s="19" t="s">
        <v>89</v>
      </c>
      <c r="M6907" s="15" t="s">
        <v>2326</v>
      </c>
      <c r="N6907" s="15" t="s">
        <v>54</v>
      </c>
      <c r="O6907" s="15" t="s">
        <v>55</v>
      </c>
      <c r="P6907" s="20" t="s">
        <v>1860</v>
      </c>
      <c r="Q6907" s="15" t="s">
        <v>57</v>
      </c>
      <c r="R6907" s="4"/>
      <c r="S6907" s="4"/>
    </row>
    <row r="6908" spans="1:19" ht="21" customHeight="1" x14ac:dyDescent="0.25">
      <c r="A6908" s="14">
        <f>DATE(2012,12,31)-144</f>
        <v>41130</v>
      </c>
      <c r="B6908" s="15" t="s">
        <v>1605</v>
      </c>
      <c r="C6908" s="15" t="s">
        <v>51</v>
      </c>
      <c r="D6908" s="16">
        <v>11</v>
      </c>
      <c r="E6908" s="17">
        <v>131.12</v>
      </c>
      <c r="F6908" s="16">
        <v>0.03</v>
      </c>
      <c r="G6908" s="15" t="s">
        <v>32</v>
      </c>
      <c r="H6908" s="18">
        <v>-24.805500000000002</v>
      </c>
      <c r="I6908" s="19">
        <v>11.5</v>
      </c>
      <c r="J6908" s="19">
        <v>7.19</v>
      </c>
      <c r="K6908" s="19" t="s">
        <v>44</v>
      </c>
      <c r="L6908" s="19" t="s">
        <v>45</v>
      </c>
      <c r="M6908" s="15" t="s">
        <v>2271</v>
      </c>
      <c r="N6908" s="15" t="s">
        <v>36</v>
      </c>
      <c r="O6908" s="15" t="s">
        <v>170</v>
      </c>
      <c r="P6908" s="20" t="s">
        <v>2150</v>
      </c>
      <c r="Q6908" s="15" t="s">
        <v>83</v>
      </c>
      <c r="R6908" s="4"/>
      <c r="S6908" s="4"/>
    </row>
    <row r="6909" spans="1:19" ht="21" customHeight="1" x14ac:dyDescent="0.25">
      <c r="A6909" s="14">
        <f>DATE(2012,12,31)-708</f>
        <v>40566</v>
      </c>
      <c r="B6909" s="15" t="s">
        <v>1223</v>
      </c>
      <c r="C6909" s="15" t="s">
        <v>51</v>
      </c>
      <c r="D6909" s="16">
        <v>41</v>
      </c>
      <c r="E6909" s="17">
        <v>396.15</v>
      </c>
      <c r="F6909" s="16">
        <v>0.05</v>
      </c>
      <c r="G6909" s="15" t="s">
        <v>32</v>
      </c>
      <c r="H6909" s="18">
        <v>-10.98</v>
      </c>
      <c r="I6909" s="19">
        <v>9.85</v>
      </c>
      <c r="J6909" s="19">
        <v>4.82</v>
      </c>
      <c r="K6909" s="19" t="s">
        <v>44</v>
      </c>
      <c r="L6909" s="19" t="s">
        <v>45</v>
      </c>
      <c r="M6909" s="15" t="s">
        <v>2271</v>
      </c>
      <c r="N6909" s="15" t="s">
        <v>36</v>
      </c>
      <c r="O6909" s="15" t="s">
        <v>77</v>
      </c>
      <c r="P6909" s="20" t="s">
        <v>832</v>
      </c>
      <c r="Q6909" s="15" t="s">
        <v>79</v>
      </c>
      <c r="R6909" s="4"/>
      <c r="S6909" s="4"/>
    </row>
    <row r="6910" spans="1:19" ht="21" customHeight="1" x14ac:dyDescent="0.25">
      <c r="A6910" s="14">
        <f>DATE(2012,12,31)-899</f>
        <v>40375</v>
      </c>
      <c r="B6910" s="15" t="s">
        <v>518</v>
      </c>
      <c r="C6910" s="15" t="s">
        <v>31</v>
      </c>
      <c r="D6910" s="16">
        <v>23</v>
      </c>
      <c r="E6910" s="17">
        <v>103.2</v>
      </c>
      <c r="F6910" s="16">
        <v>0.02</v>
      </c>
      <c r="G6910" s="15" t="s">
        <v>32</v>
      </c>
      <c r="H6910" s="18">
        <v>17.89</v>
      </c>
      <c r="I6910" s="19">
        <v>4.28</v>
      </c>
      <c r="J6910" s="19">
        <v>0.94</v>
      </c>
      <c r="K6910" s="19" t="s">
        <v>44</v>
      </c>
      <c r="L6910" s="19" t="s">
        <v>89</v>
      </c>
      <c r="M6910" s="15" t="s">
        <v>2326</v>
      </c>
      <c r="N6910" s="15" t="s">
        <v>36</v>
      </c>
      <c r="O6910" s="15" t="s">
        <v>77</v>
      </c>
      <c r="P6910" s="20" t="s">
        <v>2107</v>
      </c>
      <c r="Q6910" s="15" t="s">
        <v>79</v>
      </c>
      <c r="R6910" s="4"/>
      <c r="S6910" s="4"/>
    </row>
    <row r="6911" spans="1:19" ht="21" customHeight="1" x14ac:dyDescent="0.25">
      <c r="A6911" s="14">
        <f>DATE(2012,12,31)-899</f>
        <v>40375</v>
      </c>
      <c r="B6911" s="15" t="s">
        <v>518</v>
      </c>
      <c r="C6911" s="15" t="s">
        <v>31</v>
      </c>
      <c r="D6911" s="16">
        <v>15</v>
      </c>
      <c r="E6911" s="17">
        <v>144.13999999999999</v>
      </c>
      <c r="F6911" s="16">
        <v>0.05</v>
      </c>
      <c r="G6911" s="15" t="s">
        <v>32</v>
      </c>
      <c r="H6911" s="18">
        <v>12.09</v>
      </c>
      <c r="I6911" s="19">
        <v>9.7799999999999994</v>
      </c>
      <c r="J6911" s="19">
        <v>1.99</v>
      </c>
      <c r="K6911" s="19" t="s">
        <v>44</v>
      </c>
      <c r="L6911" s="19" t="s">
        <v>120</v>
      </c>
      <c r="M6911" s="15" t="s">
        <v>2262</v>
      </c>
      <c r="N6911" s="15" t="s">
        <v>64</v>
      </c>
      <c r="O6911" s="15" t="s">
        <v>72</v>
      </c>
      <c r="P6911" s="20" t="s">
        <v>56</v>
      </c>
      <c r="Q6911" s="15" t="s">
        <v>49</v>
      </c>
      <c r="R6911" s="4"/>
      <c r="S6911" s="4"/>
    </row>
    <row r="6912" spans="1:19" ht="21" customHeight="1" x14ac:dyDescent="0.25">
      <c r="A6912" s="14">
        <f>DATE(2012,12,31)-899</f>
        <v>40375</v>
      </c>
      <c r="B6912" s="15" t="s">
        <v>616</v>
      </c>
      <c r="C6912" s="15" t="s">
        <v>31</v>
      </c>
      <c r="D6912" s="16">
        <v>9</v>
      </c>
      <c r="E6912" s="17">
        <v>30.65</v>
      </c>
      <c r="F6912" s="16">
        <v>0.03</v>
      </c>
      <c r="G6912" s="15" t="s">
        <v>32</v>
      </c>
      <c r="H6912" s="18">
        <v>8.0000000000000071E-2</v>
      </c>
      <c r="I6912" s="19">
        <v>3.29</v>
      </c>
      <c r="J6912" s="19">
        <v>1.35</v>
      </c>
      <c r="K6912" s="19" t="s">
        <v>44</v>
      </c>
      <c r="L6912" s="19" t="s">
        <v>45</v>
      </c>
      <c r="M6912" s="15" t="s">
        <v>2271</v>
      </c>
      <c r="N6912" s="15" t="s">
        <v>36</v>
      </c>
      <c r="O6912" s="15" t="s">
        <v>105</v>
      </c>
      <c r="P6912" s="20" t="s">
        <v>590</v>
      </c>
      <c r="Q6912" s="15" t="s">
        <v>79</v>
      </c>
      <c r="R6912" s="4"/>
      <c r="S6912" s="4"/>
    </row>
    <row r="6913" spans="1:19" ht="21" customHeight="1" x14ac:dyDescent="0.25">
      <c r="A6913" s="14">
        <f>DATE(2012,12,31)-523</f>
        <v>40751</v>
      </c>
      <c r="B6913" s="15" t="s">
        <v>616</v>
      </c>
      <c r="C6913" s="15" t="s">
        <v>85</v>
      </c>
      <c r="D6913" s="16">
        <v>46</v>
      </c>
      <c r="E6913" s="17">
        <v>5615.4</v>
      </c>
      <c r="F6913" s="16">
        <v>7.0000000000000007E-2</v>
      </c>
      <c r="G6913" s="15" t="s">
        <v>58</v>
      </c>
      <c r="H6913" s="18">
        <v>1807.16</v>
      </c>
      <c r="I6913" s="19">
        <v>120.97</v>
      </c>
      <c r="J6913" s="19">
        <v>26.3</v>
      </c>
      <c r="K6913" s="19" t="s">
        <v>44</v>
      </c>
      <c r="L6913" s="19" t="s">
        <v>89</v>
      </c>
      <c r="M6913" s="15" t="s">
        <v>2326</v>
      </c>
      <c r="N6913" s="15" t="s">
        <v>64</v>
      </c>
      <c r="O6913" s="15" t="s">
        <v>122</v>
      </c>
      <c r="P6913" s="20" t="s">
        <v>1725</v>
      </c>
      <c r="Q6913" s="15" t="s">
        <v>181</v>
      </c>
      <c r="R6913" s="4"/>
      <c r="S6913" s="4"/>
    </row>
    <row r="6914" spans="1:19" ht="21" customHeight="1" x14ac:dyDescent="0.25">
      <c r="A6914" s="14">
        <f>DATE(2012,12,31)-1141</f>
        <v>40133</v>
      </c>
      <c r="B6914" s="15" t="s">
        <v>2219</v>
      </c>
      <c r="C6914" s="15" t="s">
        <v>43</v>
      </c>
      <c r="D6914" s="16">
        <v>45</v>
      </c>
      <c r="E6914" s="17">
        <v>318.94</v>
      </c>
      <c r="F6914" s="16">
        <v>0.1</v>
      </c>
      <c r="G6914" s="15" t="s">
        <v>32</v>
      </c>
      <c r="H6914" s="18">
        <v>-195.6</v>
      </c>
      <c r="I6914" s="19">
        <v>7.37</v>
      </c>
      <c r="J6914" s="19">
        <v>5.53</v>
      </c>
      <c r="K6914" s="19" t="s">
        <v>44</v>
      </c>
      <c r="L6914" s="19" t="s">
        <v>89</v>
      </c>
      <c r="M6914" s="15" t="s">
        <v>2326</v>
      </c>
      <c r="N6914" s="15" t="s">
        <v>64</v>
      </c>
      <c r="O6914" s="15" t="s">
        <v>72</v>
      </c>
      <c r="P6914" s="20" t="s">
        <v>1069</v>
      </c>
      <c r="Q6914" s="15" t="s">
        <v>49</v>
      </c>
      <c r="R6914" s="4"/>
      <c r="S6914" s="4"/>
    </row>
    <row r="6915" spans="1:19" ht="21" customHeight="1" x14ac:dyDescent="0.25">
      <c r="A6915" s="14">
        <f>DATE(2012,12,31)-1440</f>
        <v>39834</v>
      </c>
      <c r="B6915" s="15" t="s">
        <v>2219</v>
      </c>
      <c r="C6915" s="15" t="s">
        <v>85</v>
      </c>
      <c r="D6915" s="16">
        <v>12</v>
      </c>
      <c r="E6915" s="17">
        <v>97.74</v>
      </c>
      <c r="F6915" s="16">
        <v>0.04</v>
      </c>
      <c r="G6915" s="15" t="s">
        <v>32</v>
      </c>
      <c r="H6915" s="18">
        <v>-8.4984999999999999</v>
      </c>
      <c r="I6915" s="19">
        <v>7.84</v>
      </c>
      <c r="J6915" s="19">
        <v>4.71</v>
      </c>
      <c r="K6915" s="19" t="s">
        <v>44</v>
      </c>
      <c r="L6915" s="19" t="s">
        <v>89</v>
      </c>
      <c r="M6915" s="15" t="s">
        <v>2326</v>
      </c>
      <c r="N6915" s="15" t="s">
        <v>36</v>
      </c>
      <c r="O6915" s="15" t="s">
        <v>170</v>
      </c>
      <c r="P6915" s="20" t="s">
        <v>2225</v>
      </c>
      <c r="Q6915" s="15" t="s">
        <v>83</v>
      </c>
      <c r="R6915" s="4"/>
      <c r="S6915" s="4"/>
    </row>
    <row r="6916" spans="1:19" ht="21" customHeight="1" x14ac:dyDescent="0.25">
      <c r="A6916" s="14">
        <f>DATE(2012,12,31)-1440</f>
        <v>39834</v>
      </c>
      <c r="B6916" s="15" t="s">
        <v>1929</v>
      </c>
      <c r="C6916" s="15" t="s">
        <v>85</v>
      </c>
      <c r="D6916" s="16">
        <v>34</v>
      </c>
      <c r="E6916" s="17">
        <v>335.59</v>
      </c>
      <c r="F6916" s="16">
        <v>0.04</v>
      </c>
      <c r="G6916" s="15" t="s">
        <v>101</v>
      </c>
      <c r="H6916" s="18">
        <v>85.83</v>
      </c>
      <c r="I6916" s="19">
        <v>9.7799999999999994</v>
      </c>
      <c r="J6916" s="19">
        <v>1.99</v>
      </c>
      <c r="K6916" s="19" t="s">
        <v>44</v>
      </c>
      <c r="L6916" s="19" t="s">
        <v>89</v>
      </c>
      <c r="M6916" s="15" t="s">
        <v>2326</v>
      </c>
      <c r="N6916" s="15" t="s">
        <v>64</v>
      </c>
      <c r="O6916" s="15" t="s">
        <v>72</v>
      </c>
      <c r="P6916" s="20" t="s">
        <v>805</v>
      </c>
      <c r="Q6916" s="15" t="s">
        <v>49</v>
      </c>
      <c r="R6916" s="4"/>
      <c r="S6916" s="4"/>
    </row>
    <row r="6917" spans="1:19" ht="21" customHeight="1" x14ac:dyDescent="0.25">
      <c r="A6917" s="14">
        <f>DATE(2012,12,31)-286</f>
        <v>40988</v>
      </c>
      <c r="B6917" s="15" t="s">
        <v>1929</v>
      </c>
      <c r="C6917" s="15" t="s">
        <v>85</v>
      </c>
      <c r="D6917" s="16">
        <v>16</v>
      </c>
      <c r="E6917" s="17">
        <v>44.1</v>
      </c>
      <c r="F6917" s="16">
        <v>0.04</v>
      </c>
      <c r="G6917" s="15" t="s">
        <v>32</v>
      </c>
      <c r="H6917" s="18">
        <v>-6.22</v>
      </c>
      <c r="I6917" s="19">
        <v>2.58</v>
      </c>
      <c r="J6917" s="19">
        <v>1.3</v>
      </c>
      <c r="K6917" s="19" t="s">
        <v>44</v>
      </c>
      <c r="L6917" s="19" t="s">
        <v>120</v>
      </c>
      <c r="M6917" s="15" t="s">
        <v>2262</v>
      </c>
      <c r="N6917" s="15" t="s">
        <v>36</v>
      </c>
      <c r="O6917" s="15" t="s">
        <v>77</v>
      </c>
      <c r="P6917" s="20" t="s">
        <v>2332</v>
      </c>
      <c r="Q6917" s="15" t="s">
        <v>79</v>
      </c>
      <c r="R6917" s="4"/>
      <c r="S6917" s="4"/>
    </row>
    <row r="6918" spans="1:19" ht="21" customHeight="1" x14ac:dyDescent="0.25">
      <c r="A6918" s="14">
        <f>DATE(2012,12,31)-1351</f>
        <v>39923</v>
      </c>
      <c r="B6918" s="15" t="s">
        <v>1070</v>
      </c>
      <c r="C6918" s="15" t="s">
        <v>51</v>
      </c>
      <c r="D6918" s="16">
        <v>35</v>
      </c>
      <c r="E6918" s="17">
        <v>150.29</v>
      </c>
      <c r="F6918" s="16">
        <v>0.03</v>
      </c>
      <c r="G6918" s="15" t="s">
        <v>101</v>
      </c>
      <c r="H6918" s="18">
        <v>5.04</v>
      </c>
      <c r="I6918" s="19">
        <v>3.69</v>
      </c>
      <c r="J6918" s="19">
        <v>2.5</v>
      </c>
      <c r="K6918" s="19" t="s">
        <v>44</v>
      </c>
      <c r="L6918" s="19" t="s">
        <v>45</v>
      </c>
      <c r="M6918" s="15" t="s">
        <v>2271</v>
      </c>
      <c r="N6918" s="15" t="s">
        <v>36</v>
      </c>
      <c r="O6918" s="15" t="s">
        <v>189</v>
      </c>
      <c r="P6918" s="20" t="s">
        <v>1073</v>
      </c>
      <c r="Q6918" s="15" t="s">
        <v>83</v>
      </c>
      <c r="R6918" s="4"/>
      <c r="S6918" s="4"/>
    </row>
    <row r="6919" spans="1:19" ht="21" customHeight="1" x14ac:dyDescent="0.25">
      <c r="A6919" s="14">
        <f>DATE(2012,12,31)-1020</f>
        <v>40254</v>
      </c>
      <c r="B6919" s="15" t="s">
        <v>1070</v>
      </c>
      <c r="C6919" s="15" t="s">
        <v>31</v>
      </c>
      <c r="D6919" s="16">
        <v>29</v>
      </c>
      <c r="E6919" s="17">
        <v>730.51</v>
      </c>
      <c r="F6919" s="16">
        <v>0.08</v>
      </c>
      <c r="G6919" s="15" t="s">
        <v>32</v>
      </c>
      <c r="H6919" s="18">
        <v>217.57</v>
      </c>
      <c r="I6919" s="19">
        <v>26.38</v>
      </c>
      <c r="J6919" s="19">
        <v>5.58</v>
      </c>
      <c r="K6919" s="19" t="s">
        <v>44</v>
      </c>
      <c r="L6919" s="19" t="s">
        <v>89</v>
      </c>
      <c r="M6919" s="15" t="s">
        <v>2326</v>
      </c>
      <c r="N6919" s="15" t="s">
        <v>54</v>
      </c>
      <c r="O6919" s="15" t="s">
        <v>55</v>
      </c>
      <c r="P6919" s="20" t="s">
        <v>417</v>
      </c>
      <c r="Q6919" s="15" t="s">
        <v>181</v>
      </c>
      <c r="R6919" s="4"/>
      <c r="S6919" s="4"/>
    </row>
    <row r="6920" spans="1:19" ht="21" customHeight="1" x14ac:dyDescent="0.25">
      <c r="A6920" s="14">
        <f>DATE(2012,12,31)-1445</f>
        <v>39829</v>
      </c>
      <c r="B6920" s="15" t="s">
        <v>331</v>
      </c>
      <c r="C6920" s="15" t="s">
        <v>85</v>
      </c>
      <c r="D6920" s="16">
        <v>35</v>
      </c>
      <c r="E6920" s="17">
        <v>503.75</v>
      </c>
      <c r="F6920" s="16">
        <v>0</v>
      </c>
      <c r="G6920" s="15" t="s">
        <v>32</v>
      </c>
      <c r="H6920" s="18">
        <v>16.46</v>
      </c>
      <c r="I6920" s="19">
        <v>13.43</v>
      </c>
      <c r="J6920" s="19">
        <v>5.5</v>
      </c>
      <c r="K6920" s="19" t="s">
        <v>44</v>
      </c>
      <c r="L6920" s="19" t="s">
        <v>89</v>
      </c>
      <c r="M6920" s="15" t="s">
        <v>2326</v>
      </c>
      <c r="N6920" s="15" t="s">
        <v>36</v>
      </c>
      <c r="O6920" s="15" t="s">
        <v>37</v>
      </c>
      <c r="P6920" s="20" t="s">
        <v>1425</v>
      </c>
      <c r="Q6920" s="15" t="s">
        <v>83</v>
      </c>
      <c r="R6920" s="4"/>
      <c r="S6920" s="4"/>
    </row>
    <row r="6921" spans="1:19" ht="21" customHeight="1" x14ac:dyDescent="0.25">
      <c r="A6921" s="14">
        <f>DATE(2012,12,31)-746</f>
        <v>40528</v>
      </c>
      <c r="B6921" s="15" t="s">
        <v>331</v>
      </c>
      <c r="C6921" s="15" t="s">
        <v>51</v>
      </c>
      <c r="D6921" s="16">
        <v>12</v>
      </c>
      <c r="E6921" s="17">
        <v>507.44</v>
      </c>
      <c r="F6921" s="16">
        <v>0.05</v>
      </c>
      <c r="G6921" s="15" t="s">
        <v>32</v>
      </c>
      <c r="H6921" s="18">
        <v>170.90100000000001</v>
      </c>
      <c r="I6921" s="19">
        <v>42.8</v>
      </c>
      <c r="J6921" s="19">
        <v>2.99</v>
      </c>
      <c r="K6921" s="19" t="s">
        <v>44</v>
      </c>
      <c r="L6921" s="19" t="s">
        <v>89</v>
      </c>
      <c r="M6921" s="15" t="s">
        <v>2326</v>
      </c>
      <c r="N6921" s="15" t="s">
        <v>36</v>
      </c>
      <c r="O6921" s="15" t="s">
        <v>170</v>
      </c>
      <c r="P6921" s="20" t="s">
        <v>363</v>
      </c>
      <c r="Q6921" s="15" t="s">
        <v>83</v>
      </c>
      <c r="R6921" s="4"/>
      <c r="S6921" s="4"/>
    </row>
    <row r="6922" spans="1:19" ht="21" customHeight="1" x14ac:dyDescent="0.25">
      <c r="A6922" s="14">
        <f>DATE(2012,12,31)-665</f>
        <v>40609</v>
      </c>
      <c r="B6922" s="15" t="s">
        <v>1893</v>
      </c>
      <c r="C6922" s="15" t="s">
        <v>31</v>
      </c>
      <c r="D6922" s="16">
        <v>33</v>
      </c>
      <c r="E6922" s="17">
        <v>1692.03</v>
      </c>
      <c r="F6922" s="16">
        <v>0.1</v>
      </c>
      <c r="G6922" s="15" t="s">
        <v>32</v>
      </c>
      <c r="H6922" s="18">
        <v>574.44000000000005</v>
      </c>
      <c r="I6922" s="19">
        <v>54.96</v>
      </c>
      <c r="J6922" s="19">
        <v>10.75</v>
      </c>
      <c r="K6922" s="19" t="s">
        <v>44</v>
      </c>
      <c r="L6922" s="19" t="s">
        <v>89</v>
      </c>
      <c r="M6922" s="15" t="s">
        <v>2326</v>
      </c>
      <c r="N6922" s="15" t="s">
        <v>36</v>
      </c>
      <c r="O6922" s="15" t="s">
        <v>117</v>
      </c>
      <c r="P6922" s="20" t="s">
        <v>1324</v>
      </c>
      <c r="Q6922" s="15" t="s">
        <v>83</v>
      </c>
      <c r="R6922" s="4"/>
      <c r="S6922" s="4"/>
    </row>
    <row r="6923" spans="1:19" ht="21" customHeight="1" x14ac:dyDescent="0.25">
      <c r="A6923" s="14">
        <f>DATE(2012,12,31)-705</f>
        <v>40569</v>
      </c>
      <c r="B6923" s="15" t="s">
        <v>1276</v>
      </c>
      <c r="C6923" s="15" t="s">
        <v>31</v>
      </c>
      <c r="D6923" s="16">
        <v>15</v>
      </c>
      <c r="E6923" s="17">
        <v>1756.46</v>
      </c>
      <c r="F6923" s="16">
        <v>0.01</v>
      </c>
      <c r="G6923" s="15" t="s">
        <v>58</v>
      </c>
      <c r="H6923" s="18">
        <v>-101.19</v>
      </c>
      <c r="I6923" s="19">
        <v>113.98</v>
      </c>
      <c r="J6923" s="19">
        <v>30</v>
      </c>
      <c r="K6923" s="19" t="s">
        <v>124</v>
      </c>
      <c r="L6923" s="19" t="s">
        <v>160</v>
      </c>
      <c r="M6923" s="15" t="s">
        <v>2281</v>
      </c>
      <c r="N6923" s="15" t="s">
        <v>54</v>
      </c>
      <c r="O6923" s="15" t="s">
        <v>252</v>
      </c>
      <c r="P6923" s="20" t="s">
        <v>1473</v>
      </c>
      <c r="Q6923" s="15" t="s">
        <v>181</v>
      </c>
      <c r="R6923" s="4"/>
      <c r="S6923" s="4"/>
    </row>
    <row r="6924" spans="1:19" ht="21" customHeight="1" x14ac:dyDescent="0.25">
      <c r="A6924" s="14">
        <f>DATE(2012,12,31)-298</f>
        <v>40976</v>
      </c>
      <c r="B6924" s="15" t="s">
        <v>1524</v>
      </c>
      <c r="C6924" s="15" t="s">
        <v>43</v>
      </c>
      <c r="D6924" s="16">
        <v>31</v>
      </c>
      <c r="E6924" s="17">
        <v>4878.6400000000003</v>
      </c>
      <c r="F6924" s="16">
        <v>0.03</v>
      </c>
      <c r="G6924" s="15" t="s">
        <v>58</v>
      </c>
      <c r="H6924" s="18">
        <v>-519.94000000000005</v>
      </c>
      <c r="I6924" s="19">
        <v>150.97999999999999</v>
      </c>
      <c r="J6924" s="19">
        <v>66.27</v>
      </c>
      <c r="K6924" s="19" t="s">
        <v>124</v>
      </c>
      <c r="L6924" s="19" t="s">
        <v>160</v>
      </c>
      <c r="M6924" s="15" t="s">
        <v>2281</v>
      </c>
      <c r="N6924" s="15" t="s">
        <v>54</v>
      </c>
      <c r="O6924" s="15" t="s">
        <v>134</v>
      </c>
      <c r="P6924" s="20" t="s">
        <v>1644</v>
      </c>
      <c r="Q6924" s="15" t="s">
        <v>63</v>
      </c>
      <c r="R6924" s="4"/>
      <c r="S6924" s="4"/>
    </row>
    <row r="6925" spans="1:19" ht="21" customHeight="1" x14ac:dyDescent="0.25">
      <c r="A6925" s="14">
        <f>DATE(2012,12,31)-1337</f>
        <v>39937</v>
      </c>
      <c r="B6925" s="15" t="s">
        <v>1191</v>
      </c>
      <c r="C6925" s="15" t="s">
        <v>85</v>
      </c>
      <c r="D6925" s="16">
        <v>6</v>
      </c>
      <c r="E6925" s="17">
        <v>1056.6434999999999</v>
      </c>
      <c r="F6925" s="16">
        <v>0.06</v>
      </c>
      <c r="G6925" s="15" t="s">
        <v>32</v>
      </c>
      <c r="H6925" s="18">
        <v>-586.20100000000002</v>
      </c>
      <c r="I6925" s="19">
        <v>205.99</v>
      </c>
      <c r="J6925" s="19">
        <v>8.99</v>
      </c>
      <c r="K6925" s="19" t="s">
        <v>33</v>
      </c>
      <c r="L6925" s="19" t="s">
        <v>93</v>
      </c>
      <c r="M6925" s="15" t="s">
        <v>94</v>
      </c>
      <c r="N6925" s="15" t="s">
        <v>64</v>
      </c>
      <c r="O6925" s="15" t="s">
        <v>65</v>
      </c>
      <c r="P6925" s="20" t="s">
        <v>2318</v>
      </c>
      <c r="Q6925" s="15" t="s">
        <v>83</v>
      </c>
      <c r="R6925" s="4"/>
      <c r="S6925" s="4"/>
    </row>
    <row r="6926" spans="1:19" ht="21" customHeight="1" x14ac:dyDescent="0.25">
      <c r="A6926" s="14">
        <f>DATE(2012,12,31)-283</f>
        <v>40991</v>
      </c>
      <c r="B6926" s="15" t="s">
        <v>1189</v>
      </c>
      <c r="C6926" s="15" t="s">
        <v>43</v>
      </c>
      <c r="D6926" s="16">
        <v>39</v>
      </c>
      <c r="E6926" s="17">
        <v>403.73</v>
      </c>
      <c r="F6926" s="16">
        <v>0.06</v>
      </c>
      <c r="G6926" s="15" t="s">
        <v>32</v>
      </c>
      <c r="H6926" s="18">
        <v>-44.13</v>
      </c>
      <c r="I6926" s="19">
        <v>10.89</v>
      </c>
      <c r="J6926" s="19">
        <v>4.5</v>
      </c>
      <c r="K6926" s="19" t="s">
        <v>33</v>
      </c>
      <c r="L6926" s="19" t="s">
        <v>93</v>
      </c>
      <c r="M6926" s="15" t="s">
        <v>94</v>
      </c>
      <c r="N6926" s="15" t="s">
        <v>36</v>
      </c>
      <c r="O6926" s="15" t="s">
        <v>176</v>
      </c>
      <c r="P6926" s="20" t="s">
        <v>1263</v>
      </c>
      <c r="Q6926" s="15" t="s">
        <v>83</v>
      </c>
      <c r="R6926" s="4"/>
      <c r="S6926" s="4"/>
    </row>
    <row r="6927" spans="1:19" ht="21" customHeight="1" x14ac:dyDescent="0.25">
      <c r="A6927" s="14">
        <f>DATE(2012,12,31)-283</f>
        <v>40991</v>
      </c>
      <c r="B6927" s="15" t="s">
        <v>961</v>
      </c>
      <c r="C6927" s="15" t="s">
        <v>43</v>
      </c>
      <c r="D6927" s="16">
        <v>3</v>
      </c>
      <c r="E6927" s="17">
        <v>86.85</v>
      </c>
      <c r="F6927" s="16">
        <v>0.05</v>
      </c>
      <c r="G6927" s="15" t="s">
        <v>32</v>
      </c>
      <c r="H6927" s="18">
        <v>-67.22</v>
      </c>
      <c r="I6927" s="19">
        <v>28.48</v>
      </c>
      <c r="J6927" s="19">
        <v>1.99</v>
      </c>
      <c r="K6927" s="19" t="s">
        <v>33</v>
      </c>
      <c r="L6927" s="19" t="s">
        <v>128</v>
      </c>
      <c r="M6927" s="15" t="s">
        <v>129</v>
      </c>
      <c r="N6927" s="15" t="s">
        <v>64</v>
      </c>
      <c r="O6927" s="15" t="s">
        <v>72</v>
      </c>
      <c r="P6927" s="20" t="s">
        <v>2156</v>
      </c>
      <c r="Q6927" s="15" t="s">
        <v>49</v>
      </c>
      <c r="R6927" s="4"/>
      <c r="S6927" s="4"/>
    </row>
    <row r="6928" spans="1:19" ht="21" customHeight="1" x14ac:dyDescent="0.25">
      <c r="A6928" s="14">
        <f>DATE(2012,12,31)-283</f>
        <v>40991</v>
      </c>
      <c r="B6928" s="15" t="s">
        <v>2213</v>
      </c>
      <c r="C6928" s="15" t="s">
        <v>43</v>
      </c>
      <c r="D6928" s="16">
        <v>45</v>
      </c>
      <c r="E6928" s="17">
        <v>132.31</v>
      </c>
      <c r="F6928" s="16">
        <v>0.02</v>
      </c>
      <c r="G6928" s="15" t="s">
        <v>32</v>
      </c>
      <c r="H6928" s="18">
        <v>10.914</v>
      </c>
      <c r="I6928" s="19">
        <v>2.88</v>
      </c>
      <c r="J6928" s="19">
        <v>1.49</v>
      </c>
      <c r="K6928" s="19" t="s">
        <v>97</v>
      </c>
      <c r="L6928" s="19" t="s">
        <v>195</v>
      </c>
      <c r="M6928" s="15" t="s">
        <v>2138</v>
      </c>
      <c r="N6928" s="15" t="s">
        <v>36</v>
      </c>
      <c r="O6928" s="15" t="s">
        <v>170</v>
      </c>
      <c r="P6928" s="20" t="s">
        <v>298</v>
      </c>
      <c r="Q6928" s="15" t="s">
        <v>83</v>
      </c>
      <c r="R6928" s="4"/>
      <c r="S6928" s="4"/>
    </row>
    <row r="6929" spans="1:19" ht="21" customHeight="1" x14ac:dyDescent="0.25">
      <c r="A6929" s="14">
        <f>DATE(2012,12,31)-877</f>
        <v>40397</v>
      </c>
      <c r="B6929" s="15" t="s">
        <v>1597</v>
      </c>
      <c r="C6929" s="15" t="s">
        <v>85</v>
      </c>
      <c r="D6929" s="16">
        <v>17</v>
      </c>
      <c r="E6929" s="17">
        <v>196.07</v>
      </c>
      <c r="F6929" s="16">
        <v>0.05</v>
      </c>
      <c r="G6929" s="15" t="s">
        <v>32</v>
      </c>
      <c r="H6929" s="18">
        <v>-77.66</v>
      </c>
      <c r="I6929" s="19">
        <v>10.97</v>
      </c>
      <c r="J6929" s="19">
        <v>6.5</v>
      </c>
      <c r="K6929" s="19" t="s">
        <v>97</v>
      </c>
      <c r="L6929" s="19" t="s">
        <v>98</v>
      </c>
      <c r="M6929" s="15" t="s">
        <v>2328</v>
      </c>
      <c r="N6929" s="15" t="s">
        <v>64</v>
      </c>
      <c r="O6929" s="15" t="s">
        <v>72</v>
      </c>
      <c r="P6929" s="20" t="s">
        <v>596</v>
      </c>
      <c r="Q6929" s="15" t="s">
        <v>83</v>
      </c>
      <c r="R6929" s="4"/>
      <c r="S6929" s="4"/>
    </row>
    <row r="6930" spans="1:19" ht="21" customHeight="1" x14ac:dyDescent="0.25">
      <c r="A6930" s="14">
        <f>DATE(2012,12,31)-1243</f>
        <v>40031</v>
      </c>
      <c r="B6930" s="15" t="s">
        <v>416</v>
      </c>
      <c r="C6930" s="15" t="s">
        <v>31</v>
      </c>
      <c r="D6930" s="16">
        <v>46</v>
      </c>
      <c r="E6930" s="17">
        <v>259.25</v>
      </c>
      <c r="F6930" s="16">
        <v>0.1</v>
      </c>
      <c r="G6930" s="15" t="s">
        <v>101</v>
      </c>
      <c r="H6930" s="18">
        <v>-64.03</v>
      </c>
      <c r="I6930" s="19">
        <v>5.68</v>
      </c>
      <c r="J6930" s="19">
        <v>3.6</v>
      </c>
      <c r="K6930" s="19" t="s">
        <v>97</v>
      </c>
      <c r="L6930" s="19" t="s">
        <v>132</v>
      </c>
      <c r="M6930" s="15" t="s">
        <v>2294</v>
      </c>
      <c r="N6930" s="15" t="s">
        <v>36</v>
      </c>
      <c r="O6930" s="15" t="s">
        <v>47</v>
      </c>
      <c r="P6930" s="20" t="s">
        <v>2079</v>
      </c>
      <c r="Q6930" s="15" t="s">
        <v>49</v>
      </c>
      <c r="R6930" s="4"/>
      <c r="S6930" s="4"/>
    </row>
    <row r="6931" spans="1:19" ht="21" customHeight="1" x14ac:dyDescent="0.25">
      <c r="A6931" s="14">
        <f>DATE(2012,12,31)-1125</f>
        <v>40149</v>
      </c>
      <c r="B6931" s="15" t="s">
        <v>230</v>
      </c>
      <c r="C6931" s="15" t="s">
        <v>31</v>
      </c>
      <c r="D6931" s="16">
        <v>25</v>
      </c>
      <c r="E6931" s="17">
        <v>93.22</v>
      </c>
      <c r="F6931" s="16">
        <v>0.06</v>
      </c>
      <c r="G6931" s="15" t="s">
        <v>32</v>
      </c>
      <c r="H6931" s="18">
        <v>-15.37</v>
      </c>
      <c r="I6931" s="19">
        <v>3.74</v>
      </c>
      <c r="J6931" s="19">
        <v>0.94</v>
      </c>
      <c r="K6931" s="19" t="s">
        <v>97</v>
      </c>
      <c r="L6931" s="19" t="s">
        <v>567</v>
      </c>
      <c r="M6931" s="15" t="s">
        <v>568</v>
      </c>
      <c r="N6931" s="15" t="s">
        <v>36</v>
      </c>
      <c r="O6931" s="15" t="s">
        <v>105</v>
      </c>
      <c r="P6931" s="20" t="s">
        <v>600</v>
      </c>
      <c r="Q6931" s="15" t="s">
        <v>79</v>
      </c>
      <c r="R6931" s="4"/>
      <c r="S6931" s="4"/>
    </row>
    <row r="6932" spans="1:19" ht="21" customHeight="1" x14ac:dyDescent="0.25">
      <c r="A6932" s="14">
        <f>DATE(2012,12,31)-1457</f>
        <v>39817</v>
      </c>
      <c r="B6932" s="15" t="s">
        <v>230</v>
      </c>
      <c r="C6932" s="15" t="s">
        <v>51</v>
      </c>
      <c r="D6932" s="16">
        <v>3</v>
      </c>
      <c r="E6932" s="17">
        <v>1039.56</v>
      </c>
      <c r="F6932" s="16">
        <v>0.06</v>
      </c>
      <c r="G6932" s="15" t="s">
        <v>58</v>
      </c>
      <c r="H6932" s="18">
        <v>-394.69</v>
      </c>
      <c r="I6932" s="19">
        <v>350.98</v>
      </c>
      <c r="J6932" s="19">
        <v>30</v>
      </c>
      <c r="K6932" s="19" t="s">
        <v>97</v>
      </c>
      <c r="L6932" s="19" t="s">
        <v>195</v>
      </c>
      <c r="M6932" s="15" t="s">
        <v>2138</v>
      </c>
      <c r="N6932" s="15" t="s">
        <v>54</v>
      </c>
      <c r="O6932" s="15" t="s">
        <v>252</v>
      </c>
      <c r="P6932" s="20" t="s">
        <v>1487</v>
      </c>
      <c r="Q6932" s="15" t="s">
        <v>181</v>
      </c>
      <c r="R6932" s="4"/>
      <c r="S6932" s="4"/>
    </row>
    <row r="6933" spans="1:19" ht="21" customHeight="1" x14ac:dyDescent="0.25">
      <c r="A6933" s="14">
        <f>DATE(2012,12,31)-1195</f>
        <v>40079</v>
      </c>
      <c r="B6933" s="15" t="s">
        <v>230</v>
      </c>
      <c r="C6933" s="15" t="s">
        <v>43</v>
      </c>
      <c r="D6933" s="16">
        <v>32</v>
      </c>
      <c r="E6933" s="17">
        <v>1929.19</v>
      </c>
      <c r="F6933" s="16">
        <v>0.04</v>
      </c>
      <c r="G6933" s="15" t="s">
        <v>32</v>
      </c>
      <c r="H6933" s="18">
        <v>570.66999999999996</v>
      </c>
      <c r="I6933" s="19">
        <v>60.97</v>
      </c>
      <c r="J6933" s="19">
        <v>4.5</v>
      </c>
      <c r="K6933" s="19" t="s">
        <v>97</v>
      </c>
      <c r="L6933" s="19" t="s">
        <v>283</v>
      </c>
      <c r="M6933" s="15" t="s">
        <v>2306</v>
      </c>
      <c r="N6933" s="15" t="s">
        <v>36</v>
      </c>
      <c r="O6933" s="15" t="s">
        <v>176</v>
      </c>
      <c r="P6933" s="20" t="s">
        <v>866</v>
      </c>
      <c r="Q6933" s="15" t="s">
        <v>83</v>
      </c>
      <c r="R6933" s="4"/>
      <c r="S6933" s="4"/>
    </row>
    <row r="6934" spans="1:19" ht="21" customHeight="1" x14ac:dyDescent="0.25">
      <c r="A6934" s="14">
        <f>DATE(2012,12,31)-457</f>
        <v>40817</v>
      </c>
      <c r="B6934" s="15" t="s">
        <v>616</v>
      </c>
      <c r="C6934" s="15" t="s">
        <v>85</v>
      </c>
      <c r="D6934" s="16">
        <v>3</v>
      </c>
      <c r="E6934" s="17">
        <v>44.84</v>
      </c>
      <c r="F6934" s="16">
        <v>0.09</v>
      </c>
      <c r="G6934" s="15" t="s">
        <v>32</v>
      </c>
      <c r="H6934" s="18">
        <v>37.74</v>
      </c>
      <c r="I6934" s="19">
        <v>14.2</v>
      </c>
      <c r="J6934" s="19">
        <v>5.3</v>
      </c>
      <c r="K6934" s="19" t="s">
        <v>97</v>
      </c>
      <c r="L6934" s="19" t="s">
        <v>98</v>
      </c>
      <c r="M6934" s="15" t="s">
        <v>2328</v>
      </c>
      <c r="N6934" s="15" t="s">
        <v>54</v>
      </c>
      <c r="O6934" s="15" t="s">
        <v>55</v>
      </c>
      <c r="P6934" s="20" t="s">
        <v>188</v>
      </c>
      <c r="Q6934" s="15" t="s">
        <v>79</v>
      </c>
      <c r="R6934" s="4"/>
      <c r="S6934" s="4"/>
    </row>
    <row r="6935" spans="1:19" ht="21" customHeight="1" x14ac:dyDescent="0.25">
      <c r="A6935" s="14">
        <f>DATE(2012,12,31)-457</f>
        <v>40817</v>
      </c>
      <c r="B6935" s="15" t="s">
        <v>516</v>
      </c>
      <c r="C6935" s="15" t="s">
        <v>85</v>
      </c>
      <c r="D6935" s="16">
        <v>13</v>
      </c>
      <c r="E6935" s="17">
        <v>1281.1795</v>
      </c>
      <c r="F6935" s="16">
        <v>0.02</v>
      </c>
      <c r="G6935" s="15" t="s">
        <v>32</v>
      </c>
      <c r="H6935" s="18">
        <v>-26.62</v>
      </c>
      <c r="I6935" s="19">
        <v>115.99</v>
      </c>
      <c r="J6935" s="19">
        <v>5.92</v>
      </c>
      <c r="K6935" s="19" t="s">
        <v>97</v>
      </c>
      <c r="L6935" s="19" t="s">
        <v>98</v>
      </c>
      <c r="M6935" s="15" t="s">
        <v>2328</v>
      </c>
      <c r="N6935" s="15" t="s">
        <v>64</v>
      </c>
      <c r="O6935" s="15" t="s">
        <v>65</v>
      </c>
      <c r="P6935" s="20" t="s">
        <v>1878</v>
      </c>
      <c r="Q6935" s="15" t="s">
        <v>83</v>
      </c>
      <c r="R6935" s="4"/>
      <c r="S6935" s="4"/>
    </row>
    <row r="6936" spans="1:19" ht="21" customHeight="1" x14ac:dyDescent="0.25">
      <c r="A6936" s="14">
        <f>DATE(2012,12,31)-457</f>
        <v>40817</v>
      </c>
      <c r="B6936" s="15" t="s">
        <v>2001</v>
      </c>
      <c r="C6936" s="15" t="s">
        <v>85</v>
      </c>
      <c r="D6936" s="16">
        <v>38</v>
      </c>
      <c r="E6936" s="17">
        <v>710.33</v>
      </c>
      <c r="F6936" s="16">
        <v>0.09</v>
      </c>
      <c r="G6936" s="15" t="s">
        <v>101</v>
      </c>
      <c r="H6936" s="18">
        <v>62.53</v>
      </c>
      <c r="I6936" s="19">
        <v>18.97</v>
      </c>
      <c r="J6936" s="19">
        <v>9.0299999999999994</v>
      </c>
      <c r="K6936" s="19" t="s">
        <v>124</v>
      </c>
      <c r="L6936" s="19" t="s">
        <v>160</v>
      </c>
      <c r="M6936" s="15" t="s">
        <v>2281</v>
      </c>
      <c r="N6936" s="15" t="s">
        <v>36</v>
      </c>
      <c r="O6936" s="15" t="s">
        <v>117</v>
      </c>
      <c r="P6936" s="20" t="s">
        <v>1069</v>
      </c>
      <c r="Q6936" s="15" t="s">
        <v>83</v>
      </c>
      <c r="R6936" s="4"/>
      <c r="S6936" s="4"/>
    </row>
    <row r="6937" spans="1:19" ht="21" customHeight="1" x14ac:dyDescent="0.25">
      <c r="A6937" s="14">
        <f>DATE(2012,12,31)-707</f>
        <v>40567</v>
      </c>
      <c r="B6937" s="15" t="s">
        <v>472</v>
      </c>
      <c r="C6937" s="15" t="s">
        <v>43</v>
      </c>
      <c r="D6937" s="16">
        <v>45</v>
      </c>
      <c r="E6937" s="17">
        <v>1090.5999999999999</v>
      </c>
      <c r="F6937" s="16">
        <v>7.0000000000000007E-2</v>
      </c>
      <c r="G6937" s="15" t="s">
        <v>32</v>
      </c>
      <c r="H6937" s="18">
        <v>300.91000000000003</v>
      </c>
      <c r="I6937" s="19">
        <v>23.99</v>
      </c>
      <c r="J6937" s="19">
        <v>6.3</v>
      </c>
      <c r="K6937" s="19" t="s">
        <v>124</v>
      </c>
      <c r="L6937" s="19" t="s">
        <v>160</v>
      </c>
      <c r="M6937" s="15" t="s">
        <v>2281</v>
      </c>
      <c r="N6937" s="15" t="s">
        <v>64</v>
      </c>
      <c r="O6937" s="15" t="s">
        <v>122</v>
      </c>
      <c r="P6937" s="20" t="s">
        <v>776</v>
      </c>
      <c r="Q6937" s="15" t="s">
        <v>57</v>
      </c>
      <c r="R6937" s="4"/>
      <c r="S6937" s="4"/>
    </row>
    <row r="6938" spans="1:19" ht="21" customHeight="1" x14ac:dyDescent="0.25">
      <c r="A6938" s="14">
        <f>DATE(2012,12,31)-565</f>
        <v>40709</v>
      </c>
      <c r="B6938" s="15" t="s">
        <v>472</v>
      </c>
      <c r="C6938" s="15" t="s">
        <v>51</v>
      </c>
      <c r="D6938" s="16">
        <v>35</v>
      </c>
      <c r="E6938" s="17">
        <v>99.13</v>
      </c>
      <c r="F6938" s="16">
        <v>0.09</v>
      </c>
      <c r="G6938" s="15" t="s">
        <v>32</v>
      </c>
      <c r="H6938" s="18">
        <v>23.74</v>
      </c>
      <c r="I6938" s="19">
        <v>2.94</v>
      </c>
      <c r="J6938" s="19">
        <v>0.81</v>
      </c>
      <c r="K6938" s="19" t="s">
        <v>124</v>
      </c>
      <c r="L6938" s="19" t="s">
        <v>160</v>
      </c>
      <c r="M6938" s="15" t="s">
        <v>2281</v>
      </c>
      <c r="N6938" s="15" t="s">
        <v>36</v>
      </c>
      <c r="O6938" s="15" t="s">
        <v>77</v>
      </c>
      <c r="P6938" s="20" t="s">
        <v>1487</v>
      </c>
      <c r="Q6938" s="15" t="s">
        <v>79</v>
      </c>
      <c r="R6938" s="4"/>
      <c r="S6938" s="4"/>
    </row>
    <row r="6939" spans="1:19" ht="21" customHeight="1" x14ac:dyDescent="0.25">
      <c r="A6939" s="14">
        <f>DATE(2012,12,31)-687</f>
        <v>40587</v>
      </c>
      <c r="B6939" s="15" t="s">
        <v>1954</v>
      </c>
      <c r="C6939" s="15" t="s">
        <v>85</v>
      </c>
      <c r="D6939" s="16">
        <v>8</v>
      </c>
      <c r="E6939" s="17">
        <v>49.04</v>
      </c>
      <c r="F6939" s="16">
        <v>0.02</v>
      </c>
      <c r="G6939" s="15" t="s">
        <v>32</v>
      </c>
      <c r="H6939" s="18">
        <v>9.2899999999999991</v>
      </c>
      <c r="I6939" s="19">
        <v>5.68</v>
      </c>
      <c r="J6939" s="19">
        <v>1.39</v>
      </c>
      <c r="K6939" s="19" t="s">
        <v>124</v>
      </c>
      <c r="L6939" s="19" t="s">
        <v>160</v>
      </c>
      <c r="M6939" s="15" t="s">
        <v>2281</v>
      </c>
      <c r="N6939" s="15" t="s">
        <v>36</v>
      </c>
      <c r="O6939" s="15" t="s">
        <v>189</v>
      </c>
      <c r="P6939" s="20" t="s">
        <v>1061</v>
      </c>
      <c r="Q6939" s="15" t="s">
        <v>83</v>
      </c>
      <c r="R6939" s="4"/>
      <c r="S6939" s="4"/>
    </row>
    <row r="6940" spans="1:19" ht="21" customHeight="1" x14ac:dyDescent="0.25">
      <c r="A6940" s="14">
        <f>DATE(2012,12,31)-687</f>
        <v>40587</v>
      </c>
      <c r="B6940" s="15" t="s">
        <v>333</v>
      </c>
      <c r="C6940" s="15" t="s">
        <v>85</v>
      </c>
      <c r="D6940" s="16">
        <v>6</v>
      </c>
      <c r="E6940" s="17">
        <v>2320.35</v>
      </c>
      <c r="F6940" s="16">
        <v>0</v>
      </c>
      <c r="G6940" s="15" t="s">
        <v>58</v>
      </c>
      <c r="H6940" s="18">
        <v>-237.61799999999999</v>
      </c>
      <c r="I6940" s="19">
        <v>348.21</v>
      </c>
      <c r="J6940" s="19">
        <v>84.84</v>
      </c>
      <c r="K6940" s="19" t="s">
        <v>124</v>
      </c>
      <c r="L6940" s="19" t="s">
        <v>160</v>
      </c>
      <c r="M6940" s="15" t="s">
        <v>2281</v>
      </c>
      <c r="N6940" s="15" t="s">
        <v>54</v>
      </c>
      <c r="O6940" s="15" t="s">
        <v>61</v>
      </c>
      <c r="P6940" s="20" t="s">
        <v>1871</v>
      </c>
      <c r="Q6940" s="15" t="s">
        <v>63</v>
      </c>
      <c r="R6940" s="4"/>
      <c r="S6940" s="4"/>
    </row>
    <row r="6941" spans="1:19" ht="21" customHeight="1" x14ac:dyDescent="0.25">
      <c r="A6941" s="14">
        <f>DATE(2012,12,31)-820</f>
        <v>40454</v>
      </c>
      <c r="B6941" s="15" t="s">
        <v>1282</v>
      </c>
      <c r="C6941" s="15" t="s">
        <v>31</v>
      </c>
      <c r="D6941" s="16">
        <v>37</v>
      </c>
      <c r="E6941" s="17">
        <v>395.37</v>
      </c>
      <c r="F6941" s="16">
        <v>7.0000000000000007E-2</v>
      </c>
      <c r="G6941" s="15" t="s">
        <v>101</v>
      </c>
      <c r="H6941" s="18">
        <v>17.149999999999999</v>
      </c>
      <c r="I6941" s="19">
        <v>10.98</v>
      </c>
      <c r="J6941" s="19">
        <v>3.37</v>
      </c>
      <c r="K6941" s="19" t="s">
        <v>124</v>
      </c>
      <c r="L6941" s="19" t="s">
        <v>164</v>
      </c>
      <c r="M6941" s="15" t="s">
        <v>2319</v>
      </c>
      <c r="N6941" s="15" t="s">
        <v>36</v>
      </c>
      <c r="O6941" s="15" t="s">
        <v>47</v>
      </c>
      <c r="P6941" s="20" t="s">
        <v>1975</v>
      </c>
      <c r="Q6941" s="15" t="s">
        <v>49</v>
      </c>
      <c r="R6941" s="4"/>
      <c r="S6941" s="4"/>
    </row>
    <row r="6942" spans="1:19" ht="21" customHeight="1" x14ac:dyDescent="0.25">
      <c r="A6942" s="14">
        <f>DATE(2012,12,31)-784</f>
        <v>40490</v>
      </c>
      <c r="B6942" s="15" t="s">
        <v>267</v>
      </c>
      <c r="C6942" s="15" t="s">
        <v>85</v>
      </c>
      <c r="D6942" s="16">
        <v>43</v>
      </c>
      <c r="E6942" s="17">
        <v>634.38</v>
      </c>
      <c r="F6942" s="16">
        <v>0.09</v>
      </c>
      <c r="G6942" s="15" t="s">
        <v>32</v>
      </c>
      <c r="H6942" s="18">
        <v>272.39999999999998</v>
      </c>
      <c r="I6942" s="19">
        <v>15.74</v>
      </c>
      <c r="J6942" s="19">
        <v>1.39</v>
      </c>
      <c r="K6942" s="19" t="s">
        <v>124</v>
      </c>
      <c r="L6942" s="19" t="s">
        <v>164</v>
      </c>
      <c r="M6942" s="15" t="s">
        <v>2319</v>
      </c>
      <c r="N6942" s="15" t="s">
        <v>36</v>
      </c>
      <c r="O6942" s="15" t="s">
        <v>189</v>
      </c>
      <c r="P6942" s="20" t="s">
        <v>1109</v>
      </c>
      <c r="Q6942" s="15" t="s">
        <v>83</v>
      </c>
      <c r="R6942" s="4"/>
      <c r="S6942" s="4"/>
    </row>
    <row r="6943" spans="1:19" ht="21" customHeight="1" x14ac:dyDescent="0.25">
      <c r="A6943" s="14">
        <f>DATE(2012,12,31)-784</f>
        <v>40490</v>
      </c>
      <c r="B6943" s="15" t="s">
        <v>1567</v>
      </c>
      <c r="C6943" s="15" t="s">
        <v>85</v>
      </c>
      <c r="D6943" s="16">
        <v>39</v>
      </c>
      <c r="E6943" s="17">
        <v>5196.1899999999996</v>
      </c>
      <c r="F6943" s="16">
        <v>0.1</v>
      </c>
      <c r="G6943" s="15" t="s">
        <v>32</v>
      </c>
      <c r="H6943" s="18">
        <v>2052.13</v>
      </c>
      <c r="I6943" s="19">
        <v>140.99</v>
      </c>
      <c r="J6943" s="19">
        <v>13.99</v>
      </c>
      <c r="K6943" s="19" t="s">
        <v>124</v>
      </c>
      <c r="L6943" s="19" t="s">
        <v>158</v>
      </c>
      <c r="M6943" s="15" t="s">
        <v>158</v>
      </c>
      <c r="N6943" s="15" t="s">
        <v>64</v>
      </c>
      <c r="O6943" s="15" t="s">
        <v>122</v>
      </c>
      <c r="P6943" s="20" t="s">
        <v>1391</v>
      </c>
      <c r="Q6943" s="15" t="s">
        <v>57</v>
      </c>
      <c r="R6943" s="4"/>
      <c r="S6943" s="4"/>
    </row>
    <row r="6944" spans="1:19" ht="21" customHeight="1" x14ac:dyDescent="0.25">
      <c r="A6944" s="14">
        <f>DATE(2012,12,31)-784</f>
        <v>40490</v>
      </c>
      <c r="B6944" s="15" t="s">
        <v>681</v>
      </c>
      <c r="C6944" s="15" t="s">
        <v>85</v>
      </c>
      <c r="D6944" s="16">
        <v>7</v>
      </c>
      <c r="E6944" s="17">
        <v>50.47</v>
      </c>
      <c r="F6944" s="16">
        <v>0.08</v>
      </c>
      <c r="G6944" s="15" t="s">
        <v>32</v>
      </c>
      <c r="H6944" s="18">
        <v>-31.7</v>
      </c>
      <c r="I6944" s="19">
        <v>6.48</v>
      </c>
      <c r="J6944" s="19">
        <v>7.49</v>
      </c>
      <c r="K6944" s="19" t="s">
        <v>124</v>
      </c>
      <c r="L6944" s="19" t="s">
        <v>125</v>
      </c>
      <c r="M6944" s="15" t="s">
        <v>2325</v>
      </c>
      <c r="N6944" s="15" t="s">
        <v>36</v>
      </c>
      <c r="O6944" s="15" t="s">
        <v>117</v>
      </c>
      <c r="P6944" s="20" t="s">
        <v>1611</v>
      </c>
      <c r="Q6944" s="15" t="s">
        <v>83</v>
      </c>
      <c r="R6944" s="4"/>
      <c r="S6944" s="4"/>
    </row>
    <row r="6945" spans="1:19" ht="21" customHeight="1" x14ac:dyDescent="0.25">
      <c r="A6945" s="14">
        <f>DATE(2012,12,31)-664</f>
        <v>40610</v>
      </c>
      <c r="B6945" s="15" t="s">
        <v>1605</v>
      </c>
      <c r="C6945" s="15" t="s">
        <v>43</v>
      </c>
      <c r="D6945" s="16">
        <v>27</v>
      </c>
      <c r="E6945" s="17">
        <v>341.1</v>
      </c>
      <c r="F6945" s="16">
        <v>0</v>
      </c>
      <c r="G6945" s="15" t="s">
        <v>32</v>
      </c>
      <c r="H6945" s="18">
        <v>-4.75</v>
      </c>
      <c r="I6945" s="19">
        <v>11.97</v>
      </c>
      <c r="J6945" s="19">
        <v>4.9800000000000004</v>
      </c>
      <c r="K6945" s="19" t="s">
        <v>124</v>
      </c>
      <c r="L6945" s="19" t="s">
        <v>164</v>
      </c>
      <c r="M6945" s="15" t="s">
        <v>2333</v>
      </c>
      <c r="N6945" s="15" t="s">
        <v>36</v>
      </c>
      <c r="O6945" s="15" t="s">
        <v>176</v>
      </c>
      <c r="P6945" s="20" t="s">
        <v>521</v>
      </c>
      <c r="Q6945" s="15" t="s">
        <v>83</v>
      </c>
      <c r="R6945" s="4"/>
      <c r="S6945" s="4"/>
    </row>
    <row r="6946" spans="1:19" ht="21" customHeight="1" x14ac:dyDescent="0.25">
      <c r="A6946" s="14">
        <f>DATE(2012,12,31)-1225</f>
        <v>40049</v>
      </c>
      <c r="B6946" s="15" t="s">
        <v>1444</v>
      </c>
      <c r="C6946" s="15" t="s">
        <v>51</v>
      </c>
      <c r="D6946" s="16">
        <v>4</v>
      </c>
      <c r="E6946" s="17">
        <v>1614.97</v>
      </c>
      <c r="F6946" s="16">
        <v>0.05</v>
      </c>
      <c r="G6946" s="15" t="s">
        <v>58</v>
      </c>
      <c r="H6946" s="18">
        <v>-593.15</v>
      </c>
      <c r="I6946" s="19">
        <v>376.13</v>
      </c>
      <c r="J6946" s="19">
        <v>85.63</v>
      </c>
      <c r="K6946" s="19" t="s">
        <v>124</v>
      </c>
      <c r="L6946" s="19" t="s">
        <v>168</v>
      </c>
      <c r="M6946" s="15" t="s">
        <v>2324</v>
      </c>
      <c r="N6946" s="15" t="s">
        <v>54</v>
      </c>
      <c r="O6946" s="15" t="s">
        <v>61</v>
      </c>
      <c r="P6946" s="20" t="s">
        <v>1113</v>
      </c>
      <c r="Q6946" s="15" t="s">
        <v>63</v>
      </c>
      <c r="R6946" s="4"/>
      <c r="S6946" s="4"/>
    </row>
    <row r="6947" spans="1:19" ht="21" customHeight="1" x14ac:dyDescent="0.25">
      <c r="A6947" s="14">
        <f>DATE(2012,12,31)-1225</f>
        <v>40049</v>
      </c>
      <c r="B6947" s="15" t="s">
        <v>1219</v>
      </c>
      <c r="C6947" s="15" t="s">
        <v>51</v>
      </c>
      <c r="D6947" s="16">
        <v>12</v>
      </c>
      <c r="E6947" s="17">
        <v>2119.0414999999998</v>
      </c>
      <c r="F6947" s="16">
        <v>0</v>
      </c>
      <c r="G6947" s="15" t="s">
        <v>32</v>
      </c>
      <c r="H6947" s="18">
        <v>-6.5670000000000002</v>
      </c>
      <c r="I6947" s="19">
        <v>195.99</v>
      </c>
      <c r="J6947" s="19">
        <v>8.99</v>
      </c>
      <c r="K6947" s="19" t="s">
        <v>124</v>
      </c>
      <c r="L6947" s="19" t="s">
        <v>164</v>
      </c>
      <c r="M6947" s="15" t="s">
        <v>2333</v>
      </c>
      <c r="N6947" s="15" t="s">
        <v>64</v>
      </c>
      <c r="O6947" s="15" t="s">
        <v>65</v>
      </c>
      <c r="P6947" s="20" t="s">
        <v>1464</v>
      </c>
      <c r="Q6947" s="15" t="s">
        <v>83</v>
      </c>
      <c r="R6947" s="4"/>
      <c r="S6947" s="4"/>
    </row>
    <row r="6948" spans="1:19" ht="21" customHeight="1" x14ac:dyDescent="0.25">
      <c r="A6948" s="14">
        <f>DATE(2012,12,31)-650</f>
        <v>40624</v>
      </c>
      <c r="B6948" s="15" t="s">
        <v>1458</v>
      </c>
      <c r="C6948" s="15" t="s">
        <v>51</v>
      </c>
      <c r="D6948" s="16">
        <v>33</v>
      </c>
      <c r="E6948" s="17">
        <v>1900.2259999999999</v>
      </c>
      <c r="F6948" s="16">
        <v>0.01</v>
      </c>
      <c r="G6948" s="15" t="s">
        <v>101</v>
      </c>
      <c r="H6948" s="18">
        <v>440.19900000000001</v>
      </c>
      <c r="I6948" s="19">
        <v>65.989999999999995</v>
      </c>
      <c r="J6948" s="19">
        <v>5.31</v>
      </c>
      <c r="K6948" s="19" t="s">
        <v>124</v>
      </c>
      <c r="L6948" s="19" t="s">
        <v>164</v>
      </c>
      <c r="M6948" s="15" t="s">
        <v>2333</v>
      </c>
      <c r="N6948" s="15" t="s">
        <v>64</v>
      </c>
      <c r="O6948" s="15" t="s">
        <v>65</v>
      </c>
      <c r="P6948" s="20" t="s">
        <v>250</v>
      </c>
      <c r="Q6948" s="15" t="s">
        <v>83</v>
      </c>
      <c r="R6948" s="4"/>
      <c r="S6948" s="4"/>
    </row>
    <row r="6949" spans="1:19" ht="21" customHeight="1" x14ac:dyDescent="0.25">
      <c r="A6949" s="14">
        <f>DATE(2012,12,31)-489</f>
        <v>40785</v>
      </c>
      <c r="B6949" s="15" t="s">
        <v>1458</v>
      </c>
      <c r="C6949" s="15" t="s">
        <v>85</v>
      </c>
      <c r="D6949" s="16">
        <v>39</v>
      </c>
      <c r="E6949" s="17">
        <v>272.39</v>
      </c>
      <c r="F6949" s="16">
        <v>0.03</v>
      </c>
      <c r="G6949" s="15" t="s">
        <v>101</v>
      </c>
      <c r="H6949" s="18">
        <v>-91.48</v>
      </c>
      <c r="I6949" s="19">
        <v>6.48</v>
      </c>
      <c r="J6949" s="19">
        <v>6.6</v>
      </c>
      <c r="K6949" s="19" t="s">
        <v>124</v>
      </c>
      <c r="L6949" s="19" t="s">
        <v>164</v>
      </c>
      <c r="M6949" s="15" t="s">
        <v>2333</v>
      </c>
      <c r="N6949" s="15" t="s">
        <v>36</v>
      </c>
      <c r="O6949" s="15" t="s">
        <v>117</v>
      </c>
      <c r="P6949" s="20" t="s">
        <v>382</v>
      </c>
      <c r="Q6949" s="15" t="s">
        <v>83</v>
      </c>
      <c r="R6949" s="4"/>
      <c r="S6949" s="4"/>
    </row>
    <row r="6950" spans="1:19" ht="21" customHeight="1" x14ac:dyDescent="0.25">
      <c r="A6950" s="14">
        <f>DATE(2012,12,31)-1271</f>
        <v>40003</v>
      </c>
      <c r="B6950" s="15" t="s">
        <v>1458</v>
      </c>
      <c r="C6950" s="15" t="s">
        <v>85</v>
      </c>
      <c r="D6950" s="16">
        <v>16</v>
      </c>
      <c r="E6950" s="17">
        <v>519.65</v>
      </c>
      <c r="F6950" s="16">
        <v>0.03</v>
      </c>
      <c r="G6950" s="15" t="s">
        <v>101</v>
      </c>
      <c r="H6950" s="18">
        <v>26.36</v>
      </c>
      <c r="I6950" s="19">
        <v>30.98</v>
      </c>
      <c r="J6950" s="19">
        <v>8.99</v>
      </c>
      <c r="K6950" s="19" t="s">
        <v>124</v>
      </c>
      <c r="L6950" s="19" t="s">
        <v>164</v>
      </c>
      <c r="M6950" s="15" t="s">
        <v>2333</v>
      </c>
      <c r="N6950" s="15" t="s">
        <v>36</v>
      </c>
      <c r="O6950" s="15" t="s">
        <v>77</v>
      </c>
      <c r="P6950" s="20" t="s">
        <v>806</v>
      </c>
      <c r="Q6950" s="15" t="s">
        <v>49</v>
      </c>
      <c r="R6950" s="4"/>
      <c r="S6950" s="4"/>
    </row>
    <row r="6951" spans="1:19" ht="21" customHeight="1" x14ac:dyDescent="0.25">
      <c r="A6951" s="14">
        <f>DATE(2012,12,31)-1271</f>
        <v>40003</v>
      </c>
      <c r="B6951" s="15" t="s">
        <v>595</v>
      </c>
      <c r="C6951" s="15" t="s">
        <v>85</v>
      </c>
      <c r="D6951" s="16">
        <v>31</v>
      </c>
      <c r="E6951" s="17">
        <v>16949.439999999999</v>
      </c>
      <c r="F6951" s="16">
        <v>0.01</v>
      </c>
      <c r="G6951" s="15" t="s">
        <v>32</v>
      </c>
      <c r="H6951" s="18">
        <v>7858.08</v>
      </c>
      <c r="I6951" s="19">
        <v>525.98</v>
      </c>
      <c r="J6951" s="19">
        <v>19.989999999999998</v>
      </c>
      <c r="K6951" s="19" t="s">
        <v>124</v>
      </c>
      <c r="L6951" s="19" t="s">
        <v>164</v>
      </c>
      <c r="M6951" s="15" t="s">
        <v>2333</v>
      </c>
      <c r="N6951" s="15" t="s">
        <v>36</v>
      </c>
      <c r="O6951" s="15" t="s">
        <v>170</v>
      </c>
      <c r="P6951" s="20" t="s">
        <v>354</v>
      </c>
      <c r="Q6951" s="15" t="s">
        <v>83</v>
      </c>
      <c r="R6951" s="4"/>
      <c r="S6951" s="4"/>
    </row>
    <row r="6952" spans="1:19" ht="21" customHeight="1" x14ac:dyDescent="0.25">
      <c r="A6952" s="14">
        <f>DATE(2012,12,31)-861</f>
        <v>40413</v>
      </c>
      <c r="B6952" s="15" t="s">
        <v>747</v>
      </c>
      <c r="C6952" s="15" t="s">
        <v>85</v>
      </c>
      <c r="D6952" s="16">
        <v>18</v>
      </c>
      <c r="E6952" s="17">
        <v>274.32</v>
      </c>
      <c r="F6952" s="16">
        <v>0.01</v>
      </c>
      <c r="G6952" s="15" t="s">
        <v>32</v>
      </c>
      <c r="H6952" s="18">
        <v>-58.24</v>
      </c>
      <c r="I6952" s="19">
        <v>15.14</v>
      </c>
      <c r="J6952" s="19">
        <v>4.53</v>
      </c>
      <c r="K6952" s="19" t="s">
        <v>124</v>
      </c>
      <c r="L6952" s="19" t="s">
        <v>158</v>
      </c>
      <c r="M6952" s="15" t="s">
        <v>158</v>
      </c>
      <c r="N6952" s="15" t="s">
        <v>36</v>
      </c>
      <c r="O6952" s="15" t="s">
        <v>37</v>
      </c>
      <c r="P6952" s="20" t="s">
        <v>1459</v>
      </c>
      <c r="Q6952" s="15" t="s">
        <v>83</v>
      </c>
      <c r="R6952" s="4"/>
      <c r="S6952" s="4"/>
    </row>
    <row r="6953" spans="1:19" ht="21" customHeight="1" x14ac:dyDescent="0.25">
      <c r="A6953" s="14">
        <f>DATE(2012,12,31)-110</f>
        <v>41164</v>
      </c>
      <c r="B6953" s="15" t="s">
        <v>1310</v>
      </c>
      <c r="C6953" s="15" t="s">
        <v>43</v>
      </c>
      <c r="D6953" s="16">
        <v>24</v>
      </c>
      <c r="E6953" s="17">
        <v>75.73</v>
      </c>
      <c r="F6953" s="16">
        <v>7.0000000000000007E-2</v>
      </c>
      <c r="G6953" s="15" t="s">
        <v>32</v>
      </c>
      <c r="H6953" s="18">
        <v>29.46</v>
      </c>
      <c r="I6953" s="19">
        <v>3.15</v>
      </c>
      <c r="J6953" s="19">
        <v>0.5</v>
      </c>
      <c r="K6953" s="19" t="s">
        <v>44</v>
      </c>
      <c r="L6953" s="19" t="s">
        <v>52</v>
      </c>
      <c r="M6953" s="15" t="s">
        <v>2320</v>
      </c>
      <c r="N6953" s="15" t="s">
        <v>36</v>
      </c>
      <c r="O6953" s="15" t="s">
        <v>114</v>
      </c>
      <c r="P6953" s="20" t="s">
        <v>2260</v>
      </c>
      <c r="Q6953" s="15" t="s">
        <v>83</v>
      </c>
      <c r="R6953" s="4"/>
      <c r="S6953" s="4"/>
    </row>
    <row r="6954" spans="1:19" ht="21" customHeight="1" x14ac:dyDescent="0.25">
      <c r="A6954" s="14">
        <f>DATE(2012,12,31)-1206</f>
        <v>40068</v>
      </c>
      <c r="B6954" s="15" t="s">
        <v>276</v>
      </c>
      <c r="C6954" s="15" t="s">
        <v>43</v>
      </c>
      <c r="D6954" s="16">
        <v>19</v>
      </c>
      <c r="E6954" s="17">
        <v>88.4</v>
      </c>
      <c r="F6954" s="16">
        <v>0.08</v>
      </c>
      <c r="G6954" s="15" t="s">
        <v>32</v>
      </c>
      <c r="H6954" s="18">
        <v>35.5</v>
      </c>
      <c r="I6954" s="19">
        <v>4.91</v>
      </c>
      <c r="J6954" s="19">
        <v>0.5</v>
      </c>
      <c r="K6954" s="19" t="s">
        <v>44</v>
      </c>
      <c r="L6954" s="19" t="s">
        <v>52</v>
      </c>
      <c r="M6954" s="15" t="s">
        <v>2320</v>
      </c>
      <c r="N6954" s="15" t="s">
        <v>36</v>
      </c>
      <c r="O6954" s="15" t="s">
        <v>114</v>
      </c>
      <c r="P6954" s="20" t="s">
        <v>2008</v>
      </c>
      <c r="Q6954" s="15" t="s">
        <v>83</v>
      </c>
      <c r="R6954" s="4"/>
      <c r="S6954" s="4"/>
    </row>
    <row r="6955" spans="1:19" ht="21" customHeight="1" x14ac:dyDescent="0.25">
      <c r="A6955" s="14">
        <f>DATE(2012,12,31)-1206</f>
        <v>40068</v>
      </c>
      <c r="B6955" s="15" t="s">
        <v>429</v>
      </c>
      <c r="C6955" s="15" t="s">
        <v>43</v>
      </c>
      <c r="D6955" s="16">
        <v>40</v>
      </c>
      <c r="E6955" s="17">
        <v>259.83</v>
      </c>
      <c r="F6955" s="16">
        <v>0</v>
      </c>
      <c r="G6955" s="15" t="s">
        <v>32</v>
      </c>
      <c r="H6955" s="18">
        <v>80.733000000000004</v>
      </c>
      <c r="I6955" s="19">
        <v>5.98</v>
      </c>
      <c r="J6955" s="19">
        <v>1.49</v>
      </c>
      <c r="K6955" s="19" t="s">
        <v>44</v>
      </c>
      <c r="L6955" s="19" t="s">
        <v>52</v>
      </c>
      <c r="M6955" s="15" t="s">
        <v>2320</v>
      </c>
      <c r="N6955" s="15" t="s">
        <v>36</v>
      </c>
      <c r="O6955" s="15" t="s">
        <v>170</v>
      </c>
      <c r="P6955" s="20" t="s">
        <v>571</v>
      </c>
      <c r="Q6955" s="15" t="s">
        <v>83</v>
      </c>
      <c r="R6955" s="4"/>
      <c r="S6955" s="4"/>
    </row>
    <row r="6956" spans="1:19" ht="21" customHeight="1" x14ac:dyDescent="0.25">
      <c r="A6956" s="14">
        <f>DATE(2012,12,31)-690</f>
        <v>40584</v>
      </c>
      <c r="B6956" s="15" t="s">
        <v>854</v>
      </c>
      <c r="C6956" s="15" t="s">
        <v>31</v>
      </c>
      <c r="D6956" s="16">
        <v>26</v>
      </c>
      <c r="E6956" s="17">
        <v>171.14</v>
      </c>
      <c r="F6956" s="16">
        <v>0.02</v>
      </c>
      <c r="G6956" s="15" t="s">
        <v>32</v>
      </c>
      <c r="H6956" s="18">
        <v>-1172.75</v>
      </c>
      <c r="I6956" s="19">
        <v>4.4800000000000004</v>
      </c>
      <c r="J6956" s="19">
        <v>49</v>
      </c>
      <c r="K6956" s="19" t="s">
        <v>124</v>
      </c>
      <c r="L6956" s="19" t="s">
        <v>319</v>
      </c>
      <c r="M6956" s="15" t="s">
        <v>2300</v>
      </c>
      <c r="N6956" s="15" t="s">
        <v>36</v>
      </c>
      <c r="O6956" s="15" t="s">
        <v>176</v>
      </c>
      <c r="P6956" s="20" t="s">
        <v>930</v>
      </c>
      <c r="Q6956" s="15" t="s">
        <v>39</v>
      </c>
      <c r="R6956" s="4"/>
      <c r="S6956" s="4"/>
    </row>
    <row r="6957" spans="1:19" ht="21" customHeight="1" x14ac:dyDescent="0.25">
      <c r="A6957" s="14">
        <f>DATE(2012,12,31)-683</f>
        <v>40591</v>
      </c>
      <c r="B6957" s="15" t="s">
        <v>854</v>
      </c>
      <c r="C6957" s="15" t="s">
        <v>31</v>
      </c>
      <c r="D6957" s="16">
        <v>5</v>
      </c>
      <c r="E6957" s="17">
        <v>756.15</v>
      </c>
      <c r="F6957" s="16">
        <v>0.06</v>
      </c>
      <c r="G6957" s="15" t="s">
        <v>58</v>
      </c>
      <c r="H6957" s="18">
        <v>-280.2792</v>
      </c>
      <c r="I6957" s="19">
        <v>145.44999999999999</v>
      </c>
      <c r="J6957" s="19">
        <v>17.850000000000001</v>
      </c>
      <c r="K6957" s="19" t="s">
        <v>124</v>
      </c>
      <c r="L6957" s="19" t="s">
        <v>125</v>
      </c>
      <c r="M6957" s="15" t="s">
        <v>2325</v>
      </c>
      <c r="N6957" s="15" t="s">
        <v>64</v>
      </c>
      <c r="O6957" s="15" t="s">
        <v>122</v>
      </c>
      <c r="P6957" s="20" t="s">
        <v>1053</v>
      </c>
      <c r="Q6957" s="15" t="s">
        <v>181</v>
      </c>
      <c r="R6957" s="4"/>
      <c r="S6957" s="4"/>
    </row>
    <row r="6958" spans="1:19" ht="21" customHeight="1" x14ac:dyDescent="0.25">
      <c r="A6958" s="14">
        <f>DATE(2012,12,31)-683</f>
        <v>40591</v>
      </c>
      <c r="B6958" s="15" t="s">
        <v>854</v>
      </c>
      <c r="C6958" s="15" t="s">
        <v>31</v>
      </c>
      <c r="D6958" s="16">
        <v>1</v>
      </c>
      <c r="E6958" s="17">
        <v>18.149999999999999</v>
      </c>
      <c r="F6958" s="16">
        <v>0.04</v>
      </c>
      <c r="G6958" s="15" t="s">
        <v>32</v>
      </c>
      <c r="H6958" s="18">
        <v>-7.26</v>
      </c>
      <c r="I6958" s="19">
        <v>12.28</v>
      </c>
      <c r="J6958" s="19">
        <v>6.13</v>
      </c>
      <c r="K6958" s="19" t="s">
        <v>44</v>
      </c>
      <c r="L6958" s="19" t="s">
        <v>52</v>
      </c>
      <c r="M6958" s="15" t="s">
        <v>2320</v>
      </c>
      <c r="N6958" s="15" t="s">
        <v>36</v>
      </c>
      <c r="O6958" s="15" t="s">
        <v>37</v>
      </c>
      <c r="P6958" s="20" t="s">
        <v>127</v>
      </c>
      <c r="Q6958" s="15" t="s">
        <v>83</v>
      </c>
      <c r="R6958" s="4"/>
      <c r="S6958" s="4"/>
    </row>
    <row r="6959" spans="1:19" ht="21" customHeight="1" x14ac:dyDescent="0.25">
      <c r="A6959" s="14">
        <f>DATE(2012,12,31)-586</f>
        <v>40688</v>
      </c>
      <c r="B6959" s="15" t="s">
        <v>808</v>
      </c>
      <c r="C6959" s="15" t="s">
        <v>85</v>
      </c>
      <c r="D6959" s="16">
        <v>48</v>
      </c>
      <c r="E6959" s="17">
        <v>204.15</v>
      </c>
      <c r="F6959" s="16">
        <v>7.0000000000000007E-2</v>
      </c>
      <c r="G6959" s="15" t="s">
        <v>32</v>
      </c>
      <c r="H6959" s="18">
        <v>-155.52600000000001</v>
      </c>
      <c r="I6959" s="19">
        <v>4.24</v>
      </c>
      <c r="J6959" s="19">
        <v>5.41</v>
      </c>
      <c r="K6959" s="19" t="s">
        <v>44</v>
      </c>
      <c r="L6959" s="19" t="s">
        <v>52</v>
      </c>
      <c r="M6959" s="15" t="s">
        <v>2320</v>
      </c>
      <c r="N6959" s="15" t="s">
        <v>36</v>
      </c>
      <c r="O6959" s="15" t="s">
        <v>170</v>
      </c>
      <c r="P6959" s="20" t="s">
        <v>1205</v>
      </c>
      <c r="Q6959" s="15" t="s">
        <v>83</v>
      </c>
      <c r="R6959" s="4"/>
      <c r="S6959" s="4"/>
    </row>
    <row r="6960" spans="1:19" ht="21" customHeight="1" x14ac:dyDescent="0.25">
      <c r="A6960" s="14">
        <f>DATE(2012,12,31)-586</f>
        <v>40688</v>
      </c>
      <c r="B6960" s="15" t="s">
        <v>1065</v>
      </c>
      <c r="C6960" s="15" t="s">
        <v>85</v>
      </c>
      <c r="D6960" s="16">
        <v>13</v>
      </c>
      <c r="E6960" s="17">
        <v>33.11</v>
      </c>
      <c r="F6960" s="16">
        <v>0.08</v>
      </c>
      <c r="G6960" s="15" t="s">
        <v>32</v>
      </c>
      <c r="H6960" s="18">
        <v>-35.96</v>
      </c>
      <c r="I6960" s="19">
        <v>2.23</v>
      </c>
      <c r="J6960" s="19">
        <v>4.57</v>
      </c>
      <c r="K6960" s="19" t="s">
        <v>44</v>
      </c>
      <c r="L6960" s="19" t="s">
        <v>52</v>
      </c>
      <c r="M6960" s="15" t="s">
        <v>2320</v>
      </c>
      <c r="N6960" s="15" t="s">
        <v>54</v>
      </c>
      <c r="O6960" s="15" t="s">
        <v>55</v>
      </c>
      <c r="P6960" s="20" t="s">
        <v>1584</v>
      </c>
      <c r="Q6960" s="15" t="s">
        <v>49</v>
      </c>
      <c r="R6960" s="4"/>
      <c r="S6960" s="4"/>
    </row>
    <row r="6961" spans="1:19" ht="21" customHeight="1" x14ac:dyDescent="0.25">
      <c r="A6961" s="14">
        <f>DATE(2012,12,31)-1074</f>
        <v>40200</v>
      </c>
      <c r="B6961" s="15" t="s">
        <v>1632</v>
      </c>
      <c r="C6961" s="15" t="s">
        <v>51</v>
      </c>
      <c r="D6961" s="16">
        <v>1</v>
      </c>
      <c r="E6961" s="17">
        <v>3.41</v>
      </c>
      <c r="F6961" s="16">
        <v>0.06</v>
      </c>
      <c r="G6961" s="15" t="s">
        <v>32</v>
      </c>
      <c r="H6961" s="18">
        <v>-1.78</v>
      </c>
      <c r="I6961" s="19">
        <v>2.88</v>
      </c>
      <c r="J6961" s="19">
        <v>0.7</v>
      </c>
      <c r="K6961" s="19" t="s">
        <v>44</v>
      </c>
      <c r="L6961" s="19" t="s">
        <v>236</v>
      </c>
      <c r="M6961" s="15" t="s">
        <v>2296</v>
      </c>
      <c r="N6961" s="15" t="s">
        <v>36</v>
      </c>
      <c r="O6961" s="15" t="s">
        <v>77</v>
      </c>
      <c r="P6961" s="20" t="s">
        <v>202</v>
      </c>
      <c r="Q6961" s="15" t="s">
        <v>79</v>
      </c>
      <c r="R6961" s="4"/>
      <c r="S6961" s="4"/>
    </row>
    <row r="6962" spans="1:19" ht="21" customHeight="1" x14ac:dyDescent="0.25">
      <c r="A6962" s="14">
        <f>DATE(2012,12,31)-164</f>
        <v>41110</v>
      </c>
      <c r="B6962" s="15" t="s">
        <v>1632</v>
      </c>
      <c r="C6962" s="15" t="s">
        <v>43</v>
      </c>
      <c r="D6962" s="16">
        <v>26</v>
      </c>
      <c r="E6962" s="17">
        <v>139.54</v>
      </c>
      <c r="F6962" s="16">
        <v>0.01</v>
      </c>
      <c r="G6962" s="15" t="s">
        <v>32</v>
      </c>
      <c r="H6962" s="18">
        <v>-54.084499999999998</v>
      </c>
      <c r="I6962" s="19">
        <v>4.9800000000000004</v>
      </c>
      <c r="J6962" s="19">
        <v>4.95</v>
      </c>
      <c r="K6962" s="19" t="s">
        <v>44</v>
      </c>
      <c r="L6962" s="19" t="s">
        <v>52</v>
      </c>
      <c r="M6962" s="15" t="s">
        <v>2320</v>
      </c>
      <c r="N6962" s="15" t="s">
        <v>36</v>
      </c>
      <c r="O6962" s="15" t="s">
        <v>170</v>
      </c>
      <c r="P6962" s="20" t="s">
        <v>1141</v>
      </c>
      <c r="Q6962" s="15" t="s">
        <v>83</v>
      </c>
      <c r="R6962" s="4"/>
      <c r="S6962" s="4"/>
    </row>
    <row r="6963" spans="1:19" ht="21" customHeight="1" x14ac:dyDescent="0.25">
      <c r="A6963" s="14">
        <f>DATE(2012,12,31)-164</f>
        <v>41110</v>
      </c>
      <c r="B6963" s="15" t="s">
        <v>1321</v>
      </c>
      <c r="C6963" s="15" t="s">
        <v>43</v>
      </c>
      <c r="D6963" s="16">
        <v>28</v>
      </c>
      <c r="E6963" s="17">
        <v>199.52</v>
      </c>
      <c r="F6963" s="16">
        <v>0.08</v>
      </c>
      <c r="G6963" s="15" t="s">
        <v>32</v>
      </c>
      <c r="H6963" s="18">
        <v>13.44</v>
      </c>
      <c r="I6963" s="19">
        <v>7.59</v>
      </c>
      <c r="J6963" s="19">
        <v>4</v>
      </c>
      <c r="K6963" s="19" t="s">
        <v>44</v>
      </c>
      <c r="L6963" s="19" t="s">
        <v>52</v>
      </c>
      <c r="M6963" s="15" t="s">
        <v>2320</v>
      </c>
      <c r="N6963" s="15" t="s">
        <v>54</v>
      </c>
      <c r="O6963" s="15" t="s">
        <v>55</v>
      </c>
      <c r="P6963" s="20" t="s">
        <v>1698</v>
      </c>
      <c r="Q6963" s="15" t="s">
        <v>79</v>
      </c>
      <c r="R6963" s="4"/>
      <c r="S6963" s="4"/>
    </row>
    <row r="6964" spans="1:19" ht="21" customHeight="1" x14ac:dyDescent="0.25">
      <c r="A6964" s="14">
        <f>DATE(2012,12,31)-164</f>
        <v>41110</v>
      </c>
      <c r="B6964" s="15" t="s">
        <v>1722</v>
      </c>
      <c r="C6964" s="15" t="s">
        <v>43</v>
      </c>
      <c r="D6964" s="16">
        <v>39</v>
      </c>
      <c r="E6964" s="17">
        <v>85.66</v>
      </c>
      <c r="F6964" s="16">
        <v>0.04</v>
      </c>
      <c r="G6964" s="15" t="s">
        <v>32</v>
      </c>
      <c r="H6964" s="18">
        <v>6.67</v>
      </c>
      <c r="I6964" s="19">
        <v>2.1800000000000002</v>
      </c>
      <c r="J6964" s="19">
        <v>0.78</v>
      </c>
      <c r="K6964" s="19" t="s">
        <v>44</v>
      </c>
      <c r="L6964" s="19" t="s">
        <v>52</v>
      </c>
      <c r="M6964" s="15" t="s">
        <v>2320</v>
      </c>
      <c r="N6964" s="15" t="s">
        <v>36</v>
      </c>
      <c r="O6964" s="15" t="s">
        <v>105</v>
      </c>
      <c r="P6964" s="20" t="s">
        <v>377</v>
      </c>
      <c r="Q6964" s="15" t="s">
        <v>79</v>
      </c>
      <c r="R6964" s="4"/>
      <c r="S6964" s="4"/>
    </row>
    <row r="6965" spans="1:19" ht="21" customHeight="1" x14ac:dyDescent="0.25">
      <c r="A6965" s="14">
        <f>DATE(2012,12,31)-408</f>
        <v>40866</v>
      </c>
      <c r="B6965" s="15" t="s">
        <v>1722</v>
      </c>
      <c r="C6965" s="15" t="s">
        <v>51</v>
      </c>
      <c r="D6965" s="16">
        <v>12</v>
      </c>
      <c r="E6965" s="17">
        <v>1323.67</v>
      </c>
      <c r="F6965" s="16">
        <v>0.04</v>
      </c>
      <c r="G6965" s="15" t="s">
        <v>101</v>
      </c>
      <c r="H6965" s="18">
        <v>630.28</v>
      </c>
      <c r="I6965" s="19">
        <v>107.53</v>
      </c>
      <c r="J6965" s="19">
        <v>5.81</v>
      </c>
      <c r="K6965" s="19" t="s">
        <v>44</v>
      </c>
      <c r="L6965" s="19" t="s">
        <v>45</v>
      </c>
      <c r="M6965" s="15" t="s">
        <v>2271</v>
      </c>
      <c r="N6965" s="15" t="s">
        <v>54</v>
      </c>
      <c r="O6965" s="15" t="s">
        <v>55</v>
      </c>
      <c r="P6965" s="20" t="s">
        <v>1974</v>
      </c>
      <c r="Q6965" s="15" t="s">
        <v>57</v>
      </c>
      <c r="R6965" s="4"/>
      <c r="S6965" s="4"/>
    </row>
    <row r="6966" spans="1:19" ht="21" customHeight="1" x14ac:dyDescent="0.25">
      <c r="A6966" s="14">
        <f>DATE(2012,12,31)-289</f>
        <v>40985</v>
      </c>
      <c r="B6966" s="15" t="s">
        <v>1722</v>
      </c>
      <c r="C6966" s="15" t="s">
        <v>43</v>
      </c>
      <c r="D6966" s="16">
        <v>18</v>
      </c>
      <c r="E6966" s="17">
        <v>283.5</v>
      </c>
      <c r="F6966" s="16">
        <v>0.1</v>
      </c>
      <c r="G6966" s="15" t="s">
        <v>32</v>
      </c>
      <c r="H6966" s="18">
        <v>-51.47</v>
      </c>
      <c r="I6966" s="19">
        <v>15.98</v>
      </c>
      <c r="J6966" s="19">
        <v>6.5</v>
      </c>
      <c r="K6966" s="19" t="s">
        <v>44</v>
      </c>
      <c r="L6966" s="19" t="s">
        <v>52</v>
      </c>
      <c r="M6966" s="15" t="s">
        <v>2320</v>
      </c>
      <c r="N6966" s="15" t="s">
        <v>64</v>
      </c>
      <c r="O6966" s="15" t="s">
        <v>72</v>
      </c>
      <c r="P6966" s="20" t="s">
        <v>985</v>
      </c>
      <c r="Q6966" s="15" t="s">
        <v>83</v>
      </c>
      <c r="R6966" s="4"/>
      <c r="S6966" s="4"/>
    </row>
    <row r="6967" spans="1:19" ht="21" customHeight="1" x14ac:dyDescent="0.25">
      <c r="A6967" s="14">
        <f>DATE(2012,12,31)-289</f>
        <v>40985</v>
      </c>
      <c r="B6967" s="15" t="s">
        <v>485</v>
      </c>
      <c r="C6967" s="15" t="s">
        <v>43</v>
      </c>
      <c r="D6967" s="16">
        <v>36</v>
      </c>
      <c r="E6967" s="17">
        <v>242.13</v>
      </c>
      <c r="F6967" s="16">
        <v>0.09</v>
      </c>
      <c r="G6967" s="15" t="s">
        <v>101</v>
      </c>
      <c r="H6967" s="18">
        <v>-94.74</v>
      </c>
      <c r="I6967" s="19">
        <v>6.48</v>
      </c>
      <c r="J6967" s="19">
        <v>6.6</v>
      </c>
      <c r="K6967" s="19" t="s">
        <v>44</v>
      </c>
      <c r="L6967" s="19" t="s">
        <v>52</v>
      </c>
      <c r="M6967" s="15" t="s">
        <v>2320</v>
      </c>
      <c r="N6967" s="15" t="s">
        <v>36</v>
      </c>
      <c r="O6967" s="15" t="s">
        <v>117</v>
      </c>
      <c r="P6967" s="20" t="s">
        <v>1735</v>
      </c>
      <c r="Q6967" s="15" t="s">
        <v>83</v>
      </c>
      <c r="R6967" s="4"/>
      <c r="S6967" s="4"/>
    </row>
    <row r="6968" spans="1:19" ht="21" customHeight="1" x14ac:dyDescent="0.25">
      <c r="A6968" s="14">
        <f>DATE(2012,12,31)-308</f>
        <v>40966</v>
      </c>
      <c r="B6968" s="15" t="s">
        <v>485</v>
      </c>
      <c r="C6968" s="15" t="s">
        <v>85</v>
      </c>
      <c r="D6968" s="16">
        <v>36</v>
      </c>
      <c r="E6968" s="17">
        <v>1921.1275000000001</v>
      </c>
      <c r="F6968" s="16">
        <v>0.08</v>
      </c>
      <c r="G6968" s="15" t="s">
        <v>32</v>
      </c>
      <c r="H6968" s="18">
        <v>248.58</v>
      </c>
      <c r="I6968" s="19">
        <v>65.989999999999995</v>
      </c>
      <c r="J6968" s="19">
        <v>8.99</v>
      </c>
      <c r="K6968" s="19" t="s">
        <v>44</v>
      </c>
      <c r="L6968" s="19" t="s">
        <v>52</v>
      </c>
      <c r="M6968" s="15" t="s">
        <v>2320</v>
      </c>
      <c r="N6968" s="15" t="s">
        <v>64</v>
      </c>
      <c r="O6968" s="15" t="s">
        <v>65</v>
      </c>
      <c r="P6968" s="20" t="s">
        <v>118</v>
      </c>
      <c r="Q6968" s="15" t="s">
        <v>83</v>
      </c>
      <c r="R6968" s="4"/>
      <c r="S6968" s="4"/>
    </row>
    <row r="6969" spans="1:19" ht="21" customHeight="1" x14ac:dyDescent="0.25">
      <c r="A6969" s="14">
        <f>DATE(2012,12,31)-1330</f>
        <v>39944</v>
      </c>
      <c r="B6969" s="15" t="s">
        <v>2177</v>
      </c>
      <c r="C6969" s="15" t="s">
        <v>31</v>
      </c>
      <c r="D6969" s="16">
        <v>14</v>
      </c>
      <c r="E6969" s="17">
        <v>57.28</v>
      </c>
      <c r="F6969" s="16">
        <v>0.02</v>
      </c>
      <c r="G6969" s="15" t="s">
        <v>32</v>
      </c>
      <c r="H6969" s="18">
        <v>7.31</v>
      </c>
      <c r="I6969" s="19">
        <v>3.8</v>
      </c>
      <c r="J6969" s="19">
        <v>1.49</v>
      </c>
      <c r="K6969" s="19" t="s">
        <v>44</v>
      </c>
      <c r="L6969" s="19" t="s">
        <v>52</v>
      </c>
      <c r="M6969" s="15" t="s">
        <v>2320</v>
      </c>
      <c r="N6969" s="15" t="s">
        <v>36</v>
      </c>
      <c r="O6969" s="15" t="s">
        <v>170</v>
      </c>
      <c r="P6969" s="20" t="s">
        <v>1220</v>
      </c>
      <c r="Q6969" s="15" t="s">
        <v>83</v>
      </c>
      <c r="R6969" s="4"/>
      <c r="S6969" s="4"/>
    </row>
    <row r="6970" spans="1:19" ht="21" customHeight="1" x14ac:dyDescent="0.25">
      <c r="A6970" s="14">
        <f>DATE(2012,12,31)-1330</f>
        <v>39944</v>
      </c>
      <c r="B6970" s="15" t="s">
        <v>2177</v>
      </c>
      <c r="C6970" s="15" t="s">
        <v>31</v>
      </c>
      <c r="D6970" s="16">
        <v>32</v>
      </c>
      <c r="E6970" s="17">
        <v>227.87</v>
      </c>
      <c r="F6970" s="16">
        <v>0.02</v>
      </c>
      <c r="G6970" s="15" t="s">
        <v>32</v>
      </c>
      <c r="H6970" s="18">
        <v>-130.61000000000001</v>
      </c>
      <c r="I6970" s="19">
        <v>6.48</v>
      </c>
      <c r="J6970" s="19">
        <v>8.4</v>
      </c>
      <c r="K6970" s="19" t="s">
        <v>44</v>
      </c>
      <c r="L6970" s="19" t="s">
        <v>52</v>
      </c>
      <c r="M6970" s="15" t="s">
        <v>2320</v>
      </c>
      <c r="N6970" s="15" t="s">
        <v>36</v>
      </c>
      <c r="O6970" s="15" t="s">
        <v>117</v>
      </c>
      <c r="P6970" s="20" t="s">
        <v>1698</v>
      </c>
      <c r="Q6970" s="15" t="s">
        <v>83</v>
      </c>
      <c r="R6970" s="4"/>
      <c r="S6970" s="4"/>
    </row>
    <row r="6971" spans="1:19" ht="21" customHeight="1" x14ac:dyDescent="0.25">
      <c r="A6971" s="14">
        <f>DATE(2012,12,31)-809</f>
        <v>40465</v>
      </c>
      <c r="B6971" s="15" t="s">
        <v>108</v>
      </c>
      <c r="C6971" s="15" t="s">
        <v>85</v>
      </c>
      <c r="D6971" s="16">
        <v>39</v>
      </c>
      <c r="E6971" s="17">
        <v>110.36</v>
      </c>
      <c r="F6971" s="16">
        <v>0.05</v>
      </c>
      <c r="G6971" s="15" t="s">
        <v>32</v>
      </c>
      <c r="H6971" s="18">
        <v>8.6</v>
      </c>
      <c r="I6971" s="19">
        <v>2.84</v>
      </c>
      <c r="J6971" s="19">
        <v>0.93</v>
      </c>
      <c r="K6971" s="19" t="s">
        <v>44</v>
      </c>
      <c r="L6971" s="19" t="s">
        <v>52</v>
      </c>
      <c r="M6971" s="15" t="s">
        <v>2320</v>
      </c>
      <c r="N6971" s="15" t="s">
        <v>36</v>
      </c>
      <c r="O6971" s="15" t="s">
        <v>77</v>
      </c>
      <c r="P6971" s="20" t="s">
        <v>1159</v>
      </c>
      <c r="Q6971" s="15" t="s">
        <v>79</v>
      </c>
      <c r="R6971" s="4"/>
      <c r="S6971" s="4"/>
    </row>
    <row r="6972" spans="1:19" ht="21" customHeight="1" x14ac:dyDescent="0.25">
      <c r="A6972" s="14">
        <f>DATE(2012,12,31)-712</f>
        <v>40562</v>
      </c>
      <c r="B6972" s="15" t="s">
        <v>108</v>
      </c>
      <c r="C6972" s="15" t="s">
        <v>51</v>
      </c>
      <c r="D6972" s="16">
        <v>14</v>
      </c>
      <c r="E6972" s="17">
        <v>242.28400000000002</v>
      </c>
      <c r="F6972" s="16">
        <v>0.03</v>
      </c>
      <c r="G6972" s="15" t="s">
        <v>32</v>
      </c>
      <c r="H6972" s="18">
        <v>51.75</v>
      </c>
      <c r="I6972" s="19">
        <v>20.99</v>
      </c>
      <c r="J6972" s="19">
        <v>0.99</v>
      </c>
      <c r="K6972" s="19" t="s">
        <v>44</v>
      </c>
      <c r="L6972" s="19" t="s">
        <v>52</v>
      </c>
      <c r="M6972" s="15" t="s">
        <v>2320</v>
      </c>
      <c r="N6972" s="15" t="s">
        <v>64</v>
      </c>
      <c r="O6972" s="15" t="s">
        <v>65</v>
      </c>
      <c r="P6972" s="20" t="s">
        <v>387</v>
      </c>
      <c r="Q6972" s="15" t="s">
        <v>79</v>
      </c>
      <c r="R6972" s="4"/>
      <c r="S6972" s="4"/>
    </row>
    <row r="6973" spans="1:19" ht="21" customHeight="1" x14ac:dyDescent="0.25">
      <c r="A6973" s="14">
        <f>DATE(2012,12,31)-712</f>
        <v>40562</v>
      </c>
      <c r="B6973" s="15" t="s">
        <v>1784</v>
      </c>
      <c r="C6973" s="15" t="s">
        <v>51</v>
      </c>
      <c r="D6973" s="16">
        <v>15</v>
      </c>
      <c r="E6973" s="17">
        <v>1795.49</v>
      </c>
      <c r="F6973" s="16">
        <v>0.05</v>
      </c>
      <c r="G6973" s="15" t="s">
        <v>58</v>
      </c>
      <c r="H6973" s="18">
        <v>-626.04</v>
      </c>
      <c r="I6973" s="19">
        <v>114.98</v>
      </c>
      <c r="J6973" s="19">
        <v>58.72</v>
      </c>
      <c r="K6973" s="19" t="s">
        <v>44</v>
      </c>
      <c r="L6973" s="19" t="s">
        <v>45</v>
      </c>
      <c r="M6973" s="15" t="s">
        <v>2271</v>
      </c>
      <c r="N6973" s="15" t="s">
        <v>54</v>
      </c>
      <c r="O6973" s="15" t="s">
        <v>134</v>
      </c>
      <c r="P6973" s="20" t="s">
        <v>1376</v>
      </c>
      <c r="Q6973" s="15" t="s">
        <v>63</v>
      </c>
      <c r="R6973" s="4"/>
      <c r="S6973" s="4"/>
    </row>
    <row r="6974" spans="1:19" ht="21" customHeight="1" x14ac:dyDescent="0.25">
      <c r="A6974" s="14">
        <f>DATE(2012,12,31)-712</f>
        <v>40562</v>
      </c>
      <c r="B6974" s="15" t="s">
        <v>394</v>
      </c>
      <c r="C6974" s="15" t="s">
        <v>51</v>
      </c>
      <c r="D6974" s="16">
        <v>4</v>
      </c>
      <c r="E6974" s="17">
        <v>926.58</v>
      </c>
      <c r="F6974" s="16">
        <v>0.03</v>
      </c>
      <c r="G6974" s="15" t="s">
        <v>58</v>
      </c>
      <c r="H6974" s="18">
        <v>-226.512</v>
      </c>
      <c r="I6974" s="19">
        <v>212.6</v>
      </c>
      <c r="J6974" s="19">
        <v>52.2</v>
      </c>
      <c r="K6974" s="19" t="s">
        <v>44</v>
      </c>
      <c r="L6974" s="19" t="s">
        <v>52</v>
      </c>
      <c r="M6974" s="15" t="s">
        <v>2320</v>
      </c>
      <c r="N6974" s="15" t="s">
        <v>54</v>
      </c>
      <c r="O6974" s="15" t="s">
        <v>61</v>
      </c>
      <c r="P6974" s="20" t="s">
        <v>745</v>
      </c>
      <c r="Q6974" s="15" t="s">
        <v>63</v>
      </c>
      <c r="R6974" s="4"/>
      <c r="S6974" s="4"/>
    </row>
    <row r="6975" spans="1:19" ht="21" customHeight="1" x14ac:dyDescent="0.25">
      <c r="A6975" s="14">
        <f>DATE(2012,12,31)-742</f>
        <v>40532</v>
      </c>
      <c r="B6975" s="15" t="s">
        <v>401</v>
      </c>
      <c r="C6975" s="15" t="s">
        <v>51</v>
      </c>
      <c r="D6975" s="16">
        <v>43</v>
      </c>
      <c r="E6975" s="17">
        <v>7731.09</v>
      </c>
      <c r="F6975" s="16">
        <v>0</v>
      </c>
      <c r="G6975" s="15" t="s">
        <v>32</v>
      </c>
      <c r="H6975" s="18">
        <v>-222.17</v>
      </c>
      <c r="I6975" s="19">
        <v>167.27</v>
      </c>
      <c r="J6975" s="19">
        <v>35</v>
      </c>
      <c r="K6975" s="19" t="s">
        <v>44</v>
      </c>
      <c r="L6975" s="19" t="s">
        <v>52</v>
      </c>
      <c r="M6975" s="15" t="s">
        <v>2320</v>
      </c>
      <c r="N6975" s="15" t="s">
        <v>36</v>
      </c>
      <c r="O6975" s="15" t="s">
        <v>37</v>
      </c>
      <c r="P6975" s="20" t="s">
        <v>497</v>
      </c>
      <c r="Q6975" s="15" t="s">
        <v>39</v>
      </c>
      <c r="R6975" s="4"/>
      <c r="S6975" s="4"/>
    </row>
    <row r="6976" spans="1:19" ht="21" customHeight="1" x14ac:dyDescent="0.25">
      <c r="A6976" s="14">
        <f>DATE(2012,12,31)-742</f>
        <v>40532</v>
      </c>
      <c r="B6976" s="15" t="s">
        <v>401</v>
      </c>
      <c r="C6976" s="15" t="s">
        <v>51</v>
      </c>
      <c r="D6976" s="16">
        <v>33</v>
      </c>
      <c r="E6976" s="17">
        <v>10162.576000000001</v>
      </c>
      <c r="F6976" s="16">
        <v>0.08</v>
      </c>
      <c r="G6976" s="15" t="s">
        <v>58</v>
      </c>
      <c r="H6976" s="18">
        <v>-969.0483660000001</v>
      </c>
      <c r="I6976" s="19">
        <v>400.98</v>
      </c>
      <c r="J6976" s="19">
        <v>42.52</v>
      </c>
      <c r="K6976" s="19" t="s">
        <v>33</v>
      </c>
      <c r="L6976" s="19" t="s">
        <v>34</v>
      </c>
      <c r="M6976" s="15" t="s">
        <v>2315</v>
      </c>
      <c r="N6976" s="15" t="s">
        <v>54</v>
      </c>
      <c r="O6976" s="15" t="s">
        <v>61</v>
      </c>
      <c r="P6976" s="20" t="s">
        <v>1081</v>
      </c>
      <c r="Q6976" s="15" t="s">
        <v>63</v>
      </c>
      <c r="R6976" s="4"/>
      <c r="S6976" s="4"/>
    </row>
    <row r="6977" spans="1:19" ht="21" customHeight="1" x14ac:dyDescent="0.25">
      <c r="A6977" s="14">
        <f>DATE(2012,12,31)-742</f>
        <v>40532</v>
      </c>
      <c r="B6977" s="15" t="s">
        <v>663</v>
      </c>
      <c r="C6977" s="15" t="s">
        <v>51</v>
      </c>
      <c r="D6977" s="16">
        <v>33</v>
      </c>
      <c r="E6977" s="17">
        <v>5834.6464999999998</v>
      </c>
      <c r="F6977" s="16">
        <v>0.01</v>
      </c>
      <c r="G6977" s="15" t="s">
        <v>32</v>
      </c>
      <c r="H6977" s="18">
        <v>1619.6579999999999</v>
      </c>
      <c r="I6977" s="19">
        <v>205.99</v>
      </c>
      <c r="J6977" s="19">
        <v>2.79</v>
      </c>
      <c r="K6977" s="19" t="s">
        <v>33</v>
      </c>
      <c r="L6977" s="19" t="s">
        <v>93</v>
      </c>
      <c r="M6977" s="15" t="s">
        <v>94</v>
      </c>
      <c r="N6977" s="15" t="s">
        <v>64</v>
      </c>
      <c r="O6977" s="15" t="s">
        <v>65</v>
      </c>
      <c r="P6977" s="20" t="s">
        <v>795</v>
      </c>
      <c r="Q6977" s="15" t="s">
        <v>83</v>
      </c>
      <c r="R6977" s="4"/>
      <c r="S6977" s="4"/>
    </row>
    <row r="6978" spans="1:19" ht="21" customHeight="1" x14ac:dyDescent="0.25">
      <c r="A6978" s="14">
        <f>DATE(2012,12,31)-980</f>
        <v>40294</v>
      </c>
      <c r="B6978" s="15" t="s">
        <v>728</v>
      </c>
      <c r="C6978" s="15" t="s">
        <v>43</v>
      </c>
      <c r="D6978" s="16">
        <v>6</v>
      </c>
      <c r="E6978" s="17">
        <v>1854.94</v>
      </c>
      <c r="F6978" s="16">
        <v>0.04</v>
      </c>
      <c r="G6978" s="15" t="s">
        <v>32</v>
      </c>
      <c r="H6978" s="18">
        <v>-559.78</v>
      </c>
      <c r="I6978" s="19">
        <v>300.97000000000003</v>
      </c>
      <c r="J6978" s="19">
        <v>7.18</v>
      </c>
      <c r="K6978" s="19" t="s">
        <v>124</v>
      </c>
      <c r="L6978" s="19" t="s">
        <v>164</v>
      </c>
      <c r="M6978" s="15" t="s">
        <v>2333</v>
      </c>
      <c r="N6978" s="15" t="s">
        <v>64</v>
      </c>
      <c r="O6978" s="15" t="s">
        <v>72</v>
      </c>
      <c r="P6978" s="20" t="s">
        <v>1718</v>
      </c>
      <c r="Q6978" s="15" t="s">
        <v>83</v>
      </c>
      <c r="R6978" s="4"/>
      <c r="S6978" s="4"/>
    </row>
    <row r="6979" spans="1:19" ht="21" customHeight="1" x14ac:dyDescent="0.25">
      <c r="A6979" s="14">
        <f>DATE(2012,12,31)-1213</f>
        <v>40061</v>
      </c>
      <c r="B6979" s="15" t="s">
        <v>1675</v>
      </c>
      <c r="C6979" s="15" t="s">
        <v>43</v>
      </c>
      <c r="D6979" s="16">
        <v>11</v>
      </c>
      <c r="E6979" s="17">
        <v>5155.3500000000004</v>
      </c>
      <c r="F6979" s="16">
        <v>0</v>
      </c>
      <c r="G6979" s="15" t="s">
        <v>58</v>
      </c>
      <c r="H6979" s="18">
        <v>501.51</v>
      </c>
      <c r="I6979" s="19">
        <v>442.14</v>
      </c>
      <c r="J6979" s="19">
        <v>14.7</v>
      </c>
      <c r="K6979" s="19" t="s">
        <v>33</v>
      </c>
      <c r="L6979" s="19" t="s">
        <v>59</v>
      </c>
      <c r="M6979" s="15" t="s">
        <v>2269</v>
      </c>
      <c r="N6979" s="15" t="s">
        <v>64</v>
      </c>
      <c r="O6979" s="15" t="s">
        <v>122</v>
      </c>
      <c r="P6979" s="20" t="s">
        <v>596</v>
      </c>
      <c r="Q6979" s="15" t="s">
        <v>181</v>
      </c>
      <c r="R6979" s="4"/>
      <c r="S6979" s="4"/>
    </row>
    <row r="6980" spans="1:19" ht="21" customHeight="1" x14ac:dyDescent="0.25">
      <c r="A6980" s="14">
        <f>DATE(2012,12,31)-1366</f>
        <v>39908</v>
      </c>
      <c r="B6980" s="15" t="s">
        <v>1675</v>
      </c>
      <c r="C6980" s="15" t="s">
        <v>51</v>
      </c>
      <c r="D6980" s="16">
        <v>15</v>
      </c>
      <c r="E6980" s="17">
        <v>1093.6355000000001</v>
      </c>
      <c r="F6980" s="16">
        <v>0.05</v>
      </c>
      <c r="G6980" s="15" t="s">
        <v>32</v>
      </c>
      <c r="H6980" s="18">
        <v>119.169</v>
      </c>
      <c r="I6980" s="19">
        <v>85.99</v>
      </c>
      <c r="J6980" s="19">
        <v>0.99</v>
      </c>
      <c r="K6980" s="19" t="s">
        <v>33</v>
      </c>
      <c r="L6980" s="19" t="s">
        <v>145</v>
      </c>
      <c r="M6980" s="15" t="s">
        <v>2313</v>
      </c>
      <c r="N6980" s="15" t="s">
        <v>64</v>
      </c>
      <c r="O6980" s="15" t="s">
        <v>65</v>
      </c>
      <c r="P6980" s="20" t="s">
        <v>1972</v>
      </c>
      <c r="Q6980" s="15" t="s">
        <v>79</v>
      </c>
      <c r="R6980" s="4"/>
      <c r="S6980" s="4"/>
    </row>
    <row r="6981" spans="1:19" ht="21" customHeight="1" x14ac:dyDescent="0.25">
      <c r="A6981" s="14">
        <f>DATE(2012,12,31)-41</f>
        <v>41233</v>
      </c>
      <c r="B6981" s="15" t="s">
        <v>1792</v>
      </c>
      <c r="C6981" s="15" t="s">
        <v>31</v>
      </c>
      <c r="D6981" s="16">
        <v>43</v>
      </c>
      <c r="E6981" s="17">
        <v>1502.47</v>
      </c>
      <c r="F6981" s="16">
        <v>7.0000000000000007E-2</v>
      </c>
      <c r="G6981" s="15" t="s">
        <v>32</v>
      </c>
      <c r="H6981" s="18">
        <v>214.05</v>
      </c>
      <c r="I6981" s="19">
        <v>34.58</v>
      </c>
      <c r="J6981" s="19">
        <v>8.99</v>
      </c>
      <c r="K6981" s="19" t="s">
        <v>69</v>
      </c>
      <c r="L6981" s="19" t="s">
        <v>70</v>
      </c>
      <c r="M6981" s="15" t="s">
        <v>2327</v>
      </c>
      <c r="N6981" s="15" t="s">
        <v>36</v>
      </c>
      <c r="O6981" s="15" t="s">
        <v>77</v>
      </c>
      <c r="P6981" s="20" t="s">
        <v>786</v>
      </c>
      <c r="Q6981" s="15" t="s">
        <v>49</v>
      </c>
      <c r="R6981" s="4"/>
      <c r="S6981" s="4"/>
    </row>
    <row r="6982" spans="1:19" ht="21" customHeight="1" x14ac:dyDescent="0.25">
      <c r="A6982" s="14">
        <f>DATE(2012,12,31)-41</f>
        <v>41233</v>
      </c>
      <c r="B6982" s="15" t="s">
        <v>1792</v>
      </c>
      <c r="C6982" s="15" t="s">
        <v>31</v>
      </c>
      <c r="D6982" s="16">
        <v>24</v>
      </c>
      <c r="E6982" s="17">
        <v>2014.13</v>
      </c>
      <c r="F6982" s="16">
        <v>0.1</v>
      </c>
      <c r="G6982" s="15" t="s">
        <v>32</v>
      </c>
      <c r="H6982" s="18">
        <v>-794.94</v>
      </c>
      <c r="I6982" s="19">
        <v>89.83</v>
      </c>
      <c r="J6982" s="19">
        <v>35</v>
      </c>
      <c r="K6982" s="19" t="s">
        <v>69</v>
      </c>
      <c r="L6982" s="19" t="s">
        <v>70</v>
      </c>
      <c r="M6982" s="15" t="s">
        <v>2327</v>
      </c>
      <c r="N6982" s="15" t="s">
        <v>36</v>
      </c>
      <c r="O6982" s="15" t="s">
        <v>37</v>
      </c>
      <c r="P6982" s="20" t="s">
        <v>365</v>
      </c>
      <c r="Q6982" s="15" t="s">
        <v>39</v>
      </c>
      <c r="R6982" s="4"/>
      <c r="S6982" s="4"/>
    </row>
    <row r="6983" spans="1:19" ht="21" customHeight="1" x14ac:dyDescent="0.25">
      <c r="A6983" s="14">
        <f>DATE(2012,12,31)-1078</f>
        <v>40196</v>
      </c>
      <c r="B6983" s="15" t="s">
        <v>286</v>
      </c>
      <c r="C6983" s="15" t="s">
        <v>51</v>
      </c>
      <c r="D6983" s="16">
        <v>14</v>
      </c>
      <c r="E6983" s="17">
        <v>35.479999999999997</v>
      </c>
      <c r="F6983" s="16">
        <v>0.09</v>
      </c>
      <c r="G6983" s="15" t="s">
        <v>32</v>
      </c>
      <c r="H6983" s="18">
        <v>-9.19</v>
      </c>
      <c r="I6983" s="19">
        <v>2.58</v>
      </c>
      <c r="J6983" s="19">
        <v>1.3</v>
      </c>
      <c r="K6983" s="19" t="s">
        <v>69</v>
      </c>
      <c r="L6983" s="19" t="s">
        <v>70</v>
      </c>
      <c r="M6983" s="15" t="s">
        <v>2327</v>
      </c>
      <c r="N6983" s="15" t="s">
        <v>36</v>
      </c>
      <c r="O6983" s="15" t="s">
        <v>77</v>
      </c>
      <c r="P6983" s="20" t="s">
        <v>314</v>
      </c>
      <c r="Q6983" s="15" t="s">
        <v>79</v>
      </c>
      <c r="R6983" s="4"/>
      <c r="S6983" s="4"/>
    </row>
    <row r="6984" spans="1:19" ht="21" customHeight="1" x14ac:dyDescent="0.25">
      <c r="A6984" s="14">
        <f>DATE(2012,12,31)-1078</f>
        <v>40196</v>
      </c>
      <c r="B6984" s="15" t="s">
        <v>357</v>
      </c>
      <c r="C6984" s="15" t="s">
        <v>51</v>
      </c>
      <c r="D6984" s="16">
        <v>1</v>
      </c>
      <c r="E6984" s="17">
        <v>15</v>
      </c>
      <c r="F6984" s="16">
        <v>0.05</v>
      </c>
      <c r="G6984" s="15" t="s">
        <v>32</v>
      </c>
      <c r="H6984" s="18">
        <v>-11.02</v>
      </c>
      <c r="I6984" s="19">
        <v>6.84</v>
      </c>
      <c r="J6984" s="19">
        <v>8.3699999999999992</v>
      </c>
      <c r="K6984" s="19" t="s">
        <v>69</v>
      </c>
      <c r="L6984" s="19" t="s">
        <v>75</v>
      </c>
      <c r="M6984" s="15" t="s">
        <v>2284</v>
      </c>
      <c r="N6984" s="15" t="s">
        <v>36</v>
      </c>
      <c r="O6984" s="15" t="s">
        <v>47</v>
      </c>
      <c r="P6984" s="20" t="s">
        <v>299</v>
      </c>
      <c r="Q6984" s="15" t="s">
        <v>49</v>
      </c>
      <c r="R6984" s="4"/>
      <c r="S6984" s="4"/>
    </row>
    <row r="6985" spans="1:19" ht="21" customHeight="1" x14ac:dyDescent="0.25">
      <c r="A6985" s="14">
        <f>DATE(2012,12,31)-1184</f>
        <v>40090</v>
      </c>
      <c r="B6985" s="15" t="s">
        <v>357</v>
      </c>
      <c r="C6985" s="15" t="s">
        <v>85</v>
      </c>
      <c r="D6985" s="16">
        <v>17</v>
      </c>
      <c r="E6985" s="17">
        <v>103.72</v>
      </c>
      <c r="F6985" s="16">
        <v>0.02</v>
      </c>
      <c r="G6985" s="15" t="s">
        <v>32</v>
      </c>
      <c r="H6985" s="18">
        <v>-72.058999999999997</v>
      </c>
      <c r="I6985" s="19">
        <v>5.53</v>
      </c>
      <c r="J6985" s="19">
        <v>6.98</v>
      </c>
      <c r="K6985" s="19" t="s">
        <v>69</v>
      </c>
      <c r="L6985" s="19" t="s">
        <v>215</v>
      </c>
      <c r="M6985" s="15" t="s">
        <v>2322</v>
      </c>
      <c r="N6985" s="15" t="s">
        <v>36</v>
      </c>
      <c r="O6985" s="15" t="s">
        <v>170</v>
      </c>
      <c r="P6985" s="20" t="s">
        <v>1707</v>
      </c>
      <c r="Q6985" s="15" t="s">
        <v>83</v>
      </c>
      <c r="R6985" s="4"/>
      <c r="S6985" s="4"/>
    </row>
    <row r="6986" spans="1:19" ht="21" customHeight="1" x14ac:dyDescent="0.25">
      <c r="A6986" s="14">
        <f>DATE(2012,12,31)-1184</f>
        <v>40090</v>
      </c>
      <c r="B6986" s="15" t="s">
        <v>342</v>
      </c>
      <c r="C6986" s="15" t="s">
        <v>85</v>
      </c>
      <c r="D6986" s="16">
        <v>4</v>
      </c>
      <c r="E6986" s="17">
        <v>185.15</v>
      </c>
      <c r="F6986" s="16">
        <v>0.09</v>
      </c>
      <c r="G6986" s="15" t="s">
        <v>32</v>
      </c>
      <c r="H6986" s="18">
        <v>10.199999999999999</v>
      </c>
      <c r="I6986" s="19">
        <v>41.47</v>
      </c>
      <c r="J6986" s="19">
        <v>34.200000000000003</v>
      </c>
      <c r="K6986" s="19" t="s">
        <v>111</v>
      </c>
      <c r="L6986" s="19" t="s">
        <v>2301</v>
      </c>
      <c r="M6986" s="15" t="s">
        <v>2302</v>
      </c>
      <c r="N6986" s="15" t="s">
        <v>54</v>
      </c>
      <c r="O6986" s="15" t="s">
        <v>55</v>
      </c>
      <c r="P6986" s="20" t="s">
        <v>415</v>
      </c>
      <c r="Q6986" s="15" t="s">
        <v>79</v>
      </c>
      <c r="R6986" s="4"/>
      <c r="S6986" s="4"/>
    </row>
    <row r="6987" spans="1:19" ht="21" customHeight="1" x14ac:dyDescent="0.25">
      <c r="A6987" s="14">
        <f>DATE(2012,12,31)-1184</f>
        <v>40090</v>
      </c>
      <c r="B6987" s="15" t="s">
        <v>342</v>
      </c>
      <c r="C6987" s="15" t="s">
        <v>85</v>
      </c>
      <c r="D6987" s="16">
        <v>15</v>
      </c>
      <c r="E6987" s="17">
        <v>308.64</v>
      </c>
      <c r="F6987" s="16">
        <v>0.03</v>
      </c>
      <c r="G6987" s="15" t="s">
        <v>101</v>
      </c>
      <c r="H6987" s="18">
        <v>91.08</v>
      </c>
      <c r="I6987" s="19">
        <v>19.04</v>
      </c>
      <c r="J6987" s="19">
        <v>6.38</v>
      </c>
      <c r="K6987" s="19" t="s">
        <v>44</v>
      </c>
      <c r="L6987" s="19" t="s">
        <v>80</v>
      </c>
      <c r="M6987" s="15" t="s">
        <v>2297</v>
      </c>
      <c r="N6987" s="15" t="s">
        <v>54</v>
      </c>
      <c r="O6987" s="15" t="s">
        <v>55</v>
      </c>
      <c r="P6987" s="20" t="s">
        <v>1249</v>
      </c>
      <c r="Q6987" s="15" t="s">
        <v>83</v>
      </c>
      <c r="R6987" s="4"/>
      <c r="S6987" s="4"/>
    </row>
    <row r="6988" spans="1:19" ht="21" customHeight="1" x14ac:dyDescent="0.25">
      <c r="A6988" s="14">
        <f>DATE(2012,12,31)-847</f>
        <v>40427</v>
      </c>
      <c r="B6988" s="15" t="s">
        <v>643</v>
      </c>
      <c r="C6988" s="15" t="s">
        <v>43</v>
      </c>
      <c r="D6988" s="16">
        <v>50</v>
      </c>
      <c r="E6988" s="17">
        <v>5369.46</v>
      </c>
      <c r="F6988" s="16">
        <v>0</v>
      </c>
      <c r="G6988" s="15" t="s">
        <v>32</v>
      </c>
      <c r="H6988" s="18">
        <v>1370.26</v>
      </c>
      <c r="I6988" s="19">
        <v>99.99</v>
      </c>
      <c r="J6988" s="19">
        <v>19.989999999999998</v>
      </c>
      <c r="K6988" s="19" t="s">
        <v>44</v>
      </c>
      <c r="L6988" s="19" t="s">
        <v>45</v>
      </c>
      <c r="M6988" s="15" t="s">
        <v>2271</v>
      </c>
      <c r="N6988" s="15" t="s">
        <v>64</v>
      </c>
      <c r="O6988" s="15" t="s">
        <v>122</v>
      </c>
      <c r="P6988" s="20" t="s">
        <v>1022</v>
      </c>
      <c r="Q6988" s="15" t="s">
        <v>83</v>
      </c>
      <c r="R6988" s="4"/>
      <c r="S6988" s="4"/>
    </row>
    <row r="6989" spans="1:19" ht="21" customHeight="1" x14ac:dyDescent="0.25">
      <c r="A6989" s="14">
        <f>DATE(2012,12,31)-847</f>
        <v>40427</v>
      </c>
      <c r="B6989" s="15" t="s">
        <v>2167</v>
      </c>
      <c r="C6989" s="15" t="s">
        <v>43</v>
      </c>
      <c r="D6989" s="16">
        <v>41</v>
      </c>
      <c r="E6989" s="17">
        <v>1439.96</v>
      </c>
      <c r="F6989" s="16">
        <v>0.02</v>
      </c>
      <c r="G6989" s="15" t="s">
        <v>32</v>
      </c>
      <c r="H6989" s="18">
        <v>182.46</v>
      </c>
      <c r="I6989" s="19">
        <v>33.29</v>
      </c>
      <c r="J6989" s="19">
        <v>8.74</v>
      </c>
      <c r="K6989" s="19" t="s">
        <v>124</v>
      </c>
      <c r="L6989" s="19" t="s">
        <v>125</v>
      </c>
      <c r="M6989" s="15" t="s">
        <v>2325</v>
      </c>
      <c r="N6989" s="15" t="s">
        <v>36</v>
      </c>
      <c r="O6989" s="15" t="s">
        <v>37</v>
      </c>
      <c r="P6989" s="20" t="s">
        <v>1570</v>
      </c>
      <c r="Q6989" s="15" t="s">
        <v>83</v>
      </c>
      <c r="R6989" s="4"/>
      <c r="S6989" s="4"/>
    </row>
    <row r="6990" spans="1:19" ht="21" customHeight="1" x14ac:dyDescent="0.25">
      <c r="A6990" s="14">
        <f>DATE(2012,12,31)-74</f>
        <v>41200</v>
      </c>
      <c r="B6990" s="15" t="s">
        <v>2167</v>
      </c>
      <c r="C6990" s="15" t="s">
        <v>85</v>
      </c>
      <c r="D6990" s="16">
        <v>1</v>
      </c>
      <c r="E6990" s="17">
        <v>13.45</v>
      </c>
      <c r="F6990" s="16">
        <v>0</v>
      </c>
      <c r="G6990" s="15" t="s">
        <v>32</v>
      </c>
      <c r="H6990" s="18">
        <v>-8.1995000000000005</v>
      </c>
      <c r="I6990" s="19">
        <v>5.4</v>
      </c>
      <c r="J6990" s="19">
        <v>7.78</v>
      </c>
      <c r="K6990" s="19" t="s">
        <v>33</v>
      </c>
      <c r="L6990" s="19" t="s">
        <v>128</v>
      </c>
      <c r="M6990" s="15" t="s">
        <v>129</v>
      </c>
      <c r="N6990" s="15" t="s">
        <v>36</v>
      </c>
      <c r="O6990" s="15" t="s">
        <v>170</v>
      </c>
      <c r="P6990" s="20" t="s">
        <v>951</v>
      </c>
      <c r="Q6990" s="15" t="s">
        <v>83</v>
      </c>
      <c r="R6990" s="4"/>
      <c r="S6990" s="4"/>
    </row>
    <row r="6991" spans="1:19" ht="21" customHeight="1" x14ac:dyDescent="0.25">
      <c r="A6991" s="14">
        <f>DATE(2012,12,31)-74</f>
        <v>41200</v>
      </c>
      <c r="B6991" s="15" t="s">
        <v>2167</v>
      </c>
      <c r="C6991" s="15" t="s">
        <v>85</v>
      </c>
      <c r="D6991" s="16">
        <v>11</v>
      </c>
      <c r="E6991" s="17">
        <v>75.790000000000006</v>
      </c>
      <c r="F6991" s="16">
        <v>0.09</v>
      </c>
      <c r="G6991" s="15" t="s">
        <v>32</v>
      </c>
      <c r="H6991" s="18">
        <v>-18.77</v>
      </c>
      <c r="I6991" s="19">
        <v>6.68</v>
      </c>
      <c r="J6991" s="19">
        <v>4.91</v>
      </c>
      <c r="K6991" s="19" t="s">
        <v>33</v>
      </c>
      <c r="L6991" s="19" t="s">
        <v>93</v>
      </c>
      <c r="M6991" s="15" t="s">
        <v>94</v>
      </c>
      <c r="N6991" s="15" t="s">
        <v>36</v>
      </c>
      <c r="O6991" s="15" t="s">
        <v>117</v>
      </c>
      <c r="P6991" s="20" t="s">
        <v>1706</v>
      </c>
      <c r="Q6991" s="15" t="s">
        <v>83</v>
      </c>
      <c r="R6991" s="4"/>
      <c r="S6991" s="4"/>
    </row>
    <row r="6992" spans="1:19" ht="21" customHeight="1" x14ac:dyDescent="0.25">
      <c r="A6992" s="14">
        <f>DATE(2012,12,31)-1154</f>
        <v>40120</v>
      </c>
      <c r="B6992" s="15" t="s">
        <v>1058</v>
      </c>
      <c r="C6992" s="15" t="s">
        <v>43</v>
      </c>
      <c r="D6992" s="16">
        <v>7</v>
      </c>
      <c r="E6992" s="17">
        <v>538.51</v>
      </c>
      <c r="F6992" s="16">
        <v>0</v>
      </c>
      <c r="G6992" s="15" t="s">
        <v>58</v>
      </c>
      <c r="H6992" s="18">
        <v>-88.75</v>
      </c>
      <c r="I6992" s="19">
        <v>70.98</v>
      </c>
      <c r="J6992" s="19">
        <v>26.74</v>
      </c>
      <c r="K6992" s="19" t="s">
        <v>33</v>
      </c>
      <c r="L6992" s="19" t="s">
        <v>34</v>
      </c>
      <c r="M6992" s="15" t="s">
        <v>2315</v>
      </c>
      <c r="N6992" s="15" t="s">
        <v>54</v>
      </c>
      <c r="O6992" s="15" t="s">
        <v>134</v>
      </c>
      <c r="P6992" s="20" t="s">
        <v>56</v>
      </c>
      <c r="Q6992" s="15" t="s">
        <v>63</v>
      </c>
      <c r="R6992" s="4"/>
      <c r="S6992" s="4"/>
    </row>
    <row r="6993" spans="1:19" ht="21" customHeight="1" x14ac:dyDescent="0.25">
      <c r="A6993" s="14">
        <f>DATE(2012,12,31)-633</f>
        <v>40641</v>
      </c>
      <c r="B6993" s="15" t="s">
        <v>2237</v>
      </c>
      <c r="C6993" s="15" t="s">
        <v>43</v>
      </c>
      <c r="D6993" s="16">
        <v>33</v>
      </c>
      <c r="E6993" s="17">
        <v>13671.94</v>
      </c>
      <c r="F6993" s="16">
        <v>0.01</v>
      </c>
      <c r="G6993" s="15" t="s">
        <v>58</v>
      </c>
      <c r="H6993" s="18">
        <v>5711.96</v>
      </c>
      <c r="I6993" s="19">
        <v>400.97</v>
      </c>
      <c r="J6993" s="19">
        <v>48.26</v>
      </c>
      <c r="K6993" s="19" t="s">
        <v>69</v>
      </c>
      <c r="L6993" s="19" t="s">
        <v>70</v>
      </c>
      <c r="M6993" s="15" t="s">
        <v>2327</v>
      </c>
      <c r="N6993" s="15" t="s">
        <v>64</v>
      </c>
      <c r="O6993" s="15" t="s">
        <v>122</v>
      </c>
      <c r="P6993" s="20" t="s">
        <v>344</v>
      </c>
      <c r="Q6993" s="15" t="s">
        <v>63</v>
      </c>
      <c r="R6993" s="4"/>
      <c r="S6993" s="4"/>
    </row>
    <row r="6994" spans="1:19" ht="21" customHeight="1" x14ac:dyDescent="0.25">
      <c r="A6994" s="14">
        <f>DATE(2012,12,31)-961</f>
        <v>40313</v>
      </c>
      <c r="B6994" s="15" t="s">
        <v>2237</v>
      </c>
      <c r="C6994" s="15" t="s">
        <v>43</v>
      </c>
      <c r="D6994" s="16">
        <v>17</v>
      </c>
      <c r="E6994" s="17">
        <v>58.86</v>
      </c>
      <c r="F6994" s="16">
        <v>0.03</v>
      </c>
      <c r="G6994" s="15" t="s">
        <v>32</v>
      </c>
      <c r="H6994" s="18">
        <v>6.96</v>
      </c>
      <c r="I6994" s="19">
        <v>3.29</v>
      </c>
      <c r="J6994" s="19">
        <v>1.35</v>
      </c>
      <c r="K6994" s="19" t="s">
        <v>44</v>
      </c>
      <c r="L6994" s="19" t="s">
        <v>89</v>
      </c>
      <c r="M6994" s="15" t="s">
        <v>2326</v>
      </c>
      <c r="N6994" s="15" t="s">
        <v>36</v>
      </c>
      <c r="O6994" s="15" t="s">
        <v>105</v>
      </c>
      <c r="P6994" s="20" t="s">
        <v>745</v>
      </c>
      <c r="Q6994" s="15" t="s">
        <v>79</v>
      </c>
      <c r="R6994" s="4"/>
      <c r="S6994" s="4"/>
    </row>
    <row r="6995" spans="1:19" ht="21" customHeight="1" x14ac:dyDescent="0.25">
      <c r="A6995" s="14">
        <f>DATE(2012,12,31)-577</f>
        <v>40697</v>
      </c>
      <c r="B6995" s="15" t="s">
        <v>1549</v>
      </c>
      <c r="C6995" s="15" t="s">
        <v>85</v>
      </c>
      <c r="D6995" s="16">
        <v>17</v>
      </c>
      <c r="E6995" s="17">
        <v>47.44</v>
      </c>
      <c r="F6995" s="16">
        <v>0.09</v>
      </c>
      <c r="G6995" s="15" t="s">
        <v>32</v>
      </c>
      <c r="H6995" s="18">
        <v>14.49</v>
      </c>
      <c r="I6995" s="19">
        <v>2.89</v>
      </c>
      <c r="J6995" s="19">
        <v>0.5</v>
      </c>
      <c r="K6995" s="19" t="s">
        <v>124</v>
      </c>
      <c r="L6995" s="19" t="s">
        <v>160</v>
      </c>
      <c r="M6995" s="15" t="s">
        <v>2281</v>
      </c>
      <c r="N6995" s="15" t="s">
        <v>36</v>
      </c>
      <c r="O6995" s="15" t="s">
        <v>114</v>
      </c>
      <c r="P6995" s="20" t="s">
        <v>312</v>
      </c>
      <c r="Q6995" s="15" t="s">
        <v>83</v>
      </c>
      <c r="R6995" s="4"/>
      <c r="S6995" s="4"/>
    </row>
    <row r="6996" spans="1:19" ht="21" customHeight="1" x14ac:dyDescent="0.25">
      <c r="A6996" s="14">
        <f>DATE(2012,12,31)-1019</f>
        <v>40255</v>
      </c>
      <c r="B6996" s="15" t="s">
        <v>635</v>
      </c>
      <c r="C6996" s="15" t="s">
        <v>43</v>
      </c>
      <c r="D6996" s="16">
        <v>19</v>
      </c>
      <c r="E6996" s="17">
        <v>337.38</v>
      </c>
      <c r="F6996" s="16">
        <v>0</v>
      </c>
      <c r="G6996" s="15" t="s">
        <v>58</v>
      </c>
      <c r="H6996" s="18">
        <v>-409.79</v>
      </c>
      <c r="I6996" s="19">
        <v>15.23</v>
      </c>
      <c r="J6996" s="19">
        <v>27.75</v>
      </c>
      <c r="K6996" s="19" t="s">
        <v>124</v>
      </c>
      <c r="L6996" s="19" t="s">
        <v>158</v>
      </c>
      <c r="M6996" s="15" t="s">
        <v>158</v>
      </c>
      <c r="N6996" s="15" t="s">
        <v>54</v>
      </c>
      <c r="O6996" s="15" t="s">
        <v>61</v>
      </c>
      <c r="P6996" s="20" t="s">
        <v>611</v>
      </c>
      <c r="Q6996" s="15" t="s">
        <v>63</v>
      </c>
      <c r="R6996" s="4"/>
      <c r="S6996" s="4"/>
    </row>
    <row r="6997" spans="1:19" ht="21" customHeight="1" x14ac:dyDescent="0.25">
      <c r="A6997" s="14">
        <f>DATE(2012,12,31)-207</f>
        <v>41067</v>
      </c>
      <c r="B6997" s="15" t="s">
        <v>635</v>
      </c>
      <c r="C6997" s="15" t="s">
        <v>85</v>
      </c>
      <c r="D6997" s="16">
        <v>36</v>
      </c>
      <c r="E6997" s="17">
        <v>4169.93</v>
      </c>
      <c r="F6997" s="16">
        <v>0.1</v>
      </c>
      <c r="G6997" s="15" t="s">
        <v>101</v>
      </c>
      <c r="H6997" s="18">
        <v>1765.5350000000001</v>
      </c>
      <c r="I6997" s="19">
        <v>120.98</v>
      </c>
      <c r="J6997" s="19">
        <v>9.07</v>
      </c>
      <c r="K6997" s="19" t="s">
        <v>124</v>
      </c>
      <c r="L6997" s="19" t="s">
        <v>168</v>
      </c>
      <c r="M6997" s="15" t="s">
        <v>2324</v>
      </c>
      <c r="N6997" s="15" t="s">
        <v>36</v>
      </c>
      <c r="O6997" s="15" t="s">
        <v>170</v>
      </c>
      <c r="P6997" s="20" t="s">
        <v>729</v>
      </c>
      <c r="Q6997" s="15" t="s">
        <v>83</v>
      </c>
      <c r="R6997" s="4"/>
      <c r="S6997" s="4"/>
    </row>
    <row r="6998" spans="1:19" ht="21" customHeight="1" x14ac:dyDescent="0.25">
      <c r="A6998" s="14">
        <f>DATE(2012,12,31)-674</f>
        <v>40600</v>
      </c>
      <c r="B6998" s="15" t="s">
        <v>1364</v>
      </c>
      <c r="C6998" s="15" t="s">
        <v>51</v>
      </c>
      <c r="D6998" s="16">
        <v>18</v>
      </c>
      <c r="E6998" s="17">
        <v>325.58</v>
      </c>
      <c r="F6998" s="16">
        <v>0.06</v>
      </c>
      <c r="G6998" s="15" t="s">
        <v>32</v>
      </c>
      <c r="H6998" s="18">
        <v>152.28</v>
      </c>
      <c r="I6998" s="19">
        <v>18.84</v>
      </c>
      <c r="J6998" s="19">
        <v>3.62</v>
      </c>
      <c r="K6998" s="19" t="s">
        <v>124</v>
      </c>
      <c r="L6998" s="19" t="s">
        <v>168</v>
      </c>
      <c r="M6998" s="15" t="s">
        <v>2324</v>
      </c>
      <c r="N6998" s="15" t="s">
        <v>54</v>
      </c>
      <c r="O6998" s="15" t="s">
        <v>55</v>
      </c>
      <c r="P6998" s="20" t="s">
        <v>510</v>
      </c>
      <c r="Q6998" s="15" t="s">
        <v>79</v>
      </c>
      <c r="R6998" s="4"/>
      <c r="S6998" s="4"/>
    </row>
    <row r="6999" spans="1:19" ht="21" customHeight="1" x14ac:dyDescent="0.25">
      <c r="A6999" s="14">
        <f>DATE(2012,12,31)-674</f>
        <v>40600</v>
      </c>
      <c r="B6999" s="15" t="s">
        <v>418</v>
      </c>
      <c r="C6999" s="15" t="s">
        <v>51</v>
      </c>
      <c r="D6999" s="16">
        <v>9</v>
      </c>
      <c r="E6999" s="17">
        <v>458.8</v>
      </c>
      <c r="F6999" s="16">
        <v>0</v>
      </c>
      <c r="G6999" s="15" t="s">
        <v>32</v>
      </c>
      <c r="H6999" s="18">
        <v>305.87</v>
      </c>
      <c r="I6999" s="19">
        <v>46.94</v>
      </c>
      <c r="J6999" s="19">
        <v>6.77</v>
      </c>
      <c r="K6999" s="19" t="s">
        <v>44</v>
      </c>
      <c r="L6999" s="19" t="s">
        <v>89</v>
      </c>
      <c r="M6999" s="15" t="s">
        <v>2326</v>
      </c>
      <c r="N6999" s="15" t="s">
        <v>54</v>
      </c>
      <c r="O6999" s="15" t="s">
        <v>55</v>
      </c>
      <c r="P6999" s="20" t="s">
        <v>1101</v>
      </c>
      <c r="Q6999" s="15" t="s">
        <v>83</v>
      </c>
      <c r="R6999" s="4"/>
      <c r="S6999" s="4"/>
    </row>
    <row r="7000" spans="1:19" ht="21" customHeight="1" x14ac:dyDescent="0.25">
      <c r="A7000" s="14">
        <f>DATE(2012,12,31)-875</f>
        <v>40399</v>
      </c>
      <c r="B7000" s="15" t="s">
        <v>418</v>
      </c>
      <c r="C7000" s="15" t="s">
        <v>43</v>
      </c>
      <c r="D7000" s="16">
        <v>32</v>
      </c>
      <c r="E7000" s="17">
        <v>2288.6419999999998</v>
      </c>
      <c r="F7000" s="16">
        <v>0.05</v>
      </c>
      <c r="G7000" s="15" t="s">
        <v>32</v>
      </c>
      <c r="H7000" s="18">
        <v>519.58800000000008</v>
      </c>
      <c r="I7000" s="19">
        <v>85.99</v>
      </c>
      <c r="J7000" s="19">
        <v>2.79</v>
      </c>
      <c r="K7000" s="19" t="s">
        <v>44</v>
      </c>
      <c r="L7000" s="19" t="s">
        <v>52</v>
      </c>
      <c r="M7000" s="15" t="s">
        <v>2320</v>
      </c>
      <c r="N7000" s="15" t="s">
        <v>64</v>
      </c>
      <c r="O7000" s="15" t="s">
        <v>65</v>
      </c>
      <c r="P7000" s="20" t="s">
        <v>1494</v>
      </c>
      <c r="Q7000" s="15" t="s">
        <v>83</v>
      </c>
      <c r="R7000" s="4"/>
      <c r="S7000" s="4"/>
    </row>
    <row r="7001" spans="1:19" ht="21" customHeight="1" x14ac:dyDescent="0.25">
      <c r="A7001" s="14">
        <f>DATE(2012,12,31)-1180</f>
        <v>40094</v>
      </c>
      <c r="B7001" s="15" t="s">
        <v>418</v>
      </c>
      <c r="C7001" s="15" t="s">
        <v>85</v>
      </c>
      <c r="D7001" s="16">
        <v>42</v>
      </c>
      <c r="E7001" s="17">
        <v>1504.01</v>
      </c>
      <c r="F7001" s="16">
        <v>0.05</v>
      </c>
      <c r="G7001" s="15" t="s">
        <v>32</v>
      </c>
      <c r="H7001" s="18">
        <v>211.04</v>
      </c>
      <c r="I7001" s="19">
        <v>35.89</v>
      </c>
      <c r="J7001" s="19">
        <v>14.72</v>
      </c>
      <c r="K7001" s="19" t="s">
        <v>44</v>
      </c>
      <c r="L7001" s="19" t="s">
        <v>236</v>
      </c>
      <c r="M7001" s="15" t="s">
        <v>2296</v>
      </c>
      <c r="N7001" s="15" t="s">
        <v>36</v>
      </c>
      <c r="O7001" s="15" t="s">
        <v>189</v>
      </c>
      <c r="P7001" s="20" t="s">
        <v>615</v>
      </c>
      <c r="Q7001" s="15" t="s">
        <v>83</v>
      </c>
      <c r="R7001" s="4"/>
      <c r="S7001" s="4"/>
    </row>
    <row r="7002" spans="1:19" ht="21" customHeight="1" x14ac:dyDescent="0.25">
      <c r="A7002" s="14">
        <f>DATE(2012,12,31)-1180</f>
        <v>40094</v>
      </c>
      <c r="B7002" s="15" t="s">
        <v>104</v>
      </c>
      <c r="C7002" s="15" t="s">
        <v>85</v>
      </c>
      <c r="D7002" s="16">
        <v>13</v>
      </c>
      <c r="E7002" s="17">
        <v>163.62</v>
      </c>
      <c r="F7002" s="16">
        <v>0</v>
      </c>
      <c r="G7002" s="15" t="s">
        <v>32</v>
      </c>
      <c r="H7002" s="18">
        <v>16.34</v>
      </c>
      <c r="I7002" s="19">
        <v>11.48</v>
      </c>
      <c r="J7002" s="19">
        <v>5.43</v>
      </c>
      <c r="K7002" s="19" t="s">
        <v>44</v>
      </c>
      <c r="L7002" s="19" t="s">
        <v>52</v>
      </c>
      <c r="M7002" s="15" t="s">
        <v>2320</v>
      </c>
      <c r="N7002" s="15" t="s">
        <v>36</v>
      </c>
      <c r="O7002" s="15" t="s">
        <v>117</v>
      </c>
      <c r="P7002" s="20" t="s">
        <v>1472</v>
      </c>
      <c r="Q7002" s="15" t="s">
        <v>83</v>
      </c>
      <c r="R7002" s="4"/>
      <c r="S7002" s="4"/>
    </row>
    <row r="7003" spans="1:19" ht="21" customHeight="1" x14ac:dyDescent="0.25">
      <c r="A7003" s="14">
        <f>DATE(2012,12,31)-334</f>
        <v>40940</v>
      </c>
      <c r="B7003" s="15" t="s">
        <v>104</v>
      </c>
      <c r="C7003" s="15" t="s">
        <v>85</v>
      </c>
      <c r="D7003" s="16">
        <v>9</v>
      </c>
      <c r="E7003" s="17">
        <v>17965.45</v>
      </c>
      <c r="F7003" s="16">
        <v>0</v>
      </c>
      <c r="G7003" s="15" t="s">
        <v>32</v>
      </c>
      <c r="H7003" s="18">
        <v>3459.43</v>
      </c>
      <c r="I7003" s="19">
        <v>1938.02</v>
      </c>
      <c r="J7003" s="19">
        <v>13.99</v>
      </c>
      <c r="K7003" s="19" t="s">
        <v>44</v>
      </c>
      <c r="L7003" s="19" t="s">
        <v>89</v>
      </c>
      <c r="M7003" s="15" t="s">
        <v>2326</v>
      </c>
      <c r="N7003" s="15" t="s">
        <v>64</v>
      </c>
      <c r="O7003" s="15" t="s">
        <v>122</v>
      </c>
      <c r="P7003" s="20" t="s">
        <v>1001</v>
      </c>
      <c r="Q7003" s="15" t="s">
        <v>57</v>
      </c>
      <c r="R7003" s="4"/>
      <c r="S7003" s="4"/>
    </row>
    <row r="7004" spans="1:19" ht="21" customHeight="1" x14ac:dyDescent="0.25">
      <c r="A7004" s="14">
        <f>DATE(2012,12,31)-215</f>
        <v>41059</v>
      </c>
      <c r="B7004" s="15" t="s">
        <v>104</v>
      </c>
      <c r="C7004" s="15" t="s">
        <v>51</v>
      </c>
      <c r="D7004" s="16">
        <v>2</v>
      </c>
      <c r="E7004" s="17">
        <v>289.73</v>
      </c>
      <c r="F7004" s="16">
        <v>0.04</v>
      </c>
      <c r="G7004" s="15" t="s">
        <v>58</v>
      </c>
      <c r="H7004" s="18">
        <v>-246.21</v>
      </c>
      <c r="I7004" s="19">
        <v>135.99</v>
      </c>
      <c r="J7004" s="19">
        <v>28.63</v>
      </c>
      <c r="K7004" s="19" t="s">
        <v>33</v>
      </c>
      <c r="L7004" s="19" t="s">
        <v>93</v>
      </c>
      <c r="M7004" s="15" t="s">
        <v>94</v>
      </c>
      <c r="N7004" s="15" t="s">
        <v>54</v>
      </c>
      <c r="O7004" s="15" t="s">
        <v>252</v>
      </c>
      <c r="P7004" s="20" t="s">
        <v>2311</v>
      </c>
      <c r="Q7004" s="15" t="s">
        <v>181</v>
      </c>
      <c r="R7004" s="4"/>
      <c r="S7004" s="4"/>
    </row>
    <row r="7005" spans="1:19" ht="21" customHeight="1" x14ac:dyDescent="0.25">
      <c r="A7005" s="14">
        <f>DATE(2012,12,31)-952</f>
        <v>40322</v>
      </c>
      <c r="B7005" s="15" t="s">
        <v>1531</v>
      </c>
      <c r="C7005" s="15" t="s">
        <v>51</v>
      </c>
      <c r="D7005" s="16">
        <v>20</v>
      </c>
      <c r="E7005" s="17">
        <v>116.55</v>
      </c>
      <c r="F7005" s="16">
        <v>0.09</v>
      </c>
      <c r="G7005" s="15" t="s">
        <v>101</v>
      </c>
      <c r="H7005" s="18">
        <v>-39.67</v>
      </c>
      <c r="I7005" s="19">
        <v>5.58</v>
      </c>
      <c r="J7005" s="19">
        <v>5.3</v>
      </c>
      <c r="K7005" s="19" t="s">
        <v>33</v>
      </c>
      <c r="L7005" s="19" t="s">
        <v>128</v>
      </c>
      <c r="M7005" s="15" t="s">
        <v>129</v>
      </c>
      <c r="N7005" s="15" t="s">
        <v>36</v>
      </c>
      <c r="O7005" s="15" t="s">
        <v>189</v>
      </c>
      <c r="P7005" s="20" t="s">
        <v>717</v>
      </c>
      <c r="Q7005" s="15" t="s">
        <v>83</v>
      </c>
      <c r="R7005" s="4"/>
      <c r="S7005" s="4"/>
    </row>
    <row r="7006" spans="1:19" ht="21" customHeight="1" x14ac:dyDescent="0.25">
      <c r="A7006" s="14">
        <f>DATE(2012,12,31)-709</f>
        <v>40565</v>
      </c>
      <c r="B7006" s="15" t="s">
        <v>1500</v>
      </c>
      <c r="C7006" s="15" t="s">
        <v>85</v>
      </c>
      <c r="D7006" s="16">
        <v>4</v>
      </c>
      <c r="E7006" s="17">
        <v>38.76</v>
      </c>
      <c r="F7006" s="16">
        <v>0.1</v>
      </c>
      <c r="G7006" s="15" t="s">
        <v>101</v>
      </c>
      <c r="H7006" s="18">
        <v>-12.1325</v>
      </c>
      <c r="I7006" s="19">
        <v>6.23</v>
      </c>
      <c r="J7006" s="19">
        <v>6.97</v>
      </c>
      <c r="K7006" s="19" t="s">
        <v>97</v>
      </c>
      <c r="L7006" s="19" t="s">
        <v>98</v>
      </c>
      <c r="M7006" s="15" t="s">
        <v>2328</v>
      </c>
      <c r="N7006" s="15" t="s">
        <v>36</v>
      </c>
      <c r="O7006" s="15" t="s">
        <v>170</v>
      </c>
      <c r="P7006" s="20" t="s">
        <v>1160</v>
      </c>
      <c r="Q7006" s="15" t="s">
        <v>83</v>
      </c>
      <c r="R7006" s="4"/>
      <c r="S7006" s="4"/>
    </row>
    <row r="7007" spans="1:19" ht="21" customHeight="1" x14ac:dyDescent="0.25">
      <c r="A7007" s="14">
        <f>DATE(2012,12,31)-843</f>
        <v>40431</v>
      </c>
      <c r="B7007" s="15" t="s">
        <v>390</v>
      </c>
      <c r="C7007" s="15" t="s">
        <v>51</v>
      </c>
      <c r="D7007" s="16">
        <v>34</v>
      </c>
      <c r="E7007" s="17">
        <v>1863.02</v>
      </c>
      <c r="F7007" s="16">
        <v>0.03</v>
      </c>
      <c r="G7007" s="15" t="s">
        <v>101</v>
      </c>
      <c r="H7007" s="18">
        <v>823.26</v>
      </c>
      <c r="I7007" s="19">
        <v>55.48</v>
      </c>
      <c r="J7007" s="19">
        <v>6.79</v>
      </c>
      <c r="K7007" s="19" t="s">
        <v>124</v>
      </c>
      <c r="L7007" s="19" t="s">
        <v>160</v>
      </c>
      <c r="M7007" s="15" t="s">
        <v>2281</v>
      </c>
      <c r="N7007" s="15" t="s">
        <v>36</v>
      </c>
      <c r="O7007" s="15" t="s">
        <v>117</v>
      </c>
      <c r="P7007" s="20" t="s">
        <v>1595</v>
      </c>
      <c r="Q7007" s="15" t="s">
        <v>83</v>
      </c>
      <c r="R7007" s="4"/>
      <c r="S7007" s="4"/>
    </row>
    <row r="7008" spans="1:19" ht="21" customHeight="1" x14ac:dyDescent="0.25">
      <c r="A7008" s="14">
        <f>DATE(2012,12,31)-843</f>
        <v>40431</v>
      </c>
      <c r="B7008" s="15" t="s">
        <v>1658</v>
      </c>
      <c r="C7008" s="15" t="s">
        <v>51</v>
      </c>
      <c r="D7008" s="16">
        <v>2</v>
      </c>
      <c r="E7008" s="17">
        <v>53.3</v>
      </c>
      <c r="F7008" s="16">
        <v>0</v>
      </c>
      <c r="G7008" s="15" t="s">
        <v>32</v>
      </c>
      <c r="H7008" s="18">
        <v>-46.2</v>
      </c>
      <c r="I7008" s="19">
        <v>20.89</v>
      </c>
      <c r="J7008" s="19">
        <v>11.52</v>
      </c>
      <c r="K7008" s="19" t="s">
        <v>124</v>
      </c>
      <c r="L7008" s="19" t="s">
        <v>158</v>
      </c>
      <c r="M7008" s="15" t="s">
        <v>158</v>
      </c>
      <c r="N7008" s="15" t="s">
        <v>36</v>
      </c>
      <c r="O7008" s="15" t="s">
        <v>37</v>
      </c>
      <c r="P7008" s="20" t="s">
        <v>241</v>
      </c>
      <c r="Q7008" s="15" t="s">
        <v>83</v>
      </c>
      <c r="R7008" s="4"/>
      <c r="S7008" s="4"/>
    </row>
    <row r="7009" spans="1:19" ht="21" customHeight="1" x14ac:dyDescent="0.25">
      <c r="A7009" s="14">
        <f>DATE(2012,12,31)-896</f>
        <v>40378</v>
      </c>
      <c r="B7009" s="15" t="s">
        <v>1658</v>
      </c>
      <c r="C7009" s="15" t="s">
        <v>31</v>
      </c>
      <c r="D7009" s="16">
        <v>47</v>
      </c>
      <c r="E7009" s="17">
        <v>178.51</v>
      </c>
      <c r="F7009" s="16">
        <v>0</v>
      </c>
      <c r="G7009" s="15" t="s">
        <v>32</v>
      </c>
      <c r="H7009" s="18">
        <v>82.3</v>
      </c>
      <c r="I7009" s="19">
        <v>3.75</v>
      </c>
      <c r="J7009" s="19">
        <v>0.5</v>
      </c>
      <c r="K7009" s="19" t="s">
        <v>124</v>
      </c>
      <c r="L7009" s="19" t="s">
        <v>158</v>
      </c>
      <c r="M7009" s="15" t="s">
        <v>158</v>
      </c>
      <c r="N7009" s="15" t="s">
        <v>36</v>
      </c>
      <c r="O7009" s="15" t="s">
        <v>114</v>
      </c>
      <c r="P7009" s="20" t="s">
        <v>1770</v>
      </c>
      <c r="Q7009" s="15" t="s">
        <v>83</v>
      </c>
      <c r="R7009" s="4"/>
      <c r="S7009" s="4"/>
    </row>
    <row r="7010" spans="1:19" ht="21" customHeight="1" x14ac:dyDescent="0.25">
      <c r="A7010" s="14">
        <f>DATE(2012,12,31)-896</f>
        <v>40378</v>
      </c>
      <c r="B7010" s="15" t="s">
        <v>1185</v>
      </c>
      <c r="C7010" s="15" t="s">
        <v>31</v>
      </c>
      <c r="D7010" s="16">
        <v>15</v>
      </c>
      <c r="E7010" s="17">
        <v>31.32</v>
      </c>
      <c r="F7010" s="16">
        <v>0</v>
      </c>
      <c r="G7010" s="15" t="s">
        <v>32</v>
      </c>
      <c r="H7010" s="18">
        <v>-30.26</v>
      </c>
      <c r="I7010" s="19">
        <v>1.86</v>
      </c>
      <c r="J7010" s="19">
        <v>2.58</v>
      </c>
      <c r="K7010" s="19" t="s">
        <v>33</v>
      </c>
      <c r="L7010" s="19" t="s">
        <v>93</v>
      </c>
      <c r="M7010" s="15" t="s">
        <v>94</v>
      </c>
      <c r="N7010" s="15" t="s">
        <v>36</v>
      </c>
      <c r="O7010" s="15" t="s">
        <v>105</v>
      </c>
      <c r="P7010" s="20" t="s">
        <v>1061</v>
      </c>
      <c r="Q7010" s="15" t="s">
        <v>79</v>
      </c>
      <c r="R7010" s="4"/>
      <c r="S7010" s="4"/>
    </row>
    <row r="7011" spans="1:19" ht="21" customHeight="1" x14ac:dyDescent="0.25">
      <c r="A7011" s="14">
        <f>DATE(2012,12,31)-896</f>
        <v>40378</v>
      </c>
      <c r="B7011" s="15" t="s">
        <v>1185</v>
      </c>
      <c r="C7011" s="15" t="s">
        <v>43</v>
      </c>
      <c r="D7011" s="16">
        <v>8</v>
      </c>
      <c r="E7011" s="17">
        <v>1391.7644999999998</v>
      </c>
      <c r="F7011" s="16">
        <v>0.08</v>
      </c>
      <c r="G7011" s="15" t="s">
        <v>32</v>
      </c>
      <c r="H7011" s="18">
        <v>-426.07399999999996</v>
      </c>
      <c r="I7011" s="19">
        <v>205.99</v>
      </c>
      <c r="J7011" s="19">
        <v>8.99</v>
      </c>
      <c r="K7011" s="19" t="s">
        <v>33</v>
      </c>
      <c r="L7011" s="19" t="s">
        <v>93</v>
      </c>
      <c r="M7011" s="15" t="s">
        <v>94</v>
      </c>
      <c r="N7011" s="15" t="s">
        <v>64</v>
      </c>
      <c r="O7011" s="15" t="s">
        <v>65</v>
      </c>
      <c r="P7011" s="20" t="s">
        <v>1182</v>
      </c>
      <c r="Q7011" s="15" t="s">
        <v>83</v>
      </c>
      <c r="R7011" s="4"/>
      <c r="S7011" s="4"/>
    </row>
    <row r="7012" spans="1:19" ht="21" customHeight="1" x14ac:dyDescent="0.25">
      <c r="A7012" s="14">
        <f>DATE(2012,12,31)-866</f>
        <v>40408</v>
      </c>
      <c r="B7012" s="15" t="s">
        <v>367</v>
      </c>
      <c r="C7012" s="15" t="s">
        <v>85</v>
      </c>
      <c r="D7012" s="16">
        <v>14</v>
      </c>
      <c r="E7012" s="17">
        <v>102.04</v>
      </c>
      <c r="F7012" s="16">
        <v>0.05</v>
      </c>
      <c r="G7012" s="15" t="s">
        <v>101</v>
      </c>
      <c r="H7012" s="18">
        <v>-47.67</v>
      </c>
      <c r="I7012" s="19">
        <v>6.48</v>
      </c>
      <c r="J7012" s="19">
        <v>7.37</v>
      </c>
      <c r="K7012" s="19" t="s">
        <v>33</v>
      </c>
      <c r="L7012" s="19" t="s">
        <v>59</v>
      </c>
      <c r="M7012" s="15" t="s">
        <v>2269</v>
      </c>
      <c r="N7012" s="15" t="s">
        <v>36</v>
      </c>
      <c r="O7012" s="15" t="s">
        <v>117</v>
      </c>
      <c r="P7012" s="20" t="s">
        <v>1486</v>
      </c>
      <c r="Q7012" s="15" t="s">
        <v>83</v>
      </c>
      <c r="R7012" s="4"/>
      <c r="S7012" s="4"/>
    </row>
    <row r="7013" spans="1:19" ht="21" customHeight="1" x14ac:dyDescent="0.25">
      <c r="A7013" s="14">
        <f>DATE(2012,12,31)-1122</f>
        <v>40152</v>
      </c>
      <c r="B7013" s="15" t="s">
        <v>367</v>
      </c>
      <c r="C7013" s="15" t="s">
        <v>85</v>
      </c>
      <c r="D7013" s="16">
        <v>5</v>
      </c>
      <c r="E7013" s="17">
        <v>9704.3700000000008</v>
      </c>
      <c r="F7013" s="16">
        <v>0.03</v>
      </c>
      <c r="G7013" s="15" t="s">
        <v>101</v>
      </c>
      <c r="H7013" s="18">
        <v>-1565.913</v>
      </c>
      <c r="I7013" s="19">
        <v>1938.02</v>
      </c>
      <c r="J7013" s="19">
        <v>13.99</v>
      </c>
      <c r="K7013" s="19" t="s">
        <v>33</v>
      </c>
      <c r="L7013" s="19" t="s">
        <v>59</v>
      </c>
      <c r="M7013" s="15" t="s">
        <v>2269</v>
      </c>
      <c r="N7013" s="15" t="s">
        <v>64</v>
      </c>
      <c r="O7013" s="15" t="s">
        <v>122</v>
      </c>
      <c r="P7013" s="20" t="s">
        <v>1526</v>
      </c>
      <c r="Q7013" s="15" t="s">
        <v>57</v>
      </c>
      <c r="R7013" s="4"/>
      <c r="S7013" s="4"/>
    </row>
    <row r="7014" spans="1:19" ht="21" customHeight="1" x14ac:dyDescent="0.25">
      <c r="A7014" s="14">
        <f>DATE(2012,12,31)-1122</f>
        <v>40152</v>
      </c>
      <c r="B7014" s="15" t="s">
        <v>367</v>
      </c>
      <c r="C7014" s="15" t="s">
        <v>85</v>
      </c>
      <c r="D7014" s="16">
        <v>31</v>
      </c>
      <c r="E7014" s="17">
        <v>211.94</v>
      </c>
      <c r="F7014" s="16">
        <v>0.05</v>
      </c>
      <c r="G7014" s="15" t="s">
        <v>32</v>
      </c>
      <c r="H7014" s="18">
        <v>-56.39</v>
      </c>
      <c r="I7014" s="19">
        <v>6.48</v>
      </c>
      <c r="J7014" s="19">
        <v>5.84</v>
      </c>
      <c r="K7014" s="19" t="s">
        <v>33</v>
      </c>
      <c r="L7014" s="19" t="s">
        <v>93</v>
      </c>
      <c r="M7014" s="15" t="s">
        <v>94</v>
      </c>
      <c r="N7014" s="15" t="s">
        <v>36</v>
      </c>
      <c r="O7014" s="15" t="s">
        <v>117</v>
      </c>
      <c r="P7014" s="20" t="s">
        <v>2112</v>
      </c>
      <c r="Q7014" s="15" t="s">
        <v>83</v>
      </c>
      <c r="R7014" s="4"/>
      <c r="S7014" s="4"/>
    </row>
    <row r="7015" spans="1:19" ht="21" customHeight="1" x14ac:dyDescent="0.25">
      <c r="A7015" s="14">
        <f>DATE(2012,12,31)-686</f>
        <v>40588</v>
      </c>
      <c r="B7015" s="15" t="s">
        <v>1558</v>
      </c>
      <c r="C7015" s="15" t="s">
        <v>43</v>
      </c>
      <c r="D7015" s="16">
        <v>34</v>
      </c>
      <c r="E7015" s="17">
        <v>390.35</v>
      </c>
      <c r="F7015" s="16">
        <v>0.05</v>
      </c>
      <c r="G7015" s="15" t="s">
        <v>32</v>
      </c>
      <c r="H7015" s="18">
        <v>71.03</v>
      </c>
      <c r="I7015" s="19">
        <v>11.55</v>
      </c>
      <c r="J7015" s="19">
        <v>2.36</v>
      </c>
      <c r="K7015" s="19" t="s">
        <v>33</v>
      </c>
      <c r="L7015" s="19" t="s">
        <v>59</v>
      </c>
      <c r="M7015" s="15" t="s">
        <v>2269</v>
      </c>
      <c r="N7015" s="15" t="s">
        <v>36</v>
      </c>
      <c r="O7015" s="15" t="s">
        <v>77</v>
      </c>
      <c r="P7015" s="20" t="s">
        <v>1309</v>
      </c>
      <c r="Q7015" s="15" t="s">
        <v>79</v>
      </c>
      <c r="R7015" s="4"/>
      <c r="S7015" s="4"/>
    </row>
    <row r="7016" spans="1:19" ht="21" customHeight="1" x14ac:dyDescent="0.25">
      <c r="A7016" s="14">
        <f>DATE(2012,12,31)-951</f>
        <v>40323</v>
      </c>
      <c r="B7016" s="15" t="s">
        <v>1558</v>
      </c>
      <c r="C7016" s="15" t="s">
        <v>51</v>
      </c>
      <c r="D7016" s="16">
        <v>2</v>
      </c>
      <c r="E7016" s="17">
        <v>51.21</v>
      </c>
      <c r="F7016" s="16">
        <v>0</v>
      </c>
      <c r="G7016" s="15" t="s">
        <v>32</v>
      </c>
      <c r="H7016" s="18">
        <v>-27.531000000000002</v>
      </c>
      <c r="I7016" s="19">
        <v>20.98</v>
      </c>
      <c r="J7016" s="19">
        <v>8.83</v>
      </c>
      <c r="K7016" s="19" t="s">
        <v>33</v>
      </c>
      <c r="L7016" s="19" t="s">
        <v>59</v>
      </c>
      <c r="M7016" s="15" t="s">
        <v>2269</v>
      </c>
      <c r="N7016" s="15" t="s">
        <v>36</v>
      </c>
      <c r="O7016" s="15" t="s">
        <v>170</v>
      </c>
      <c r="P7016" s="20" t="s">
        <v>1885</v>
      </c>
      <c r="Q7016" s="15" t="s">
        <v>83</v>
      </c>
      <c r="R7016" s="4"/>
      <c r="S7016" s="4"/>
    </row>
    <row r="7017" spans="1:19" ht="21" customHeight="1" x14ac:dyDescent="0.25">
      <c r="A7017" s="14">
        <f>DATE(2012,12,31)-951</f>
        <v>40323</v>
      </c>
      <c r="B7017" s="15" t="s">
        <v>595</v>
      </c>
      <c r="C7017" s="15" t="s">
        <v>51</v>
      </c>
      <c r="D7017" s="16">
        <v>20</v>
      </c>
      <c r="E7017" s="17">
        <v>2195.5500000000002</v>
      </c>
      <c r="F7017" s="16">
        <v>0.01</v>
      </c>
      <c r="G7017" s="15" t="s">
        <v>58</v>
      </c>
      <c r="H7017" s="18">
        <v>-355.94100000000003</v>
      </c>
      <c r="I7017" s="19">
        <v>100.8</v>
      </c>
      <c r="J7017" s="19">
        <v>60</v>
      </c>
      <c r="K7017" s="19" t="s">
        <v>33</v>
      </c>
      <c r="L7017" s="19" t="s">
        <v>59</v>
      </c>
      <c r="M7017" s="15" t="s">
        <v>2269</v>
      </c>
      <c r="N7017" s="15" t="s">
        <v>54</v>
      </c>
      <c r="O7017" s="15" t="s">
        <v>61</v>
      </c>
      <c r="P7017" s="20" t="s">
        <v>186</v>
      </c>
      <c r="Q7017" s="15" t="s">
        <v>181</v>
      </c>
      <c r="R7017" s="4"/>
      <c r="S7017" s="4"/>
    </row>
    <row r="7018" spans="1:19" ht="21" customHeight="1" x14ac:dyDescent="0.25">
      <c r="A7018" s="14">
        <f>DATE(2012,12,31)-1065</f>
        <v>40209</v>
      </c>
      <c r="B7018" s="15" t="s">
        <v>595</v>
      </c>
      <c r="C7018" s="15" t="s">
        <v>85</v>
      </c>
      <c r="D7018" s="16">
        <v>22</v>
      </c>
      <c r="E7018" s="17">
        <v>887.98</v>
      </c>
      <c r="F7018" s="16">
        <v>0.04</v>
      </c>
      <c r="G7018" s="15" t="s">
        <v>32</v>
      </c>
      <c r="H7018" s="18">
        <v>239.94</v>
      </c>
      <c r="I7018" s="19">
        <v>39.979999999999997</v>
      </c>
      <c r="J7018" s="19">
        <v>9.83</v>
      </c>
      <c r="K7018" s="19" t="s">
        <v>33</v>
      </c>
      <c r="L7018" s="19" t="s">
        <v>59</v>
      </c>
      <c r="M7018" s="15" t="s">
        <v>2269</v>
      </c>
      <c r="N7018" s="15" t="s">
        <v>36</v>
      </c>
      <c r="O7018" s="15" t="s">
        <v>189</v>
      </c>
      <c r="P7018" s="20" t="s">
        <v>2090</v>
      </c>
      <c r="Q7018" s="15" t="s">
        <v>83</v>
      </c>
      <c r="R7018" s="4"/>
      <c r="S7018" s="4"/>
    </row>
    <row r="7019" spans="1:19" ht="21" customHeight="1" x14ac:dyDescent="0.25">
      <c r="A7019" s="14">
        <f>DATE(2012,12,31)-1065</f>
        <v>40209</v>
      </c>
      <c r="B7019" s="15" t="s">
        <v>403</v>
      </c>
      <c r="C7019" s="15" t="s">
        <v>85</v>
      </c>
      <c r="D7019" s="16">
        <v>3</v>
      </c>
      <c r="E7019" s="17">
        <v>72.459999999999994</v>
      </c>
      <c r="F7019" s="16">
        <v>0.05</v>
      </c>
      <c r="G7019" s="15" t="s">
        <v>58</v>
      </c>
      <c r="H7019" s="18">
        <v>-60.74</v>
      </c>
      <c r="I7019" s="19">
        <v>15.23</v>
      </c>
      <c r="J7019" s="19">
        <v>27.75</v>
      </c>
      <c r="K7019" s="19" t="s">
        <v>33</v>
      </c>
      <c r="L7019" s="19" t="s">
        <v>145</v>
      </c>
      <c r="M7019" s="15" t="s">
        <v>2313</v>
      </c>
      <c r="N7019" s="15" t="s">
        <v>54</v>
      </c>
      <c r="O7019" s="15" t="s">
        <v>61</v>
      </c>
      <c r="P7019" s="20" t="s">
        <v>1236</v>
      </c>
      <c r="Q7019" s="15" t="s">
        <v>63</v>
      </c>
      <c r="R7019" s="4"/>
      <c r="S7019" s="4"/>
    </row>
    <row r="7020" spans="1:19" ht="21" customHeight="1" x14ac:dyDescent="0.25">
      <c r="A7020" s="14">
        <f>DATE(2012,12,31)-591</f>
        <v>40683</v>
      </c>
      <c r="B7020" s="15" t="s">
        <v>1023</v>
      </c>
      <c r="C7020" s="15" t="s">
        <v>85</v>
      </c>
      <c r="D7020" s="16">
        <v>34</v>
      </c>
      <c r="E7020" s="17">
        <v>2010.89</v>
      </c>
      <c r="F7020" s="16">
        <v>0.09</v>
      </c>
      <c r="G7020" s="15" t="s">
        <v>32</v>
      </c>
      <c r="H7020" s="18">
        <v>564.06849999999997</v>
      </c>
      <c r="I7020" s="19">
        <v>63.98</v>
      </c>
      <c r="J7020" s="19">
        <v>11.55</v>
      </c>
      <c r="K7020" s="19" t="s">
        <v>33</v>
      </c>
      <c r="L7020" s="19" t="s">
        <v>145</v>
      </c>
      <c r="M7020" s="15" t="s">
        <v>2313</v>
      </c>
      <c r="N7020" s="15" t="s">
        <v>36</v>
      </c>
      <c r="O7020" s="15" t="s">
        <v>170</v>
      </c>
      <c r="P7020" s="20" t="s">
        <v>1937</v>
      </c>
      <c r="Q7020" s="15" t="s">
        <v>83</v>
      </c>
      <c r="R7020" s="4"/>
      <c r="S7020" s="4"/>
    </row>
    <row r="7021" spans="1:19" ht="21" customHeight="1" x14ac:dyDescent="0.25">
      <c r="A7021" s="14">
        <f>DATE(2012,12,31)-808</f>
        <v>40466</v>
      </c>
      <c r="B7021" s="15" t="s">
        <v>674</v>
      </c>
      <c r="C7021" s="15" t="s">
        <v>31</v>
      </c>
      <c r="D7021" s="16">
        <v>31</v>
      </c>
      <c r="E7021" s="17">
        <v>536.83000000000004</v>
      </c>
      <c r="F7021" s="16">
        <v>0.06</v>
      </c>
      <c r="G7021" s="15" t="s">
        <v>32</v>
      </c>
      <c r="H7021" s="18">
        <v>161.37</v>
      </c>
      <c r="I7021" s="19">
        <v>17.48</v>
      </c>
      <c r="J7021" s="19">
        <v>1.99</v>
      </c>
      <c r="K7021" s="19" t="s">
        <v>33</v>
      </c>
      <c r="L7021" s="19" t="s">
        <v>59</v>
      </c>
      <c r="M7021" s="15" t="s">
        <v>2269</v>
      </c>
      <c r="N7021" s="15" t="s">
        <v>64</v>
      </c>
      <c r="O7021" s="15" t="s">
        <v>72</v>
      </c>
      <c r="P7021" s="20" t="s">
        <v>866</v>
      </c>
      <c r="Q7021" s="15" t="s">
        <v>49</v>
      </c>
      <c r="R7021" s="4"/>
      <c r="S7021" s="4"/>
    </row>
    <row r="7022" spans="1:19" ht="21" customHeight="1" x14ac:dyDescent="0.25">
      <c r="A7022" s="14">
        <f>DATE(2012,12,31)-808</f>
        <v>40466</v>
      </c>
      <c r="B7022" s="15" t="s">
        <v>376</v>
      </c>
      <c r="C7022" s="15" t="s">
        <v>31</v>
      </c>
      <c r="D7022" s="16">
        <v>32</v>
      </c>
      <c r="E7022" s="17">
        <v>1734.31</v>
      </c>
      <c r="F7022" s="16">
        <v>0.06</v>
      </c>
      <c r="G7022" s="15" t="s">
        <v>101</v>
      </c>
      <c r="H7022" s="18">
        <v>647.25</v>
      </c>
      <c r="I7022" s="19">
        <v>54.96</v>
      </c>
      <c r="J7022" s="19">
        <v>10.75</v>
      </c>
      <c r="K7022" s="19" t="s">
        <v>33</v>
      </c>
      <c r="L7022" s="19" t="s">
        <v>59</v>
      </c>
      <c r="M7022" s="15" t="s">
        <v>2269</v>
      </c>
      <c r="N7022" s="15" t="s">
        <v>36</v>
      </c>
      <c r="O7022" s="15" t="s">
        <v>117</v>
      </c>
      <c r="P7022" s="20" t="s">
        <v>115</v>
      </c>
      <c r="Q7022" s="15" t="s">
        <v>83</v>
      </c>
      <c r="R7022" s="4"/>
      <c r="S7022" s="4"/>
    </row>
    <row r="7023" spans="1:19" ht="21" customHeight="1" x14ac:dyDescent="0.25">
      <c r="A7023" s="14">
        <f>DATE(2012,12,31)-74</f>
        <v>41200</v>
      </c>
      <c r="B7023" s="15" t="s">
        <v>1483</v>
      </c>
      <c r="C7023" s="15" t="s">
        <v>31</v>
      </c>
      <c r="D7023" s="16">
        <v>19</v>
      </c>
      <c r="E7023" s="17">
        <v>86.48</v>
      </c>
      <c r="F7023" s="16">
        <v>0.1</v>
      </c>
      <c r="G7023" s="15" t="s">
        <v>32</v>
      </c>
      <c r="H7023" s="18">
        <v>33.58</v>
      </c>
      <c r="I7023" s="19">
        <v>4.91</v>
      </c>
      <c r="J7023" s="19">
        <v>0.5</v>
      </c>
      <c r="K7023" s="19" t="s">
        <v>33</v>
      </c>
      <c r="L7023" s="19" t="s">
        <v>145</v>
      </c>
      <c r="M7023" s="15" t="s">
        <v>2313</v>
      </c>
      <c r="N7023" s="15" t="s">
        <v>36</v>
      </c>
      <c r="O7023" s="15" t="s">
        <v>114</v>
      </c>
      <c r="P7023" s="20" t="s">
        <v>1635</v>
      </c>
      <c r="Q7023" s="15" t="s">
        <v>83</v>
      </c>
      <c r="R7023" s="4"/>
      <c r="S7023" s="4"/>
    </row>
    <row r="7024" spans="1:19" ht="21" customHeight="1" x14ac:dyDescent="0.25">
      <c r="A7024" s="14">
        <f>DATE(2012,12,31)-657</f>
        <v>40617</v>
      </c>
      <c r="B7024" s="15" t="s">
        <v>136</v>
      </c>
      <c r="C7024" s="15" t="s">
        <v>31</v>
      </c>
      <c r="D7024" s="16">
        <v>36</v>
      </c>
      <c r="E7024" s="17">
        <v>243.18</v>
      </c>
      <c r="F7024" s="16">
        <v>0.08</v>
      </c>
      <c r="G7024" s="15" t="s">
        <v>32</v>
      </c>
      <c r="H7024" s="18">
        <v>-314.22000000000003</v>
      </c>
      <c r="I7024" s="19">
        <v>6.98</v>
      </c>
      <c r="J7024" s="19">
        <v>9.69</v>
      </c>
      <c r="K7024" s="19" t="s">
        <v>33</v>
      </c>
      <c r="L7024" s="19" t="s">
        <v>145</v>
      </c>
      <c r="M7024" s="15" t="s">
        <v>2313</v>
      </c>
      <c r="N7024" s="15" t="s">
        <v>36</v>
      </c>
      <c r="O7024" s="15" t="s">
        <v>37</v>
      </c>
      <c r="P7024" s="20" t="s">
        <v>1445</v>
      </c>
      <c r="Q7024" s="15" t="s">
        <v>83</v>
      </c>
      <c r="R7024" s="4"/>
      <c r="S7024" s="4"/>
    </row>
    <row r="7025" spans="1:19" ht="21" customHeight="1" x14ac:dyDescent="0.25">
      <c r="A7025" s="14">
        <f>DATE(2012,12,31)-1234</f>
        <v>40040</v>
      </c>
      <c r="B7025" s="15" t="s">
        <v>1511</v>
      </c>
      <c r="C7025" s="15" t="s">
        <v>85</v>
      </c>
      <c r="D7025" s="16">
        <v>42</v>
      </c>
      <c r="E7025" s="17">
        <v>1811.3</v>
      </c>
      <c r="F7025" s="16">
        <v>7.0000000000000007E-2</v>
      </c>
      <c r="G7025" s="15" t="s">
        <v>101</v>
      </c>
      <c r="H7025" s="18">
        <v>520.41</v>
      </c>
      <c r="I7025" s="19">
        <v>42.98</v>
      </c>
      <c r="J7025" s="19">
        <v>4.62</v>
      </c>
      <c r="K7025" s="19" t="s">
        <v>33</v>
      </c>
      <c r="L7025" s="19" t="s">
        <v>59</v>
      </c>
      <c r="M7025" s="15" t="s">
        <v>2269</v>
      </c>
      <c r="N7025" s="15" t="s">
        <v>36</v>
      </c>
      <c r="O7025" s="15" t="s">
        <v>176</v>
      </c>
      <c r="P7025" s="20" t="s">
        <v>1630</v>
      </c>
      <c r="Q7025" s="15" t="s">
        <v>83</v>
      </c>
      <c r="R7025" s="4"/>
      <c r="S7025" s="4"/>
    </row>
    <row r="7026" spans="1:19" ht="21" customHeight="1" x14ac:dyDescent="0.25">
      <c r="A7026" s="14">
        <f>DATE(2012,12,31)-1234</f>
        <v>40040</v>
      </c>
      <c r="B7026" s="15" t="s">
        <v>1511</v>
      </c>
      <c r="C7026" s="15" t="s">
        <v>85</v>
      </c>
      <c r="D7026" s="16">
        <v>43</v>
      </c>
      <c r="E7026" s="17">
        <v>4095.76</v>
      </c>
      <c r="F7026" s="16">
        <v>0.03</v>
      </c>
      <c r="G7026" s="15" t="s">
        <v>58</v>
      </c>
      <c r="H7026" s="18">
        <v>-444.14</v>
      </c>
      <c r="I7026" s="19">
        <v>89.99</v>
      </c>
      <c r="J7026" s="19">
        <v>42</v>
      </c>
      <c r="K7026" s="19" t="s">
        <v>33</v>
      </c>
      <c r="L7026" s="19" t="s">
        <v>59</v>
      </c>
      <c r="M7026" s="15" t="s">
        <v>2269</v>
      </c>
      <c r="N7026" s="15" t="s">
        <v>54</v>
      </c>
      <c r="O7026" s="15" t="s">
        <v>252</v>
      </c>
      <c r="P7026" s="20" t="s">
        <v>1428</v>
      </c>
      <c r="Q7026" s="15" t="s">
        <v>181</v>
      </c>
      <c r="R7026" s="4"/>
      <c r="S7026" s="4"/>
    </row>
    <row r="7027" spans="1:19" ht="21" customHeight="1" x14ac:dyDescent="0.25">
      <c r="A7027" s="14">
        <f>DATE(2012,12,31)-1234</f>
        <v>40040</v>
      </c>
      <c r="B7027" s="15" t="s">
        <v>1861</v>
      </c>
      <c r="C7027" s="15" t="s">
        <v>85</v>
      </c>
      <c r="D7027" s="16">
        <v>22</v>
      </c>
      <c r="E7027" s="17">
        <v>482.37</v>
      </c>
      <c r="F7027" s="16">
        <v>0.03</v>
      </c>
      <c r="G7027" s="15" t="s">
        <v>32</v>
      </c>
      <c r="H7027" s="18">
        <v>34.03</v>
      </c>
      <c r="I7027" s="19">
        <v>20.95</v>
      </c>
      <c r="J7027" s="19">
        <v>4</v>
      </c>
      <c r="K7027" s="19" t="s">
        <v>33</v>
      </c>
      <c r="L7027" s="19" t="s">
        <v>128</v>
      </c>
      <c r="M7027" s="15" t="s">
        <v>129</v>
      </c>
      <c r="N7027" s="15" t="s">
        <v>64</v>
      </c>
      <c r="O7027" s="15" t="s">
        <v>72</v>
      </c>
      <c r="P7027" s="20" t="s">
        <v>1394</v>
      </c>
      <c r="Q7027" s="15" t="s">
        <v>83</v>
      </c>
      <c r="R7027" s="4"/>
      <c r="S7027" s="4"/>
    </row>
    <row r="7028" spans="1:19" ht="21" customHeight="1" x14ac:dyDescent="0.25">
      <c r="A7028" s="14">
        <f>DATE(2012,12,31)-1153</f>
        <v>40121</v>
      </c>
      <c r="B7028" s="15" t="s">
        <v>854</v>
      </c>
      <c r="C7028" s="15" t="s">
        <v>43</v>
      </c>
      <c r="D7028" s="16">
        <v>9</v>
      </c>
      <c r="E7028" s="17">
        <v>58.98</v>
      </c>
      <c r="F7028" s="16">
        <v>0</v>
      </c>
      <c r="G7028" s="15" t="s">
        <v>32</v>
      </c>
      <c r="H7028" s="18">
        <v>-17.790500000000002</v>
      </c>
      <c r="I7028" s="19">
        <v>5.77</v>
      </c>
      <c r="J7028" s="19">
        <v>4.97</v>
      </c>
      <c r="K7028" s="19" t="s">
        <v>33</v>
      </c>
      <c r="L7028" s="19" t="s">
        <v>34</v>
      </c>
      <c r="M7028" s="15" t="s">
        <v>2315</v>
      </c>
      <c r="N7028" s="15" t="s">
        <v>36</v>
      </c>
      <c r="O7028" s="15" t="s">
        <v>170</v>
      </c>
      <c r="P7028" s="20" t="s">
        <v>1677</v>
      </c>
      <c r="Q7028" s="15" t="s">
        <v>83</v>
      </c>
      <c r="R7028" s="4"/>
      <c r="S7028" s="4"/>
    </row>
    <row r="7029" spans="1:19" ht="21" customHeight="1" x14ac:dyDescent="0.25">
      <c r="A7029" s="14">
        <f>DATE(2012,12,31)-1355</f>
        <v>39919</v>
      </c>
      <c r="B7029" s="15" t="s">
        <v>854</v>
      </c>
      <c r="C7029" s="15" t="s">
        <v>43</v>
      </c>
      <c r="D7029" s="16">
        <v>37</v>
      </c>
      <c r="E7029" s="17">
        <v>122.99</v>
      </c>
      <c r="F7029" s="16">
        <v>0</v>
      </c>
      <c r="G7029" s="15" t="s">
        <v>101</v>
      </c>
      <c r="H7029" s="18">
        <v>21.479500000000002</v>
      </c>
      <c r="I7029" s="19">
        <v>2.78</v>
      </c>
      <c r="J7029" s="19">
        <v>1.49</v>
      </c>
      <c r="K7029" s="19" t="s">
        <v>33</v>
      </c>
      <c r="L7029" s="19" t="s">
        <v>59</v>
      </c>
      <c r="M7029" s="15" t="s">
        <v>2269</v>
      </c>
      <c r="N7029" s="15" t="s">
        <v>36</v>
      </c>
      <c r="O7029" s="15" t="s">
        <v>170</v>
      </c>
      <c r="P7029" s="20" t="s">
        <v>1124</v>
      </c>
      <c r="Q7029" s="15" t="s">
        <v>83</v>
      </c>
      <c r="R7029" s="4"/>
      <c r="S7029" s="4"/>
    </row>
    <row r="7030" spans="1:19" ht="21" customHeight="1" x14ac:dyDescent="0.25">
      <c r="A7030" s="14">
        <f>DATE(2012,12,31)-1355</f>
        <v>39919</v>
      </c>
      <c r="B7030" s="15" t="s">
        <v>537</v>
      </c>
      <c r="C7030" s="15" t="s">
        <v>43</v>
      </c>
      <c r="D7030" s="16">
        <v>6</v>
      </c>
      <c r="E7030" s="17">
        <v>14734.71</v>
      </c>
      <c r="F7030" s="16">
        <v>0.1</v>
      </c>
      <c r="G7030" s="15" t="s">
        <v>58</v>
      </c>
      <c r="H7030" s="18">
        <v>-3798.0110999999997</v>
      </c>
      <c r="I7030" s="19">
        <v>2550.14</v>
      </c>
      <c r="J7030" s="19">
        <v>29.7</v>
      </c>
      <c r="K7030" s="19" t="s">
        <v>33</v>
      </c>
      <c r="L7030" s="19" t="s">
        <v>59</v>
      </c>
      <c r="M7030" s="15" t="s">
        <v>2269</v>
      </c>
      <c r="N7030" s="15" t="s">
        <v>64</v>
      </c>
      <c r="O7030" s="15" t="s">
        <v>122</v>
      </c>
      <c r="P7030" s="20" t="s">
        <v>1644</v>
      </c>
      <c r="Q7030" s="15" t="s">
        <v>181</v>
      </c>
      <c r="R7030" s="4"/>
      <c r="S7030" s="4"/>
    </row>
    <row r="7031" spans="1:19" ht="21" customHeight="1" x14ac:dyDescent="0.25">
      <c r="A7031" s="14">
        <f>DATE(2012,12,31)-1379</f>
        <v>39895</v>
      </c>
      <c r="B7031" s="15" t="s">
        <v>965</v>
      </c>
      <c r="C7031" s="15" t="s">
        <v>43</v>
      </c>
      <c r="D7031" s="16">
        <v>36</v>
      </c>
      <c r="E7031" s="17">
        <v>551.44000000000005</v>
      </c>
      <c r="F7031" s="16">
        <v>0</v>
      </c>
      <c r="G7031" s="15" t="s">
        <v>32</v>
      </c>
      <c r="H7031" s="18">
        <v>28.7</v>
      </c>
      <c r="I7031" s="19">
        <v>13.99</v>
      </c>
      <c r="J7031" s="19">
        <v>7.51</v>
      </c>
      <c r="K7031" s="19" t="s">
        <v>33</v>
      </c>
      <c r="L7031" s="19" t="s">
        <v>145</v>
      </c>
      <c r="M7031" s="15" t="s">
        <v>2313</v>
      </c>
      <c r="N7031" s="15" t="s">
        <v>64</v>
      </c>
      <c r="O7031" s="15" t="s">
        <v>122</v>
      </c>
      <c r="P7031" s="20" t="s">
        <v>1301</v>
      </c>
      <c r="Q7031" s="15" t="s">
        <v>57</v>
      </c>
      <c r="R7031" s="4"/>
      <c r="S7031" s="4"/>
    </row>
    <row r="7032" spans="1:19" ht="21" customHeight="1" x14ac:dyDescent="0.25">
      <c r="A7032" s="14">
        <f>DATE(2012,12,31)-55</f>
        <v>41219</v>
      </c>
      <c r="B7032" s="15" t="s">
        <v>201</v>
      </c>
      <c r="C7032" s="15" t="s">
        <v>85</v>
      </c>
      <c r="D7032" s="16">
        <v>25</v>
      </c>
      <c r="E7032" s="17">
        <v>122.05</v>
      </c>
      <c r="F7032" s="16">
        <v>0</v>
      </c>
      <c r="G7032" s="15" t="s">
        <v>101</v>
      </c>
      <c r="H7032" s="18">
        <v>-67.597000000000008</v>
      </c>
      <c r="I7032" s="19">
        <v>4.24</v>
      </c>
      <c r="J7032" s="19">
        <v>5.41</v>
      </c>
      <c r="K7032" s="19" t="s">
        <v>33</v>
      </c>
      <c r="L7032" s="19" t="s">
        <v>59</v>
      </c>
      <c r="M7032" s="15" t="s">
        <v>2269</v>
      </c>
      <c r="N7032" s="15" t="s">
        <v>36</v>
      </c>
      <c r="O7032" s="15" t="s">
        <v>170</v>
      </c>
      <c r="P7032" s="20" t="s">
        <v>849</v>
      </c>
      <c r="Q7032" s="15" t="s">
        <v>83</v>
      </c>
      <c r="R7032" s="4"/>
      <c r="S7032" s="4"/>
    </row>
    <row r="7033" spans="1:19" ht="21" customHeight="1" x14ac:dyDescent="0.25">
      <c r="A7033" s="14">
        <f>DATE(2012,12,31)-1278</f>
        <v>39996</v>
      </c>
      <c r="B7033" s="15" t="s">
        <v>1580</v>
      </c>
      <c r="C7033" s="15" t="s">
        <v>85</v>
      </c>
      <c r="D7033" s="16">
        <v>9</v>
      </c>
      <c r="E7033" s="17">
        <v>1455.04</v>
      </c>
      <c r="F7033" s="16">
        <v>0.06</v>
      </c>
      <c r="G7033" s="15" t="s">
        <v>32</v>
      </c>
      <c r="H7033" s="18">
        <v>-7.5800000000000409</v>
      </c>
      <c r="I7033" s="19">
        <v>161.55000000000001</v>
      </c>
      <c r="J7033" s="19">
        <v>19.989999999999998</v>
      </c>
      <c r="K7033" s="19" t="s">
        <v>33</v>
      </c>
      <c r="L7033" s="19" t="s">
        <v>34</v>
      </c>
      <c r="M7033" s="15" t="s">
        <v>2315</v>
      </c>
      <c r="N7033" s="15" t="s">
        <v>36</v>
      </c>
      <c r="O7033" s="15" t="s">
        <v>37</v>
      </c>
      <c r="P7033" s="20" t="s">
        <v>2131</v>
      </c>
      <c r="Q7033" s="15" t="s">
        <v>83</v>
      </c>
      <c r="R7033" s="4"/>
      <c r="S7033" s="4"/>
    </row>
    <row r="7034" spans="1:19" ht="21" customHeight="1" x14ac:dyDescent="0.25">
      <c r="A7034" s="14">
        <f>DATE(2012,12,31)-1311</f>
        <v>39963</v>
      </c>
      <c r="B7034" s="15" t="s">
        <v>1048</v>
      </c>
      <c r="C7034" s="15" t="s">
        <v>43</v>
      </c>
      <c r="D7034" s="16">
        <v>30</v>
      </c>
      <c r="E7034" s="17">
        <v>3482.41</v>
      </c>
      <c r="F7034" s="16">
        <v>0.05</v>
      </c>
      <c r="G7034" s="15" t="s">
        <v>32</v>
      </c>
      <c r="H7034" s="18">
        <v>1443.3509999999999</v>
      </c>
      <c r="I7034" s="19">
        <v>120.98</v>
      </c>
      <c r="J7034" s="19">
        <v>9.07</v>
      </c>
      <c r="K7034" s="19" t="s">
        <v>97</v>
      </c>
      <c r="L7034" s="19" t="s">
        <v>195</v>
      </c>
      <c r="M7034" s="15" t="s">
        <v>2138</v>
      </c>
      <c r="N7034" s="15" t="s">
        <v>36</v>
      </c>
      <c r="O7034" s="15" t="s">
        <v>170</v>
      </c>
      <c r="P7034" s="20" t="s">
        <v>1482</v>
      </c>
      <c r="Q7034" s="15" t="s">
        <v>83</v>
      </c>
      <c r="R7034" s="4"/>
      <c r="S7034" s="4"/>
    </row>
    <row r="7035" spans="1:19" ht="21" customHeight="1" x14ac:dyDescent="0.25">
      <c r="A7035" s="14">
        <f>DATE(2012,12,31)-233</f>
        <v>41041</v>
      </c>
      <c r="B7035" s="15" t="s">
        <v>1048</v>
      </c>
      <c r="C7035" s="15" t="s">
        <v>43</v>
      </c>
      <c r="D7035" s="16">
        <v>22</v>
      </c>
      <c r="E7035" s="17">
        <v>142.88</v>
      </c>
      <c r="F7035" s="16">
        <v>0.08</v>
      </c>
      <c r="G7035" s="15" t="s">
        <v>32</v>
      </c>
      <c r="H7035" s="18">
        <v>35.369999999999997</v>
      </c>
      <c r="I7035" s="19">
        <v>6.98</v>
      </c>
      <c r="J7035" s="19">
        <v>1.6</v>
      </c>
      <c r="K7035" s="19" t="s">
        <v>69</v>
      </c>
      <c r="L7035" s="19" t="s">
        <v>75</v>
      </c>
      <c r="M7035" s="15" t="s">
        <v>76</v>
      </c>
      <c r="N7035" s="15" t="s">
        <v>36</v>
      </c>
      <c r="O7035" s="15" t="s">
        <v>117</v>
      </c>
      <c r="P7035" s="20" t="s">
        <v>803</v>
      </c>
      <c r="Q7035" s="15" t="s">
        <v>79</v>
      </c>
      <c r="R7035" s="4"/>
      <c r="S7035" s="4"/>
    </row>
    <row r="7036" spans="1:19" ht="21" customHeight="1" x14ac:dyDescent="0.25">
      <c r="A7036" s="14">
        <f>DATE(2012,12,31)-233</f>
        <v>41041</v>
      </c>
      <c r="B7036" s="15" t="s">
        <v>1872</v>
      </c>
      <c r="C7036" s="15" t="s">
        <v>43</v>
      </c>
      <c r="D7036" s="16">
        <v>38</v>
      </c>
      <c r="E7036" s="17">
        <v>264.92</v>
      </c>
      <c r="F7036" s="16">
        <v>0.05</v>
      </c>
      <c r="G7036" s="15" t="s">
        <v>32</v>
      </c>
      <c r="H7036" s="18">
        <v>-97.06</v>
      </c>
      <c r="I7036" s="19">
        <v>7.1</v>
      </c>
      <c r="J7036" s="19">
        <v>6.05</v>
      </c>
      <c r="K7036" s="19" t="s">
        <v>69</v>
      </c>
      <c r="L7036" s="19" t="s">
        <v>75</v>
      </c>
      <c r="M7036" s="15" t="s">
        <v>76</v>
      </c>
      <c r="N7036" s="15" t="s">
        <v>36</v>
      </c>
      <c r="O7036" s="15" t="s">
        <v>170</v>
      </c>
      <c r="P7036" s="20" t="s">
        <v>982</v>
      </c>
      <c r="Q7036" s="15" t="s">
        <v>83</v>
      </c>
      <c r="R7036" s="4"/>
      <c r="S7036" s="4"/>
    </row>
    <row r="7037" spans="1:19" ht="21" customHeight="1" x14ac:dyDescent="0.25">
      <c r="A7037" s="14">
        <f>DATE(2012,12,31)-646</f>
        <v>40628</v>
      </c>
      <c r="B7037" s="15" t="s">
        <v>1872</v>
      </c>
      <c r="C7037" s="15" t="s">
        <v>51</v>
      </c>
      <c r="D7037" s="16">
        <v>18</v>
      </c>
      <c r="E7037" s="17">
        <v>3780.43</v>
      </c>
      <c r="F7037" s="16">
        <v>0.05</v>
      </c>
      <c r="G7037" s="15" t="s">
        <v>32</v>
      </c>
      <c r="H7037" s="18">
        <v>905.57</v>
      </c>
      <c r="I7037" s="19">
        <v>210.55</v>
      </c>
      <c r="J7037" s="19">
        <v>9.99</v>
      </c>
      <c r="K7037" s="19" t="s">
        <v>69</v>
      </c>
      <c r="L7037" s="19" t="s">
        <v>70</v>
      </c>
      <c r="M7037" s="15" t="s">
        <v>2327</v>
      </c>
      <c r="N7037" s="15" t="s">
        <v>36</v>
      </c>
      <c r="O7037" s="15" t="s">
        <v>37</v>
      </c>
      <c r="P7037" s="20" t="s">
        <v>106</v>
      </c>
      <c r="Q7037" s="15" t="s">
        <v>83</v>
      </c>
      <c r="R7037" s="4"/>
      <c r="S7037" s="4"/>
    </row>
    <row r="7038" spans="1:19" ht="21" customHeight="1" x14ac:dyDescent="0.25">
      <c r="A7038" s="14">
        <f>DATE(2012,12,31)-646</f>
        <v>40628</v>
      </c>
      <c r="B7038" s="15" t="s">
        <v>714</v>
      </c>
      <c r="C7038" s="15" t="s">
        <v>51</v>
      </c>
      <c r="D7038" s="16">
        <v>10</v>
      </c>
      <c r="E7038" s="17">
        <v>1961.68</v>
      </c>
      <c r="F7038" s="16">
        <v>0.04</v>
      </c>
      <c r="G7038" s="15" t="s">
        <v>32</v>
      </c>
      <c r="H7038" s="18">
        <v>-367.00200000000001</v>
      </c>
      <c r="I7038" s="19">
        <v>182.55</v>
      </c>
      <c r="J7038" s="19">
        <v>69</v>
      </c>
      <c r="K7038" s="19" t="s">
        <v>69</v>
      </c>
      <c r="L7038" s="19" t="s">
        <v>70</v>
      </c>
      <c r="M7038" s="15" t="s">
        <v>2327</v>
      </c>
      <c r="N7038" s="15" t="s">
        <v>54</v>
      </c>
      <c r="O7038" s="15" t="s">
        <v>61</v>
      </c>
      <c r="P7038" s="20" t="s">
        <v>1464</v>
      </c>
      <c r="Q7038" s="15" t="s">
        <v>39</v>
      </c>
      <c r="R7038" s="4"/>
      <c r="S7038" s="4"/>
    </row>
    <row r="7039" spans="1:19" ht="21" customHeight="1" x14ac:dyDescent="0.25">
      <c r="A7039" s="14">
        <f>DATE(2012,12,31)-548</f>
        <v>40726</v>
      </c>
      <c r="B7039" s="15" t="s">
        <v>1515</v>
      </c>
      <c r="C7039" s="15" t="s">
        <v>85</v>
      </c>
      <c r="D7039" s="16">
        <v>8</v>
      </c>
      <c r="E7039" s="17">
        <v>876.01</v>
      </c>
      <c r="F7039" s="16">
        <v>7.0000000000000007E-2</v>
      </c>
      <c r="G7039" s="15" t="s">
        <v>32</v>
      </c>
      <c r="H7039" s="18">
        <v>-108</v>
      </c>
      <c r="I7039" s="19">
        <v>111.03</v>
      </c>
      <c r="J7039" s="19">
        <v>8.64</v>
      </c>
      <c r="K7039" s="19" t="s">
        <v>69</v>
      </c>
      <c r="L7039" s="19" t="s">
        <v>75</v>
      </c>
      <c r="M7039" s="15" t="s">
        <v>76</v>
      </c>
      <c r="N7039" s="15" t="s">
        <v>36</v>
      </c>
      <c r="O7039" s="15" t="s">
        <v>37</v>
      </c>
      <c r="P7039" s="20" t="s">
        <v>998</v>
      </c>
      <c r="Q7039" s="15" t="s">
        <v>83</v>
      </c>
      <c r="R7039" s="4"/>
      <c r="S7039" s="4"/>
    </row>
    <row r="7040" spans="1:19" ht="21" customHeight="1" x14ac:dyDescent="0.25">
      <c r="A7040" s="14">
        <f>DATE(2012,12,31)-1303</f>
        <v>39971</v>
      </c>
      <c r="B7040" s="15" t="s">
        <v>1338</v>
      </c>
      <c r="C7040" s="15" t="s">
        <v>31</v>
      </c>
      <c r="D7040" s="16">
        <v>7</v>
      </c>
      <c r="E7040" s="17">
        <v>2161.36</v>
      </c>
      <c r="F7040" s="16">
        <v>0.02</v>
      </c>
      <c r="G7040" s="15" t="s">
        <v>58</v>
      </c>
      <c r="H7040" s="18">
        <v>-92.370000000000061</v>
      </c>
      <c r="I7040" s="19">
        <v>284.98</v>
      </c>
      <c r="J7040" s="19">
        <v>69.55</v>
      </c>
      <c r="K7040" s="19" t="s">
        <v>69</v>
      </c>
      <c r="L7040" s="19" t="s">
        <v>75</v>
      </c>
      <c r="M7040" s="15" t="s">
        <v>76</v>
      </c>
      <c r="N7040" s="15" t="s">
        <v>54</v>
      </c>
      <c r="O7040" s="15" t="s">
        <v>252</v>
      </c>
      <c r="P7040" s="20" t="s">
        <v>1644</v>
      </c>
      <c r="Q7040" s="15" t="s">
        <v>181</v>
      </c>
      <c r="R7040" s="4"/>
      <c r="S7040" s="4"/>
    </row>
    <row r="7041" spans="1:19" ht="21" customHeight="1" x14ac:dyDescent="0.25">
      <c r="A7041" s="14">
        <f>DATE(2012,12,31)-1303</f>
        <v>39971</v>
      </c>
      <c r="B7041" s="15" t="s">
        <v>1338</v>
      </c>
      <c r="C7041" s="15" t="s">
        <v>31</v>
      </c>
      <c r="D7041" s="16">
        <v>45</v>
      </c>
      <c r="E7041" s="17">
        <v>2494.92</v>
      </c>
      <c r="F7041" s="16">
        <v>0.08</v>
      </c>
      <c r="G7041" s="15" t="s">
        <v>32</v>
      </c>
      <c r="H7041" s="18">
        <v>816.72</v>
      </c>
      <c r="I7041" s="19">
        <v>55.48</v>
      </c>
      <c r="J7041" s="19">
        <v>14.3</v>
      </c>
      <c r="K7041" s="19" t="s">
        <v>69</v>
      </c>
      <c r="L7041" s="19" t="s">
        <v>70</v>
      </c>
      <c r="M7041" s="15" t="s">
        <v>2327</v>
      </c>
      <c r="N7041" s="15" t="s">
        <v>36</v>
      </c>
      <c r="O7041" s="15" t="s">
        <v>117</v>
      </c>
      <c r="P7041" s="20" t="s">
        <v>2039</v>
      </c>
      <c r="Q7041" s="15" t="s">
        <v>83</v>
      </c>
      <c r="R7041" s="4"/>
      <c r="S7041" s="4"/>
    </row>
    <row r="7042" spans="1:19" ht="21" customHeight="1" x14ac:dyDescent="0.25">
      <c r="A7042" s="14">
        <f>DATE(2012,12,31)-347</f>
        <v>40927</v>
      </c>
      <c r="B7042" s="15" t="s">
        <v>2024</v>
      </c>
      <c r="C7042" s="15" t="s">
        <v>85</v>
      </c>
      <c r="D7042" s="16">
        <v>50</v>
      </c>
      <c r="E7042" s="17">
        <v>6628.55</v>
      </c>
      <c r="F7042" s="16">
        <v>0.1</v>
      </c>
      <c r="G7042" s="15" t="s">
        <v>58</v>
      </c>
      <c r="H7042" s="18">
        <v>1081.6500000000001</v>
      </c>
      <c r="I7042" s="19">
        <v>145.44999999999999</v>
      </c>
      <c r="J7042" s="19">
        <v>17.850000000000001</v>
      </c>
      <c r="K7042" s="19" t="s">
        <v>69</v>
      </c>
      <c r="L7042" s="19" t="s">
        <v>70</v>
      </c>
      <c r="M7042" s="15" t="s">
        <v>2327</v>
      </c>
      <c r="N7042" s="15" t="s">
        <v>64</v>
      </c>
      <c r="O7042" s="15" t="s">
        <v>122</v>
      </c>
      <c r="P7042" s="20" t="s">
        <v>996</v>
      </c>
      <c r="Q7042" s="15" t="s">
        <v>181</v>
      </c>
      <c r="R7042" s="4"/>
      <c r="S7042" s="4"/>
    </row>
    <row r="7043" spans="1:19" ht="21" customHeight="1" x14ac:dyDescent="0.25">
      <c r="A7043" s="14">
        <f>DATE(2012,12,31)-461</f>
        <v>40813</v>
      </c>
      <c r="B7043" s="15" t="s">
        <v>1058</v>
      </c>
      <c r="C7043" s="15" t="s">
        <v>85</v>
      </c>
      <c r="D7043" s="16">
        <v>7</v>
      </c>
      <c r="E7043" s="17">
        <v>105.94</v>
      </c>
      <c r="F7043" s="16">
        <v>7.0000000000000007E-2</v>
      </c>
      <c r="G7043" s="15" t="s">
        <v>32</v>
      </c>
      <c r="H7043" s="18">
        <v>-13.3285</v>
      </c>
      <c r="I7043" s="19">
        <v>14.45</v>
      </c>
      <c r="J7043" s="19">
        <v>7.17</v>
      </c>
      <c r="K7043" s="19" t="s">
        <v>69</v>
      </c>
      <c r="L7043" s="19" t="s">
        <v>70</v>
      </c>
      <c r="M7043" s="15" t="s">
        <v>2327</v>
      </c>
      <c r="N7043" s="15" t="s">
        <v>36</v>
      </c>
      <c r="O7043" s="15" t="s">
        <v>170</v>
      </c>
      <c r="P7043" s="20" t="s">
        <v>1891</v>
      </c>
      <c r="Q7043" s="15" t="s">
        <v>83</v>
      </c>
      <c r="R7043" s="4"/>
      <c r="S7043" s="4"/>
    </row>
    <row r="7044" spans="1:19" ht="21" customHeight="1" x14ac:dyDescent="0.25">
      <c r="A7044" s="14">
        <f>DATE(2012,12,31)-661</f>
        <v>40613</v>
      </c>
      <c r="B7044" s="15" t="s">
        <v>1058</v>
      </c>
      <c r="C7044" s="15" t="s">
        <v>85</v>
      </c>
      <c r="D7044" s="16">
        <v>29</v>
      </c>
      <c r="E7044" s="17">
        <v>1337.08</v>
      </c>
      <c r="F7044" s="16">
        <v>0.1</v>
      </c>
      <c r="G7044" s="15" t="s">
        <v>32</v>
      </c>
      <c r="H7044" s="18">
        <v>-953</v>
      </c>
      <c r="I7044" s="19">
        <v>48.91</v>
      </c>
      <c r="J7044" s="19">
        <v>35</v>
      </c>
      <c r="K7044" s="19" t="s">
        <v>69</v>
      </c>
      <c r="L7044" s="19" t="s">
        <v>70</v>
      </c>
      <c r="M7044" s="15" t="s">
        <v>2327</v>
      </c>
      <c r="N7044" s="15" t="s">
        <v>36</v>
      </c>
      <c r="O7044" s="15" t="s">
        <v>37</v>
      </c>
      <c r="P7044" s="20" t="s">
        <v>408</v>
      </c>
      <c r="Q7044" s="15" t="s">
        <v>39</v>
      </c>
      <c r="R7044" s="4"/>
      <c r="S7044" s="4"/>
    </row>
    <row r="7045" spans="1:19" ht="21" customHeight="1" x14ac:dyDescent="0.25">
      <c r="A7045" s="14">
        <f>DATE(2012,12,31)-186</f>
        <v>41088</v>
      </c>
      <c r="B7045" s="15" t="s">
        <v>96</v>
      </c>
      <c r="C7045" s="15" t="s">
        <v>85</v>
      </c>
      <c r="D7045" s="16">
        <v>32</v>
      </c>
      <c r="E7045" s="17">
        <v>6892.07</v>
      </c>
      <c r="F7045" s="16">
        <v>0.05</v>
      </c>
      <c r="G7045" s="15" t="s">
        <v>101</v>
      </c>
      <c r="H7045" s="18">
        <v>2754.1615000000002</v>
      </c>
      <c r="I7045" s="19">
        <v>223.98</v>
      </c>
      <c r="J7045" s="19">
        <v>15.01</v>
      </c>
      <c r="K7045" s="19" t="s">
        <v>69</v>
      </c>
      <c r="L7045" s="19" t="s">
        <v>70</v>
      </c>
      <c r="M7045" s="15" t="s">
        <v>2327</v>
      </c>
      <c r="N7045" s="15" t="s">
        <v>36</v>
      </c>
      <c r="O7045" s="15" t="s">
        <v>170</v>
      </c>
      <c r="P7045" s="20" t="s">
        <v>1614</v>
      </c>
      <c r="Q7045" s="15" t="s">
        <v>83</v>
      </c>
      <c r="R7045" s="4"/>
      <c r="S7045" s="4"/>
    </row>
    <row r="7046" spans="1:19" ht="21" customHeight="1" x14ac:dyDescent="0.25">
      <c r="A7046" s="14">
        <f>DATE(2012,12,31)-363</f>
        <v>40911</v>
      </c>
      <c r="B7046" s="15" t="s">
        <v>96</v>
      </c>
      <c r="C7046" s="15" t="s">
        <v>31</v>
      </c>
      <c r="D7046" s="16">
        <v>25</v>
      </c>
      <c r="E7046" s="17">
        <v>5859.25</v>
      </c>
      <c r="F7046" s="16">
        <v>0.02</v>
      </c>
      <c r="G7046" s="15" t="s">
        <v>58</v>
      </c>
      <c r="H7046" s="18">
        <v>1358.53</v>
      </c>
      <c r="I7046" s="19">
        <v>226.67</v>
      </c>
      <c r="J7046" s="19">
        <v>28.16</v>
      </c>
      <c r="K7046" s="19" t="s">
        <v>69</v>
      </c>
      <c r="L7046" s="19" t="s">
        <v>75</v>
      </c>
      <c r="M7046" s="15" t="s">
        <v>76</v>
      </c>
      <c r="N7046" s="15" t="s">
        <v>54</v>
      </c>
      <c r="O7046" s="15" t="s">
        <v>252</v>
      </c>
      <c r="P7046" s="20" t="s">
        <v>1635</v>
      </c>
      <c r="Q7046" s="15" t="s">
        <v>181</v>
      </c>
      <c r="R7046" s="4"/>
      <c r="S7046" s="4"/>
    </row>
    <row r="7047" spans="1:19" ht="21" customHeight="1" x14ac:dyDescent="0.25">
      <c r="A7047" s="14">
        <f>DATE(2012,12,31)-446</f>
        <v>40828</v>
      </c>
      <c r="B7047" s="15" t="s">
        <v>1804</v>
      </c>
      <c r="C7047" s="15" t="s">
        <v>43</v>
      </c>
      <c r="D7047" s="16">
        <v>18</v>
      </c>
      <c r="E7047" s="17">
        <v>1758.41</v>
      </c>
      <c r="F7047" s="16">
        <v>0.06</v>
      </c>
      <c r="G7047" s="15" t="s">
        <v>58</v>
      </c>
      <c r="H7047" s="18">
        <v>238.52</v>
      </c>
      <c r="I7047" s="19">
        <v>100.98</v>
      </c>
      <c r="J7047" s="19">
        <v>15.66</v>
      </c>
      <c r="K7047" s="19" t="s">
        <v>69</v>
      </c>
      <c r="L7047" s="19" t="s">
        <v>215</v>
      </c>
      <c r="M7047" s="15" t="s">
        <v>2322</v>
      </c>
      <c r="N7047" s="15" t="s">
        <v>36</v>
      </c>
      <c r="O7047" s="15" t="s">
        <v>176</v>
      </c>
      <c r="P7047" s="20" t="s">
        <v>2308</v>
      </c>
      <c r="Q7047" s="15" t="s">
        <v>181</v>
      </c>
      <c r="R7047" s="4"/>
      <c r="S7047" s="4"/>
    </row>
    <row r="7048" spans="1:19" ht="21" customHeight="1" x14ac:dyDescent="0.25">
      <c r="A7048" s="14">
        <f>DATE(2012,12,31)-482</f>
        <v>40792</v>
      </c>
      <c r="B7048" s="15" t="s">
        <v>1192</v>
      </c>
      <c r="C7048" s="15" t="s">
        <v>31</v>
      </c>
      <c r="D7048" s="16">
        <v>11</v>
      </c>
      <c r="E7048" s="17">
        <v>64.86</v>
      </c>
      <c r="F7048" s="16">
        <v>0</v>
      </c>
      <c r="G7048" s="15" t="s">
        <v>32</v>
      </c>
      <c r="H7048" s="18">
        <v>22.05</v>
      </c>
      <c r="I7048" s="19">
        <v>5.43</v>
      </c>
      <c r="J7048" s="19">
        <v>0.95</v>
      </c>
      <c r="K7048" s="19" t="s">
        <v>69</v>
      </c>
      <c r="L7048" s="19" t="s">
        <v>215</v>
      </c>
      <c r="M7048" s="15" t="s">
        <v>2322</v>
      </c>
      <c r="N7048" s="15" t="s">
        <v>36</v>
      </c>
      <c r="O7048" s="15" t="s">
        <v>117</v>
      </c>
      <c r="P7048" s="20" t="s">
        <v>1262</v>
      </c>
      <c r="Q7048" s="15" t="s">
        <v>79</v>
      </c>
      <c r="R7048" s="4"/>
      <c r="S7048" s="4"/>
    </row>
    <row r="7049" spans="1:19" ht="21" customHeight="1" x14ac:dyDescent="0.25">
      <c r="A7049" s="14">
        <f>DATE(2012,12,31)-482</f>
        <v>40792</v>
      </c>
      <c r="B7049" s="15" t="s">
        <v>1192</v>
      </c>
      <c r="C7049" s="15" t="s">
        <v>31</v>
      </c>
      <c r="D7049" s="16">
        <v>45</v>
      </c>
      <c r="E7049" s="17">
        <v>109.39</v>
      </c>
      <c r="F7049" s="16">
        <v>7.0000000000000007E-2</v>
      </c>
      <c r="G7049" s="15" t="s">
        <v>101</v>
      </c>
      <c r="H7049" s="18">
        <v>16.309999999999999</v>
      </c>
      <c r="I7049" s="19">
        <v>2.4700000000000002</v>
      </c>
      <c r="J7049" s="19">
        <v>1.02</v>
      </c>
      <c r="K7049" s="19" t="s">
        <v>69</v>
      </c>
      <c r="L7049" s="19" t="s">
        <v>75</v>
      </c>
      <c r="M7049" s="15" t="s">
        <v>76</v>
      </c>
      <c r="N7049" s="15" t="s">
        <v>36</v>
      </c>
      <c r="O7049" s="15" t="s">
        <v>105</v>
      </c>
      <c r="P7049" s="20" t="s">
        <v>1611</v>
      </c>
      <c r="Q7049" s="15" t="s">
        <v>79</v>
      </c>
      <c r="R7049" s="4"/>
      <c r="S7049" s="4"/>
    </row>
    <row r="7050" spans="1:19" ht="21" customHeight="1" x14ac:dyDescent="0.25">
      <c r="A7050" s="14">
        <f>DATE(2012,12,31)-1312</f>
        <v>39962</v>
      </c>
      <c r="B7050" s="15" t="s">
        <v>178</v>
      </c>
      <c r="C7050" s="15" t="s">
        <v>51</v>
      </c>
      <c r="D7050" s="16">
        <v>31</v>
      </c>
      <c r="E7050" s="17">
        <v>801.45</v>
      </c>
      <c r="F7050" s="16">
        <v>0.01</v>
      </c>
      <c r="G7050" s="15" t="s">
        <v>32</v>
      </c>
      <c r="H7050" s="18">
        <v>227.59</v>
      </c>
      <c r="I7050" s="19">
        <v>23.99</v>
      </c>
      <c r="J7050" s="19">
        <v>6.3</v>
      </c>
      <c r="K7050" s="19" t="s">
        <v>69</v>
      </c>
      <c r="L7050" s="19" t="s">
        <v>215</v>
      </c>
      <c r="M7050" s="15" t="s">
        <v>2322</v>
      </c>
      <c r="N7050" s="15" t="s">
        <v>64</v>
      </c>
      <c r="O7050" s="15" t="s">
        <v>122</v>
      </c>
      <c r="P7050" s="20" t="s">
        <v>786</v>
      </c>
      <c r="Q7050" s="15" t="s">
        <v>57</v>
      </c>
      <c r="R7050" s="4"/>
      <c r="S7050" s="4"/>
    </row>
    <row r="7051" spans="1:19" ht="21" customHeight="1" x14ac:dyDescent="0.25">
      <c r="A7051" s="14">
        <f>DATE(2012,12,31)-40</f>
        <v>41234</v>
      </c>
      <c r="B7051" s="15" t="s">
        <v>1404</v>
      </c>
      <c r="C7051" s="15" t="s">
        <v>85</v>
      </c>
      <c r="D7051" s="16">
        <v>28</v>
      </c>
      <c r="E7051" s="17">
        <v>1538.8655000000001</v>
      </c>
      <c r="F7051" s="16">
        <v>0.05</v>
      </c>
      <c r="G7051" s="15" t="s">
        <v>32</v>
      </c>
      <c r="H7051" s="18">
        <v>-186.32899999999998</v>
      </c>
      <c r="I7051" s="19">
        <v>65.989999999999995</v>
      </c>
      <c r="J7051" s="19">
        <v>19.989999999999998</v>
      </c>
      <c r="K7051" s="19" t="s">
        <v>69</v>
      </c>
      <c r="L7051" s="19" t="s">
        <v>215</v>
      </c>
      <c r="M7051" s="15" t="s">
        <v>2322</v>
      </c>
      <c r="N7051" s="15" t="s">
        <v>64</v>
      </c>
      <c r="O7051" s="15" t="s">
        <v>65</v>
      </c>
      <c r="P7051" s="20" t="s">
        <v>1855</v>
      </c>
      <c r="Q7051" s="15" t="s">
        <v>83</v>
      </c>
      <c r="R7051" s="4"/>
      <c r="S7051" s="4"/>
    </row>
    <row r="7052" spans="1:19" ht="21" customHeight="1" x14ac:dyDescent="0.25">
      <c r="A7052" s="14">
        <f>DATE(2012,12,31)-139</f>
        <v>41135</v>
      </c>
      <c r="B7052" s="15" t="s">
        <v>2128</v>
      </c>
      <c r="C7052" s="15" t="s">
        <v>85</v>
      </c>
      <c r="D7052" s="16">
        <v>10</v>
      </c>
      <c r="E7052" s="17">
        <v>267.06</v>
      </c>
      <c r="F7052" s="16">
        <v>0.02</v>
      </c>
      <c r="G7052" s="15" t="s">
        <v>32</v>
      </c>
      <c r="H7052" s="18">
        <v>76.465999999999994</v>
      </c>
      <c r="I7052" s="19">
        <v>24.95</v>
      </c>
      <c r="J7052" s="19">
        <v>2.99</v>
      </c>
      <c r="K7052" s="19" t="s">
        <v>69</v>
      </c>
      <c r="L7052" s="19" t="s">
        <v>75</v>
      </c>
      <c r="M7052" s="15" t="s">
        <v>76</v>
      </c>
      <c r="N7052" s="15" t="s">
        <v>36</v>
      </c>
      <c r="O7052" s="15" t="s">
        <v>170</v>
      </c>
      <c r="P7052" s="20" t="s">
        <v>1670</v>
      </c>
      <c r="Q7052" s="15" t="s">
        <v>83</v>
      </c>
      <c r="R7052" s="4"/>
      <c r="S7052" s="4"/>
    </row>
    <row r="7053" spans="1:19" ht="21" customHeight="1" x14ac:dyDescent="0.25">
      <c r="A7053" s="14">
        <f>DATE(2012,12,31)-139</f>
        <v>41135</v>
      </c>
      <c r="B7053" s="15" t="s">
        <v>2128</v>
      </c>
      <c r="C7053" s="15" t="s">
        <v>85</v>
      </c>
      <c r="D7053" s="16">
        <v>22</v>
      </c>
      <c r="E7053" s="17">
        <v>82.98</v>
      </c>
      <c r="F7053" s="16">
        <v>0.09</v>
      </c>
      <c r="G7053" s="15" t="s">
        <v>32</v>
      </c>
      <c r="H7053" s="18">
        <v>13.82</v>
      </c>
      <c r="I7053" s="19">
        <v>4</v>
      </c>
      <c r="J7053" s="19">
        <v>1.3</v>
      </c>
      <c r="K7053" s="19" t="s">
        <v>69</v>
      </c>
      <c r="L7053" s="19" t="s">
        <v>215</v>
      </c>
      <c r="M7053" s="15" t="s">
        <v>2322</v>
      </c>
      <c r="N7053" s="15" t="s">
        <v>36</v>
      </c>
      <c r="O7053" s="15" t="s">
        <v>117</v>
      </c>
      <c r="P7053" s="20" t="s">
        <v>848</v>
      </c>
      <c r="Q7053" s="15" t="s">
        <v>79</v>
      </c>
      <c r="R7053" s="4"/>
      <c r="S7053" s="4"/>
    </row>
    <row r="7054" spans="1:19" ht="21" customHeight="1" x14ac:dyDescent="0.25">
      <c r="A7054" s="14">
        <f>DATE(2012,12,31)-580</f>
        <v>40694</v>
      </c>
      <c r="B7054" s="15" t="s">
        <v>2128</v>
      </c>
      <c r="C7054" s="15" t="s">
        <v>43</v>
      </c>
      <c r="D7054" s="16">
        <v>32</v>
      </c>
      <c r="E7054" s="17">
        <v>1974.66</v>
      </c>
      <c r="F7054" s="16">
        <v>0.06</v>
      </c>
      <c r="G7054" s="15" t="s">
        <v>101</v>
      </c>
      <c r="H7054" s="18">
        <v>-929.68</v>
      </c>
      <c r="I7054" s="19">
        <v>64.650000000000006</v>
      </c>
      <c r="J7054" s="19">
        <v>35</v>
      </c>
      <c r="K7054" s="19" t="s">
        <v>69</v>
      </c>
      <c r="L7054" s="19" t="s">
        <v>215</v>
      </c>
      <c r="M7054" s="15" t="s">
        <v>2322</v>
      </c>
      <c r="N7054" s="15" t="s">
        <v>36</v>
      </c>
      <c r="O7054" s="15" t="s">
        <v>37</v>
      </c>
      <c r="P7054" s="20" t="s">
        <v>1259</v>
      </c>
      <c r="Q7054" s="15" t="s">
        <v>39</v>
      </c>
      <c r="R7054" s="4"/>
      <c r="S7054" s="4"/>
    </row>
    <row r="7055" spans="1:19" ht="21" customHeight="1" x14ac:dyDescent="0.25">
      <c r="A7055" s="14">
        <f>DATE(2012,12,31)-580</f>
        <v>40694</v>
      </c>
      <c r="B7055" s="15" t="s">
        <v>1364</v>
      </c>
      <c r="C7055" s="15" t="s">
        <v>43</v>
      </c>
      <c r="D7055" s="16">
        <v>3</v>
      </c>
      <c r="E7055" s="17">
        <v>73.44</v>
      </c>
      <c r="F7055" s="16">
        <v>0</v>
      </c>
      <c r="G7055" s="15" t="s">
        <v>58</v>
      </c>
      <c r="H7055" s="18">
        <v>-53.783999999999999</v>
      </c>
      <c r="I7055" s="19">
        <v>15.23</v>
      </c>
      <c r="J7055" s="19">
        <v>27.75</v>
      </c>
      <c r="K7055" s="19" t="s">
        <v>44</v>
      </c>
      <c r="L7055" s="19" t="s">
        <v>89</v>
      </c>
      <c r="M7055" s="15" t="s">
        <v>2326</v>
      </c>
      <c r="N7055" s="15" t="s">
        <v>54</v>
      </c>
      <c r="O7055" s="15" t="s">
        <v>61</v>
      </c>
      <c r="P7055" s="20" t="s">
        <v>2210</v>
      </c>
      <c r="Q7055" s="15" t="s">
        <v>63</v>
      </c>
      <c r="R7055" s="4"/>
      <c r="S7055" s="4"/>
    </row>
    <row r="7056" spans="1:19" ht="21" customHeight="1" x14ac:dyDescent="0.25">
      <c r="A7056" s="14">
        <f>DATE(2012,12,31)-534</f>
        <v>40740</v>
      </c>
      <c r="B7056" s="15" t="s">
        <v>1963</v>
      </c>
      <c r="C7056" s="15" t="s">
        <v>51</v>
      </c>
      <c r="D7056" s="16">
        <v>2</v>
      </c>
      <c r="E7056" s="17">
        <v>423.04</v>
      </c>
      <c r="F7056" s="16">
        <v>0.05</v>
      </c>
      <c r="G7056" s="15" t="s">
        <v>101</v>
      </c>
      <c r="H7056" s="18">
        <v>-270.7</v>
      </c>
      <c r="I7056" s="19">
        <v>210.55</v>
      </c>
      <c r="J7056" s="19">
        <v>9.99</v>
      </c>
      <c r="K7056" s="19" t="s">
        <v>44</v>
      </c>
      <c r="L7056" s="19" t="s">
        <v>89</v>
      </c>
      <c r="M7056" s="15" t="s">
        <v>2326</v>
      </c>
      <c r="N7056" s="15" t="s">
        <v>36</v>
      </c>
      <c r="O7056" s="15" t="s">
        <v>37</v>
      </c>
      <c r="P7056" s="20" t="s">
        <v>530</v>
      </c>
      <c r="Q7056" s="15" t="s">
        <v>83</v>
      </c>
      <c r="R7056" s="4"/>
      <c r="S7056" s="4"/>
    </row>
    <row r="7057" spans="1:19" ht="21" customHeight="1" x14ac:dyDescent="0.25">
      <c r="A7057" s="14">
        <f>DATE(2012,12,31)-534</f>
        <v>40740</v>
      </c>
      <c r="B7057" s="15" t="s">
        <v>1963</v>
      </c>
      <c r="C7057" s="15" t="s">
        <v>51</v>
      </c>
      <c r="D7057" s="16">
        <v>20</v>
      </c>
      <c r="E7057" s="17">
        <v>2197.4115000000002</v>
      </c>
      <c r="F7057" s="16">
        <v>0</v>
      </c>
      <c r="G7057" s="15" t="s">
        <v>101</v>
      </c>
      <c r="H7057" s="18">
        <v>305.964</v>
      </c>
      <c r="I7057" s="19">
        <v>125.99</v>
      </c>
      <c r="J7057" s="19">
        <v>7.69</v>
      </c>
      <c r="K7057" s="19" t="s">
        <v>44</v>
      </c>
      <c r="L7057" s="19" t="s">
        <v>120</v>
      </c>
      <c r="M7057" s="15" t="s">
        <v>2262</v>
      </c>
      <c r="N7057" s="15" t="s">
        <v>64</v>
      </c>
      <c r="O7057" s="15" t="s">
        <v>65</v>
      </c>
      <c r="P7057" s="20" t="s">
        <v>731</v>
      </c>
      <c r="Q7057" s="15" t="s">
        <v>83</v>
      </c>
      <c r="R7057" s="4"/>
      <c r="S7057" s="4"/>
    </row>
    <row r="7058" spans="1:19" ht="21" customHeight="1" x14ac:dyDescent="0.25">
      <c r="A7058" s="14">
        <f>DATE(2012,12,31)-304</f>
        <v>40970</v>
      </c>
      <c r="B7058" s="15" t="s">
        <v>932</v>
      </c>
      <c r="C7058" s="15" t="s">
        <v>51</v>
      </c>
      <c r="D7058" s="16">
        <v>30</v>
      </c>
      <c r="E7058" s="17">
        <v>11041.42</v>
      </c>
      <c r="F7058" s="16">
        <v>7.0000000000000007E-2</v>
      </c>
      <c r="G7058" s="15" t="s">
        <v>32</v>
      </c>
      <c r="H7058" s="18">
        <v>4456.2524999999996</v>
      </c>
      <c r="I7058" s="19">
        <v>387.99</v>
      </c>
      <c r="J7058" s="19">
        <v>19.989999999999998</v>
      </c>
      <c r="K7058" s="19" t="s">
        <v>44</v>
      </c>
      <c r="L7058" s="19" t="s">
        <v>89</v>
      </c>
      <c r="M7058" s="15" t="s">
        <v>2326</v>
      </c>
      <c r="N7058" s="15" t="s">
        <v>36</v>
      </c>
      <c r="O7058" s="15" t="s">
        <v>170</v>
      </c>
      <c r="P7058" s="20" t="s">
        <v>370</v>
      </c>
      <c r="Q7058" s="15" t="s">
        <v>83</v>
      </c>
      <c r="R7058" s="4"/>
      <c r="S7058" s="4"/>
    </row>
    <row r="7059" spans="1:19" ht="21" customHeight="1" x14ac:dyDescent="0.25">
      <c r="A7059" s="14">
        <f>DATE(2012,12,31)-123</f>
        <v>41151</v>
      </c>
      <c r="B7059" s="15" t="s">
        <v>1334</v>
      </c>
      <c r="C7059" s="15" t="s">
        <v>51</v>
      </c>
      <c r="D7059" s="16">
        <v>43</v>
      </c>
      <c r="E7059" s="17">
        <v>683.46</v>
      </c>
      <c r="F7059" s="16">
        <v>0.09</v>
      </c>
      <c r="G7059" s="15" t="s">
        <v>32</v>
      </c>
      <c r="H7059" s="18">
        <v>-138.82</v>
      </c>
      <c r="I7059" s="19">
        <v>16.98</v>
      </c>
      <c r="J7059" s="19">
        <v>12.39</v>
      </c>
      <c r="K7059" s="19" t="s">
        <v>44</v>
      </c>
      <c r="L7059" s="19" t="s">
        <v>45</v>
      </c>
      <c r="M7059" s="15" t="s">
        <v>2271</v>
      </c>
      <c r="N7059" s="15" t="s">
        <v>36</v>
      </c>
      <c r="O7059" s="15" t="s">
        <v>189</v>
      </c>
      <c r="P7059" s="20" t="s">
        <v>415</v>
      </c>
      <c r="Q7059" s="15" t="s">
        <v>83</v>
      </c>
      <c r="R7059" s="4"/>
      <c r="S7059" s="4"/>
    </row>
    <row r="7060" spans="1:19" ht="21" customHeight="1" x14ac:dyDescent="0.25">
      <c r="A7060" s="14">
        <f>DATE(2012,12,31)-481</f>
        <v>40793</v>
      </c>
      <c r="B7060" s="15" t="s">
        <v>794</v>
      </c>
      <c r="C7060" s="15" t="s">
        <v>43</v>
      </c>
      <c r="D7060" s="16">
        <v>48</v>
      </c>
      <c r="E7060" s="17">
        <v>389.28</v>
      </c>
      <c r="F7060" s="16">
        <v>0.1</v>
      </c>
      <c r="G7060" s="15" t="s">
        <v>32</v>
      </c>
      <c r="H7060" s="18">
        <v>-37.43</v>
      </c>
      <c r="I7060" s="19">
        <v>8.67</v>
      </c>
      <c r="J7060" s="19">
        <v>3.5</v>
      </c>
      <c r="K7060" s="19" t="s">
        <v>44</v>
      </c>
      <c r="L7060" s="19" t="s">
        <v>89</v>
      </c>
      <c r="M7060" s="15" t="s">
        <v>2326</v>
      </c>
      <c r="N7060" s="15" t="s">
        <v>36</v>
      </c>
      <c r="O7060" s="15" t="s">
        <v>176</v>
      </c>
      <c r="P7060" s="20" t="s">
        <v>1794</v>
      </c>
      <c r="Q7060" s="15" t="s">
        <v>83</v>
      </c>
      <c r="R7060" s="4"/>
      <c r="S7060" s="4"/>
    </row>
    <row r="7061" spans="1:19" ht="21" customHeight="1" x14ac:dyDescent="0.25">
      <c r="A7061" s="14">
        <f>DATE(2012,12,31)-330</f>
        <v>40944</v>
      </c>
      <c r="B7061" s="15" t="s">
        <v>527</v>
      </c>
      <c r="C7061" s="15" t="s">
        <v>85</v>
      </c>
      <c r="D7061" s="16">
        <v>22</v>
      </c>
      <c r="E7061" s="17">
        <v>1505.67</v>
      </c>
      <c r="F7061" s="16">
        <v>0.1</v>
      </c>
      <c r="G7061" s="15" t="s">
        <v>58</v>
      </c>
      <c r="H7061" s="18">
        <v>-436.23</v>
      </c>
      <c r="I7061" s="19">
        <v>70.98</v>
      </c>
      <c r="J7061" s="19">
        <v>30</v>
      </c>
      <c r="K7061" s="19" t="s">
        <v>44</v>
      </c>
      <c r="L7061" s="19" t="s">
        <v>120</v>
      </c>
      <c r="M7061" s="15" t="s">
        <v>2262</v>
      </c>
      <c r="N7061" s="15" t="s">
        <v>54</v>
      </c>
      <c r="O7061" s="15" t="s">
        <v>252</v>
      </c>
      <c r="P7061" s="20" t="s">
        <v>1445</v>
      </c>
      <c r="Q7061" s="15" t="s">
        <v>181</v>
      </c>
      <c r="R7061" s="4"/>
      <c r="S7061" s="4"/>
    </row>
    <row r="7062" spans="1:19" ht="21" customHeight="1" x14ac:dyDescent="0.25">
      <c r="A7062" s="14">
        <f>DATE(2012,12,31)-959</f>
        <v>40315</v>
      </c>
      <c r="B7062" s="15" t="s">
        <v>1488</v>
      </c>
      <c r="C7062" s="15" t="s">
        <v>31</v>
      </c>
      <c r="D7062" s="16">
        <v>39</v>
      </c>
      <c r="E7062" s="17">
        <v>173.47</v>
      </c>
      <c r="F7062" s="16">
        <v>0.05</v>
      </c>
      <c r="G7062" s="15" t="s">
        <v>32</v>
      </c>
      <c r="H7062" s="18">
        <v>-4.96</v>
      </c>
      <c r="I7062" s="19">
        <v>4.63</v>
      </c>
      <c r="J7062" s="19">
        <v>1.93</v>
      </c>
      <c r="K7062" s="19" t="s">
        <v>44</v>
      </c>
      <c r="L7062" s="19" t="s">
        <v>45</v>
      </c>
      <c r="M7062" s="15" t="s">
        <v>2271</v>
      </c>
      <c r="N7062" s="15" t="s">
        <v>36</v>
      </c>
      <c r="O7062" s="15" t="s">
        <v>77</v>
      </c>
      <c r="P7062" s="20" t="s">
        <v>1345</v>
      </c>
      <c r="Q7062" s="15" t="s">
        <v>79</v>
      </c>
      <c r="R7062" s="4"/>
      <c r="S7062" s="4"/>
    </row>
    <row r="7063" spans="1:19" ht="21" customHeight="1" x14ac:dyDescent="0.25">
      <c r="A7063" s="14">
        <f>DATE(2012,12,31)-959</f>
        <v>40315</v>
      </c>
      <c r="B7063" s="15" t="s">
        <v>1488</v>
      </c>
      <c r="C7063" s="15" t="s">
        <v>31</v>
      </c>
      <c r="D7063" s="16">
        <v>48</v>
      </c>
      <c r="E7063" s="17">
        <v>2832.88</v>
      </c>
      <c r="F7063" s="16">
        <v>0.01</v>
      </c>
      <c r="G7063" s="15" t="s">
        <v>32</v>
      </c>
      <c r="H7063" s="18">
        <v>668.96100000000001</v>
      </c>
      <c r="I7063" s="19">
        <v>65.989999999999995</v>
      </c>
      <c r="J7063" s="19">
        <v>8.8000000000000007</v>
      </c>
      <c r="K7063" s="19" t="s">
        <v>44</v>
      </c>
      <c r="L7063" s="19" t="s">
        <v>89</v>
      </c>
      <c r="M7063" s="15" t="s">
        <v>2326</v>
      </c>
      <c r="N7063" s="15" t="s">
        <v>64</v>
      </c>
      <c r="O7063" s="15" t="s">
        <v>65</v>
      </c>
      <c r="P7063" s="20" t="s">
        <v>913</v>
      </c>
      <c r="Q7063" s="15" t="s">
        <v>83</v>
      </c>
      <c r="R7063" s="4"/>
      <c r="S7063" s="4"/>
    </row>
    <row r="7064" spans="1:19" ht="21" customHeight="1" x14ac:dyDescent="0.25">
      <c r="A7064" s="14">
        <f>DATE(2012,12,31)-1348</f>
        <v>39926</v>
      </c>
      <c r="B7064" s="15" t="s">
        <v>403</v>
      </c>
      <c r="C7064" s="15" t="s">
        <v>85</v>
      </c>
      <c r="D7064" s="16">
        <v>10</v>
      </c>
      <c r="E7064" s="17">
        <v>29.12</v>
      </c>
      <c r="F7064" s="16">
        <v>0.08</v>
      </c>
      <c r="G7064" s="15" t="s">
        <v>32</v>
      </c>
      <c r="H7064" s="18">
        <v>7.13</v>
      </c>
      <c r="I7064" s="19">
        <v>2.88</v>
      </c>
      <c r="J7064" s="19">
        <v>0.5</v>
      </c>
      <c r="K7064" s="19" t="s">
        <v>44</v>
      </c>
      <c r="L7064" s="19" t="s">
        <v>45</v>
      </c>
      <c r="M7064" s="15" t="s">
        <v>2271</v>
      </c>
      <c r="N7064" s="15" t="s">
        <v>36</v>
      </c>
      <c r="O7064" s="15" t="s">
        <v>114</v>
      </c>
      <c r="P7064" s="20" t="s">
        <v>2238</v>
      </c>
      <c r="Q7064" s="15" t="s">
        <v>83</v>
      </c>
      <c r="R7064" s="4"/>
      <c r="S7064" s="4"/>
    </row>
    <row r="7065" spans="1:19" ht="21" customHeight="1" x14ac:dyDescent="0.25">
      <c r="A7065" s="14">
        <f>DATE(2012,12,31)-1168</f>
        <v>40106</v>
      </c>
      <c r="B7065" s="15" t="s">
        <v>403</v>
      </c>
      <c r="C7065" s="15" t="s">
        <v>85</v>
      </c>
      <c r="D7065" s="16">
        <v>18</v>
      </c>
      <c r="E7065" s="17">
        <v>3267.41</v>
      </c>
      <c r="F7065" s="16">
        <v>0</v>
      </c>
      <c r="G7065" s="15" t="s">
        <v>58</v>
      </c>
      <c r="H7065" s="18">
        <v>248.19</v>
      </c>
      <c r="I7065" s="19">
        <v>170.98</v>
      </c>
      <c r="J7065" s="19">
        <v>35.89</v>
      </c>
      <c r="K7065" s="19" t="s">
        <v>44</v>
      </c>
      <c r="L7065" s="19" t="s">
        <v>120</v>
      </c>
      <c r="M7065" s="15" t="s">
        <v>2262</v>
      </c>
      <c r="N7065" s="15" t="s">
        <v>54</v>
      </c>
      <c r="O7065" s="15" t="s">
        <v>134</v>
      </c>
      <c r="P7065" s="20" t="s">
        <v>2200</v>
      </c>
      <c r="Q7065" s="15" t="s">
        <v>63</v>
      </c>
      <c r="R7065" s="4"/>
      <c r="S7065" s="4"/>
    </row>
    <row r="7066" spans="1:19" ht="21" customHeight="1" x14ac:dyDescent="0.25">
      <c r="A7066" s="14">
        <f>DATE(2012,12,31)-1168</f>
        <v>40106</v>
      </c>
      <c r="B7066" s="15" t="s">
        <v>1080</v>
      </c>
      <c r="C7066" s="15" t="s">
        <v>85</v>
      </c>
      <c r="D7066" s="16">
        <v>42</v>
      </c>
      <c r="E7066" s="17">
        <v>26126.92</v>
      </c>
      <c r="F7066" s="16">
        <v>0.04</v>
      </c>
      <c r="G7066" s="15" t="s">
        <v>32</v>
      </c>
      <c r="H7066" s="18">
        <v>9498.6</v>
      </c>
      <c r="I7066" s="19">
        <v>599.99</v>
      </c>
      <c r="J7066" s="19">
        <v>24.49</v>
      </c>
      <c r="K7066" s="19" t="s">
        <v>44</v>
      </c>
      <c r="L7066" s="19" t="s">
        <v>89</v>
      </c>
      <c r="M7066" s="15" t="s">
        <v>2326</v>
      </c>
      <c r="N7066" s="15" t="s">
        <v>64</v>
      </c>
      <c r="O7066" s="15" t="s">
        <v>460</v>
      </c>
      <c r="P7066" s="20" t="s">
        <v>1561</v>
      </c>
      <c r="Q7066" s="15" t="s">
        <v>39</v>
      </c>
      <c r="R7066" s="4"/>
      <c r="S7066" s="4"/>
    </row>
    <row r="7067" spans="1:19" ht="21" customHeight="1" x14ac:dyDescent="0.25">
      <c r="A7067" s="14">
        <f>DATE(2012,12,31)-1163</f>
        <v>40111</v>
      </c>
      <c r="B7067" s="15" t="s">
        <v>386</v>
      </c>
      <c r="C7067" s="15" t="s">
        <v>85</v>
      </c>
      <c r="D7067" s="16">
        <v>42</v>
      </c>
      <c r="E7067" s="17">
        <v>194.2</v>
      </c>
      <c r="F7067" s="16">
        <v>0</v>
      </c>
      <c r="G7067" s="15" t="s">
        <v>32</v>
      </c>
      <c r="H7067" s="18">
        <v>-139.13</v>
      </c>
      <c r="I7067" s="19">
        <v>4.37</v>
      </c>
      <c r="J7067" s="19">
        <v>5.15</v>
      </c>
      <c r="K7067" s="19" t="s">
        <v>44</v>
      </c>
      <c r="L7067" s="19" t="s">
        <v>45</v>
      </c>
      <c r="M7067" s="15" t="s">
        <v>2271</v>
      </c>
      <c r="N7067" s="15" t="s">
        <v>36</v>
      </c>
      <c r="O7067" s="15" t="s">
        <v>176</v>
      </c>
      <c r="P7067" s="20" t="s">
        <v>1647</v>
      </c>
      <c r="Q7067" s="15" t="s">
        <v>83</v>
      </c>
      <c r="R7067" s="4"/>
      <c r="S7067" s="4"/>
    </row>
    <row r="7068" spans="1:19" ht="21" customHeight="1" x14ac:dyDescent="0.25">
      <c r="A7068" s="14">
        <f>DATE(2012,12,31)-1163</f>
        <v>40111</v>
      </c>
      <c r="B7068" s="15" t="s">
        <v>386</v>
      </c>
      <c r="C7068" s="15" t="s">
        <v>85</v>
      </c>
      <c r="D7068" s="16">
        <v>31</v>
      </c>
      <c r="E7068" s="17">
        <v>16451.330000000002</v>
      </c>
      <c r="F7068" s="16">
        <v>0.01</v>
      </c>
      <c r="G7068" s="15" t="s">
        <v>58</v>
      </c>
      <c r="H7068" s="18">
        <v>5325.14</v>
      </c>
      <c r="I7068" s="19">
        <v>500.98</v>
      </c>
      <c r="J7068" s="19">
        <v>56</v>
      </c>
      <c r="K7068" s="19" t="s">
        <v>44</v>
      </c>
      <c r="L7068" s="19" t="s">
        <v>120</v>
      </c>
      <c r="M7068" s="15" t="s">
        <v>2262</v>
      </c>
      <c r="N7068" s="15" t="s">
        <v>54</v>
      </c>
      <c r="O7068" s="15" t="s">
        <v>252</v>
      </c>
      <c r="P7068" s="20" t="s">
        <v>402</v>
      </c>
      <c r="Q7068" s="15" t="s">
        <v>181</v>
      </c>
      <c r="R7068" s="4"/>
      <c r="S7068" s="4"/>
    </row>
    <row r="7069" spans="1:19" ht="21" customHeight="1" x14ac:dyDescent="0.25">
      <c r="A7069" s="14">
        <f>DATE(2012,12,31)-1163</f>
        <v>40111</v>
      </c>
      <c r="B7069" s="15" t="s">
        <v>226</v>
      </c>
      <c r="C7069" s="15" t="s">
        <v>85</v>
      </c>
      <c r="D7069" s="16">
        <v>39</v>
      </c>
      <c r="E7069" s="17">
        <v>485.97</v>
      </c>
      <c r="F7069" s="16">
        <v>0.02</v>
      </c>
      <c r="G7069" s="15" t="s">
        <v>32</v>
      </c>
      <c r="H7069" s="18">
        <v>48.6</v>
      </c>
      <c r="I7069" s="19">
        <v>12.58</v>
      </c>
      <c r="J7069" s="19">
        <v>5.16</v>
      </c>
      <c r="K7069" s="19" t="s">
        <v>44</v>
      </c>
      <c r="L7069" s="19" t="s">
        <v>120</v>
      </c>
      <c r="M7069" s="15" t="s">
        <v>2262</v>
      </c>
      <c r="N7069" s="15" t="s">
        <v>54</v>
      </c>
      <c r="O7069" s="15" t="s">
        <v>55</v>
      </c>
      <c r="P7069" s="20" t="s">
        <v>299</v>
      </c>
      <c r="Q7069" s="15" t="s">
        <v>83</v>
      </c>
      <c r="R7069" s="4"/>
      <c r="S7069" s="4"/>
    </row>
    <row r="7070" spans="1:19" ht="21" customHeight="1" x14ac:dyDescent="0.25">
      <c r="A7070" s="14">
        <f>DATE(2012,12,31)-1163</f>
        <v>40111</v>
      </c>
      <c r="B7070" s="15" t="s">
        <v>1189</v>
      </c>
      <c r="C7070" s="15" t="s">
        <v>85</v>
      </c>
      <c r="D7070" s="16">
        <v>15</v>
      </c>
      <c r="E7070" s="17">
        <v>109.71</v>
      </c>
      <c r="F7070" s="16">
        <v>0.1</v>
      </c>
      <c r="G7070" s="15" t="s">
        <v>32</v>
      </c>
      <c r="H7070" s="18">
        <v>-20.95</v>
      </c>
      <c r="I7070" s="19">
        <v>7.7</v>
      </c>
      <c r="J7070" s="19">
        <v>3.68</v>
      </c>
      <c r="K7070" s="19" t="s">
        <v>44</v>
      </c>
      <c r="L7070" s="19" t="s">
        <v>45</v>
      </c>
      <c r="M7070" s="15" t="s">
        <v>2271</v>
      </c>
      <c r="N7070" s="15" t="s">
        <v>54</v>
      </c>
      <c r="O7070" s="15" t="s">
        <v>55</v>
      </c>
      <c r="P7070" s="20" t="s">
        <v>1252</v>
      </c>
      <c r="Q7070" s="15" t="s">
        <v>79</v>
      </c>
      <c r="R7070" s="4"/>
      <c r="S7070" s="4"/>
    </row>
    <row r="7071" spans="1:19" ht="21" customHeight="1" x14ac:dyDescent="0.25">
      <c r="A7071" s="14">
        <f>DATE(2012,12,31)-379</f>
        <v>40895</v>
      </c>
      <c r="B7071" s="15" t="s">
        <v>318</v>
      </c>
      <c r="C7071" s="15" t="s">
        <v>51</v>
      </c>
      <c r="D7071" s="16">
        <v>40</v>
      </c>
      <c r="E7071" s="17">
        <v>315.45</v>
      </c>
      <c r="F7071" s="16">
        <v>0.01</v>
      </c>
      <c r="G7071" s="15" t="s">
        <v>32</v>
      </c>
      <c r="H7071" s="18">
        <v>-305.87700000000001</v>
      </c>
      <c r="I7071" s="19">
        <v>7.38</v>
      </c>
      <c r="J7071" s="19">
        <v>11.51</v>
      </c>
      <c r="K7071" s="19" t="s">
        <v>44</v>
      </c>
      <c r="L7071" s="19" t="s">
        <v>120</v>
      </c>
      <c r="M7071" s="15" t="s">
        <v>2262</v>
      </c>
      <c r="N7071" s="15" t="s">
        <v>36</v>
      </c>
      <c r="O7071" s="15" t="s">
        <v>170</v>
      </c>
      <c r="P7071" s="20" t="s">
        <v>1184</v>
      </c>
      <c r="Q7071" s="15" t="s">
        <v>83</v>
      </c>
      <c r="R7071" s="4"/>
      <c r="S7071" s="4"/>
    </row>
    <row r="7072" spans="1:19" ht="21" customHeight="1" x14ac:dyDescent="0.25">
      <c r="A7072" s="14">
        <f>DATE(2012,12,31)-379</f>
        <v>40895</v>
      </c>
      <c r="B7072" s="15" t="s">
        <v>1125</v>
      </c>
      <c r="C7072" s="15" t="s">
        <v>51</v>
      </c>
      <c r="D7072" s="16">
        <v>16</v>
      </c>
      <c r="E7072" s="17">
        <v>60.02</v>
      </c>
      <c r="F7072" s="16">
        <v>0.1</v>
      </c>
      <c r="G7072" s="15" t="s">
        <v>101</v>
      </c>
      <c r="H7072" s="18">
        <v>0.9399999999999995</v>
      </c>
      <c r="I7072" s="19">
        <v>3.71</v>
      </c>
      <c r="J7072" s="19">
        <v>1.93</v>
      </c>
      <c r="K7072" s="19" t="s">
        <v>44</v>
      </c>
      <c r="L7072" s="19" t="s">
        <v>45</v>
      </c>
      <c r="M7072" s="15" t="s">
        <v>2271</v>
      </c>
      <c r="N7072" s="15" t="s">
        <v>36</v>
      </c>
      <c r="O7072" s="15" t="s">
        <v>117</v>
      </c>
      <c r="P7072" s="20" t="s">
        <v>2125</v>
      </c>
      <c r="Q7072" s="15" t="s">
        <v>79</v>
      </c>
      <c r="R7072" s="4"/>
      <c r="S7072" s="4"/>
    </row>
    <row r="7073" spans="1:19" ht="21" customHeight="1" x14ac:dyDescent="0.25">
      <c r="A7073" s="14">
        <f>DATE(2012,12,31)-379</f>
        <v>40895</v>
      </c>
      <c r="B7073" s="15" t="s">
        <v>1765</v>
      </c>
      <c r="C7073" s="15" t="s">
        <v>51</v>
      </c>
      <c r="D7073" s="16">
        <v>49</v>
      </c>
      <c r="E7073" s="17">
        <v>7413.29</v>
      </c>
      <c r="F7073" s="16">
        <v>0.01</v>
      </c>
      <c r="G7073" s="15" t="s">
        <v>58</v>
      </c>
      <c r="H7073" s="18">
        <v>1148.23</v>
      </c>
      <c r="I7073" s="19">
        <v>150.97999999999999</v>
      </c>
      <c r="J7073" s="19">
        <v>16.010000000000002</v>
      </c>
      <c r="K7073" s="19" t="s">
        <v>44</v>
      </c>
      <c r="L7073" s="19" t="s">
        <v>120</v>
      </c>
      <c r="M7073" s="15" t="s">
        <v>2262</v>
      </c>
      <c r="N7073" s="15" t="s">
        <v>54</v>
      </c>
      <c r="O7073" s="15" t="s">
        <v>61</v>
      </c>
      <c r="P7073" s="20" t="s">
        <v>1357</v>
      </c>
      <c r="Q7073" s="15" t="s">
        <v>63</v>
      </c>
      <c r="R7073" s="4"/>
      <c r="S7073" s="4"/>
    </row>
    <row r="7074" spans="1:19" ht="21" customHeight="1" x14ac:dyDescent="0.25">
      <c r="A7074" s="14">
        <f>DATE(2012,12,31)-783</f>
        <v>40491</v>
      </c>
      <c r="B7074" s="15" t="s">
        <v>1612</v>
      </c>
      <c r="C7074" s="15" t="s">
        <v>85</v>
      </c>
      <c r="D7074" s="16">
        <v>26</v>
      </c>
      <c r="E7074" s="17">
        <v>1614.84</v>
      </c>
      <c r="F7074" s="16">
        <v>0.02</v>
      </c>
      <c r="G7074" s="15" t="s">
        <v>101</v>
      </c>
      <c r="H7074" s="18">
        <v>-716.55</v>
      </c>
      <c r="I7074" s="19">
        <v>60.98</v>
      </c>
      <c r="J7074" s="19">
        <v>49</v>
      </c>
      <c r="K7074" s="19" t="s">
        <v>44</v>
      </c>
      <c r="L7074" s="19" t="s">
        <v>89</v>
      </c>
      <c r="M7074" s="15" t="s">
        <v>2326</v>
      </c>
      <c r="N7074" s="15" t="s">
        <v>36</v>
      </c>
      <c r="O7074" s="15" t="s">
        <v>176</v>
      </c>
      <c r="P7074" s="20" t="s">
        <v>1501</v>
      </c>
      <c r="Q7074" s="15" t="s">
        <v>39</v>
      </c>
      <c r="R7074" s="4"/>
      <c r="S7074" s="4"/>
    </row>
    <row r="7075" spans="1:19" ht="21" customHeight="1" x14ac:dyDescent="0.25">
      <c r="A7075" s="14">
        <f>DATE(2012,12,31)-381</f>
        <v>40893</v>
      </c>
      <c r="B7075" s="15" t="s">
        <v>1528</v>
      </c>
      <c r="C7075" s="15" t="s">
        <v>85</v>
      </c>
      <c r="D7075" s="16">
        <v>50</v>
      </c>
      <c r="E7075" s="17">
        <v>600.22</v>
      </c>
      <c r="F7075" s="16">
        <v>0.08</v>
      </c>
      <c r="G7075" s="15" t="s">
        <v>32</v>
      </c>
      <c r="H7075" s="18">
        <v>27.86</v>
      </c>
      <c r="I7075" s="19">
        <v>12.98</v>
      </c>
      <c r="J7075" s="19">
        <v>3.14</v>
      </c>
      <c r="K7075" s="19" t="s">
        <v>124</v>
      </c>
      <c r="L7075" s="19" t="s">
        <v>125</v>
      </c>
      <c r="M7075" s="15" t="s">
        <v>2325</v>
      </c>
      <c r="N7075" s="15" t="s">
        <v>36</v>
      </c>
      <c r="O7075" s="15" t="s">
        <v>47</v>
      </c>
      <c r="P7075" s="20" t="s">
        <v>1655</v>
      </c>
      <c r="Q7075" s="15" t="s">
        <v>49</v>
      </c>
      <c r="R7075" s="4"/>
      <c r="S7075" s="4"/>
    </row>
    <row r="7076" spans="1:19" ht="21" customHeight="1" x14ac:dyDescent="0.25">
      <c r="A7076" s="14">
        <f>DATE(2012,12,31)-836</f>
        <v>40438</v>
      </c>
      <c r="B7076" s="15" t="s">
        <v>1892</v>
      </c>
      <c r="C7076" s="15" t="s">
        <v>51</v>
      </c>
      <c r="D7076" s="16">
        <v>28</v>
      </c>
      <c r="E7076" s="17">
        <v>327.95</v>
      </c>
      <c r="F7076" s="16">
        <v>0</v>
      </c>
      <c r="G7076" s="15" t="s">
        <v>32</v>
      </c>
      <c r="H7076" s="18">
        <v>43.6815</v>
      </c>
      <c r="I7076" s="19">
        <v>10.98</v>
      </c>
      <c r="J7076" s="19">
        <v>5.14</v>
      </c>
      <c r="K7076" s="19" t="s">
        <v>33</v>
      </c>
      <c r="L7076" s="19" t="s">
        <v>93</v>
      </c>
      <c r="M7076" s="15" t="s">
        <v>94</v>
      </c>
      <c r="N7076" s="15" t="s">
        <v>36</v>
      </c>
      <c r="O7076" s="15" t="s">
        <v>170</v>
      </c>
      <c r="P7076" s="20" t="s">
        <v>847</v>
      </c>
      <c r="Q7076" s="15" t="s">
        <v>83</v>
      </c>
      <c r="R7076" s="4"/>
      <c r="S7076" s="4"/>
    </row>
    <row r="7077" spans="1:19" ht="21" customHeight="1" x14ac:dyDescent="0.25">
      <c r="A7077" s="14">
        <f>DATE(2012,12,31)-836</f>
        <v>40438</v>
      </c>
      <c r="B7077" s="15" t="s">
        <v>808</v>
      </c>
      <c r="C7077" s="15" t="s">
        <v>51</v>
      </c>
      <c r="D7077" s="16">
        <v>47</v>
      </c>
      <c r="E7077" s="17">
        <v>5606.91</v>
      </c>
      <c r="F7077" s="16">
        <v>0.06</v>
      </c>
      <c r="G7077" s="15" t="s">
        <v>58</v>
      </c>
      <c r="H7077" s="18">
        <v>-300.854983</v>
      </c>
      <c r="I7077" s="19">
        <v>124.49</v>
      </c>
      <c r="J7077" s="19">
        <v>51.94</v>
      </c>
      <c r="K7077" s="19" t="s">
        <v>33</v>
      </c>
      <c r="L7077" s="19" t="s">
        <v>128</v>
      </c>
      <c r="M7077" s="15" t="s">
        <v>129</v>
      </c>
      <c r="N7077" s="15" t="s">
        <v>54</v>
      </c>
      <c r="O7077" s="15" t="s">
        <v>61</v>
      </c>
      <c r="P7077" s="20" t="s">
        <v>1243</v>
      </c>
      <c r="Q7077" s="15" t="s">
        <v>63</v>
      </c>
      <c r="R7077" s="4"/>
      <c r="S7077" s="4"/>
    </row>
    <row r="7078" spans="1:19" ht="21" customHeight="1" x14ac:dyDescent="0.25">
      <c r="A7078" s="14">
        <f>DATE(2012,12,31)-308</f>
        <v>40966</v>
      </c>
      <c r="B7078" s="15" t="s">
        <v>808</v>
      </c>
      <c r="C7078" s="15" t="s">
        <v>51</v>
      </c>
      <c r="D7078" s="16">
        <v>33</v>
      </c>
      <c r="E7078" s="17">
        <v>9758.7000000000007</v>
      </c>
      <c r="F7078" s="16">
        <v>0.04</v>
      </c>
      <c r="G7078" s="15" t="s">
        <v>32</v>
      </c>
      <c r="H7078" s="18">
        <v>3793.7030000000004</v>
      </c>
      <c r="I7078" s="19">
        <v>304.99</v>
      </c>
      <c r="J7078" s="19">
        <v>19.989999999999998</v>
      </c>
      <c r="K7078" s="19" t="s">
        <v>33</v>
      </c>
      <c r="L7078" s="19" t="s">
        <v>93</v>
      </c>
      <c r="M7078" s="15" t="s">
        <v>94</v>
      </c>
      <c r="N7078" s="15" t="s">
        <v>36</v>
      </c>
      <c r="O7078" s="15" t="s">
        <v>170</v>
      </c>
      <c r="P7078" s="20" t="s">
        <v>2083</v>
      </c>
      <c r="Q7078" s="15" t="s">
        <v>83</v>
      </c>
      <c r="R7078" s="4"/>
      <c r="S7078" s="4"/>
    </row>
    <row r="7079" spans="1:19" ht="21" customHeight="1" x14ac:dyDescent="0.25">
      <c r="A7079" s="14">
        <f>DATE(2012,12,31)-769</f>
        <v>40505</v>
      </c>
      <c r="B7079" s="15" t="s">
        <v>665</v>
      </c>
      <c r="C7079" s="15" t="s">
        <v>85</v>
      </c>
      <c r="D7079" s="16">
        <v>1</v>
      </c>
      <c r="E7079" s="17">
        <v>129.88</v>
      </c>
      <c r="F7079" s="16">
        <v>0.1</v>
      </c>
      <c r="G7079" s="15" t="s">
        <v>58</v>
      </c>
      <c r="H7079" s="18">
        <v>-89.9</v>
      </c>
      <c r="I7079" s="19">
        <v>110.98</v>
      </c>
      <c r="J7079" s="19">
        <v>30</v>
      </c>
      <c r="K7079" s="19" t="s">
        <v>33</v>
      </c>
      <c r="L7079" s="19" t="s">
        <v>128</v>
      </c>
      <c r="M7079" s="15" t="s">
        <v>129</v>
      </c>
      <c r="N7079" s="15" t="s">
        <v>54</v>
      </c>
      <c r="O7079" s="15" t="s">
        <v>252</v>
      </c>
      <c r="P7079" s="20" t="s">
        <v>1205</v>
      </c>
      <c r="Q7079" s="15" t="s">
        <v>181</v>
      </c>
      <c r="R7079" s="4"/>
      <c r="S7079" s="4"/>
    </row>
    <row r="7080" spans="1:19" ht="21" customHeight="1" x14ac:dyDescent="0.25">
      <c r="A7080" s="14">
        <f>DATE(2012,12,31)-769</f>
        <v>40505</v>
      </c>
      <c r="B7080" s="15" t="s">
        <v>194</v>
      </c>
      <c r="C7080" s="15" t="s">
        <v>85</v>
      </c>
      <c r="D7080" s="16">
        <v>19</v>
      </c>
      <c r="E7080" s="17">
        <v>2441.1405</v>
      </c>
      <c r="F7080" s="16">
        <v>0.05</v>
      </c>
      <c r="G7080" s="15" t="s">
        <v>32</v>
      </c>
      <c r="H7080" s="18">
        <v>261.96299999999997</v>
      </c>
      <c r="I7080" s="19">
        <v>155.99</v>
      </c>
      <c r="J7080" s="19">
        <v>8.99</v>
      </c>
      <c r="K7080" s="19" t="s">
        <v>33</v>
      </c>
      <c r="L7080" s="19" t="s">
        <v>128</v>
      </c>
      <c r="M7080" s="15" t="s">
        <v>129</v>
      </c>
      <c r="N7080" s="15" t="s">
        <v>64</v>
      </c>
      <c r="O7080" s="15" t="s">
        <v>65</v>
      </c>
      <c r="P7080" s="20" t="s">
        <v>1626</v>
      </c>
      <c r="Q7080" s="15" t="s">
        <v>83</v>
      </c>
      <c r="R7080" s="4"/>
      <c r="S7080" s="4"/>
    </row>
    <row r="7081" spans="1:19" ht="21" customHeight="1" x14ac:dyDescent="0.25">
      <c r="A7081" s="14">
        <f>DATE(2012,12,31)-427</f>
        <v>40847</v>
      </c>
      <c r="B7081" s="15" t="s">
        <v>2149</v>
      </c>
      <c r="C7081" s="15" t="s">
        <v>31</v>
      </c>
      <c r="D7081" s="16">
        <v>45</v>
      </c>
      <c r="E7081" s="17">
        <v>9248.74</v>
      </c>
      <c r="F7081" s="16">
        <v>0</v>
      </c>
      <c r="G7081" s="15" t="s">
        <v>58</v>
      </c>
      <c r="H7081" s="18">
        <v>2532</v>
      </c>
      <c r="I7081" s="19">
        <v>200.98</v>
      </c>
      <c r="J7081" s="19">
        <v>23.76</v>
      </c>
      <c r="K7081" s="19" t="s">
        <v>97</v>
      </c>
      <c r="L7081" s="19" t="s">
        <v>98</v>
      </c>
      <c r="M7081" s="15" t="s">
        <v>2328</v>
      </c>
      <c r="N7081" s="15" t="s">
        <v>54</v>
      </c>
      <c r="O7081" s="15" t="s">
        <v>252</v>
      </c>
      <c r="P7081" s="20" t="s">
        <v>609</v>
      </c>
      <c r="Q7081" s="15" t="s">
        <v>181</v>
      </c>
      <c r="R7081" s="4"/>
      <c r="S7081" s="4"/>
    </row>
    <row r="7082" spans="1:19" ht="21" customHeight="1" x14ac:dyDescent="0.25">
      <c r="A7082" s="14">
        <f>DATE(2012,12,31)-427</f>
        <v>40847</v>
      </c>
      <c r="B7082" s="15" t="s">
        <v>2149</v>
      </c>
      <c r="C7082" s="15" t="s">
        <v>31</v>
      </c>
      <c r="D7082" s="16">
        <v>21</v>
      </c>
      <c r="E7082" s="17">
        <v>98.88</v>
      </c>
      <c r="F7082" s="16">
        <v>7.0000000000000007E-2</v>
      </c>
      <c r="G7082" s="15" t="s">
        <v>101</v>
      </c>
      <c r="H7082" s="18">
        <v>36.01</v>
      </c>
      <c r="I7082" s="19">
        <v>4.13</v>
      </c>
      <c r="J7082" s="19">
        <v>0.99</v>
      </c>
      <c r="K7082" s="19" t="s">
        <v>97</v>
      </c>
      <c r="L7082" s="19" t="s">
        <v>98</v>
      </c>
      <c r="M7082" s="15" t="s">
        <v>2328</v>
      </c>
      <c r="N7082" s="15" t="s">
        <v>36</v>
      </c>
      <c r="O7082" s="15" t="s">
        <v>114</v>
      </c>
      <c r="P7082" s="20" t="s">
        <v>958</v>
      </c>
      <c r="Q7082" s="15" t="s">
        <v>83</v>
      </c>
      <c r="R7082" s="4"/>
      <c r="S7082" s="4"/>
    </row>
    <row r="7083" spans="1:19" ht="21" customHeight="1" x14ac:dyDescent="0.25">
      <c r="A7083" s="14">
        <f>DATE(2012,12,31)-1118</f>
        <v>40156</v>
      </c>
      <c r="B7083" s="15" t="s">
        <v>1467</v>
      </c>
      <c r="C7083" s="15" t="s">
        <v>43</v>
      </c>
      <c r="D7083" s="16">
        <v>9</v>
      </c>
      <c r="E7083" s="17">
        <v>64.030500000000004</v>
      </c>
      <c r="F7083" s="16">
        <v>0.06</v>
      </c>
      <c r="G7083" s="15" t="s">
        <v>32</v>
      </c>
      <c r="H7083" s="18">
        <v>-58.344000000000001</v>
      </c>
      <c r="I7083" s="19">
        <v>7.99</v>
      </c>
      <c r="J7083" s="19">
        <v>5.03</v>
      </c>
      <c r="K7083" s="19" t="s">
        <v>97</v>
      </c>
      <c r="L7083" s="19" t="s">
        <v>98</v>
      </c>
      <c r="M7083" s="15" t="s">
        <v>2328</v>
      </c>
      <c r="N7083" s="15" t="s">
        <v>64</v>
      </c>
      <c r="O7083" s="15" t="s">
        <v>65</v>
      </c>
      <c r="P7083" s="20" t="s">
        <v>1245</v>
      </c>
      <c r="Q7083" s="15" t="s">
        <v>57</v>
      </c>
      <c r="R7083" s="4"/>
      <c r="S7083" s="4"/>
    </row>
    <row r="7084" spans="1:19" ht="21" customHeight="1" x14ac:dyDescent="0.25">
      <c r="A7084" s="14">
        <f>DATE(2012,12,31)-844</f>
        <v>40430</v>
      </c>
      <c r="B7084" s="15" t="s">
        <v>1467</v>
      </c>
      <c r="C7084" s="15" t="s">
        <v>43</v>
      </c>
      <c r="D7084" s="16">
        <v>19</v>
      </c>
      <c r="E7084" s="17">
        <v>470.39</v>
      </c>
      <c r="F7084" s="16">
        <v>0.08</v>
      </c>
      <c r="G7084" s="15" t="s">
        <v>32</v>
      </c>
      <c r="H7084" s="18">
        <v>-147.99</v>
      </c>
      <c r="I7084" s="19">
        <v>26.31</v>
      </c>
      <c r="J7084" s="19">
        <v>5.89</v>
      </c>
      <c r="K7084" s="19" t="s">
        <v>97</v>
      </c>
      <c r="L7084" s="19" t="s">
        <v>98</v>
      </c>
      <c r="M7084" s="15" t="s">
        <v>2328</v>
      </c>
      <c r="N7084" s="15" t="s">
        <v>64</v>
      </c>
      <c r="O7084" s="15" t="s">
        <v>72</v>
      </c>
      <c r="P7084" s="20" t="s">
        <v>1635</v>
      </c>
      <c r="Q7084" s="15" t="s">
        <v>83</v>
      </c>
      <c r="R7084" s="4"/>
      <c r="S7084" s="4"/>
    </row>
    <row r="7085" spans="1:19" ht="21" customHeight="1" x14ac:dyDescent="0.25">
      <c r="A7085" s="14">
        <f>DATE(2012,12,31)-844</f>
        <v>40430</v>
      </c>
      <c r="B7085" s="15" t="s">
        <v>1426</v>
      </c>
      <c r="C7085" s="15" t="s">
        <v>43</v>
      </c>
      <c r="D7085" s="16">
        <v>2</v>
      </c>
      <c r="E7085" s="17">
        <v>15.04</v>
      </c>
      <c r="F7085" s="16">
        <v>0.02</v>
      </c>
      <c r="G7085" s="15" t="s">
        <v>32</v>
      </c>
      <c r="H7085" s="18">
        <v>-6.12</v>
      </c>
      <c r="I7085" s="19">
        <v>7.31</v>
      </c>
      <c r="J7085" s="19">
        <v>0.49</v>
      </c>
      <c r="K7085" s="19" t="s">
        <v>97</v>
      </c>
      <c r="L7085" s="19" t="s">
        <v>98</v>
      </c>
      <c r="M7085" s="15" t="s">
        <v>2328</v>
      </c>
      <c r="N7085" s="15" t="s">
        <v>36</v>
      </c>
      <c r="O7085" s="15" t="s">
        <v>114</v>
      </c>
      <c r="P7085" s="20" t="s">
        <v>2238</v>
      </c>
      <c r="Q7085" s="15" t="s">
        <v>83</v>
      </c>
      <c r="R7085" s="4"/>
      <c r="S7085" s="4"/>
    </row>
    <row r="7086" spans="1:19" ht="21" customHeight="1" x14ac:dyDescent="0.25">
      <c r="A7086" s="14">
        <f>DATE(2012,12,31)-172</f>
        <v>41102</v>
      </c>
      <c r="B7086" s="15" t="s">
        <v>1426</v>
      </c>
      <c r="C7086" s="15" t="s">
        <v>85</v>
      </c>
      <c r="D7086" s="16">
        <v>17</v>
      </c>
      <c r="E7086" s="17">
        <v>128.5</v>
      </c>
      <c r="F7086" s="16">
        <v>0.02</v>
      </c>
      <c r="G7086" s="15" t="s">
        <v>101</v>
      </c>
      <c r="H7086" s="18">
        <v>-44.69</v>
      </c>
      <c r="I7086" s="19">
        <v>6.68</v>
      </c>
      <c r="J7086" s="19">
        <v>6.93</v>
      </c>
      <c r="K7086" s="19" t="s">
        <v>97</v>
      </c>
      <c r="L7086" s="19" t="s">
        <v>132</v>
      </c>
      <c r="M7086" s="15" t="s">
        <v>2294</v>
      </c>
      <c r="N7086" s="15" t="s">
        <v>36</v>
      </c>
      <c r="O7086" s="15" t="s">
        <v>117</v>
      </c>
      <c r="P7086" s="20" t="s">
        <v>860</v>
      </c>
      <c r="Q7086" s="15" t="s">
        <v>83</v>
      </c>
      <c r="R7086" s="4"/>
      <c r="S7086" s="4"/>
    </row>
    <row r="7087" spans="1:19" ht="21" customHeight="1" x14ac:dyDescent="0.25">
      <c r="A7087" s="14">
        <f>DATE(2012,12,31)-1018</f>
        <v>40256</v>
      </c>
      <c r="B7087" s="15" t="s">
        <v>1174</v>
      </c>
      <c r="C7087" s="15" t="s">
        <v>31</v>
      </c>
      <c r="D7087" s="16">
        <v>46</v>
      </c>
      <c r="E7087" s="17">
        <v>2422.721</v>
      </c>
      <c r="F7087" s="16">
        <v>0.1</v>
      </c>
      <c r="G7087" s="15" t="s">
        <v>32</v>
      </c>
      <c r="H7087" s="18">
        <v>366.18299999999999</v>
      </c>
      <c r="I7087" s="19">
        <v>65.989999999999995</v>
      </c>
      <c r="J7087" s="19">
        <v>8.99</v>
      </c>
      <c r="K7087" s="19" t="s">
        <v>97</v>
      </c>
      <c r="L7087" s="19" t="s">
        <v>195</v>
      </c>
      <c r="M7087" s="15" t="s">
        <v>2138</v>
      </c>
      <c r="N7087" s="15" t="s">
        <v>64</v>
      </c>
      <c r="O7087" s="15" t="s">
        <v>65</v>
      </c>
      <c r="P7087" s="20" t="s">
        <v>1649</v>
      </c>
      <c r="Q7087" s="15" t="s">
        <v>83</v>
      </c>
      <c r="R7087" s="4"/>
      <c r="S7087" s="4"/>
    </row>
    <row r="7088" spans="1:19" ht="21" customHeight="1" x14ac:dyDescent="0.25">
      <c r="A7088" s="14">
        <f>DATE(2012,12,31)-325</f>
        <v>40949</v>
      </c>
      <c r="B7088" s="15" t="s">
        <v>398</v>
      </c>
      <c r="C7088" s="15" t="s">
        <v>51</v>
      </c>
      <c r="D7088" s="16">
        <v>20</v>
      </c>
      <c r="E7088" s="17">
        <v>638.72</v>
      </c>
      <c r="F7088" s="16">
        <v>0.04</v>
      </c>
      <c r="G7088" s="15" t="s">
        <v>32</v>
      </c>
      <c r="H7088" s="18">
        <v>-130.88</v>
      </c>
      <c r="I7088" s="19">
        <v>32.979999999999997</v>
      </c>
      <c r="J7088" s="19">
        <v>5.5</v>
      </c>
      <c r="K7088" s="19" t="s">
        <v>97</v>
      </c>
      <c r="L7088" s="19" t="s">
        <v>98</v>
      </c>
      <c r="M7088" s="15" t="s">
        <v>2328</v>
      </c>
      <c r="N7088" s="15" t="s">
        <v>64</v>
      </c>
      <c r="O7088" s="15" t="s">
        <v>72</v>
      </c>
      <c r="P7088" s="20" t="s">
        <v>1242</v>
      </c>
      <c r="Q7088" s="15" t="s">
        <v>83</v>
      </c>
      <c r="R7088" s="4"/>
      <c r="S7088" s="4"/>
    </row>
    <row r="7089" spans="1:19" ht="21" customHeight="1" x14ac:dyDescent="0.25">
      <c r="A7089" s="14">
        <f>DATE(2012,12,31)-1176</f>
        <v>40098</v>
      </c>
      <c r="B7089" s="15" t="s">
        <v>1633</v>
      </c>
      <c r="C7089" s="15" t="s">
        <v>31</v>
      </c>
      <c r="D7089" s="16">
        <v>4</v>
      </c>
      <c r="E7089" s="17">
        <v>487.72</v>
      </c>
      <c r="F7089" s="16">
        <v>0.06</v>
      </c>
      <c r="G7089" s="15" t="s">
        <v>58</v>
      </c>
      <c r="H7089" s="18">
        <v>-192.2961</v>
      </c>
      <c r="I7089" s="19">
        <v>119.99</v>
      </c>
      <c r="J7089" s="19">
        <v>14</v>
      </c>
      <c r="K7089" s="19" t="s">
        <v>97</v>
      </c>
      <c r="L7089" s="19" t="s">
        <v>283</v>
      </c>
      <c r="M7089" s="15" t="s">
        <v>2306</v>
      </c>
      <c r="N7089" s="15" t="s">
        <v>64</v>
      </c>
      <c r="O7089" s="15" t="s">
        <v>122</v>
      </c>
      <c r="P7089" s="20" t="s">
        <v>841</v>
      </c>
      <c r="Q7089" s="15" t="s">
        <v>181</v>
      </c>
      <c r="R7089" s="4"/>
      <c r="S7089" s="4"/>
    </row>
    <row r="7090" spans="1:19" ht="21" customHeight="1" x14ac:dyDescent="0.25">
      <c r="A7090" s="14">
        <f>DATE(2012,12,31)-660</f>
        <v>40614</v>
      </c>
      <c r="B7090" s="15" t="s">
        <v>2182</v>
      </c>
      <c r="C7090" s="15" t="s">
        <v>43</v>
      </c>
      <c r="D7090" s="16">
        <v>23</v>
      </c>
      <c r="E7090" s="17">
        <v>8673.9</v>
      </c>
      <c r="F7090" s="16">
        <v>0.1</v>
      </c>
      <c r="G7090" s="15" t="s">
        <v>32</v>
      </c>
      <c r="H7090" s="18">
        <v>3440.0519999999997</v>
      </c>
      <c r="I7090" s="19">
        <v>387.99</v>
      </c>
      <c r="J7090" s="19">
        <v>19.989999999999998</v>
      </c>
      <c r="K7090" s="19" t="s">
        <v>97</v>
      </c>
      <c r="L7090" s="19" t="s">
        <v>195</v>
      </c>
      <c r="M7090" s="15" t="s">
        <v>2138</v>
      </c>
      <c r="N7090" s="15" t="s">
        <v>36</v>
      </c>
      <c r="O7090" s="15" t="s">
        <v>170</v>
      </c>
      <c r="P7090" s="20" t="s">
        <v>964</v>
      </c>
      <c r="Q7090" s="15" t="s">
        <v>83</v>
      </c>
      <c r="R7090" s="4"/>
      <c r="S7090" s="4"/>
    </row>
    <row r="7091" spans="1:19" ht="21" customHeight="1" x14ac:dyDescent="0.25">
      <c r="A7091" s="14">
        <f>DATE(2012,12,31)-534</f>
        <v>40740</v>
      </c>
      <c r="B7091" s="15" t="s">
        <v>1861</v>
      </c>
      <c r="C7091" s="15" t="s">
        <v>85</v>
      </c>
      <c r="D7091" s="16">
        <v>47</v>
      </c>
      <c r="E7091" s="17">
        <v>255.65</v>
      </c>
      <c r="F7091" s="16">
        <v>0</v>
      </c>
      <c r="G7091" s="15" t="s">
        <v>32</v>
      </c>
      <c r="H7091" s="18">
        <v>-148.80000000000001</v>
      </c>
      <c r="I7091" s="19">
        <v>4.97</v>
      </c>
      <c r="J7091" s="19">
        <v>5.71</v>
      </c>
      <c r="K7091" s="19" t="s">
        <v>44</v>
      </c>
      <c r="L7091" s="19" t="s">
        <v>89</v>
      </c>
      <c r="M7091" s="15" t="s">
        <v>2326</v>
      </c>
      <c r="N7091" s="15" t="s">
        <v>54</v>
      </c>
      <c r="O7091" s="15" t="s">
        <v>55</v>
      </c>
      <c r="P7091" s="20" t="s">
        <v>1050</v>
      </c>
      <c r="Q7091" s="15" t="s">
        <v>57</v>
      </c>
      <c r="R7091" s="4"/>
      <c r="S7091" s="4"/>
    </row>
    <row r="7092" spans="1:19" ht="21" customHeight="1" x14ac:dyDescent="0.25">
      <c r="A7092" s="14">
        <f>DATE(2012,12,31)-1375</f>
        <v>39899</v>
      </c>
      <c r="B7092" s="15" t="s">
        <v>1861</v>
      </c>
      <c r="C7092" s="15" t="s">
        <v>51</v>
      </c>
      <c r="D7092" s="16">
        <v>25</v>
      </c>
      <c r="E7092" s="17">
        <v>286.07</v>
      </c>
      <c r="F7092" s="16">
        <v>7.0000000000000007E-2</v>
      </c>
      <c r="G7092" s="15" t="s">
        <v>32</v>
      </c>
      <c r="H7092" s="18">
        <v>-35.94</v>
      </c>
      <c r="I7092" s="19">
        <v>11.97</v>
      </c>
      <c r="J7092" s="19">
        <v>4.9800000000000004</v>
      </c>
      <c r="K7092" s="19" t="s">
        <v>124</v>
      </c>
      <c r="L7092" s="19" t="s">
        <v>493</v>
      </c>
      <c r="M7092" s="15" t="s">
        <v>2299</v>
      </c>
      <c r="N7092" s="15" t="s">
        <v>36</v>
      </c>
      <c r="O7092" s="15" t="s">
        <v>176</v>
      </c>
      <c r="P7092" s="20" t="s">
        <v>2041</v>
      </c>
      <c r="Q7092" s="15" t="s">
        <v>83</v>
      </c>
      <c r="R7092" s="4"/>
      <c r="S7092" s="4"/>
    </row>
    <row r="7093" spans="1:19" ht="21" customHeight="1" x14ac:dyDescent="0.25">
      <c r="A7093" s="14">
        <f>DATE(2012,12,31)-1375</f>
        <v>39899</v>
      </c>
      <c r="B7093" s="15" t="s">
        <v>448</v>
      </c>
      <c r="C7093" s="15" t="s">
        <v>51</v>
      </c>
      <c r="D7093" s="16">
        <v>26</v>
      </c>
      <c r="E7093" s="17">
        <v>733.92</v>
      </c>
      <c r="F7093" s="16">
        <v>0.03</v>
      </c>
      <c r="G7093" s="15" t="s">
        <v>32</v>
      </c>
      <c r="H7093" s="18">
        <v>302.80400000000003</v>
      </c>
      <c r="I7093" s="19">
        <v>28.53</v>
      </c>
      <c r="J7093" s="19">
        <v>1.49</v>
      </c>
      <c r="K7093" s="19" t="s">
        <v>124</v>
      </c>
      <c r="L7093" s="19" t="s">
        <v>160</v>
      </c>
      <c r="M7093" s="15" t="s">
        <v>2281</v>
      </c>
      <c r="N7093" s="15" t="s">
        <v>36</v>
      </c>
      <c r="O7093" s="15" t="s">
        <v>170</v>
      </c>
      <c r="P7093" s="20" t="s">
        <v>2097</v>
      </c>
      <c r="Q7093" s="15" t="s">
        <v>83</v>
      </c>
      <c r="R7093" s="4"/>
      <c r="S7093" s="4"/>
    </row>
    <row r="7094" spans="1:19" ht="21" customHeight="1" x14ac:dyDescent="0.25">
      <c r="A7094" s="14">
        <f>DATE(2012,12,31)-1375</f>
        <v>39899</v>
      </c>
      <c r="B7094" s="15" t="s">
        <v>210</v>
      </c>
      <c r="C7094" s="15" t="s">
        <v>51</v>
      </c>
      <c r="D7094" s="16">
        <v>6</v>
      </c>
      <c r="E7094" s="17">
        <v>99.11</v>
      </c>
      <c r="F7094" s="16">
        <v>0.01</v>
      </c>
      <c r="G7094" s="15" t="s">
        <v>32</v>
      </c>
      <c r="H7094" s="18">
        <v>-12.46</v>
      </c>
      <c r="I7094" s="19">
        <v>15.28</v>
      </c>
      <c r="J7094" s="19">
        <v>1.99</v>
      </c>
      <c r="K7094" s="19" t="s">
        <v>124</v>
      </c>
      <c r="L7094" s="19" t="s">
        <v>160</v>
      </c>
      <c r="M7094" s="15" t="s">
        <v>2281</v>
      </c>
      <c r="N7094" s="15" t="s">
        <v>64</v>
      </c>
      <c r="O7094" s="15" t="s">
        <v>72</v>
      </c>
      <c r="P7094" s="20" t="s">
        <v>1742</v>
      </c>
      <c r="Q7094" s="15" t="s">
        <v>49</v>
      </c>
      <c r="R7094" s="4"/>
      <c r="S7094" s="4"/>
    </row>
    <row r="7095" spans="1:19" ht="21" customHeight="1" x14ac:dyDescent="0.25">
      <c r="A7095" s="14">
        <f>DATE(2012,12,31)-86</f>
        <v>41188</v>
      </c>
      <c r="B7095" s="15" t="s">
        <v>210</v>
      </c>
      <c r="C7095" s="15" t="s">
        <v>85</v>
      </c>
      <c r="D7095" s="16">
        <v>34</v>
      </c>
      <c r="E7095" s="17">
        <v>5518.5315000000001</v>
      </c>
      <c r="F7095" s="16">
        <v>0.1</v>
      </c>
      <c r="G7095" s="15" t="s">
        <v>32</v>
      </c>
      <c r="H7095" s="18">
        <v>1111.2570000000001</v>
      </c>
      <c r="I7095" s="19">
        <v>205.99</v>
      </c>
      <c r="J7095" s="19">
        <v>8.99</v>
      </c>
      <c r="K7095" s="19" t="s">
        <v>124</v>
      </c>
      <c r="L7095" s="19" t="s">
        <v>164</v>
      </c>
      <c r="M7095" s="15" t="s">
        <v>2333</v>
      </c>
      <c r="N7095" s="15" t="s">
        <v>64</v>
      </c>
      <c r="O7095" s="15" t="s">
        <v>65</v>
      </c>
      <c r="P7095" s="20" t="s">
        <v>1691</v>
      </c>
      <c r="Q7095" s="15" t="s">
        <v>83</v>
      </c>
      <c r="R7095" s="4"/>
      <c r="S7095" s="4"/>
    </row>
    <row r="7096" spans="1:19" ht="21" customHeight="1" x14ac:dyDescent="0.25">
      <c r="A7096" s="14">
        <f>DATE(2012,12,31)-328</f>
        <v>40946</v>
      </c>
      <c r="B7096" s="15" t="s">
        <v>1585</v>
      </c>
      <c r="C7096" s="15" t="s">
        <v>85</v>
      </c>
      <c r="D7096" s="16">
        <v>6</v>
      </c>
      <c r="E7096" s="17">
        <v>1635.29</v>
      </c>
      <c r="F7096" s="16">
        <v>0.1</v>
      </c>
      <c r="G7096" s="15" t="s">
        <v>32</v>
      </c>
      <c r="H7096" s="18">
        <v>7.9200000000000728</v>
      </c>
      <c r="I7096" s="19">
        <v>276.2</v>
      </c>
      <c r="J7096" s="19">
        <v>24.49</v>
      </c>
      <c r="K7096" s="19" t="s">
        <v>124</v>
      </c>
      <c r="L7096" s="19" t="s">
        <v>160</v>
      </c>
      <c r="M7096" s="15" t="s">
        <v>2281</v>
      </c>
      <c r="N7096" s="15" t="s">
        <v>54</v>
      </c>
      <c r="O7096" s="15" t="s">
        <v>252</v>
      </c>
      <c r="P7096" s="20" t="s">
        <v>1179</v>
      </c>
      <c r="Q7096" s="15" t="s">
        <v>39</v>
      </c>
      <c r="R7096" s="4"/>
      <c r="S7096" s="4"/>
    </row>
    <row r="7097" spans="1:19" ht="21" customHeight="1" x14ac:dyDescent="0.25">
      <c r="A7097" s="14">
        <f>DATE(2012,12,31)-328</f>
        <v>40946</v>
      </c>
      <c r="B7097" s="15" t="s">
        <v>1585</v>
      </c>
      <c r="C7097" s="15" t="s">
        <v>85</v>
      </c>
      <c r="D7097" s="16">
        <v>37</v>
      </c>
      <c r="E7097" s="17">
        <v>316.35000000000002</v>
      </c>
      <c r="F7097" s="16">
        <v>0.01</v>
      </c>
      <c r="G7097" s="15" t="s">
        <v>101</v>
      </c>
      <c r="H7097" s="18">
        <v>-52.18</v>
      </c>
      <c r="I7097" s="19">
        <v>8.1199999999999992</v>
      </c>
      <c r="J7097" s="19">
        <v>2.83</v>
      </c>
      <c r="K7097" s="19" t="s">
        <v>124</v>
      </c>
      <c r="L7097" s="19" t="s">
        <v>160</v>
      </c>
      <c r="M7097" s="15" t="s">
        <v>2281</v>
      </c>
      <c r="N7097" s="15" t="s">
        <v>64</v>
      </c>
      <c r="O7097" s="15" t="s">
        <v>72</v>
      </c>
      <c r="P7097" s="20" t="s">
        <v>577</v>
      </c>
      <c r="Q7097" s="15" t="s">
        <v>49</v>
      </c>
      <c r="R7097" s="4"/>
      <c r="S7097" s="4"/>
    </row>
    <row r="7098" spans="1:19" ht="21" customHeight="1" x14ac:dyDescent="0.25">
      <c r="A7098" s="14">
        <f>DATE(2012,12,31)-1259</f>
        <v>40015</v>
      </c>
      <c r="B7098" s="15" t="s">
        <v>1585</v>
      </c>
      <c r="C7098" s="15" t="s">
        <v>31</v>
      </c>
      <c r="D7098" s="16">
        <v>12</v>
      </c>
      <c r="E7098" s="17">
        <v>1244.72</v>
      </c>
      <c r="F7098" s="16">
        <v>0.04</v>
      </c>
      <c r="G7098" s="15" t="s">
        <v>32</v>
      </c>
      <c r="H7098" s="18">
        <v>269.94</v>
      </c>
      <c r="I7098" s="19">
        <v>100.98</v>
      </c>
      <c r="J7098" s="19">
        <v>7.18</v>
      </c>
      <c r="K7098" s="19" t="s">
        <v>124</v>
      </c>
      <c r="L7098" s="19" t="s">
        <v>493</v>
      </c>
      <c r="M7098" s="15" t="s">
        <v>2334</v>
      </c>
      <c r="N7098" s="15" t="s">
        <v>64</v>
      </c>
      <c r="O7098" s="15" t="s">
        <v>72</v>
      </c>
      <c r="P7098" s="20" t="s">
        <v>840</v>
      </c>
      <c r="Q7098" s="15" t="s">
        <v>83</v>
      </c>
      <c r="R7098" s="4"/>
      <c r="S7098" s="4"/>
    </row>
    <row r="7099" spans="1:19" ht="21" customHeight="1" x14ac:dyDescent="0.25">
      <c r="A7099" s="14">
        <f>DATE(2012,12,31)-88</f>
        <v>41186</v>
      </c>
      <c r="B7099" s="15" t="s">
        <v>1585</v>
      </c>
      <c r="C7099" s="15" t="s">
        <v>31</v>
      </c>
      <c r="D7099" s="16">
        <v>47</v>
      </c>
      <c r="E7099" s="17">
        <v>307.37</v>
      </c>
      <c r="F7099" s="16">
        <v>0.04</v>
      </c>
      <c r="G7099" s="15" t="s">
        <v>101</v>
      </c>
      <c r="H7099" s="18">
        <v>-249.27</v>
      </c>
      <c r="I7099" s="19">
        <v>6.48</v>
      </c>
      <c r="J7099" s="19">
        <v>9.17</v>
      </c>
      <c r="K7099" s="19" t="s">
        <v>124</v>
      </c>
      <c r="L7099" s="19" t="s">
        <v>160</v>
      </c>
      <c r="M7099" s="15" t="s">
        <v>2281</v>
      </c>
      <c r="N7099" s="15" t="s">
        <v>36</v>
      </c>
      <c r="O7099" s="15" t="s">
        <v>117</v>
      </c>
      <c r="P7099" s="20" t="s">
        <v>978</v>
      </c>
      <c r="Q7099" s="15" t="s">
        <v>83</v>
      </c>
      <c r="R7099" s="4"/>
      <c r="S7099" s="4"/>
    </row>
    <row r="7100" spans="1:19" ht="21" customHeight="1" x14ac:dyDescent="0.25">
      <c r="A7100" s="14">
        <f>DATE(2012,12,31)-1335</f>
        <v>39939</v>
      </c>
      <c r="B7100" s="15" t="s">
        <v>492</v>
      </c>
      <c r="C7100" s="15" t="s">
        <v>85</v>
      </c>
      <c r="D7100" s="16">
        <v>37</v>
      </c>
      <c r="E7100" s="17">
        <v>1599.54</v>
      </c>
      <c r="F7100" s="16">
        <v>0</v>
      </c>
      <c r="G7100" s="15" t="s">
        <v>32</v>
      </c>
      <c r="H7100" s="18">
        <v>578.14449999999999</v>
      </c>
      <c r="I7100" s="19">
        <v>40.98</v>
      </c>
      <c r="J7100" s="19">
        <v>7.47</v>
      </c>
      <c r="K7100" s="19" t="s">
        <v>124</v>
      </c>
      <c r="L7100" s="19" t="s">
        <v>160</v>
      </c>
      <c r="M7100" s="15" t="s">
        <v>2281</v>
      </c>
      <c r="N7100" s="15" t="s">
        <v>36</v>
      </c>
      <c r="O7100" s="15" t="s">
        <v>170</v>
      </c>
      <c r="P7100" s="20" t="s">
        <v>1646</v>
      </c>
      <c r="Q7100" s="15" t="s">
        <v>83</v>
      </c>
      <c r="R7100" s="4"/>
      <c r="S7100" s="4"/>
    </row>
    <row r="7101" spans="1:19" ht="21" customHeight="1" x14ac:dyDescent="0.25">
      <c r="A7101" s="14">
        <f>DATE(2012,12,31)-1335</f>
        <v>39939</v>
      </c>
      <c r="B7101" s="15" t="s">
        <v>492</v>
      </c>
      <c r="C7101" s="15" t="s">
        <v>85</v>
      </c>
      <c r="D7101" s="16">
        <v>2</v>
      </c>
      <c r="E7101" s="17">
        <v>942.42</v>
      </c>
      <c r="F7101" s="16">
        <v>0.02</v>
      </c>
      <c r="G7101" s="15" t="s">
        <v>58</v>
      </c>
      <c r="H7101" s="18">
        <v>-634.86540000000002</v>
      </c>
      <c r="I7101" s="19">
        <v>417.4</v>
      </c>
      <c r="J7101" s="19">
        <v>75.23</v>
      </c>
      <c r="K7101" s="19" t="s">
        <v>124</v>
      </c>
      <c r="L7101" s="19" t="s">
        <v>158</v>
      </c>
      <c r="M7101" s="15" t="s">
        <v>158</v>
      </c>
      <c r="N7101" s="15" t="s">
        <v>54</v>
      </c>
      <c r="O7101" s="15" t="s">
        <v>61</v>
      </c>
      <c r="P7101" s="20" t="s">
        <v>1375</v>
      </c>
      <c r="Q7101" s="15" t="s">
        <v>63</v>
      </c>
      <c r="R7101" s="4"/>
      <c r="S7101" s="4"/>
    </row>
    <row r="7102" spans="1:19" ht="21" customHeight="1" x14ac:dyDescent="0.25">
      <c r="A7102" s="14">
        <f>DATE(2012,12,31)-568</f>
        <v>40706</v>
      </c>
      <c r="B7102" s="15" t="s">
        <v>492</v>
      </c>
      <c r="C7102" s="15" t="s">
        <v>85</v>
      </c>
      <c r="D7102" s="16">
        <v>24</v>
      </c>
      <c r="E7102" s="17">
        <v>188.47</v>
      </c>
      <c r="F7102" s="16">
        <v>0.03</v>
      </c>
      <c r="G7102" s="15" t="s">
        <v>32</v>
      </c>
      <c r="H7102" s="18">
        <v>-191.23349999999999</v>
      </c>
      <c r="I7102" s="19">
        <v>7.38</v>
      </c>
      <c r="J7102" s="19">
        <v>11.51</v>
      </c>
      <c r="K7102" s="19" t="s">
        <v>124</v>
      </c>
      <c r="L7102" s="19" t="s">
        <v>164</v>
      </c>
      <c r="M7102" s="15" t="s">
        <v>2333</v>
      </c>
      <c r="N7102" s="15" t="s">
        <v>36</v>
      </c>
      <c r="O7102" s="15" t="s">
        <v>170</v>
      </c>
      <c r="P7102" s="20" t="s">
        <v>941</v>
      </c>
      <c r="Q7102" s="15" t="s">
        <v>83</v>
      </c>
      <c r="R7102" s="4"/>
      <c r="S7102" s="4"/>
    </row>
    <row r="7103" spans="1:19" ht="21" customHeight="1" x14ac:dyDescent="0.25">
      <c r="A7103" s="14">
        <f>DATE(2012,12,31)-380</f>
        <v>40894</v>
      </c>
      <c r="B7103" s="15" t="s">
        <v>359</v>
      </c>
      <c r="C7103" s="15" t="s">
        <v>85</v>
      </c>
      <c r="D7103" s="16">
        <v>27</v>
      </c>
      <c r="E7103" s="17">
        <v>137.5</v>
      </c>
      <c r="F7103" s="16">
        <v>7.0000000000000007E-2</v>
      </c>
      <c r="G7103" s="15" t="s">
        <v>32</v>
      </c>
      <c r="H7103" s="18">
        <v>-64.239000000000004</v>
      </c>
      <c r="I7103" s="19">
        <v>4.9800000000000004</v>
      </c>
      <c r="J7103" s="19">
        <v>4.95</v>
      </c>
      <c r="K7103" s="19" t="s">
        <v>124</v>
      </c>
      <c r="L7103" s="19" t="s">
        <v>164</v>
      </c>
      <c r="M7103" s="15" t="s">
        <v>2335</v>
      </c>
      <c r="N7103" s="15" t="s">
        <v>36</v>
      </c>
      <c r="O7103" s="15" t="s">
        <v>170</v>
      </c>
      <c r="P7103" s="20" t="s">
        <v>534</v>
      </c>
      <c r="Q7103" s="15" t="s">
        <v>83</v>
      </c>
      <c r="R7103" s="4"/>
      <c r="S7103" s="4"/>
    </row>
    <row r="7104" spans="1:19" ht="21" customHeight="1" x14ac:dyDescent="0.25">
      <c r="A7104" s="14">
        <f>DATE(2012,12,31)-380</f>
        <v>40894</v>
      </c>
      <c r="B7104" s="15" t="s">
        <v>1110</v>
      </c>
      <c r="C7104" s="15" t="s">
        <v>85</v>
      </c>
      <c r="D7104" s="16">
        <v>12</v>
      </c>
      <c r="E7104" s="17">
        <v>5744.24</v>
      </c>
      <c r="F7104" s="16">
        <v>0.09</v>
      </c>
      <c r="G7104" s="15" t="s">
        <v>58</v>
      </c>
      <c r="H7104" s="18">
        <v>1118.17</v>
      </c>
      <c r="I7104" s="19">
        <v>500.98</v>
      </c>
      <c r="J7104" s="19">
        <v>28.14</v>
      </c>
      <c r="K7104" s="19" t="s">
        <v>124</v>
      </c>
      <c r="L7104" s="19" t="s">
        <v>164</v>
      </c>
      <c r="M7104" s="15" t="s">
        <v>2335</v>
      </c>
      <c r="N7104" s="15" t="s">
        <v>64</v>
      </c>
      <c r="O7104" s="15" t="s">
        <v>122</v>
      </c>
      <c r="P7104" s="20" t="s">
        <v>152</v>
      </c>
      <c r="Q7104" s="15" t="s">
        <v>181</v>
      </c>
      <c r="R7104" s="4"/>
      <c r="S7104" s="4"/>
    </row>
    <row r="7105" spans="1:19" ht="21" customHeight="1" x14ac:dyDescent="0.25">
      <c r="A7105" s="14">
        <f>DATE(2012,12,31)-380</f>
        <v>40894</v>
      </c>
      <c r="B7105" s="15" t="s">
        <v>1940</v>
      </c>
      <c r="C7105" s="15" t="s">
        <v>85</v>
      </c>
      <c r="D7105" s="16">
        <v>42</v>
      </c>
      <c r="E7105" s="17">
        <v>452.15</v>
      </c>
      <c r="F7105" s="16">
        <v>0.06</v>
      </c>
      <c r="G7105" s="15" t="s">
        <v>101</v>
      </c>
      <c r="H7105" s="18">
        <v>25.79</v>
      </c>
      <c r="I7105" s="19">
        <v>10.98</v>
      </c>
      <c r="J7105" s="19">
        <v>3.37</v>
      </c>
      <c r="K7105" s="19" t="s">
        <v>124</v>
      </c>
      <c r="L7105" s="19" t="s">
        <v>164</v>
      </c>
      <c r="M7105" s="15" t="s">
        <v>2335</v>
      </c>
      <c r="N7105" s="15" t="s">
        <v>36</v>
      </c>
      <c r="O7105" s="15" t="s">
        <v>47</v>
      </c>
      <c r="P7105" s="20" t="s">
        <v>1590</v>
      </c>
      <c r="Q7105" s="15" t="s">
        <v>49</v>
      </c>
      <c r="R7105" s="4"/>
      <c r="S7105" s="4"/>
    </row>
    <row r="7106" spans="1:19" ht="21" customHeight="1" x14ac:dyDescent="0.25">
      <c r="A7106" s="14">
        <f>DATE(2012,12,31)-853</f>
        <v>40421</v>
      </c>
      <c r="B7106" s="15" t="s">
        <v>1940</v>
      </c>
      <c r="C7106" s="15" t="s">
        <v>51</v>
      </c>
      <c r="D7106" s="16">
        <v>37</v>
      </c>
      <c r="E7106" s="17">
        <v>366.84</v>
      </c>
      <c r="F7106" s="16">
        <v>0.08</v>
      </c>
      <c r="G7106" s="15" t="s">
        <v>32</v>
      </c>
      <c r="H7106" s="18">
        <v>-50.1</v>
      </c>
      <c r="I7106" s="19">
        <v>10.23</v>
      </c>
      <c r="J7106" s="19">
        <v>4.68</v>
      </c>
      <c r="K7106" s="19" t="s">
        <v>124</v>
      </c>
      <c r="L7106" s="19" t="s">
        <v>125</v>
      </c>
      <c r="M7106" s="15" t="s">
        <v>2325</v>
      </c>
      <c r="N7106" s="15" t="s">
        <v>36</v>
      </c>
      <c r="O7106" s="15" t="s">
        <v>47</v>
      </c>
      <c r="P7106" s="20" t="s">
        <v>220</v>
      </c>
      <c r="Q7106" s="15" t="s">
        <v>49</v>
      </c>
      <c r="R7106" s="4"/>
      <c r="S7106" s="4"/>
    </row>
    <row r="7107" spans="1:19" ht="21" customHeight="1" x14ac:dyDescent="0.25">
      <c r="A7107" s="14">
        <f>DATE(2012,12,31)-213</f>
        <v>41061</v>
      </c>
      <c r="B7107" s="15" t="s">
        <v>226</v>
      </c>
      <c r="C7107" s="15" t="s">
        <v>31</v>
      </c>
      <c r="D7107" s="16">
        <v>35</v>
      </c>
      <c r="E7107" s="17">
        <v>6739.92</v>
      </c>
      <c r="F7107" s="16">
        <v>0.01</v>
      </c>
      <c r="G7107" s="15" t="s">
        <v>58</v>
      </c>
      <c r="H7107" s="18">
        <v>957.29</v>
      </c>
      <c r="I7107" s="19">
        <v>180.98</v>
      </c>
      <c r="J7107" s="19">
        <v>30</v>
      </c>
      <c r="K7107" s="19" t="s">
        <v>124</v>
      </c>
      <c r="L7107" s="19" t="s">
        <v>125</v>
      </c>
      <c r="M7107" s="15" t="s">
        <v>2325</v>
      </c>
      <c r="N7107" s="15" t="s">
        <v>54</v>
      </c>
      <c r="O7107" s="15" t="s">
        <v>252</v>
      </c>
      <c r="P7107" s="20" t="s">
        <v>743</v>
      </c>
      <c r="Q7107" s="15" t="s">
        <v>181</v>
      </c>
      <c r="R7107" s="4"/>
      <c r="S7107" s="4"/>
    </row>
    <row r="7108" spans="1:19" ht="21" customHeight="1" x14ac:dyDescent="0.25">
      <c r="A7108" s="14">
        <f>DATE(2012,12,31)-181</f>
        <v>41093</v>
      </c>
      <c r="B7108" s="15" t="s">
        <v>392</v>
      </c>
      <c r="C7108" s="15" t="s">
        <v>85</v>
      </c>
      <c r="D7108" s="16">
        <v>49</v>
      </c>
      <c r="E7108" s="17">
        <v>8551.5439999999999</v>
      </c>
      <c r="F7108" s="16">
        <v>0.03</v>
      </c>
      <c r="G7108" s="15" t="s">
        <v>32</v>
      </c>
      <c r="H7108" s="18">
        <v>2763.1259999999997</v>
      </c>
      <c r="I7108" s="19">
        <v>195.99</v>
      </c>
      <c r="J7108" s="19">
        <v>8.99</v>
      </c>
      <c r="K7108" s="19" t="s">
        <v>124</v>
      </c>
      <c r="L7108" s="19" t="s">
        <v>168</v>
      </c>
      <c r="M7108" s="15" t="s">
        <v>2324</v>
      </c>
      <c r="N7108" s="15" t="s">
        <v>64</v>
      </c>
      <c r="O7108" s="15" t="s">
        <v>65</v>
      </c>
      <c r="P7108" s="20" t="s">
        <v>1877</v>
      </c>
      <c r="Q7108" s="15" t="s">
        <v>83</v>
      </c>
      <c r="R7108" s="4"/>
      <c r="S7108" s="4"/>
    </row>
    <row r="7109" spans="1:19" ht="21" customHeight="1" x14ac:dyDescent="0.25">
      <c r="A7109" s="14">
        <f>DATE(2012,12,31)-1259</f>
        <v>40015</v>
      </c>
      <c r="B7109" s="15" t="s">
        <v>392</v>
      </c>
      <c r="C7109" s="15" t="s">
        <v>31</v>
      </c>
      <c r="D7109" s="16">
        <v>33</v>
      </c>
      <c r="E7109" s="17">
        <v>1422.31</v>
      </c>
      <c r="F7109" s="16">
        <v>0.02</v>
      </c>
      <c r="G7109" s="15" t="s">
        <v>32</v>
      </c>
      <c r="H7109" s="18">
        <v>498.15</v>
      </c>
      <c r="I7109" s="19">
        <v>43.98</v>
      </c>
      <c r="J7109" s="19">
        <v>1.99</v>
      </c>
      <c r="K7109" s="19" t="s">
        <v>44</v>
      </c>
      <c r="L7109" s="19" t="s">
        <v>236</v>
      </c>
      <c r="M7109" s="15" t="s">
        <v>2296</v>
      </c>
      <c r="N7109" s="15" t="s">
        <v>64</v>
      </c>
      <c r="O7109" s="15" t="s">
        <v>72</v>
      </c>
      <c r="P7109" s="20" t="s">
        <v>2092</v>
      </c>
      <c r="Q7109" s="15" t="s">
        <v>49</v>
      </c>
      <c r="R7109" s="4"/>
      <c r="S7109" s="4"/>
    </row>
    <row r="7110" spans="1:19" ht="21" customHeight="1" x14ac:dyDescent="0.25">
      <c r="A7110" s="14">
        <f>DATE(2012,12,31)-724</f>
        <v>40550</v>
      </c>
      <c r="B7110" s="15" t="s">
        <v>42</v>
      </c>
      <c r="C7110" s="15" t="s">
        <v>85</v>
      </c>
      <c r="D7110" s="16">
        <v>27</v>
      </c>
      <c r="E7110" s="17">
        <v>834.0625</v>
      </c>
      <c r="F7110" s="16">
        <v>0.01</v>
      </c>
      <c r="G7110" s="15" t="s">
        <v>32</v>
      </c>
      <c r="H7110" s="18">
        <v>192.29399999999998</v>
      </c>
      <c r="I7110" s="19">
        <v>35.99</v>
      </c>
      <c r="J7110" s="19">
        <v>1.25</v>
      </c>
      <c r="K7110" s="19" t="s">
        <v>44</v>
      </c>
      <c r="L7110" s="19" t="s">
        <v>52</v>
      </c>
      <c r="M7110" s="15" t="s">
        <v>2320</v>
      </c>
      <c r="N7110" s="15" t="s">
        <v>64</v>
      </c>
      <c r="O7110" s="15" t="s">
        <v>65</v>
      </c>
      <c r="P7110" s="20" t="s">
        <v>1277</v>
      </c>
      <c r="Q7110" s="15" t="s">
        <v>49</v>
      </c>
      <c r="R7110" s="4"/>
      <c r="S7110" s="4"/>
    </row>
    <row r="7111" spans="1:19" ht="21" customHeight="1" x14ac:dyDescent="0.25">
      <c r="A7111" s="14">
        <f>DATE(2012,12,31)-696</f>
        <v>40578</v>
      </c>
      <c r="B7111" s="15" t="s">
        <v>42</v>
      </c>
      <c r="C7111" s="15" t="s">
        <v>85</v>
      </c>
      <c r="D7111" s="16">
        <v>32</v>
      </c>
      <c r="E7111" s="17">
        <v>73.55</v>
      </c>
      <c r="F7111" s="16">
        <v>0.09</v>
      </c>
      <c r="G7111" s="15" t="s">
        <v>101</v>
      </c>
      <c r="H7111" s="18">
        <v>7.95</v>
      </c>
      <c r="I7111" s="19">
        <v>2.1800000000000002</v>
      </c>
      <c r="J7111" s="19">
        <v>0.78</v>
      </c>
      <c r="K7111" s="19" t="s">
        <v>44</v>
      </c>
      <c r="L7111" s="19" t="s">
        <v>52</v>
      </c>
      <c r="M7111" s="15" t="s">
        <v>2320</v>
      </c>
      <c r="N7111" s="15" t="s">
        <v>36</v>
      </c>
      <c r="O7111" s="15" t="s">
        <v>105</v>
      </c>
      <c r="P7111" s="20" t="s">
        <v>926</v>
      </c>
      <c r="Q7111" s="15" t="s">
        <v>79</v>
      </c>
      <c r="R7111" s="4"/>
      <c r="S7111" s="4"/>
    </row>
    <row r="7112" spans="1:19" ht="21" customHeight="1" x14ac:dyDescent="0.25">
      <c r="A7112" s="14">
        <f>DATE(2012,12,31)-696</f>
        <v>40578</v>
      </c>
      <c r="B7112" s="15" t="s">
        <v>1874</v>
      </c>
      <c r="C7112" s="15" t="s">
        <v>85</v>
      </c>
      <c r="D7112" s="16">
        <v>46</v>
      </c>
      <c r="E7112" s="17">
        <v>4804.0385000000006</v>
      </c>
      <c r="F7112" s="16">
        <v>0.08</v>
      </c>
      <c r="G7112" s="15" t="s">
        <v>32</v>
      </c>
      <c r="H7112" s="18">
        <v>1077.921</v>
      </c>
      <c r="I7112" s="19">
        <v>125.99</v>
      </c>
      <c r="J7112" s="19">
        <v>8.8000000000000007</v>
      </c>
      <c r="K7112" s="19" t="s">
        <v>44</v>
      </c>
      <c r="L7112" s="19" t="s">
        <v>52</v>
      </c>
      <c r="M7112" s="15" t="s">
        <v>2320</v>
      </c>
      <c r="N7112" s="15" t="s">
        <v>64</v>
      </c>
      <c r="O7112" s="15" t="s">
        <v>65</v>
      </c>
      <c r="P7112" s="20" t="s">
        <v>66</v>
      </c>
      <c r="Q7112" s="15" t="s">
        <v>83</v>
      </c>
      <c r="R7112" s="4"/>
      <c r="S7112" s="4"/>
    </row>
    <row r="7113" spans="1:19" ht="21" customHeight="1" x14ac:dyDescent="0.25">
      <c r="A7113" s="14">
        <f>DATE(2012,12,31)-1</f>
        <v>41273</v>
      </c>
      <c r="B7113" s="15" t="s">
        <v>401</v>
      </c>
      <c r="C7113" s="15" t="s">
        <v>43</v>
      </c>
      <c r="D7113" s="16">
        <v>6</v>
      </c>
      <c r="E7113" s="17">
        <v>391.12</v>
      </c>
      <c r="F7113" s="16">
        <v>0.06</v>
      </c>
      <c r="G7113" s="15" t="s">
        <v>58</v>
      </c>
      <c r="H7113" s="18">
        <v>-166.96</v>
      </c>
      <c r="I7113" s="19">
        <v>60.98</v>
      </c>
      <c r="J7113" s="19">
        <v>30</v>
      </c>
      <c r="K7113" s="19" t="s">
        <v>44</v>
      </c>
      <c r="L7113" s="19" t="s">
        <v>236</v>
      </c>
      <c r="M7113" s="15" t="s">
        <v>2296</v>
      </c>
      <c r="N7113" s="15" t="s">
        <v>54</v>
      </c>
      <c r="O7113" s="15" t="s">
        <v>252</v>
      </c>
      <c r="P7113" s="20" t="s">
        <v>1286</v>
      </c>
      <c r="Q7113" s="15" t="s">
        <v>181</v>
      </c>
      <c r="R7113" s="4"/>
      <c r="S7113" s="4"/>
    </row>
    <row r="7114" spans="1:19" ht="21" customHeight="1" x14ac:dyDescent="0.25">
      <c r="A7114" s="14">
        <f>DATE(2012,12,31)-1</f>
        <v>41273</v>
      </c>
      <c r="B7114" s="15" t="s">
        <v>401</v>
      </c>
      <c r="C7114" s="15" t="s">
        <v>43</v>
      </c>
      <c r="D7114" s="16">
        <v>35</v>
      </c>
      <c r="E7114" s="17">
        <v>448.1</v>
      </c>
      <c r="F7114" s="16">
        <v>0.1</v>
      </c>
      <c r="G7114" s="15" t="s">
        <v>101</v>
      </c>
      <c r="H7114" s="18">
        <v>-15.07</v>
      </c>
      <c r="I7114" s="19">
        <v>13.48</v>
      </c>
      <c r="J7114" s="19">
        <v>4.51</v>
      </c>
      <c r="K7114" s="19" t="s">
        <v>44</v>
      </c>
      <c r="L7114" s="19" t="s">
        <v>52</v>
      </c>
      <c r="M7114" s="15" t="s">
        <v>2320</v>
      </c>
      <c r="N7114" s="15" t="s">
        <v>36</v>
      </c>
      <c r="O7114" s="15" t="s">
        <v>37</v>
      </c>
      <c r="P7114" s="20" t="s">
        <v>656</v>
      </c>
      <c r="Q7114" s="15" t="s">
        <v>83</v>
      </c>
      <c r="R7114" s="4"/>
      <c r="S7114" s="4"/>
    </row>
    <row r="7115" spans="1:19" ht="21" customHeight="1" x14ac:dyDescent="0.25">
      <c r="A7115" s="14">
        <f>DATE(2012,12,31)-203</f>
        <v>41071</v>
      </c>
      <c r="B7115" s="15" t="s">
        <v>439</v>
      </c>
      <c r="C7115" s="15" t="s">
        <v>31</v>
      </c>
      <c r="D7115" s="16">
        <v>1</v>
      </c>
      <c r="E7115" s="17">
        <v>34.090000000000003</v>
      </c>
      <c r="F7115" s="16">
        <v>0.05</v>
      </c>
      <c r="G7115" s="15" t="s">
        <v>101</v>
      </c>
      <c r="H7115" s="18">
        <v>-19.899999999999999</v>
      </c>
      <c r="I7115" s="19">
        <v>18.97</v>
      </c>
      <c r="J7115" s="19">
        <v>9.0299999999999994</v>
      </c>
      <c r="K7115" s="19" t="s">
        <v>44</v>
      </c>
      <c r="L7115" s="19" t="s">
        <v>52</v>
      </c>
      <c r="M7115" s="15" t="s">
        <v>2320</v>
      </c>
      <c r="N7115" s="15" t="s">
        <v>36</v>
      </c>
      <c r="O7115" s="15" t="s">
        <v>117</v>
      </c>
      <c r="P7115" s="20" t="s">
        <v>957</v>
      </c>
      <c r="Q7115" s="15" t="s">
        <v>83</v>
      </c>
      <c r="R7115" s="4"/>
      <c r="S7115" s="4"/>
    </row>
    <row r="7116" spans="1:19" ht="21" customHeight="1" x14ac:dyDescent="0.25">
      <c r="A7116" s="14">
        <f>DATE(2012,12,31)-275</f>
        <v>40999</v>
      </c>
      <c r="B7116" s="15" t="s">
        <v>1528</v>
      </c>
      <c r="C7116" s="15" t="s">
        <v>51</v>
      </c>
      <c r="D7116" s="16">
        <v>4</v>
      </c>
      <c r="E7116" s="17">
        <v>816.09</v>
      </c>
      <c r="F7116" s="16">
        <v>0.05</v>
      </c>
      <c r="G7116" s="15" t="s">
        <v>32</v>
      </c>
      <c r="H7116" s="18">
        <v>-150.29</v>
      </c>
      <c r="I7116" s="19">
        <v>210.55</v>
      </c>
      <c r="J7116" s="19">
        <v>9.99</v>
      </c>
      <c r="K7116" s="19" t="s">
        <v>44</v>
      </c>
      <c r="L7116" s="19" t="s">
        <v>80</v>
      </c>
      <c r="M7116" s="15" t="s">
        <v>2297</v>
      </c>
      <c r="N7116" s="15" t="s">
        <v>36</v>
      </c>
      <c r="O7116" s="15" t="s">
        <v>37</v>
      </c>
      <c r="P7116" s="20" t="s">
        <v>312</v>
      </c>
      <c r="Q7116" s="15" t="s">
        <v>83</v>
      </c>
      <c r="R7116" s="4"/>
      <c r="S7116" s="4"/>
    </row>
    <row r="7117" spans="1:19" ht="21" customHeight="1" x14ac:dyDescent="0.25">
      <c r="A7117" s="14">
        <f>DATE(2012,12,31)-1245</f>
        <v>40029</v>
      </c>
      <c r="B7117" s="15" t="s">
        <v>1909</v>
      </c>
      <c r="C7117" s="15" t="s">
        <v>85</v>
      </c>
      <c r="D7117" s="16">
        <v>42</v>
      </c>
      <c r="E7117" s="17">
        <v>5678.5524999999998</v>
      </c>
      <c r="F7117" s="16">
        <v>0.01</v>
      </c>
      <c r="G7117" s="15" t="s">
        <v>32</v>
      </c>
      <c r="H7117" s="18">
        <v>1550.88</v>
      </c>
      <c r="I7117" s="19">
        <v>155.99</v>
      </c>
      <c r="J7117" s="19">
        <v>8.99</v>
      </c>
      <c r="K7117" s="19" t="s">
        <v>44</v>
      </c>
      <c r="L7117" s="19" t="s">
        <v>52</v>
      </c>
      <c r="M7117" s="15" t="s">
        <v>2320</v>
      </c>
      <c r="N7117" s="15" t="s">
        <v>64</v>
      </c>
      <c r="O7117" s="15" t="s">
        <v>65</v>
      </c>
      <c r="P7117" s="20" t="s">
        <v>993</v>
      </c>
      <c r="Q7117" s="15" t="s">
        <v>83</v>
      </c>
      <c r="R7117" s="4"/>
      <c r="S7117" s="4"/>
    </row>
    <row r="7118" spans="1:19" ht="21" customHeight="1" x14ac:dyDescent="0.25">
      <c r="A7118" s="14">
        <f>DATE(2012,12,31)-259</f>
        <v>41015</v>
      </c>
      <c r="B7118" s="15" t="s">
        <v>1628</v>
      </c>
      <c r="C7118" s="15" t="s">
        <v>51</v>
      </c>
      <c r="D7118" s="16">
        <v>23</v>
      </c>
      <c r="E7118" s="17">
        <v>86.53</v>
      </c>
      <c r="F7118" s="16">
        <v>0.05</v>
      </c>
      <c r="G7118" s="15" t="s">
        <v>32</v>
      </c>
      <c r="H7118" s="18">
        <v>35.619999999999997</v>
      </c>
      <c r="I7118" s="19">
        <v>3.75</v>
      </c>
      <c r="J7118" s="19">
        <v>0.5</v>
      </c>
      <c r="K7118" s="19" t="s">
        <v>44</v>
      </c>
      <c r="L7118" s="19" t="s">
        <v>52</v>
      </c>
      <c r="M7118" s="15" t="s">
        <v>2320</v>
      </c>
      <c r="N7118" s="15" t="s">
        <v>36</v>
      </c>
      <c r="O7118" s="15" t="s">
        <v>114</v>
      </c>
      <c r="P7118" s="20" t="s">
        <v>760</v>
      </c>
      <c r="Q7118" s="15" t="s">
        <v>83</v>
      </c>
      <c r="R7118" s="4"/>
      <c r="S7118" s="4"/>
    </row>
    <row r="7119" spans="1:19" ht="21" customHeight="1" x14ac:dyDescent="0.25">
      <c r="A7119" s="14">
        <f>DATE(2012,12,31)-552</f>
        <v>40722</v>
      </c>
      <c r="B7119" s="15" t="s">
        <v>1766</v>
      </c>
      <c r="C7119" s="15" t="s">
        <v>85</v>
      </c>
      <c r="D7119" s="16">
        <v>39</v>
      </c>
      <c r="E7119" s="17">
        <v>3063.1</v>
      </c>
      <c r="F7119" s="16">
        <v>0.06</v>
      </c>
      <c r="G7119" s="15" t="s">
        <v>32</v>
      </c>
      <c r="H7119" s="18">
        <v>-1022.02</v>
      </c>
      <c r="I7119" s="19">
        <v>80.98</v>
      </c>
      <c r="J7119" s="19">
        <v>35</v>
      </c>
      <c r="K7119" s="19" t="s">
        <v>44</v>
      </c>
      <c r="L7119" s="19" t="s">
        <v>52</v>
      </c>
      <c r="M7119" s="15" t="s">
        <v>2320</v>
      </c>
      <c r="N7119" s="15" t="s">
        <v>36</v>
      </c>
      <c r="O7119" s="15" t="s">
        <v>37</v>
      </c>
      <c r="P7119" s="20" t="s">
        <v>1649</v>
      </c>
      <c r="Q7119" s="15" t="s">
        <v>39</v>
      </c>
      <c r="R7119" s="4"/>
      <c r="S7119" s="4"/>
    </row>
    <row r="7120" spans="1:19" ht="21" customHeight="1" x14ac:dyDescent="0.25">
      <c r="A7120" s="14">
        <f>DATE(2012,12,31)-552</f>
        <v>40722</v>
      </c>
      <c r="B7120" s="15" t="s">
        <v>1423</v>
      </c>
      <c r="C7120" s="15" t="s">
        <v>85</v>
      </c>
      <c r="D7120" s="16">
        <v>15</v>
      </c>
      <c r="E7120" s="17">
        <v>229.03</v>
      </c>
      <c r="F7120" s="16">
        <v>0.05</v>
      </c>
      <c r="G7120" s="15" t="s">
        <v>32</v>
      </c>
      <c r="H7120" s="18">
        <v>-28.58</v>
      </c>
      <c r="I7120" s="19">
        <v>15.51</v>
      </c>
      <c r="J7120" s="19">
        <v>5.8</v>
      </c>
      <c r="K7120" s="19" t="s">
        <v>44</v>
      </c>
      <c r="L7120" s="19" t="s">
        <v>52</v>
      </c>
      <c r="M7120" s="15" t="s">
        <v>2320</v>
      </c>
      <c r="N7120" s="15" t="s">
        <v>36</v>
      </c>
      <c r="O7120" s="15" t="s">
        <v>37</v>
      </c>
      <c r="P7120" s="20" t="s">
        <v>326</v>
      </c>
      <c r="Q7120" s="15" t="s">
        <v>83</v>
      </c>
      <c r="R7120" s="4"/>
      <c r="S7120" s="4"/>
    </row>
    <row r="7121" spans="1:19" ht="21" customHeight="1" x14ac:dyDescent="0.25">
      <c r="A7121" s="14">
        <f>DATE(2012,12,31)-499</f>
        <v>40775</v>
      </c>
      <c r="B7121" s="15" t="s">
        <v>807</v>
      </c>
      <c r="C7121" s="15" t="s">
        <v>51</v>
      </c>
      <c r="D7121" s="16">
        <v>20</v>
      </c>
      <c r="E7121" s="17">
        <v>269.66000000000003</v>
      </c>
      <c r="F7121" s="16">
        <v>0.02</v>
      </c>
      <c r="G7121" s="15" t="s">
        <v>32</v>
      </c>
      <c r="H7121" s="18">
        <v>-59.13</v>
      </c>
      <c r="I7121" s="19">
        <v>12.88</v>
      </c>
      <c r="J7121" s="19">
        <v>4.59</v>
      </c>
      <c r="K7121" s="19" t="s">
        <v>44</v>
      </c>
      <c r="L7121" s="19" t="s">
        <v>52</v>
      </c>
      <c r="M7121" s="15" t="s">
        <v>2320</v>
      </c>
      <c r="N7121" s="15" t="s">
        <v>36</v>
      </c>
      <c r="O7121" s="15" t="s">
        <v>47</v>
      </c>
      <c r="P7121" s="20" t="s">
        <v>1735</v>
      </c>
      <c r="Q7121" s="15" t="s">
        <v>79</v>
      </c>
      <c r="R7121" s="4"/>
      <c r="S7121" s="4"/>
    </row>
    <row r="7122" spans="1:19" ht="21" customHeight="1" x14ac:dyDescent="0.25">
      <c r="A7122" s="14">
        <f>DATE(2012,12,31)-422</f>
        <v>40852</v>
      </c>
      <c r="B7122" s="15" t="s">
        <v>807</v>
      </c>
      <c r="C7122" s="15" t="s">
        <v>43</v>
      </c>
      <c r="D7122" s="16">
        <v>10</v>
      </c>
      <c r="E7122" s="17">
        <v>48</v>
      </c>
      <c r="F7122" s="16">
        <v>0.09</v>
      </c>
      <c r="G7122" s="15" t="s">
        <v>32</v>
      </c>
      <c r="H7122" s="18">
        <v>-29.14</v>
      </c>
      <c r="I7122" s="19">
        <v>4.18</v>
      </c>
      <c r="J7122" s="19">
        <v>6.92</v>
      </c>
      <c r="K7122" s="19" t="s">
        <v>44</v>
      </c>
      <c r="L7122" s="19" t="s">
        <v>52</v>
      </c>
      <c r="M7122" s="15" t="s">
        <v>2320</v>
      </c>
      <c r="N7122" s="15" t="s">
        <v>54</v>
      </c>
      <c r="O7122" s="15" t="s">
        <v>55</v>
      </c>
      <c r="P7122" s="20" t="s">
        <v>1566</v>
      </c>
      <c r="Q7122" s="15" t="s">
        <v>83</v>
      </c>
      <c r="R7122" s="4"/>
      <c r="S7122" s="4"/>
    </row>
    <row r="7123" spans="1:19" ht="21" customHeight="1" x14ac:dyDescent="0.25">
      <c r="A7123" s="14">
        <f>DATE(2012,12,31)-939</f>
        <v>40335</v>
      </c>
      <c r="B7123" s="15" t="s">
        <v>807</v>
      </c>
      <c r="C7123" s="15" t="s">
        <v>31</v>
      </c>
      <c r="D7123" s="16">
        <v>41</v>
      </c>
      <c r="E7123" s="17">
        <v>5144.8715000000002</v>
      </c>
      <c r="F7123" s="16">
        <v>0.09</v>
      </c>
      <c r="G7123" s="15" t="s">
        <v>32</v>
      </c>
      <c r="H7123" s="18">
        <v>1435.8329999999999</v>
      </c>
      <c r="I7123" s="19">
        <v>155.99</v>
      </c>
      <c r="J7123" s="19">
        <v>3.9</v>
      </c>
      <c r="K7123" s="19" t="s">
        <v>44</v>
      </c>
      <c r="L7123" s="19" t="s">
        <v>52</v>
      </c>
      <c r="M7123" s="15" t="s">
        <v>2320</v>
      </c>
      <c r="N7123" s="15" t="s">
        <v>64</v>
      </c>
      <c r="O7123" s="15" t="s">
        <v>65</v>
      </c>
      <c r="P7123" s="20" t="s">
        <v>809</v>
      </c>
      <c r="Q7123" s="15" t="s">
        <v>83</v>
      </c>
      <c r="R7123" s="4"/>
      <c r="S7123" s="4"/>
    </row>
    <row r="7124" spans="1:19" ht="21" customHeight="1" x14ac:dyDescent="0.25">
      <c r="A7124" s="14">
        <f>DATE(2012,12,31)-886</f>
        <v>40388</v>
      </c>
      <c r="B7124" s="15" t="s">
        <v>2212</v>
      </c>
      <c r="C7124" s="15" t="s">
        <v>51</v>
      </c>
      <c r="D7124" s="16">
        <v>47</v>
      </c>
      <c r="E7124" s="17">
        <v>2766.8179999999998</v>
      </c>
      <c r="F7124" s="16">
        <v>0.03</v>
      </c>
      <c r="G7124" s="15" t="s">
        <v>32</v>
      </c>
      <c r="H7124" s="18">
        <v>846.94500000000005</v>
      </c>
      <c r="I7124" s="19">
        <v>65.989999999999995</v>
      </c>
      <c r="J7124" s="19">
        <v>5.92</v>
      </c>
      <c r="K7124" s="19" t="s">
        <v>44</v>
      </c>
      <c r="L7124" s="19" t="s">
        <v>52</v>
      </c>
      <c r="M7124" s="15" t="s">
        <v>2320</v>
      </c>
      <c r="N7124" s="15" t="s">
        <v>64</v>
      </c>
      <c r="O7124" s="15" t="s">
        <v>65</v>
      </c>
      <c r="P7124" s="20" t="s">
        <v>1464</v>
      </c>
      <c r="Q7124" s="15" t="s">
        <v>83</v>
      </c>
      <c r="R7124" s="4"/>
      <c r="S7124" s="4"/>
    </row>
    <row r="7125" spans="1:19" ht="21" customHeight="1" x14ac:dyDescent="0.25">
      <c r="A7125" s="14">
        <f>DATE(2012,12,31)-348</f>
        <v>40926</v>
      </c>
      <c r="B7125" s="15" t="s">
        <v>455</v>
      </c>
      <c r="C7125" s="15" t="s">
        <v>31</v>
      </c>
      <c r="D7125" s="16">
        <v>17</v>
      </c>
      <c r="E7125" s="17">
        <v>155.88999999999999</v>
      </c>
      <c r="F7125" s="16">
        <v>0.1</v>
      </c>
      <c r="G7125" s="15" t="s">
        <v>32</v>
      </c>
      <c r="H7125" s="18">
        <v>50.19</v>
      </c>
      <c r="I7125" s="19">
        <v>9.9</v>
      </c>
      <c r="J7125" s="19">
        <v>1.39</v>
      </c>
      <c r="K7125" s="19" t="s">
        <v>44</v>
      </c>
      <c r="L7125" s="19" t="s">
        <v>52</v>
      </c>
      <c r="M7125" s="15" t="s">
        <v>2320</v>
      </c>
      <c r="N7125" s="15" t="s">
        <v>36</v>
      </c>
      <c r="O7125" s="15" t="s">
        <v>189</v>
      </c>
      <c r="P7125" s="20" t="s">
        <v>524</v>
      </c>
      <c r="Q7125" s="15" t="s">
        <v>83</v>
      </c>
      <c r="R7125" s="4"/>
      <c r="S7125" s="4"/>
    </row>
    <row r="7126" spans="1:19" ht="21" customHeight="1" x14ac:dyDescent="0.25">
      <c r="A7126" s="14">
        <f>DATE(2012,12,31)-348</f>
        <v>40926</v>
      </c>
      <c r="B7126" s="15" t="s">
        <v>455</v>
      </c>
      <c r="C7126" s="15" t="s">
        <v>31</v>
      </c>
      <c r="D7126" s="16">
        <v>26</v>
      </c>
      <c r="E7126" s="17">
        <v>1333.18</v>
      </c>
      <c r="F7126" s="16">
        <v>7.0000000000000007E-2</v>
      </c>
      <c r="G7126" s="15" t="s">
        <v>58</v>
      </c>
      <c r="H7126" s="18">
        <v>120.01</v>
      </c>
      <c r="I7126" s="19">
        <v>50.98</v>
      </c>
      <c r="J7126" s="19">
        <v>14.19</v>
      </c>
      <c r="K7126" s="19" t="s">
        <v>44</v>
      </c>
      <c r="L7126" s="19" t="s">
        <v>52</v>
      </c>
      <c r="M7126" s="15" t="s">
        <v>2320</v>
      </c>
      <c r="N7126" s="15" t="s">
        <v>54</v>
      </c>
      <c r="O7126" s="15" t="s">
        <v>252</v>
      </c>
      <c r="P7126" s="20" t="s">
        <v>879</v>
      </c>
      <c r="Q7126" s="15" t="s">
        <v>181</v>
      </c>
      <c r="R7126" s="4"/>
      <c r="S7126" s="4"/>
    </row>
    <row r="7127" spans="1:19" ht="21" customHeight="1" x14ac:dyDescent="0.25">
      <c r="A7127" s="14">
        <f>DATE(2012,12,31)-348</f>
        <v>40926</v>
      </c>
      <c r="B7127" s="15" t="s">
        <v>1090</v>
      </c>
      <c r="C7127" s="15" t="s">
        <v>31</v>
      </c>
      <c r="D7127" s="16">
        <v>19</v>
      </c>
      <c r="E7127" s="17">
        <v>117.27</v>
      </c>
      <c r="F7127" s="16">
        <v>0.01</v>
      </c>
      <c r="G7127" s="15" t="s">
        <v>32</v>
      </c>
      <c r="H7127" s="18">
        <v>35.450000000000003</v>
      </c>
      <c r="I7127" s="19">
        <v>5.84</v>
      </c>
      <c r="J7127" s="19">
        <v>0.83</v>
      </c>
      <c r="K7127" s="19" t="s">
        <v>44</v>
      </c>
      <c r="L7127" s="19" t="s">
        <v>52</v>
      </c>
      <c r="M7127" s="15" t="s">
        <v>2320</v>
      </c>
      <c r="N7127" s="15" t="s">
        <v>36</v>
      </c>
      <c r="O7127" s="15" t="s">
        <v>77</v>
      </c>
      <c r="P7127" s="20" t="s">
        <v>1686</v>
      </c>
      <c r="Q7127" s="15" t="s">
        <v>79</v>
      </c>
      <c r="R7127" s="4"/>
      <c r="S7127" s="4"/>
    </row>
    <row r="7128" spans="1:19" ht="21" customHeight="1" x14ac:dyDescent="0.25">
      <c r="A7128" s="14">
        <f>DATE(2012,12,31)-1361</f>
        <v>39913</v>
      </c>
      <c r="B7128" s="15" t="s">
        <v>1456</v>
      </c>
      <c r="C7128" s="15" t="s">
        <v>85</v>
      </c>
      <c r="D7128" s="16">
        <v>28</v>
      </c>
      <c r="E7128" s="17">
        <v>65.7</v>
      </c>
      <c r="F7128" s="16">
        <v>0.02</v>
      </c>
      <c r="G7128" s="15" t="s">
        <v>101</v>
      </c>
      <c r="H7128" s="18">
        <v>-83.54</v>
      </c>
      <c r="I7128" s="19">
        <v>1.76</v>
      </c>
      <c r="J7128" s="19">
        <v>4.8600000000000003</v>
      </c>
      <c r="K7128" s="19" t="s">
        <v>44</v>
      </c>
      <c r="L7128" s="19" t="s">
        <v>52</v>
      </c>
      <c r="M7128" s="15" t="s">
        <v>2320</v>
      </c>
      <c r="N7128" s="15" t="s">
        <v>54</v>
      </c>
      <c r="O7128" s="15" t="s">
        <v>55</v>
      </c>
      <c r="P7128" s="20" t="s">
        <v>1517</v>
      </c>
      <c r="Q7128" s="15" t="s">
        <v>83</v>
      </c>
      <c r="R7128" s="4"/>
      <c r="S7128" s="4"/>
    </row>
    <row r="7129" spans="1:19" ht="21" customHeight="1" x14ac:dyDescent="0.25">
      <c r="A7129" s="14">
        <f>DATE(2012,12,31)-1361</f>
        <v>39913</v>
      </c>
      <c r="B7129" s="15" t="s">
        <v>1671</v>
      </c>
      <c r="C7129" s="15" t="s">
        <v>85</v>
      </c>
      <c r="D7129" s="16">
        <v>38</v>
      </c>
      <c r="E7129" s="17">
        <v>1685.07</v>
      </c>
      <c r="F7129" s="16">
        <v>0.03</v>
      </c>
      <c r="G7129" s="15" t="s">
        <v>32</v>
      </c>
      <c r="H7129" s="18">
        <v>-681.97</v>
      </c>
      <c r="I7129" s="19">
        <v>41.47</v>
      </c>
      <c r="J7129" s="19">
        <v>34.200000000000003</v>
      </c>
      <c r="K7129" s="19" t="s">
        <v>44</v>
      </c>
      <c r="L7129" s="19" t="s">
        <v>52</v>
      </c>
      <c r="M7129" s="15" t="s">
        <v>2336</v>
      </c>
      <c r="N7129" s="15" t="s">
        <v>54</v>
      </c>
      <c r="O7129" s="15" t="s">
        <v>55</v>
      </c>
      <c r="P7129" s="20" t="s">
        <v>389</v>
      </c>
      <c r="Q7129" s="15" t="s">
        <v>79</v>
      </c>
      <c r="R7129" s="4"/>
      <c r="S7129" s="4"/>
    </row>
    <row r="7130" spans="1:19" ht="21" customHeight="1" x14ac:dyDescent="0.25">
      <c r="A7130" s="14">
        <f>DATE(2012,12,31)-1186</f>
        <v>40088</v>
      </c>
      <c r="B7130" s="15" t="s">
        <v>1671</v>
      </c>
      <c r="C7130" s="15" t="s">
        <v>85</v>
      </c>
      <c r="D7130" s="16">
        <v>43</v>
      </c>
      <c r="E7130" s="17">
        <v>7036.11</v>
      </c>
      <c r="F7130" s="16">
        <v>0</v>
      </c>
      <c r="G7130" s="15" t="s">
        <v>32</v>
      </c>
      <c r="H7130" s="18">
        <v>1268.6500000000001</v>
      </c>
      <c r="I7130" s="19">
        <v>161.55000000000001</v>
      </c>
      <c r="J7130" s="19">
        <v>19.989999999999998</v>
      </c>
      <c r="K7130" s="19" t="s">
        <v>44</v>
      </c>
      <c r="L7130" s="19" t="s">
        <v>52</v>
      </c>
      <c r="M7130" s="15" t="s">
        <v>2336</v>
      </c>
      <c r="N7130" s="15" t="s">
        <v>36</v>
      </c>
      <c r="O7130" s="15" t="s">
        <v>37</v>
      </c>
      <c r="P7130" s="20" t="s">
        <v>1983</v>
      </c>
      <c r="Q7130" s="15" t="s">
        <v>83</v>
      </c>
      <c r="R7130" s="4"/>
      <c r="S7130" s="4"/>
    </row>
    <row r="7131" spans="1:19" ht="21" customHeight="1" x14ac:dyDescent="0.25">
      <c r="A7131" s="14">
        <f>DATE(2012,12,31)-962</f>
        <v>40312</v>
      </c>
      <c r="B7131" s="15" t="s">
        <v>2136</v>
      </c>
      <c r="C7131" s="15" t="s">
        <v>43</v>
      </c>
      <c r="D7131" s="16">
        <v>17</v>
      </c>
      <c r="E7131" s="17">
        <v>2475.08</v>
      </c>
      <c r="F7131" s="16">
        <v>0</v>
      </c>
      <c r="G7131" s="15" t="s">
        <v>101</v>
      </c>
      <c r="H7131" s="18">
        <v>958.8</v>
      </c>
      <c r="I7131" s="19">
        <v>136.97999999999999</v>
      </c>
      <c r="J7131" s="19">
        <v>24.49</v>
      </c>
      <c r="K7131" s="19" t="s">
        <v>44</v>
      </c>
      <c r="L7131" s="19" t="s">
        <v>52</v>
      </c>
      <c r="M7131" s="15" t="s">
        <v>2336</v>
      </c>
      <c r="N7131" s="15" t="s">
        <v>54</v>
      </c>
      <c r="O7131" s="15" t="s">
        <v>55</v>
      </c>
      <c r="P7131" s="20" t="s">
        <v>1646</v>
      </c>
      <c r="Q7131" s="15" t="s">
        <v>39</v>
      </c>
      <c r="R7131" s="4"/>
      <c r="S7131" s="4"/>
    </row>
    <row r="7132" spans="1:19" ht="21" customHeight="1" x14ac:dyDescent="0.25">
      <c r="A7132" s="14">
        <f>DATE(2012,12,31)-962</f>
        <v>40312</v>
      </c>
      <c r="B7132" s="15" t="s">
        <v>1633</v>
      </c>
      <c r="C7132" s="15" t="s">
        <v>43</v>
      </c>
      <c r="D7132" s="16">
        <v>49</v>
      </c>
      <c r="E7132" s="17">
        <v>1610.42</v>
      </c>
      <c r="F7132" s="16">
        <v>0</v>
      </c>
      <c r="G7132" s="15" t="s">
        <v>32</v>
      </c>
      <c r="H7132" s="18">
        <v>813.35</v>
      </c>
      <c r="I7132" s="19">
        <v>30.93</v>
      </c>
      <c r="J7132" s="19">
        <v>3.92</v>
      </c>
      <c r="K7132" s="19" t="s">
        <v>44</v>
      </c>
      <c r="L7132" s="19" t="s">
        <v>52</v>
      </c>
      <c r="M7132" s="15" t="s">
        <v>2336</v>
      </c>
      <c r="N7132" s="15" t="s">
        <v>54</v>
      </c>
      <c r="O7132" s="15" t="s">
        <v>55</v>
      </c>
      <c r="P7132" s="20" t="s">
        <v>1570</v>
      </c>
      <c r="Q7132" s="15" t="s">
        <v>49</v>
      </c>
      <c r="R7132" s="4"/>
      <c r="S7132" s="4"/>
    </row>
    <row r="7133" spans="1:19" ht="21" customHeight="1" x14ac:dyDescent="0.25">
      <c r="A7133" s="14">
        <f>DATE(2012,12,31)-769</f>
        <v>40505</v>
      </c>
      <c r="B7133" s="15" t="s">
        <v>1633</v>
      </c>
      <c r="C7133" s="15" t="s">
        <v>43</v>
      </c>
      <c r="D7133" s="16">
        <v>43</v>
      </c>
      <c r="E7133" s="17">
        <v>1290.2065</v>
      </c>
      <c r="F7133" s="16">
        <v>0.06</v>
      </c>
      <c r="G7133" s="15" t="s">
        <v>101</v>
      </c>
      <c r="H7133" s="18">
        <v>-160.67699999999999</v>
      </c>
      <c r="I7133" s="19">
        <v>35.99</v>
      </c>
      <c r="J7133" s="19">
        <v>5</v>
      </c>
      <c r="K7133" s="19" t="s">
        <v>44</v>
      </c>
      <c r="L7133" s="19" t="s">
        <v>52</v>
      </c>
      <c r="M7133" s="15" t="s">
        <v>2336</v>
      </c>
      <c r="N7133" s="15" t="s">
        <v>64</v>
      </c>
      <c r="O7133" s="15" t="s">
        <v>65</v>
      </c>
      <c r="P7133" s="20" t="s">
        <v>231</v>
      </c>
      <c r="Q7133" s="15" t="s">
        <v>79</v>
      </c>
      <c r="R7133" s="4"/>
      <c r="S7133" s="4"/>
    </row>
    <row r="7134" spans="1:19" ht="21" customHeight="1" x14ac:dyDescent="0.25">
      <c r="A7134" s="14">
        <f>DATE(2012,12,31)-97</f>
        <v>41177</v>
      </c>
      <c r="B7134" s="15" t="s">
        <v>1633</v>
      </c>
      <c r="C7134" s="15" t="s">
        <v>43</v>
      </c>
      <c r="D7134" s="16">
        <v>36</v>
      </c>
      <c r="E7134" s="17">
        <v>772.67</v>
      </c>
      <c r="F7134" s="16">
        <v>0</v>
      </c>
      <c r="G7134" s="15" t="s">
        <v>32</v>
      </c>
      <c r="H7134" s="18">
        <v>286.86650000000003</v>
      </c>
      <c r="I7134" s="19">
        <v>21.38</v>
      </c>
      <c r="J7134" s="19">
        <v>2.99</v>
      </c>
      <c r="K7134" s="19" t="s">
        <v>44</v>
      </c>
      <c r="L7134" s="19" t="s">
        <v>52</v>
      </c>
      <c r="M7134" s="15" t="s">
        <v>2336</v>
      </c>
      <c r="N7134" s="15" t="s">
        <v>36</v>
      </c>
      <c r="O7134" s="15" t="s">
        <v>170</v>
      </c>
      <c r="P7134" s="20" t="s">
        <v>1698</v>
      </c>
      <c r="Q7134" s="15" t="s">
        <v>83</v>
      </c>
      <c r="R7134" s="4"/>
      <c r="S7134" s="4"/>
    </row>
    <row r="7135" spans="1:19" ht="21" customHeight="1" x14ac:dyDescent="0.25">
      <c r="A7135" s="14">
        <f>DATE(2012,12,31)-53</f>
        <v>41221</v>
      </c>
      <c r="B7135" s="15" t="s">
        <v>1881</v>
      </c>
      <c r="C7135" s="15" t="s">
        <v>51</v>
      </c>
      <c r="D7135" s="16">
        <v>28</v>
      </c>
      <c r="E7135" s="17">
        <v>112.05</v>
      </c>
      <c r="F7135" s="16">
        <v>0.04</v>
      </c>
      <c r="G7135" s="15" t="s">
        <v>32</v>
      </c>
      <c r="H7135" s="18">
        <v>26.21</v>
      </c>
      <c r="I7135" s="19">
        <v>4</v>
      </c>
      <c r="J7135" s="19">
        <v>1.3</v>
      </c>
      <c r="K7135" s="19" t="s">
        <v>44</v>
      </c>
      <c r="L7135" s="19" t="s">
        <v>52</v>
      </c>
      <c r="M7135" s="15" t="s">
        <v>2336</v>
      </c>
      <c r="N7135" s="15" t="s">
        <v>36</v>
      </c>
      <c r="O7135" s="15" t="s">
        <v>117</v>
      </c>
      <c r="P7135" s="20" t="s">
        <v>1167</v>
      </c>
      <c r="Q7135" s="15" t="s">
        <v>79</v>
      </c>
      <c r="R7135" s="4"/>
      <c r="S7135" s="4"/>
    </row>
    <row r="7136" spans="1:19" ht="21" customHeight="1" x14ac:dyDescent="0.25">
      <c r="A7136" s="14">
        <f>DATE(2012,12,31)-326</f>
        <v>40948</v>
      </c>
      <c r="B7136" s="15" t="s">
        <v>116</v>
      </c>
      <c r="C7136" s="15" t="s">
        <v>43</v>
      </c>
      <c r="D7136" s="16">
        <v>1</v>
      </c>
      <c r="E7136" s="17">
        <v>61.097999999999992</v>
      </c>
      <c r="F7136" s="16">
        <v>0.02</v>
      </c>
      <c r="G7136" s="15" t="s">
        <v>32</v>
      </c>
      <c r="H7136" s="18">
        <v>-257.71899999999999</v>
      </c>
      <c r="I7136" s="19">
        <v>65.989999999999995</v>
      </c>
      <c r="J7136" s="19">
        <v>5.92</v>
      </c>
      <c r="K7136" s="19" t="s">
        <v>44</v>
      </c>
      <c r="L7136" s="19" t="s">
        <v>52</v>
      </c>
      <c r="M7136" s="15" t="s">
        <v>2336</v>
      </c>
      <c r="N7136" s="15" t="s">
        <v>64</v>
      </c>
      <c r="O7136" s="15" t="s">
        <v>65</v>
      </c>
      <c r="P7136" s="20" t="s">
        <v>1543</v>
      </c>
      <c r="Q7136" s="15" t="s">
        <v>83</v>
      </c>
      <c r="R7136" s="4"/>
      <c r="S7136" s="4"/>
    </row>
    <row r="7137" spans="1:19" ht="21" customHeight="1" x14ac:dyDescent="0.25">
      <c r="A7137" s="14">
        <f>DATE(2012,12,31)-108</f>
        <v>41166</v>
      </c>
      <c r="B7137" s="15" t="s">
        <v>336</v>
      </c>
      <c r="C7137" s="15" t="s">
        <v>31</v>
      </c>
      <c r="D7137" s="16">
        <v>28</v>
      </c>
      <c r="E7137" s="17">
        <v>132.01</v>
      </c>
      <c r="F7137" s="16">
        <v>0.04</v>
      </c>
      <c r="G7137" s="15" t="s">
        <v>32</v>
      </c>
      <c r="H7137" s="18">
        <v>-93.12</v>
      </c>
      <c r="I7137" s="19">
        <v>4.37</v>
      </c>
      <c r="J7137" s="19">
        <v>5.15</v>
      </c>
      <c r="K7137" s="19" t="s">
        <v>69</v>
      </c>
      <c r="L7137" s="19" t="s">
        <v>70</v>
      </c>
      <c r="M7137" s="15" t="s">
        <v>2327</v>
      </c>
      <c r="N7137" s="15" t="s">
        <v>36</v>
      </c>
      <c r="O7137" s="15" t="s">
        <v>176</v>
      </c>
      <c r="P7137" s="20" t="s">
        <v>1527</v>
      </c>
      <c r="Q7137" s="15" t="s">
        <v>83</v>
      </c>
      <c r="R7137" s="4"/>
      <c r="S7137" s="4"/>
    </row>
    <row r="7138" spans="1:19" ht="21" customHeight="1" x14ac:dyDescent="0.25">
      <c r="A7138" s="14">
        <f>DATE(2012,12,31)-108</f>
        <v>41166</v>
      </c>
      <c r="B7138" s="15" t="s">
        <v>637</v>
      </c>
      <c r="C7138" s="15" t="s">
        <v>31</v>
      </c>
      <c r="D7138" s="16">
        <v>14</v>
      </c>
      <c r="E7138" s="17">
        <v>626.33000000000004</v>
      </c>
      <c r="F7138" s="16">
        <v>0.01</v>
      </c>
      <c r="G7138" s="15" t="s">
        <v>32</v>
      </c>
      <c r="H7138" s="18">
        <v>24.56</v>
      </c>
      <c r="I7138" s="19">
        <v>45.19</v>
      </c>
      <c r="J7138" s="19">
        <v>1.99</v>
      </c>
      <c r="K7138" s="19" t="s">
        <v>44</v>
      </c>
      <c r="L7138" s="19" t="s">
        <v>89</v>
      </c>
      <c r="M7138" s="15" t="s">
        <v>2326</v>
      </c>
      <c r="N7138" s="15" t="s">
        <v>64</v>
      </c>
      <c r="O7138" s="15" t="s">
        <v>72</v>
      </c>
      <c r="P7138" s="20" t="s">
        <v>1702</v>
      </c>
      <c r="Q7138" s="15" t="s">
        <v>49</v>
      </c>
      <c r="R7138" s="4"/>
      <c r="S7138" s="4"/>
    </row>
    <row r="7139" spans="1:19" ht="21" customHeight="1" x14ac:dyDescent="0.25">
      <c r="A7139" s="14">
        <f>DATE(2012,12,31)-108</f>
        <v>41166</v>
      </c>
      <c r="B7139" s="15" t="s">
        <v>1432</v>
      </c>
      <c r="C7139" s="15" t="s">
        <v>31</v>
      </c>
      <c r="D7139" s="16">
        <v>3</v>
      </c>
      <c r="E7139" s="17">
        <v>394.34</v>
      </c>
      <c r="F7139" s="16">
        <v>0.1</v>
      </c>
      <c r="G7139" s="15" t="s">
        <v>32</v>
      </c>
      <c r="H7139" s="18">
        <v>352.38</v>
      </c>
      <c r="I7139" s="19">
        <v>136.97999999999999</v>
      </c>
      <c r="J7139" s="19">
        <v>24.49</v>
      </c>
      <c r="K7139" s="19" t="s">
        <v>97</v>
      </c>
      <c r="L7139" s="19" t="s">
        <v>98</v>
      </c>
      <c r="M7139" s="15" t="s">
        <v>2328</v>
      </c>
      <c r="N7139" s="15" t="s">
        <v>54</v>
      </c>
      <c r="O7139" s="15" t="s">
        <v>55</v>
      </c>
      <c r="P7139" s="20" t="s">
        <v>680</v>
      </c>
      <c r="Q7139" s="15" t="s">
        <v>39</v>
      </c>
      <c r="R7139" s="4"/>
      <c r="S7139" s="4"/>
    </row>
    <row r="7140" spans="1:19" ht="21" customHeight="1" x14ac:dyDescent="0.25">
      <c r="A7140" s="14">
        <f>DATE(2012,12,31)-738</f>
        <v>40536</v>
      </c>
      <c r="B7140" s="15" t="s">
        <v>1099</v>
      </c>
      <c r="C7140" s="15" t="s">
        <v>51</v>
      </c>
      <c r="D7140" s="16">
        <v>2</v>
      </c>
      <c r="E7140" s="17">
        <v>291.66000000000003</v>
      </c>
      <c r="F7140" s="16">
        <v>0.08</v>
      </c>
      <c r="G7140" s="15" t="s">
        <v>32</v>
      </c>
      <c r="H7140" s="18">
        <v>-192.92</v>
      </c>
      <c r="I7140" s="19">
        <v>136.97999999999999</v>
      </c>
      <c r="J7140" s="19">
        <v>24.49</v>
      </c>
      <c r="K7140" s="19" t="s">
        <v>97</v>
      </c>
      <c r="L7140" s="19" t="s">
        <v>98</v>
      </c>
      <c r="M7140" s="15" t="s">
        <v>2328</v>
      </c>
      <c r="N7140" s="15" t="s">
        <v>54</v>
      </c>
      <c r="O7140" s="15" t="s">
        <v>55</v>
      </c>
      <c r="P7140" s="20" t="s">
        <v>1706</v>
      </c>
      <c r="Q7140" s="15" t="s">
        <v>39</v>
      </c>
      <c r="R7140" s="4"/>
      <c r="S7140" s="4"/>
    </row>
    <row r="7141" spans="1:19" ht="21" customHeight="1" x14ac:dyDescent="0.25">
      <c r="A7141" s="14">
        <f>DATE(2012,12,31)-924</f>
        <v>40350</v>
      </c>
      <c r="B7141" s="15" t="s">
        <v>1099</v>
      </c>
      <c r="C7141" s="15" t="s">
        <v>51</v>
      </c>
      <c r="D7141" s="16">
        <v>34</v>
      </c>
      <c r="E7141" s="17">
        <v>783.48</v>
      </c>
      <c r="F7141" s="16">
        <v>0.01</v>
      </c>
      <c r="G7141" s="15" t="s">
        <v>32</v>
      </c>
      <c r="H7141" s="18">
        <v>-73.404499999999999</v>
      </c>
      <c r="I7141" s="19">
        <v>22.38</v>
      </c>
      <c r="J7141" s="19">
        <v>15.1</v>
      </c>
      <c r="K7141" s="19" t="s">
        <v>97</v>
      </c>
      <c r="L7141" s="19" t="s">
        <v>195</v>
      </c>
      <c r="M7141" s="15" t="s">
        <v>2138</v>
      </c>
      <c r="N7141" s="15" t="s">
        <v>36</v>
      </c>
      <c r="O7141" s="15" t="s">
        <v>170</v>
      </c>
      <c r="P7141" s="20" t="s">
        <v>536</v>
      </c>
      <c r="Q7141" s="15" t="s">
        <v>83</v>
      </c>
      <c r="R7141" s="4"/>
      <c r="S7141" s="4"/>
    </row>
    <row r="7142" spans="1:19" ht="21" customHeight="1" x14ac:dyDescent="0.25">
      <c r="A7142" s="14">
        <f>DATE(2012,12,31)-139</f>
        <v>41135</v>
      </c>
      <c r="B7142" s="15" t="s">
        <v>1389</v>
      </c>
      <c r="C7142" s="15" t="s">
        <v>51</v>
      </c>
      <c r="D7142" s="16">
        <v>28</v>
      </c>
      <c r="E7142" s="17">
        <v>1135.24</v>
      </c>
      <c r="F7142" s="16">
        <v>0.06</v>
      </c>
      <c r="G7142" s="15" t="s">
        <v>32</v>
      </c>
      <c r="H7142" s="18">
        <v>271.81</v>
      </c>
      <c r="I7142" s="19">
        <v>41.71</v>
      </c>
      <c r="J7142" s="19">
        <v>4.5</v>
      </c>
      <c r="K7142" s="19" t="s">
        <v>33</v>
      </c>
      <c r="L7142" s="19" t="s">
        <v>145</v>
      </c>
      <c r="M7142" s="15" t="s">
        <v>2313</v>
      </c>
      <c r="N7142" s="15" t="s">
        <v>36</v>
      </c>
      <c r="O7142" s="15" t="s">
        <v>176</v>
      </c>
      <c r="P7142" s="20" t="s">
        <v>1547</v>
      </c>
      <c r="Q7142" s="15" t="s">
        <v>83</v>
      </c>
      <c r="R7142" s="4"/>
      <c r="S7142" s="4"/>
    </row>
    <row r="7143" spans="1:19" ht="21" customHeight="1" x14ac:dyDescent="0.25">
      <c r="A7143" s="14">
        <f>DATE(2012,12,31)-139</f>
        <v>41135</v>
      </c>
      <c r="B7143" s="15" t="s">
        <v>1389</v>
      </c>
      <c r="C7143" s="15" t="s">
        <v>51</v>
      </c>
      <c r="D7143" s="16">
        <v>3</v>
      </c>
      <c r="E7143" s="17">
        <v>2136.9299999999998</v>
      </c>
      <c r="F7143" s="16">
        <v>0.04</v>
      </c>
      <c r="G7143" s="15" t="s">
        <v>32</v>
      </c>
      <c r="H7143" s="18">
        <v>-2297.48</v>
      </c>
      <c r="I7143" s="19">
        <v>699.99</v>
      </c>
      <c r="J7143" s="19">
        <v>24.49</v>
      </c>
      <c r="K7143" s="19" t="s">
        <v>33</v>
      </c>
      <c r="L7143" s="19" t="s">
        <v>59</v>
      </c>
      <c r="M7143" s="15" t="s">
        <v>2269</v>
      </c>
      <c r="N7143" s="15" t="s">
        <v>64</v>
      </c>
      <c r="O7143" s="15" t="s">
        <v>460</v>
      </c>
      <c r="P7143" s="20" t="s">
        <v>515</v>
      </c>
      <c r="Q7143" s="15" t="s">
        <v>39</v>
      </c>
      <c r="R7143" s="4"/>
      <c r="S7143" s="4"/>
    </row>
    <row r="7144" spans="1:19" ht="21" customHeight="1" x14ac:dyDescent="0.25">
      <c r="A7144" s="14">
        <f>DATE(2012,12,31)-409</f>
        <v>40865</v>
      </c>
      <c r="B7144" s="15" t="s">
        <v>882</v>
      </c>
      <c r="C7144" s="15" t="s">
        <v>85</v>
      </c>
      <c r="D7144" s="16">
        <v>29</v>
      </c>
      <c r="E7144" s="17">
        <v>1617.88</v>
      </c>
      <c r="F7144" s="16">
        <v>0</v>
      </c>
      <c r="G7144" s="15" t="s">
        <v>32</v>
      </c>
      <c r="H7144" s="18">
        <v>271.89999999999998</v>
      </c>
      <c r="I7144" s="19">
        <v>53.98</v>
      </c>
      <c r="J7144" s="19">
        <v>5.5</v>
      </c>
      <c r="K7144" s="19" t="s">
        <v>44</v>
      </c>
      <c r="L7144" s="19" t="s">
        <v>89</v>
      </c>
      <c r="M7144" s="15" t="s">
        <v>2326</v>
      </c>
      <c r="N7144" s="15" t="s">
        <v>64</v>
      </c>
      <c r="O7144" s="15" t="s">
        <v>72</v>
      </c>
      <c r="P7144" s="20" t="s">
        <v>127</v>
      </c>
      <c r="Q7144" s="15" t="s">
        <v>83</v>
      </c>
      <c r="R7144" s="4"/>
      <c r="S7144" s="4"/>
    </row>
    <row r="7145" spans="1:19" ht="21" customHeight="1" x14ac:dyDescent="0.25">
      <c r="A7145" s="14">
        <f>DATE(2012,12,31)-381</f>
        <v>40893</v>
      </c>
      <c r="B7145" s="15" t="s">
        <v>1628</v>
      </c>
      <c r="C7145" s="15" t="s">
        <v>51</v>
      </c>
      <c r="D7145" s="16">
        <v>42</v>
      </c>
      <c r="E7145" s="17">
        <v>312.05</v>
      </c>
      <c r="F7145" s="16">
        <v>0.04</v>
      </c>
      <c r="G7145" s="15" t="s">
        <v>32</v>
      </c>
      <c r="H7145" s="18">
        <v>-342.37800000000004</v>
      </c>
      <c r="I7145" s="19">
        <v>7.38</v>
      </c>
      <c r="J7145" s="19">
        <v>11.51</v>
      </c>
      <c r="K7145" s="19" t="s">
        <v>33</v>
      </c>
      <c r="L7145" s="19" t="s">
        <v>128</v>
      </c>
      <c r="M7145" s="15" t="s">
        <v>129</v>
      </c>
      <c r="N7145" s="15" t="s">
        <v>36</v>
      </c>
      <c r="O7145" s="15" t="s">
        <v>170</v>
      </c>
      <c r="P7145" s="20" t="s">
        <v>2238</v>
      </c>
      <c r="Q7145" s="15" t="s">
        <v>83</v>
      </c>
      <c r="R7145" s="4"/>
      <c r="S7145" s="4"/>
    </row>
    <row r="7146" spans="1:19" ht="21" customHeight="1" x14ac:dyDescent="0.25">
      <c r="A7146" s="14">
        <f>DATE(2012,12,31)-262</f>
        <v>41012</v>
      </c>
      <c r="B7146" s="15" t="s">
        <v>334</v>
      </c>
      <c r="C7146" s="15" t="s">
        <v>51</v>
      </c>
      <c r="D7146" s="16">
        <v>4</v>
      </c>
      <c r="E7146" s="17">
        <v>30.89</v>
      </c>
      <c r="F7146" s="16">
        <v>0.06</v>
      </c>
      <c r="G7146" s="15" t="s">
        <v>32</v>
      </c>
      <c r="H7146" s="18">
        <v>-19.55</v>
      </c>
      <c r="I7146" s="19">
        <v>5.78</v>
      </c>
      <c r="J7146" s="19">
        <v>7.64</v>
      </c>
      <c r="K7146" s="19" t="s">
        <v>33</v>
      </c>
      <c r="L7146" s="19" t="s">
        <v>128</v>
      </c>
      <c r="M7146" s="15" t="s">
        <v>129</v>
      </c>
      <c r="N7146" s="15" t="s">
        <v>36</v>
      </c>
      <c r="O7146" s="15" t="s">
        <v>117</v>
      </c>
      <c r="P7146" s="20" t="s">
        <v>82</v>
      </c>
      <c r="Q7146" s="15" t="s">
        <v>83</v>
      </c>
      <c r="R7146" s="4"/>
      <c r="S7146" s="4"/>
    </row>
    <row r="7147" spans="1:19" ht="21" customHeight="1" x14ac:dyDescent="0.25">
      <c r="A7147" s="14">
        <f>DATE(2012,12,31)-262</f>
        <v>41012</v>
      </c>
      <c r="B7147" s="15" t="s">
        <v>1858</v>
      </c>
      <c r="C7147" s="15" t="s">
        <v>51</v>
      </c>
      <c r="D7147" s="16">
        <v>34</v>
      </c>
      <c r="E7147" s="17">
        <v>170.46</v>
      </c>
      <c r="F7147" s="16">
        <v>0.1</v>
      </c>
      <c r="G7147" s="15" t="s">
        <v>32</v>
      </c>
      <c r="H7147" s="18">
        <v>-104.35</v>
      </c>
      <c r="I7147" s="19">
        <v>5.28</v>
      </c>
      <c r="J7147" s="19">
        <v>5.66</v>
      </c>
      <c r="K7147" s="19" t="s">
        <v>33</v>
      </c>
      <c r="L7147" s="19" t="s">
        <v>93</v>
      </c>
      <c r="M7147" s="15" t="s">
        <v>94</v>
      </c>
      <c r="N7147" s="15" t="s">
        <v>36</v>
      </c>
      <c r="O7147" s="15" t="s">
        <v>117</v>
      </c>
      <c r="P7147" s="20" t="s">
        <v>982</v>
      </c>
      <c r="Q7147" s="15" t="s">
        <v>83</v>
      </c>
      <c r="R7147" s="4"/>
      <c r="S7147" s="4"/>
    </row>
    <row r="7148" spans="1:19" ht="21" customHeight="1" x14ac:dyDescent="0.25">
      <c r="A7148" s="14">
        <f>DATE(2012,12,31)-376</f>
        <v>40898</v>
      </c>
      <c r="B7148" s="15" t="s">
        <v>1462</v>
      </c>
      <c r="C7148" s="15" t="s">
        <v>51</v>
      </c>
      <c r="D7148" s="16">
        <v>49</v>
      </c>
      <c r="E7148" s="17">
        <v>26622.55</v>
      </c>
      <c r="F7148" s="16">
        <v>0.08</v>
      </c>
      <c r="G7148" s="15" t="s">
        <v>58</v>
      </c>
      <c r="H7148" s="18">
        <v>3146.2154999999998</v>
      </c>
      <c r="I7148" s="19">
        <v>550.98</v>
      </c>
      <c r="J7148" s="19">
        <v>45.7</v>
      </c>
      <c r="K7148" s="19" t="s">
        <v>44</v>
      </c>
      <c r="L7148" s="19" t="s">
        <v>52</v>
      </c>
      <c r="M7148" s="15" t="s">
        <v>2336</v>
      </c>
      <c r="N7148" s="15" t="s">
        <v>54</v>
      </c>
      <c r="O7148" s="15" t="s">
        <v>61</v>
      </c>
      <c r="P7148" s="20" t="s">
        <v>1383</v>
      </c>
      <c r="Q7148" s="15" t="s">
        <v>63</v>
      </c>
      <c r="R7148" s="4"/>
      <c r="S7148" s="4"/>
    </row>
    <row r="7149" spans="1:19" ht="21" customHeight="1" x14ac:dyDescent="0.25">
      <c r="A7149" s="14">
        <f>DATE(2012,12,31)-21</f>
        <v>41253</v>
      </c>
      <c r="B7149" s="15" t="s">
        <v>1462</v>
      </c>
      <c r="C7149" s="15" t="s">
        <v>51</v>
      </c>
      <c r="D7149" s="16">
        <v>17</v>
      </c>
      <c r="E7149" s="17">
        <v>233.01</v>
      </c>
      <c r="F7149" s="16">
        <v>0.04</v>
      </c>
      <c r="G7149" s="15" t="s">
        <v>101</v>
      </c>
      <c r="H7149" s="18">
        <v>88.884500000000003</v>
      </c>
      <c r="I7149" s="19">
        <v>12.97</v>
      </c>
      <c r="J7149" s="19">
        <v>1.49</v>
      </c>
      <c r="K7149" s="19" t="s">
        <v>33</v>
      </c>
      <c r="L7149" s="19" t="s">
        <v>93</v>
      </c>
      <c r="M7149" s="15" t="s">
        <v>94</v>
      </c>
      <c r="N7149" s="15" t="s">
        <v>36</v>
      </c>
      <c r="O7149" s="15" t="s">
        <v>170</v>
      </c>
      <c r="P7149" s="20" t="s">
        <v>2203</v>
      </c>
      <c r="Q7149" s="15" t="s">
        <v>83</v>
      </c>
      <c r="R7149" s="4"/>
      <c r="S7149" s="4"/>
    </row>
    <row r="7150" spans="1:19" ht="21" customHeight="1" x14ac:dyDescent="0.25">
      <c r="A7150" s="14">
        <f>DATE(2012,12,31)-21</f>
        <v>41253</v>
      </c>
      <c r="B7150" s="15" t="s">
        <v>2189</v>
      </c>
      <c r="C7150" s="15" t="s">
        <v>51</v>
      </c>
      <c r="D7150" s="16">
        <v>5</v>
      </c>
      <c r="E7150" s="17">
        <v>225.72</v>
      </c>
      <c r="F7150" s="16">
        <v>0</v>
      </c>
      <c r="G7150" s="15" t="s">
        <v>32</v>
      </c>
      <c r="H7150" s="18">
        <v>16.649999999999999</v>
      </c>
      <c r="I7150" s="19">
        <v>39.979999999999997</v>
      </c>
      <c r="J7150" s="19">
        <v>9.83</v>
      </c>
      <c r="K7150" s="19" t="s">
        <v>97</v>
      </c>
      <c r="L7150" s="19" t="s">
        <v>283</v>
      </c>
      <c r="M7150" s="15" t="s">
        <v>2306</v>
      </c>
      <c r="N7150" s="15" t="s">
        <v>36</v>
      </c>
      <c r="O7150" s="15" t="s">
        <v>189</v>
      </c>
      <c r="P7150" s="20" t="s">
        <v>1538</v>
      </c>
      <c r="Q7150" s="15" t="s">
        <v>83</v>
      </c>
      <c r="R7150" s="4"/>
      <c r="S7150" s="4"/>
    </row>
    <row r="7151" spans="1:19" ht="21" customHeight="1" x14ac:dyDescent="0.25">
      <c r="A7151" s="14">
        <f>DATE(2012,12,31)-1118</f>
        <v>40156</v>
      </c>
      <c r="B7151" s="15" t="s">
        <v>1719</v>
      </c>
      <c r="C7151" s="15" t="s">
        <v>31</v>
      </c>
      <c r="D7151" s="16">
        <v>3</v>
      </c>
      <c r="E7151" s="17">
        <v>26.5</v>
      </c>
      <c r="F7151" s="16">
        <v>0.05</v>
      </c>
      <c r="G7151" s="15" t="s">
        <v>32</v>
      </c>
      <c r="H7151" s="18">
        <v>20.12</v>
      </c>
      <c r="I7151" s="19">
        <v>7.59</v>
      </c>
      <c r="J7151" s="19">
        <v>4</v>
      </c>
      <c r="K7151" s="19" t="s">
        <v>44</v>
      </c>
      <c r="L7151" s="19" t="s">
        <v>89</v>
      </c>
      <c r="M7151" s="15" t="s">
        <v>2337</v>
      </c>
      <c r="N7151" s="15" t="s">
        <v>54</v>
      </c>
      <c r="O7151" s="15" t="s">
        <v>55</v>
      </c>
      <c r="P7151" s="20" t="s">
        <v>1744</v>
      </c>
      <c r="Q7151" s="15" t="s">
        <v>79</v>
      </c>
      <c r="R7151" s="4"/>
      <c r="S7151" s="4"/>
    </row>
    <row r="7152" spans="1:19" ht="21" customHeight="1" x14ac:dyDescent="0.25">
      <c r="A7152" s="14">
        <f>DATE(2012,12,31)-296</f>
        <v>40978</v>
      </c>
      <c r="B7152" s="15" t="s">
        <v>882</v>
      </c>
      <c r="C7152" s="15" t="s">
        <v>85</v>
      </c>
      <c r="D7152" s="16">
        <v>26</v>
      </c>
      <c r="E7152" s="17">
        <v>4769.0694999999996</v>
      </c>
      <c r="F7152" s="16">
        <v>0.03</v>
      </c>
      <c r="G7152" s="15" t="s">
        <v>32</v>
      </c>
      <c r="H7152" s="18">
        <v>1138.5809999999999</v>
      </c>
      <c r="I7152" s="19">
        <v>205.99</v>
      </c>
      <c r="J7152" s="19">
        <v>5.99</v>
      </c>
      <c r="K7152" s="19" t="s">
        <v>44</v>
      </c>
      <c r="L7152" s="19" t="s">
        <v>45</v>
      </c>
      <c r="M7152" s="15" t="s">
        <v>2271</v>
      </c>
      <c r="N7152" s="15" t="s">
        <v>64</v>
      </c>
      <c r="O7152" s="15" t="s">
        <v>65</v>
      </c>
      <c r="P7152" s="20" t="s">
        <v>686</v>
      </c>
      <c r="Q7152" s="15" t="s">
        <v>83</v>
      </c>
      <c r="R7152" s="4"/>
      <c r="S7152" s="4"/>
    </row>
    <row r="7153" spans="1:19" ht="21" customHeight="1" x14ac:dyDescent="0.25">
      <c r="A7153" s="14">
        <f>DATE(2012,12,31)-312</f>
        <v>40962</v>
      </c>
      <c r="B7153" s="15" t="s">
        <v>2027</v>
      </c>
      <c r="C7153" s="15" t="s">
        <v>31</v>
      </c>
      <c r="D7153" s="16">
        <v>48</v>
      </c>
      <c r="E7153" s="17">
        <v>4046.25</v>
      </c>
      <c r="F7153" s="16">
        <v>0.09</v>
      </c>
      <c r="G7153" s="15" t="s">
        <v>58</v>
      </c>
      <c r="H7153" s="18">
        <v>-1296.93</v>
      </c>
      <c r="I7153" s="19">
        <v>85.29</v>
      </c>
      <c r="J7153" s="19">
        <v>60</v>
      </c>
      <c r="K7153" s="19" t="s">
        <v>124</v>
      </c>
      <c r="L7153" s="19" t="s">
        <v>160</v>
      </c>
      <c r="M7153" s="15" t="s">
        <v>2281</v>
      </c>
      <c r="N7153" s="15" t="s">
        <v>54</v>
      </c>
      <c r="O7153" s="15" t="s">
        <v>61</v>
      </c>
      <c r="P7153" s="20" t="s">
        <v>1135</v>
      </c>
      <c r="Q7153" s="15" t="s">
        <v>181</v>
      </c>
      <c r="R7153" s="4"/>
      <c r="S7153" s="4"/>
    </row>
    <row r="7154" spans="1:19" ht="21" customHeight="1" x14ac:dyDescent="0.25">
      <c r="A7154" s="14">
        <f>DATE(2012,12,31)-1377</f>
        <v>39897</v>
      </c>
      <c r="B7154" s="15" t="s">
        <v>292</v>
      </c>
      <c r="C7154" s="15" t="s">
        <v>43</v>
      </c>
      <c r="D7154" s="16">
        <v>11</v>
      </c>
      <c r="E7154" s="17">
        <v>1610.29</v>
      </c>
      <c r="F7154" s="16">
        <v>0.04</v>
      </c>
      <c r="G7154" s="15" t="s">
        <v>32</v>
      </c>
      <c r="H7154" s="18">
        <v>221.38</v>
      </c>
      <c r="I7154" s="19">
        <v>150.97999999999999</v>
      </c>
      <c r="J7154" s="19">
        <v>13.99</v>
      </c>
      <c r="K7154" s="19" t="s">
        <v>97</v>
      </c>
      <c r="L7154" s="19" t="s">
        <v>195</v>
      </c>
      <c r="M7154" s="15" t="s">
        <v>2138</v>
      </c>
      <c r="N7154" s="15" t="s">
        <v>64</v>
      </c>
      <c r="O7154" s="15" t="s">
        <v>122</v>
      </c>
      <c r="P7154" s="20" t="s">
        <v>190</v>
      </c>
      <c r="Q7154" s="15" t="s">
        <v>57</v>
      </c>
      <c r="R7154" s="4"/>
      <c r="S7154" s="4"/>
    </row>
    <row r="7155" spans="1:19" ht="21" customHeight="1" x14ac:dyDescent="0.25">
      <c r="A7155" s="14">
        <f>DATE(2012,12,31)-1377</f>
        <v>39897</v>
      </c>
      <c r="B7155" s="15" t="s">
        <v>292</v>
      </c>
      <c r="C7155" s="15" t="s">
        <v>43</v>
      </c>
      <c r="D7155" s="16">
        <v>30</v>
      </c>
      <c r="E7155" s="17">
        <v>617.51</v>
      </c>
      <c r="F7155" s="16">
        <v>0.01</v>
      </c>
      <c r="G7155" s="15" t="s">
        <v>32</v>
      </c>
      <c r="H7155" s="18">
        <v>98.1</v>
      </c>
      <c r="I7155" s="19">
        <v>18.97</v>
      </c>
      <c r="J7155" s="19">
        <v>9.0299999999999994</v>
      </c>
      <c r="K7155" s="19" t="s">
        <v>44</v>
      </c>
      <c r="L7155" s="19" t="s">
        <v>45</v>
      </c>
      <c r="M7155" s="15" t="s">
        <v>2271</v>
      </c>
      <c r="N7155" s="15" t="s">
        <v>36</v>
      </c>
      <c r="O7155" s="15" t="s">
        <v>117</v>
      </c>
      <c r="P7155" s="20" t="s">
        <v>1117</v>
      </c>
      <c r="Q7155" s="15" t="s">
        <v>83</v>
      </c>
      <c r="R7155" s="4"/>
      <c r="S7155" s="4"/>
    </row>
    <row r="7156" spans="1:19" ht="21" customHeight="1" x14ac:dyDescent="0.25">
      <c r="A7156" s="14">
        <f>DATE(2012,12,31)-1377</f>
        <v>39897</v>
      </c>
      <c r="B7156" s="15" t="s">
        <v>292</v>
      </c>
      <c r="C7156" s="15" t="s">
        <v>43</v>
      </c>
      <c r="D7156" s="16">
        <v>23</v>
      </c>
      <c r="E7156" s="17">
        <v>278.83</v>
      </c>
      <c r="F7156" s="16">
        <v>0.03</v>
      </c>
      <c r="G7156" s="15" t="s">
        <v>32</v>
      </c>
      <c r="H7156" s="18">
        <v>35.159999999999997</v>
      </c>
      <c r="I7156" s="19">
        <v>12.28</v>
      </c>
      <c r="J7156" s="19">
        <v>4.8600000000000003</v>
      </c>
      <c r="K7156" s="19" t="s">
        <v>44</v>
      </c>
      <c r="L7156" s="19" t="s">
        <v>45</v>
      </c>
      <c r="M7156" s="15" t="s">
        <v>2271</v>
      </c>
      <c r="N7156" s="15" t="s">
        <v>36</v>
      </c>
      <c r="O7156" s="15" t="s">
        <v>117</v>
      </c>
      <c r="P7156" s="20" t="s">
        <v>335</v>
      </c>
      <c r="Q7156" s="15" t="s">
        <v>83</v>
      </c>
      <c r="R7156" s="4"/>
      <c r="S7156" s="4"/>
    </row>
    <row r="7157" spans="1:19" ht="21" customHeight="1" x14ac:dyDescent="0.25">
      <c r="A7157" s="14">
        <f>DATE(2012,12,31)-1377</f>
        <v>39897</v>
      </c>
      <c r="B7157" s="15" t="s">
        <v>1119</v>
      </c>
      <c r="C7157" s="15" t="s">
        <v>43</v>
      </c>
      <c r="D7157" s="16">
        <v>46</v>
      </c>
      <c r="E7157" s="17">
        <v>1605.22</v>
      </c>
      <c r="F7157" s="16">
        <v>0.05</v>
      </c>
      <c r="G7157" s="15" t="s">
        <v>101</v>
      </c>
      <c r="H7157" s="18">
        <v>230.03</v>
      </c>
      <c r="I7157" s="19">
        <v>34.99</v>
      </c>
      <c r="J7157" s="19">
        <v>7.73</v>
      </c>
      <c r="K7157" s="19" t="s">
        <v>124</v>
      </c>
      <c r="L7157" s="19" t="s">
        <v>125</v>
      </c>
      <c r="M7157" s="15" t="s">
        <v>2325</v>
      </c>
      <c r="N7157" s="15" t="s">
        <v>36</v>
      </c>
      <c r="O7157" s="15" t="s">
        <v>77</v>
      </c>
      <c r="P7157" s="20" t="s">
        <v>1287</v>
      </c>
      <c r="Q7157" s="15" t="s">
        <v>83</v>
      </c>
      <c r="R7157" s="4"/>
      <c r="S7157" s="4"/>
    </row>
    <row r="7158" spans="1:19" ht="21" customHeight="1" x14ac:dyDescent="0.25">
      <c r="A7158" s="14">
        <f>DATE(2012,12,31)-242</f>
        <v>41032</v>
      </c>
      <c r="B7158" s="15" t="s">
        <v>1119</v>
      </c>
      <c r="C7158" s="15" t="s">
        <v>31</v>
      </c>
      <c r="D7158" s="16">
        <v>46</v>
      </c>
      <c r="E7158" s="17">
        <v>4394.78</v>
      </c>
      <c r="F7158" s="16">
        <v>0.08</v>
      </c>
      <c r="G7158" s="15" t="s">
        <v>58</v>
      </c>
      <c r="H7158" s="18">
        <v>-335.77</v>
      </c>
      <c r="I7158" s="19">
        <v>100.98</v>
      </c>
      <c r="J7158" s="19">
        <v>35.840000000000003</v>
      </c>
      <c r="K7158" s="19" t="s">
        <v>97</v>
      </c>
      <c r="L7158" s="19" t="s">
        <v>98</v>
      </c>
      <c r="M7158" s="15" t="s">
        <v>2328</v>
      </c>
      <c r="N7158" s="15" t="s">
        <v>54</v>
      </c>
      <c r="O7158" s="15" t="s">
        <v>134</v>
      </c>
      <c r="P7158" s="20" t="s">
        <v>1526</v>
      </c>
      <c r="Q7158" s="15" t="s">
        <v>63</v>
      </c>
      <c r="R7158" s="4"/>
      <c r="S7158" s="4"/>
    </row>
    <row r="7159" spans="1:19" ht="21" customHeight="1" x14ac:dyDescent="0.25">
      <c r="A7159" s="14">
        <f>DATE(2012,12,31)-354</f>
        <v>40920</v>
      </c>
      <c r="B7159" s="15" t="s">
        <v>1055</v>
      </c>
      <c r="C7159" s="15" t="s">
        <v>51</v>
      </c>
      <c r="D7159" s="16">
        <v>2</v>
      </c>
      <c r="E7159" s="17">
        <v>21.07</v>
      </c>
      <c r="F7159" s="16">
        <v>0</v>
      </c>
      <c r="G7159" s="15" t="s">
        <v>32</v>
      </c>
      <c r="H7159" s="18">
        <v>-10.4305</v>
      </c>
      <c r="I7159" s="19">
        <v>8.69</v>
      </c>
      <c r="J7159" s="19">
        <v>2.99</v>
      </c>
      <c r="K7159" s="19" t="s">
        <v>97</v>
      </c>
      <c r="L7159" s="19" t="s">
        <v>283</v>
      </c>
      <c r="M7159" s="15" t="s">
        <v>2306</v>
      </c>
      <c r="N7159" s="15" t="s">
        <v>36</v>
      </c>
      <c r="O7159" s="15" t="s">
        <v>170</v>
      </c>
      <c r="P7159" s="20" t="s">
        <v>1794</v>
      </c>
      <c r="Q7159" s="15" t="s">
        <v>83</v>
      </c>
      <c r="R7159" s="4"/>
      <c r="S7159" s="4"/>
    </row>
    <row r="7160" spans="1:19" ht="21" customHeight="1" x14ac:dyDescent="0.25">
      <c r="A7160" s="14">
        <f>DATE(2012,12,31)-354</f>
        <v>40920</v>
      </c>
      <c r="B7160" s="15" t="s">
        <v>1954</v>
      </c>
      <c r="C7160" s="15" t="s">
        <v>85</v>
      </c>
      <c r="D7160" s="16">
        <v>20</v>
      </c>
      <c r="E7160" s="17">
        <v>430.41</v>
      </c>
      <c r="F7160" s="16">
        <v>0.08</v>
      </c>
      <c r="G7160" s="15" t="s">
        <v>32</v>
      </c>
      <c r="H7160" s="18">
        <v>-1.55</v>
      </c>
      <c r="I7160" s="19">
        <v>22.98</v>
      </c>
      <c r="J7160" s="19">
        <v>7.58</v>
      </c>
      <c r="K7160" s="19" t="s">
        <v>44</v>
      </c>
      <c r="L7160" s="19" t="s">
        <v>52</v>
      </c>
      <c r="M7160" s="15" t="s">
        <v>2336</v>
      </c>
      <c r="N7160" s="15" t="s">
        <v>54</v>
      </c>
      <c r="O7160" s="15" t="s">
        <v>55</v>
      </c>
      <c r="P7160" s="20" t="s">
        <v>560</v>
      </c>
      <c r="Q7160" s="15" t="s">
        <v>83</v>
      </c>
      <c r="R7160" s="4"/>
      <c r="S7160" s="4"/>
    </row>
    <row r="7161" spans="1:19" ht="21" customHeight="1" x14ac:dyDescent="0.25">
      <c r="A7161" s="14">
        <f>DATE(2012,12,31)-798</f>
        <v>40476</v>
      </c>
      <c r="B7161" s="15" t="s">
        <v>1954</v>
      </c>
      <c r="C7161" s="15" t="s">
        <v>51</v>
      </c>
      <c r="D7161" s="16">
        <v>31</v>
      </c>
      <c r="E7161" s="17">
        <v>3969.43</v>
      </c>
      <c r="F7161" s="16">
        <v>0.1</v>
      </c>
      <c r="G7161" s="15" t="s">
        <v>58</v>
      </c>
      <c r="H7161" s="18">
        <v>-796.51</v>
      </c>
      <c r="I7161" s="19">
        <v>140.97999999999999</v>
      </c>
      <c r="J7161" s="19">
        <v>36.090000000000003</v>
      </c>
      <c r="K7161" s="19" t="s">
        <v>44</v>
      </c>
      <c r="L7161" s="19" t="s">
        <v>52</v>
      </c>
      <c r="M7161" s="15" t="s">
        <v>2336</v>
      </c>
      <c r="N7161" s="15" t="s">
        <v>54</v>
      </c>
      <c r="O7161" s="15" t="s">
        <v>134</v>
      </c>
      <c r="P7161" s="20" t="s">
        <v>100</v>
      </c>
      <c r="Q7161" s="15" t="s">
        <v>63</v>
      </c>
      <c r="R7161" s="4"/>
      <c r="S7161" s="4"/>
    </row>
    <row r="7162" spans="1:19" ht="21" customHeight="1" x14ac:dyDescent="0.25">
      <c r="A7162" s="14">
        <f>DATE(2012,12,31)-798</f>
        <v>40476</v>
      </c>
      <c r="B7162" s="15" t="s">
        <v>256</v>
      </c>
      <c r="C7162" s="15" t="s">
        <v>51</v>
      </c>
      <c r="D7162" s="16">
        <v>16</v>
      </c>
      <c r="E7162" s="17">
        <v>2882.7069999999999</v>
      </c>
      <c r="F7162" s="16">
        <v>0.02</v>
      </c>
      <c r="G7162" s="15" t="s">
        <v>32</v>
      </c>
      <c r="H7162" s="18">
        <v>303.22800000000001</v>
      </c>
      <c r="I7162" s="19">
        <v>205.99</v>
      </c>
      <c r="J7162" s="19">
        <v>5</v>
      </c>
      <c r="K7162" s="19" t="s">
        <v>33</v>
      </c>
      <c r="L7162" s="19" t="s">
        <v>59</v>
      </c>
      <c r="M7162" s="15" t="s">
        <v>2269</v>
      </c>
      <c r="N7162" s="15" t="s">
        <v>64</v>
      </c>
      <c r="O7162" s="15" t="s">
        <v>65</v>
      </c>
      <c r="P7162" s="20" t="s">
        <v>1631</v>
      </c>
      <c r="Q7162" s="15" t="s">
        <v>83</v>
      </c>
      <c r="R7162" s="4"/>
      <c r="S7162" s="4"/>
    </row>
    <row r="7163" spans="1:19" ht="21" customHeight="1" x14ac:dyDescent="0.25">
      <c r="A7163" s="14">
        <f>DATE(2012,12,31)-50</f>
        <v>41224</v>
      </c>
      <c r="B7163" s="15" t="s">
        <v>353</v>
      </c>
      <c r="C7163" s="15" t="s">
        <v>31</v>
      </c>
      <c r="D7163" s="16">
        <v>41</v>
      </c>
      <c r="E7163" s="17">
        <v>356.28</v>
      </c>
      <c r="F7163" s="16">
        <v>7.0000000000000007E-2</v>
      </c>
      <c r="G7163" s="15" t="s">
        <v>101</v>
      </c>
      <c r="H7163" s="18">
        <v>65.756</v>
      </c>
      <c r="I7163" s="19">
        <v>8.69</v>
      </c>
      <c r="J7163" s="19">
        <v>2.99</v>
      </c>
      <c r="K7163" s="19" t="s">
        <v>69</v>
      </c>
      <c r="L7163" s="19" t="s">
        <v>70</v>
      </c>
      <c r="M7163" s="15" t="s">
        <v>2327</v>
      </c>
      <c r="N7163" s="15" t="s">
        <v>36</v>
      </c>
      <c r="O7163" s="15" t="s">
        <v>170</v>
      </c>
      <c r="P7163" s="20" t="s">
        <v>2063</v>
      </c>
      <c r="Q7163" s="15" t="s">
        <v>83</v>
      </c>
      <c r="R7163" s="4"/>
      <c r="S7163" s="4"/>
    </row>
    <row r="7164" spans="1:19" ht="21" customHeight="1" x14ac:dyDescent="0.25">
      <c r="A7164" s="14">
        <f>DATE(2012,12,31)-443</f>
        <v>40831</v>
      </c>
      <c r="B7164" s="15" t="s">
        <v>1746</v>
      </c>
      <c r="C7164" s="15" t="s">
        <v>85</v>
      </c>
      <c r="D7164" s="16">
        <v>43</v>
      </c>
      <c r="E7164" s="17">
        <v>344.24</v>
      </c>
      <c r="F7164" s="16">
        <v>0.09</v>
      </c>
      <c r="G7164" s="15" t="s">
        <v>32</v>
      </c>
      <c r="H7164" s="18">
        <v>30.76</v>
      </c>
      <c r="I7164" s="19">
        <v>8.33</v>
      </c>
      <c r="J7164" s="19">
        <v>1.99</v>
      </c>
      <c r="K7164" s="19" t="s">
        <v>69</v>
      </c>
      <c r="L7164" s="19" t="s">
        <v>75</v>
      </c>
      <c r="M7164" s="15" t="s">
        <v>76</v>
      </c>
      <c r="N7164" s="15" t="s">
        <v>64</v>
      </c>
      <c r="O7164" s="15" t="s">
        <v>72</v>
      </c>
      <c r="P7164" s="20" t="s">
        <v>958</v>
      </c>
      <c r="Q7164" s="15" t="s">
        <v>49</v>
      </c>
      <c r="R7164" s="4"/>
      <c r="S7164" s="4"/>
    </row>
    <row r="7165" spans="1:19" ht="21" customHeight="1" x14ac:dyDescent="0.25">
      <c r="A7165" s="14">
        <f>DATE(2012,12,31)-495</f>
        <v>40779</v>
      </c>
      <c r="B7165" s="15" t="s">
        <v>1121</v>
      </c>
      <c r="C7165" s="15" t="s">
        <v>43</v>
      </c>
      <c r="D7165" s="16">
        <v>44</v>
      </c>
      <c r="E7165" s="17">
        <v>167.55</v>
      </c>
      <c r="F7165" s="16">
        <v>0.03</v>
      </c>
      <c r="G7165" s="15" t="s">
        <v>32</v>
      </c>
      <c r="H7165" s="18">
        <v>-223.5</v>
      </c>
      <c r="I7165" s="19">
        <v>3.75</v>
      </c>
      <c r="J7165" s="19">
        <v>7.5</v>
      </c>
      <c r="K7165" s="19" t="s">
        <v>69</v>
      </c>
      <c r="L7165" s="19" t="s">
        <v>75</v>
      </c>
      <c r="M7165" s="15" t="s">
        <v>76</v>
      </c>
      <c r="N7165" s="15" t="s">
        <v>36</v>
      </c>
      <c r="O7165" s="15" t="s">
        <v>114</v>
      </c>
      <c r="P7165" s="20" t="s">
        <v>1135</v>
      </c>
      <c r="Q7165" s="15" t="s">
        <v>83</v>
      </c>
      <c r="R7165" s="4"/>
      <c r="S7165" s="4"/>
    </row>
    <row r="7166" spans="1:19" ht="21" customHeight="1" x14ac:dyDescent="0.25">
      <c r="A7166" s="14">
        <f>DATE(2012,12,31)-797</f>
        <v>40477</v>
      </c>
      <c r="B7166" s="15" t="s">
        <v>334</v>
      </c>
      <c r="C7166" s="15" t="s">
        <v>31</v>
      </c>
      <c r="D7166" s="16">
        <v>38</v>
      </c>
      <c r="E7166" s="17">
        <v>689.67</v>
      </c>
      <c r="F7166" s="16">
        <v>7.0000000000000007E-2</v>
      </c>
      <c r="G7166" s="15" t="s">
        <v>32</v>
      </c>
      <c r="H7166" s="18">
        <v>51.47</v>
      </c>
      <c r="I7166" s="19">
        <v>18.7</v>
      </c>
      <c r="J7166" s="19">
        <v>8.99</v>
      </c>
      <c r="K7166" s="19" t="s">
        <v>111</v>
      </c>
      <c r="L7166" s="19" t="s">
        <v>407</v>
      </c>
      <c r="M7166" s="15" t="s">
        <v>407</v>
      </c>
      <c r="N7166" s="15" t="s">
        <v>54</v>
      </c>
      <c r="O7166" s="15" t="s">
        <v>55</v>
      </c>
      <c r="P7166" s="20" t="s">
        <v>1179</v>
      </c>
      <c r="Q7166" s="15" t="s">
        <v>49</v>
      </c>
      <c r="R7166" s="4"/>
      <c r="S7166" s="4"/>
    </row>
    <row r="7167" spans="1:19" ht="21" customHeight="1" x14ac:dyDescent="0.25">
      <c r="A7167" s="14">
        <f>DATE(2012,12,31)-88</f>
        <v>41186</v>
      </c>
      <c r="B7167" s="15" t="s">
        <v>334</v>
      </c>
      <c r="C7167" s="15" t="s">
        <v>43</v>
      </c>
      <c r="D7167" s="16">
        <v>30</v>
      </c>
      <c r="E7167" s="17">
        <v>2219.79</v>
      </c>
      <c r="F7167" s="16">
        <v>0.1</v>
      </c>
      <c r="G7167" s="15" t="s">
        <v>58</v>
      </c>
      <c r="H7167" s="18">
        <v>-9.4481999999999999</v>
      </c>
      <c r="I7167" s="19">
        <v>80.97</v>
      </c>
      <c r="J7167" s="19">
        <v>33.6</v>
      </c>
      <c r="K7167" s="19" t="s">
        <v>44</v>
      </c>
      <c r="L7167" s="19" t="s">
        <v>89</v>
      </c>
      <c r="M7167" s="15" t="s">
        <v>2337</v>
      </c>
      <c r="N7167" s="15" t="s">
        <v>64</v>
      </c>
      <c r="O7167" s="15" t="s">
        <v>122</v>
      </c>
      <c r="P7167" s="20" t="s">
        <v>877</v>
      </c>
      <c r="Q7167" s="15" t="s">
        <v>181</v>
      </c>
      <c r="R7167" s="4"/>
      <c r="S7167" s="4"/>
    </row>
    <row r="7168" spans="1:19" ht="21" customHeight="1" x14ac:dyDescent="0.25">
      <c r="A7168" s="14">
        <f>DATE(2012,12,31)-88</f>
        <v>41186</v>
      </c>
      <c r="B7168" s="15" t="s">
        <v>334</v>
      </c>
      <c r="C7168" s="15" t="s">
        <v>43</v>
      </c>
      <c r="D7168" s="16">
        <v>25</v>
      </c>
      <c r="E7168" s="17">
        <v>237.36</v>
      </c>
      <c r="F7168" s="16">
        <v>7.0000000000000007E-2</v>
      </c>
      <c r="G7168" s="15" t="s">
        <v>32</v>
      </c>
      <c r="H7168" s="18">
        <v>-117.86</v>
      </c>
      <c r="I7168" s="19">
        <v>9.06</v>
      </c>
      <c r="J7168" s="19">
        <v>9.86</v>
      </c>
      <c r="K7168" s="19" t="s">
        <v>44</v>
      </c>
      <c r="L7168" s="19" t="s">
        <v>89</v>
      </c>
      <c r="M7168" s="15" t="s">
        <v>2337</v>
      </c>
      <c r="N7168" s="15" t="s">
        <v>36</v>
      </c>
      <c r="O7168" s="15" t="s">
        <v>117</v>
      </c>
      <c r="P7168" s="20" t="s">
        <v>560</v>
      </c>
      <c r="Q7168" s="15" t="s">
        <v>83</v>
      </c>
      <c r="R7168" s="4"/>
      <c r="S7168" s="4"/>
    </row>
    <row r="7169" spans="1:19" ht="21" customHeight="1" x14ac:dyDescent="0.25">
      <c r="A7169" s="14">
        <f>DATE(2012,12,31)-560</f>
        <v>40714</v>
      </c>
      <c r="B7169" s="15" t="s">
        <v>1945</v>
      </c>
      <c r="C7169" s="15" t="s">
        <v>85</v>
      </c>
      <c r="D7169" s="16">
        <v>12</v>
      </c>
      <c r="E7169" s="17">
        <v>46.55</v>
      </c>
      <c r="F7169" s="16">
        <v>0</v>
      </c>
      <c r="G7169" s="15" t="s">
        <v>32</v>
      </c>
      <c r="H7169" s="18">
        <v>16.34</v>
      </c>
      <c r="I7169" s="19">
        <v>3.69</v>
      </c>
      <c r="J7169" s="19">
        <v>0.5</v>
      </c>
      <c r="K7169" s="19" t="s">
        <v>44</v>
      </c>
      <c r="L7169" s="19" t="s">
        <v>89</v>
      </c>
      <c r="M7169" s="15" t="s">
        <v>2337</v>
      </c>
      <c r="N7169" s="15" t="s">
        <v>36</v>
      </c>
      <c r="O7169" s="15" t="s">
        <v>114</v>
      </c>
      <c r="P7169" s="20" t="s">
        <v>560</v>
      </c>
      <c r="Q7169" s="15" t="s">
        <v>83</v>
      </c>
      <c r="R7169" s="4"/>
      <c r="S7169" s="4"/>
    </row>
    <row r="7170" spans="1:19" ht="21" customHeight="1" x14ac:dyDescent="0.25">
      <c r="A7170" s="14">
        <f>DATE(2012,12,31)-654</f>
        <v>40620</v>
      </c>
      <c r="B7170" s="15" t="s">
        <v>1258</v>
      </c>
      <c r="C7170" s="15" t="s">
        <v>31</v>
      </c>
      <c r="D7170" s="16">
        <v>14</v>
      </c>
      <c r="E7170" s="17">
        <v>76.06</v>
      </c>
      <c r="F7170" s="16">
        <v>0.02</v>
      </c>
      <c r="G7170" s="15" t="s">
        <v>101</v>
      </c>
      <c r="H7170" s="18">
        <v>-35.99</v>
      </c>
      <c r="I7170" s="19">
        <v>4.28</v>
      </c>
      <c r="J7170" s="19">
        <v>5.68</v>
      </c>
      <c r="K7170" s="19" t="s">
        <v>44</v>
      </c>
      <c r="L7170" s="19" t="s">
        <v>89</v>
      </c>
      <c r="M7170" s="15" t="s">
        <v>2337</v>
      </c>
      <c r="N7170" s="15" t="s">
        <v>36</v>
      </c>
      <c r="O7170" s="15" t="s">
        <v>117</v>
      </c>
      <c r="P7170" s="20" t="s">
        <v>893</v>
      </c>
      <c r="Q7170" s="15" t="s">
        <v>83</v>
      </c>
      <c r="R7170" s="4"/>
      <c r="S7170" s="4"/>
    </row>
    <row r="7171" spans="1:19" ht="21" customHeight="1" x14ac:dyDescent="0.25">
      <c r="A7171" s="14">
        <f>DATE(2012,12,31)-654</f>
        <v>40620</v>
      </c>
      <c r="B7171" s="15" t="s">
        <v>1830</v>
      </c>
      <c r="C7171" s="15" t="s">
        <v>85</v>
      </c>
      <c r="D7171" s="16">
        <v>50</v>
      </c>
      <c r="E7171" s="17">
        <v>18056.68</v>
      </c>
      <c r="F7171" s="16">
        <v>0</v>
      </c>
      <c r="G7171" s="15" t="s">
        <v>58</v>
      </c>
      <c r="H7171" s="18">
        <v>-6474.6540000000005</v>
      </c>
      <c r="I7171" s="19">
        <v>349.45</v>
      </c>
      <c r="J7171" s="19">
        <v>60</v>
      </c>
      <c r="K7171" s="19" t="s">
        <v>44</v>
      </c>
      <c r="L7171" s="19" t="s">
        <v>80</v>
      </c>
      <c r="M7171" s="15" t="s">
        <v>2297</v>
      </c>
      <c r="N7171" s="15" t="s">
        <v>54</v>
      </c>
      <c r="O7171" s="15" t="s">
        <v>61</v>
      </c>
      <c r="P7171" s="20" t="s">
        <v>2163</v>
      </c>
      <c r="Q7171" s="15" t="s">
        <v>181</v>
      </c>
      <c r="R7171" s="4"/>
      <c r="S7171" s="4"/>
    </row>
    <row r="7172" spans="1:19" ht="21" customHeight="1" x14ac:dyDescent="0.25">
      <c r="A7172" s="14">
        <f>DATE(2012,12,31)-1043</f>
        <v>40231</v>
      </c>
      <c r="B7172" s="15" t="s">
        <v>1830</v>
      </c>
      <c r="C7172" s="15" t="s">
        <v>85</v>
      </c>
      <c r="D7172" s="16">
        <v>47</v>
      </c>
      <c r="E7172" s="17">
        <v>1501.8</v>
      </c>
      <c r="F7172" s="16">
        <v>0.02</v>
      </c>
      <c r="G7172" s="15" t="s">
        <v>32</v>
      </c>
      <c r="H7172" s="18">
        <v>112.78</v>
      </c>
      <c r="I7172" s="19">
        <v>30.97</v>
      </c>
      <c r="J7172" s="19">
        <v>4</v>
      </c>
      <c r="K7172" s="19" t="s">
        <v>44</v>
      </c>
      <c r="L7172" s="19" t="s">
        <v>89</v>
      </c>
      <c r="M7172" s="15" t="s">
        <v>2337</v>
      </c>
      <c r="N7172" s="15" t="s">
        <v>64</v>
      </c>
      <c r="O7172" s="15" t="s">
        <v>72</v>
      </c>
      <c r="P7172" s="20" t="s">
        <v>461</v>
      </c>
      <c r="Q7172" s="15" t="s">
        <v>83</v>
      </c>
      <c r="R7172" s="4"/>
      <c r="S7172" s="4"/>
    </row>
    <row r="7173" spans="1:19" ht="21" customHeight="1" x14ac:dyDescent="0.25">
      <c r="A7173" s="14">
        <f>DATE(2012,12,31)-146</f>
        <v>41128</v>
      </c>
      <c r="B7173" s="15" t="s">
        <v>827</v>
      </c>
      <c r="C7173" s="15" t="s">
        <v>51</v>
      </c>
      <c r="D7173" s="16">
        <v>35</v>
      </c>
      <c r="E7173" s="17">
        <v>195.23</v>
      </c>
      <c r="F7173" s="16">
        <v>0.08</v>
      </c>
      <c r="G7173" s="15" t="s">
        <v>32</v>
      </c>
      <c r="H7173" s="18">
        <v>-72.459999999999994</v>
      </c>
      <c r="I7173" s="19">
        <v>5.89</v>
      </c>
      <c r="J7173" s="19">
        <v>5.57</v>
      </c>
      <c r="K7173" s="19" t="s">
        <v>44</v>
      </c>
      <c r="L7173" s="19" t="s">
        <v>120</v>
      </c>
      <c r="M7173" s="15" t="s">
        <v>2262</v>
      </c>
      <c r="N7173" s="15" t="s">
        <v>54</v>
      </c>
      <c r="O7173" s="15" t="s">
        <v>55</v>
      </c>
      <c r="P7173" s="20" t="s">
        <v>773</v>
      </c>
      <c r="Q7173" s="15" t="s">
        <v>83</v>
      </c>
      <c r="R7173" s="4"/>
      <c r="S7173" s="4"/>
    </row>
    <row r="7174" spans="1:19" ht="21" customHeight="1" x14ac:dyDescent="0.25">
      <c r="A7174" s="14">
        <f>DATE(2012,12,31)-146</f>
        <v>41128</v>
      </c>
      <c r="B7174" s="15" t="s">
        <v>96</v>
      </c>
      <c r="C7174" s="15" t="s">
        <v>51</v>
      </c>
      <c r="D7174" s="16">
        <v>35</v>
      </c>
      <c r="E7174" s="17">
        <v>4051.8</v>
      </c>
      <c r="F7174" s="16">
        <v>0.1</v>
      </c>
      <c r="G7174" s="15" t="s">
        <v>58</v>
      </c>
      <c r="H7174" s="18">
        <v>-684.072</v>
      </c>
      <c r="I7174" s="19">
        <v>124.49</v>
      </c>
      <c r="J7174" s="19">
        <v>51.94</v>
      </c>
      <c r="K7174" s="19" t="s">
        <v>33</v>
      </c>
      <c r="L7174" s="19" t="s">
        <v>93</v>
      </c>
      <c r="M7174" s="15" t="s">
        <v>94</v>
      </c>
      <c r="N7174" s="15" t="s">
        <v>54</v>
      </c>
      <c r="O7174" s="15" t="s">
        <v>61</v>
      </c>
      <c r="P7174" s="20" t="s">
        <v>1646</v>
      </c>
      <c r="Q7174" s="15" t="s">
        <v>63</v>
      </c>
      <c r="R7174" s="4"/>
      <c r="S7174" s="4"/>
    </row>
    <row r="7175" spans="1:19" ht="21" customHeight="1" x14ac:dyDescent="0.25">
      <c r="A7175" s="14">
        <f>DATE(2012,12,31)-1145</f>
        <v>40129</v>
      </c>
      <c r="B7175" s="15" t="s">
        <v>386</v>
      </c>
      <c r="C7175" s="15" t="s">
        <v>85</v>
      </c>
      <c r="D7175" s="16">
        <v>10</v>
      </c>
      <c r="E7175" s="17">
        <v>254.89</v>
      </c>
      <c r="F7175" s="16">
        <v>0.09</v>
      </c>
      <c r="G7175" s="15" t="s">
        <v>32</v>
      </c>
      <c r="H7175" s="18">
        <v>-106.58</v>
      </c>
      <c r="I7175" s="19">
        <v>26.31</v>
      </c>
      <c r="J7175" s="19">
        <v>5.89</v>
      </c>
      <c r="K7175" s="19" t="s">
        <v>33</v>
      </c>
      <c r="L7175" s="19" t="s">
        <v>128</v>
      </c>
      <c r="M7175" s="15" t="s">
        <v>129</v>
      </c>
      <c r="N7175" s="15" t="s">
        <v>64</v>
      </c>
      <c r="O7175" s="15" t="s">
        <v>72</v>
      </c>
      <c r="P7175" s="20" t="s">
        <v>1056</v>
      </c>
      <c r="Q7175" s="15" t="s">
        <v>83</v>
      </c>
      <c r="R7175" s="4"/>
      <c r="S7175" s="4"/>
    </row>
    <row r="7176" spans="1:19" ht="21" customHeight="1" x14ac:dyDescent="0.25">
      <c r="A7176" s="14">
        <f>DATE(2012,12,31)-936</f>
        <v>40338</v>
      </c>
      <c r="B7176" s="15" t="s">
        <v>386</v>
      </c>
      <c r="C7176" s="15" t="s">
        <v>31</v>
      </c>
      <c r="D7176" s="16">
        <v>26</v>
      </c>
      <c r="E7176" s="17">
        <v>78.22</v>
      </c>
      <c r="F7176" s="16">
        <v>0.03</v>
      </c>
      <c r="G7176" s="15" t="s">
        <v>32</v>
      </c>
      <c r="H7176" s="18">
        <v>32.5</v>
      </c>
      <c r="I7176" s="19">
        <v>2.88</v>
      </c>
      <c r="J7176" s="19">
        <v>0.5</v>
      </c>
      <c r="K7176" s="19" t="s">
        <v>97</v>
      </c>
      <c r="L7176" s="19" t="s">
        <v>98</v>
      </c>
      <c r="M7176" s="15" t="s">
        <v>2328</v>
      </c>
      <c r="N7176" s="15" t="s">
        <v>36</v>
      </c>
      <c r="O7176" s="15" t="s">
        <v>114</v>
      </c>
      <c r="P7176" s="20" t="s">
        <v>2153</v>
      </c>
      <c r="Q7176" s="15" t="s">
        <v>83</v>
      </c>
      <c r="R7176" s="4"/>
      <c r="S7176" s="4"/>
    </row>
    <row r="7177" spans="1:19" ht="21" customHeight="1" x14ac:dyDescent="0.25">
      <c r="A7177" s="14">
        <f>DATE(2012,12,31)-936</f>
        <v>40338</v>
      </c>
      <c r="B7177" s="15" t="s">
        <v>2235</v>
      </c>
      <c r="C7177" s="15" t="s">
        <v>31</v>
      </c>
      <c r="D7177" s="16">
        <v>10</v>
      </c>
      <c r="E7177" s="17">
        <v>51.65</v>
      </c>
      <c r="F7177" s="16">
        <v>0.1</v>
      </c>
      <c r="G7177" s="15" t="s">
        <v>32</v>
      </c>
      <c r="H7177" s="18">
        <v>-32.130000000000003</v>
      </c>
      <c r="I7177" s="19">
        <v>4.9800000000000004</v>
      </c>
      <c r="J7177" s="19">
        <v>5.49</v>
      </c>
      <c r="K7177" s="19" t="s">
        <v>97</v>
      </c>
      <c r="L7177" s="19" t="s">
        <v>98</v>
      </c>
      <c r="M7177" s="15" t="s">
        <v>2328</v>
      </c>
      <c r="N7177" s="15" t="s">
        <v>36</v>
      </c>
      <c r="O7177" s="15" t="s">
        <v>117</v>
      </c>
      <c r="P7177" s="20" t="s">
        <v>1161</v>
      </c>
      <c r="Q7177" s="15" t="s">
        <v>83</v>
      </c>
      <c r="R7177" s="4"/>
      <c r="S7177" s="4"/>
    </row>
    <row r="7178" spans="1:19" ht="21" customHeight="1" x14ac:dyDescent="0.25">
      <c r="A7178" s="14">
        <f>DATE(2012,12,31)-357</f>
        <v>40917</v>
      </c>
      <c r="B7178" s="15" t="s">
        <v>1931</v>
      </c>
      <c r="C7178" s="15" t="s">
        <v>43</v>
      </c>
      <c r="D7178" s="16">
        <v>48</v>
      </c>
      <c r="E7178" s="17">
        <v>113.98</v>
      </c>
      <c r="F7178" s="16">
        <v>0.1</v>
      </c>
      <c r="G7178" s="15" t="s">
        <v>32</v>
      </c>
      <c r="H7178" s="18">
        <v>21.29</v>
      </c>
      <c r="I7178" s="19">
        <v>2.62</v>
      </c>
      <c r="J7178" s="19">
        <v>0.8</v>
      </c>
      <c r="K7178" s="19" t="s">
        <v>97</v>
      </c>
      <c r="L7178" s="19" t="s">
        <v>98</v>
      </c>
      <c r="M7178" s="15" t="s">
        <v>2328</v>
      </c>
      <c r="N7178" s="15" t="s">
        <v>36</v>
      </c>
      <c r="O7178" s="15" t="s">
        <v>105</v>
      </c>
      <c r="P7178" s="20" t="s">
        <v>873</v>
      </c>
      <c r="Q7178" s="15" t="s">
        <v>79</v>
      </c>
      <c r="R7178" s="4"/>
      <c r="S7178" s="4"/>
    </row>
    <row r="7179" spans="1:19" ht="21" customHeight="1" x14ac:dyDescent="0.25">
      <c r="A7179" s="14">
        <f>DATE(2012,12,31)-357</f>
        <v>40917</v>
      </c>
      <c r="B7179" s="15" t="s">
        <v>1931</v>
      </c>
      <c r="C7179" s="15" t="s">
        <v>43</v>
      </c>
      <c r="D7179" s="16">
        <v>5</v>
      </c>
      <c r="E7179" s="17">
        <v>88.94</v>
      </c>
      <c r="F7179" s="16">
        <v>0.05</v>
      </c>
      <c r="G7179" s="15" t="s">
        <v>32</v>
      </c>
      <c r="H7179" s="18">
        <v>-47.54</v>
      </c>
      <c r="I7179" s="19">
        <v>16.739999999999998</v>
      </c>
      <c r="J7179" s="19">
        <v>7.04</v>
      </c>
      <c r="K7179" s="19" t="s">
        <v>124</v>
      </c>
      <c r="L7179" s="19" t="s">
        <v>160</v>
      </c>
      <c r="M7179" s="15" t="s">
        <v>2281</v>
      </c>
      <c r="N7179" s="15" t="s">
        <v>36</v>
      </c>
      <c r="O7179" s="15" t="s">
        <v>37</v>
      </c>
      <c r="P7179" s="20" t="s">
        <v>1614</v>
      </c>
      <c r="Q7179" s="15" t="s">
        <v>83</v>
      </c>
      <c r="R7179" s="4"/>
      <c r="S7179" s="4"/>
    </row>
    <row r="7180" spans="1:19" ht="21" customHeight="1" x14ac:dyDescent="0.25">
      <c r="A7180" s="14">
        <f>DATE(2012,12,31)-761</f>
        <v>40513</v>
      </c>
      <c r="B7180" s="15" t="s">
        <v>2086</v>
      </c>
      <c r="C7180" s="15" t="s">
        <v>85</v>
      </c>
      <c r="D7180" s="16">
        <v>41</v>
      </c>
      <c r="E7180" s="17">
        <v>357.01</v>
      </c>
      <c r="F7180" s="16">
        <v>0.01</v>
      </c>
      <c r="G7180" s="15" t="s">
        <v>32</v>
      </c>
      <c r="H7180" s="18">
        <v>64.5</v>
      </c>
      <c r="I7180" s="19">
        <v>8.33</v>
      </c>
      <c r="J7180" s="19">
        <v>1.99</v>
      </c>
      <c r="K7180" s="19" t="s">
        <v>124</v>
      </c>
      <c r="L7180" s="19" t="s">
        <v>168</v>
      </c>
      <c r="M7180" s="15" t="s">
        <v>2338</v>
      </c>
      <c r="N7180" s="15" t="s">
        <v>64</v>
      </c>
      <c r="O7180" s="15" t="s">
        <v>72</v>
      </c>
      <c r="P7180" s="20" t="s">
        <v>951</v>
      </c>
      <c r="Q7180" s="15" t="s">
        <v>49</v>
      </c>
      <c r="R7180" s="4"/>
      <c r="S7180" s="4"/>
    </row>
    <row r="7181" spans="1:19" ht="21" customHeight="1" x14ac:dyDescent="0.25">
      <c r="A7181" s="14">
        <f>DATE(2012,12,31)-690</f>
        <v>40584</v>
      </c>
      <c r="B7181" s="15" t="s">
        <v>500</v>
      </c>
      <c r="C7181" s="15" t="s">
        <v>43</v>
      </c>
      <c r="D7181" s="16">
        <v>43</v>
      </c>
      <c r="E7181" s="17">
        <v>858.53</v>
      </c>
      <c r="F7181" s="16">
        <v>7.0000000000000007E-2</v>
      </c>
      <c r="G7181" s="15" t="s">
        <v>32</v>
      </c>
      <c r="H7181" s="18">
        <v>-97.54</v>
      </c>
      <c r="I7181" s="19">
        <v>19.989999999999998</v>
      </c>
      <c r="J7181" s="19">
        <v>11.17</v>
      </c>
      <c r="K7181" s="19" t="s">
        <v>44</v>
      </c>
      <c r="L7181" s="19" t="s">
        <v>52</v>
      </c>
      <c r="M7181" s="15" t="s">
        <v>2336</v>
      </c>
      <c r="N7181" s="15" t="s">
        <v>54</v>
      </c>
      <c r="O7181" s="15" t="s">
        <v>55</v>
      </c>
      <c r="P7181" s="20" t="s">
        <v>107</v>
      </c>
      <c r="Q7181" s="15" t="s">
        <v>39</v>
      </c>
      <c r="R7181" s="4"/>
      <c r="S7181" s="4"/>
    </row>
    <row r="7182" spans="1:19" ht="21" customHeight="1" x14ac:dyDescent="0.25">
      <c r="A7182" s="14">
        <f>DATE(2012,12,31)-558</f>
        <v>40716</v>
      </c>
      <c r="B7182" s="15" t="s">
        <v>1154</v>
      </c>
      <c r="C7182" s="15" t="s">
        <v>85</v>
      </c>
      <c r="D7182" s="16">
        <v>15</v>
      </c>
      <c r="E7182" s="17">
        <v>417.88</v>
      </c>
      <c r="F7182" s="16">
        <v>0.08</v>
      </c>
      <c r="G7182" s="15" t="s">
        <v>101</v>
      </c>
      <c r="H7182" s="18">
        <v>-13.95</v>
      </c>
      <c r="I7182" s="19">
        <v>28.15</v>
      </c>
      <c r="J7182" s="19">
        <v>8.99</v>
      </c>
      <c r="K7182" s="19" t="s">
        <v>44</v>
      </c>
      <c r="L7182" s="19" t="s">
        <v>80</v>
      </c>
      <c r="M7182" s="15" t="s">
        <v>2339</v>
      </c>
      <c r="N7182" s="15" t="s">
        <v>36</v>
      </c>
      <c r="O7182" s="15" t="s">
        <v>77</v>
      </c>
      <c r="P7182" s="20" t="s">
        <v>2340</v>
      </c>
      <c r="Q7182" s="15" t="s">
        <v>49</v>
      </c>
      <c r="R7182" s="4"/>
      <c r="S7182" s="4"/>
    </row>
    <row r="7183" spans="1:19" ht="21" customHeight="1" x14ac:dyDescent="0.25">
      <c r="A7183" s="14">
        <f>DATE(2012,12,31)-380</f>
        <v>40894</v>
      </c>
      <c r="B7183" s="15" t="s">
        <v>1511</v>
      </c>
      <c r="C7183" s="15" t="s">
        <v>31</v>
      </c>
      <c r="D7183" s="16">
        <v>4</v>
      </c>
      <c r="E7183" s="17">
        <v>28.34</v>
      </c>
      <c r="F7183" s="16">
        <v>0.01</v>
      </c>
      <c r="G7183" s="15" t="s">
        <v>32</v>
      </c>
      <c r="H7183" s="18">
        <v>-18.55</v>
      </c>
      <c r="I7183" s="19">
        <v>4.9800000000000004</v>
      </c>
      <c r="J7183" s="19">
        <v>7.44</v>
      </c>
      <c r="K7183" s="19" t="s">
        <v>44</v>
      </c>
      <c r="L7183" s="19" t="s">
        <v>52</v>
      </c>
      <c r="M7183" s="15" t="s">
        <v>2336</v>
      </c>
      <c r="N7183" s="15" t="s">
        <v>36</v>
      </c>
      <c r="O7183" s="15" t="s">
        <v>117</v>
      </c>
      <c r="P7183" s="20" t="s">
        <v>123</v>
      </c>
      <c r="Q7183" s="15" t="s">
        <v>83</v>
      </c>
      <c r="R7183" s="4"/>
      <c r="S7183" s="4"/>
    </row>
    <row r="7184" spans="1:19" ht="21" customHeight="1" x14ac:dyDescent="0.25">
      <c r="A7184" s="14">
        <f>DATE(2012,12,31)-380</f>
        <v>40894</v>
      </c>
      <c r="B7184" s="15" t="s">
        <v>1511</v>
      </c>
      <c r="C7184" s="15" t="s">
        <v>31</v>
      </c>
      <c r="D7184" s="16">
        <v>7</v>
      </c>
      <c r="E7184" s="17">
        <v>405.33949999999999</v>
      </c>
      <c r="F7184" s="16">
        <v>0.01</v>
      </c>
      <c r="G7184" s="15" t="s">
        <v>101</v>
      </c>
      <c r="H7184" s="18">
        <v>-147.88399999999999</v>
      </c>
      <c r="I7184" s="19">
        <v>65.989999999999995</v>
      </c>
      <c r="J7184" s="19">
        <v>3.9</v>
      </c>
      <c r="K7184" s="19" t="s">
        <v>44</v>
      </c>
      <c r="L7184" s="19" t="s">
        <v>236</v>
      </c>
      <c r="M7184" s="15" t="s">
        <v>2341</v>
      </c>
      <c r="N7184" s="15" t="s">
        <v>64</v>
      </c>
      <c r="O7184" s="15" t="s">
        <v>65</v>
      </c>
      <c r="P7184" s="20" t="s">
        <v>127</v>
      </c>
      <c r="Q7184" s="15" t="s">
        <v>83</v>
      </c>
      <c r="R7184" s="4"/>
      <c r="S7184" s="4"/>
    </row>
    <row r="7185" spans="1:19" ht="21" customHeight="1" x14ac:dyDescent="0.25">
      <c r="A7185" s="14">
        <f>DATE(2012,12,31)-974</f>
        <v>40300</v>
      </c>
      <c r="B7185" s="15" t="s">
        <v>1511</v>
      </c>
      <c r="C7185" s="15" t="s">
        <v>51</v>
      </c>
      <c r="D7185" s="16">
        <v>31</v>
      </c>
      <c r="E7185" s="17">
        <v>1561.96</v>
      </c>
      <c r="F7185" s="16">
        <v>0.03</v>
      </c>
      <c r="G7185" s="15" t="s">
        <v>32</v>
      </c>
      <c r="H7185" s="18">
        <v>119.92</v>
      </c>
      <c r="I7185" s="19">
        <v>50.98</v>
      </c>
      <c r="J7185" s="19">
        <v>13.66</v>
      </c>
      <c r="K7185" s="19" t="s">
        <v>44</v>
      </c>
      <c r="L7185" s="19" t="s">
        <v>52</v>
      </c>
      <c r="M7185" s="15" t="s">
        <v>2336</v>
      </c>
      <c r="N7185" s="15" t="s">
        <v>36</v>
      </c>
      <c r="O7185" s="15" t="s">
        <v>176</v>
      </c>
      <c r="P7185" s="20" t="s">
        <v>2123</v>
      </c>
      <c r="Q7185" s="15" t="s">
        <v>83</v>
      </c>
      <c r="R7185" s="4"/>
      <c r="S7185" s="4"/>
    </row>
    <row r="7186" spans="1:19" ht="21" customHeight="1" x14ac:dyDescent="0.25">
      <c r="A7186" s="14">
        <f>DATE(2012,12,31)-303</f>
        <v>40971</v>
      </c>
      <c r="B7186" s="15" t="s">
        <v>1511</v>
      </c>
      <c r="C7186" s="15" t="s">
        <v>85</v>
      </c>
      <c r="D7186" s="16">
        <v>42</v>
      </c>
      <c r="E7186" s="17">
        <v>4846.68</v>
      </c>
      <c r="F7186" s="16">
        <v>0.04</v>
      </c>
      <c r="G7186" s="15" t="s">
        <v>32</v>
      </c>
      <c r="H7186" s="18">
        <v>820.94</v>
      </c>
      <c r="I7186" s="19">
        <v>110.98</v>
      </c>
      <c r="J7186" s="19">
        <v>13.99</v>
      </c>
      <c r="K7186" s="19" t="s">
        <v>44</v>
      </c>
      <c r="L7186" s="19" t="s">
        <v>89</v>
      </c>
      <c r="M7186" s="15" t="s">
        <v>2337</v>
      </c>
      <c r="N7186" s="15" t="s">
        <v>54</v>
      </c>
      <c r="O7186" s="15" t="s">
        <v>55</v>
      </c>
      <c r="P7186" s="20" t="s">
        <v>2113</v>
      </c>
      <c r="Q7186" s="15" t="s">
        <v>57</v>
      </c>
      <c r="R7186" s="4"/>
      <c r="S7186" s="4"/>
    </row>
    <row r="7187" spans="1:19" ht="21" customHeight="1" x14ac:dyDescent="0.25">
      <c r="A7187" s="14">
        <f>DATE(2012,12,31)-303</f>
        <v>40971</v>
      </c>
      <c r="B7187" s="15" t="s">
        <v>2194</v>
      </c>
      <c r="C7187" s="15" t="s">
        <v>85</v>
      </c>
      <c r="D7187" s="16">
        <v>5</v>
      </c>
      <c r="E7187" s="17">
        <v>32.69</v>
      </c>
      <c r="F7187" s="16">
        <v>0</v>
      </c>
      <c r="G7187" s="15" t="s">
        <v>32</v>
      </c>
      <c r="H7187" s="18">
        <v>-24.43</v>
      </c>
      <c r="I7187" s="19">
        <v>4.9800000000000004</v>
      </c>
      <c r="J7187" s="19">
        <v>7.54</v>
      </c>
      <c r="K7187" s="19" t="s">
        <v>33</v>
      </c>
      <c r="L7187" s="19" t="s">
        <v>93</v>
      </c>
      <c r="M7187" s="15" t="s">
        <v>94</v>
      </c>
      <c r="N7187" s="15" t="s">
        <v>36</v>
      </c>
      <c r="O7187" s="15" t="s">
        <v>117</v>
      </c>
      <c r="P7187" s="20" t="s">
        <v>440</v>
      </c>
      <c r="Q7187" s="15" t="s">
        <v>83</v>
      </c>
      <c r="R7187" s="4"/>
      <c r="S7187" s="4"/>
    </row>
    <row r="7188" spans="1:19" ht="21" customHeight="1" x14ac:dyDescent="0.25">
      <c r="A7188" s="14">
        <f>DATE(2012,12,31)-303</f>
        <v>40971</v>
      </c>
      <c r="B7188" s="15" t="s">
        <v>1144</v>
      </c>
      <c r="C7188" s="15" t="s">
        <v>85</v>
      </c>
      <c r="D7188" s="16">
        <v>22</v>
      </c>
      <c r="E7188" s="17">
        <v>38.880000000000003</v>
      </c>
      <c r="F7188" s="16">
        <v>0.09</v>
      </c>
      <c r="G7188" s="15" t="s">
        <v>32</v>
      </c>
      <c r="H7188" s="18">
        <v>-18.57</v>
      </c>
      <c r="I7188" s="19">
        <v>1.81</v>
      </c>
      <c r="J7188" s="19">
        <v>1.56</v>
      </c>
      <c r="K7188" s="19" t="s">
        <v>33</v>
      </c>
      <c r="L7188" s="19" t="s">
        <v>145</v>
      </c>
      <c r="M7188" s="15" t="s">
        <v>2313</v>
      </c>
      <c r="N7188" s="15" t="s">
        <v>36</v>
      </c>
      <c r="O7188" s="15" t="s">
        <v>105</v>
      </c>
      <c r="P7188" s="20" t="s">
        <v>193</v>
      </c>
      <c r="Q7188" s="15" t="s">
        <v>79</v>
      </c>
      <c r="R7188" s="4"/>
      <c r="S7188" s="4"/>
    </row>
    <row r="7189" spans="1:19" ht="21" customHeight="1" x14ac:dyDescent="0.25">
      <c r="A7189" s="14">
        <f>DATE(2012,12,31)-544</f>
        <v>40730</v>
      </c>
      <c r="B7189" s="15" t="s">
        <v>1144</v>
      </c>
      <c r="C7189" s="15" t="s">
        <v>31</v>
      </c>
      <c r="D7189" s="16">
        <v>31</v>
      </c>
      <c r="E7189" s="17">
        <v>286.26</v>
      </c>
      <c r="F7189" s="16">
        <v>0.01</v>
      </c>
      <c r="G7189" s="15" t="s">
        <v>32</v>
      </c>
      <c r="H7189" s="18">
        <v>8.34</v>
      </c>
      <c r="I7189" s="19">
        <v>8.56</v>
      </c>
      <c r="J7189" s="19">
        <v>5.16</v>
      </c>
      <c r="K7189" s="19" t="s">
        <v>97</v>
      </c>
      <c r="L7189" s="19" t="s">
        <v>195</v>
      </c>
      <c r="M7189" s="15" t="s">
        <v>2138</v>
      </c>
      <c r="N7189" s="15" t="s">
        <v>36</v>
      </c>
      <c r="O7189" s="15" t="s">
        <v>117</v>
      </c>
      <c r="P7189" s="20" t="s">
        <v>579</v>
      </c>
      <c r="Q7189" s="15" t="s">
        <v>79</v>
      </c>
      <c r="R7189" s="4"/>
      <c r="S7189" s="4"/>
    </row>
    <row r="7190" spans="1:19" ht="21" customHeight="1" x14ac:dyDescent="0.25">
      <c r="A7190" s="14">
        <f>DATE(2012,12,31)-516</f>
        <v>40758</v>
      </c>
      <c r="B7190" s="15" t="s">
        <v>732</v>
      </c>
      <c r="C7190" s="15" t="s">
        <v>85</v>
      </c>
      <c r="D7190" s="16">
        <v>42</v>
      </c>
      <c r="E7190" s="17">
        <v>493.56</v>
      </c>
      <c r="F7190" s="16">
        <v>0.06</v>
      </c>
      <c r="G7190" s="15" t="s">
        <v>32</v>
      </c>
      <c r="H7190" s="18">
        <v>12.73</v>
      </c>
      <c r="I7190" s="19">
        <v>11.99</v>
      </c>
      <c r="J7190" s="19">
        <v>5.99</v>
      </c>
      <c r="K7190" s="19" t="s">
        <v>97</v>
      </c>
      <c r="L7190" s="19" t="s">
        <v>98</v>
      </c>
      <c r="M7190" s="15" t="s">
        <v>2328</v>
      </c>
      <c r="N7190" s="15" t="s">
        <v>64</v>
      </c>
      <c r="O7190" s="15" t="s">
        <v>122</v>
      </c>
      <c r="P7190" s="20" t="s">
        <v>1039</v>
      </c>
      <c r="Q7190" s="15" t="s">
        <v>57</v>
      </c>
      <c r="R7190" s="4"/>
      <c r="S7190" s="4"/>
    </row>
    <row r="7191" spans="1:19" ht="21" customHeight="1" x14ac:dyDescent="0.25">
      <c r="A7191" s="14">
        <f>DATE(2012,12,31)-1023</f>
        <v>40251</v>
      </c>
      <c r="B7191" s="15" t="s">
        <v>732</v>
      </c>
      <c r="C7191" s="15" t="s">
        <v>85</v>
      </c>
      <c r="D7191" s="16">
        <v>16</v>
      </c>
      <c r="E7191" s="17">
        <v>2723.1</v>
      </c>
      <c r="F7191" s="16">
        <v>7.0000000000000007E-2</v>
      </c>
      <c r="G7191" s="15" t="s">
        <v>32</v>
      </c>
      <c r="H7191" s="18">
        <v>-446.31</v>
      </c>
      <c r="I7191" s="19">
        <v>167.27</v>
      </c>
      <c r="J7191" s="19">
        <v>35</v>
      </c>
      <c r="K7191" s="19" t="s">
        <v>33</v>
      </c>
      <c r="L7191" s="19" t="s">
        <v>59</v>
      </c>
      <c r="M7191" s="15" t="s">
        <v>2269</v>
      </c>
      <c r="N7191" s="15" t="s">
        <v>36</v>
      </c>
      <c r="O7191" s="15" t="s">
        <v>37</v>
      </c>
      <c r="P7191" s="20" t="s">
        <v>1869</v>
      </c>
      <c r="Q7191" s="15" t="s">
        <v>39</v>
      </c>
      <c r="R7191" s="4"/>
      <c r="S7191" s="4"/>
    </row>
    <row r="7192" spans="1:19" ht="21" customHeight="1" x14ac:dyDescent="0.25">
      <c r="A7192" s="14">
        <f>DATE(2012,12,31)-1023</f>
        <v>40251</v>
      </c>
      <c r="B7192" s="15" t="s">
        <v>827</v>
      </c>
      <c r="C7192" s="15" t="s">
        <v>85</v>
      </c>
      <c r="D7192" s="16">
        <v>20</v>
      </c>
      <c r="E7192" s="17">
        <v>347.26749999999998</v>
      </c>
      <c r="F7192" s="16">
        <v>0.06</v>
      </c>
      <c r="G7192" s="15" t="s">
        <v>101</v>
      </c>
      <c r="H7192" s="18">
        <v>-71.092999999999989</v>
      </c>
      <c r="I7192" s="19">
        <v>20.99</v>
      </c>
      <c r="J7192" s="19">
        <v>0.99</v>
      </c>
      <c r="K7192" s="19" t="s">
        <v>33</v>
      </c>
      <c r="L7192" s="19" t="s">
        <v>59</v>
      </c>
      <c r="M7192" s="15" t="s">
        <v>2269</v>
      </c>
      <c r="N7192" s="15" t="s">
        <v>64</v>
      </c>
      <c r="O7192" s="15" t="s">
        <v>65</v>
      </c>
      <c r="P7192" s="20" t="s">
        <v>193</v>
      </c>
      <c r="Q7192" s="15" t="s">
        <v>49</v>
      </c>
      <c r="R7192" s="4"/>
      <c r="S7192" s="4"/>
    </row>
    <row r="7193" spans="1:19" ht="21" customHeight="1" x14ac:dyDescent="0.25">
      <c r="A7193" s="14">
        <f>DATE(2012,12,31)-420</f>
        <v>40854</v>
      </c>
      <c r="B7193" s="15" t="s">
        <v>2237</v>
      </c>
      <c r="C7193" s="15" t="s">
        <v>85</v>
      </c>
      <c r="D7193" s="16">
        <v>18</v>
      </c>
      <c r="E7193" s="17">
        <v>360.24</v>
      </c>
      <c r="F7193" s="16">
        <v>0.04</v>
      </c>
      <c r="G7193" s="15" t="s">
        <v>101</v>
      </c>
      <c r="H7193" s="18">
        <v>-36.24</v>
      </c>
      <c r="I7193" s="19">
        <v>19.98</v>
      </c>
      <c r="J7193" s="19">
        <v>4</v>
      </c>
      <c r="K7193" s="19" t="s">
        <v>33</v>
      </c>
      <c r="L7193" s="19" t="s">
        <v>59</v>
      </c>
      <c r="M7193" s="15" t="s">
        <v>2269</v>
      </c>
      <c r="N7193" s="15" t="s">
        <v>64</v>
      </c>
      <c r="O7193" s="15" t="s">
        <v>72</v>
      </c>
      <c r="P7193" s="20" t="s">
        <v>966</v>
      </c>
      <c r="Q7193" s="15" t="s">
        <v>83</v>
      </c>
      <c r="R7193" s="4"/>
      <c r="S7193" s="4"/>
    </row>
    <row r="7194" spans="1:19" ht="21" customHeight="1" x14ac:dyDescent="0.25">
      <c r="A7194" s="14">
        <f>DATE(2012,12,31)-420</f>
        <v>40854</v>
      </c>
      <c r="B7194" s="15" t="s">
        <v>1766</v>
      </c>
      <c r="C7194" s="15" t="s">
        <v>85</v>
      </c>
      <c r="D7194" s="16">
        <v>46</v>
      </c>
      <c r="E7194" s="17">
        <v>1463.27</v>
      </c>
      <c r="F7194" s="16">
        <v>0.09</v>
      </c>
      <c r="G7194" s="15" t="s">
        <v>32</v>
      </c>
      <c r="H7194" s="18">
        <v>104.22</v>
      </c>
      <c r="I7194" s="19">
        <v>34.76</v>
      </c>
      <c r="J7194" s="19">
        <v>8.2200000000000006</v>
      </c>
      <c r="K7194" s="19" t="s">
        <v>33</v>
      </c>
      <c r="L7194" s="19" t="s">
        <v>59</v>
      </c>
      <c r="M7194" s="15" t="s">
        <v>2269</v>
      </c>
      <c r="N7194" s="15" t="s">
        <v>36</v>
      </c>
      <c r="O7194" s="15" t="s">
        <v>37</v>
      </c>
      <c r="P7194" s="20" t="s">
        <v>783</v>
      </c>
      <c r="Q7194" s="15" t="s">
        <v>83</v>
      </c>
      <c r="R7194" s="4"/>
      <c r="S7194" s="4"/>
    </row>
    <row r="7195" spans="1:19" ht="21" customHeight="1" x14ac:dyDescent="0.25">
      <c r="A7195" s="14">
        <f>DATE(2012,12,31)-400</f>
        <v>40874</v>
      </c>
      <c r="B7195" s="15" t="s">
        <v>294</v>
      </c>
      <c r="C7195" s="15" t="s">
        <v>43</v>
      </c>
      <c r="D7195" s="16">
        <v>3</v>
      </c>
      <c r="E7195" s="17">
        <v>21366.51</v>
      </c>
      <c r="F7195" s="16">
        <v>0</v>
      </c>
      <c r="G7195" s="15" t="s">
        <v>32</v>
      </c>
      <c r="H7195" s="18">
        <v>-11984.3979</v>
      </c>
      <c r="I7195" s="19">
        <v>6783.02</v>
      </c>
      <c r="J7195" s="19">
        <v>24.49</v>
      </c>
      <c r="K7195" s="19" t="s">
        <v>33</v>
      </c>
      <c r="L7195" s="19" t="s">
        <v>145</v>
      </c>
      <c r="M7195" s="15" t="s">
        <v>2313</v>
      </c>
      <c r="N7195" s="15" t="s">
        <v>64</v>
      </c>
      <c r="O7195" s="15" t="s">
        <v>122</v>
      </c>
      <c r="P7195" s="20" t="s">
        <v>1992</v>
      </c>
      <c r="Q7195" s="15" t="s">
        <v>39</v>
      </c>
      <c r="R7195" s="4"/>
      <c r="S7195" s="4"/>
    </row>
    <row r="7196" spans="1:19" ht="21" customHeight="1" x14ac:dyDescent="0.25">
      <c r="A7196" s="14">
        <f>DATE(2012,12,31)-400</f>
        <v>40874</v>
      </c>
      <c r="B7196" s="15" t="s">
        <v>441</v>
      </c>
      <c r="C7196" s="15" t="s">
        <v>43</v>
      </c>
      <c r="D7196" s="16">
        <v>34</v>
      </c>
      <c r="E7196" s="17">
        <v>320.04000000000002</v>
      </c>
      <c r="F7196" s="16">
        <v>0.02</v>
      </c>
      <c r="G7196" s="15" t="s">
        <v>101</v>
      </c>
      <c r="H7196" s="18">
        <v>32.47</v>
      </c>
      <c r="I7196" s="19">
        <v>9.27</v>
      </c>
      <c r="J7196" s="19">
        <v>4.3899999999999997</v>
      </c>
      <c r="K7196" s="19" t="s">
        <v>33</v>
      </c>
      <c r="L7196" s="19" t="s">
        <v>93</v>
      </c>
      <c r="M7196" s="15" t="s">
        <v>94</v>
      </c>
      <c r="N7196" s="15" t="s">
        <v>36</v>
      </c>
      <c r="O7196" s="15" t="s">
        <v>117</v>
      </c>
      <c r="P7196" s="20" t="s">
        <v>1130</v>
      </c>
      <c r="Q7196" s="15" t="s">
        <v>79</v>
      </c>
      <c r="R7196" s="4"/>
      <c r="S7196" s="4"/>
    </row>
    <row r="7197" spans="1:19" ht="21" customHeight="1" x14ac:dyDescent="0.25">
      <c r="A7197" s="14">
        <f>DATE(2012,12,31)-400</f>
        <v>40874</v>
      </c>
      <c r="B7197" s="15" t="s">
        <v>441</v>
      </c>
      <c r="C7197" s="15" t="s">
        <v>43</v>
      </c>
      <c r="D7197" s="16">
        <v>12</v>
      </c>
      <c r="E7197" s="17">
        <v>88.57</v>
      </c>
      <c r="F7197" s="16">
        <v>0.03</v>
      </c>
      <c r="G7197" s="15" t="s">
        <v>32</v>
      </c>
      <c r="H7197" s="18">
        <v>-28.25</v>
      </c>
      <c r="I7197" s="19">
        <v>6.68</v>
      </c>
      <c r="J7197" s="19">
        <v>6.15</v>
      </c>
      <c r="K7197" s="19" t="s">
        <v>33</v>
      </c>
      <c r="L7197" s="19" t="s">
        <v>93</v>
      </c>
      <c r="M7197" s="15" t="s">
        <v>94</v>
      </c>
      <c r="N7197" s="15" t="s">
        <v>36</v>
      </c>
      <c r="O7197" s="15" t="s">
        <v>117</v>
      </c>
      <c r="P7197" s="20" t="s">
        <v>1976</v>
      </c>
      <c r="Q7197" s="15" t="s">
        <v>83</v>
      </c>
      <c r="R7197" s="4"/>
      <c r="S7197" s="4"/>
    </row>
    <row r="7198" spans="1:19" ht="21" customHeight="1" x14ac:dyDescent="0.25">
      <c r="A7198" s="14">
        <f>DATE(2012,12,31)-400</f>
        <v>40874</v>
      </c>
      <c r="B7198" s="15" t="s">
        <v>595</v>
      </c>
      <c r="C7198" s="15" t="s">
        <v>43</v>
      </c>
      <c r="D7198" s="16">
        <v>13</v>
      </c>
      <c r="E7198" s="17">
        <v>73.97</v>
      </c>
      <c r="F7198" s="16">
        <v>0.1</v>
      </c>
      <c r="G7198" s="15" t="s">
        <v>32</v>
      </c>
      <c r="H7198" s="18">
        <v>-38.35</v>
      </c>
      <c r="I7198" s="19">
        <v>5.78</v>
      </c>
      <c r="J7198" s="19">
        <v>5.67</v>
      </c>
      <c r="K7198" s="19" t="s">
        <v>33</v>
      </c>
      <c r="L7198" s="19" t="s">
        <v>59</v>
      </c>
      <c r="M7198" s="15" t="s">
        <v>2269</v>
      </c>
      <c r="N7198" s="15" t="s">
        <v>36</v>
      </c>
      <c r="O7198" s="15" t="s">
        <v>117</v>
      </c>
      <c r="P7198" s="20" t="s">
        <v>224</v>
      </c>
      <c r="Q7198" s="15" t="s">
        <v>83</v>
      </c>
      <c r="R7198" s="4"/>
      <c r="S7198" s="4"/>
    </row>
    <row r="7199" spans="1:19" ht="21" customHeight="1" x14ac:dyDescent="0.25">
      <c r="A7199" s="14">
        <f>DATE(2012,12,31)-1376</f>
        <v>39898</v>
      </c>
      <c r="B7199" s="15" t="s">
        <v>348</v>
      </c>
      <c r="C7199" s="15" t="s">
        <v>85</v>
      </c>
      <c r="D7199" s="16">
        <v>7</v>
      </c>
      <c r="E7199" s="17">
        <v>545.04</v>
      </c>
      <c r="F7199" s="16">
        <v>0.05</v>
      </c>
      <c r="G7199" s="15" t="s">
        <v>58</v>
      </c>
      <c r="H7199" s="18">
        <v>-210.06</v>
      </c>
      <c r="I7199" s="19">
        <v>68.81</v>
      </c>
      <c r="J7199" s="19">
        <v>60</v>
      </c>
      <c r="K7199" s="19" t="s">
        <v>33</v>
      </c>
      <c r="L7199" s="19" t="s">
        <v>34</v>
      </c>
      <c r="M7199" s="15" t="s">
        <v>2315</v>
      </c>
      <c r="N7199" s="15" t="s">
        <v>36</v>
      </c>
      <c r="O7199" s="15" t="s">
        <v>176</v>
      </c>
      <c r="P7199" s="20" t="s">
        <v>1530</v>
      </c>
      <c r="Q7199" s="15" t="s">
        <v>181</v>
      </c>
      <c r="R7199" s="4"/>
      <c r="S7199" s="4"/>
    </row>
    <row r="7200" spans="1:19" ht="21" customHeight="1" x14ac:dyDescent="0.25">
      <c r="A7200" s="14">
        <f>DATE(2012,12,31)-1376</f>
        <v>39898</v>
      </c>
      <c r="B7200" s="15" t="s">
        <v>348</v>
      </c>
      <c r="C7200" s="15" t="s">
        <v>85</v>
      </c>
      <c r="D7200" s="16">
        <v>29</v>
      </c>
      <c r="E7200" s="17">
        <v>606.91</v>
      </c>
      <c r="F7200" s="16">
        <v>0.09</v>
      </c>
      <c r="G7200" s="15" t="s">
        <v>32</v>
      </c>
      <c r="H7200" s="18">
        <v>-271.77</v>
      </c>
      <c r="I7200" s="19">
        <v>20.89</v>
      </c>
      <c r="J7200" s="19">
        <v>11.52</v>
      </c>
      <c r="K7200" s="19" t="s">
        <v>33</v>
      </c>
      <c r="L7200" s="19" t="s">
        <v>34</v>
      </c>
      <c r="M7200" s="15" t="s">
        <v>2315</v>
      </c>
      <c r="N7200" s="15" t="s">
        <v>36</v>
      </c>
      <c r="O7200" s="15" t="s">
        <v>37</v>
      </c>
      <c r="P7200" s="20" t="s">
        <v>1031</v>
      </c>
      <c r="Q7200" s="15" t="s">
        <v>83</v>
      </c>
      <c r="R7200" s="4"/>
      <c r="S7200" s="4"/>
    </row>
    <row r="7201" spans="1:19" ht="21" customHeight="1" x14ac:dyDescent="0.25">
      <c r="A7201" s="14">
        <f>DATE(2012,12,31)-65</f>
        <v>41209</v>
      </c>
      <c r="B7201" s="15" t="s">
        <v>1762</v>
      </c>
      <c r="C7201" s="15" t="s">
        <v>51</v>
      </c>
      <c r="D7201" s="16">
        <v>10</v>
      </c>
      <c r="E7201" s="17">
        <v>45.69</v>
      </c>
      <c r="F7201" s="16">
        <v>0.01</v>
      </c>
      <c r="G7201" s="15" t="s">
        <v>101</v>
      </c>
      <c r="H7201" s="18">
        <v>-24.21</v>
      </c>
      <c r="I7201" s="19">
        <v>3.57</v>
      </c>
      <c r="J7201" s="19">
        <v>4.17</v>
      </c>
      <c r="K7201" s="19" t="s">
        <v>33</v>
      </c>
      <c r="L7201" s="19" t="s">
        <v>59</v>
      </c>
      <c r="M7201" s="15" t="s">
        <v>2269</v>
      </c>
      <c r="N7201" s="15" t="s">
        <v>36</v>
      </c>
      <c r="O7201" s="15" t="s">
        <v>77</v>
      </c>
      <c r="P7201" s="20" t="s">
        <v>924</v>
      </c>
      <c r="Q7201" s="15" t="s">
        <v>49</v>
      </c>
      <c r="R7201" s="4"/>
      <c r="S7201" s="4"/>
    </row>
    <row r="7202" spans="1:19" ht="21" customHeight="1" x14ac:dyDescent="0.25">
      <c r="A7202" s="14">
        <f>DATE(2012,12,31)-427</f>
        <v>40847</v>
      </c>
      <c r="B7202" s="15" t="s">
        <v>441</v>
      </c>
      <c r="C7202" s="15" t="s">
        <v>51</v>
      </c>
      <c r="D7202" s="16">
        <v>36</v>
      </c>
      <c r="E7202" s="17">
        <v>1749.07</v>
      </c>
      <c r="F7202" s="16">
        <v>0.04</v>
      </c>
      <c r="G7202" s="15" t="s">
        <v>32</v>
      </c>
      <c r="H7202" s="18">
        <v>804.66</v>
      </c>
      <c r="I7202" s="19">
        <v>48.04</v>
      </c>
      <c r="J7202" s="19">
        <v>5.79</v>
      </c>
      <c r="K7202" s="19" t="s">
        <v>97</v>
      </c>
      <c r="L7202" s="19" t="s">
        <v>195</v>
      </c>
      <c r="M7202" s="15" t="s">
        <v>2138</v>
      </c>
      <c r="N7202" s="15" t="s">
        <v>36</v>
      </c>
      <c r="O7202" s="15" t="s">
        <v>117</v>
      </c>
      <c r="P7202" s="20" t="s">
        <v>2173</v>
      </c>
      <c r="Q7202" s="15" t="s">
        <v>83</v>
      </c>
      <c r="R7202" s="4"/>
      <c r="S7202" s="4"/>
    </row>
    <row r="7203" spans="1:19" ht="21" customHeight="1" x14ac:dyDescent="0.25">
      <c r="A7203" s="14">
        <f>DATE(2012,12,31)-427</f>
        <v>40847</v>
      </c>
      <c r="B7203" s="15" t="s">
        <v>441</v>
      </c>
      <c r="C7203" s="15" t="s">
        <v>51</v>
      </c>
      <c r="D7203" s="16">
        <v>14</v>
      </c>
      <c r="E7203" s="17">
        <v>37.9</v>
      </c>
      <c r="F7203" s="16">
        <v>0.08</v>
      </c>
      <c r="G7203" s="15" t="s">
        <v>32</v>
      </c>
      <c r="H7203" s="18">
        <v>-22.01</v>
      </c>
      <c r="I7203" s="19">
        <v>2.6</v>
      </c>
      <c r="J7203" s="19">
        <v>2.4</v>
      </c>
      <c r="K7203" s="19" t="s">
        <v>69</v>
      </c>
      <c r="L7203" s="19" t="s">
        <v>70</v>
      </c>
      <c r="M7203" s="15" t="s">
        <v>2327</v>
      </c>
      <c r="N7203" s="15" t="s">
        <v>36</v>
      </c>
      <c r="O7203" s="15" t="s">
        <v>77</v>
      </c>
      <c r="P7203" s="20" t="s">
        <v>220</v>
      </c>
      <c r="Q7203" s="15" t="s">
        <v>79</v>
      </c>
      <c r="R7203" s="4"/>
      <c r="S7203" s="4"/>
    </row>
    <row r="7204" spans="1:19" ht="21" customHeight="1" x14ac:dyDescent="0.25">
      <c r="A7204" s="14">
        <f>DATE(2012,12,31)-1008</f>
        <v>40266</v>
      </c>
      <c r="B7204" s="15" t="s">
        <v>2013</v>
      </c>
      <c r="C7204" s="15" t="s">
        <v>43</v>
      </c>
      <c r="D7204" s="16">
        <v>34</v>
      </c>
      <c r="E7204" s="17">
        <v>245.4</v>
      </c>
      <c r="F7204" s="16">
        <v>0</v>
      </c>
      <c r="G7204" s="15" t="s">
        <v>32</v>
      </c>
      <c r="H7204" s="18">
        <v>-87.27</v>
      </c>
      <c r="I7204" s="19">
        <v>6.68</v>
      </c>
      <c r="J7204" s="19">
        <v>6.92</v>
      </c>
      <c r="K7204" s="19" t="s">
        <v>69</v>
      </c>
      <c r="L7204" s="19" t="s">
        <v>70</v>
      </c>
      <c r="M7204" s="15" t="s">
        <v>2327</v>
      </c>
      <c r="N7204" s="15" t="s">
        <v>36</v>
      </c>
      <c r="O7204" s="15" t="s">
        <v>117</v>
      </c>
      <c r="P7204" s="20" t="s">
        <v>1286</v>
      </c>
      <c r="Q7204" s="15" t="s">
        <v>83</v>
      </c>
      <c r="R7204" s="4"/>
      <c r="S7204" s="4"/>
    </row>
    <row r="7205" spans="1:19" ht="21" customHeight="1" x14ac:dyDescent="0.25">
      <c r="A7205" s="14">
        <f>DATE(2012,12,31)-1008</f>
        <v>40266</v>
      </c>
      <c r="B7205" s="15" t="s">
        <v>426</v>
      </c>
      <c r="C7205" s="15" t="s">
        <v>43</v>
      </c>
      <c r="D7205" s="16">
        <v>47</v>
      </c>
      <c r="E7205" s="17">
        <v>4177.66</v>
      </c>
      <c r="F7205" s="16">
        <v>0.04</v>
      </c>
      <c r="G7205" s="15" t="s">
        <v>58</v>
      </c>
      <c r="H7205" s="18">
        <v>85.29</v>
      </c>
      <c r="I7205" s="19">
        <v>85.29</v>
      </c>
      <c r="J7205" s="19">
        <v>60</v>
      </c>
      <c r="K7205" s="19" t="s">
        <v>69</v>
      </c>
      <c r="L7205" s="19" t="s">
        <v>75</v>
      </c>
      <c r="M7205" s="15" t="s">
        <v>76</v>
      </c>
      <c r="N7205" s="15" t="s">
        <v>54</v>
      </c>
      <c r="O7205" s="15" t="s">
        <v>61</v>
      </c>
      <c r="P7205" s="20" t="s">
        <v>2195</v>
      </c>
      <c r="Q7205" s="15" t="s">
        <v>181</v>
      </c>
      <c r="R7205" s="4"/>
      <c r="S7205" s="4"/>
    </row>
    <row r="7206" spans="1:19" ht="21" customHeight="1" x14ac:dyDescent="0.25">
      <c r="A7206" s="14">
        <f>DATE(2012,12,31)-302</f>
        <v>40972</v>
      </c>
      <c r="B7206" s="15" t="s">
        <v>426</v>
      </c>
      <c r="C7206" s="15" t="s">
        <v>31</v>
      </c>
      <c r="D7206" s="16">
        <v>34</v>
      </c>
      <c r="E7206" s="17">
        <v>823.98</v>
      </c>
      <c r="F7206" s="16">
        <v>0.09</v>
      </c>
      <c r="G7206" s="15" t="s">
        <v>32</v>
      </c>
      <c r="H7206" s="18">
        <v>129.81</v>
      </c>
      <c r="I7206" s="19">
        <v>25.98</v>
      </c>
      <c r="J7206" s="19">
        <v>4.08</v>
      </c>
      <c r="K7206" s="19" t="s">
        <v>69</v>
      </c>
      <c r="L7206" s="19" t="s">
        <v>70</v>
      </c>
      <c r="M7206" s="15" t="s">
        <v>2327</v>
      </c>
      <c r="N7206" s="15" t="s">
        <v>36</v>
      </c>
      <c r="O7206" s="15" t="s">
        <v>77</v>
      </c>
      <c r="P7206" s="20" t="s">
        <v>569</v>
      </c>
      <c r="Q7206" s="15" t="s">
        <v>49</v>
      </c>
      <c r="R7206" s="4"/>
      <c r="S7206" s="4"/>
    </row>
    <row r="7207" spans="1:19" ht="21" customHeight="1" x14ac:dyDescent="0.25">
      <c r="A7207" s="14">
        <f>DATE(2012,12,31)-806</f>
        <v>40468</v>
      </c>
      <c r="B7207" s="15" t="s">
        <v>233</v>
      </c>
      <c r="C7207" s="15" t="s">
        <v>85</v>
      </c>
      <c r="D7207" s="16">
        <v>48</v>
      </c>
      <c r="E7207" s="17">
        <v>5620.2</v>
      </c>
      <c r="F7207" s="16">
        <v>0.01</v>
      </c>
      <c r="G7207" s="15" t="s">
        <v>58</v>
      </c>
      <c r="H7207" s="18">
        <v>176.04</v>
      </c>
      <c r="I7207" s="19">
        <v>110.98</v>
      </c>
      <c r="J7207" s="19">
        <v>30</v>
      </c>
      <c r="K7207" s="19" t="s">
        <v>69</v>
      </c>
      <c r="L7207" s="19" t="s">
        <v>70</v>
      </c>
      <c r="M7207" s="15" t="s">
        <v>2327</v>
      </c>
      <c r="N7207" s="15" t="s">
        <v>54</v>
      </c>
      <c r="O7207" s="15" t="s">
        <v>252</v>
      </c>
      <c r="P7207" s="20" t="s">
        <v>915</v>
      </c>
      <c r="Q7207" s="15" t="s">
        <v>181</v>
      </c>
      <c r="R7207" s="4"/>
      <c r="S7207" s="4"/>
    </row>
    <row r="7208" spans="1:19" ht="21" customHeight="1" x14ac:dyDescent="0.25">
      <c r="A7208" s="14">
        <f>DATE(2012,12,31)-1216</f>
        <v>40058</v>
      </c>
      <c r="B7208" s="15" t="s">
        <v>233</v>
      </c>
      <c r="C7208" s="15" t="s">
        <v>43</v>
      </c>
      <c r="D7208" s="16">
        <v>46</v>
      </c>
      <c r="E7208" s="17">
        <v>100.6</v>
      </c>
      <c r="F7208" s="16">
        <v>0.03</v>
      </c>
      <c r="G7208" s="15" t="s">
        <v>32</v>
      </c>
      <c r="H7208" s="18">
        <v>11.55</v>
      </c>
      <c r="I7208" s="19">
        <v>2.21</v>
      </c>
      <c r="J7208" s="19">
        <v>1</v>
      </c>
      <c r="K7208" s="19" t="s">
        <v>69</v>
      </c>
      <c r="L7208" s="19" t="s">
        <v>70</v>
      </c>
      <c r="M7208" s="15" t="s">
        <v>2327</v>
      </c>
      <c r="N7208" s="15" t="s">
        <v>36</v>
      </c>
      <c r="O7208" s="15" t="s">
        <v>77</v>
      </c>
      <c r="P7208" s="20" t="s">
        <v>1598</v>
      </c>
      <c r="Q7208" s="15" t="s">
        <v>79</v>
      </c>
      <c r="R7208" s="4"/>
      <c r="S7208" s="4"/>
    </row>
    <row r="7209" spans="1:19" ht="21" customHeight="1" x14ac:dyDescent="0.25">
      <c r="A7209" s="14">
        <f>DATE(2012,12,31)-1216</f>
        <v>40058</v>
      </c>
      <c r="B7209" s="15" t="s">
        <v>1532</v>
      </c>
      <c r="C7209" s="15" t="s">
        <v>43</v>
      </c>
      <c r="D7209" s="16">
        <v>6</v>
      </c>
      <c r="E7209" s="17">
        <v>958.06</v>
      </c>
      <c r="F7209" s="16">
        <v>0.09</v>
      </c>
      <c r="G7209" s="15" t="s">
        <v>32</v>
      </c>
      <c r="H7209" s="18">
        <v>-77.09</v>
      </c>
      <c r="I7209" s="19">
        <v>165.2</v>
      </c>
      <c r="J7209" s="19">
        <v>19.989999999999998</v>
      </c>
      <c r="K7209" s="19" t="s">
        <v>69</v>
      </c>
      <c r="L7209" s="19" t="s">
        <v>75</v>
      </c>
      <c r="M7209" s="15" t="s">
        <v>76</v>
      </c>
      <c r="N7209" s="15" t="s">
        <v>36</v>
      </c>
      <c r="O7209" s="15" t="s">
        <v>37</v>
      </c>
      <c r="P7209" s="20" t="s">
        <v>966</v>
      </c>
      <c r="Q7209" s="15" t="s">
        <v>83</v>
      </c>
      <c r="R7209" s="4"/>
      <c r="S7209" s="4"/>
    </row>
    <row r="7210" spans="1:19" ht="21" customHeight="1" x14ac:dyDescent="0.25">
      <c r="A7210" s="14">
        <f>DATE(2012,12,31)-1216</f>
        <v>40058</v>
      </c>
      <c r="B7210" s="15" t="s">
        <v>1671</v>
      </c>
      <c r="C7210" s="15" t="s">
        <v>43</v>
      </c>
      <c r="D7210" s="16">
        <v>2</v>
      </c>
      <c r="E7210" s="17">
        <v>14.75</v>
      </c>
      <c r="F7210" s="16">
        <v>7.0000000000000007E-2</v>
      </c>
      <c r="G7210" s="15" t="s">
        <v>32</v>
      </c>
      <c r="H7210" s="18">
        <v>-11.419499999999999</v>
      </c>
      <c r="I7210" s="19">
        <v>3.89</v>
      </c>
      <c r="J7210" s="19">
        <v>7.01</v>
      </c>
      <c r="K7210" s="19" t="s">
        <v>69</v>
      </c>
      <c r="L7210" s="19" t="s">
        <v>75</v>
      </c>
      <c r="M7210" s="15" t="s">
        <v>76</v>
      </c>
      <c r="N7210" s="15" t="s">
        <v>36</v>
      </c>
      <c r="O7210" s="15" t="s">
        <v>170</v>
      </c>
      <c r="P7210" s="20" t="s">
        <v>1902</v>
      </c>
      <c r="Q7210" s="15" t="s">
        <v>83</v>
      </c>
      <c r="R7210" s="4"/>
      <c r="S7210" s="4"/>
    </row>
    <row r="7211" spans="1:19" ht="21" customHeight="1" x14ac:dyDescent="0.25">
      <c r="A7211" s="14">
        <f>DATE(2012,12,31)-1216</f>
        <v>40058</v>
      </c>
      <c r="B7211" s="15" t="s">
        <v>2114</v>
      </c>
      <c r="C7211" s="15" t="s">
        <v>43</v>
      </c>
      <c r="D7211" s="16">
        <v>31</v>
      </c>
      <c r="E7211" s="17">
        <v>11262.04</v>
      </c>
      <c r="F7211" s="16">
        <v>0.06</v>
      </c>
      <c r="G7211" s="15" t="s">
        <v>58</v>
      </c>
      <c r="H7211" s="18">
        <v>1660.92</v>
      </c>
      <c r="I7211" s="19">
        <v>355.98</v>
      </c>
      <c r="J7211" s="19">
        <v>58.92</v>
      </c>
      <c r="K7211" s="19" t="s">
        <v>69</v>
      </c>
      <c r="L7211" s="19" t="s">
        <v>70</v>
      </c>
      <c r="M7211" s="15" t="s">
        <v>2327</v>
      </c>
      <c r="N7211" s="15" t="s">
        <v>54</v>
      </c>
      <c r="O7211" s="15" t="s">
        <v>252</v>
      </c>
      <c r="P7211" s="20" t="s">
        <v>1180</v>
      </c>
      <c r="Q7211" s="15" t="s">
        <v>181</v>
      </c>
      <c r="R7211" s="4"/>
      <c r="S7211" s="4"/>
    </row>
    <row r="7212" spans="1:19" ht="21" customHeight="1" x14ac:dyDescent="0.25">
      <c r="A7212" s="14">
        <f>DATE(2012,12,31)-298</f>
        <v>40976</v>
      </c>
      <c r="B7212" s="15" t="s">
        <v>178</v>
      </c>
      <c r="C7212" s="15" t="s">
        <v>85</v>
      </c>
      <c r="D7212" s="16">
        <v>12</v>
      </c>
      <c r="E7212" s="17">
        <v>173.97</v>
      </c>
      <c r="F7212" s="16">
        <v>0.03</v>
      </c>
      <c r="G7212" s="15" t="s">
        <v>32</v>
      </c>
      <c r="H7212" s="18">
        <v>-2.5499999999999998</v>
      </c>
      <c r="I7212" s="19">
        <v>13.48</v>
      </c>
      <c r="J7212" s="19">
        <v>4.51</v>
      </c>
      <c r="K7212" s="19" t="s">
        <v>69</v>
      </c>
      <c r="L7212" s="19" t="s">
        <v>75</v>
      </c>
      <c r="M7212" s="15" t="s">
        <v>76</v>
      </c>
      <c r="N7212" s="15" t="s">
        <v>36</v>
      </c>
      <c r="O7212" s="15" t="s">
        <v>37</v>
      </c>
      <c r="P7212" s="20" t="s">
        <v>266</v>
      </c>
      <c r="Q7212" s="15" t="s">
        <v>83</v>
      </c>
      <c r="R7212" s="4"/>
      <c r="S7212" s="4"/>
    </row>
    <row r="7213" spans="1:19" ht="21" customHeight="1" x14ac:dyDescent="0.25">
      <c r="A7213" s="14">
        <f>DATE(2012,12,31)-1448</f>
        <v>39826</v>
      </c>
      <c r="B7213" s="15" t="s">
        <v>178</v>
      </c>
      <c r="C7213" s="15" t="s">
        <v>85</v>
      </c>
      <c r="D7213" s="16">
        <v>17</v>
      </c>
      <c r="E7213" s="17">
        <v>39.229999999999997</v>
      </c>
      <c r="F7213" s="16">
        <v>0.06</v>
      </c>
      <c r="G7213" s="15" t="s">
        <v>32</v>
      </c>
      <c r="H7213" s="18">
        <v>-66.58</v>
      </c>
      <c r="I7213" s="19">
        <v>2.08</v>
      </c>
      <c r="J7213" s="19">
        <v>5.33</v>
      </c>
      <c r="K7213" s="19" t="s">
        <v>69</v>
      </c>
      <c r="L7213" s="19" t="s">
        <v>70</v>
      </c>
      <c r="M7213" s="15" t="s">
        <v>2327</v>
      </c>
      <c r="N7213" s="15" t="s">
        <v>54</v>
      </c>
      <c r="O7213" s="15" t="s">
        <v>55</v>
      </c>
      <c r="P7213" s="20" t="s">
        <v>1062</v>
      </c>
      <c r="Q7213" s="15" t="s">
        <v>83</v>
      </c>
      <c r="R7213" s="4"/>
      <c r="S7213" s="4"/>
    </row>
    <row r="7214" spans="1:19" ht="21" customHeight="1" x14ac:dyDescent="0.25">
      <c r="A7214" s="14">
        <f>DATE(2012,12,31)-365</f>
        <v>40909</v>
      </c>
      <c r="B7214" s="15" t="s">
        <v>489</v>
      </c>
      <c r="C7214" s="15" t="s">
        <v>31</v>
      </c>
      <c r="D7214" s="16">
        <v>45</v>
      </c>
      <c r="E7214" s="17">
        <v>2354.8000000000002</v>
      </c>
      <c r="F7214" s="16">
        <v>0.03</v>
      </c>
      <c r="G7214" s="15" t="s">
        <v>32</v>
      </c>
      <c r="H7214" s="18">
        <v>332.97</v>
      </c>
      <c r="I7214" s="19">
        <v>49.99</v>
      </c>
      <c r="J7214" s="19">
        <v>19.989999999999998</v>
      </c>
      <c r="K7214" s="19" t="s">
        <v>69</v>
      </c>
      <c r="L7214" s="19" t="s">
        <v>70</v>
      </c>
      <c r="M7214" s="15" t="s">
        <v>2327</v>
      </c>
      <c r="N7214" s="15" t="s">
        <v>64</v>
      </c>
      <c r="O7214" s="15" t="s">
        <v>72</v>
      </c>
      <c r="P7214" s="20" t="s">
        <v>1098</v>
      </c>
      <c r="Q7214" s="15" t="s">
        <v>83</v>
      </c>
      <c r="R7214" s="4"/>
      <c r="S7214" s="4"/>
    </row>
    <row r="7215" spans="1:19" ht="21" customHeight="1" x14ac:dyDescent="0.25">
      <c r="A7215" s="14">
        <f>DATE(2012,12,31)-365</f>
        <v>40909</v>
      </c>
      <c r="B7215" s="15" t="s">
        <v>1574</v>
      </c>
      <c r="C7215" s="15" t="s">
        <v>31</v>
      </c>
      <c r="D7215" s="16">
        <v>50</v>
      </c>
      <c r="E7215" s="17">
        <v>187.88</v>
      </c>
      <c r="F7215" s="16">
        <v>0.08</v>
      </c>
      <c r="G7215" s="15" t="s">
        <v>32</v>
      </c>
      <c r="H7215" s="18">
        <v>-38.229999999999997</v>
      </c>
      <c r="I7215" s="19">
        <v>3.98</v>
      </c>
      <c r="J7215" s="19">
        <v>2.97</v>
      </c>
      <c r="K7215" s="19" t="s">
        <v>69</v>
      </c>
      <c r="L7215" s="19" t="s">
        <v>70</v>
      </c>
      <c r="M7215" s="15" t="s">
        <v>2327</v>
      </c>
      <c r="N7215" s="15" t="s">
        <v>36</v>
      </c>
      <c r="O7215" s="15" t="s">
        <v>117</v>
      </c>
      <c r="P7215" s="20" t="s">
        <v>395</v>
      </c>
      <c r="Q7215" s="15" t="s">
        <v>79</v>
      </c>
      <c r="R7215" s="4"/>
      <c r="S7215" s="4"/>
    </row>
    <row r="7216" spans="1:19" ht="21" customHeight="1" x14ac:dyDescent="0.25">
      <c r="A7216" s="14">
        <f>DATE(2012,12,31)-579</f>
        <v>40695</v>
      </c>
      <c r="B7216" s="15" t="s">
        <v>1574</v>
      </c>
      <c r="C7216" s="15" t="s">
        <v>51</v>
      </c>
      <c r="D7216" s="16">
        <v>25</v>
      </c>
      <c r="E7216" s="17">
        <v>470.11</v>
      </c>
      <c r="F7216" s="16">
        <v>0.08</v>
      </c>
      <c r="G7216" s="15" t="s">
        <v>32</v>
      </c>
      <c r="H7216" s="18">
        <v>91.09</v>
      </c>
      <c r="I7216" s="19">
        <v>19.98</v>
      </c>
      <c r="J7216" s="19">
        <v>5.97</v>
      </c>
      <c r="K7216" s="19" t="s">
        <v>69</v>
      </c>
      <c r="L7216" s="19" t="s">
        <v>75</v>
      </c>
      <c r="M7216" s="15" t="s">
        <v>76</v>
      </c>
      <c r="N7216" s="15" t="s">
        <v>36</v>
      </c>
      <c r="O7216" s="15" t="s">
        <v>117</v>
      </c>
      <c r="P7216" s="20" t="s">
        <v>2107</v>
      </c>
      <c r="Q7216" s="15" t="s">
        <v>83</v>
      </c>
      <c r="R7216" s="4"/>
      <c r="S7216" s="4"/>
    </row>
    <row r="7217" spans="1:19" ht="21" customHeight="1" x14ac:dyDescent="0.25">
      <c r="A7217" s="14">
        <f>DATE(2012,12,31)-579</f>
        <v>40695</v>
      </c>
      <c r="B7217" s="15" t="s">
        <v>1574</v>
      </c>
      <c r="C7217" s="15" t="s">
        <v>51</v>
      </c>
      <c r="D7217" s="16">
        <v>43</v>
      </c>
      <c r="E7217" s="17">
        <v>10854.83</v>
      </c>
      <c r="F7217" s="16">
        <v>0.08</v>
      </c>
      <c r="G7217" s="15" t="s">
        <v>58</v>
      </c>
      <c r="H7217" s="18">
        <v>2039.41</v>
      </c>
      <c r="I7217" s="19">
        <v>270.97000000000003</v>
      </c>
      <c r="J7217" s="19">
        <v>28.06</v>
      </c>
      <c r="K7217" s="19" t="s">
        <v>69</v>
      </c>
      <c r="L7217" s="19" t="s">
        <v>75</v>
      </c>
      <c r="M7217" s="15" t="s">
        <v>76</v>
      </c>
      <c r="N7217" s="15" t="s">
        <v>64</v>
      </c>
      <c r="O7217" s="15" t="s">
        <v>122</v>
      </c>
      <c r="P7217" s="20" t="s">
        <v>2289</v>
      </c>
      <c r="Q7217" s="15" t="s">
        <v>181</v>
      </c>
      <c r="R7217" s="4"/>
      <c r="S7217" s="4"/>
    </row>
    <row r="7218" spans="1:19" ht="21" customHeight="1" x14ac:dyDescent="0.25">
      <c r="A7218" s="14">
        <f>DATE(2012,12,31)-579</f>
        <v>40695</v>
      </c>
      <c r="B7218" s="15" t="s">
        <v>759</v>
      </c>
      <c r="C7218" s="15" t="s">
        <v>51</v>
      </c>
      <c r="D7218" s="16">
        <v>19</v>
      </c>
      <c r="E7218" s="17">
        <v>51.23</v>
      </c>
      <c r="F7218" s="16">
        <v>0.1</v>
      </c>
      <c r="G7218" s="15" t="s">
        <v>32</v>
      </c>
      <c r="H7218" s="18">
        <v>-5.29</v>
      </c>
      <c r="I7218" s="19">
        <v>2.94</v>
      </c>
      <c r="J7218" s="19">
        <v>0.96</v>
      </c>
      <c r="K7218" s="19" t="s">
        <v>69</v>
      </c>
      <c r="L7218" s="19" t="s">
        <v>75</v>
      </c>
      <c r="M7218" s="15" t="s">
        <v>76</v>
      </c>
      <c r="N7218" s="15" t="s">
        <v>36</v>
      </c>
      <c r="O7218" s="15" t="s">
        <v>77</v>
      </c>
      <c r="P7218" s="20" t="s">
        <v>1918</v>
      </c>
      <c r="Q7218" s="15" t="s">
        <v>79</v>
      </c>
      <c r="R7218" s="4"/>
      <c r="S7218" s="4"/>
    </row>
    <row r="7219" spans="1:19" ht="21" customHeight="1" x14ac:dyDescent="0.25">
      <c r="A7219" s="14">
        <f>DATE(2012,12,31)-632</f>
        <v>40642</v>
      </c>
      <c r="B7219" s="15" t="s">
        <v>142</v>
      </c>
      <c r="C7219" s="15" t="s">
        <v>43</v>
      </c>
      <c r="D7219" s="16">
        <v>37</v>
      </c>
      <c r="E7219" s="17">
        <v>195.51</v>
      </c>
      <c r="F7219" s="16">
        <v>0.03</v>
      </c>
      <c r="G7219" s="15" t="s">
        <v>101</v>
      </c>
      <c r="H7219" s="18">
        <v>95.56</v>
      </c>
      <c r="I7219" s="19">
        <v>4.9800000000000004</v>
      </c>
      <c r="J7219" s="19">
        <v>0.49</v>
      </c>
      <c r="K7219" s="19" t="s">
        <v>69</v>
      </c>
      <c r="L7219" s="19" t="s">
        <v>215</v>
      </c>
      <c r="M7219" s="15" t="s">
        <v>2322</v>
      </c>
      <c r="N7219" s="15" t="s">
        <v>36</v>
      </c>
      <c r="O7219" s="15" t="s">
        <v>114</v>
      </c>
      <c r="P7219" s="20" t="s">
        <v>1213</v>
      </c>
      <c r="Q7219" s="15" t="s">
        <v>83</v>
      </c>
      <c r="R7219" s="4"/>
      <c r="S7219" s="4"/>
    </row>
    <row r="7220" spans="1:19" ht="21" customHeight="1" x14ac:dyDescent="0.25">
      <c r="A7220" s="14">
        <f>DATE(2012,12,31)-632</f>
        <v>40642</v>
      </c>
      <c r="B7220" s="15" t="s">
        <v>116</v>
      </c>
      <c r="C7220" s="15" t="s">
        <v>43</v>
      </c>
      <c r="D7220" s="16">
        <v>38</v>
      </c>
      <c r="E7220" s="17">
        <v>4992.63</v>
      </c>
      <c r="F7220" s="16">
        <v>7.0000000000000007E-2</v>
      </c>
      <c r="G7220" s="15" t="s">
        <v>101</v>
      </c>
      <c r="H7220" s="18">
        <v>44.13</v>
      </c>
      <c r="I7220" s="19">
        <v>140.85</v>
      </c>
      <c r="J7220" s="19">
        <v>19.989999999999998</v>
      </c>
      <c r="K7220" s="19" t="s">
        <v>69</v>
      </c>
      <c r="L7220" s="19" t="s">
        <v>215</v>
      </c>
      <c r="M7220" s="15" t="s">
        <v>2322</v>
      </c>
      <c r="N7220" s="15" t="s">
        <v>36</v>
      </c>
      <c r="O7220" s="15" t="s">
        <v>37</v>
      </c>
      <c r="P7220" s="20" t="s">
        <v>1472</v>
      </c>
      <c r="Q7220" s="15" t="s">
        <v>83</v>
      </c>
      <c r="R7220" s="4"/>
      <c r="S7220" s="4"/>
    </row>
    <row r="7221" spans="1:19" ht="21" customHeight="1" x14ac:dyDescent="0.25">
      <c r="A7221" s="14">
        <f>DATE(2012,12,31)-477</f>
        <v>40797</v>
      </c>
      <c r="B7221" s="15" t="s">
        <v>116</v>
      </c>
      <c r="C7221" s="15" t="s">
        <v>31</v>
      </c>
      <c r="D7221" s="16">
        <v>42</v>
      </c>
      <c r="E7221" s="17">
        <v>248.92</v>
      </c>
      <c r="F7221" s="16">
        <v>0.01</v>
      </c>
      <c r="G7221" s="15" t="s">
        <v>32</v>
      </c>
      <c r="H7221" s="18">
        <v>-66.87</v>
      </c>
      <c r="I7221" s="19">
        <v>5.58</v>
      </c>
      <c r="J7221" s="19">
        <v>5.3</v>
      </c>
      <c r="K7221" s="19" t="s">
        <v>69</v>
      </c>
      <c r="L7221" s="19" t="s">
        <v>215</v>
      </c>
      <c r="M7221" s="15" t="s">
        <v>2322</v>
      </c>
      <c r="N7221" s="15" t="s">
        <v>36</v>
      </c>
      <c r="O7221" s="15" t="s">
        <v>189</v>
      </c>
      <c r="P7221" s="20" t="s">
        <v>1811</v>
      </c>
      <c r="Q7221" s="15" t="s">
        <v>83</v>
      </c>
      <c r="R7221" s="4"/>
      <c r="S7221" s="4"/>
    </row>
    <row r="7222" spans="1:19" ht="21" customHeight="1" x14ac:dyDescent="0.25">
      <c r="A7222" s="14">
        <f>DATE(2012,12,31)-653</f>
        <v>40621</v>
      </c>
      <c r="B7222" s="15" t="s">
        <v>1329</v>
      </c>
      <c r="C7222" s="15" t="s">
        <v>43</v>
      </c>
      <c r="D7222" s="16">
        <v>35</v>
      </c>
      <c r="E7222" s="17">
        <v>133.07</v>
      </c>
      <c r="F7222" s="16">
        <v>0.02</v>
      </c>
      <c r="G7222" s="15" t="s">
        <v>32</v>
      </c>
      <c r="H7222" s="18">
        <v>-15.96</v>
      </c>
      <c r="I7222" s="19">
        <v>3.74</v>
      </c>
      <c r="J7222" s="19">
        <v>0.94</v>
      </c>
      <c r="K7222" s="19" t="s">
        <v>69</v>
      </c>
      <c r="L7222" s="19" t="s">
        <v>215</v>
      </c>
      <c r="M7222" s="15" t="s">
        <v>2322</v>
      </c>
      <c r="N7222" s="15" t="s">
        <v>36</v>
      </c>
      <c r="O7222" s="15" t="s">
        <v>105</v>
      </c>
      <c r="P7222" s="20" t="s">
        <v>805</v>
      </c>
      <c r="Q7222" s="15" t="s">
        <v>79</v>
      </c>
      <c r="R7222" s="4"/>
      <c r="S7222" s="4"/>
    </row>
    <row r="7223" spans="1:19" ht="21" customHeight="1" x14ac:dyDescent="0.25">
      <c r="A7223" s="14">
        <f>DATE(2012,12,31)-1213</f>
        <v>40061</v>
      </c>
      <c r="B7223" s="15" t="s">
        <v>1329</v>
      </c>
      <c r="C7223" s="15" t="s">
        <v>43</v>
      </c>
      <c r="D7223" s="16">
        <v>33</v>
      </c>
      <c r="E7223" s="17">
        <v>194.09</v>
      </c>
      <c r="F7223" s="16">
        <v>0.03</v>
      </c>
      <c r="G7223" s="15" t="s">
        <v>32</v>
      </c>
      <c r="H7223" s="18">
        <v>-63.35</v>
      </c>
      <c r="I7223" s="19">
        <v>5.78</v>
      </c>
      <c r="J7223" s="19">
        <v>5.37</v>
      </c>
      <c r="K7223" s="19" t="s">
        <v>111</v>
      </c>
      <c r="L7223" s="19" t="s">
        <v>407</v>
      </c>
      <c r="M7223" s="15" t="s">
        <v>407</v>
      </c>
      <c r="N7223" s="15" t="s">
        <v>36</v>
      </c>
      <c r="O7223" s="15" t="s">
        <v>117</v>
      </c>
      <c r="P7223" s="20" t="s">
        <v>694</v>
      </c>
      <c r="Q7223" s="15" t="s">
        <v>83</v>
      </c>
      <c r="R7223" s="4"/>
      <c r="S7223" s="4"/>
    </row>
    <row r="7224" spans="1:19" ht="21" customHeight="1" x14ac:dyDescent="0.25">
      <c r="A7224" s="14">
        <f>DATE(2012,12,31)-179</f>
        <v>41095</v>
      </c>
      <c r="B7224" s="15" t="s">
        <v>2000</v>
      </c>
      <c r="C7224" s="15" t="s">
        <v>85</v>
      </c>
      <c r="D7224" s="16">
        <v>3</v>
      </c>
      <c r="E7224" s="17">
        <v>12.11</v>
      </c>
      <c r="F7224" s="16">
        <v>0.02</v>
      </c>
      <c r="G7224" s="15" t="s">
        <v>32</v>
      </c>
      <c r="H7224" s="18">
        <v>-0.98</v>
      </c>
      <c r="I7224" s="19">
        <v>3.69</v>
      </c>
      <c r="J7224" s="19">
        <v>0.5</v>
      </c>
      <c r="K7224" s="19" t="s">
        <v>111</v>
      </c>
      <c r="L7224" s="19" t="s">
        <v>407</v>
      </c>
      <c r="M7224" s="15" t="s">
        <v>407</v>
      </c>
      <c r="N7224" s="15" t="s">
        <v>36</v>
      </c>
      <c r="O7224" s="15" t="s">
        <v>114</v>
      </c>
      <c r="P7224" s="20" t="s">
        <v>750</v>
      </c>
      <c r="Q7224" s="15" t="s">
        <v>83</v>
      </c>
      <c r="R7224" s="4"/>
      <c r="S7224" s="4"/>
    </row>
    <row r="7225" spans="1:19" ht="21" customHeight="1" x14ac:dyDescent="0.25">
      <c r="A7225" s="14">
        <f>DATE(2012,12,31)-681</f>
        <v>40593</v>
      </c>
      <c r="B7225" s="15" t="s">
        <v>2000</v>
      </c>
      <c r="C7225" s="15" t="s">
        <v>85</v>
      </c>
      <c r="D7225" s="16">
        <v>4</v>
      </c>
      <c r="E7225" s="17">
        <v>3465.97</v>
      </c>
      <c r="F7225" s="16">
        <v>0.08</v>
      </c>
      <c r="G7225" s="15" t="s">
        <v>32</v>
      </c>
      <c r="H7225" s="18">
        <v>194.31850000000003</v>
      </c>
      <c r="I7225" s="19">
        <v>896.99</v>
      </c>
      <c r="J7225" s="19">
        <v>19.989999999999998</v>
      </c>
      <c r="K7225" s="19" t="s">
        <v>44</v>
      </c>
      <c r="L7225" s="19" t="s">
        <v>45</v>
      </c>
      <c r="M7225" s="15" t="s">
        <v>2271</v>
      </c>
      <c r="N7225" s="15" t="s">
        <v>36</v>
      </c>
      <c r="O7225" s="15" t="s">
        <v>170</v>
      </c>
      <c r="P7225" s="20" t="s">
        <v>434</v>
      </c>
      <c r="Q7225" s="15" t="s">
        <v>83</v>
      </c>
      <c r="R7225" s="4"/>
      <c r="S7225" s="4"/>
    </row>
    <row r="7226" spans="1:19" ht="21" customHeight="1" x14ac:dyDescent="0.25">
      <c r="A7226" s="14">
        <f>DATE(2012,12,31)-681</f>
        <v>40593</v>
      </c>
      <c r="B7226" s="15" t="s">
        <v>2000</v>
      </c>
      <c r="C7226" s="15" t="s">
        <v>85</v>
      </c>
      <c r="D7226" s="16">
        <v>13</v>
      </c>
      <c r="E7226" s="17">
        <v>1307.8800000000001</v>
      </c>
      <c r="F7226" s="16">
        <v>0.06</v>
      </c>
      <c r="G7226" s="15" t="s">
        <v>32</v>
      </c>
      <c r="H7226" s="18">
        <v>206.86</v>
      </c>
      <c r="I7226" s="19">
        <v>100.97</v>
      </c>
      <c r="J7226" s="19">
        <v>7.18</v>
      </c>
      <c r="K7226" s="19" t="s">
        <v>44</v>
      </c>
      <c r="L7226" s="19" t="s">
        <v>89</v>
      </c>
      <c r="M7226" s="15" t="s">
        <v>2337</v>
      </c>
      <c r="N7226" s="15" t="s">
        <v>64</v>
      </c>
      <c r="O7226" s="15" t="s">
        <v>72</v>
      </c>
      <c r="P7226" s="20" t="s">
        <v>2225</v>
      </c>
      <c r="Q7226" s="15" t="s">
        <v>83</v>
      </c>
      <c r="R7226" s="4"/>
      <c r="S7226" s="4"/>
    </row>
    <row r="7227" spans="1:19" ht="21" customHeight="1" x14ac:dyDescent="0.25">
      <c r="A7227" s="14">
        <f>DATE(2012,12,31)-891</f>
        <v>40383</v>
      </c>
      <c r="B7227" s="15" t="s">
        <v>2000</v>
      </c>
      <c r="C7227" s="15" t="s">
        <v>31</v>
      </c>
      <c r="D7227" s="16">
        <v>26</v>
      </c>
      <c r="E7227" s="17">
        <v>1846.2</v>
      </c>
      <c r="F7227" s="16">
        <v>0.04</v>
      </c>
      <c r="G7227" s="15" t="s">
        <v>58</v>
      </c>
      <c r="H7227" s="18">
        <v>-584.92999999999995</v>
      </c>
      <c r="I7227" s="19">
        <v>68.81</v>
      </c>
      <c r="J7227" s="19">
        <v>60</v>
      </c>
      <c r="K7227" s="19" t="s">
        <v>44</v>
      </c>
      <c r="L7227" s="19" t="s">
        <v>89</v>
      </c>
      <c r="M7227" s="15" t="s">
        <v>2337</v>
      </c>
      <c r="N7227" s="15" t="s">
        <v>36</v>
      </c>
      <c r="O7227" s="15" t="s">
        <v>176</v>
      </c>
      <c r="P7227" s="20" t="s">
        <v>557</v>
      </c>
      <c r="Q7227" s="15" t="s">
        <v>181</v>
      </c>
      <c r="R7227" s="4"/>
      <c r="S7227" s="4"/>
    </row>
    <row r="7228" spans="1:19" ht="21" customHeight="1" x14ac:dyDescent="0.25">
      <c r="A7228" s="14">
        <f>DATE(2012,12,31)-891</f>
        <v>40383</v>
      </c>
      <c r="B7228" s="15" t="s">
        <v>50</v>
      </c>
      <c r="C7228" s="15" t="s">
        <v>31</v>
      </c>
      <c r="D7228" s="16">
        <v>11</v>
      </c>
      <c r="E7228" s="17">
        <v>32.03</v>
      </c>
      <c r="F7228" s="16">
        <v>0.09</v>
      </c>
      <c r="G7228" s="15" t="s">
        <v>32</v>
      </c>
      <c r="H7228" s="18">
        <v>7.41</v>
      </c>
      <c r="I7228" s="19">
        <v>3.15</v>
      </c>
      <c r="J7228" s="19">
        <v>0.5</v>
      </c>
      <c r="K7228" s="19" t="s">
        <v>44</v>
      </c>
      <c r="L7228" s="19" t="s">
        <v>120</v>
      </c>
      <c r="M7228" s="15" t="s">
        <v>2262</v>
      </c>
      <c r="N7228" s="15" t="s">
        <v>36</v>
      </c>
      <c r="O7228" s="15" t="s">
        <v>114</v>
      </c>
      <c r="P7228" s="20" t="s">
        <v>363</v>
      </c>
      <c r="Q7228" s="15" t="s">
        <v>83</v>
      </c>
      <c r="R7228" s="4"/>
      <c r="S7228" s="4"/>
    </row>
    <row r="7229" spans="1:19" ht="21" customHeight="1" x14ac:dyDescent="0.25">
      <c r="A7229" s="14">
        <f>DATE(2012,12,31)-891</f>
        <v>40383</v>
      </c>
      <c r="B7229" s="15" t="s">
        <v>50</v>
      </c>
      <c r="C7229" s="15" t="s">
        <v>31</v>
      </c>
      <c r="D7229" s="16">
        <v>44</v>
      </c>
      <c r="E7229" s="17">
        <v>185.82</v>
      </c>
      <c r="F7229" s="16">
        <v>0.05</v>
      </c>
      <c r="G7229" s="15" t="s">
        <v>101</v>
      </c>
      <c r="H7229" s="18">
        <v>11.45</v>
      </c>
      <c r="I7229" s="19">
        <v>4.2</v>
      </c>
      <c r="J7229" s="19">
        <v>2.2599999999999998</v>
      </c>
      <c r="K7229" s="19" t="s">
        <v>44</v>
      </c>
      <c r="L7229" s="19" t="s">
        <v>89</v>
      </c>
      <c r="M7229" s="15" t="s">
        <v>2337</v>
      </c>
      <c r="N7229" s="15" t="s">
        <v>36</v>
      </c>
      <c r="O7229" s="15" t="s">
        <v>117</v>
      </c>
      <c r="P7229" s="20" t="s">
        <v>803</v>
      </c>
      <c r="Q7229" s="15" t="s">
        <v>79</v>
      </c>
      <c r="R7229" s="4"/>
      <c r="S7229" s="4"/>
    </row>
    <row r="7230" spans="1:19" ht="21" customHeight="1" x14ac:dyDescent="0.25">
      <c r="A7230" s="14">
        <f>DATE(2012,12,31)-891</f>
        <v>40383</v>
      </c>
      <c r="B7230" s="15" t="s">
        <v>1987</v>
      </c>
      <c r="C7230" s="15" t="s">
        <v>31</v>
      </c>
      <c r="D7230" s="16">
        <v>42</v>
      </c>
      <c r="E7230" s="17">
        <v>372.69</v>
      </c>
      <c r="F7230" s="16">
        <v>0.01</v>
      </c>
      <c r="G7230" s="15" t="s">
        <v>101</v>
      </c>
      <c r="H7230" s="18">
        <v>-177.03100000000001</v>
      </c>
      <c r="I7230" s="19">
        <v>8.0399999999999991</v>
      </c>
      <c r="J7230" s="19">
        <v>8.94</v>
      </c>
      <c r="K7230" s="19" t="s">
        <v>44</v>
      </c>
      <c r="L7230" s="19" t="s">
        <v>120</v>
      </c>
      <c r="M7230" s="15" t="s">
        <v>2262</v>
      </c>
      <c r="N7230" s="15" t="s">
        <v>36</v>
      </c>
      <c r="O7230" s="15" t="s">
        <v>170</v>
      </c>
      <c r="P7230" s="20" t="s">
        <v>604</v>
      </c>
      <c r="Q7230" s="15" t="s">
        <v>83</v>
      </c>
      <c r="R7230" s="4"/>
      <c r="S7230" s="4"/>
    </row>
    <row r="7231" spans="1:19" ht="21" customHeight="1" x14ac:dyDescent="0.25">
      <c r="A7231" s="14">
        <f>DATE(2012,12,31)-416</f>
        <v>40858</v>
      </c>
      <c r="B7231" s="15" t="s">
        <v>410</v>
      </c>
      <c r="C7231" s="15" t="s">
        <v>85</v>
      </c>
      <c r="D7231" s="16">
        <v>13</v>
      </c>
      <c r="E7231" s="17">
        <v>646.54999999999995</v>
      </c>
      <c r="F7231" s="16">
        <v>0.05</v>
      </c>
      <c r="G7231" s="15" t="s">
        <v>32</v>
      </c>
      <c r="H7231" s="18">
        <v>244.13</v>
      </c>
      <c r="I7231" s="19">
        <v>48.04</v>
      </c>
      <c r="J7231" s="19">
        <v>5.79</v>
      </c>
      <c r="K7231" s="19" t="s">
        <v>44</v>
      </c>
      <c r="L7231" s="19" t="s">
        <v>89</v>
      </c>
      <c r="M7231" s="15" t="s">
        <v>2337</v>
      </c>
      <c r="N7231" s="15" t="s">
        <v>36</v>
      </c>
      <c r="O7231" s="15" t="s">
        <v>117</v>
      </c>
      <c r="P7231" s="20" t="s">
        <v>1984</v>
      </c>
      <c r="Q7231" s="15" t="s">
        <v>83</v>
      </c>
      <c r="R7231" s="4"/>
      <c r="S7231" s="4"/>
    </row>
    <row r="7232" spans="1:19" ht="21" customHeight="1" x14ac:dyDescent="0.25">
      <c r="A7232" s="14">
        <f>DATE(2012,12,31)-416</f>
        <v>40858</v>
      </c>
      <c r="B7232" s="15" t="s">
        <v>410</v>
      </c>
      <c r="C7232" s="15" t="s">
        <v>85</v>
      </c>
      <c r="D7232" s="16">
        <v>10</v>
      </c>
      <c r="E7232" s="17">
        <v>1875.18</v>
      </c>
      <c r="F7232" s="16">
        <v>0.01</v>
      </c>
      <c r="G7232" s="15" t="s">
        <v>58</v>
      </c>
      <c r="H7232" s="18">
        <v>-433.29014300000011</v>
      </c>
      <c r="I7232" s="19">
        <v>179.29</v>
      </c>
      <c r="J7232" s="19">
        <v>29.21</v>
      </c>
      <c r="K7232" s="19" t="s">
        <v>44</v>
      </c>
      <c r="L7232" s="19" t="s">
        <v>80</v>
      </c>
      <c r="M7232" s="15" t="s">
        <v>2339</v>
      </c>
      <c r="N7232" s="15" t="s">
        <v>54</v>
      </c>
      <c r="O7232" s="15" t="s">
        <v>61</v>
      </c>
      <c r="P7232" s="20" t="s">
        <v>1783</v>
      </c>
      <c r="Q7232" s="15" t="s">
        <v>63</v>
      </c>
      <c r="R7232" s="4"/>
      <c r="S7232" s="4"/>
    </row>
    <row r="7233" spans="1:19" ht="21" customHeight="1" x14ac:dyDescent="0.25">
      <c r="A7233" s="14">
        <f>DATE(2012,12,31)-416</f>
        <v>40858</v>
      </c>
      <c r="B7233" s="15" t="s">
        <v>1671</v>
      </c>
      <c r="C7233" s="15" t="s">
        <v>85</v>
      </c>
      <c r="D7233" s="16">
        <v>47</v>
      </c>
      <c r="E7233" s="17">
        <v>3587.72</v>
      </c>
      <c r="F7233" s="16">
        <v>0</v>
      </c>
      <c r="G7233" s="15" t="s">
        <v>58</v>
      </c>
      <c r="H7233" s="18">
        <v>54.230849999999997</v>
      </c>
      <c r="I7233" s="19">
        <v>70.89</v>
      </c>
      <c r="J7233" s="19">
        <v>89.3</v>
      </c>
      <c r="K7233" s="19" t="s">
        <v>44</v>
      </c>
      <c r="L7233" s="19" t="s">
        <v>89</v>
      </c>
      <c r="M7233" s="15" t="s">
        <v>2337</v>
      </c>
      <c r="N7233" s="15" t="s">
        <v>54</v>
      </c>
      <c r="O7233" s="15" t="s">
        <v>61</v>
      </c>
      <c r="P7233" s="20" t="s">
        <v>878</v>
      </c>
      <c r="Q7233" s="15" t="s">
        <v>63</v>
      </c>
      <c r="R7233" s="4"/>
      <c r="S7233" s="4"/>
    </row>
    <row r="7234" spans="1:19" ht="21" customHeight="1" x14ac:dyDescent="0.25">
      <c r="A7234" s="14">
        <f>DATE(2012,12,31)-10</f>
        <v>41264</v>
      </c>
      <c r="B7234" s="15" t="s">
        <v>1671</v>
      </c>
      <c r="C7234" s="15" t="s">
        <v>43</v>
      </c>
      <c r="D7234" s="16">
        <v>13</v>
      </c>
      <c r="E7234" s="17">
        <v>1390.17</v>
      </c>
      <c r="F7234" s="16">
        <v>7.0000000000000007E-2</v>
      </c>
      <c r="G7234" s="15" t="s">
        <v>32</v>
      </c>
      <c r="H7234" s="18">
        <v>-469.84</v>
      </c>
      <c r="I7234" s="19">
        <v>110.98</v>
      </c>
      <c r="J7234" s="19">
        <v>35</v>
      </c>
      <c r="K7234" s="19" t="s">
        <v>44</v>
      </c>
      <c r="L7234" s="19" t="s">
        <v>89</v>
      </c>
      <c r="M7234" s="15" t="s">
        <v>2337</v>
      </c>
      <c r="N7234" s="15" t="s">
        <v>36</v>
      </c>
      <c r="O7234" s="15" t="s">
        <v>37</v>
      </c>
      <c r="P7234" s="20" t="s">
        <v>2340</v>
      </c>
      <c r="Q7234" s="15" t="s">
        <v>39</v>
      </c>
      <c r="R7234" s="4"/>
      <c r="S7234" s="4"/>
    </row>
    <row r="7235" spans="1:19" ht="21" customHeight="1" x14ac:dyDescent="0.25">
      <c r="A7235" s="14">
        <f>DATE(2012,12,31)-829</f>
        <v>40445</v>
      </c>
      <c r="B7235" s="15" t="s">
        <v>1100</v>
      </c>
      <c r="C7235" s="15" t="s">
        <v>85</v>
      </c>
      <c r="D7235" s="16">
        <v>13</v>
      </c>
      <c r="E7235" s="17">
        <v>104.51</v>
      </c>
      <c r="F7235" s="16">
        <v>0.04</v>
      </c>
      <c r="G7235" s="15" t="s">
        <v>32</v>
      </c>
      <c r="H7235" s="18">
        <v>-9.2805</v>
      </c>
      <c r="I7235" s="19">
        <v>7.84</v>
      </c>
      <c r="J7235" s="19">
        <v>4.71</v>
      </c>
      <c r="K7235" s="19" t="s">
        <v>44</v>
      </c>
      <c r="L7235" s="19" t="s">
        <v>45</v>
      </c>
      <c r="M7235" s="15" t="s">
        <v>2271</v>
      </c>
      <c r="N7235" s="15" t="s">
        <v>36</v>
      </c>
      <c r="O7235" s="15" t="s">
        <v>170</v>
      </c>
      <c r="P7235" s="20" t="s">
        <v>2277</v>
      </c>
      <c r="Q7235" s="15" t="s">
        <v>83</v>
      </c>
      <c r="R7235" s="4"/>
      <c r="S7235" s="4"/>
    </row>
    <row r="7236" spans="1:19" ht="21" customHeight="1" x14ac:dyDescent="0.25">
      <c r="A7236" s="14">
        <f>DATE(2012,12,31)-1315</f>
        <v>39959</v>
      </c>
      <c r="B7236" s="15" t="s">
        <v>620</v>
      </c>
      <c r="C7236" s="15" t="s">
        <v>31</v>
      </c>
      <c r="D7236" s="16">
        <v>37</v>
      </c>
      <c r="E7236" s="17">
        <v>227.5</v>
      </c>
      <c r="F7236" s="16">
        <v>0.01</v>
      </c>
      <c r="G7236" s="15" t="s">
        <v>32</v>
      </c>
      <c r="H7236" s="18">
        <v>-256.51900000000001</v>
      </c>
      <c r="I7236" s="19">
        <v>5.94</v>
      </c>
      <c r="J7236" s="19">
        <v>9.92</v>
      </c>
      <c r="K7236" s="19" t="s">
        <v>44</v>
      </c>
      <c r="L7236" s="19" t="s">
        <v>89</v>
      </c>
      <c r="M7236" s="15" t="s">
        <v>2337</v>
      </c>
      <c r="N7236" s="15" t="s">
        <v>36</v>
      </c>
      <c r="O7236" s="15" t="s">
        <v>170</v>
      </c>
      <c r="P7236" s="20" t="s">
        <v>1877</v>
      </c>
      <c r="Q7236" s="15" t="s">
        <v>83</v>
      </c>
      <c r="R7236" s="4"/>
      <c r="S7236" s="4"/>
    </row>
    <row r="7237" spans="1:19" ht="21" customHeight="1" x14ac:dyDescent="0.25">
      <c r="A7237" s="14">
        <f>DATE(2012,12,31)-1315</f>
        <v>39959</v>
      </c>
      <c r="B7237" s="15" t="s">
        <v>2116</v>
      </c>
      <c r="C7237" s="15" t="s">
        <v>31</v>
      </c>
      <c r="D7237" s="16">
        <v>21</v>
      </c>
      <c r="E7237" s="17">
        <v>2292.1015000000002</v>
      </c>
      <c r="F7237" s="16">
        <v>0.02</v>
      </c>
      <c r="G7237" s="15" t="s">
        <v>32</v>
      </c>
      <c r="H7237" s="18">
        <v>398.358</v>
      </c>
      <c r="I7237" s="19">
        <v>125.99</v>
      </c>
      <c r="J7237" s="19">
        <v>3</v>
      </c>
      <c r="K7237" s="19" t="s">
        <v>44</v>
      </c>
      <c r="L7237" s="19" t="s">
        <v>45</v>
      </c>
      <c r="M7237" s="15" t="s">
        <v>2271</v>
      </c>
      <c r="N7237" s="15" t="s">
        <v>64</v>
      </c>
      <c r="O7237" s="15" t="s">
        <v>65</v>
      </c>
      <c r="P7237" s="20" t="s">
        <v>211</v>
      </c>
      <c r="Q7237" s="15" t="s">
        <v>83</v>
      </c>
      <c r="R7237" s="4"/>
      <c r="S7237" s="4"/>
    </row>
    <row r="7238" spans="1:19" ht="21" customHeight="1" x14ac:dyDescent="0.25">
      <c r="A7238" s="14">
        <f>DATE(2012,12,31)-399</f>
        <v>40875</v>
      </c>
      <c r="B7238" s="15" t="s">
        <v>2116</v>
      </c>
      <c r="C7238" s="15" t="s">
        <v>31</v>
      </c>
      <c r="D7238" s="16">
        <v>1</v>
      </c>
      <c r="E7238" s="17">
        <v>54.22</v>
      </c>
      <c r="F7238" s="16">
        <v>0.02</v>
      </c>
      <c r="G7238" s="15" t="s">
        <v>32</v>
      </c>
      <c r="H7238" s="18">
        <v>-19.09</v>
      </c>
      <c r="I7238" s="19">
        <v>48.91</v>
      </c>
      <c r="J7238" s="19">
        <v>5.81</v>
      </c>
      <c r="K7238" s="19" t="s">
        <v>44</v>
      </c>
      <c r="L7238" s="19" t="s">
        <v>120</v>
      </c>
      <c r="M7238" s="15" t="s">
        <v>2262</v>
      </c>
      <c r="N7238" s="15" t="s">
        <v>36</v>
      </c>
      <c r="O7238" s="15" t="s">
        <v>117</v>
      </c>
      <c r="P7238" s="20" t="s">
        <v>771</v>
      </c>
      <c r="Q7238" s="15" t="s">
        <v>83</v>
      </c>
      <c r="R7238" s="4"/>
      <c r="S7238" s="4"/>
    </row>
    <row r="7239" spans="1:19" ht="21" customHeight="1" x14ac:dyDescent="0.25">
      <c r="A7239" s="14">
        <f>DATE(2012,12,31)-399</f>
        <v>40875</v>
      </c>
      <c r="B7239" s="15" t="s">
        <v>2116</v>
      </c>
      <c r="C7239" s="15" t="s">
        <v>31</v>
      </c>
      <c r="D7239" s="16">
        <v>4</v>
      </c>
      <c r="E7239" s="17">
        <v>431.11</v>
      </c>
      <c r="F7239" s="16">
        <v>7.0000000000000007E-2</v>
      </c>
      <c r="G7239" s="15" t="s">
        <v>32</v>
      </c>
      <c r="H7239" s="18">
        <v>-244.33</v>
      </c>
      <c r="I7239" s="19">
        <v>101.41</v>
      </c>
      <c r="J7239" s="19">
        <v>35</v>
      </c>
      <c r="K7239" s="19" t="s">
        <v>44</v>
      </c>
      <c r="L7239" s="19" t="s">
        <v>89</v>
      </c>
      <c r="M7239" s="15" t="s">
        <v>2337</v>
      </c>
      <c r="N7239" s="15" t="s">
        <v>36</v>
      </c>
      <c r="O7239" s="15" t="s">
        <v>37</v>
      </c>
      <c r="P7239" s="20" t="s">
        <v>711</v>
      </c>
      <c r="Q7239" s="15" t="s">
        <v>39</v>
      </c>
      <c r="R7239" s="4"/>
      <c r="S7239" s="4"/>
    </row>
    <row r="7240" spans="1:19" ht="21" customHeight="1" x14ac:dyDescent="0.25">
      <c r="A7240" s="14">
        <f>DATE(2012,12,31)-252</f>
        <v>41022</v>
      </c>
      <c r="B7240" s="15" t="s">
        <v>2116</v>
      </c>
      <c r="C7240" s="15" t="s">
        <v>85</v>
      </c>
      <c r="D7240" s="16">
        <v>10</v>
      </c>
      <c r="E7240" s="17">
        <v>2193.9299999999998</v>
      </c>
      <c r="F7240" s="16">
        <v>0.09</v>
      </c>
      <c r="G7240" s="15" t="s">
        <v>32</v>
      </c>
      <c r="H7240" s="18">
        <v>41.83</v>
      </c>
      <c r="I7240" s="19">
        <v>238.4</v>
      </c>
      <c r="J7240" s="19">
        <v>24.49</v>
      </c>
      <c r="K7240" s="19" t="s">
        <v>44</v>
      </c>
      <c r="L7240" s="19" t="s">
        <v>120</v>
      </c>
      <c r="M7240" s="15" t="s">
        <v>2262</v>
      </c>
      <c r="N7240" s="15" t="s">
        <v>54</v>
      </c>
      <c r="O7240" s="15" t="s">
        <v>252</v>
      </c>
      <c r="P7240" s="20" t="s">
        <v>1466</v>
      </c>
      <c r="Q7240" s="15" t="s">
        <v>39</v>
      </c>
      <c r="R7240" s="4"/>
      <c r="S7240" s="4"/>
    </row>
    <row r="7241" spans="1:19" ht="21" customHeight="1" x14ac:dyDescent="0.25">
      <c r="A7241" s="14">
        <f>DATE(2012,12,31)-252</f>
        <v>41022</v>
      </c>
      <c r="B7241" s="15" t="s">
        <v>787</v>
      </c>
      <c r="C7241" s="15" t="s">
        <v>85</v>
      </c>
      <c r="D7241" s="16">
        <v>11</v>
      </c>
      <c r="E7241" s="17">
        <v>812.49799999999993</v>
      </c>
      <c r="F7241" s="16">
        <v>0</v>
      </c>
      <c r="G7241" s="15" t="s">
        <v>101</v>
      </c>
      <c r="H7241" s="18">
        <v>128.952</v>
      </c>
      <c r="I7241" s="19">
        <v>85.99</v>
      </c>
      <c r="J7241" s="19">
        <v>1.25</v>
      </c>
      <c r="K7241" s="19" t="s">
        <v>44</v>
      </c>
      <c r="L7241" s="19" t="s">
        <v>89</v>
      </c>
      <c r="M7241" s="15" t="s">
        <v>2337</v>
      </c>
      <c r="N7241" s="15" t="s">
        <v>64</v>
      </c>
      <c r="O7241" s="15" t="s">
        <v>65</v>
      </c>
      <c r="P7241" s="20" t="s">
        <v>515</v>
      </c>
      <c r="Q7241" s="15" t="s">
        <v>49</v>
      </c>
      <c r="R7241" s="4"/>
      <c r="S7241" s="4"/>
    </row>
    <row r="7242" spans="1:19" ht="21" customHeight="1" x14ac:dyDescent="0.25">
      <c r="A7242" s="14">
        <f>DATE(2012,12,31)-252</f>
        <v>41022</v>
      </c>
      <c r="B7242" s="15" t="s">
        <v>1030</v>
      </c>
      <c r="C7242" s="15" t="s">
        <v>85</v>
      </c>
      <c r="D7242" s="16">
        <v>37</v>
      </c>
      <c r="E7242" s="17">
        <v>4657.6514999999999</v>
      </c>
      <c r="F7242" s="16">
        <v>0.06</v>
      </c>
      <c r="G7242" s="15" t="s">
        <v>32</v>
      </c>
      <c r="H7242" s="18">
        <v>1242.846</v>
      </c>
      <c r="I7242" s="19">
        <v>155.99</v>
      </c>
      <c r="J7242" s="19">
        <v>3.9</v>
      </c>
      <c r="K7242" s="19" t="s">
        <v>44</v>
      </c>
      <c r="L7242" s="19" t="s">
        <v>120</v>
      </c>
      <c r="M7242" s="15" t="s">
        <v>2262</v>
      </c>
      <c r="N7242" s="15" t="s">
        <v>64</v>
      </c>
      <c r="O7242" s="15" t="s">
        <v>65</v>
      </c>
      <c r="P7242" s="20" t="s">
        <v>858</v>
      </c>
      <c r="Q7242" s="15" t="s">
        <v>83</v>
      </c>
      <c r="R7242" s="4"/>
      <c r="S7242" s="4"/>
    </row>
    <row r="7243" spans="1:19" ht="21" customHeight="1" x14ac:dyDescent="0.25">
      <c r="A7243" s="14">
        <f>DATE(2012,12,31)-1335</f>
        <v>39939</v>
      </c>
      <c r="B7243" s="15" t="s">
        <v>820</v>
      </c>
      <c r="C7243" s="15" t="s">
        <v>51</v>
      </c>
      <c r="D7243" s="16">
        <v>29</v>
      </c>
      <c r="E7243" s="17">
        <v>265.92</v>
      </c>
      <c r="F7243" s="16">
        <v>0.04</v>
      </c>
      <c r="G7243" s="15" t="s">
        <v>32</v>
      </c>
      <c r="H7243" s="18">
        <v>79.67</v>
      </c>
      <c r="I7243" s="19">
        <v>9.11</v>
      </c>
      <c r="J7243" s="19">
        <v>2.15</v>
      </c>
      <c r="K7243" s="19" t="s">
        <v>44</v>
      </c>
      <c r="L7243" s="19" t="s">
        <v>120</v>
      </c>
      <c r="M7243" s="15" t="s">
        <v>2262</v>
      </c>
      <c r="N7243" s="15" t="s">
        <v>36</v>
      </c>
      <c r="O7243" s="15" t="s">
        <v>117</v>
      </c>
      <c r="P7243" s="20" t="s">
        <v>1565</v>
      </c>
      <c r="Q7243" s="15" t="s">
        <v>79</v>
      </c>
      <c r="R7243" s="4"/>
      <c r="S7243" s="4"/>
    </row>
    <row r="7244" spans="1:19" ht="21" customHeight="1" x14ac:dyDescent="0.25">
      <c r="A7244" s="14">
        <f>DATE(2012,12,31)-300</f>
        <v>40974</v>
      </c>
      <c r="B7244" s="15" t="s">
        <v>820</v>
      </c>
      <c r="C7244" s="15" t="s">
        <v>85</v>
      </c>
      <c r="D7244" s="16">
        <v>2</v>
      </c>
      <c r="E7244" s="17">
        <v>95.055499999999995</v>
      </c>
      <c r="F7244" s="16">
        <v>0.1</v>
      </c>
      <c r="G7244" s="15" t="s">
        <v>32</v>
      </c>
      <c r="H7244" s="18">
        <v>-298.166</v>
      </c>
      <c r="I7244" s="19">
        <v>55.99</v>
      </c>
      <c r="J7244" s="19">
        <v>5</v>
      </c>
      <c r="K7244" s="19" t="s">
        <v>44</v>
      </c>
      <c r="L7244" s="19" t="s">
        <v>120</v>
      </c>
      <c r="M7244" s="15" t="s">
        <v>2262</v>
      </c>
      <c r="N7244" s="15" t="s">
        <v>64</v>
      </c>
      <c r="O7244" s="15" t="s">
        <v>65</v>
      </c>
      <c r="P7244" s="20" t="s">
        <v>1047</v>
      </c>
      <c r="Q7244" s="15" t="s">
        <v>49</v>
      </c>
      <c r="R7244" s="4"/>
      <c r="S7244" s="4"/>
    </row>
    <row r="7245" spans="1:19" ht="21" customHeight="1" x14ac:dyDescent="0.25">
      <c r="A7245" s="14">
        <f>DATE(2012,12,31)-860</f>
        <v>40414</v>
      </c>
      <c r="B7245" s="15" t="s">
        <v>2133</v>
      </c>
      <c r="C7245" s="15" t="s">
        <v>43</v>
      </c>
      <c r="D7245" s="16">
        <v>26</v>
      </c>
      <c r="E7245" s="17">
        <v>1382.31</v>
      </c>
      <c r="F7245" s="16">
        <v>0.03</v>
      </c>
      <c r="G7245" s="15" t="s">
        <v>32</v>
      </c>
      <c r="H7245" s="18">
        <v>372.26</v>
      </c>
      <c r="I7245" s="19">
        <v>51.94</v>
      </c>
      <c r="J7245" s="19">
        <v>19.989999999999998</v>
      </c>
      <c r="K7245" s="19" t="s">
        <v>44</v>
      </c>
      <c r="L7245" s="19" t="s">
        <v>120</v>
      </c>
      <c r="M7245" s="15" t="s">
        <v>2262</v>
      </c>
      <c r="N7245" s="15" t="s">
        <v>54</v>
      </c>
      <c r="O7245" s="15" t="s">
        <v>55</v>
      </c>
      <c r="P7245" s="20" t="s">
        <v>1347</v>
      </c>
      <c r="Q7245" s="15" t="s">
        <v>83</v>
      </c>
      <c r="R7245" s="4"/>
      <c r="S7245" s="4"/>
    </row>
    <row r="7246" spans="1:19" ht="21" customHeight="1" x14ac:dyDescent="0.25">
      <c r="A7246" s="14">
        <f>DATE(2012,12,31)-860</f>
        <v>40414</v>
      </c>
      <c r="B7246" s="15" t="s">
        <v>2133</v>
      </c>
      <c r="C7246" s="15" t="s">
        <v>43</v>
      </c>
      <c r="D7246" s="16">
        <v>46</v>
      </c>
      <c r="E7246" s="17">
        <v>991.36</v>
      </c>
      <c r="F7246" s="16">
        <v>0.01</v>
      </c>
      <c r="G7246" s="15" t="s">
        <v>32</v>
      </c>
      <c r="H7246" s="18">
        <v>212.06</v>
      </c>
      <c r="I7246" s="19">
        <v>19.98</v>
      </c>
      <c r="J7246" s="19">
        <v>8.68</v>
      </c>
      <c r="K7246" s="19" t="s">
        <v>44</v>
      </c>
      <c r="L7246" s="19" t="s">
        <v>80</v>
      </c>
      <c r="M7246" s="15" t="s">
        <v>2339</v>
      </c>
      <c r="N7246" s="15" t="s">
        <v>36</v>
      </c>
      <c r="O7246" s="15" t="s">
        <v>117</v>
      </c>
      <c r="P7246" s="20" t="s">
        <v>1865</v>
      </c>
      <c r="Q7246" s="15" t="s">
        <v>83</v>
      </c>
      <c r="R7246" s="4"/>
      <c r="S7246" s="4"/>
    </row>
    <row r="7247" spans="1:19" ht="21" customHeight="1" x14ac:dyDescent="0.25">
      <c r="A7247" s="14">
        <f>DATE(2012,12,31)-487</f>
        <v>40787</v>
      </c>
      <c r="B7247" s="15" t="s">
        <v>2133</v>
      </c>
      <c r="C7247" s="15" t="s">
        <v>51</v>
      </c>
      <c r="D7247" s="16">
        <v>24</v>
      </c>
      <c r="E7247" s="17">
        <v>206.34</v>
      </c>
      <c r="F7247" s="16">
        <v>0.04</v>
      </c>
      <c r="G7247" s="15" t="s">
        <v>32</v>
      </c>
      <c r="H7247" s="18">
        <v>-38.229999999999997</v>
      </c>
      <c r="I7247" s="19">
        <v>8.4600000000000009</v>
      </c>
      <c r="J7247" s="19">
        <v>3.62</v>
      </c>
      <c r="K7247" s="19" t="s">
        <v>44</v>
      </c>
      <c r="L7247" s="19" t="s">
        <v>120</v>
      </c>
      <c r="M7247" s="15" t="s">
        <v>2262</v>
      </c>
      <c r="N7247" s="15" t="s">
        <v>64</v>
      </c>
      <c r="O7247" s="15" t="s">
        <v>72</v>
      </c>
      <c r="P7247" s="20" t="s">
        <v>830</v>
      </c>
      <c r="Q7247" s="15" t="s">
        <v>49</v>
      </c>
      <c r="R7247" s="4"/>
      <c r="S7247" s="4"/>
    </row>
    <row r="7248" spans="1:19" ht="21" customHeight="1" x14ac:dyDescent="0.25">
      <c r="A7248" s="14">
        <f>DATE(2012,12,31)-1403</f>
        <v>39871</v>
      </c>
      <c r="B7248" s="15" t="s">
        <v>2133</v>
      </c>
      <c r="C7248" s="15" t="s">
        <v>51</v>
      </c>
      <c r="D7248" s="16">
        <v>39</v>
      </c>
      <c r="E7248" s="17">
        <v>11613.13</v>
      </c>
      <c r="F7248" s="16">
        <v>0.05</v>
      </c>
      <c r="G7248" s="15" t="s">
        <v>58</v>
      </c>
      <c r="H7248" s="18">
        <v>2816.21</v>
      </c>
      <c r="I7248" s="19">
        <v>294.62</v>
      </c>
      <c r="J7248" s="19">
        <v>42.52</v>
      </c>
      <c r="K7248" s="19" t="s">
        <v>44</v>
      </c>
      <c r="L7248" s="19" t="s">
        <v>89</v>
      </c>
      <c r="M7248" s="15" t="s">
        <v>2337</v>
      </c>
      <c r="N7248" s="15" t="s">
        <v>36</v>
      </c>
      <c r="O7248" s="15" t="s">
        <v>176</v>
      </c>
      <c r="P7248" s="20" t="s">
        <v>304</v>
      </c>
      <c r="Q7248" s="15" t="s">
        <v>181</v>
      </c>
      <c r="R7248" s="4"/>
      <c r="S7248" s="4"/>
    </row>
    <row r="7249" spans="1:19" ht="21" customHeight="1" x14ac:dyDescent="0.25">
      <c r="A7249" s="14">
        <f>DATE(2012,12,31)-594</f>
        <v>40680</v>
      </c>
      <c r="B7249" s="15" t="s">
        <v>2133</v>
      </c>
      <c r="C7249" s="15" t="s">
        <v>31</v>
      </c>
      <c r="D7249" s="16">
        <v>5</v>
      </c>
      <c r="E7249" s="17">
        <v>503.32749999999999</v>
      </c>
      <c r="F7249" s="16">
        <v>0.06</v>
      </c>
      <c r="G7249" s="15" t="s">
        <v>32</v>
      </c>
      <c r="H7249" s="18">
        <v>-488.31200000000001</v>
      </c>
      <c r="I7249" s="19">
        <v>125.99</v>
      </c>
      <c r="J7249" s="19">
        <v>5.63</v>
      </c>
      <c r="K7249" s="19" t="s">
        <v>124</v>
      </c>
      <c r="L7249" s="19" t="s">
        <v>125</v>
      </c>
      <c r="M7249" s="15" t="s">
        <v>2325</v>
      </c>
      <c r="N7249" s="15" t="s">
        <v>64</v>
      </c>
      <c r="O7249" s="15" t="s">
        <v>65</v>
      </c>
      <c r="P7249" s="20" t="s">
        <v>634</v>
      </c>
      <c r="Q7249" s="15" t="s">
        <v>83</v>
      </c>
      <c r="R7249" s="4"/>
      <c r="S7249" s="4"/>
    </row>
    <row r="7250" spans="1:19" ht="21" customHeight="1" x14ac:dyDescent="0.25">
      <c r="A7250" s="14">
        <f>DATE(2012,12,31)-75</f>
        <v>41199</v>
      </c>
      <c r="B7250" s="15" t="s">
        <v>1478</v>
      </c>
      <c r="C7250" s="15" t="s">
        <v>51</v>
      </c>
      <c r="D7250" s="16">
        <v>11</v>
      </c>
      <c r="E7250" s="17">
        <v>65.5</v>
      </c>
      <c r="F7250" s="16">
        <v>0.08</v>
      </c>
      <c r="G7250" s="15" t="s">
        <v>32</v>
      </c>
      <c r="H7250" s="18">
        <v>-55.94</v>
      </c>
      <c r="I7250" s="19">
        <v>5.98</v>
      </c>
      <c r="J7250" s="19">
        <v>4.38</v>
      </c>
      <c r="K7250" s="19" t="s">
        <v>124</v>
      </c>
      <c r="L7250" s="19" t="s">
        <v>160</v>
      </c>
      <c r="M7250" s="15" t="s">
        <v>2281</v>
      </c>
      <c r="N7250" s="15" t="s">
        <v>64</v>
      </c>
      <c r="O7250" s="15" t="s">
        <v>72</v>
      </c>
      <c r="P7250" s="20" t="s">
        <v>849</v>
      </c>
      <c r="Q7250" s="15" t="s">
        <v>49</v>
      </c>
      <c r="R7250" s="4"/>
      <c r="S7250" s="4"/>
    </row>
    <row r="7251" spans="1:19" ht="21" customHeight="1" x14ac:dyDescent="0.25">
      <c r="A7251" s="14">
        <f>DATE(2012,12,31)-1347</f>
        <v>39927</v>
      </c>
      <c r="B7251" s="15" t="s">
        <v>1192</v>
      </c>
      <c r="C7251" s="15" t="s">
        <v>51</v>
      </c>
      <c r="D7251" s="16">
        <v>11</v>
      </c>
      <c r="E7251" s="17">
        <v>113.19</v>
      </c>
      <c r="F7251" s="16">
        <v>0.04</v>
      </c>
      <c r="G7251" s="15" t="s">
        <v>32</v>
      </c>
      <c r="H7251" s="18">
        <v>-53.25</v>
      </c>
      <c r="I7251" s="19">
        <v>9.06</v>
      </c>
      <c r="J7251" s="19">
        <v>9.86</v>
      </c>
      <c r="K7251" s="19" t="s">
        <v>124</v>
      </c>
      <c r="L7251" s="19" t="s">
        <v>125</v>
      </c>
      <c r="M7251" s="15" t="s">
        <v>2325</v>
      </c>
      <c r="N7251" s="15" t="s">
        <v>36</v>
      </c>
      <c r="O7251" s="15" t="s">
        <v>117</v>
      </c>
      <c r="P7251" s="20" t="s">
        <v>2260</v>
      </c>
      <c r="Q7251" s="15" t="s">
        <v>83</v>
      </c>
      <c r="R7251" s="4"/>
      <c r="S7251" s="4"/>
    </row>
    <row r="7252" spans="1:19" ht="21" customHeight="1" x14ac:dyDescent="0.25">
      <c r="A7252" s="14">
        <f>DATE(2012,12,31)-1347</f>
        <v>39927</v>
      </c>
      <c r="B7252" s="15" t="s">
        <v>1026</v>
      </c>
      <c r="C7252" s="15" t="s">
        <v>51</v>
      </c>
      <c r="D7252" s="16">
        <v>13</v>
      </c>
      <c r="E7252" s="17">
        <v>196.04</v>
      </c>
      <c r="F7252" s="16">
        <v>0.04</v>
      </c>
      <c r="G7252" s="15" t="s">
        <v>32</v>
      </c>
      <c r="H7252" s="18">
        <v>2.125</v>
      </c>
      <c r="I7252" s="19">
        <v>14.27</v>
      </c>
      <c r="J7252" s="19">
        <v>7.27</v>
      </c>
      <c r="K7252" s="19" t="s">
        <v>124</v>
      </c>
      <c r="L7252" s="19" t="s">
        <v>160</v>
      </c>
      <c r="M7252" s="15" t="s">
        <v>2281</v>
      </c>
      <c r="N7252" s="15" t="s">
        <v>36</v>
      </c>
      <c r="O7252" s="15" t="s">
        <v>170</v>
      </c>
      <c r="P7252" s="20" t="s">
        <v>235</v>
      </c>
      <c r="Q7252" s="15" t="s">
        <v>83</v>
      </c>
      <c r="R7252" s="4"/>
      <c r="S7252" s="4"/>
    </row>
    <row r="7253" spans="1:19" ht="21" customHeight="1" x14ac:dyDescent="0.25">
      <c r="A7253" s="14">
        <f>DATE(2012,12,31)-1347</f>
        <v>39927</v>
      </c>
      <c r="B7253" s="15" t="s">
        <v>1933</v>
      </c>
      <c r="C7253" s="15" t="s">
        <v>51</v>
      </c>
      <c r="D7253" s="16">
        <v>28</v>
      </c>
      <c r="E7253" s="17">
        <v>140.02000000000001</v>
      </c>
      <c r="F7253" s="16">
        <v>0.03</v>
      </c>
      <c r="G7253" s="15" t="s">
        <v>32</v>
      </c>
      <c r="H7253" s="18">
        <v>66.709999999999994</v>
      </c>
      <c r="I7253" s="19">
        <v>4.91</v>
      </c>
      <c r="J7253" s="19">
        <v>0.5</v>
      </c>
      <c r="K7253" s="19" t="s">
        <v>33</v>
      </c>
      <c r="L7253" s="19" t="s">
        <v>93</v>
      </c>
      <c r="M7253" s="15" t="s">
        <v>94</v>
      </c>
      <c r="N7253" s="15" t="s">
        <v>36</v>
      </c>
      <c r="O7253" s="15" t="s">
        <v>114</v>
      </c>
      <c r="P7253" s="20" t="s">
        <v>453</v>
      </c>
      <c r="Q7253" s="15" t="s">
        <v>83</v>
      </c>
      <c r="R7253" s="4"/>
      <c r="S7253" s="4"/>
    </row>
    <row r="7254" spans="1:19" ht="21" customHeight="1" x14ac:dyDescent="0.25">
      <c r="A7254" s="14">
        <f>DATE(2012,12,31)-1213</f>
        <v>40061</v>
      </c>
      <c r="B7254" s="15" t="s">
        <v>1755</v>
      </c>
      <c r="C7254" s="15" t="s">
        <v>85</v>
      </c>
      <c r="D7254" s="16">
        <v>43</v>
      </c>
      <c r="E7254" s="17">
        <v>3231.5639999999999</v>
      </c>
      <c r="F7254" s="16">
        <v>0.03</v>
      </c>
      <c r="G7254" s="15" t="s">
        <v>32</v>
      </c>
      <c r="H7254" s="18">
        <v>1166.0940000000001</v>
      </c>
      <c r="I7254" s="19">
        <v>85.99</v>
      </c>
      <c r="J7254" s="19">
        <v>0.99</v>
      </c>
      <c r="K7254" s="19" t="s">
        <v>33</v>
      </c>
      <c r="L7254" s="19" t="s">
        <v>93</v>
      </c>
      <c r="M7254" s="15" t="s">
        <v>94</v>
      </c>
      <c r="N7254" s="15" t="s">
        <v>64</v>
      </c>
      <c r="O7254" s="15" t="s">
        <v>65</v>
      </c>
      <c r="P7254" s="20" t="s">
        <v>414</v>
      </c>
      <c r="Q7254" s="15" t="s">
        <v>79</v>
      </c>
      <c r="R7254" s="4"/>
      <c r="S7254" s="4"/>
    </row>
    <row r="7255" spans="1:19" ht="21" customHeight="1" x14ac:dyDescent="0.25">
      <c r="A7255" s="14">
        <f>DATE(2012,12,31)-484</f>
        <v>40790</v>
      </c>
      <c r="B7255" s="15" t="s">
        <v>1755</v>
      </c>
      <c r="C7255" s="15" t="s">
        <v>51</v>
      </c>
      <c r="D7255" s="16">
        <v>16</v>
      </c>
      <c r="E7255" s="17">
        <v>196.98</v>
      </c>
      <c r="F7255" s="16">
        <v>0.04</v>
      </c>
      <c r="G7255" s="15" t="s">
        <v>32</v>
      </c>
      <c r="H7255" s="18">
        <v>-5.76</v>
      </c>
      <c r="I7255" s="19">
        <v>12.28</v>
      </c>
      <c r="J7255" s="19">
        <v>6.47</v>
      </c>
      <c r="K7255" s="19" t="s">
        <v>33</v>
      </c>
      <c r="L7255" s="19" t="s">
        <v>128</v>
      </c>
      <c r="M7255" s="15" t="s">
        <v>129</v>
      </c>
      <c r="N7255" s="15" t="s">
        <v>36</v>
      </c>
      <c r="O7255" s="15" t="s">
        <v>117</v>
      </c>
      <c r="P7255" s="20" t="s">
        <v>2047</v>
      </c>
      <c r="Q7255" s="15" t="s">
        <v>83</v>
      </c>
      <c r="R7255" s="4"/>
      <c r="S7255" s="4"/>
    </row>
    <row r="7256" spans="1:19" ht="21" customHeight="1" x14ac:dyDescent="0.25">
      <c r="A7256" s="14">
        <f>DATE(2012,12,31)-484</f>
        <v>40790</v>
      </c>
      <c r="B7256" s="15" t="s">
        <v>2072</v>
      </c>
      <c r="C7256" s="15" t="s">
        <v>51</v>
      </c>
      <c r="D7256" s="16">
        <v>33</v>
      </c>
      <c r="E7256" s="17">
        <v>1756.6949999999999</v>
      </c>
      <c r="F7256" s="16">
        <v>0.1</v>
      </c>
      <c r="G7256" s="15" t="s">
        <v>32</v>
      </c>
      <c r="H7256" s="18">
        <v>164.97</v>
      </c>
      <c r="I7256" s="19">
        <v>65.989999999999995</v>
      </c>
      <c r="J7256" s="19">
        <v>8.8000000000000007</v>
      </c>
      <c r="K7256" s="19" t="s">
        <v>33</v>
      </c>
      <c r="L7256" s="19" t="s">
        <v>93</v>
      </c>
      <c r="M7256" s="15" t="s">
        <v>94</v>
      </c>
      <c r="N7256" s="15" t="s">
        <v>64</v>
      </c>
      <c r="O7256" s="15" t="s">
        <v>65</v>
      </c>
      <c r="P7256" s="20" t="s">
        <v>363</v>
      </c>
      <c r="Q7256" s="15" t="s">
        <v>83</v>
      </c>
      <c r="R7256" s="4"/>
      <c r="S7256" s="4"/>
    </row>
    <row r="7257" spans="1:19" ht="21" customHeight="1" x14ac:dyDescent="0.25">
      <c r="A7257" s="14">
        <f>DATE(2012,12,31)-355</f>
        <v>40919</v>
      </c>
      <c r="B7257" s="15" t="s">
        <v>2072</v>
      </c>
      <c r="C7257" s="15" t="s">
        <v>43</v>
      </c>
      <c r="D7257" s="16">
        <v>1</v>
      </c>
      <c r="E7257" s="17">
        <v>171.71</v>
      </c>
      <c r="F7257" s="16">
        <v>0.06</v>
      </c>
      <c r="G7257" s="15" t="s">
        <v>58</v>
      </c>
      <c r="H7257" s="18">
        <v>-343.46730000000002</v>
      </c>
      <c r="I7257" s="19">
        <v>115.99</v>
      </c>
      <c r="J7257" s="19">
        <v>56.14</v>
      </c>
      <c r="K7257" s="19" t="s">
        <v>97</v>
      </c>
      <c r="L7257" s="19" t="s">
        <v>98</v>
      </c>
      <c r="M7257" s="15" t="s">
        <v>2328</v>
      </c>
      <c r="N7257" s="15" t="s">
        <v>64</v>
      </c>
      <c r="O7257" s="15" t="s">
        <v>122</v>
      </c>
      <c r="P7257" s="20" t="s">
        <v>1718</v>
      </c>
      <c r="Q7257" s="15" t="s">
        <v>181</v>
      </c>
      <c r="R7257" s="4"/>
      <c r="S7257" s="4"/>
    </row>
    <row r="7258" spans="1:19" ht="21" customHeight="1" x14ac:dyDescent="0.25">
      <c r="A7258" s="14">
        <f>DATE(2012,12,31)-455</f>
        <v>40819</v>
      </c>
      <c r="B7258" s="15" t="s">
        <v>2072</v>
      </c>
      <c r="C7258" s="15" t="s">
        <v>43</v>
      </c>
      <c r="D7258" s="16">
        <v>39</v>
      </c>
      <c r="E7258" s="17">
        <v>1326.04</v>
      </c>
      <c r="F7258" s="16">
        <v>0.02</v>
      </c>
      <c r="G7258" s="15" t="s">
        <v>32</v>
      </c>
      <c r="H7258" s="18">
        <v>-1129.96</v>
      </c>
      <c r="I7258" s="19">
        <v>32.479999999999997</v>
      </c>
      <c r="J7258" s="19">
        <v>35</v>
      </c>
      <c r="K7258" s="19" t="s">
        <v>97</v>
      </c>
      <c r="L7258" s="19" t="s">
        <v>98</v>
      </c>
      <c r="M7258" s="15" t="s">
        <v>2328</v>
      </c>
      <c r="N7258" s="15" t="s">
        <v>36</v>
      </c>
      <c r="O7258" s="15" t="s">
        <v>37</v>
      </c>
      <c r="P7258" s="20" t="s">
        <v>2251</v>
      </c>
      <c r="Q7258" s="15" t="s">
        <v>39</v>
      </c>
      <c r="R7258" s="4"/>
      <c r="S7258" s="4"/>
    </row>
    <row r="7259" spans="1:19" ht="21" customHeight="1" x14ac:dyDescent="0.25">
      <c r="A7259" s="14">
        <f>DATE(2012,12,31)-455</f>
        <v>40819</v>
      </c>
      <c r="B7259" s="15" t="s">
        <v>2072</v>
      </c>
      <c r="C7259" s="15" t="s">
        <v>43</v>
      </c>
      <c r="D7259" s="16">
        <v>22</v>
      </c>
      <c r="E7259" s="17">
        <v>3881.89</v>
      </c>
      <c r="F7259" s="16">
        <v>0.06</v>
      </c>
      <c r="G7259" s="15" t="s">
        <v>32</v>
      </c>
      <c r="H7259" s="18">
        <v>-803.52</v>
      </c>
      <c r="I7259" s="19">
        <v>182.55</v>
      </c>
      <c r="J7259" s="19">
        <v>69</v>
      </c>
      <c r="K7259" s="19" t="s">
        <v>97</v>
      </c>
      <c r="L7259" s="19" t="s">
        <v>98</v>
      </c>
      <c r="M7259" s="15" t="s">
        <v>2328</v>
      </c>
      <c r="N7259" s="15" t="s">
        <v>54</v>
      </c>
      <c r="O7259" s="15" t="s">
        <v>61</v>
      </c>
      <c r="P7259" s="20" t="s">
        <v>995</v>
      </c>
      <c r="Q7259" s="15" t="s">
        <v>39</v>
      </c>
      <c r="R7259" s="4"/>
      <c r="S7259" s="4"/>
    </row>
    <row r="7260" spans="1:19" ht="21" customHeight="1" x14ac:dyDescent="0.25">
      <c r="A7260" s="14">
        <f>DATE(2012,12,31)-705</f>
        <v>40569</v>
      </c>
      <c r="B7260" s="15" t="s">
        <v>1480</v>
      </c>
      <c r="C7260" s="15" t="s">
        <v>51</v>
      </c>
      <c r="D7260" s="16">
        <v>10</v>
      </c>
      <c r="E7260" s="17">
        <v>1290.3699999999999</v>
      </c>
      <c r="F7260" s="16">
        <v>0.05</v>
      </c>
      <c r="G7260" s="15" t="s">
        <v>32</v>
      </c>
      <c r="H7260" s="18">
        <v>231.16</v>
      </c>
      <c r="I7260" s="19">
        <v>123.38</v>
      </c>
      <c r="J7260" s="19">
        <v>24.49</v>
      </c>
      <c r="K7260" s="19" t="s">
        <v>97</v>
      </c>
      <c r="L7260" s="19" t="s">
        <v>98</v>
      </c>
      <c r="M7260" s="15" t="s">
        <v>2328</v>
      </c>
      <c r="N7260" s="15" t="s">
        <v>36</v>
      </c>
      <c r="O7260" s="15" t="s">
        <v>176</v>
      </c>
      <c r="P7260" s="20" t="s">
        <v>1984</v>
      </c>
      <c r="Q7260" s="15" t="s">
        <v>39</v>
      </c>
      <c r="R7260" s="4"/>
      <c r="S7260" s="4"/>
    </row>
    <row r="7261" spans="1:19" ht="21" customHeight="1" x14ac:dyDescent="0.25">
      <c r="A7261" s="14">
        <f>DATE(2012,12,31)-705</f>
        <v>40569</v>
      </c>
      <c r="B7261" s="15" t="s">
        <v>1480</v>
      </c>
      <c r="C7261" s="15" t="s">
        <v>51</v>
      </c>
      <c r="D7261" s="16">
        <v>2</v>
      </c>
      <c r="E7261" s="17">
        <v>23.18</v>
      </c>
      <c r="F7261" s="16">
        <v>0.05</v>
      </c>
      <c r="G7261" s="15" t="s">
        <v>32</v>
      </c>
      <c r="H7261" s="18">
        <v>-14.881</v>
      </c>
      <c r="I7261" s="19">
        <v>8.6</v>
      </c>
      <c r="J7261" s="19">
        <v>6.19</v>
      </c>
      <c r="K7261" s="19" t="s">
        <v>97</v>
      </c>
      <c r="L7261" s="19" t="s">
        <v>195</v>
      </c>
      <c r="M7261" s="15" t="s">
        <v>2138</v>
      </c>
      <c r="N7261" s="15" t="s">
        <v>36</v>
      </c>
      <c r="O7261" s="15" t="s">
        <v>170</v>
      </c>
      <c r="P7261" s="20" t="s">
        <v>592</v>
      </c>
      <c r="Q7261" s="15" t="s">
        <v>83</v>
      </c>
      <c r="R7261" s="4"/>
      <c r="S7261" s="4"/>
    </row>
    <row r="7262" spans="1:19" ht="21" customHeight="1" x14ac:dyDescent="0.25">
      <c r="A7262" s="14">
        <f>DATE(2012,12,31)-1109</f>
        <v>40165</v>
      </c>
      <c r="B7262" s="15" t="s">
        <v>1480</v>
      </c>
      <c r="C7262" s="15" t="s">
        <v>31</v>
      </c>
      <c r="D7262" s="16">
        <v>12</v>
      </c>
      <c r="E7262" s="17">
        <v>1064.7864999999999</v>
      </c>
      <c r="F7262" s="16">
        <v>0.1</v>
      </c>
      <c r="G7262" s="15" t="s">
        <v>32</v>
      </c>
      <c r="H7262" s="18">
        <v>-181.005</v>
      </c>
      <c r="I7262" s="19">
        <v>115.99</v>
      </c>
      <c r="J7262" s="19">
        <v>2.5</v>
      </c>
      <c r="K7262" s="19" t="s">
        <v>97</v>
      </c>
      <c r="L7262" s="19" t="s">
        <v>283</v>
      </c>
      <c r="M7262" s="15" t="s">
        <v>2306</v>
      </c>
      <c r="N7262" s="15" t="s">
        <v>64</v>
      </c>
      <c r="O7262" s="15" t="s">
        <v>65</v>
      </c>
      <c r="P7262" s="20" t="s">
        <v>62</v>
      </c>
      <c r="Q7262" s="15" t="s">
        <v>83</v>
      </c>
      <c r="R7262" s="4"/>
      <c r="S7262" s="4"/>
    </row>
    <row r="7263" spans="1:19" ht="21" customHeight="1" x14ac:dyDescent="0.25">
      <c r="A7263" s="14">
        <f>DATE(2012,12,31)-1306</f>
        <v>39968</v>
      </c>
      <c r="B7263" s="15" t="s">
        <v>426</v>
      </c>
      <c r="C7263" s="15" t="s">
        <v>51</v>
      </c>
      <c r="D7263" s="16">
        <v>11</v>
      </c>
      <c r="E7263" s="17">
        <v>2489.85</v>
      </c>
      <c r="F7263" s="16">
        <v>0.06</v>
      </c>
      <c r="G7263" s="15" t="s">
        <v>58</v>
      </c>
      <c r="H7263" s="18">
        <v>-566.5</v>
      </c>
      <c r="I7263" s="19">
        <v>218.75</v>
      </c>
      <c r="J7263" s="19">
        <v>69.64</v>
      </c>
      <c r="K7263" s="19" t="s">
        <v>97</v>
      </c>
      <c r="L7263" s="19" t="s">
        <v>283</v>
      </c>
      <c r="M7263" s="15" t="s">
        <v>2306</v>
      </c>
      <c r="N7263" s="15" t="s">
        <v>54</v>
      </c>
      <c r="O7263" s="15" t="s">
        <v>61</v>
      </c>
      <c r="P7263" s="20" t="s">
        <v>1620</v>
      </c>
      <c r="Q7263" s="15" t="s">
        <v>63</v>
      </c>
      <c r="R7263" s="4"/>
      <c r="S7263" s="4"/>
    </row>
    <row r="7264" spans="1:19" ht="21" customHeight="1" x14ac:dyDescent="0.25">
      <c r="A7264" s="14">
        <f>DATE(2012,12,31)-317</f>
        <v>40957</v>
      </c>
      <c r="B7264" s="15" t="s">
        <v>791</v>
      </c>
      <c r="C7264" s="15" t="s">
        <v>31</v>
      </c>
      <c r="D7264" s="16">
        <v>11</v>
      </c>
      <c r="E7264" s="17">
        <v>1884.2080000000003</v>
      </c>
      <c r="F7264" s="16">
        <v>0.04</v>
      </c>
      <c r="G7264" s="15" t="s">
        <v>58</v>
      </c>
      <c r="H7264" s="18">
        <v>-776.72</v>
      </c>
      <c r="I7264" s="19">
        <v>212.6</v>
      </c>
      <c r="J7264" s="19">
        <v>110.2</v>
      </c>
      <c r="K7264" s="19" t="s">
        <v>97</v>
      </c>
      <c r="L7264" s="19" t="s">
        <v>98</v>
      </c>
      <c r="M7264" s="15" t="s">
        <v>2328</v>
      </c>
      <c r="N7264" s="15" t="s">
        <v>54</v>
      </c>
      <c r="O7264" s="15" t="s">
        <v>61</v>
      </c>
      <c r="P7264" s="20" t="s">
        <v>776</v>
      </c>
      <c r="Q7264" s="15" t="s">
        <v>63</v>
      </c>
      <c r="R7264" s="4"/>
      <c r="S7264" s="4"/>
    </row>
    <row r="7265" spans="1:19" ht="21" customHeight="1" x14ac:dyDescent="0.25">
      <c r="A7265" s="14">
        <f>DATE(2012,12,31)-317</f>
        <v>40957</v>
      </c>
      <c r="B7265" s="15" t="s">
        <v>1648</v>
      </c>
      <c r="C7265" s="15" t="s">
        <v>31</v>
      </c>
      <c r="D7265" s="16">
        <v>2</v>
      </c>
      <c r="E7265" s="17">
        <v>93.338499999999996</v>
      </c>
      <c r="F7265" s="16">
        <v>0.1</v>
      </c>
      <c r="G7265" s="15" t="s">
        <v>32</v>
      </c>
      <c r="H7265" s="18">
        <v>-300.38799999999998</v>
      </c>
      <c r="I7265" s="19">
        <v>55.99</v>
      </c>
      <c r="J7265" s="19">
        <v>5</v>
      </c>
      <c r="K7265" s="19" t="s">
        <v>97</v>
      </c>
      <c r="L7265" s="19" t="s">
        <v>132</v>
      </c>
      <c r="M7265" s="15" t="s">
        <v>2294</v>
      </c>
      <c r="N7265" s="15" t="s">
        <v>64</v>
      </c>
      <c r="O7265" s="15" t="s">
        <v>65</v>
      </c>
      <c r="P7265" s="20" t="s">
        <v>1900</v>
      </c>
      <c r="Q7265" s="15" t="s">
        <v>49</v>
      </c>
      <c r="R7265" s="4"/>
      <c r="S7265" s="4"/>
    </row>
    <row r="7266" spans="1:19" ht="21" customHeight="1" x14ac:dyDescent="0.25">
      <c r="A7266" s="14">
        <f>DATE(2012,12,31)-1286</f>
        <v>39988</v>
      </c>
      <c r="B7266" s="15" t="s">
        <v>1648</v>
      </c>
      <c r="C7266" s="15" t="s">
        <v>85</v>
      </c>
      <c r="D7266" s="16">
        <v>39</v>
      </c>
      <c r="E7266" s="17">
        <v>392.81</v>
      </c>
      <c r="F7266" s="16">
        <v>0.1</v>
      </c>
      <c r="G7266" s="15" t="s">
        <v>32</v>
      </c>
      <c r="H7266" s="18">
        <v>13.91</v>
      </c>
      <c r="I7266" s="19">
        <v>10.48</v>
      </c>
      <c r="J7266" s="19">
        <v>2.89</v>
      </c>
      <c r="K7266" s="19" t="s">
        <v>97</v>
      </c>
      <c r="L7266" s="19" t="s">
        <v>283</v>
      </c>
      <c r="M7266" s="15" t="s">
        <v>2306</v>
      </c>
      <c r="N7266" s="15" t="s">
        <v>36</v>
      </c>
      <c r="O7266" s="15" t="s">
        <v>77</v>
      </c>
      <c r="P7266" s="20" t="s">
        <v>601</v>
      </c>
      <c r="Q7266" s="15" t="s">
        <v>49</v>
      </c>
      <c r="R7266" s="4"/>
      <c r="S7266" s="4"/>
    </row>
    <row r="7267" spans="1:19" ht="21" customHeight="1" x14ac:dyDescent="0.25">
      <c r="A7267" s="14">
        <f>DATE(2012,12,31)-1286</f>
        <v>39988</v>
      </c>
      <c r="B7267" s="15" t="s">
        <v>1343</v>
      </c>
      <c r="C7267" s="15" t="s">
        <v>85</v>
      </c>
      <c r="D7267" s="16">
        <v>42</v>
      </c>
      <c r="E7267" s="17">
        <v>375.76</v>
      </c>
      <c r="F7267" s="16">
        <v>0</v>
      </c>
      <c r="G7267" s="15" t="s">
        <v>32</v>
      </c>
      <c r="H7267" s="18">
        <v>-241.63</v>
      </c>
      <c r="I7267" s="19">
        <v>8.3699999999999992</v>
      </c>
      <c r="J7267" s="19">
        <v>10.16</v>
      </c>
      <c r="K7267" s="19" t="s">
        <v>124</v>
      </c>
      <c r="L7267" s="19" t="s">
        <v>160</v>
      </c>
      <c r="M7267" s="15" t="s">
        <v>2281</v>
      </c>
      <c r="N7267" s="15" t="s">
        <v>54</v>
      </c>
      <c r="O7267" s="15" t="s">
        <v>55</v>
      </c>
      <c r="P7267" s="20" t="s">
        <v>662</v>
      </c>
      <c r="Q7267" s="15" t="s">
        <v>39</v>
      </c>
      <c r="R7267" s="4"/>
      <c r="S7267" s="4"/>
    </row>
    <row r="7268" spans="1:19" ht="21" customHeight="1" x14ac:dyDescent="0.25">
      <c r="A7268" s="14">
        <f>DATE(2012,12,31)-261</f>
        <v>41013</v>
      </c>
      <c r="B7268" s="15" t="s">
        <v>1343</v>
      </c>
      <c r="C7268" s="15" t="s">
        <v>85</v>
      </c>
      <c r="D7268" s="16">
        <v>25</v>
      </c>
      <c r="E7268" s="17">
        <v>68.540000000000006</v>
      </c>
      <c r="F7268" s="16">
        <v>0.1</v>
      </c>
      <c r="G7268" s="15" t="s">
        <v>32</v>
      </c>
      <c r="H7268" s="18">
        <v>22.2</v>
      </c>
      <c r="I7268" s="19">
        <v>2.88</v>
      </c>
      <c r="J7268" s="19">
        <v>0.5</v>
      </c>
      <c r="K7268" s="19" t="s">
        <v>124</v>
      </c>
      <c r="L7268" s="19" t="s">
        <v>160</v>
      </c>
      <c r="M7268" s="15" t="s">
        <v>2281</v>
      </c>
      <c r="N7268" s="15" t="s">
        <v>36</v>
      </c>
      <c r="O7268" s="15" t="s">
        <v>114</v>
      </c>
      <c r="P7268" s="20" t="s">
        <v>1411</v>
      </c>
      <c r="Q7268" s="15" t="s">
        <v>83</v>
      </c>
      <c r="R7268" s="4"/>
      <c r="S7268" s="4"/>
    </row>
    <row r="7269" spans="1:19" ht="21" customHeight="1" x14ac:dyDescent="0.25">
      <c r="A7269" s="14">
        <f>DATE(2012,12,31)-261</f>
        <v>41013</v>
      </c>
      <c r="B7269" s="15" t="s">
        <v>1861</v>
      </c>
      <c r="C7269" s="15" t="s">
        <v>85</v>
      </c>
      <c r="D7269" s="16">
        <v>19</v>
      </c>
      <c r="E7269" s="17">
        <v>10351.01</v>
      </c>
      <c r="F7269" s="16">
        <v>0.08</v>
      </c>
      <c r="G7269" s="15" t="s">
        <v>58</v>
      </c>
      <c r="H7269" s="18">
        <v>-1331.5533660000001</v>
      </c>
      <c r="I7269" s="19">
        <v>550.98</v>
      </c>
      <c r="J7269" s="19">
        <v>45.7</v>
      </c>
      <c r="K7269" s="19" t="s">
        <v>124</v>
      </c>
      <c r="L7269" s="19" t="s">
        <v>493</v>
      </c>
      <c r="M7269" s="15" t="s">
        <v>2334</v>
      </c>
      <c r="N7269" s="15" t="s">
        <v>54</v>
      </c>
      <c r="O7269" s="15" t="s">
        <v>61</v>
      </c>
      <c r="P7269" s="20" t="s">
        <v>2145</v>
      </c>
      <c r="Q7269" s="15" t="s">
        <v>63</v>
      </c>
      <c r="R7269" s="4"/>
      <c r="S7269" s="4"/>
    </row>
    <row r="7270" spans="1:19" ht="21" customHeight="1" x14ac:dyDescent="0.25">
      <c r="A7270" s="14">
        <f>DATE(2012,12,31)-1130</f>
        <v>40144</v>
      </c>
      <c r="B7270" s="15" t="s">
        <v>1861</v>
      </c>
      <c r="C7270" s="15" t="s">
        <v>51</v>
      </c>
      <c r="D7270" s="16">
        <v>29</v>
      </c>
      <c r="E7270" s="17">
        <v>20872.16</v>
      </c>
      <c r="F7270" s="16">
        <v>0.03</v>
      </c>
      <c r="G7270" s="15" t="s">
        <v>32</v>
      </c>
      <c r="H7270" s="18">
        <v>-4437.91</v>
      </c>
      <c r="I7270" s="19">
        <v>699.99</v>
      </c>
      <c r="J7270" s="19">
        <v>24.49</v>
      </c>
      <c r="K7270" s="19" t="s">
        <v>124</v>
      </c>
      <c r="L7270" s="19" t="s">
        <v>160</v>
      </c>
      <c r="M7270" s="15" t="s">
        <v>2281</v>
      </c>
      <c r="N7270" s="15" t="s">
        <v>64</v>
      </c>
      <c r="O7270" s="15" t="s">
        <v>460</v>
      </c>
      <c r="P7270" s="20" t="s">
        <v>685</v>
      </c>
      <c r="Q7270" s="15" t="s">
        <v>39</v>
      </c>
      <c r="R7270" s="4"/>
      <c r="S7270" s="4"/>
    </row>
    <row r="7271" spans="1:19" ht="21" customHeight="1" x14ac:dyDescent="0.25">
      <c r="A7271" s="14">
        <f>DATE(2012,12,31)-151</f>
        <v>41123</v>
      </c>
      <c r="B7271" s="15" t="s">
        <v>1861</v>
      </c>
      <c r="C7271" s="15" t="s">
        <v>85</v>
      </c>
      <c r="D7271" s="16">
        <v>48</v>
      </c>
      <c r="E7271" s="17">
        <v>2006.38</v>
      </c>
      <c r="F7271" s="16">
        <v>0</v>
      </c>
      <c r="G7271" s="15" t="s">
        <v>32</v>
      </c>
      <c r="H7271" s="18">
        <v>840.46</v>
      </c>
      <c r="I7271" s="19">
        <v>40.98</v>
      </c>
      <c r="J7271" s="19">
        <v>1.99</v>
      </c>
      <c r="K7271" s="19" t="s">
        <v>124</v>
      </c>
      <c r="L7271" s="19" t="s">
        <v>160</v>
      </c>
      <c r="M7271" s="15" t="s">
        <v>2281</v>
      </c>
      <c r="N7271" s="15" t="s">
        <v>64</v>
      </c>
      <c r="O7271" s="15" t="s">
        <v>72</v>
      </c>
      <c r="P7271" s="20" t="s">
        <v>686</v>
      </c>
      <c r="Q7271" s="15" t="s">
        <v>49</v>
      </c>
      <c r="R7271" s="4"/>
      <c r="S7271" s="4"/>
    </row>
    <row r="7272" spans="1:19" ht="21" customHeight="1" x14ac:dyDescent="0.25">
      <c r="A7272" s="14">
        <f>DATE(2012,12,31)-353</f>
        <v>40921</v>
      </c>
      <c r="B7272" s="15" t="s">
        <v>392</v>
      </c>
      <c r="C7272" s="15" t="s">
        <v>43</v>
      </c>
      <c r="D7272" s="16">
        <v>31</v>
      </c>
      <c r="E7272" s="17">
        <v>163.27000000000001</v>
      </c>
      <c r="F7272" s="16">
        <v>0.04</v>
      </c>
      <c r="G7272" s="15" t="s">
        <v>32</v>
      </c>
      <c r="H7272" s="18">
        <v>-0.62100000000000111</v>
      </c>
      <c r="I7272" s="19">
        <v>5.28</v>
      </c>
      <c r="J7272" s="19">
        <v>2.99</v>
      </c>
      <c r="K7272" s="19" t="s">
        <v>124</v>
      </c>
      <c r="L7272" s="19" t="s">
        <v>160</v>
      </c>
      <c r="M7272" s="15" t="s">
        <v>2281</v>
      </c>
      <c r="N7272" s="15" t="s">
        <v>36</v>
      </c>
      <c r="O7272" s="15" t="s">
        <v>170</v>
      </c>
      <c r="P7272" s="20" t="s">
        <v>1374</v>
      </c>
      <c r="Q7272" s="15" t="s">
        <v>83</v>
      </c>
      <c r="R7272" s="4"/>
      <c r="S7272" s="4"/>
    </row>
    <row r="7273" spans="1:19" ht="21" customHeight="1" x14ac:dyDescent="0.25">
      <c r="A7273" s="14">
        <f>DATE(2012,12,31)-353</f>
        <v>40921</v>
      </c>
      <c r="B7273" s="15" t="s">
        <v>516</v>
      </c>
      <c r="C7273" s="15" t="s">
        <v>43</v>
      </c>
      <c r="D7273" s="16">
        <v>47</v>
      </c>
      <c r="E7273" s="17">
        <v>24559.91</v>
      </c>
      <c r="F7273" s="16">
        <v>0.01</v>
      </c>
      <c r="G7273" s="15" t="s">
        <v>58</v>
      </c>
      <c r="H7273" s="18">
        <v>7358.66</v>
      </c>
      <c r="I7273" s="19">
        <v>517.48</v>
      </c>
      <c r="J7273" s="19">
        <v>16.63</v>
      </c>
      <c r="K7273" s="19" t="s">
        <v>124</v>
      </c>
      <c r="L7273" s="19" t="s">
        <v>160</v>
      </c>
      <c r="M7273" s="15" t="s">
        <v>2281</v>
      </c>
      <c r="N7273" s="15" t="s">
        <v>64</v>
      </c>
      <c r="O7273" s="15" t="s">
        <v>122</v>
      </c>
      <c r="P7273" s="20" t="s">
        <v>1377</v>
      </c>
      <c r="Q7273" s="15" t="s">
        <v>63</v>
      </c>
      <c r="R7273" s="4"/>
      <c r="S7273" s="4"/>
    </row>
    <row r="7274" spans="1:19" ht="21" customHeight="1" x14ac:dyDescent="0.25">
      <c r="A7274" s="14">
        <f>DATE(2012,12,31)-353</f>
        <v>40921</v>
      </c>
      <c r="B7274" s="15" t="s">
        <v>282</v>
      </c>
      <c r="C7274" s="15" t="s">
        <v>43</v>
      </c>
      <c r="D7274" s="16">
        <v>21</v>
      </c>
      <c r="E7274" s="17">
        <v>1217.5</v>
      </c>
      <c r="F7274" s="16">
        <v>7.0000000000000007E-2</v>
      </c>
      <c r="G7274" s="15" t="s">
        <v>58</v>
      </c>
      <c r="H7274" s="18">
        <v>-412.36</v>
      </c>
      <c r="I7274" s="19">
        <v>58.14</v>
      </c>
      <c r="J7274" s="19">
        <v>36.61</v>
      </c>
      <c r="K7274" s="19" t="s">
        <v>124</v>
      </c>
      <c r="L7274" s="19" t="s">
        <v>160</v>
      </c>
      <c r="M7274" s="15" t="s">
        <v>2281</v>
      </c>
      <c r="N7274" s="15" t="s">
        <v>54</v>
      </c>
      <c r="O7274" s="15" t="s">
        <v>134</v>
      </c>
      <c r="P7274" s="20" t="s">
        <v>2342</v>
      </c>
      <c r="Q7274" s="15" t="s">
        <v>63</v>
      </c>
      <c r="R7274" s="4"/>
      <c r="S7274" s="4"/>
    </row>
    <row r="7275" spans="1:19" ht="21" customHeight="1" x14ac:dyDescent="0.25">
      <c r="A7275" s="14">
        <f>DATE(2012,12,31)-353</f>
        <v>40921</v>
      </c>
      <c r="B7275" s="15" t="s">
        <v>282</v>
      </c>
      <c r="C7275" s="15" t="s">
        <v>43</v>
      </c>
      <c r="D7275" s="16">
        <v>17</v>
      </c>
      <c r="E7275" s="17">
        <v>441.53</v>
      </c>
      <c r="F7275" s="16">
        <v>7.0000000000000007E-2</v>
      </c>
      <c r="G7275" s="15" t="s">
        <v>58</v>
      </c>
      <c r="H7275" s="18">
        <v>-119.55</v>
      </c>
      <c r="I7275" s="19">
        <v>25.98</v>
      </c>
      <c r="J7275" s="19">
        <v>14.36</v>
      </c>
      <c r="K7275" s="19" t="s">
        <v>124</v>
      </c>
      <c r="L7275" s="19" t="s">
        <v>319</v>
      </c>
      <c r="M7275" s="15" t="s">
        <v>2343</v>
      </c>
      <c r="N7275" s="15" t="s">
        <v>54</v>
      </c>
      <c r="O7275" s="15" t="s">
        <v>252</v>
      </c>
      <c r="P7275" s="20" t="s">
        <v>1274</v>
      </c>
      <c r="Q7275" s="15" t="s">
        <v>181</v>
      </c>
      <c r="R7275" s="4"/>
      <c r="S7275" s="4"/>
    </row>
    <row r="7276" spans="1:19" ht="21" customHeight="1" x14ac:dyDescent="0.25">
      <c r="A7276" s="14">
        <f>DATE(2012,12,31)-1126</f>
        <v>40148</v>
      </c>
      <c r="B7276" s="15" t="s">
        <v>245</v>
      </c>
      <c r="C7276" s="15" t="s">
        <v>43</v>
      </c>
      <c r="D7276" s="16">
        <v>29</v>
      </c>
      <c r="E7276" s="17">
        <v>67.97</v>
      </c>
      <c r="F7276" s="16">
        <v>0.06</v>
      </c>
      <c r="G7276" s="15" t="s">
        <v>32</v>
      </c>
      <c r="H7276" s="18">
        <v>-109.94</v>
      </c>
      <c r="I7276" s="19">
        <v>2.2799999999999998</v>
      </c>
      <c r="J7276" s="19">
        <v>5.2</v>
      </c>
      <c r="K7276" s="19" t="s">
        <v>124</v>
      </c>
      <c r="L7276" s="19" t="s">
        <v>164</v>
      </c>
      <c r="M7276" s="15" t="s">
        <v>2335</v>
      </c>
      <c r="N7276" s="15" t="s">
        <v>36</v>
      </c>
      <c r="O7276" s="15" t="s">
        <v>77</v>
      </c>
      <c r="P7276" s="20" t="s">
        <v>385</v>
      </c>
      <c r="Q7276" s="15" t="s">
        <v>79</v>
      </c>
      <c r="R7276" s="4"/>
      <c r="S7276" s="4"/>
    </row>
    <row r="7277" spans="1:19" ht="21" customHeight="1" x14ac:dyDescent="0.25">
      <c r="A7277" s="14">
        <f>DATE(2012,12,31)-400</f>
        <v>40874</v>
      </c>
      <c r="B7277" s="15" t="s">
        <v>777</v>
      </c>
      <c r="C7277" s="15" t="s">
        <v>43</v>
      </c>
      <c r="D7277" s="16">
        <v>14</v>
      </c>
      <c r="E7277" s="17">
        <v>136.85</v>
      </c>
      <c r="F7277" s="16">
        <v>0.01</v>
      </c>
      <c r="G7277" s="15" t="s">
        <v>32</v>
      </c>
      <c r="H7277" s="18">
        <v>-4.4275000000000002</v>
      </c>
      <c r="I7277" s="19">
        <v>8.85</v>
      </c>
      <c r="J7277" s="19">
        <v>5.6</v>
      </c>
      <c r="K7277" s="19" t="s">
        <v>124</v>
      </c>
      <c r="L7277" s="19" t="s">
        <v>168</v>
      </c>
      <c r="M7277" s="15" t="s">
        <v>2338</v>
      </c>
      <c r="N7277" s="15" t="s">
        <v>36</v>
      </c>
      <c r="O7277" s="15" t="s">
        <v>170</v>
      </c>
      <c r="P7277" s="20" t="s">
        <v>570</v>
      </c>
      <c r="Q7277" s="15" t="s">
        <v>83</v>
      </c>
      <c r="R7277" s="4"/>
      <c r="S7277" s="4"/>
    </row>
    <row r="7278" spans="1:19" ht="21" customHeight="1" x14ac:dyDescent="0.25">
      <c r="A7278" s="14">
        <f>DATE(2012,12,31)-400</f>
        <v>40874</v>
      </c>
      <c r="B7278" s="15" t="s">
        <v>436</v>
      </c>
      <c r="C7278" s="15" t="s">
        <v>43</v>
      </c>
      <c r="D7278" s="16">
        <v>1</v>
      </c>
      <c r="E7278" s="17">
        <v>12.74</v>
      </c>
      <c r="F7278" s="16">
        <v>0.05</v>
      </c>
      <c r="G7278" s="15" t="s">
        <v>32</v>
      </c>
      <c r="H7278" s="18">
        <v>-11.39</v>
      </c>
      <c r="I7278" s="19">
        <v>7.96</v>
      </c>
      <c r="J7278" s="19">
        <v>4.95</v>
      </c>
      <c r="K7278" s="19" t="s">
        <v>124</v>
      </c>
      <c r="L7278" s="19" t="s">
        <v>164</v>
      </c>
      <c r="M7278" s="15" t="s">
        <v>2335</v>
      </c>
      <c r="N7278" s="15" t="s">
        <v>54</v>
      </c>
      <c r="O7278" s="15" t="s">
        <v>55</v>
      </c>
      <c r="P7278" s="20" t="s">
        <v>1064</v>
      </c>
      <c r="Q7278" s="15" t="s">
        <v>83</v>
      </c>
      <c r="R7278" s="4"/>
      <c r="S7278" s="4"/>
    </row>
    <row r="7279" spans="1:19" ht="21" customHeight="1" x14ac:dyDescent="0.25">
      <c r="A7279" s="14">
        <f>DATE(2012,12,31)-1027</f>
        <v>40247</v>
      </c>
      <c r="B7279" s="15" t="s">
        <v>2074</v>
      </c>
      <c r="C7279" s="15" t="s">
        <v>85</v>
      </c>
      <c r="D7279" s="16">
        <v>19</v>
      </c>
      <c r="E7279" s="17">
        <v>812.06</v>
      </c>
      <c r="F7279" s="16">
        <v>0</v>
      </c>
      <c r="G7279" s="15" t="s">
        <v>32</v>
      </c>
      <c r="H7279" s="18">
        <v>220.065</v>
      </c>
      <c r="I7279" s="19">
        <v>39.06</v>
      </c>
      <c r="J7279" s="19">
        <v>10.55</v>
      </c>
      <c r="K7279" s="19" t="s">
        <v>124</v>
      </c>
      <c r="L7279" s="19" t="s">
        <v>168</v>
      </c>
      <c r="M7279" s="15" t="s">
        <v>2338</v>
      </c>
      <c r="N7279" s="15" t="s">
        <v>54</v>
      </c>
      <c r="O7279" s="15" t="s">
        <v>252</v>
      </c>
      <c r="P7279" s="20" t="s">
        <v>618</v>
      </c>
      <c r="Q7279" s="15" t="s">
        <v>181</v>
      </c>
      <c r="R7279" s="4"/>
      <c r="S7279" s="4"/>
    </row>
    <row r="7280" spans="1:19" ht="21" customHeight="1" x14ac:dyDescent="0.25">
      <c r="A7280" s="14">
        <f>DATE(2012,12,31)-841</f>
        <v>40433</v>
      </c>
      <c r="B7280" s="15" t="s">
        <v>187</v>
      </c>
      <c r="C7280" s="15" t="s">
        <v>85</v>
      </c>
      <c r="D7280" s="16">
        <v>8</v>
      </c>
      <c r="E7280" s="17">
        <v>104.27</v>
      </c>
      <c r="F7280" s="16">
        <v>0.03</v>
      </c>
      <c r="G7280" s="15" t="s">
        <v>32</v>
      </c>
      <c r="H7280" s="18">
        <v>-23.61</v>
      </c>
      <c r="I7280" s="19">
        <v>11.97</v>
      </c>
      <c r="J7280" s="19">
        <v>5.81</v>
      </c>
      <c r="K7280" s="19" t="s">
        <v>124</v>
      </c>
      <c r="L7280" s="19" t="s">
        <v>125</v>
      </c>
      <c r="M7280" s="15" t="s">
        <v>2325</v>
      </c>
      <c r="N7280" s="15" t="s">
        <v>36</v>
      </c>
      <c r="O7280" s="15" t="s">
        <v>77</v>
      </c>
      <c r="P7280" s="20" t="s">
        <v>1976</v>
      </c>
      <c r="Q7280" s="15" t="s">
        <v>49</v>
      </c>
      <c r="R7280" s="4"/>
      <c r="S7280" s="4"/>
    </row>
    <row r="7281" spans="1:19" ht="21" customHeight="1" x14ac:dyDescent="0.25">
      <c r="A7281" s="14">
        <f>DATE(2012,12,31)-770</f>
        <v>40504</v>
      </c>
      <c r="B7281" s="15" t="s">
        <v>187</v>
      </c>
      <c r="C7281" s="15" t="s">
        <v>43</v>
      </c>
      <c r="D7281" s="16">
        <v>11</v>
      </c>
      <c r="E7281" s="17">
        <v>13.52</v>
      </c>
      <c r="F7281" s="16">
        <v>0.03</v>
      </c>
      <c r="G7281" s="15" t="s">
        <v>32</v>
      </c>
      <c r="H7281" s="18">
        <v>-27.66</v>
      </c>
      <c r="I7281" s="19">
        <v>0.99</v>
      </c>
      <c r="J7281" s="19">
        <v>2.96</v>
      </c>
      <c r="K7281" s="19" t="s">
        <v>124</v>
      </c>
      <c r="L7281" s="19" t="s">
        <v>164</v>
      </c>
      <c r="M7281" s="15" t="s">
        <v>2335</v>
      </c>
      <c r="N7281" s="15" t="s">
        <v>64</v>
      </c>
      <c r="O7281" s="15" t="s">
        <v>72</v>
      </c>
      <c r="P7281" s="20" t="s">
        <v>1224</v>
      </c>
      <c r="Q7281" s="15" t="s">
        <v>49</v>
      </c>
      <c r="R7281" s="4"/>
      <c r="S7281" s="4"/>
    </row>
    <row r="7282" spans="1:19" ht="21" customHeight="1" x14ac:dyDescent="0.25">
      <c r="A7282" s="14">
        <f>DATE(2012,12,31)-117</f>
        <v>41157</v>
      </c>
      <c r="B7282" s="15" t="s">
        <v>187</v>
      </c>
      <c r="C7282" s="15" t="s">
        <v>31</v>
      </c>
      <c r="D7282" s="16">
        <v>13</v>
      </c>
      <c r="E7282" s="17">
        <v>63.33</v>
      </c>
      <c r="F7282" s="16">
        <v>0</v>
      </c>
      <c r="G7282" s="15" t="s">
        <v>32</v>
      </c>
      <c r="H7282" s="18">
        <v>-39.962499999999999</v>
      </c>
      <c r="I7282" s="19">
        <v>4.13</v>
      </c>
      <c r="J7282" s="19">
        <v>5.34</v>
      </c>
      <c r="K7282" s="19" t="s">
        <v>124</v>
      </c>
      <c r="L7282" s="19" t="s">
        <v>319</v>
      </c>
      <c r="M7282" s="15" t="s">
        <v>2343</v>
      </c>
      <c r="N7282" s="15" t="s">
        <v>36</v>
      </c>
      <c r="O7282" s="15" t="s">
        <v>170</v>
      </c>
      <c r="P7282" s="20" t="s">
        <v>786</v>
      </c>
      <c r="Q7282" s="15" t="s">
        <v>83</v>
      </c>
      <c r="R7282" s="4"/>
      <c r="S7282" s="4"/>
    </row>
    <row r="7283" spans="1:19" ht="21" customHeight="1" x14ac:dyDescent="0.25">
      <c r="A7283" s="14">
        <f>DATE(2012,12,31)-117</f>
        <v>41157</v>
      </c>
      <c r="B7283" s="15" t="s">
        <v>2330</v>
      </c>
      <c r="C7283" s="15" t="s">
        <v>31</v>
      </c>
      <c r="D7283" s="16">
        <v>36</v>
      </c>
      <c r="E7283" s="17">
        <v>1436.55</v>
      </c>
      <c r="F7283" s="16">
        <v>0.1</v>
      </c>
      <c r="G7283" s="15" t="s">
        <v>32</v>
      </c>
      <c r="H7283" s="18">
        <v>-4.0099999999999909</v>
      </c>
      <c r="I7283" s="19">
        <v>40.89</v>
      </c>
      <c r="J7283" s="19">
        <v>18.98</v>
      </c>
      <c r="K7283" s="19" t="s">
        <v>44</v>
      </c>
      <c r="L7283" s="19" t="s">
        <v>52</v>
      </c>
      <c r="M7283" s="15" t="s">
        <v>2336</v>
      </c>
      <c r="N7283" s="15" t="s">
        <v>54</v>
      </c>
      <c r="O7283" s="15" t="s">
        <v>55</v>
      </c>
      <c r="P7283" s="20" t="s">
        <v>1595</v>
      </c>
      <c r="Q7283" s="15" t="s">
        <v>83</v>
      </c>
      <c r="R7283" s="4"/>
      <c r="S7283" s="4"/>
    </row>
    <row r="7284" spans="1:19" ht="21" customHeight="1" x14ac:dyDescent="0.25">
      <c r="A7284" s="14">
        <f>DATE(2012,12,31)-1013</f>
        <v>40261</v>
      </c>
      <c r="B7284" s="15" t="s">
        <v>1033</v>
      </c>
      <c r="C7284" s="15" t="s">
        <v>31</v>
      </c>
      <c r="D7284" s="16">
        <v>38</v>
      </c>
      <c r="E7284" s="17">
        <v>3922.96</v>
      </c>
      <c r="F7284" s="16">
        <v>0.04</v>
      </c>
      <c r="G7284" s="15" t="s">
        <v>32</v>
      </c>
      <c r="H7284" s="18">
        <v>863.57</v>
      </c>
      <c r="I7284" s="19">
        <v>99.99</v>
      </c>
      <c r="J7284" s="19">
        <v>19.989999999999998</v>
      </c>
      <c r="K7284" s="19" t="s">
        <v>44</v>
      </c>
      <c r="L7284" s="19" t="s">
        <v>52</v>
      </c>
      <c r="M7284" s="15" t="s">
        <v>2336</v>
      </c>
      <c r="N7284" s="15" t="s">
        <v>64</v>
      </c>
      <c r="O7284" s="15" t="s">
        <v>72</v>
      </c>
      <c r="P7284" s="20" t="s">
        <v>832</v>
      </c>
      <c r="Q7284" s="15" t="s">
        <v>83</v>
      </c>
      <c r="R7284" s="4"/>
      <c r="S7284" s="4"/>
    </row>
    <row r="7285" spans="1:19" ht="21" customHeight="1" x14ac:dyDescent="0.25">
      <c r="A7285" s="14">
        <f>DATE(2012,12,31)-547</f>
        <v>40727</v>
      </c>
      <c r="B7285" s="15" t="s">
        <v>1033</v>
      </c>
      <c r="C7285" s="15" t="s">
        <v>85</v>
      </c>
      <c r="D7285" s="16">
        <v>5</v>
      </c>
      <c r="E7285" s="17">
        <v>15.6</v>
      </c>
      <c r="F7285" s="16">
        <v>0.09</v>
      </c>
      <c r="G7285" s="15" t="s">
        <v>101</v>
      </c>
      <c r="H7285" s="18">
        <v>1.67</v>
      </c>
      <c r="I7285" s="19">
        <v>2.1800000000000002</v>
      </c>
      <c r="J7285" s="19">
        <v>0.78</v>
      </c>
      <c r="K7285" s="19" t="s">
        <v>44</v>
      </c>
      <c r="L7285" s="19" t="s">
        <v>52</v>
      </c>
      <c r="M7285" s="15" t="s">
        <v>2336</v>
      </c>
      <c r="N7285" s="15" t="s">
        <v>36</v>
      </c>
      <c r="O7285" s="15" t="s">
        <v>105</v>
      </c>
      <c r="P7285" s="20" t="s">
        <v>2041</v>
      </c>
      <c r="Q7285" s="15" t="s">
        <v>79</v>
      </c>
      <c r="R7285" s="4"/>
      <c r="S7285" s="4"/>
    </row>
    <row r="7286" spans="1:19" ht="21" customHeight="1" x14ac:dyDescent="0.25">
      <c r="A7286" s="14">
        <f>DATE(2012,12,31)-547</f>
        <v>40727</v>
      </c>
      <c r="B7286" s="15" t="s">
        <v>376</v>
      </c>
      <c r="C7286" s="15" t="s">
        <v>85</v>
      </c>
      <c r="D7286" s="16">
        <v>6</v>
      </c>
      <c r="E7286" s="17">
        <v>631.49900000000002</v>
      </c>
      <c r="F7286" s="16">
        <v>0.09</v>
      </c>
      <c r="G7286" s="15" t="s">
        <v>32</v>
      </c>
      <c r="H7286" s="18">
        <v>-403.01799999999997</v>
      </c>
      <c r="I7286" s="19">
        <v>125.99</v>
      </c>
      <c r="J7286" s="19">
        <v>8.08</v>
      </c>
      <c r="K7286" s="19" t="s">
        <v>44</v>
      </c>
      <c r="L7286" s="19" t="s">
        <v>52</v>
      </c>
      <c r="M7286" s="15" t="s">
        <v>2336</v>
      </c>
      <c r="N7286" s="15" t="s">
        <v>64</v>
      </c>
      <c r="O7286" s="15" t="s">
        <v>65</v>
      </c>
      <c r="P7286" s="20" t="s">
        <v>306</v>
      </c>
      <c r="Q7286" s="15" t="s">
        <v>83</v>
      </c>
      <c r="R7286" s="4"/>
      <c r="S7286" s="4"/>
    </row>
    <row r="7287" spans="1:19" ht="21" customHeight="1" x14ac:dyDescent="0.25">
      <c r="A7287" s="14">
        <f>DATE(2012,12,31)-426</f>
        <v>40848</v>
      </c>
      <c r="B7287" s="15" t="s">
        <v>292</v>
      </c>
      <c r="C7287" s="15" t="s">
        <v>43</v>
      </c>
      <c r="D7287" s="16">
        <v>39</v>
      </c>
      <c r="E7287" s="17">
        <v>261.16000000000003</v>
      </c>
      <c r="F7287" s="16">
        <v>7.0000000000000007E-2</v>
      </c>
      <c r="G7287" s="15" t="s">
        <v>32</v>
      </c>
      <c r="H7287" s="18">
        <v>-220.3</v>
      </c>
      <c r="I7287" s="19">
        <v>6.48</v>
      </c>
      <c r="J7287" s="19">
        <v>9.68</v>
      </c>
      <c r="K7287" s="19" t="s">
        <v>44</v>
      </c>
      <c r="L7287" s="19" t="s">
        <v>52</v>
      </c>
      <c r="M7287" s="15" t="s">
        <v>2336</v>
      </c>
      <c r="N7287" s="15" t="s">
        <v>54</v>
      </c>
      <c r="O7287" s="15" t="s">
        <v>134</v>
      </c>
      <c r="P7287" s="20" t="s">
        <v>1856</v>
      </c>
      <c r="Q7287" s="15" t="s">
        <v>63</v>
      </c>
      <c r="R7287" s="4"/>
      <c r="S7287" s="4"/>
    </row>
    <row r="7288" spans="1:19" ht="21" customHeight="1" x14ac:dyDescent="0.25">
      <c r="A7288" s="14">
        <f>DATE(2012,12,31)-426</f>
        <v>40848</v>
      </c>
      <c r="B7288" s="15" t="s">
        <v>292</v>
      </c>
      <c r="C7288" s="15" t="s">
        <v>43</v>
      </c>
      <c r="D7288" s="16">
        <v>47</v>
      </c>
      <c r="E7288" s="17">
        <v>155.22</v>
      </c>
      <c r="F7288" s="16">
        <v>7.0000000000000007E-2</v>
      </c>
      <c r="G7288" s="15" t="s">
        <v>32</v>
      </c>
      <c r="H7288" s="18">
        <v>23.34</v>
      </c>
      <c r="I7288" s="19">
        <v>3.29</v>
      </c>
      <c r="J7288" s="19">
        <v>1.35</v>
      </c>
      <c r="K7288" s="19" t="s">
        <v>44</v>
      </c>
      <c r="L7288" s="19" t="s">
        <v>52</v>
      </c>
      <c r="M7288" s="15" t="s">
        <v>2336</v>
      </c>
      <c r="N7288" s="15" t="s">
        <v>54</v>
      </c>
      <c r="O7288" s="15" t="s">
        <v>252</v>
      </c>
      <c r="P7288" s="20" t="s">
        <v>2200</v>
      </c>
      <c r="Q7288" s="15" t="s">
        <v>181</v>
      </c>
      <c r="R7288" s="4"/>
      <c r="S7288" s="4"/>
    </row>
    <row r="7289" spans="1:19" ht="21" customHeight="1" x14ac:dyDescent="0.25">
      <c r="A7289" s="14">
        <f>DATE(2012,12,31)-262</f>
        <v>41012</v>
      </c>
      <c r="B7289" s="15" t="s">
        <v>1491</v>
      </c>
      <c r="C7289" s="15" t="s">
        <v>43</v>
      </c>
      <c r="D7289" s="16">
        <v>30</v>
      </c>
      <c r="E7289" s="17">
        <v>1824.848</v>
      </c>
      <c r="F7289" s="16">
        <v>0</v>
      </c>
      <c r="G7289" s="15" t="s">
        <v>32</v>
      </c>
      <c r="H7289" s="18">
        <v>364.23</v>
      </c>
      <c r="I7289" s="19">
        <v>65.989999999999995</v>
      </c>
      <c r="J7289" s="19">
        <v>8.8000000000000007</v>
      </c>
      <c r="K7289" s="19" t="s">
        <v>44</v>
      </c>
      <c r="L7289" s="19" t="s">
        <v>52</v>
      </c>
      <c r="M7289" s="15" t="s">
        <v>2336</v>
      </c>
      <c r="N7289" s="15" t="s">
        <v>64</v>
      </c>
      <c r="O7289" s="15" t="s">
        <v>65</v>
      </c>
      <c r="P7289" s="20" t="s">
        <v>1380</v>
      </c>
      <c r="Q7289" s="15" t="s">
        <v>83</v>
      </c>
      <c r="R7289" s="4"/>
      <c r="S7289" s="4"/>
    </row>
    <row r="7290" spans="1:19" ht="21" customHeight="1" x14ac:dyDescent="0.25">
      <c r="A7290" s="14">
        <f>DATE(2012,12,31)-1032</f>
        <v>40242</v>
      </c>
      <c r="B7290" s="15" t="s">
        <v>1491</v>
      </c>
      <c r="C7290" s="15" t="s">
        <v>43</v>
      </c>
      <c r="D7290" s="16">
        <v>1</v>
      </c>
      <c r="E7290" s="17">
        <v>17.89</v>
      </c>
      <c r="F7290" s="16">
        <v>0.04</v>
      </c>
      <c r="G7290" s="15" t="s">
        <v>101</v>
      </c>
      <c r="H7290" s="18">
        <v>10.51</v>
      </c>
      <c r="I7290" s="19">
        <v>2.88</v>
      </c>
      <c r="J7290" s="19">
        <v>0.5</v>
      </c>
      <c r="K7290" s="19" t="s">
        <v>44</v>
      </c>
      <c r="L7290" s="19" t="s">
        <v>52</v>
      </c>
      <c r="M7290" s="15" t="s">
        <v>2336</v>
      </c>
      <c r="N7290" s="15" t="s">
        <v>36</v>
      </c>
      <c r="O7290" s="15" t="s">
        <v>114</v>
      </c>
      <c r="P7290" s="20" t="s">
        <v>413</v>
      </c>
      <c r="Q7290" s="15" t="s">
        <v>83</v>
      </c>
      <c r="R7290" s="4"/>
      <c r="S7290" s="4"/>
    </row>
    <row r="7291" spans="1:19" ht="21" customHeight="1" x14ac:dyDescent="0.25">
      <c r="A7291" s="14">
        <f>DATE(2012,12,31)-1032</f>
        <v>40242</v>
      </c>
      <c r="B7291" s="15" t="s">
        <v>791</v>
      </c>
      <c r="C7291" s="15" t="s">
        <v>43</v>
      </c>
      <c r="D7291" s="16">
        <v>47</v>
      </c>
      <c r="E7291" s="17">
        <v>137.18</v>
      </c>
      <c r="F7291" s="16">
        <v>7.0000000000000007E-2</v>
      </c>
      <c r="G7291" s="15" t="s">
        <v>32</v>
      </c>
      <c r="H7291" s="18">
        <v>6.04</v>
      </c>
      <c r="I7291" s="19">
        <v>2.94</v>
      </c>
      <c r="J7291" s="19">
        <v>0.96</v>
      </c>
      <c r="K7291" s="19" t="s">
        <v>44</v>
      </c>
      <c r="L7291" s="19" t="s">
        <v>52</v>
      </c>
      <c r="M7291" s="15" t="s">
        <v>2336</v>
      </c>
      <c r="N7291" s="15" t="s">
        <v>36</v>
      </c>
      <c r="O7291" s="15" t="s">
        <v>77</v>
      </c>
      <c r="P7291" s="20" t="s">
        <v>1997</v>
      </c>
      <c r="Q7291" s="15" t="s">
        <v>79</v>
      </c>
      <c r="R7291" s="4"/>
      <c r="S7291" s="4"/>
    </row>
    <row r="7292" spans="1:19" ht="21" customHeight="1" x14ac:dyDescent="0.25">
      <c r="A7292" s="14">
        <f>DATE(2012,12,31)-751</f>
        <v>40523</v>
      </c>
      <c r="B7292" s="15" t="s">
        <v>1628</v>
      </c>
      <c r="C7292" s="15" t="s">
        <v>85</v>
      </c>
      <c r="D7292" s="16">
        <v>25</v>
      </c>
      <c r="E7292" s="17">
        <v>612.92999999999995</v>
      </c>
      <c r="F7292" s="16">
        <v>0.1</v>
      </c>
      <c r="G7292" s="15" t="s">
        <v>32</v>
      </c>
      <c r="H7292" s="18">
        <v>-5.0369999999999999</v>
      </c>
      <c r="I7292" s="19">
        <v>24.92</v>
      </c>
      <c r="J7292" s="19">
        <v>12.98</v>
      </c>
      <c r="K7292" s="19" t="s">
        <v>44</v>
      </c>
      <c r="L7292" s="19" t="s">
        <v>236</v>
      </c>
      <c r="M7292" s="15" t="s">
        <v>2341</v>
      </c>
      <c r="N7292" s="15" t="s">
        <v>36</v>
      </c>
      <c r="O7292" s="15" t="s">
        <v>170</v>
      </c>
      <c r="P7292" s="20" t="s">
        <v>425</v>
      </c>
      <c r="Q7292" s="15" t="s">
        <v>83</v>
      </c>
      <c r="R7292" s="4"/>
      <c r="S7292" s="4"/>
    </row>
    <row r="7293" spans="1:19" ht="21" customHeight="1" x14ac:dyDescent="0.25">
      <c r="A7293" s="14">
        <f>DATE(2012,12,31)-751</f>
        <v>40523</v>
      </c>
      <c r="B7293" s="15" t="s">
        <v>741</v>
      </c>
      <c r="C7293" s="15" t="s">
        <v>85</v>
      </c>
      <c r="D7293" s="16">
        <v>12</v>
      </c>
      <c r="E7293" s="17">
        <v>1551.34</v>
      </c>
      <c r="F7293" s="16">
        <v>0.03</v>
      </c>
      <c r="G7293" s="15" t="s">
        <v>58</v>
      </c>
      <c r="H7293" s="18">
        <v>-483.12</v>
      </c>
      <c r="I7293" s="19">
        <v>120.98</v>
      </c>
      <c r="J7293" s="19">
        <v>78.64</v>
      </c>
      <c r="K7293" s="19" t="s">
        <v>44</v>
      </c>
      <c r="L7293" s="19" t="s">
        <v>52</v>
      </c>
      <c r="M7293" s="15" t="s">
        <v>2336</v>
      </c>
      <c r="N7293" s="15" t="s">
        <v>54</v>
      </c>
      <c r="O7293" s="15" t="s">
        <v>134</v>
      </c>
      <c r="P7293" s="20" t="s">
        <v>615</v>
      </c>
      <c r="Q7293" s="15" t="s">
        <v>63</v>
      </c>
      <c r="R7293" s="4"/>
      <c r="S7293" s="4"/>
    </row>
    <row r="7294" spans="1:19" ht="21" customHeight="1" x14ac:dyDescent="0.25">
      <c r="A7294" s="14">
        <f>DATE(2012,12,31)-432</f>
        <v>40842</v>
      </c>
      <c r="B7294" s="15" t="s">
        <v>741</v>
      </c>
      <c r="C7294" s="15" t="s">
        <v>43</v>
      </c>
      <c r="D7294" s="16">
        <v>19</v>
      </c>
      <c r="E7294" s="17">
        <v>267</v>
      </c>
      <c r="F7294" s="16">
        <v>0.09</v>
      </c>
      <c r="G7294" s="15" t="s">
        <v>32</v>
      </c>
      <c r="H7294" s="18">
        <v>-2.8289999999999997</v>
      </c>
      <c r="I7294" s="19">
        <v>14.45</v>
      </c>
      <c r="J7294" s="19">
        <v>7.17</v>
      </c>
      <c r="K7294" s="19" t="s">
        <v>44</v>
      </c>
      <c r="L7294" s="19" t="s">
        <v>52</v>
      </c>
      <c r="M7294" s="15" t="s">
        <v>2336</v>
      </c>
      <c r="N7294" s="15" t="s">
        <v>36</v>
      </c>
      <c r="O7294" s="15" t="s">
        <v>170</v>
      </c>
      <c r="P7294" s="20" t="s">
        <v>1377</v>
      </c>
      <c r="Q7294" s="15" t="s">
        <v>83</v>
      </c>
      <c r="R7294" s="4"/>
      <c r="S7294" s="4"/>
    </row>
    <row r="7295" spans="1:19" ht="21" customHeight="1" x14ac:dyDescent="0.25">
      <c r="A7295" s="14">
        <f>DATE(2012,12,31)-1066</f>
        <v>40208</v>
      </c>
      <c r="B7295" s="15" t="s">
        <v>974</v>
      </c>
      <c r="C7295" s="15" t="s">
        <v>43</v>
      </c>
      <c r="D7295" s="16">
        <v>1</v>
      </c>
      <c r="E7295" s="17">
        <v>3.85</v>
      </c>
      <c r="F7295" s="16">
        <v>0.08</v>
      </c>
      <c r="G7295" s="15" t="s">
        <v>32</v>
      </c>
      <c r="H7295" s="18">
        <v>-1.36</v>
      </c>
      <c r="I7295" s="19">
        <v>3.08</v>
      </c>
      <c r="J7295" s="19">
        <v>0.99</v>
      </c>
      <c r="K7295" s="19" t="s">
        <v>44</v>
      </c>
      <c r="L7295" s="19" t="s">
        <v>52</v>
      </c>
      <c r="M7295" s="15" t="s">
        <v>2336</v>
      </c>
      <c r="N7295" s="15" t="s">
        <v>36</v>
      </c>
      <c r="O7295" s="15" t="s">
        <v>114</v>
      </c>
      <c r="P7295" s="20" t="s">
        <v>1753</v>
      </c>
      <c r="Q7295" s="15" t="s">
        <v>83</v>
      </c>
      <c r="R7295" s="4"/>
      <c r="S7295" s="4"/>
    </row>
    <row r="7296" spans="1:19" ht="21" customHeight="1" x14ac:dyDescent="0.25">
      <c r="A7296" s="14">
        <f>DATE(2012,12,31)-1066</f>
        <v>40208</v>
      </c>
      <c r="B7296" s="15" t="s">
        <v>974</v>
      </c>
      <c r="C7296" s="15" t="s">
        <v>43</v>
      </c>
      <c r="D7296" s="16">
        <v>10</v>
      </c>
      <c r="E7296" s="17">
        <v>547.00049999999999</v>
      </c>
      <c r="F7296" s="16">
        <v>0.08</v>
      </c>
      <c r="G7296" s="15" t="s">
        <v>32</v>
      </c>
      <c r="H7296" s="18">
        <v>-97.195999999999998</v>
      </c>
      <c r="I7296" s="19">
        <v>65.989999999999995</v>
      </c>
      <c r="J7296" s="19">
        <v>3.9</v>
      </c>
      <c r="K7296" s="19" t="s">
        <v>44</v>
      </c>
      <c r="L7296" s="19" t="s">
        <v>236</v>
      </c>
      <c r="M7296" s="15" t="s">
        <v>2341</v>
      </c>
      <c r="N7296" s="15" t="s">
        <v>64</v>
      </c>
      <c r="O7296" s="15" t="s">
        <v>65</v>
      </c>
      <c r="P7296" s="20" t="s">
        <v>1516</v>
      </c>
      <c r="Q7296" s="15" t="s">
        <v>83</v>
      </c>
      <c r="R7296" s="4"/>
      <c r="S7296" s="4"/>
    </row>
    <row r="7297" spans="1:19" ht="21" customHeight="1" x14ac:dyDescent="0.25">
      <c r="A7297" s="14">
        <f>DATE(2012,12,31)-149</f>
        <v>41125</v>
      </c>
      <c r="B7297" s="15" t="s">
        <v>552</v>
      </c>
      <c r="C7297" s="15" t="s">
        <v>85</v>
      </c>
      <c r="D7297" s="16">
        <v>23</v>
      </c>
      <c r="E7297" s="17">
        <v>91.94</v>
      </c>
      <c r="F7297" s="16">
        <v>0.01</v>
      </c>
      <c r="G7297" s="15" t="s">
        <v>32</v>
      </c>
      <c r="H7297" s="18">
        <v>-10.11</v>
      </c>
      <c r="I7297" s="19">
        <v>3.95</v>
      </c>
      <c r="J7297" s="19">
        <v>2</v>
      </c>
      <c r="K7297" s="19" t="s">
        <v>44</v>
      </c>
      <c r="L7297" s="19" t="s">
        <v>52</v>
      </c>
      <c r="M7297" s="15" t="s">
        <v>2336</v>
      </c>
      <c r="N7297" s="15" t="s">
        <v>36</v>
      </c>
      <c r="O7297" s="15" t="s">
        <v>105</v>
      </c>
      <c r="P7297" s="20" t="s">
        <v>2097</v>
      </c>
      <c r="Q7297" s="15" t="s">
        <v>79</v>
      </c>
      <c r="R7297" s="4"/>
      <c r="S7297" s="4"/>
    </row>
    <row r="7298" spans="1:19" ht="21" customHeight="1" x14ac:dyDescent="0.25">
      <c r="A7298" s="14">
        <f>DATE(2012,12,31)-149</f>
        <v>41125</v>
      </c>
      <c r="B7298" s="15" t="s">
        <v>552</v>
      </c>
      <c r="C7298" s="15" t="s">
        <v>85</v>
      </c>
      <c r="D7298" s="16">
        <v>6</v>
      </c>
      <c r="E7298" s="17">
        <v>377.03</v>
      </c>
      <c r="F7298" s="16">
        <v>0.06</v>
      </c>
      <c r="G7298" s="15" t="s">
        <v>32</v>
      </c>
      <c r="H7298" s="18">
        <v>-78.819999999999993</v>
      </c>
      <c r="I7298" s="19">
        <v>64.98</v>
      </c>
      <c r="J7298" s="19">
        <v>6.88</v>
      </c>
      <c r="K7298" s="19" t="s">
        <v>44</v>
      </c>
      <c r="L7298" s="19" t="s">
        <v>52</v>
      </c>
      <c r="M7298" s="15" t="s">
        <v>2336</v>
      </c>
      <c r="N7298" s="15" t="s">
        <v>36</v>
      </c>
      <c r="O7298" s="15" t="s">
        <v>37</v>
      </c>
      <c r="P7298" s="20" t="s">
        <v>1161</v>
      </c>
      <c r="Q7298" s="15" t="s">
        <v>83</v>
      </c>
      <c r="R7298" s="4"/>
      <c r="S7298" s="4"/>
    </row>
    <row r="7299" spans="1:19" ht="21" customHeight="1" x14ac:dyDescent="0.25">
      <c r="A7299" s="14">
        <f>DATE(2012,12,31)-705</f>
        <v>40569</v>
      </c>
      <c r="B7299" s="15" t="s">
        <v>820</v>
      </c>
      <c r="C7299" s="15" t="s">
        <v>85</v>
      </c>
      <c r="D7299" s="16">
        <v>19</v>
      </c>
      <c r="E7299" s="17">
        <v>92.24</v>
      </c>
      <c r="F7299" s="16">
        <v>0.05</v>
      </c>
      <c r="G7299" s="15" t="s">
        <v>32</v>
      </c>
      <c r="H7299" s="18">
        <v>-60.582000000000001</v>
      </c>
      <c r="I7299" s="19">
        <v>4.82</v>
      </c>
      <c r="J7299" s="19">
        <v>5.24</v>
      </c>
      <c r="K7299" s="19" t="s">
        <v>44</v>
      </c>
      <c r="L7299" s="19" t="s">
        <v>52</v>
      </c>
      <c r="M7299" s="15" t="s">
        <v>2336</v>
      </c>
      <c r="N7299" s="15" t="s">
        <v>36</v>
      </c>
      <c r="O7299" s="15" t="s">
        <v>170</v>
      </c>
      <c r="P7299" s="20" t="s">
        <v>461</v>
      </c>
      <c r="Q7299" s="15" t="s">
        <v>83</v>
      </c>
      <c r="R7299" s="4"/>
      <c r="S7299" s="4"/>
    </row>
    <row r="7300" spans="1:19" ht="21" customHeight="1" x14ac:dyDescent="0.25">
      <c r="A7300" s="14">
        <f>DATE(2012,12,31)-263</f>
        <v>41011</v>
      </c>
      <c r="B7300" s="15" t="s">
        <v>1970</v>
      </c>
      <c r="C7300" s="15" t="s">
        <v>85</v>
      </c>
      <c r="D7300" s="16">
        <v>10</v>
      </c>
      <c r="E7300" s="17">
        <v>131.09</v>
      </c>
      <c r="F7300" s="16">
        <v>0.01</v>
      </c>
      <c r="G7300" s="15" t="s">
        <v>32</v>
      </c>
      <c r="H7300" s="18">
        <v>10.94</v>
      </c>
      <c r="I7300" s="19">
        <v>12.22</v>
      </c>
      <c r="J7300" s="19">
        <v>2.85</v>
      </c>
      <c r="K7300" s="19" t="s">
        <v>44</v>
      </c>
      <c r="L7300" s="19" t="s">
        <v>52</v>
      </c>
      <c r="M7300" s="15" t="s">
        <v>2336</v>
      </c>
      <c r="N7300" s="15" t="s">
        <v>54</v>
      </c>
      <c r="O7300" s="15" t="s">
        <v>55</v>
      </c>
      <c r="P7300" s="20" t="s">
        <v>507</v>
      </c>
      <c r="Q7300" s="15" t="s">
        <v>49</v>
      </c>
      <c r="R7300" s="4"/>
      <c r="S7300" s="4"/>
    </row>
    <row r="7301" spans="1:19" ht="21" customHeight="1" x14ac:dyDescent="0.25">
      <c r="A7301" s="14">
        <f>DATE(2012,12,31)-263</f>
        <v>41011</v>
      </c>
      <c r="B7301" s="15" t="s">
        <v>163</v>
      </c>
      <c r="C7301" s="15" t="s">
        <v>85</v>
      </c>
      <c r="D7301" s="16">
        <v>33</v>
      </c>
      <c r="E7301" s="17">
        <v>1817.9</v>
      </c>
      <c r="F7301" s="16">
        <v>0.06</v>
      </c>
      <c r="G7301" s="15" t="s">
        <v>32</v>
      </c>
      <c r="H7301" s="18">
        <v>700.31</v>
      </c>
      <c r="I7301" s="19">
        <v>54.96</v>
      </c>
      <c r="J7301" s="19">
        <v>10.75</v>
      </c>
      <c r="K7301" s="19" t="s">
        <v>44</v>
      </c>
      <c r="L7301" s="19" t="s">
        <v>52</v>
      </c>
      <c r="M7301" s="15" t="s">
        <v>2336</v>
      </c>
      <c r="N7301" s="15" t="s">
        <v>36</v>
      </c>
      <c r="O7301" s="15" t="s">
        <v>117</v>
      </c>
      <c r="P7301" s="20" t="s">
        <v>358</v>
      </c>
      <c r="Q7301" s="15" t="s">
        <v>83</v>
      </c>
      <c r="R7301" s="4"/>
      <c r="S7301" s="4"/>
    </row>
    <row r="7302" spans="1:19" ht="21" customHeight="1" x14ac:dyDescent="0.25">
      <c r="A7302" s="14">
        <f>DATE(2012,12,31)-1418</f>
        <v>39856</v>
      </c>
      <c r="B7302" s="15" t="s">
        <v>163</v>
      </c>
      <c r="C7302" s="15" t="s">
        <v>85</v>
      </c>
      <c r="D7302" s="16">
        <v>37</v>
      </c>
      <c r="E7302" s="17">
        <v>240.52</v>
      </c>
      <c r="F7302" s="16">
        <v>0.05</v>
      </c>
      <c r="G7302" s="15" t="s">
        <v>32</v>
      </c>
      <c r="H7302" s="18">
        <v>-164.18</v>
      </c>
      <c r="I7302" s="19">
        <v>6.48</v>
      </c>
      <c r="J7302" s="19">
        <v>8.19</v>
      </c>
      <c r="K7302" s="19" t="s">
        <v>69</v>
      </c>
      <c r="L7302" s="19" t="s">
        <v>70</v>
      </c>
      <c r="M7302" s="15" t="s">
        <v>2327</v>
      </c>
      <c r="N7302" s="15" t="s">
        <v>36</v>
      </c>
      <c r="O7302" s="15" t="s">
        <v>117</v>
      </c>
      <c r="P7302" s="20" t="s">
        <v>2156</v>
      </c>
      <c r="Q7302" s="15" t="s">
        <v>83</v>
      </c>
      <c r="R7302" s="4"/>
      <c r="S7302" s="4"/>
    </row>
    <row r="7303" spans="1:19" ht="21" customHeight="1" x14ac:dyDescent="0.25">
      <c r="A7303" s="14">
        <f>DATE(2012,12,31)-123</f>
        <v>41151</v>
      </c>
      <c r="B7303" s="15" t="s">
        <v>163</v>
      </c>
      <c r="C7303" s="15" t="s">
        <v>85</v>
      </c>
      <c r="D7303" s="16">
        <v>29</v>
      </c>
      <c r="E7303" s="17">
        <v>2700.78</v>
      </c>
      <c r="F7303" s="16">
        <v>0.06</v>
      </c>
      <c r="G7303" s="15" t="s">
        <v>58</v>
      </c>
      <c r="H7303" s="18">
        <v>-793.36</v>
      </c>
      <c r="I7303" s="19">
        <v>95.98</v>
      </c>
      <c r="J7303" s="19">
        <v>58.2</v>
      </c>
      <c r="K7303" s="19" t="s">
        <v>33</v>
      </c>
      <c r="L7303" s="19" t="s">
        <v>59</v>
      </c>
      <c r="M7303" s="15" t="s">
        <v>2344</v>
      </c>
      <c r="N7303" s="15" t="s">
        <v>54</v>
      </c>
      <c r="O7303" s="15" t="s">
        <v>252</v>
      </c>
      <c r="P7303" s="20" t="s">
        <v>1299</v>
      </c>
      <c r="Q7303" s="15" t="s">
        <v>181</v>
      </c>
      <c r="R7303" s="4"/>
      <c r="S7303" s="4"/>
    </row>
    <row r="7304" spans="1:19" ht="21" customHeight="1" x14ac:dyDescent="0.25">
      <c r="A7304" s="14">
        <f>DATE(2012,12,31)-788</f>
        <v>40486</v>
      </c>
      <c r="B7304" s="15" t="s">
        <v>163</v>
      </c>
      <c r="C7304" s="15" t="s">
        <v>43</v>
      </c>
      <c r="D7304" s="16">
        <v>23</v>
      </c>
      <c r="E7304" s="17">
        <v>1236.954</v>
      </c>
      <c r="F7304" s="16">
        <v>0.06</v>
      </c>
      <c r="G7304" s="15" t="s">
        <v>32</v>
      </c>
      <c r="H7304" s="18">
        <v>119.88900000000001</v>
      </c>
      <c r="I7304" s="19">
        <v>65.989999999999995</v>
      </c>
      <c r="J7304" s="19">
        <v>4.2</v>
      </c>
      <c r="K7304" s="19" t="s">
        <v>44</v>
      </c>
      <c r="L7304" s="19" t="s">
        <v>80</v>
      </c>
      <c r="M7304" s="15" t="s">
        <v>2339</v>
      </c>
      <c r="N7304" s="15" t="s">
        <v>64</v>
      </c>
      <c r="O7304" s="15" t="s">
        <v>65</v>
      </c>
      <c r="P7304" s="20" t="s">
        <v>1431</v>
      </c>
      <c r="Q7304" s="15" t="s">
        <v>83</v>
      </c>
      <c r="R7304" s="4"/>
      <c r="S7304" s="4"/>
    </row>
    <row r="7305" spans="1:19" ht="21" customHeight="1" x14ac:dyDescent="0.25">
      <c r="A7305" s="14">
        <f>DATE(2012,12,31)-1420</f>
        <v>39854</v>
      </c>
      <c r="B7305" s="15" t="s">
        <v>1189</v>
      </c>
      <c r="C7305" s="15" t="s">
        <v>31</v>
      </c>
      <c r="D7305" s="16">
        <v>5</v>
      </c>
      <c r="E7305" s="17">
        <v>63.85</v>
      </c>
      <c r="F7305" s="16">
        <v>0.04</v>
      </c>
      <c r="G7305" s="15" t="s">
        <v>32</v>
      </c>
      <c r="H7305" s="18">
        <v>40.44</v>
      </c>
      <c r="I7305" s="19">
        <v>12.22</v>
      </c>
      <c r="J7305" s="19">
        <v>2.85</v>
      </c>
      <c r="K7305" s="19" t="s">
        <v>124</v>
      </c>
      <c r="L7305" s="19" t="s">
        <v>160</v>
      </c>
      <c r="M7305" s="15" t="s">
        <v>2281</v>
      </c>
      <c r="N7305" s="15" t="s">
        <v>54</v>
      </c>
      <c r="O7305" s="15" t="s">
        <v>55</v>
      </c>
      <c r="P7305" s="20" t="s">
        <v>1474</v>
      </c>
      <c r="Q7305" s="15" t="s">
        <v>49</v>
      </c>
      <c r="R7305" s="4"/>
      <c r="S7305" s="4"/>
    </row>
    <row r="7306" spans="1:19" ht="21" customHeight="1" x14ac:dyDescent="0.25">
      <c r="A7306" s="14">
        <f>DATE(2012,12,31)-620</f>
        <v>40654</v>
      </c>
      <c r="B7306" s="15" t="s">
        <v>768</v>
      </c>
      <c r="C7306" s="15" t="s">
        <v>43</v>
      </c>
      <c r="D7306" s="16">
        <v>49</v>
      </c>
      <c r="E7306" s="17">
        <v>10261.25</v>
      </c>
      <c r="F7306" s="16">
        <v>0.02</v>
      </c>
      <c r="G7306" s="15" t="s">
        <v>58</v>
      </c>
      <c r="H7306" s="18">
        <v>611.11</v>
      </c>
      <c r="I7306" s="19">
        <v>212.6</v>
      </c>
      <c r="J7306" s="19">
        <v>52.2</v>
      </c>
      <c r="K7306" s="19" t="s">
        <v>33</v>
      </c>
      <c r="L7306" s="19" t="s">
        <v>145</v>
      </c>
      <c r="M7306" s="15" t="s">
        <v>2313</v>
      </c>
      <c r="N7306" s="15" t="s">
        <v>54</v>
      </c>
      <c r="O7306" s="15" t="s">
        <v>61</v>
      </c>
      <c r="P7306" s="20" t="s">
        <v>1218</v>
      </c>
      <c r="Q7306" s="15" t="s">
        <v>63</v>
      </c>
      <c r="R7306" s="4"/>
      <c r="S7306" s="4"/>
    </row>
    <row r="7307" spans="1:19" ht="21" customHeight="1" x14ac:dyDescent="0.25">
      <c r="A7307" s="14">
        <f>DATE(2012,12,31)-509</f>
        <v>40765</v>
      </c>
      <c r="B7307" s="15" t="s">
        <v>768</v>
      </c>
      <c r="C7307" s="15" t="s">
        <v>51</v>
      </c>
      <c r="D7307" s="16">
        <v>19</v>
      </c>
      <c r="E7307" s="17">
        <v>1410.44</v>
      </c>
      <c r="F7307" s="16">
        <v>7.0000000000000007E-2</v>
      </c>
      <c r="G7307" s="15" t="s">
        <v>32</v>
      </c>
      <c r="H7307" s="18">
        <v>545.11</v>
      </c>
      <c r="I7307" s="19">
        <v>78.69</v>
      </c>
      <c r="J7307" s="19">
        <v>19.989999999999998</v>
      </c>
      <c r="K7307" s="19" t="s">
        <v>33</v>
      </c>
      <c r="L7307" s="19" t="s">
        <v>59</v>
      </c>
      <c r="M7307" s="15" t="s">
        <v>2344</v>
      </c>
      <c r="N7307" s="15" t="s">
        <v>54</v>
      </c>
      <c r="O7307" s="15" t="s">
        <v>55</v>
      </c>
      <c r="P7307" s="20" t="s">
        <v>1114</v>
      </c>
      <c r="Q7307" s="15" t="s">
        <v>83</v>
      </c>
      <c r="R7307" s="4"/>
      <c r="S7307" s="4"/>
    </row>
    <row r="7308" spans="1:19" ht="21" customHeight="1" x14ac:dyDescent="0.25">
      <c r="A7308" s="14">
        <f>DATE(2012,12,31)-224</f>
        <v>41050</v>
      </c>
      <c r="B7308" s="15" t="s">
        <v>1282</v>
      </c>
      <c r="C7308" s="15" t="s">
        <v>31</v>
      </c>
      <c r="D7308" s="16">
        <v>7</v>
      </c>
      <c r="E7308" s="17">
        <v>1134.05</v>
      </c>
      <c r="F7308" s="16">
        <v>0.08</v>
      </c>
      <c r="G7308" s="15" t="s">
        <v>32</v>
      </c>
      <c r="H7308" s="18">
        <v>149.49799999999999</v>
      </c>
      <c r="I7308" s="19">
        <v>172.99</v>
      </c>
      <c r="J7308" s="19">
        <v>19.989999999999998</v>
      </c>
      <c r="K7308" s="19" t="s">
        <v>33</v>
      </c>
      <c r="L7308" s="19" t="s">
        <v>34</v>
      </c>
      <c r="M7308" s="15" t="s">
        <v>2315</v>
      </c>
      <c r="N7308" s="15" t="s">
        <v>36</v>
      </c>
      <c r="O7308" s="15" t="s">
        <v>170</v>
      </c>
      <c r="P7308" s="20" t="s">
        <v>2008</v>
      </c>
      <c r="Q7308" s="15" t="s">
        <v>83</v>
      </c>
      <c r="R7308" s="4"/>
      <c r="S7308" s="4"/>
    </row>
    <row r="7309" spans="1:19" ht="21" customHeight="1" x14ac:dyDescent="0.25">
      <c r="A7309" s="14">
        <f>DATE(2012,12,31)-224</f>
        <v>41050</v>
      </c>
      <c r="B7309" s="15" t="s">
        <v>696</v>
      </c>
      <c r="C7309" s="15" t="s">
        <v>31</v>
      </c>
      <c r="D7309" s="16">
        <v>28</v>
      </c>
      <c r="E7309" s="17">
        <v>1470.0495000000001</v>
      </c>
      <c r="F7309" s="16">
        <v>0.1</v>
      </c>
      <c r="G7309" s="15" t="s">
        <v>32</v>
      </c>
      <c r="H7309" s="18">
        <v>185.94</v>
      </c>
      <c r="I7309" s="19">
        <v>65.989999999999995</v>
      </c>
      <c r="J7309" s="19">
        <v>4.99</v>
      </c>
      <c r="K7309" s="19" t="s">
        <v>69</v>
      </c>
      <c r="L7309" s="19" t="s">
        <v>75</v>
      </c>
      <c r="M7309" s="15" t="s">
        <v>76</v>
      </c>
      <c r="N7309" s="15" t="s">
        <v>64</v>
      </c>
      <c r="O7309" s="15" t="s">
        <v>65</v>
      </c>
      <c r="P7309" s="20" t="s">
        <v>467</v>
      </c>
      <c r="Q7309" s="15" t="s">
        <v>83</v>
      </c>
      <c r="R7309" s="4"/>
      <c r="S7309" s="4"/>
    </row>
    <row r="7310" spans="1:19" ht="21" customHeight="1" x14ac:dyDescent="0.25">
      <c r="A7310" s="14">
        <f>DATE(2012,12,31)-1159</f>
        <v>40115</v>
      </c>
      <c r="B7310" s="15" t="s">
        <v>343</v>
      </c>
      <c r="C7310" s="15" t="s">
        <v>85</v>
      </c>
      <c r="D7310" s="16">
        <v>48</v>
      </c>
      <c r="E7310" s="17">
        <v>287.54000000000002</v>
      </c>
      <c r="F7310" s="16">
        <v>0.04</v>
      </c>
      <c r="G7310" s="15" t="s">
        <v>32</v>
      </c>
      <c r="H7310" s="18">
        <v>57.28</v>
      </c>
      <c r="I7310" s="19">
        <v>5.98</v>
      </c>
      <c r="J7310" s="19">
        <v>0.96</v>
      </c>
      <c r="K7310" s="19" t="s">
        <v>69</v>
      </c>
      <c r="L7310" s="19" t="s">
        <v>70</v>
      </c>
      <c r="M7310" s="15" t="s">
        <v>2327</v>
      </c>
      <c r="N7310" s="15" t="s">
        <v>36</v>
      </c>
      <c r="O7310" s="15" t="s">
        <v>77</v>
      </c>
      <c r="P7310" s="20" t="s">
        <v>2345</v>
      </c>
      <c r="Q7310" s="15" t="s">
        <v>79</v>
      </c>
      <c r="R7310" s="4"/>
      <c r="S7310" s="4"/>
    </row>
    <row r="7311" spans="1:19" ht="21" customHeight="1" x14ac:dyDescent="0.25">
      <c r="A7311" s="14">
        <f>DATE(2012,12,31)-1159</f>
        <v>40115</v>
      </c>
      <c r="B7311" s="15" t="s">
        <v>256</v>
      </c>
      <c r="C7311" s="15" t="s">
        <v>85</v>
      </c>
      <c r="D7311" s="16">
        <v>5</v>
      </c>
      <c r="E7311" s="17">
        <v>88.314999999999998</v>
      </c>
      <c r="F7311" s="16">
        <v>0.01</v>
      </c>
      <c r="G7311" s="15" t="s">
        <v>32</v>
      </c>
      <c r="H7311" s="18">
        <v>-72.401999999999987</v>
      </c>
      <c r="I7311" s="19">
        <v>20.99</v>
      </c>
      <c r="J7311" s="19">
        <v>0.99</v>
      </c>
      <c r="K7311" s="19" t="s">
        <v>44</v>
      </c>
      <c r="L7311" s="19" t="s">
        <v>89</v>
      </c>
      <c r="M7311" s="15" t="s">
        <v>2337</v>
      </c>
      <c r="N7311" s="15" t="s">
        <v>64</v>
      </c>
      <c r="O7311" s="15" t="s">
        <v>65</v>
      </c>
      <c r="P7311" s="20" t="s">
        <v>575</v>
      </c>
      <c r="Q7311" s="15" t="s">
        <v>79</v>
      </c>
      <c r="R7311" s="4"/>
      <c r="S7311" s="4"/>
    </row>
    <row r="7312" spans="1:19" ht="21" customHeight="1" x14ac:dyDescent="0.25">
      <c r="A7312" s="14">
        <f>DATE(2012,12,31)-820</f>
        <v>40454</v>
      </c>
      <c r="B7312" s="15" t="s">
        <v>256</v>
      </c>
      <c r="C7312" s="15" t="s">
        <v>43</v>
      </c>
      <c r="D7312" s="16">
        <v>18</v>
      </c>
      <c r="E7312" s="17">
        <v>2379.15</v>
      </c>
      <c r="F7312" s="16">
        <v>0.06</v>
      </c>
      <c r="G7312" s="15" t="s">
        <v>58</v>
      </c>
      <c r="H7312" s="18">
        <v>-261.77</v>
      </c>
      <c r="I7312" s="19">
        <v>130.97999999999999</v>
      </c>
      <c r="J7312" s="19">
        <v>30</v>
      </c>
      <c r="K7312" s="19" t="s">
        <v>44</v>
      </c>
      <c r="L7312" s="19" t="s">
        <v>89</v>
      </c>
      <c r="M7312" s="15" t="s">
        <v>2337</v>
      </c>
      <c r="N7312" s="15" t="s">
        <v>54</v>
      </c>
      <c r="O7312" s="15" t="s">
        <v>252</v>
      </c>
      <c r="P7312" s="20" t="s">
        <v>632</v>
      </c>
      <c r="Q7312" s="15" t="s">
        <v>181</v>
      </c>
      <c r="R7312" s="4"/>
      <c r="S7312" s="4"/>
    </row>
    <row r="7313" spans="1:19" ht="21" customHeight="1" x14ac:dyDescent="0.25">
      <c r="A7313" s="14">
        <f>DATE(2012,12,31)-626</f>
        <v>40648</v>
      </c>
      <c r="B7313" s="15" t="s">
        <v>544</v>
      </c>
      <c r="C7313" s="15" t="s">
        <v>51</v>
      </c>
      <c r="D7313" s="16">
        <v>4</v>
      </c>
      <c r="E7313" s="17">
        <v>31.14</v>
      </c>
      <c r="F7313" s="16">
        <v>0.08</v>
      </c>
      <c r="G7313" s="15" t="s">
        <v>32</v>
      </c>
      <c r="H7313" s="18">
        <v>-14.59</v>
      </c>
      <c r="I7313" s="19">
        <v>6.48</v>
      </c>
      <c r="J7313" s="19">
        <v>5.86</v>
      </c>
      <c r="K7313" s="19" t="s">
        <v>44</v>
      </c>
      <c r="L7313" s="19" t="s">
        <v>89</v>
      </c>
      <c r="M7313" s="15" t="s">
        <v>2337</v>
      </c>
      <c r="N7313" s="15" t="s">
        <v>36</v>
      </c>
      <c r="O7313" s="15" t="s">
        <v>117</v>
      </c>
      <c r="P7313" s="20" t="s">
        <v>1800</v>
      </c>
      <c r="Q7313" s="15" t="s">
        <v>83</v>
      </c>
      <c r="R7313" s="4"/>
      <c r="S7313" s="4"/>
    </row>
    <row r="7314" spans="1:19" ht="21" customHeight="1" x14ac:dyDescent="0.25">
      <c r="A7314" s="14">
        <f>DATE(2012,12,31)-98</f>
        <v>41176</v>
      </c>
      <c r="B7314" s="15" t="s">
        <v>676</v>
      </c>
      <c r="C7314" s="15" t="s">
        <v>31</v>
      </c>
      <c r="D7314" s="16">
        <v>41</v>
      </c>
      <c r="E7314" s="17">
        <v>112.6</v>
      </c>
      <c r="F7314" s="16">
        <v>0.1</v>
      </c>
      <c r="G7314" s="15" t="s">
        <v>32</v>
      </c>
      <c r="H7314" s="18">
        <v>0.49</v>
      </c>
      <c r="I7314" s="19">
        <v>2.88</v>
      </c>
      <c r="J7314" s="19">
        <v>1.01</v>
      </c>
      <c r="K7314" s="19" t="s">
        <v>44</v>
      </c>
      <c r="L7314" s="19" t="s">
        <v>89</v>
      </c>
      <c r="M7314" s="15" t="s">
        <v>2337</v>
      </c>
      <c r="N7314" s="15" t="s">
        <v>36</v>
      </c>
      <c r="O7314" s="15" t="s">
        <v>77</v>
      </c>
      <c r="P7314" s="20" t="s">
        <v>1706</v>
      </c>
      <c r="Q7314" s="15" t="s">
        <v>79</v>
      </c>
      <c r="R7314" s="4"/>
      <c r="S7314" s="4"/>
    </row>
    <row r="7315" spans="1:19" ht="21" customHeight="1" x14ac:dyDescent="0.25">
      <c r="A7315" s="14">
        <f>DATE(2012,12,31)-422</f>
        <v>40852</v>
      </c>
      <c r="B7315" s="15" t="s">
        <v>676</v>
      </c>
      <c r="C7315" s="15" t="s">
        <v>51</v>
      </c>
      <c r="D7315" s="16">
        <v>48</v>
      </c>
      <c r="E7315" s="17">
        <v>617.26</v>
      </c>
      <c r="F7315" s="16">
        <v>0.04</v>
      </c>
      <c r="G7315" s="15" t="s">
        <v>32</v>
      </c>
      <c r="H7315" s="18">
        <v>-37.520000000000003</v>
      </c>
      <c r="I7315" s="19">
        <v>12.28</v>
      </c>
      <c r="J7315" s="19">
        <v>6.13</v>
      </c>
      <c r="K7315" s="19" t="s">
        <v>44</v>
      </c>
      <c r="L7315" s="19" t="s">
        <v>89</v>
      </c>
      <c r="M7315" s="15" t="s">
        <v>2337</v>
      </c>
      <c r="N7315" s="15" t="s">
        <v>36</v>
      </c>
      <c r="O7315" s="15" t="s">
        <v>37</v>
      </c>
      <c r="P7315" s="20" t="s">
        <v>535</v>
      </c>
      <c r="Q7315" s="15" t="s">
        <v>83</v>
      </c>
      <c r="R7315" s="4"/>
      <c r="S7315" s="4"/>
    </row>
    <row r="7316" spans="1:19" ht="21" customHeight="1" x14ac:dyDescent="0.25">
      <c r="A7316" s="14">
        <f>DATE(2012,12,31)-422</f>
        <v>40852</v>
      </c>
      <c r="B7316" s="15" t="s">
        <v>1282</v>
      </c>
      <c r="C7316" s="15" t="s">
        <v>51</v>
      </c>
      <c r="D7316" s="16">
        <v>45</v>
      </c>
      <c r="E7316" s="17">
        <v>13104.992</v>
      </c>
      <c r="F7316" s="16">
        <v>0.03</v>
      </c>
      <c r="G7316" s="15" t="s">
        <v>58</v>
      </c>
      <c r="H7316" s="18">
        <v>5626.42</v>
      </c>
      <c r="I7316" s="19">
        <v>349.45</v>
      </c>
      <c r="J7316" s="19">
        <v>60</v>
      </c>
      <c r="K7316" s="19" t="s">
        <v>44</v>
      </c>
      <c r="L7316" s="19" t="s">
        <v>45</v>
      </c>
      <c r="M7316" s="15" t="s">
        <v>2271</v>
      </c>
      <c r="N7316" s="15" t="s">
        <v>54</v>
      </c>
      <c r="O7316" s="15" t="s">
        <v>61</v>
      </c>
      <c r="P7316" s="20" t="s">
        <v>381</v>
      </c>
      <c r="Q7316" s="15" t="s">
        <v>181</v>
      </c>
      <c r="R7316" s="4"/>
      <c r="S7316" s="4"/>
    </row>
    <row r="7317" spans="1:19" ht="21" customHeight="1" x14ac:dyDescent="0.25">
      <c r="A7317" s="14">
        <f>DATE(2012,12,31)-1063</f>
        <v>40211</v>
      </c>
      <c r="B7317" s="15" t="s">
        <v>1282</v>
      </c>
      <c r="C7317" s="15" t="s">
        <v>31</v>
      </c>
      <c r="D7317" s="16">
        <v>1</v>
      </c>
      <c r="E7317" s="17">
        <v>5.7</v>
      </c>
      <c r="F7317" s="16">
        <v>0.1</v>
      </c>
      <c r="G7317" s="15" t="s">
        <v>32</v>
      </c>
      <c r="H7317" s="18">
        <v>-2.34</v>
      </c>
      <c r="I7317" s="19">
        <v>3.95</v>
      </c>
      <c r="J7317" s="19">
        <v>2</v>
      </c>
      <c r="K7317" s="19" t="s">
        <v>124</v>
      </c>
      <c r="L7317" s="19" t="s">
        <v>125</v>
      </c>
      <c r="M7317" s="15" t="s">
        <v>2325</v>
      </c>
      <c r="N7317" s="15" t="s">
        <v>36</v>
      </c>
      <c r="O7317" s="15" t="s">
        <v>105</v>
      </c>
      <c r="P7317" s="20" t="s">
        <v>1723</v>
      </c>
      <c r="Q7317" s="15" t="s">
        <v>79</v>
      </c>
      <c r="R7317" s="4"/>
      <c r="S7317" s="4"/>
    </row>
    <row r="7318" spans="1:19" ht="21" customHeight="1" x14ac:dyDescent="0.25">
      <c r="A7318" s="14">
        <f>DATE(2012,12,31)-185</f>
        <v>41089</v>
      </c>
      <c r="B7318" s="15" t="s">
        <v>500</v>
      </c>
      <c r="C7318" s="15" t="s">
        <v>43</v>
      </c>
      <c r="D7318" s="16">
        <v>4</v>
      </c>
      <c r="E7318" s="17">
        <v>757.11</v>
      </c>
      <c r="F7318" s="16">
        <v>7.0000000000000007E-2</v>
      </c>
      <c r="G7318" s="15" t="s">
        <v>58</v>
      </c>
      <c r="H7318" s="18">
        <v>-224.35</v>
      </c>
      <c r="I7318" s="19">
        <v>180.98</v>
      </c>
      <c r="J7318" s="19">
        <v>30</v>
      </c>
      <c r="K7318" s="19" t="s">
        <v>33</v>
      </c>
      <c r="L7318" s="19" t="s">
        <v>93</v>
      </c>
      <c r="M7318" s="15" t="s">
        <v>94</v>
      </c>
      <c r="N7318" s="15" t="s">
        <v>54</v>
      </c>
      <c r="O7318" s="15" t="s">
        <v>252</v>
      </c>
      <c r="P7318" s="20" t="s">
        <v>2041</v>
      </c>
      <c r="Q7318" s="15" t="s">
        <v>181</v>
      </c>
      <c r="R7318" s="4"/>
      <c r="S7318" s="4"/>
    </row>
    <row r="7319" spans="1:19" ht="21" customHeight="1" x14ac:dyDescent="0.25">
      <c r="A7319" s="14">
        <f>DATE(2012,12,31)-170</f>
        <v>41104</v>
      </c>
      <c r="B7319" s="15" t="s">
        <v>2073</v>
      </c>
      <c r="C7319" s="15" t="s">
        <v>43</v>
      </c>
      <c r="D7319" s="16">
        <v>23</v>
      </c>
      <c r="E7319" s="17">
        <v>5126.3</v>
      </c>
      <c r="F7319" s="16">
        <v>7.0000000000000007E-2</v>
      </c>
      <c r="G7319" s="15" t="s">
        <v>32</v>
      </c>
      <c r="H7319" s="18">
        <v>2019.192</v>
      </c>
      <c r="I7319" s="19">
        <v>223.98</v>
      </c>
      <c r="J7319" s="19">
        <v>15.01</v>
      </c>
      <c r="K7319" s="19" t="s">
        <v>33</v>
      </c>
      <c r="L7319" s="19" t="s">
        <v>128</v>
      </c>
      <c r="M7319" s="15" t="s">
        <v>129</v>
      </c>
      <c r="N7319" s="15" t="s">
        <v>36</v>
      </c>
      <c r="O7319" s="15" t="s">
        <v>170</v>
      </c>
      <c r="P7319" s="20" t="s">
        <v>1140</v>
      </c>
      <c r="Q7319" s="15" t="s">
        <v>83</v>
      </c>
      <c r="R7319" s="4"/>
      <c r="S7319" s="4"/>
    </row>
    <row r="7320" spans="1:19" ht="21" customHeight="1" x14ac:dyDescent="0.25">
      <c r="A7320" s="14">
        <f>DATE(2012,12,31)-880</f>
        <v>40394</v>
      </c>
      <c r="B7320" s="15" t="s">
        <v>2073</v>
      </c>
      <c r="C7320" s="15" t="s">
        <v>31</v>
      </c>
      <c r="D7320" s="16">
        <v>41</v>
      </c>
      <c r="E7320" s="17">
        <v>152.28</v>
      </c>
      <c r="F7320" s="16">
        <v>0.06</v>
      </c>
      <c r="G7320" s="15" t="s">
        <v>32</v>
      </c>
      <c r="H7320" s="18">
        <v>-154.81300000000002</v>
      </c>
      <c r="I7320" s="19">
        <v>3.81</v>
      </c>
      <c r="J7320" s="19">
        <v>5.44</v>
      </c>
      <c r="K7320" s="19" t="s">
        <v>33</v>
      </c>
      <c r="L7320" s="19" t="s">
        <v>93</v>
      </c>
      <c r="M7320" s="15" t="s">
        <v>94</v>
      </c>
      <c r="N7320" s="15" t="s">
        <v>36</v>
      </c>
      <c r="O7320" s="15" t="s">
        <v>170</v>
      </c>
      <c r="P7320" s="20" t="s">
        <v>830</v>
      </c>
      <c r="Q7320" s="15" t="s">
        <v>83</v>
      </c>
      <c r="R7320" s="4"/>
      <c r="S7320" s="4"/>
    </row>
    <row r="7321" spans="1:19" ht="21" customHeight="1" x14ac:dyDescent="0.25">
      <c r="A7321" s="14">
        <f>DATE(2012,12,31)-377</f>
        <v>40897</v>
      </c>
      <c r="B7321" s="15" t="s">
        <v>1433</v>
      </c>
      <c r="C7321" s="15" t="s">
        <v>85</v>
      </c>
      <c r="D7321" s="16">
        <v>27</v>
      </c>
      <c r="E7321" s="17">
        <v>3853.47</v>
      </c>
      <c r="F7321" s="16">
        <v>0.1</v>
      </c>
      <c r="G7321" s="15" t="s">
        <v>32</v>
      </c>
      <c r="H7321" s="18">
        <v>21.499999999999943</v>
      </c>
      <c r="I7321" s="19">
        <v>152.47999999999999</v>
      </c>
      <c r="J7321" s="19">
        <v>6.5</v>
      </c>
      <c r="K7321" s="19" t="s">
        <v>97</v>
      </c>
      <c r="L7321" s="19" t="s">
        <v>98</v>
      </c>
      <c r="M7321" s="15" t="s">
        <v>2328</v>
      </c>
      <c r="N7321" s="15" t="s">
        <v>64</v>
      </c>
      <c r="O7321" s="15" t="s">
        <v>72</v>
      </c>
      <c r="P7321" s="20" t="s">
        <v>171</v>
      </c>
      <c r="Q7321" s="15" t="s">
        <v>83</v>
      </c>
      <c r="R7321" s="4"/>
      <c r="S7321" s="4"/>
    </row>
    <row r="7322" spans="1:19" ht="21" customHeight="1" x14ac:dyDescent="0.25">
      <c r="A7322" s="14">
        <f>DATE(2012,12,31)-377</f>
        <v>40897</v>
      </c>
      <c r="B7322" s="15" t="s">
        <v>1433</v>
      </c>
      <c r="C7322" s="15" t="s">
        <v>85</v>
      </c>
      <c r="D7322" s="16">
        <v>5</v>
      </c>
      <c r="E7322" s="17">
        <v>28.23</v>
      </c>
      <c r="F7322" s="16">
        <v>0.1</v>
      </c>
      <c r="G7322" s="15" t="s">
        <v>32</v>
      </c>
      <c r="H7322" s="18">
        <v>-14.69</v>
      </c>
      <c r="I7322" s="19">
        <v>4.9800000000000004</v>
      </c>
      <c r="J7322" s="19">
        <v>4.7</v>
      </c>
      <c r="K7322" s="19" t="s">
        <v>124</v>
      </c>
      <c r="L7322" s="19" t="s">
        <v>160</v>
      </c>
      <c r="M7322" s="15" t="s">
        <v>2281</v>
      </c>
      <c r="N7322" s="15" t="s">
        <v>36</v>
      </c>
      <c r="O7322" s="15" t="s">
        <v>117</v>
      </c>
      <c r="P7322" s="20" t="s">
        <v>280</v>
      </c>
      <c r="Q7322" s="15" t="s">
        <v>83</v>
      </c>
      <c r="R7322" s="4"/>
      <c r="S7322" s="4"/>
    </row>
    <row r="7323" spans="1:19" ht="21" customHeight="1" x14ac:dyDescent="0.25">
      <c r="A7323" s="14">
        <f>DATE(2012,12,31)-1215</f>
        <v>40059</v>
      </c>
      <c r="B7323" s="15" t="s">
        <v>925</v>
      </c>
      <c r="C7323" s="15" t="s">
        <v>43</v>
      </c>
      <c r="D7323" s="16">
        <v>49</v>
      </c>
      <c r="E7323" s="17">
        <v>541.47</v>
      </c>
      <c r="F7323" s="16">
        <v>0.05</v>
      </c>
      <c r="G7323" s="15" t="s">
        <v>32</v>
      </c>
      <c r="H7323" s="18">
        <v>90.62</v>
      </c>
      <c r="I7323" s="19">
        <v>10.98</v>
      </c>
      <c r="J7323" s="19">
        <v>4.8</v>
      </c>
      <c r="K7323" s="19" t="s">
        <v>124</v>
      </c>
      <c r="L7323" s="19" t="s">
        <v>319</v>
      </c>
      <c r="M7323" s="15" t="s">
        <v>2343</v>
      </c>
      <c r="N7323" s="15" t="s">
        <v>36</v>
      </c>
      <c r="O7323" s="15" t="s">
        <v>189</v>
      </c>
      <c r="P7323" s="20" t="s">
        <v>1252</v>
      </c>
      <c r="Q7323" s="15" t="s">
        <v>83</v>
      </c>
      <c r="R7323" s="4"/>
      <c r="S7323" s="4"/>
    </row>
    <row r="7324" spans="1:19" ht="21" customHeight="1" x14ac:dyDescent="0.25">
      <c r="A7324" s="14">
        <f>DATE(2012,12,31)-1456</f>
        <v>39818</v>
      </c>
      <c r="B7324" s="15" t="s">
        <v>643</v>
      </c>
      <c r="C7324" s="15" t="s">
        <v>51</v>
      </c>
      <c r="D7324" s="16">
        <v>6</v>
      </c>
      <c r="E7324" s="17">
        <v>700.73</v>
      </c>
      <c r="F7324" s="16">
        <v>0.08</v>
      </c>
      <c r="G7324" s="15" t="s">
        <v>58</v>
      </c>
      <c r="H7324" s="18">
        <v>-188.5812</v>
      </c>
      <c r="I7324" s="19">
        <v>120.97</v>
      </c>
      <c r="J7324" s="19">
        <v>26.3</v>
      </c>
      <c r="K7324" s="19" t="s">
        <v>44</v>
      </c>
      <c r="L7324" s="19" t="s">
        <v>236</v>
      </c>
      <c r="M7324" s="15" t="s">
        <v>2341</v>
      </c>
      <c r="N7324" s="15" t="s">
        <v>64</v>
      </c>
      <c r="O7324" s="15" t="s">
        <v>122</v>
      </c>
      <c r="P7324" s="20" t="s">
        <v>262</v>
      </c>
      <c r="Q7324" s="15" t="s">
        <v>181</v>
      </c>
      <c r="R7324" s="4"/>
      <c r="S7324" s="4"/>
    </row>
    <row r="7325" spans="1:19" ht="21" customHeight="1" x14ac:dyDescent="0.25">
      <c r="A7325" s="14">
        <f>DATE(2012,12,31)-437</f>
        <v>40837</v>
      </c>
      <c r="B7325" s="15" t="s">
        <v>643</v>
      </c>
      <c r="C7325" s="15" t="s">
        <v>85</v>
      </c>
      <c r="D7325" s="16">
        <v>31</v>
      </c>
      <c r="E7325" s="17">
        <v>655.33000000000004</v>
      </c>
      <c r="F7325" s="16">
        <v>0.08</v>
      </c>
      <c r="G7325" s="15" t="s">
        <v>32</v>
      </c>
      <c r="H7325" s="18">
        <v>-57.16</v>
      </c>
      <c r="I7325" s="19">
        <v>21.38</v>
      </c>
      <c r="J7325" s="19">
        <v>8.99</v>
      </c>
      <c r="K7325" s="19" t="s">
        <v>44</v>
      </c>
      <c r="L7325" s="19" t="s">
        <v>80</v>
      </c>
      <c r="M7325" s="15" t="s">
        <v>2339</v>
      </c>
      <c r="N7325" s="15" t="s">
        <v>36</v>
      </c>
      <c r="O7325" s="15" t="s">
        <v>77</v>
      </c>
      <c r="P7325" s="20" t="s">
        <v>1062</v>
      </c>
      <c r="Q7325" s="15" t="s">
        <v>49</v>
      </c>
      <c r="R7325" s="4"/>
      <c r="S7325" s="4"/>
    </row>
    <row r="7326" spans="1:19" ht="21" customHeight="1" x14ac:dyDescent="0.25">
      <c r="A7326" s="14">
        <f>DATE(2012,12,31)-1115</f>
        <v>40159</v>
      </c>
      <c r="B7326" s="15" t="s">
        <v>742</v>
      </c>
      <c r="C7326" s="15" t="s">
        <v>51</v>
      </c>
      <c r="D7326" s="16">
        <v>36</v>
      </c>
      <c r="E7326" s="17">
        <v>1072.3599999999999</v>
      </c>
      <c r="F7326" s="16">
        <v>0.04</v>
      </c>
      <c r="G7326" s="15" t="s">
        <v>32</v>
      </c>
      <c r="H7326" s="18">
        <v>440.48</v>
      </c>
      <c r="I7326" s="19">
        <v>29.14</v>
      </c>
      <c r="J7326" s="19">
        <v>4.8600000000000003</v>
      </c>
      <c r="K7326" s="19" t="s">
        <v>44</v>
      </c>
      <c r="L7326" s="19" t="s">
        <v>52</v>
      </c>
      <c r="M7326" s="15" t="s">
        <v>2336</v>
      </c>
      <c r="N7326" s="15" t="s">
        <v>36</v>
      </c>
      <c r="O7326" s="15" t="s">
        <v>117</v>
      </c>
      <c r="P7326" s="20" t="s">
        <v>329</v>
      </c>
      <c r="Q7326" s="15" t="s">
        <v>79</v>
      </c>
      <c r="R7326" s="4"/>
      <c r="S7326" s="4"/>
    </row>
    <row r="7327" spans="1:19" ht="21" customHeight="1" x14ac:dyDescent="0.25">
      <c r="A7327" s="14">
        <f>DATE(2012,12,31)-1115</f>
        <v>40159</v>
      </c>
      <c r="B7327" s="15" t="s">
        <v>742</v>
      </c>
      <c r="C7327" s="15" t="s">
        <v>51</v>
      </c>
      <c r="D7327" s="16">
        <v>39</v>
      </c>
      <c r="E7327" s="17">
        <v>857.84</v>
      </c>
      <c r="F7327" s="16">
        <v>0.02</v>
      </c>
      <c r="G7327" s="15" t="s">
        <v>32</v>
      </c>
      <c r="H7327" s="18">
        <v>-309.43</v>
      </c>
      <c r="I7327" s="19">
        <v>20.89</v>
      </c>
      <c r="J7327" s="19">
        <v>11.52</v>
      </c>
      <c r="K7327" s="19" t="s">
        <v>44</v>
      </c>
      <c r="L7327" s="19" t="s">
        <v>52</v>
      </c>
      <c r="M7327" s="15" t="s">
        <v>2336</v>
      </c>
      <c r="N7327" s="15" t="s">
        <v>36</v>
      </c>
      <c r="O7327" s="15" t="s">
        <v>37</v>
      </c>
      <c r="P7327" s="20" t="s">
        <v>727</v>
      </c>
      <c r="Q7327" s="15" t="s">
        <v>83</v>
      </c>
      <c r="R7327" s="4"/>
      <c r="S7327" s="4"/>
    </row>
    <row r="7328" spans="1:19" ht="21" customHeight="1" x14ac:dyDescent="0.25">
      <c r="A7328" s="14">
        <f>DATE(2012,12,31)-1430</f>
        <v>39844</v>
      </c>
      <c r="B7328" s="15" t="s">
        <v>1152</v>
      </c>
      <c r="C7328" s="15" t="s">
        <v>43</v>
      </c>
      <c r="D7328" s="16">
        <v>6</v>
      </c>
      <c r="E7328" s="17">
        <v>49.81</v>
      </c>
      <c r="F7328" s="16">
        <v>0.05</v>
      </c>
      <c r="G7328" s="15" t="s">
        <v>32</v>
      </c>
      <c r="H7328" s="18">
        <v>-16.95</v>
      </c>
      <c r="I7328" s="19">
        <v>7.64</v>
      </c>
      <c r="J7328" s="19">
        <v>5.83</v>
      </c>
      <c r="K7328" s="19" t="s">
        <v>69</v>
      </c>
      <c r="L7328" s="19" t="s">
        <v>75</v>
      </c>
      <c r="M7328" s="15" t="s">
        <v>76</v>
      </c>
      <c r="N7328" s="15" t="s">
        <v>36</v>
      </c>
      <c r="O7328" s="15" t="s">
        <v>117</v>
      </c>
      <c r="P7328" s="20" t="s">
        <v>1305</v>
      </c>
      <c r="Q7328" s="15" t="s">
        <v>79</v>
      </c>
      <c r="R7328" s="4"/>
      <c r="S7328" s="4"/>
    </row>
    <row r="7329" spans="1:19" ht="21" customHeight="1" x14ac:dyDescent="0.25">
      <c r="A7329" s="14">
        <f>DATE(2012,12,31)-1430</f>
        <v>39844</v>
      </c>
      <c r="B7329" s="15" t="s">
        <v>1956</v>
      </c>
      <c r="C7329" s="15" t="s">
        <v>43</v>
      </c>
      <c r="D7329" s="16">
        <v>40</v>
      </c>
      <c r="E7329" s="17">
        <v>9141.64</v>
      </c>
      <c r="F7329" s="16">
        <v>0.04</v>
      </c>
      <c r="G7329" s="15" t="s">
        <v>58</v>
      </c>
      <c r="H7329" s="18">
        <v>-528.65312500000005</v>
      </c>
      <c r="I7329" s="19">
        <v>218.75</v>
      </c>
      <c r="J7329" s="19">
        <v>69.64</v>
      </c>
      <c r="K7329" s="19" t="s">
        <v>111</v>
      </c>
      <c r="L7329" s="19" t="s">
        <v>2301</v>
      </c>
      <c r="M7329" s="15" t="s">
        <v>2346</v>
      </c>
      <c r="N7329" s="15" t="s">
        <v>54</v>
      </c>
      <c r="O7329" s="15" t="s">
        <v>61</v>
      </c>
      <c r="P7329" s="20" t="s">
        <v>1073</v>
      </c>
      <c r="Q7329" s="15" t="s">
        <v>63</v>
      </c>
      <c r="R7329" s="4"/>
      <c r="S7329" s="4"/>
    </row>
    <row r="7330" spans="1:19" ht="21" customHeight="1" x14ac:dyDescent="0.25">
      <c r="A7330" s="14">
        <f>DATE(2012,12,31)-104</f>
        <v>41170</v>
      </c>
      <c r="B7330" s="15" t="s">
        <v>1956</v>
      </c>
      <c r="C7330" s="15" t="s">
        <v>51</v>
      </c>
      <c r="D7330" s="16">
        <v>32</v>
      </c>
      <c r="E7330" s="17">
        <v>3500.49</v>
      </c>
      <c r="F7330" s="16">
        <v>0.09</v>
      </c>
      <c r="G7330" s="15" t="s">
        <v>32</v>
      </c>
      <c r="H7330" s="18">
        <v>230.64</v>
      </c>
      <c r="I7330" s="19">
        <v>111.03</v>
      </c>
      <c r="J7330" s="19">
        <v>8.64</v>
      </c>
      <c r="K7330" s="19" t="s">
        <v>44</v>
      </c>
      <c r="L7330" s="19" t="s">
        <v>52</v>
      </c>
      <c r="M7330" s="15" t="s">
        <v>2336</v>
      </c>
      <c r="N7330" s="15" t="s">
        <v>36</v>
      </c>
      <c r="O7330" s="15" t="s">
        <v>37</v>
      </c>
      <c r="P7330" s="20" t="s">
        <v>1611</v>
      </c>
      <c r="Q7330" s="15" t="s">
        <v>83</v>
      </c>
      <c r="R7330" s="4"/>
      <c r="S7330" s="4"/>
    </row>
    <row r="7331" spans="1:19" ht="21" customHeight="1" x14ac:dyDescent="0.25">
      <c r="A7331" s="14">
        <f>DATE(2012,12,31)-630</f>
        <v>40644</v>
      </c>
      <c r="B7331" s="15" t="s">
        <v>1881</v>
      </c>
      <c r="C7331" s="15" t="s">
        <v>85</v>
      </c>
      <c r="D7331" s="16">
        <v>49</v>
      </c>
      <c r="E7331" s="17">
        <v>1734.4</v>
      </c>
      <c r="F7331" s="16">
        <v>0.02</v>
      </c>
      <c r="G7331" s="15" t="s">
        <v>32</v>
      </c>
      <c r="H7331" s="18">
        <v>749.16</v>
      </c>
      <c r="I7331" s="19">
        <v>35.409999999999997</v>
      </c>
      <c r="J7331" s="19">
        <v>1.99</v>
      </c>
      <c r="K7331" s="19" t="s">
        <v>44</v>
      </c>
      <c r="L7331" s="19" t="s">
        <v>236</v>
      </c>
      <c r="M7331" s="15" t="s">
        <v>2341</v>
      </c>
      <c r="N7331" s="15" t="s">
        <v>64</v>
      </c>
      <c r="O7331" s="15" t="s">
        <v>72</v>
      </c>
      <c r="P7331" s="20" t="s">
        <v>118</v>
      </c>
      <c r="Q7331" s="15" t="s">
        <v>49</v>
      </c>
      <c r="R7331" s="4"/>
      <c r="S7331" s="4"/>
    </row>
    <row r="7332" spans="1:19" ht="21" customHeight="1" x14ac:dyDescent="0.25">
      <c r="A7332" s="14">
        <f>DATE(2012,12,31)-630</f>
        <v>40644</v>
      </c>
      <c r="B7332" s="15" t="s">
        <v>2172</v>
      </c>
      <c r="C7332" s="15" t="s">
        <v>85</v>
      </c>
      <c r="D7332" s="16">
        <v>25</v>
      </c>
      <c r="E7332" s="17">
        <v>1128.03</v>
      </c>
      <c r="F7332" s="16">
        <v>0.01</v>
      </c>
      <c r="G7332" s="15" t="s">
        <v>32</v>
      </c>
      <c r="H7332" s="18">
        <v>256.3</v>
      </c>
      <c r="I7332" s="19">
        <v>42.76</v>
      </c>
      <c r="J7332" s="19">
        <v>6.22</v>
      </c>
      <c r="K7332" s="19" t="s">
        <v>33</v>
      </c>
      <c r="L7332" s="19" t="s">
        <v>59</v>
      </c>
      <c r="M7332" s="15" t="s">
        <v>2344</v>
      </c>
      <c r="N7332" s="15" t="s">
        <v>36</v>
      </c>
      <c r="O7332" s="15" t="s">
        <v>37</v>
      </c>
      <c r="P7332" s="20" t="s">
        <v>1275</v>
      </c>
      <c r="Q7332" s="15" t="s">
        <v>83</v>
      </c>
      <c r="R7332" s="4"/>
      <c r="S7332" s="4"/>
    </row>
    <row r="7333" spans="1:19" ht="21" customHeight="1" x14ac:dyDescent="0.25">
      <c r="A7333" s="14">
        <f>DATE(2012,12,31)-843</f>
        <v>40431</v>
      </c>
      <c r="B7333" s="15" t="s">
        <v>1834</v>
      </c>
      <c r="C7333" s="15" t="s">
        <v>43</v>
      </c>
      <c r="D7333" s="16">
        <v>22</v>
      </c>
      <c r="E7333" s="17">
        <v>6767.43</v>
      </c>
      <c r="F7333" s="16">
        <v>0.05</v>
      </c>
      <c r="G7333" s="15" t="s">
        <v>58</v>
      </c>
      <c r="H7333" s="18">
        <v>803.48</v>
      </c>
      <c r="I7333" s="19">
        <v>320.98</v>
      </c>
      <c r="J7333" s="19">
        <v>58.95</v>
      </c>
      <c r="K7333" s="19" t="s">
        <v>33</v>
      </c>
      <c r="L7333" s="19" t="s">
        <v>34</v>
      </c>
      <c r="M7333" s="15" t="s">
        <v>2315</v>
      </c>
      <c r="N7333" s="15" t="s">
        <v>54</v>
      </c>
      <c r="O7333" s="15" t="s">
        <v>252</v>
      </c>
      <c r="P7333" s="20" t="s">
        <v>1774</v>
      </c>
      <c r="Q7333" s="15" t="s">
        <v>181</v>
      </c>
      <c r="R7333" s="4"/>
      <c r="S7333" s="4"/>
    </row>
    <row r="7334" spans="1:19" ht="21" customHeight="1" x14ac:dyDescent="0.25">
      <c r="A7334" s="14">
        <f>DATE(2012,12,31)-888</f>
        <v>40386</v>
      </c>
      <c r="B7334" s="15" t="s">
        <v>318</v>
      </c>
      <c r="C7334" s="15" t="s">
        <v>43</v>
      </c>
      <c r="D7334" s="16">
        <v>47</v>
      </c>
      <c r="E7334" s="17">
        <v>1020.88</v>
      </c>
      <c r="F7334" s="16">
        <v>0.08</v>
      </c>
      <c r="G7334" s="15" t="s">
        <v>32</v>
      </c>
      <c r="H7334" s="18">
        <v>173.94</v>
      </c>
      <c r="I7334" s="19">
        <v>22.72</v>
      </c>
      <c r="J7334" s="19">
        <v>8.99</v>
      </c>
      <c r="K7334" s="19" t="s">
        <v>33</v>
      </c>
      <c r="L7334" s="19" t="s">
        <v>145</v>
      </c>
      <c r="M7334" s="15" t="s">
        <v>2313</v>
      </c>
      <c r="N7334" s="15" t="s">
        <v>54</v>
      </c>
      <c r="O7334" s="15" t="s">
        <v>55</v>
      </c>
      <c r="P7334" s="20" t="s">
        <v>1073</v>
      </c>
      <c r="Q7334" s="15" t="s">
        <v>49</v>
      </c>
      <c r="R7334" s="4"/>
      <c r="S7334" s="4"/>
    </row>
    <row r="7335" spans="1:19" ht="21" customHeight="1" x14ac:dyDescent="0.25">
      <c r="A7335" s="14">
        <f>DATE(2012,12,31)-700</f>
        <v>40574</v>
      </c>
      <c r="B7335" s="15" t="s">
        <v>1462</v>
      </c>
      <c r="C7335" s="15" t="s">
        <v>85</v>
      </c>
      <c r="D7335" s="16">
        <v>21</v>
      </c>
      <c r="E7335" s="17">
        <v>848.2</v>
      </c>
      <c r="F7335" s="16">
        <v>0.06</v>
      </c>
      <c r="G7335" s="15" t="s">
        <v>101</v>
      </c>
      <c r="H7335" s="18">
        <v>163.78</v>
      </c>
      <c r="I7335" s="19">
        <v>40.98</v>
      </c>
      <c r="J7335" s="19">
        <v>5.33</v>
      </c>
      <c r="K7335" s="19" t="s">
        <v>33</v>
      </c>
      <c r="L7335" s="19" t="s">
        <v>59</v>
      </c>
      <c r="M7335" s="15" t="s">
        <v>2344</v>
      </c>
      <c r="N7335" s="15" t="s">
        <v>36</v>
      </c>
      <c r="O7335" s="15" t="s">
        <v>176</v>
      </c>
      <c r="P7335" s="20" t="s">
        <v>615</v>
      </c>
      <c r="Q7335" s="15" t="s">
        <v>83</v>
      </c>
      <c r="R7335" s="4"/>
      <c r="S7335" s="4"/>
    </row>
    <row r="7336" spans="1:19" ht="21" customHeight="1" x14ac:dyDescent="0.25">
      <c r="A7336" s="14">
        <f>DATE(2012,12,31)-700</f>
        <v>40574</v>
      </c>
      <c r="B7336" s="15" t="s">
        <v>1256</v>
      </c>
      <c r="C7336" s="15" t="s">
        <v>85</v>
      </c>
      <c r="D7336" s="16">
        <v>30</v>
      </c>
      <c r="E7336" s="17">
        <v>717.21</v>
      </c>
      <c r="F7336" s="16">
        <v>0</v>
      </c>
      <c r="G7336" s="15" t="s">
        <v>32</v>
      </c>
      <c r="H7336" s="18">
        <v>217.06</v>
      </c>
      <c r="I7336" s="19">
        <v>22.23</v>
      </c>
      <c r="J7336" s="19">
        <v>3.63</v>
      </c>
      <c r="K7336" s="19" t="s">
        <v>33</v>
      </c>
      <c r="L7336" s="19" t="s">
        <v>145</v>
      </c>
      <c r="M7336" s="15" t="s">
        <v>2313</v>
      </c>
      <c r="N7336" s="15" t="s">
        <v>54</v>
      </c>
      <c r="O7336" s="15" t="s">
        <v>55</v>
      </c>
      <c r="P7336" s="20" t="s">
        <v>1922</v>
      </c>
      <c r="Q7336" s="15" t="s">
        <v>49</v>
      </c>
      <c r="R7336" s="4"/>
      <c r="S7336" s="4"/>
    </row>
    <row r="7337" spans="1:19" ht="21" customHeight="1" x14ac:dyDescent="0.25">
      <c r="A7337" s="14">
        <f>DATE(2012,12,31)-727</f>
        <v>40547</v>
      </c>
      <c r="B7337" s="15" t="s">
        <v>1077</v>
      </c>
      <c r="C7337" s="15" t="s">
        <v>43</v>
      </c>
      <c r="D7337" s="16">
        <v>41</v>
      </c>
      <c r="E7337" s="17">
        <v>11883.2</v>
      </c>
      <c r="F7337" s="16">
        <v>0.1</v>
      </c>
      <c r="G7337" s="15" t="s">
        <v>32</v>
      </c>
      <c r="H7337" s="18">
        <v>4160.88</v>
      </c>
      <c r="I7337" s="19">
        <v>300.97000000000003</v>
      </c>
      <c r="J7337" s="19">
        <v>7.18</v>
      </c>
      <c r="K7337" s="19" t="s">
        <v>33</v>
      </c>
      <c r="L7337" s="19" t="s">
        <v>34</v>
      </c>
      <c r="M7337" s="15" t="s">
        <v>2315</v>
      </c>
      <c r="N7337" s="15" t="s">
        <v>64</v>
      </c>
      <c r="O7337" s="15" t="s">
        <v>72</v>
      </c>
      <c r="P7337" s="20" t="s">
        <v>1271</v>
      </c>
      <c r="Q7337" s="15" t="s">
        <v>83</v>
      </c>
      <c r="R7337" s="4"/>
      <c r="S7337" s="4"/>
    </row>
    <row r="7338" spans="1:19" ht="21" customHeight="1" x14ac:dyDescent="0.25">
      <c r="A7338" s="14">
        <f>DATE(2012,12,31)-1309</f>
        <v>39965</v>
      </c>
      <c r="B7338" s="15" t="s">
        <v>1077</v>
      </c>
      <c r="C7338" s="15" t="s">
        <v>85</v>
      </c>
      <c r="D7338" s="16">
        <v>17</v>
      </c>
      <c r="E7338" s="17">
        <v>124.06</v>
      </c>
      <c r="F7338" s="16">
        <v>0.09</v>
      </c>
      <c r="G7338" s="15" t="s">
        <v>32</v>
      </c>
      <c r="H7338" s="18">
        <v>15.74</v>
      </c>
      <c r="I7338" s="19">
        <v>7.78</v>
      </c>
      <c r="J7338" s="19">
        <v>2.5</v>
      </c>
      <c r="K7338" s="19" t="s">
        <v>33</v>
      </c>
      <c r="L7338" s="19" t="s">
        <v>59</v>
      </c>
      <c r="M7338" s="15" t="s">
        <v>2344</v>
      </c>
      <c r="N7338" s="15" t="s">
        <v>36</v>
      </c>
      <c r="O7338" s="15" t="s">
        <v>189</v>
      </c>
      <c r="P7338" s="20" t="s">
        <v>1705</v>
      </c>
      <c r="Q7338" s="15" t="s">
        <v>83</v>
      </c>
      <c r="R7338" s="4"/>
      <c r="S7338" s="4"/>
    </row>
    <row r="7339" spans="1:19" ht="21" customHeight="1" x14ac:dyDescent="0.25">
      <c r="A7339" s="14">
        <f>DATE(2012,12,31)-543</f>
        <v>40731</v>
      </c>
      <c r="B7339" s="15" t="s">
        <v>207</v>
      </c>
      <c r="C7339" s="15" t="s">
        <v>51</v>
      </c>
      <c r="D7339" s="16">
        <v>4</v>
      </c>
      <c r="E7339" s="17">
        <v>49.86</v>
      </c>
      <c r="F7339" s="16">
        <v>0.09</v>
      </c>
      <c r="G7339" s="15" t="s">
        <v>32</v>
      </c>
      <c r="H7339" s="18">
        <v>-21.77</v>
      </c>
      <c r="I7339" s="19">
        <v>11.97</v>
      </c>
      <c r="J7339" s="19">
        <v>4.9800000000000004</v>
      </c>
      <c r="K7339" s="19" t="s">
        <v>33</v>
      </c>
      <c r="L7339" s="19" t="s">
        <v>59</v>
      </c>
      <c r="M7339" s="15" t="s">
        <v>2344</v>
      </c>
      <c r="N7339" s="15" t="s">
        <v>36</v>
      </c>
      <c r="O7339" s="15" t="s">
        <v>176</v>
      </c>
      <c r="P7339" s="20" t="s">
        <v>664</v>
      </c>
      <c r="Q7339" s="15" t="s">
        <v>83</v>
      </c>
      <c r="R7339" s="4"/>
      <c r="S7339" s="4"/>
    </row>
    <row r="7340" spans="1:19" ht="21" customHeight="1" x14ac:dyDescent="0.25">
      <c r="A7340" s="14">
        <f>DATE(2012,12,31)-543</f>
        <v>40731</v>
      </c>
      <c r="B7340" s="15" t="s">
        <v>207</v>
      </c>
      <c r="C7340" s="15" t="s">
        <v>51</v>
      </c>
      <c r="D7340" s="16">
        <v>32</v>
      </c>
      <c r="E7340" s="17">
        <v>197.49</v>
      </c>
      <c r="F7340" s="16">
        <v>0.08</v>
      </c>
      <c r="G7340" s="15" t="s">
        <v>101</v>
      </c>
      <c r="H7340" s="18">
        <v>-52.842500000000001</v>
      </c>
      <c r="I7340" s="19">
        <v>5.74</v>
      </c>
      <c r="J7340" s="19">
        <v>5.01</v>
      </c>
      <c r="K7340" s="19" t="s">
        <v>33</v>
      </c>
      <c r="L7340" s="19" t="s">
        <v>59</v>
      </c>
      <c r="M7340" s="15" t="s">
        <v>2344</v>
      </c>
      <c r="N7340" s="15" t="s">
        <v>36</v>
      </c>
      <c r="O7340" s="15" t="s">
        <v>170</v>
      </c>
      <c r="P7340" s="20" t="s">
        <v>1616</v>
      </c>
      <c r="Q7340" s="15" t="s">
        <v>83</v>
      </c>
      <c r="R7340" s="4"/>
      <c r="S7340" s="4"/>
    </row>
    <row r="7341" spans="1:19" ht="21" customHeight="1" x14ac:dyDescent="0.25">
      <c r="A7341" s="14">
        <f>DATE(2012,12,31)-361</f>
        <v>40913</v>
      </c>
      <c r="B7341" s="15" t="s">
        <v>444</v>
      </c>
      <c r="C7341" s="15" t="s">
        <v>51</v>
      </c>
      <c r="D7341" s="16">
        <v>50</v>
      </c>
      <c r="E7341" s="17">
        <v>4962.05</v>
      </c>
      <c r="F7341" s="16">
        <v>0.08</v>
      </c>
      <c r="G7341" s="15" t="s">
        <v>58</v>
      </c>
      <c r="H7341" s="18">
        <v>335.29</v>
      </c>
      <c r="I7341" s="19">
        <v>119.99</v>
      </c>
      <c r="J7341" s="19">
        <v>56.14</v>
      </c>
      <c r="K7341" s="19" t="s">
        <v>33</v>
      </c>
      <c r="L7341" s="19" t="s">
        <v>59</v>
      </c>
      <c r="M7341" s="15" t="s">
        <v>2344</v>
      </c>
      <c r="N7341" s="15" t="s">
        <v>64</v>
      </c>
      <c r="O7341" s="15" t="s">
        <v>122</v>
      </c>
      <c r="P7341" s="20" t="s">
        <v>980</v>
      </c>
      <c r="Q7341" s="15" t="s">
        <v>63</v>
      </c>
      <c r="R7341" s="4"/>
      <c r="S7341" s="4"/>
    </row>
    <row r="7342" spans="1:19" ht="21" customHeight="1" x14ac:dyDescent="0.25">
      <c r="A7342" s="14">
        <f>DATE(2012,12,31)-361</f>
        <v>40913</v>
      </c>
      <c r="B7342" s="15" t="s">
        <v>576</v>
      </c>
      <c r="C7342" s="15" t="s">
        <v>51</v>
      </c>
      <c r="D7342" s="16">
        <v>19</v>
      </c>
      <c r="E7342" s="17">
        <v>192.39</v>
      </c>
      <c r="F7342" s="16">
        <v>0.08</v>
      </c>
      <c r="G7342" s="15" t="s">
        <v>101</v>
      </c>
      <c r="H7342" s="18">
        <v>-31.67</v>
      </c>
      <c r="I7342" s="19">
        <v>10.23</v>
      </c>
      <c r="J7342" s="19">
        <v>4.68</v>
      </c>
      <c r="K7342" s="19" t="s">
        <v>33</v>
      </c>
      <c r="L7342" s="19" t="s">
        <v>145</v>
      </c>
      <c r="M7342" s="15" t="s">
        <v>2313</v>
      </c>
      <c r="N7342" s="15" t="s">
        <v>36</v>
      </c>
      <c r="O7342" s="15" t="s">
        <v>47</v>
      </c>
      <c r="P7342" s="20" t="s">
        <v>700</v>
      </c>
      <c r="Q7342" s="15" t="s">
        <v>49</v>
      </c>
      <c r="R7342" s="4"/>
      <c r="S7342" s="4"/>
    </row>
    <row r="7343" spans="1:19" ht="21" customHeight="1" x14ac:dyDescent="0.25">
      <c r="A7343" s="14">
        <f>DATE(2012,12,31)-272</f>
        <v>41002</v>
      </c>
      <c r="B7343" s="15" t="s">
        <v>1373</v>
      </c>
      <c r="C7343" s="15" t="s">
        <v>85</v>
      </c>
      <c r="D7343" s="16">
        <v>8</v>
      </c>
      <c r="E7343" s="17">
        <v>168.99</v>
      </c>
      <c r="F7343" s="16">
        <v>0.08</v>
      </c>
      <c r="G7343" s="15" t="s">
        <v>32</v>
      </c>
      <c r="H7343" s="18">
        <v>-47.37</v>
      </c>
      <c r="I7343" s="19">
        <v>20.95</v>
      </c>
      <c r="J7343" s="19">
        <v>4</v>
      </c>
      <c r="K7343" s="19" t="s">
        <v>33</v>
      </c>
      <c r="L7343" s="19" t="s">
        <v>59</v>
      </c>
      <c r="M7343" s="15" t="s">
        <v>2344</v>
      </c>
      <c r="N7343" s="15" t="s">
        <v>64</v>
      </c>
      <c r="O7343" s="15" t="s">
        <v>72</v>
      </c>
      <c r="P7343" s="20" t="s">
        <v>1461</v>
      </c>
      <c r="Q7343" s="15" t="s">
        <v>83</v>
      </c>
      <c r="R7343" s="4"/>
      <c r="S7343" s="4"/>
    </row>
    <row r="7344" spans="1:19" ht="21" customHeight="1" x14ac:dyDescent="0.25">
      <c r="A7344" s="14">
        <f>DATE(2012,12,31)-246</f>
        <v>41028</v>
      </c>
      <c r="B7344" s="15" t="s">
        <v>1509</v>
      </c>
      <c r="C7344" s="15" t="s">
        <v>51</v>
      </c>
      <c r="D7344" s="16">
        <v>6</v>
      </c>
      <c r="E7344" s="17">
        <v>120.38</v>
      </c>
      <c r="F7344" s="16">
        <v>0.09</v>
      </c>
      <c r="G7344" s="15" t="s">
        <v>32</v>
      </c>
      <c r="H7344" s="18">
        <v>-29.77</v>
      </c>
      <c r="I7344" s="19">
        <v>20.48</v>
      </c>
      <c r="J7344" s="19">
        <v>6.32</v>
      </c>
      <c r="K7344" s="19" t="s">
        <v>33</v>
      </c>
      <c r="L7344" s="19" t="s">
        <v>59</v>
      </c>
      <c r="M7344" s="15" t="s">
        <v>2344</v>
      </c>
      <c r="N7344" s="15" t="s">
        <v>36</v>
      </c>
      <c r="O7344" s="15" t="s">
        <v>176</v>
      </c>
      <c r="P7344" s="20" t="s">
        <v>1707</v>
      </c>
      <c r="Q7344" s="15" t="s">
        <v>83</v>
      </c>
      <c r="R7344" s="4"/>
      <c r="S7344" s="4"/>
    </row>
    <row r="7345" spans="1:19" ht="21" customHeight="1" x14ac:dyDescent="0.25">
      <c r="A7345" s="14">
        <f>DATE(2012,12,31)-1374</f>
        <v>39900</v>
      </c>
      <c r="B7345" s="15" t="s">
        <v>1509</v>
      </c>
      <c r="C7345" s="15" t="s">
        <v>31</v>
      </c>
      <c r="D7345" s="16">
        <v>10</v>
      </c>
      <c r="E7345" s="17">
        <v>958.18</v>
      </c>
      <c r="F7345" s="16">
        <v>0.03</v>
      </c>
      <c r="G7345" s="15" t="s">
        <v>58</v>
      </c>
      <c r="H7345" s="18">
        <v>126.81</v>
      </c>
      <c r="I7345" s="19">
        <v>90.97</v>
      </c>
      <c r="J7345" s="19">
        <v>14</v>
      </c>
      <c r="K7345" s="19" t="s">
        <v>33</v>
      </c>
      <c r="L7345" s="19" t="s">
        <v>59</v>
      </c>
      <c r="M7345" s="15" t="s">
        <v>2344</v>
      </c>
      <c r="N7345" s="15" t="s">
        <v>64</v>
      </c>
      <c r="O7345" s="15" t="s">
        <v>122</v>
      </c>
      <c r="P7345" s="20" t="s">
        <v>1031</v>
      </c>
      <c r="Q7345" s="15" t="s">
        <v>181</v>
      </c>
      <c r="R7345" s="4"/>
      <c r="S7345" s="4"/>
    </row>
    <row r="7346" spans="1:19" ht="21" customHeight="1" x14ac:dyDescent="0.25">
      <c r="A7346" s="14">
        <f>DATE(2012,12,31)-665</f>
        <v>40609</v>
      </c>
      <c r="B7346" s="15" t="s">
        <v>516</v>
      </c>
      <c r="C7346" s="15" t="s">
        <v>85</v>
      </c>
      <c r="D7346" s="16">
        <v>38</v>
      </c>
      <c r="E7346" s="17">
        <v>6230.68</v>
      </c>
      <c r="F7346" s="16">
        <v>0.09</v>
      </c>
      <c r="G7346" s="15" t="s">
        <v>58</v>
      </c>
      <c r="H7346" s="18">
        <v>835.46</v>
      </c>
      <c r="I7346" s="19">
        <v>217.85</v>
      </c>
      <c r="J7346" s="19">
        <v>29.1</v>
      </c>
      <c r="K7346" s="19" t="s">
        <v>33</v>
      </c>
      <c r="L7346" s="19" t="s">
        <v>145</v>
      </c>
      <c r="M7346" s="15" t="s">
        <v>2347</v>
      </c>
      <c r="N7346" s="15" t="s">
        <v>54</v>
      </c>
      <c r="O7346" s="15" t="s">
        <v>61</v>
      </c>
      <c r="P7346" s="20" t="s">
        <v>329</v>
      </c>
      <c r="Q7346" s="15" t="s">
        <v>63</v>
      </c>
      <c r="R7346" s="4"/>
      <c r="S7346" s="4"/>
    </row>
    <row r="7347" spans="1:19" ht="21" customHeight="1" x14ac:dyDescent="0.25">
      <c r="A7347" s="14">
        <f>DATE(2012,12,31)-665</f>
        <v>40609</v>
      </c>
      <c r="B7347" s="15" t="s">
        <v>380</v>
      </c>
      <c r="C7347" s="15" t="s">
        <v>85</v>
      </c>
      <c r="D7347" s="16">
        <v>8</v>
      </c>
      <c r="E7347" s="17">
        <v>1391.816</v>
      </c>
      <c r="F7347" s="16">
        <v>0.05</v>
      </c>
      <c r="G7347" s="15" t="s">
        <v>32</v>
      </c>
      <c r="H7347" s="18">
        <v>-344.82</v>
      </c>
      <c r="I7347" s="19">
        <v>209.37</v>
      </c>
      <c r="J7347" s="19">
        <v>69</v>
      </c>
      <c r="K7347" s="19" t="s">
        <v>97</v>
      </c>
      <c r="L7347" s="19" t="s">
        <v>195</v>
      </c>
      <c r="M7347" s="15" t="s">
        <v>2138</v>
      </c>
      <c r="N7347" s="15" t="s">
        <v>54</v>
      </c>
      <c r="O7347" s="15" t="s">
        <v>61</v>
      </c>
      <c r="P7347" s="20" t="s">
        <v>1543</v>
      </c>
      <c r="Q7347" s="15" t="s">
        <v>39</v>
      </c>
      <c r="R7347" s="4"/>
      <c r="S7347" s="4"/>
    </row>
    <row r="7348" spans="1:19" ht="21" customHeight="1" x14ac:dyDescent="0.25">
      <c r="A7348" s="14">
        <f>DATE(2012,12,31)-125</f>
        <v>41149</v>
      </c>
      <c r="B7348" s="15" t="s">
        <v>2188</v>
      </c>
      <c r="C7348" s="15" t="s">
        <v>51</v>
      </c>
      <c r="D7348" s="16">
        <v>16</v>
      </c>
      <c r="E7348" s="17">
        <v>367.09</v>
      </c>
      <c r="F7348" s="16">
        <v>0.04</v>
      </c>
      <c r="G7348" s="15" t="s">
        <v>32</v>
      </c>
      <c r="H7348" s="18">
        <v>74.2</v>
      </c>
      <c r="I7348" s="19">
        <v>22.98</v>
      </c>
      <c r="J7348" s="19">
        <v>1.99</v>
      </c>
      <c r="K7348" s="19" t="s">
        <v>69</v>
      </c>
      <c r="L7348" s="19" t="s">
        <v>70</v>
      </c>
      <c r="M7348" s="15" t="s">
        <v>2327</v>
      </c>
      <c r="N7348" s="15" t="s">
        <v>64</v>
      </c>
      <c r="O7348" s="15" t="s">
        <v>72</v>
      </c>
      <c r="P7348" s="20" t="s">
        <v>2125</v>
      </c>
      <c r="Q7348" s="15" t="s">
        <v>49</v>
      </c>
      <c r="R7348" s="4"/>
      <c r="S7348" s="4"/>
    </row>
    <row r="7349" spans="1:19" ht="21" customHeight="1" x14ac:dyDescent="0.25">
      <c r="A7349" s="14">
        <f>DATE(2012,12,31)-125</f>
        <v>41149</v>
      </c>
      <c r="B7349" s="15" t="s">
        <v>961</v>
      </c>
      <c r="C7349" s="15" t="s">
        <v>51</v>
      </c>
      <c r="D7349" s="16">
        <v>23</v>
      </c>
      <c r="E7349" s="17">
        <v>139.66</v>
      </c>
      <c r="F7349" s="16">
        <v>0.02</v>
      </c>
      <c r="G7349" s="15" t="s">
        <v>32</v>
      </c>
      <c r="H7349" s="18">
        <v>46.69</v>
      </c>
      <c r="I7349" s="19">
        <v>5.68</v>
      </c>
      <c r="J7349" s="19">
        <v>1.39</v>
      </c>
      <c r="K7349" s="19" t="s">
        <v>69</v>
      </c>
      <c r="L7349" s="19" t="s">
        <v>70</v>
      </c>
      <c r="M7349" s="15" t="s">
        <v>2348</v>
      </c>
      <c r="N7349" s="15" t="s">
        <v>36</v>
      </c>
      <c r="O7349" s="15" t="s">
        <v>189</v>
      </c>
      <c r="P7349" s="20" t="s">
        <v>835</v>
      </c>
      <c r="Q7349" s="15" t="s">
        <v>83</v>
      </c>
      <c r="R7349" s="4"/>
      <c r="S7349" s="4"/>
    </row>
    <row r="7350" spans="1:19" ht="21" customHeight="1" x14ac:dyDescent="0.25">
      <c r="A7350" s="14">
        <f>DATE(2012,12,31)-1440</f>
        <v>39834</v>
      </c>
      <c r="B7350" s="15" t="s">
        <v>1949</v>
      </c>
      <c r="C7350" s="15" t="s">
        <v>31</v>
      </c>
      <c r="D7350" s="16">
        <v>36</v>
      </c>
      <c r="E7350" s="17">
        <v>147.71</v>
      </c>
      <c r="F7350" s="16">
        <v>0.05</v>
      </c>
      <c r="G7350" s="15" t="s">
        <v>32</v>
      </c>
      <c r="H7350" s="18">
        <v>40.04</v>
      </c>
      <c r="I7350" s="19">
        <v>3.98</v>
      </c>
      <c r="J7350" s="19">
        <v>0.7</v>
      </c>
      <c r="K7350" s="19" t="s">
        <v>69</v>
      </c>
      <c r="L7350" s="19" t="s">
        <v>70</v>
      </c>
      <c r="M7350" s="15" t="s">
        <v>2348</v>
      </c>
      <c r="N7350" s="15" t="s">
        <v>36</v>
      </c>
      <c r="O7350" s="15" t="s">
        <v>77</v>
      </c>
      <c r="P7350" s="20" t="s">
        <v>473</v>
      </c>
      <c r="Q7350" s="15" t="s">
        <v>79</v>
      </c>
      <c r="R7350" s="4"/>
      <c r="S7350" s="4"/>
    </row>
    <row r="7351" spans="1:19" ht="21" customHeight="1" x14ac:dyDescent="0.25">
      <c r="A7351" s="14">
        <f>DATE(2012,12,31)-616</f>
        <v>40658</v>
      </c>
      <c r="B7351" s="15" t="s">
        <v>1949</v>
      </c>
      <c r="C7351" s="15" t="s">
        <v>85</v>
      </c>
      <c r="D7351" s="16">
        <v>11</v>
      </c>
      <c r="E7351" s="17">
        <v>24.95</v>
      </c>
      <c r="F7351" s="16">
        <v>0.09</v>
      </c>
      <c r="G7351" s="15" t="s">
        <v>32</v>
      </c>
      <c r="H7351" s="18">
        <v>-5.14</v>
      </c>
      <c r="I7351" s="19">
        <v>2.1800000000000002</v>
      </c>
      <c r="J7351" s="19">
        <v>1.38</v>
      </c>
      <c r="K7351" s="19" t="s">
        <v>69</v>
      </c>
      <c r="L7351" s="19" t="s">
        <v>70</v>
      </c>
      <c r="M7351" s="15" t="s">
        <v>2348</v>
      </c>
      <c r="N7351" s="15" t="s">
        <v>36</v>
      </c>
      <c r="O7351" s="15" t="s">
        <v>105</v>
      </c>
      <c r="P7351" s="20" t="s">
        <v>1563</v>
      </c>
      <c r="Q7351" s="15" t="s">
        <v>79</v>
      </c>
      <c r="R7351" s="4"/>
      <c r="S7351" s="4"/>
    </row>
    <row r="7352" spans="1:19" ht="21" customHeight="1" x14ac:dyDescent="0.25">
      <c r="A7352" s="14">
        <f>DATE(2012,12,31)-1169</f>
        <v>40105</v>
      </c>
      <c r="B7352" s="15" t="s">
        <v>900</v>
      </c>
      <c r="C7352" s="15" t="s">
        <v>31</v>
      </c>
      <c r="D7352" s="16">
        <v>4</v>
      </c>
      <c r="E7352" s="17">
        <v>67.22</v>
      </c>
      <c r="F7352" s="16">
        <v>0.05</v>
      </c>
      <c r="G7352" s="15" t="s">
        <v>32</v>
      </c>
      <c r="H7352" s="18">
        <v>-139.53</v>
      </c>
      <c r="I7352" s="19">
        <v>4.4800000000000004</v>
      </c>
      <c r="J7352" s="19">
        <v>49</v>
      </c>
      <c r="K7352" s="19" t="s">
        <v>69</v>
      </c>
      <c r="L7352" s="19" t="s">
        <v>70</v>
      </c>
      <c r="M7352" s="15" t="s">
        <v>2348</v>
      </c>
      <c r="N7352" s="15" t="s">
        <v>36</v>
      </c>
      <c r="O7352" s="15" t="s">
        <v>176</v>
      </c>
      <c r="P7352" s="20" t="s">
        <v>1051</v>
      </c>
      <c r="Q7352" s="15" t="s">
        <v>39</v>
      </c>
      <c r="R7352" s="4"/>
      <c r="S7352" s="4"/>
    </row>
    <row r="7353" spans="1:19" ht="21" customHeight="1" x14ac:dyDescent="0.25">
      <c r="A7353" s="14">
        <f>DATE(2012,12,31)-1169</f>
        <v>40105</v>
      </c>
      <c r="B7353" s="15" t="s">
        <v>527</v>
      </c>
      <c r="C7353" s="15" t="s">
        <v>31</v>
      </c>
      <c r="D7353" s="16">
        <v>18</v>
      </c>
      <c r="E7353" s="17">
        <v>76.849999999999994</v>
      </c>
      <c r="F7353" s="16">
        <v>0.1</v>
      </c>
      <c r="G7353" s="15" t="s">
        <v>32</v>
      </c>
      <c r="H7353" s="18">
        <v>-64.078000000000003</v>
      </c>
      <c r="I7353" s="19">
        <v>4.24</v>
      </c>
      <c r="J7353" s="19">
        <v>5.41</v>
      </c>
      <c r="K7353" s="19" t="s">
        <v>69</v>
      </c>
      <c r="L7353" s="19" t="s">
        <v>70</v>
      </c>
      <c r="M7353" s="15" t="s">
        <v>2348</v>
      </c>
      <c r="N7353" s="15" t="s">
        <v>36</v>
      </c>
      <c r="O7353" s="15" t="s">
        <v>170</v>
      </c>
      <c r="P7353" s="20" t="s">
        <v>1878</v>
      </c>
      <c r="Q7353" s="15" t="s">
        <v>83</v>
      </c>
      <c r="R7353" s="4"/>
      <c r="S7353" s="4"/>
    </row>
    <row r="7354" spans="1:19" ht="21" customHeight="1" x14ac:dyDescent="0.25">
      <c r="A7354" s="14">
        <f>DATE(2012,12,31)-730</f>
        <v>40544</v>
      </c>
      <c r="B7354" s="15" t="s">
        <v>2094</v>
      </c>
      <c r="C7354" s="15" t="s">
        <v>85</v>
      </c>
      <c r="D7354" s="16">
        <v>18</v>
      </c>
      <c r="E7354" s="17">
        <v>1163.75</v>
      </c>
      <c r="F7354" s="16">
        <v>0.05</v>
      </c>
      <c r="G7354" s="15" t="s">
        <v>101</v>
      </c>
      <c r="H7354" s="18">
        <v>222.173</v>
      </c>
      <c r="I7354" s="19">
        <v>63.98</v>
      </c>
      <c r="J7354" s="19">
        <v>19.989999999999998</v>
      </c>
      <c r="K7354" s="19" t="s">
        <v>69</v>
      </c>
      <c r="L7354" s="19" t="s">
        <v>215</v>
      </c>
      <c r="M7354" s="15" t="s">
        <v>2322</v>
      </c>
      <c r="N7354" s="15" t="s">
        <v>36</v>
      </c>
      <c r="O7354" s="15" t="s">
        <v>170</v>
      </c>
      <c r="P7354" s="20" t="s">
        <v>948</v>
      </c>
      <c r="Q7354" s="15" t="s">
        <v>83</v>
      </c>
      <c r="R7354" s="4"/>
      <c r="S7354" s="4"/>
    </row>
    <row r="7355" spans="1:19" ht="21" customHeight="1" x14ac:dyDescent="0.25">
      <c r="A7355" s="14">
        <f>DATE(2012,12,31)-815</f>
        <v>40459</v>
      </c>
      <c r="B7355" s="15" t="s">
        <v>564</v>
      </c>
      <c r="C7355" s="15" t="s">
        <v>43</v>
      </c>
      <c r="D7355" s="16">
        <v>6</v>
      </c>
      <c r="E7355" s="17">
        <v>834.21549999999991</v>
      </c>
      <c r="F7355" s="16">
        <v>0.02</v>
      </c>
      <c r="G7355" s="15" t="s">
        <v>32</v>
      </c>
      <c r="H7355" s="18">
        <v>-449.416</v>
      </c>
      <c r="I7355" s="19">
        <v>155.99</v>
      </c>
      <c r="J7355" s="19">
        <v>8.08</v>
      </c>
      <c r="K7355" s="19" t="s">
        <v>69</v>
      </c>
      <c r="L7355" s="19" t="s">
        <v>75</v>
      </c>
      <c r="M7355" s="15" t="s">
        <v>76</v>
      </c>
      <c r="N7355" s="15" t="s">
        <v>64</v>
      </c>
      <c r="O7355" s="15" t="s">
        <v>65</v>
      </c>
      <c r="P7355" s="20" t="s">
        <v>2014</v>
      </c>
      <c r="Q7355" s="15" t="s">
        <v>83</v>
      </c>
      <c r="R7355" s="4"/>
      <c r="S7355" s="4"/>
    </row>
    <row r="7356" spans="1:19" ht="21" customHeight="1" x14ac:dyDescent="0.25">
      <c r="A7356" s="14">
        <f>DATE(2012,12,31)-566</f>
        <v>40708</v>
      </c>
      <c r="B7356" s="15" t="s">
        <v>564</v>
      </c>
      <c r="C7356" s="15" t="s">
        <v>31</v>
      </c>
      <c r="D7356" s="16">
        <v>9</v>
      </c>
      <c r="E7356" s="17">
        <v>742.84</v>
      </c>
      <c r="F7356" s="16">
        <v>0.01</v>
      </c>
      <c r="G7356" s="15" t="s">
        <v>58</v>
      </c>
      <c r="H7356" s="18">
        <v>-320.7</v>
      </c>
      <c r="I7356" s="19">
        <v>70.98</v>
      </c>
      <c r="J7356" s="19">
        <v>59.81</v>
      </c>
      <c r="K7356" s="19" t="s">
        <v>69</v>
      </c>
      <c r="L7356" s="19" t="s">
        <v>75</v>
      </c>
      <c r="M7356" s="15" t="s">
        <v>76</v>
      </c>
      <c r="N7356" s="15" t="s">
        <v>54</v>
      </c>
      <c r="O7356" s="15" t="s">
        <v>252</v>
      </c>
      <c r="P7356" s="20" t="s">
        <v>803</v>
      </c>
      <c r="Q7356" s="15" t="s">
        <v>181</v>
      </c>
      <c r="R7356" s="4"/>
      <c r="S7356" s="4"/>
    </row>
    <row r="7357" spans="1:19" ht="21" customHeight="1" x14ac:dyDescent="0.25">
      <c r="A7357" s="14">
        <f>DATE(2012,12,31)-566</f>
        <v>40708</v>
      </c>
      <c r="B7357" s="15" t="s">
        <v>1522</v>
      </c>
      <c r="C7357" s="15" t="s">
        <v>31</v>
      </c>
      <c r="D7357" s="16">
        <v>14</v>
      </c>
      <c r="E7357" s="17">
        <v>2070.6799999999998</v>
      </c>
      <c r="F7357" s="16">
        <v>0.03</v>
      </c>
      <c r="G7357" s="15" t="s">
        <v>32</v>
      </c>
      <c r="H7357" s="18">
        <v>-281.67</v>
      </c>
      <c r="I7357" s="19">
        <v>152.47999999999999</v>
      </c>
      <c r="J7357" s="19">
        <v>4</v>
      </c>
      <c r="K7357" s="19" t="s">
        <v>69</v>
      </c>
      <c r="L7357" s="19" t="s">
        <v>215</v>
      </c>
      <c r="M7357" s="15" t="s">
        <v>2322</v>
      </c>
      <c r="N7357" s="15" t="s">
        <v>64</v>
      </c>
      <c r="O7357" s="15" t="s">
        <v>72</v>
      </c>
      <c r="P7357" s="20" t="s">
        <v>188</v>
      </c>
      <c r="Q7357" s="15" t="s">
        <v>83</v>
      </c>
      <c r="R7357" s="4"/>
      <c r="S7357" s="4"/>
    </row>
    <row r="7358" spans="1:19" ht="21" customHeight="1" x14ac:dyDescent="0.25">
      <c r="A7358" s="14">
        <f>DATE(2012,12,31)-566</f>
        <v>40708</v>
      </c>
      <c r="B7358" s="15" t="s">
        <v>1522</v>
      </c>
      <c r="C7358" s="15" t="s">
        <v>31</v>
      </c>
      <c r="D7358" s="16">
        <v>15</v>
      </c>
      <c r="E7358" s="17">
        <v>764.13</v>
      </c>
      <c r="F7358" s="16">
        <v>0.09</v>
      </c>
      <c r="G7358" s="15" t="s">
        <v>32</v>
      </c>
      <c r="H7358" s="18">
        <v>276.98</v>
      </c>
      <c r="I7358" s="19">
        <v>55.98</v>
      </c>
      <c r="J7358" s="19">
        <v>4.8600000000000003</v>
      </c>
      <c r="K7358" s="19" t="s">
        <v>111</v>
      </c>
      <c r="L7358" s="19" t="s">
        <v>2301</v>
      </c>
      <c r="M7358" s="15" t="s">
        <v>2346</v>
      </c>
      <c r="N7358" s="15" t="s">
        <v>36</v>
      </c>
      <c r="O7358" s="15" t="s">
        <v>117</v>
      </c>
      <c r="P7358" s="20" t="s">
        <v>425</v>
      </c>
      <c r="Q7358" s="15" t="s">
        <v>83</v>
      </c>
      <c r="R7358" s="4"/>
      <c r="S7358" s="4"/>
    </row>
    <row r="7359" spans="1:19" ht="21" customHeight="1" x14ac:dyDescent="0.25">
      <c r="A7359" s="14">
        <f>DATE(2012,12,31)-299</f>
        <v>40975</v>
      </c>
      <c r="B7359" s="15" t="s">
        <v>1909</v>
      </c>
      <c r="C7359" s="15" t="s">
        <v>31</v>
      </c>
      <c r="D7359" s="16">
        <v>11</v>
      </c>
      <c r="E7359" s="17">
        <v>64.34</v>
      </c>
      <c r="F7359" s="16">
        <v>0.09</v>
      </c>
      <c r="G7359" s="15" t="s">
        <v>32</v>
      </c>
      <c r="H7359" s="18">
        <v>-8.3699999999999992</v>
      </c>
      <c r="I7359" s="19">
        <v>5.85</v>
      </c>
      <c r="J7359" s="19">
        <v>2.27</v>
      </c>
      <c r="K7359" s="19" t="s">
        <v>111</v>
      </c>
      <c r="L7359" s="19" t="s">
        <v>2301</v>
      </c>
      <c r="M7359" s="15" t="s">
        <v>2346</v>
      </c>
      <c r="N7359" s="15" t="s">
        <v>36</v>
      </c>
      <c r="O7359" s="15" t="s">
        <v>77</v>
      </c>
      <c r="P7359" s="20" t="s">
        <v>1561</v>
      </c>
      <c r="Q7359" s="15" t="s">
        <v>79</v>
      </c>
      <c r="R7359" s="4"/>
      <c r="S7359" s="4"/>
    </row>
    <row r="7360" spans="1:19" ht="21" customHeight="1" x14ac:dyDescent="0.25">
      <c r="A7360" s="14">
        <f>DATE(2012,12,31)-299</f>
        <v>40975</v>
      </c>
      <c r="B7360" s="15" t="s">
        <v>1726</v>
      </c>
      <c r="C7360" s="15" t="s">
        <v>31</v>
      </c>
      <c r="D7360" s="16">
        <v>10</v>
      </c>
      <c r="E7360" s="17">
        <v>693.02</v>
      </c>
      <c r="F7360" s="16">
        <v>7.0000000000000007E-2</v>
      </c>
      <c r="G7360" s="15" t="s">
        <v>32</v>
      </c>
      <c r="H7360" s="18">
        <v>97.36</v>
      </c>
      <c r="I7360" s="19">
        <v>70.97</v>
      </c>
      <c r="J7360" s="19">
        <v>3.5</v>
      </c>
      <c r="K7360" s="19" t="s">
        <v>44</v>
      </c>
      <c r="L7360" s="19" t="s">
        <v>45</v>
      </c>
      <c r="M7360" s="15" t="s">
        <v>2271</v>
      </c>
      <c r="N7360" s="15" t="s">
        <v>36</v>
      </c>
      <c r="O7360" s="15" t="s">
        <v>176</v>
      </c>
      <c r="P7360" s="20" t="s">
        <v>1004</v>
      </c>
      <c r="Q7360" s="15" t="s">
        <v>83</v>
      </c>
      <c r="R7360" s="4"/>
      <c r="S7360" s="4"/>
    </row>
    <row r="7361" spans="1:19" ht="21" customHeight="1" x14ac:dyDescent="0.25">
      <c r="A7361" s="14">
        <f>DATE(2012,12,31)-723</f>
        <v>40551</v>
      </c>
      <c r="B7361" s="15" t="s">
        <v>1726</v>
      </c>
      <c r="C7361" s="15" t="s">
        <v>31</v>
      </c>
      <c r="D7361" s="16">
        <v>29</v>
      </c>
      <c r="E7361" s="17">
        <v>1499.5275000000001</v>
      </c>
      <c r="F7361" s="16">
        <v>0.09</v>
      </c>
      <c r="G7361" s="15" t="s">
        <v>32</v>
      </c>
      <c r="H7361" s="18">
        <v>188.982</v>
      </c>
      <c r="I7361" s="19">
        <v>65.989999999999995</v>
      </c>
      <c r="J7361" s="19">
        <v>5.26</v>
      </c>
      <c r="K7361" s="19" t="s">
        <v>44</v>
      </c>
      <c r="L7361" s="19" t="s">
        <v>89</v>
      </c>
      <c r="M7361" s="15" t="s">
        <v>2337</v>
      </c>
      <c r="N7361" s="15" t="s">
        <v>64</v>
      </c>
      <c r="O7361" s="15" t="s">
        <v>65</v>
      </c>
      <c r="P7361" s="20" t="s">
        <v>275</v>
      </c>
      <c r="Q7361" s="15" t="s">
        <v>83</v>
      </c>
      <c r="R7361" s="4"/>
      <c r="S7361" s="4"/>
    </row>
    <row r="7362" spans="1:19" ht="21" customHeight="1" x14ac:dyDescent="0.25">
      <c r="A7362" s="14">
        <f>DATE(2012,12,31)-237</f>
        <v>41037</v>
      </c>
      <c r="B7362" s="15" t="s">
        <v>1137</v>
      </c>
      <c r="C7362" s="15" t="s">
        <v>85</v>
      </c>
      <c r="D7362" s="16">
        <v>14</v>
      </c>
      <c r="E7362" s="17">
        <v>2045.066</v>
      </c>
      <c r="F7362" s="16">
        <v>7.0000000000000007E-2</v>
      </c>
      <c r="G7362" s="15" t="s">
        <v>32</v>
      </c>
      <c r="H7362" s="18">
        <v>-4.6749999999999998</v>
      </c>
      <c r="I7362" s="19">
        <v>175.99</v>
      </c>
      <c r="J7362" s="19">
        <v>8.99</v>
      </c>
      <c r="K7362" s="19" t="s">
        <v>44</v>
      </c>
      <c r="L7362" s="19" t="s">
        <v>89</v>
      </c>
      <c r="M7362" s="15" t="s">
        <v>2337</v>
      </c>
      <c r="N7362" s="15" t="s">
        <v>64</v>
      </c>
      <c r="O7362" s="15" t="s">
        <v>65</v>
      </c>
      <c r="P7362" s="20" t="s">
        <v>287</v>
      </c>
      <c r="Q7362" s="15" t="s">
        <v>83</v>
      </c>
      <c r="R7362" s="4"/>
      <c r="S7362" s="4"/>
    </row>
    <row r="7363" spans="1:19" ht="21" customHeight="1" x14ac:dyDescent="0.25">
      <c r="A7363" s="14">
        <f>DATE(2012,12,31)-237</f>
        <v>41037</v>
      </c>
      <c r="B7363" s="15" t="s">
        <v>138</v>
      </c>
      <c r="C7363" s="15" t="s">
        <v>85</v>
      </c>
      <c r="D7363" s="16">
        <v>4</v>
      </c>
      <c r="E7363" s="17">
        <v>26.41</v>
      </c>
      <c r="F7363" s="16">
        <v>0.05</v>
      </c>
      <c r="G7363" s="15" t="s">
        <v>32</v>
      </c>
      <c r="H7363" s="18">
        <v>-16.525500000000001</v>
      </c>
      <c r="I7363" s="19">
        <v>5.18</v>
      </c>
      <c r="J7363" s="19">
        <v>5.74</v>
      </c>
      <c r="K7363" s="19" t="s">
        <v>44</v>
      </c>
      <c r="L7363" s="19" t="s">
        <v>89</v>
      </c>
      <c r="M7363" s="15" t="s">
        <v>2337</v>
      </c>
      <c r="N7363" s="15" t="s">
        <v>36</v>
      </c>
      <c r="O7363" s="15" t="s">
        <v>170</v>
      </c>
      <c r="P7363" s="20" t="s">
        <v>927</v>
      </c>
      <c r="Q7363" s="15" t="s">
        <v>83</v>
      </c>
      <c r="R7363" s="4"/>
      <c r="S7363" s="4"/>
    </row>
    <row r="7364" spans="1:19" ht="21" customHeight="1" x14ac:dyDescent="0.25">
      <c r="A7364" s="14">
        <f>DATE(2012,12,31)-448</f>
        <v>40826</v>
      </c>
      <c r="B7364" s="15" t="s">
        <v>1671</v>
      </c>
      <c r="C7364" s="15" t="s">
        <v>85</v>
      </c>
      <c r="D7364" s="16">
        <v>4</v>
      </c>
      <c r="E7364" s="17">
        <v>20.25</v>
      </c>
      <c r="F7364" s="16">
        <v>0.1</v>
      </c>
      <c r="G7364" s="15" t="s">
        <v>32</v>
      </c>
      <c r="H7364" s="18">
        <v>-22.13</v>
      </c>
      <c r="I7364" s="19">
        <v>4.7699999999999996</v>
      </c>
      <c r="J7364" s="19">
        <v>2.39</v>
      </c>
      <c r="K7364" s="19" t="s">
        <v>44</v>
      </c>
      <c r="L7364" s="19" t="s">
        <v>120</v>
      </c>
      <c r="M7364" s="15" t="s">
        <v>2262</v>
      </c>
      <c r="N7364" s="15" t="s">
        <v>64</v>
      </c>
      <c r="O7364" s="15" t="s">
        <v>72</v>
      </c>
      <c r="P7364" s="20" t="s">
        <v>588</v>
      </c>
      <c r="Q7364" s="15" t="s">
        <v>49</v>
      </c>
      <c r="R7364" s="4"/>
      <c r="S7364" s="4"/>
    </row>
    <row r="7365" spans="1:19" ht="21" customHeight="1" x14ac:dyDescent="0.25">
      <c r="A7365" s="14">
        <f>DATE(2012,12,31)-448</f>
        <v>40826</v>
      </c>
      <c r="B7365" s="15" t="s">
        <v>1671</v>
      </c>
      <c r="C7365" s="15" t="s">
        <v>85</v>
      </c>
      <c r="D7365" s="16">
        <v>22</v>
      </c>
      <c r="E7365" s="17">
        <v>52.62</v>
      </c>
      <c r="F7365" s="16">
        <v>0.01</v>
      </c>
      <c r="G7365" s="15" t="s">
        <v>32</v>
      </c>
      <c r="H7365" s="18">
        <v>-4.6399999999999997</v>
      </c>
      <c r="I7365" s="19">
        <v>2.21</v>
      </c>
      <c r="J7365" s="19">
        <v>1.1200000000000001</v>
      </c>
      <c r="K7365" s="19" t="s">
        <v>44</v>
      </c>
      <c r="L7365" s="19" t="s">
        <v>89</v>
      </c>
      <c r="M7365" s="15" t="s">
        <v>2337</v>
      </c>
      <c r="N7365" s="15" t="s">
        <v>36</v>
      </c>
      <c r="O7365" s="15" t="s">
        <v>77</v>
      </c>
      <c r="P7365" s="20" t="s">
        <v>1739</v>
      </c>
      <c r="Q7365" s="15" t="s">
        <v>79</v>
      </c>
      <c r="R7365" s="4"/>
      <c r="S7365" s="4"/>
    </row>
    <row r="7366" spans="1:19" ht="21" customHeight="1" x14ac:dyDescent="0.25">
      <c r="A7366" s="14">
        <f>DATE(2012,12,31)-125</f>
        <v>41149</v>
      </c>
      <c r="B7366" s="15" t="s">
        <v>187</v>
      </c>
      <c r="C7366" s="15" t="s">
        <v>51</v>
      </c>
      <c r="D7366" s="16">
        <v>46</v>
      </c>
      <c r="E7366" s="17">
        <v>979.44</v>
      </c>
      <c r="F7366" s="16">
        <v>0.01</v>
      </c>
      <c r="G7366" s="15" t="s">
        <v>32</v>
      </c>
      <c r="H7366" s="18">
        <v>320.67</v>
      </c>
      <c r="I7366" s="19">
        <v>19.98</v>
      </c>
      <c r="J7366" s="19">
        <v>5.86</v>
      </c>
      <c r="K7366" s="19" t="s">
        <v>44</v>
      </c>
      <c r="L7366" s="19" t="s">
        <v>45</v>
      </c>
      <c r="M7366" s="15" t="s">
        <v>2271</v>
      </c>
      <c r="N7366" s="15" t="s">
        <v>36</v>
      </c>
      <c r="O7366" s="15" t="s">
        <v>117</v>
      </c>
      <c r="P7366" s="20" t="s">
        <v>717</v>
      </c>
      <c r="Q7366" s="15" t="s">
        <v>83</v>
      </c>
      <c r="R7366" s="4"/>
      <c r="S7366" s="4"/>
    </row>
    <row r="7367" spans="1:19" ht="21" customHeight="1" x14ac:dyDescent="0.25">
      <c r="A7367" s="14">
        <f>DATE(2012,12,31)-155</f>
        <v>41119</v>
      </c>
      <c r="B7367" s="15" t="s">
        <v>1166</v>
      </c>
      <c r="C7367" s="15" t="s">
        <v>51</v>
      </c>
      <c r="D7367" s="16">
        <v>3</v>
      </c>
      <c r="E7367" s="17">
        <v>112.79</v>
      </c>
      <c r="F7367" s="16">
        <v>0.06</v>
      </c>
      <c r="G7367" s="15" t="s">
        <v>58</v>
      </c>
      <c r="H7367" s="18">
        <v>-95.39</v>
      </c>
      <c r="I7367" s="19">
        <v>20.98</v>
      </c>
      <c r="J7367" s="19">
        <v>53.03</v>
      </c>
      <c r="K7367" s="19" t="s">
        <v>44</v>
      </c>
      <c r="L7367" s="19" t="s">
        <v>45</v>
      </c>
      <c r="M7367" s="15" t="s">
        <v>2271</v>
      </c>
      <c r="N7367" s="15" t="s">
        <v>36</v>
      </c>
      <c r="O7367" s="15" t="s">
        <v>37</v>
      </c>
      <c r="P7367" s="20" t="s">
        <v>1785</v>
      </c>
      <c r="Q7367" s="15" t="s">
        <v>181</v>
      </c>
      <c r="R7367" s="4"/>
      <c r="S7367" s="4"/>
    </row>
    <row r="7368" spans="1:19" ht="21" customHeight="1" x14ac:dyDescent="0.25">
      <c r="A7368" s="14">
        <f>DATE(2012,12,31)-175</f>
        <v>41099</v>
      </c>
      <c r="B7368" s="15" t="s">
        <v>359</v>
      </c>
      <c r="C7368" s="15" t="s">
        <v>31</v>
      </c>
      <c r="D7368" s="16">
        <v>34</v>
      </c>
      <c r="E7368" s="17">
        <v>1041.6600000000001</v>
      </c>
      <c r="F7368" s="16">
        <v>0.02</v>
      </c>
      <c r="G7368" s="15" t="s">
        <v>101</v>
      </c>
      <c r="H7368" s="18">
        <v>480.53050000000002</v>
      </c>
      <c r="I7368" s="19">
        <v>28.53</v>
      </c>
      <c r="J7368" s="19">
        <v>1.49</v>
      </c>
      <c r="K7368" s="19" t="s">
        <v>44</v>
      </c>
      <c r="L7368" s="19" t="s">
        <v>120</v>
      </c>
      <c r="M7368" s="15" t="s">
        <v>2262</v>
      </c>
      <c r="N7368" s="15" t="s">
        <v>36</v>
      </c>
      <c r="O7368" s="15" t="s">
        <v>170</v>
      </c>
      <c r="P7368" s="20" t="s">
        <v>1735</v>
      </c>
      <c r="Q7368" s="15" t="s">
        <v>83</v>
      </c>
      <c r="R7368" s="4"/>
      <c r="S7368" s="4"/>
    </row>
    <row r="7369" spans="1:19" ht="21" customHeight="1" x14ac:dyDescent="0.25">
      <c r="A7369" s="14">
        <f>DATE(2012,12,31)-465</f>
        <v>40809</v>
      </c>
      <c r="B7369" s="15" t="s">
        <v>359</v>
      </c>
      <c r="C7369" s="15" t="s">
        <v>43</v>
      </c>
      <c r="D7369" s="16">
        <v>7</v>
      </c>
      <c r="E7369" s="17">
        <v>220.79</v>
      </c>
      <c r="F7369" s="16">
        <v>0</v>
      </c>
      <c r="G7369" s="15" t="s">
        <v>32</v>
      </c>
      <c r="H7369" s="18">
        <v>-91.51</v>
      </c>
      <c r="I7369" s="19">
        <v>30.97</v>
      </c>
      <c r="J7369" s="19">
        <v>4</v>
      </c>
      <c r="K7369" s="19" t="s">
        <v>44</v>
      </c>
      <c r="L7369" s="19" t="s">
        <v>45</v>
      </c>
      <c r="M7369" s="15" t="s">
        <v>2271</v>
      </c>
      <c r="N7369" s="15" t="s">
        <v>64</v>
      </c>
      <c r="O7369" s="15" t="s">
        <v>72</v>
      </c>
      <c r="P7369" s="20" t="s">
        <v>834</v>
      </c>
      <c r="Q7369" s="15" t="s">
        <v>83</v>
      </c>
      <c r="R7369" s="4"/>
      <c r="S7369" s="4"/>
    </row>
    <row r="7370" spans="1:19" ht="21" customHeight="1" x14ac:dyDescent="0.25">
      <c r="A7370" s="14">
        <f>DATE(2012,12,31)-465</f>
        <v>40809</v>
      </c>
      <c r="B7370" s="15" t="s">
        <v>1554</v>
      </c>
      <c r="C7370" s="15" t="s">
        <v>43</v>
      </c>
      <c r="D7370" s="16">
        <v>41</v>
      </c>
      <c r="E7370" s="17">
        <v>755.19</v>
      </c>
      <c r="F7370" s="16">
        <v>0</v>
      </c>
      <c r="G7370" s="15" t="s">
        <v>32</v>
      </c>
      <c r="H7370" s="18">
        <v>81.44</v>
      </c>
      <c r="I7370" s="19">
        <v>17.670000000000002</v>
      </c>
      <c r="J7370" s="19">
        <v>8.99</v>
      </c>
      <c r="K7370" s="19" t="s">
        <v>44</v>
      </c>
      <c r="L7370" s="19" t="s">
        <v>236</v>
      </c>
      <c r="M7370" s="15" t="s">
        <v>2341</v>
      </c>
      <c r="N7370" s="15" t="s">
        <v>54</v>
      </c>
      <c r="O7370" s="15" t="s">
        <v>55</v>
      </c>
      <c r="P7370" s="20" t="s">
        <v>1542</v>
      </c>
      <c r="Q7370" s="15" t="s">
        <v>49</v>
      </c>
      <c r="R7370" s="4"/>
      <c r="S7370" s="4"/>
    </row>
    <row r="7371" spans="1:19" ht="21" customHeight="1" x14ac:dyDescent="0.25">
      <c r="A7371" s="14">
        <f>DATE(2012,12,31)-465</f>
        <v>40809</v>
      </c>
      <c r="B7371" s="15" t="s">
        <v>1554</v>
      </c>
      <c r="C7371" s="15" t="s">
        <v>43</v>
      </c>
      <c r="D7371" s="16">
        <v>37</v>
      </c>
      <c r="E7371" s="17">
        <v>201.14</v>
      </c>
      <c r="F7371" s="16">
        <v>0.08</v>
      </c>
      <c r="G7371" s="15" t="s">
        <v>32</v>
      </c>
      <c r="H7371" s="18">
        <v>-51.25</v>
      </c>
      <c r="I7371" s="19">
        <v>5.81</v>
      </c>
      <c r="J7371" s="19">
        <v>3.37</v>
      </c>
      <c r="K7371" s="19" t="s">
        <v>44</v>
      </c>
      <c r="L7371" s="19" t="s">
        <v>45</v>
      </c>
      <c r="M7371" s="15" t="s">
        <v>2271</v>
      </c>
      <c r="N7371" s="15" t="s">
        <v>36</v>
      </c>
      <c r="O7371" s="15" t="s">
        <v>105</v>
      </c>
      <c r="P7371" s="20" t="s">
        <v>1167</v>
      </c>
      <c r="Q7371" s="15" t="s">
        <v>79</v>
      </c>
      <c r="R7371" s="4"/>
      <c r="S7371" s="4"/>
    </row>
    <row r="7372" spans="1:19" ht="21" customHeight="1" x14ac:dyDescent="0.25">
      <c r="A7372" s="14">
        <f>DATE(2012,12,31)-784</f>
        <v>40490</v>
      </c>
      <c r="B7372" s="15" t="s">
        <v>537</v>
      </c>
      <c r="C7372" s="15" t="s">
        <v>43</v>
      </c>
      <c r="D7372" s="16">
        <v>14</v>
      </c>
      <c r="E7372" s="17">
        <v>125.54</v>
      </c>
      <c r="F7372" s="16">
        <v>0.03</v>
      </c>
      <c r="G7372" s="15" t="s">
        <v>101</v>
      </c>
      <c r="H7372" s="18">
        <v>-15.743499999999999</v>
      </c>
      <c r="I7372" s="19">
        <v>7.68</v>
      </c>
      <c r="J7372" s="19">
        <v>6.16</v>
      </c>
      <c r="K7372" s="19" t="s">
        <v>44</v>
      </c>
      <c r="L7372" s="19" t="s">
        <v>89</v>
      </c>
      <c r="M7372" s="15" t="s">
        <v>2337</v>
      </c>
      <c r="N7372" s="15" t="s">
        <v>36</v>
      </c>
      <c r="O7372" s="15" t="s">
        <v>170</v>
      </c>
      <c r="P7372" s="20" t="s">
        <v>1259</v>
      </c>
      <c r="Q7372" s="15" t="s">
        <v>83</v>
      </c>
      <c r="R7372" s="4"/>
      <c r="S7372" s="4"/>
    </row>
    <row r="7373" spans="1:19" ht="21" customHeight="1" x14ac:dyDescent="0.25">
      <c r="A7373" s="14">
        <f>DATE(2012,12,31)-911</f>
        <v>40363</v>
      </c>
      <c r="B7373" s="15" t="s">
        <v>286</v>
      </c>
      <c r="C7373" s="15" t="s">
        <v>51</v>
      </c>
      <c r="D7373" s="16">
        <v>46</v>
      </c>
      <c r="E7373" s="17">
        <v>5699.22</v>
      </c>
      <c r="F7373" s="16">
        <v>0.09</v>
      </c>
      <c r="G7373" s="15" t="s">
        <v>32</v>
      </c>
      <c r="H7373" s="18">
        <v>2812.63</v>
      </c>
      <c r="I7373" s="19">
        <v>150.97999999999999</v>
      </c>
      <c r="J7373" s="19">
        <v>13.99</v>
      </c>
      <c r="K7373" s="19" t="s">
        <v>44</v>
      </c>
      <c r="L7373" s="19" t="s">
        <v>89</v>
      </c>
      <c r="M7373" s="15" t="s">
        <v>2337</v>
      </c>
      <c r="N7373" s="15" t="s">
        <v>64</v>
      </c>
      <c r="O7373" s="15" t="s">
        <v>122</v>
      </c>
      <c r="P7373" s="20" t="s">
        <v>1087</v>
      </c>
      <c r="Q7373" s="15" t="s">
        <v>57</v>
      </c>
      <c r="R7373" s="4"/>
      <c r="S7373" s="4"/>
    </row>
    <row r="7374" spans="1:19" ht="21" customHeight="1" x14ac:dyDescent="0.25">
      <c r="A7374" s="14">
        <f>DATE(2012,12,31)-813</f>
        <v>40461</v>
      </c>
      <c r="B7374" s="15" t="s">
        <v>233</v>
      </c>
      <c r="C7374" s="15" t="s">
        <v>43</v>
      </c>
      <c r="D7374" s="16">
        <v>13</v>
      </c>
      <c r="E7374" s="17">
        <v>26.08</v>
      </c>
      <c r="F7374" s="16">
        <v>0.1</v>
      </c>
      <c r="G7374" s="15" t="s">
        <v>32</v>
      </c>
      <c r="H7374" s="18">
        <v>-27.29</v>
      </c>
      <c r="I7374" s="19">
        <v>1.86</v>
      </c>
      <c r="J7374" s="19">
        <v>2.58</v>
      </c>
      <c r="K7374" s="19" t="s">
        <v>44</v>
      </c>
      <c r="L7374" s="19" t="s">
        <v>45</v>
      </c>
      <c r="M7374" s="15" t="s">
        <v>2271</v>
      </c>
      <c r="N7374" s="15" t="s">
        <v>36</v>
      </c>
      <c r="O7374" s="15" t="s">
        <v>105</v>
      </c>
      <c r="P7374" s="20" t="s">
        <v>843</v>
      </c>
      <c r="Q7374" s="15" t="s">
        <v>79</v>
      </c>
      <c r="R7374" s="4"/>
      <c r="S7374" s="4"/>
    </row>
    <row r="7375" spans="1:19" ht="21" customHeight="1" x14ac:dyDescent="0.25">
      <c r="A7375" s="14">
        <f>DATE(2012,12,31)-460</f>
        <v>40814</v>
      </c>
      <c r="B7375" s="15" t="s">
        <v>1866</v>
      </c>
      <c r="C7375" s="15" t="s">
        <v>51</v>
      </c>
      <c r="D7375" s="16">
        <v>20</v>
      </c>
      <c r="E7375" s="17">
        <v>596.55999999999995</v>
      </c>
      <c r="F7375" s="16">
        <v>0.04</v>
      </c>
      <c r="G7375" s="15" t="s">
        <v>101</v>
      </c>
      <c r="H7375" s="18">
        <v>60.7</v>
      </c>
      <c r="I7375" s="19">
        <v>29.99</v>
      </c>
      <c r="J7375" s="19">
        <v>5.5</v>
      </c>
      <c r="K7375" s="19" t="s">
        <v>44</v>
      </c>
      <c r="L7375" s="19" t="s">
        <v>89</v>
      </c>
      <c r="M7375" s="15" t="s">
        <v>2337</v>
      </c>
      <c r="N7375" s="15" t="s">
        <v>64</v>
      </c>
      <c r="O7375" s="15" t="s">
        <v>72</v>
      </c>
      <c r="P7375" s="20" t="s">
        <v>2317</v>
      </c>
      <c r="Q7375" s="15" t="s">
        <v>83</v>
      </c>
      <c r="R7375" s="4"/>
      <c r="S7375" s="4"/>
    </row>
    <row r="7376" spans="1:19" ht="21" customHeight="1" x14ac:dyDescent="0.25">
      <c r="A7376" s="14">
        <f>DATE(2012,12,31)-767</f>
        <v>40507</v>
      </c>
      <c r="B7376" s="15" t="s">
        <v>1866</v>
      </c>
      <c r="C7376" s="15" t="s">
        <v>85</v>
      </c>
      <c r="D7376" s="16">
        <v>28</v>
      </c>
      <c r="E7376" s="17">
        <v>667.55</v>
      </c>
      <c r="F7376" s="16">
        <v>0</v>
      </c>
      <c r="G7376" s="15" t="s">
        <v>32</v>
      </c>
      <c r="H7376" s="18">
        <v>204.74</v>
      </c>
      <c r="I7376" s="19">
        <v>21.98</v>
      </c>
      <c r="J7376" s="19">
        <v>2.87</v>
      </c>
      <c r="K7376" s="19" t="s">
        <v>44</v>
      </c>
      <c r="L7376" s="19" t="s">
        <v>89</v>
      </c>
      <c r="M7376" s="15" t="s">
        <v>2337</v>
      </c>
      <c r="N7376" s="15" t="s">
        <v>36</v>
      </c>
      <c r="O7376" s="15" t="s">
        <v>77</v>
      </c>
      <c r="P7376" s="20" t="s">
        <v>1131</v>
      </c>
      <c r="Q7376" s="15" t="s">
        <v>49</v>
      </c>
      <c r="R7376" s="4"/>
      <c r="S7376" s="4"/>
    </row>
    <row r="7377" spans="1:19" ht="21" customHeight="1" x14ac:dyDescent="0.25">
      <c r="A7377" s="14">
        <f>DATE(2012,12,31)-373</f>
        <v>40901</v>
      </c>
      <c r="B7377" s="15" t="s">
        <v>1488</v>
      </c>
      <c r="C7377" s="15" t="s">
        <v>85</v>
      </c>
      <c r="D7377" s="16">
        <v>8</v>
      </c>
      <c r="E7377" s="17">
        <v>317.82</v>
      </c>
      <c r="F7377" s="16">
        <v>0.02</v>
      </c>
      <c r="G7377" s="15" t="s">
        <v>32</v>
      </c>
      <c r="H7377" s="18">
        <v>-33.090000000000003</v>
      </c>
      <c r="I7377" s="19">
        <v>37.76</v>
      </c>
      <c r="J7377" s="19">
        <v>12.9</v>
      </c>
      <c r="K7377" s="19" t="s">
        <v>44</v>
      </c>
      <c r="L7377" s="19" t="s">
        <v>120</v>
      </c>
      <c r="M7377" s="15" t="s">
        <v>2262</v>
      </c>
      <c r="N7377" s="15" t="s">
        <v>36</v>
      </c>
      <c r="O7377" s="15" t="s">
        <v>37</v>
      </c>
      <c r="P7377" s="20" t="s">
        <v>551</v>
      </c>
      <c r="Q7377" s="15" t="s">
        <v>83</v>
      </c>
      <c r="R7377" s="4"/>
      <c r="S7377" s="4"/>
    </row>
    <row r="7378" spans="1:19" ht="21" customHeight="1" x14ac:dyDescent="0.25">
      <c r="A7378" s="14">
        <f>DATE(2012,12,31)-348</f>
        <v>40926</v>
      </c>
      <c r="B7378" s="15" t="s">
        <v>1488</v>
      </c>
      <c r="C7378" s="15" t="s">
        <v>85</v>
      </c>
      <c r="D7378" s="16">
        <v>32</v>
      </c>
      <c r="E7378" s="17">
        <v>5934.39</v>
      </c>
      <c r="F7378" s="16">
        <v>0.08</v>
      </c>
      <c r="G7378" s="15" t="s">
        <v>32</v>
      </c>
      <c r="H7378" s="18">
        <v>519.54999999999995</v>
      </c>
      <c r="I7378" s="19">
        <v>193.17</v>
      </c>
      <c r="J7378" s="19">
        <v>19.989999999999998</v>
      </c>
      <c r="K7378" s="19" t="s">
        <v>44</v>
      </c>
      <c r="L7378" s="19" t="s">
        <v>89</v>
      </c>
      <c r="M7378" s="15" t="s">
        <v>2337</v>
      </c>
      <c r="N7378" s="15" t="s">
        <v>36</v>
      </c>
      <c r="O7378" s="15" t="s">
        <v>37</v>
      </c>
      <c r="P7378" s="20" t="s">
        <v>202</v>
      </c>
      <c r="Q7378" s="15" t="s">
        <v>83</v>
      </c>
      <c r="R7378" s="4"/>
      <c r="S7378" s="4"/>
    </row>
    <row r="7379" spans="1:19" ht="21" customHeight="1" x14ac:dyDescent="0.25">
      <c r="A7379" s="14">
        <f>DATE(2012,12,31)-995</f>
        <v>40279</v>
      </c>
      <c r="B7379" s="15" t="s">
        <v>1798</v>
      </c>
      <c r="C7379" s="15" t="s">
        <v>51</v>
      </c>
      <c r="D7379" s="16">
        <v>8</v>
      </c>
      <c r="E7379" s="17">
        <v>30.17</v>
      </c>
      <c r="F7379" s="16">
        <v>0.04</v>
      </c>
      <c r="G7379" s="15" t="s">
        <v>32</v>
      </c>
      <c r="H7379" s="18">
        <v>-22.84</v>
      </c>
      <c r="I7379" s="19">
        <v>3.28</v>
      </c>
      <c r="J7379" s="19">
        <v>3.97</v>
      </c>
      <c r="K7379" s="19" t="s">
        <v>124</v>
      </c>
      <c r="L7379" s="19" t="s">
        <v>160</v>
      </c>
      <c r="M7379" s="15" t="s">
        <v>2281</v>
      </c>
      <c r="N7379" s="15" t="s">
        <v>36</v>
      </c>
      <c r="O7379" s="15" t="s">
        <v>77</v>
      </c>
      <c r="P7379" s="20" t="s">
        <v>981</v>
      </c>
      <c r="Q7379" s="15" t="s">
        <v>79</v>
      </c>
      <c r="R7379" s="4"/>
      <c r="S7379" s="4"/>
    </row>
    <row r="7380" spans="1:19" ht="21" customHeight="1" x14ac:dyDescent="0.25">
      <c r="A7380" s="14">
        <f>DATE(2012,12,31)-995</f>
        <v>40279</v>
      </c>
      <c r="B7380" s="15" t="s">
        <v>1643</v>
      </c>
      <c r="C7380" s="15" t="s">
        <v>51</v>
      </c>
      <c r="D7380" s="16">
        <v>25</v>
      </c>
      <c r="E7380" s="17">
        <v>1158.6009999999999</v>
      </c>
      <c r="F7380" s="16">
        <v>0.1</v>
      </c>
      <c r="G7380" s="15" t="s">
        <v>32</v>
      </c>
      <c r="H7380" s="18">
        <v>-155.298</v>
      </c>
      <c r="I7380" s="19">
        <v>55.99</v>
      </c>
      <c r="J7380" s="19">
        <v>2.5</v>
      </c>
      <c r="K7380" s="19" t="s">
        <v>124</v>
      </c>
      <c r="L7380" s="19" t="s">
        <v>160</v>
      </c>
      <c r="M7380" s="15" t="s">
        <v>2281</v>
      </c>
      <c r="N7380" s="15" t="s">
        <v>64</v>
      </c>
      <c r="O7380" s="15" t="s">
        <v>65</v>
      </c>
      <c r="P7380" s="20" t="s">
        <v>1741</v>
      </c>
      <c r="Q7380" s="15" t="s">
        <v>49</v>
      </c>
      <c r="R7380" s="4"/>
      <c r="S7380" s="4"/>
    </row>
    <row r="7381" spans="1:19" ht="21" customHeight="1" x14ac:dyDescent="0.25">
      <c r="A7381" s="14">
        <f>DATE(2012,12,31)-1236</f>
        <v>40038</v>
      </c>
      <c r="B7381" s="15" t="s">
        <v>50</v>
      </c>
      <c r="C7381" s="15" t="s">
        <v>51</v>
      </c>
      <c r="D7381" s="16">
        <v>15</v>
      </c>
      <c r="E7381" s="17">
        <v>1917.61</v>
      </c>
      <c r="F7381" s="16">
        <v>0.03</v>
      </c>
      <c r="G7381" s="15" t="s">
        <v>58</v>
      </c>
      <c r="H7381" s="18">
        <v>-286.89999999999998</v>
      </c>
      <c r="I7381" s="19">
        <v>124.49</v>
      </c>
      <c r="J7381" s="19">
        <v>51.94</v>
      </c>
      <c r="K7381" s="19" t="s">
        <v>124</v>
      </c>
      <c r="L7381" s="19" t="s">
        <v>160</v>
      </c>
      <c r="M7381" s="15" t="s">
        <v>2281</v>
      </c>
      <c r="N7381" s="15" t="s">
        <v>54</v>
      </c>
      <c r="O7381" s="15" t="s">
        <v>61</v>
      </c>
      <c r="P7381" s="20" t="s">
        <v>314</v>
      </c>
      <c r="Q7381" s="15" t="s">
        <v>63</v>
      </c>
      <c r="R7381" s="4"/>
      <c r="S7381" s="4"/>
    </row>
    <row r="7382" spans="1:19" ht="21" customHeight="1" x14ac:dyDescent="0.25">
      <c r="A7382" s="14">
        <f>DATE(2012,12,31)-684</f>
        <v>40590</v>
      </c>
      <c r="B7382" s="15" t="s">
        <v>50</v>
      </c>
      <c r="C7382" s="15" t="s">
        <v>31</v>
      </c>
      <c r="D7382" s="16">
        <v>19</v>
      </c>
      <c r="E7382" s="17">
        <v>138.05000000000001</v>
      </c>
      <c r="F7382" s="16">
        <v>0.09</v>
      </c>
      <c r="G7382" s="15" t="s">
        <v>32</v>
      </c>
      <c r="H7382" s="18">
        <v>-100.49</v>
      </c>
      <c r="I7382" s="19">
        <v>7.37</v>
      </c>
      <c r="J7382" s="19">
        <v>5.53</v>
      </c>
      <c r="K7382" s="19" t="s">
        <v>33</v>
      </c>
      <c r="L7382" s="19" t="s">
        <v>128</v>
      </c>
      <c r="M7382" s="15" t="s">
        <v>129</v>
      </c>
      <c r="N7382" s="15" t="s">
        <v>64</v>
      </c>
      <c r="O7382" s="15" t="s">
        <v>72</v>
      </c>
      <c r="P7382" s="20" t="s">
        <v>415</v>
      </c>
      <c r="Q7382" s="15" t="s">
        <v>49</v>
      </c>
      <c r="R7382" s="4"/>
      <c r="S7382" s="4"/>
    </row>
    <row r="7383" spans="1:19" ht="21" customHeight="1" x14ac:dyDescent="0.25">
      <c r="A7383" s="14">
        <f>DATE(2012,12,31)-1393</f>
        <v>39881</v>
      </c>
      <c r="B7383" s="15" t="s">
        <v>850</v>
      </c>
      <c r="C7383" s="15" t="s">
        <v>43</v>
      </c>
      <c r="D7383" s="16">
        <v>21</v>
      </c>
      <c r="E7383" s="17">
        <v>118.51</v>
      </c>
      <c r="F7383" s="16">
        <v>0.03</v>
      </c>
      <c r="G7383" s="15" t="s">
        <v>32</v>
      </c>
      <c r="H7383" s="18">
        <v>-948.71</v>
      </c>
      <c r="I7383" s="19">
        <v>3.25</v>
      </c>
      <c r="J7383" s="19">
        <v>49</v>
      </c>
      <c r="K7383" s="19" t="s">
        <v>33</v>
      </c>
      <c r="L7383" s="19" t="s">
        <v>128</v>
      </c>
      <c r="M7383" s="15" t="s">
        <v>129</v>
      </c>
      <c r="N7383" s="15" t="s">
        <v>36</v>
      </c>
      <c r="O7383" s="15" t="s">
        <v>176</v>
      </c>
      <c r="P7383" s="20" t="s">
        <v>2349</v>
      </c>
      <c r="Q7383" s="15" t="s">
        <v>39</v>
      </c>
      <c r="R7383" s="4"/>
      <c r="S7383" s="4"/>
    </row>
    <row r="7384" spans="1:19" ht="21" customHeight="1" x14ac:dyDescent="0.25">
      <c r="A7384" s="14">
        <f>DATE(2012,12,31)-801</f>
        <v>40473</v>
      </c>
      <c r="B7384" s="15" t="s">
        <v>817</v>
      </c>
      <c r="C7384" s="15" t="s">
        <v>51</v>
      </c>
      <c r="D7384" s="16">
        <v>9</v>
      </c>
      <c r="E7384" s="17">
        <v>48.26</v>
      </c>
      <c r="F7384" s="16">
        <v>0.09</v>
      </c>
      <c r="G7384" s="15" t="s">
        <v>101</v>
      </c>
      <c r="H7384" s="18">
        <v>2.76</v>
      </c>
      <c r="I7384" s="19">
        <v>5.18</v>
      </c>
      <c r="J7384" s="19">
        <v>2.04</v>
      </c>
      <c r="K7384" s="19" t="s">
        <v>33</v>
      </c>
      <c r="L7384" s="19" t="s">
        <v>93</v>
      </c>
      <c r="M7384" s="15" t="s">
        <v>94</v>
      </c>
      <c r="N7384" s="15" t="s">
        <v>36</v>
      </c>
      <c r="O7384" s="15" t="s">
        <v>117</v>
      </c>
      <c r="P7384" s="20" t="s">
        <v>1934</v>
      </c>
      <c r="Q7384" s="15" t="s">
        <v>79</v>
      </c>
      <c r="R7384" s="4"/>
      <c r="S7384" s="4"/>
    </row>
    <row r="7385" spans="1:19" ht="21" customHeight="1" x14ac:dyDescent="0.25">
      <c r="A7385" s="14">
        <f>DATE(2012,12,31)-801</f>
        <v>40473</v>
      </c>
      <c r="B7385" s="15" t="s">
        <v>1828</v>
      </c>
      <c r="C7385" s="15" t="s">
        <v>51</v>
      </c>
      <c r="D7385" s="16">
        <v>6</v>
      </c>
      <c r="E7385" s="17">
        <v>1718.43</v>
      </c>
      <c r="F7385" s="16">
        <v>0</v>
      </c>
      <c r="G7385" s="15" t="s">
        <v>58</v>
      </c>
      <c r="H7385" s="18">
        <v>-192.49199999999999</v>
      </c>
      <c r="I7385" s="19">
        <v>259.70999999999998</v>
      </c>
      <c r="J7385" s="19">
        <v>66.67</v>
      </c>
      <c r="K7385" s="19" t="s">
        <v>33</v>
      </c>
      <c r="L7385" s="19" t="s">
        <v>128</v>
      </c>
      <c r="M7385" s="15" t="s">
        <v>129</v>
      </c>
      <c r="N7385" s="15" t="s">
        <v>54</v>
      </c>
      <c r="O7385" s="15" t="s">
        <v>61</v>
      </c>
      <c r="P7385" s="20" t="s">
        <v>2255</v>
      </c>
      <c r="Q7385" s="15" t="s">
        <v>63</v>
      </c>
      <c r="R7385" s="4"/>
      <c r="S7385" s="4"/>
    </row>
    <row r="7386" spans="1:19" ht="21" customHeight="1" x14ac:dyDescent="0.25">
      <c r="A7386" s="14">
        <f>DATE(2012,12,31)-801</f>
        <v>40473</v>
      </c>
      <c r="B7386" s="15" t="s">
        <v>1828</v>
      </c>
      <c r="C7386" s="15" t="s">
        <v>51</v>
      </c>
      <c r="D7386" s="16">
        <v>24</v>
      </c>
      <c r="E7386" s="17">
        <v>8920.08</v>
      </c>
      <c r="F7386" s="16">
        <v>0</v>
      </c>
      <c r="G7386" s="15" t="s">
        <v>32</v>
      </c>
      <c r="H7386" s="18">
        <v>3545.8940000000002</v>
      </c>
      <c r="I7386" s="19">
        <v>367.99</v>
      </c>
      <c r="J7386" s="19">
        <v>19.989999999999998</v>
      </c>
      <c r="K7386" s="19" t="s">
        <v>33</v>
      </c>
      <c r="L7386" s="19" t="s">
        <v>128</v>
      </c>
      <c r="M7386" s="15" t="s">
        <v>129</v>
      </c>
      <c r="N7386" s="15" t="s">
        <v>36</v>
      </c>
      <c r="O7386" s="15" t="s">
        <v>170</v>
      </c>
      <c r="P7386" s="20" t="s">
        <v>473</v>
      </c>
      <c r="Q7386" s="15" t="s">
        <v>83</v>
      </c>
      <c r="R7386" s="4"/>
      <c r="S7386" s="4"/>
    </row>
    <row r="7387" spans="1:19" ht="21" customHeight="1" x14ac:dyDescent="0.25">
      <c r="A7387" s="14">
        <f>DATE(2012,12,31)-801</f>
        <v>40473</v>
      </c>
      <c r="B7387" s="15" t="s">
        <v>1828</v>
      </c>
      <c r="C7387" s="15" t="s">
        <v>51</v>
      </c>
      <c r="D7387" s="16">
        <v>49</v>
      </c>
      <c r="E7387" s="17">
        <v>188.7</v>
      </c>
      <c r="F7387" s="16">
        <v>7.0000000000000007E-2</v>
      </c>
      <c r="G7387" s="15" t="s">
        <v>32</v>
      </c>
      <c r="H7387" s="18">
        <v>77.02</v>
      </c>
      <c r="I7387" s="19">
        <v>4.13</v>
      </c>
      <c r="J7387" s="19">
        <v>0.5</v>
      </c>
      <c r="K7387" s="19" t="s">
        <v>97</v>
      </c>
      <c r="L7387" s="19" t="s">
        <v>283</v>
      </c>
      <c r="M7387" s="15" t="s">
        <v>2306</v>
      </c>
      <c r="N7387" s="15" t="s">
        <v>36</v>
      </c>
      <c r="O7387" s="15" t="s">
        <v>114</v>
      </c>
      <c r="P7387" s="20" t="s">
        <v>584</v>
      </c>
      <c r="Q7387" s="15" t="s">
        <v>83</v>
      </c>
      <c r="R7387" s="4"/>
      <c r="S7387" s="4"/>
    </row>
    <row r="7388" spans="1:19" ht="21" customHeight="1" x14ac:dyDescent="0.25">
      <c r="A7388" s="14">
        <f>DATE(2012,12,31)-801</f>
        <v>40473</v>
      </c>
      <c r="B7388" s="15" t="s">
        <v>564</v>
      </c>
      <c r="C7388" s="15" t="s">
        <v>51</v>
      </c>
      <c r="D7388" s="16">
        <v>36</v>
      </c>
      <c r="E7388" s="17">
        <v>14358.64</v>
      </c>
      <c r="F7388" s="16">
        <v>0.03</v>
      </c>
      <c r="G7388" s="15" t="s">
        <v>58</v>
      </c>
      <c r="H7388" s="18">
        <v>-969.0483660000001</v>
      </c>
      <c r="I7388" s="19">
        <v>400.98</v>
      </c>
      <c r="J7388" s="19">
        <v>76.37</v>
      </c>
      <c r="K7388" s="19" t="s">
        <v>97</v>
      </c>
      <c r="L7388" s="19" t="s">
        <v>98</v>
      </c>
      <c r="M7388" s="15" t="s">
        <v>2328</v>
      </c>
      <c r="N7388" s="15" t="s">
        <v>54</v>
      </c>
      <c r="O7388" s="15" t="s">
        <v>61</v>
      </c>
      <c r="P7388" s="20" t="s">
        <v>793</v>
      </c>
      <c r="Q7388" s="15" t="s">
        <v>63</v>
      </c>
      <c r="R7388" s="4"/>
      <c r="S7388" s="4"/>
    </row>
    <row r="7389" spans="1:19" ht="21" customHeight="1" x14ac:dyDescent="0.25">
      <c r="A7389" s="14">
        <f>DATE(2012,12,31)-1227</f>
        <v>40047</v>
      </c>
      <c r="B7389" s="15" t="s">
        <v>564</v>
      </c>
      <c r="C7389" s="15" t="s">
        <v>85</v>
      </c>
      <c r="D7389" s="16">
        <v>40</v>
      </c>
      <c r="E7389" s="17">
        <v>2055.98</v>
      </c>
      <c r="F7389" s="16">
        <v>0</v>
      </c>
      <c r="G7389" s="15" t="s">
        <v>32</v>
      </c>
      <c r="H7389" s="18">
        <v>1016.86</v>
      </c>
      <c r="I7389" s="19">
        <v>47.9</v>
      </c>
      <c r="J7389" s="19">
        <v>5.86</v>
      </c>
      <c r="K7389" s="19" t="s">
        <v>97</v>
      </c>
      <c r="L7389" s="19" t="s">
        <v>98</v>
      </c>
      <c r="M7389" s="15" t="s">
        <v>2328</v>
      </c>
      <c r="N7389" s="15" t="s">
        <v>36</v>
      </c>
      <c r="O7389" s="15" t="s">
        <v>117</v>
      </c>
      <c r="P7389" s="20" t="s">
        <v>339</v>
      </c>
      <c r="Q7389" s="15" t="s">
        <v>83</v>
      </c>
      <c r="R7389" s="4"/>
      <c r="S7389" s="4"/>
    </row>
    <row r="7390" spans="1:19" ht="21" customHeight="1" x14ac:dyDescent="0.25">
      <c r="A7390" s="14">
        <f>DATE(2012,12,31)-591</f>
        <v>40683</v>
      </c>
      <c r="B7390" s="15" t="s">
        <v>595</v>
      </c>
      <c r="C7390" s="15" t="s">
        <v>51</v>
      </c>
      <c r="D7390" s="16">
        <v>16</v>
      </c>
      <c r="E7390" s="17">
        <v>101.14</v>
      </c>
      <c r="F7390" s="16">
        <v>0</v>
      </c>
      <c r="G7390" s="15" t="s">
        <v>32</v>
      </c>
      <c r="H7390" s="18">
        <v>-32.619999999999997</v>
      </c>
      <c r="I7390" s="19">
        <v>5.98</v>
      </c>
      <c r="J7390" s="19">
        <v>5.46</v>
      </c>
      <c r="K7390" s="19" t="s">
        <v>97</v>
      </c>
      <c r="L7390" s="19" t="s">
        <v>132</v>
      </c>
      <c r="M7390" s="15" t="s">
        <v>2294</v>
      </c>
      <c r="N7390" s="15" t="s">
        <v>36</v>
      </c>
      <c r="O7390" s="15" t="s">
        <v>117</v>
      </c>
      <c r="P7390" s="20" t="s">
        <v>488</v>
      </c>
      <c r="Q7390" s="15" t="s">
        <v>83</v>
      </c>
      <c r="R7390" s="4"/>
      <c r="S7390" s="4"/>
    </row>
    <row r="7391" spans="1:19" ht="21" customHeight="1" x14ac:dyDescent="0.25">
      <c r="A7391" s="14">
        <f>DATE(2012,12,31)-633</f>
        <v>40641</v>
      </c>
      <c r="B7391" s="15" t="s">
        <v>42</v>
      </c>
      <c r="C7391" s="15" t="s">
        <v>51</v>
      </c>
      <c r="D7391" s="16">
        <v>43</v>
      </c>
      <c r="E7391" s="17">
        <v>701.46</v>
      </c>
      <c r="F7391" s="16">
        <v>0.04</v>
      </c>
      <c r="G7391" s="15" t="s">
        <v>101</v>
      </c>
      <c r="H7391" s="18">
        <v>-90.140699999999995</v>
      </c>
      <c r="I7391" s="19">
        <v>15.99</v>
      </c>
      <c r="J7391" s="19">
        <v>9.4</v>
      </c>
      <c r="K7391" s="19" t="s">
        <v>97</v>
      </c>
      <c r="L7391" s="19" t="s">
        <v>283</v>
      </c>
      <c r="M7391" s="15" t="s">
        <v>2306</v>
      </c>
      <c r="N7391" s="15" t="s">
        <v>64</v>
      </c>
      <c r="O7391" s="15" t="s">
        <v>122</v>
      </c>
      <c r="P7391" s="20" t="s">
        <v>1490</v>
      </c>
      <c r="Q7391" s="15" t="s">
        <v>83</v>
      </c>
      <c r="R7391" s="4"/>
      <c r="S7391" s="4"/>
    </row>
    <row r="7392" spans="1:19" ht="21" customHeight="1" x14ac:dyDescent="0.25">
      <c r="A7392" s="14">
        <f>DATE(2012,12,31)-633</f>
        <v>40641</v>
      </c>
      <c r="B7392" s="15" t="s">
        <v>42</v>
      </c>
      <c r="C7392" s="15" t="s">
        <v>51</v>
      </c>
      <c r="D7392" s="16">
        <v>19</v>
      </c>
      <c r="E7392" s="17">
        <v>53.94</v>
      </c>
      <c r="F7392" s="16">
        <v>0.05</v>
      </c>
      <c r="G7392" s="15" t="s">
        <v>32</v>
      </c>
      <c r="H7392" s="18">
        <v>-6.53</v>
      </c>
      <c r="I7392" s="19">
        <v>2.78</v>
      </c>
      <c r="J7392" s="19">
        <v>1.25</v>
      </c>
      <c r="K7392" s="19" t="s">
        <v>97</v>
      </c>
      <c r="L7392" s="19" t="s">
        <v>283</v>
      </c>
      <c r="M7392" s="15" t="s">
        <v>2306</v>
      </c>
      <c r="N7392" s="15" t="s">
        <v>36</v>
      </c>
      <c r="O7392" s="15" t="s">
        <v>77</v>
      </c>
      <c r="P7392" s="20" t="s">
        <v>427</v>
      </c>
      <c r="Q7392" s="15" t="s">
        <v>79</v>
      </c>
      <c r="R7392" s="4"/>
      <c r="S7392" s="4"/>
    </row>
    <row r="7393" spans="1:19" ht="21" customHeight="1" x14ac:dyDescent="0.25">
      <c r="A7393" s="14">
        <f>DATE(2012,12,31)-633</f>
        <v>40641</v>
      </c>
      <c r="B7393" s="15" t="s">
        <v>688</v>
      </c>
      <c r="C7393" s="15" t="s">
        <v>51</v>
      </c>
      <c r="D7393" s="16">
        <v>7</v>
      </c>
      <c r="E7393" s="17">
        <v>46.94</v>
      </c>
      <c r="F7393" s="16">
        <v>0.02</v>
      </c>
      <c r="G7393" s="15" t="s">
        <v>32</v>
      </c>
      <c r="H7393" s="18">
        <v>7.34</v>
      </c>
      <c r="I7393" s="19">
        <v>6.47</v>
      </c>
      <c r="J7393" s="19">
        <v>1.22</v>
      </c>
      <c r="K7393" s="19" t="s">
        <v>97</v>
      </c>
      <c r="L7393" s="19" t="s">
        <v>98</v>
      </c>
      <c r="M7393" s="15" t="s">
        <v>2328</v>
      </c>
      <c r="N7393" s="15" t="s">
        <v>36</v>
      </c>
      <c r="O7393" s="15" t="s">
        <v>77</v>
      </c>
      <c r="P7393" s="20" t="s">
        <v>1328</v>
      </c>
      <c r="Q7393" s="15" t="s">
        <v>79</v>
      </c>
      <c r="R7393" s="4"/>
      <c r="S7393" s="4"/>
    </row>
    <row r="7394" spans="1:19" ht="21" customHeight="1" x14ac:dyDescent="0.25">
      <c r="A7394" s="14">
        <f>DATE(2012,12,31)-633</f>
        <v>40641</v>
      </c>
      <c r="B7394" s="15" t="s">
        <v>688</v>
      </c>
      <c r="C7394" s="15" t="s">
        <v>51</v>
      </c>
      <c r="D7394" s="16">
        <v>20</v>
      </c>
      <c r="E7394" s="17">
        <v>77.989999999999995</v>
      </c>
      <c r="F7394" s="16">
        <v>0.03</v>
      </c>
      <c r="G7394" s="15" t="s">
        <v>32</v>
      </c>
      <c r="H7394" s="18">
        <v>19.68</v>
      </c>
      <c r="I7394" s="19">
        <v>3.93</v>
      </c>
      <c r="J7394" s="19">
        <v>0.99</v>
      </c>
      <c r="K7394" s="19" t="s">
        <v>124</v>
      </c>
      <c r="L7394" s="19" t="s">
        <v>160</v>
      </c>
      <c r="M7394" s="15" t="s">
        <v>2281</v>
      </c>
      <c r="N7394" s="15" t="s">
        <v>36</v>
      </c>
      <c r="O7394" s="15" t="s">
        <v>105</v>
      </c>
      <c r="P7394" s="20" t="s">
        <v>1790</v>
      </c>
      <c r="Q7394" s="15" t="s">
        <v>79</v>
      </c>
      <c r="R7394" s="4"/>
      <c r="S7394" s="4"/>
    </row>
    <row r="7395" spans="1:19" ht="21" customHeight="1" x14ac:dyDescent="0.25">
      <c r="A7395" s="14">
        <f>DATE(2012,12,31)-419</f>
        <v>40855</v>
      </c>
      <c r="B7395" s="15" t="s">
        <v>1281</v>
      </c>
      <c r="C7395" s="15" t="s">
        <v>31</v>
      </c>
      <c r="D7395" s="16">
        <v>16</v>
      </c>
      <c r="E7395" s="17">
        <v>136.97999999999999</v>
      </c>
      <c r="F7395" s="16">
        <v>0.04</v>
      </c>
      <c r="G7395" s="15" t="s">
        <v>32</v>
      </c>
      <c r="H7395" s="18">
        <v>44.12</v>
      </c>
      <c r="I7395" s="19">
        <v>8.74</v>
      </c>
      <c r="J7395" s="19">
        <v>1.39</v>
      </c>
      <c r="K7395" s="19" t="s">
        <v>124</v>
      </c>
      <c r="L7395" s="19" t="s">
        <v>164</v>
      </c>
      <c r="M7395" s="15" t="s">
        <v>2335</v>
      </c>
      <c r="N7395" s="15" t="s">
        <v>36</v>
      </c>
      <c r="O7395" s="15" t="s">
        <v>189</v>
      </c>
      <c r="P7395" s="20" t="s">
        <v>1548</v>
      </c>
      <c r="Q7395" s="15" t="s">
        <v>83</v>
      </c>
      <c r="R7395" s="4"/>
      <c r="S7395" s="4"/>
    </row>
    <row r="7396" spans="1:19" ht="21" customHeight="1" x14ac:dyDescent="0.25">
      <c r="A7396" s="14">
        <f>DATE(2012,12,31)-419</f>
        <v>40855</v>
      </c>
      <c r="B7396" s="15" t="s">
        <v>96</v>
      </c>
      <c r="C7396" s="15" t="s">
        <v>31</v>
      </c>
      <c r="D7396" s="16">
        <v>39</v>
      </c>
      <c r="E7396" s="17">
        <v>225.17</v>
      </c>
      <c r="F7396" s="16">
        <v>0.1</v>
      </c>
      <c r="G7396" s="15" t="s">
        <v>32</v>
      </c>
      <c r="H7396" s="18">
        <v>-183.05</v>
      </c>
      <c r="I7396" s="19">
        <v>5.78</v>
      </c>
      <c r="J7396" s="19">
        <v>8.09</v>
      </c>
      <c r="K7396" s="19" t="s">
        <v>124</v>
      </c>
      <c r="L7396" s="19" t="s">
        <v>493</v>
      </c>
      <c r="M7396" s="15" t="s">
        <v>2334</v>
      </c>
      <c r="N7396" s="15" t="s">
        <v>36</v>
      </c>
      <c r="O7396" s="15" t="s">
        <v>117</v>
      </c>
      <c r="P7396" s="20" t="s">
        <v>180</v>
      </c>
      <c r="Q7396" s="15" t="s">
        <v>83</v>
      </c>
      <c r="R7396" s="4"/>
      <c r="S7396" s="4"/>
    </row>
    <row r="7397" spans="1:19" ht="21" customHeight="1" x14ac:dyDescent="0.25">
      <c r="A7397" s="14">
        <f>DATE(2012,12,31)-419</f>
        <v>40855</v>
      </c>
      <c r="B7397" s="15" t="s">
        <v>1948</v>
      </c>
      <c r="C7397" s="15" t="s">
        <v>31</v>
      </c>
      <c r="D7397" s="16">
        <v>24</v>
      </c>
      <c r="E7397" s="17">
        <v>1112.1569999999999</v>
      </c>
      <c r="F7397" s="16">
        <v>0.09</v>
      </c>
      <c r="G7397" s="15" t="s">
        <v>32</v>
      </c>
      <c r="H7397" s="18">
        <v>140.80500000000001</v>
      </c>
      <c r="I7397" s="19">
        <v>55.99</v>
      </c>
      <c r="J7397" s="19">
        <v>3.3</v>
      </c>
      <c r="K7397" s="19" t="s">
        <v>124</v>
      </c>
      <c r="L7397" s="19" t="s">
        <v>493</v>
      </c>
      <c r="M7397" s="15" t="s">
        <v>2350</v>
      </c>
      <c r="N7397" s="15" t="s">
        <v>64</v>
      </c>
      <c r="O7397" s="15" t="s">
        <v>65</v>
      </c>
      <c r="P7397" s="20" t="s">
        <v>1566</v>
      </c>
      <c r="Q7397" s="15" t="s">
        <v>49</v>
      </c>
      <c r="R7397" s="4"/>
      <c r="S7397" s="4"/>
    </row>
    <row r="7398" spans="1:19" ht="21" customHeight="1" x14ac:dyDescent="0.25">
      <c r="A7398" s="14">
        <f>DATE(2012,12,31)-419</f>
        <v>40855</v>
      </c>
      <c r="B7398" s="15" t="s">
        <v>2264</v>
      </c>
      <c r="C7398" s="15" t="s">
        <v>31</v>
      </c>
      <c r="D7398" s="16">
        <v>40</v>
      </c>
      <c r="E7398" s="17">
        <v>1865.5884999999998</v>
      </c>
      <c r="F7398" s="16">
        <v>0.02</v>
      </c>
      <c r="G7398" s="15" t="s">
        <v>32</v>
      </c>
      <c r="H7398" s="18">
        <v>972.9</v>
      </c>
      <c r="I7398" s="19">
        <v>55.99</v>
      </c>
      <c r="J7398" s="19">
        <v>1.25</v>
      </c>
      <c r="K7398" s="19" t="s">
        <v>124</v>
      </c>
      <c r="L7398" s="19" t="s">
        <v>493</v>
      </c>
      <c r="M7398" s="15" t="s">
        <v>2350</v>
      </c>
      <c r="N7398" s="15" t="s">
        <v>64</v>
      </c>
      <c r="O7398" s="15" t="s">
        <v>65</v>
      </c>
      <c r="P7398" s="20" t="s">
        <v>924</v>
      </c>
      <c r="Q7398" s="15" t="s">
        <v>49</v>
      </c>
      <c r="R7398" s="4"/>
      <c r="S7398" s="4"/>
    </row>
    <row r="7399" spans="1:19" ht="21" customHeight="1" x14ac:dyDescent="0.25">
      <c r="A7399" s="14">
        <f>DATE(2012,12,31)-233</f>
        <v>41041</v>
      </c>
      <c r="B7399" s="15" t="s">
        <v>2264</v>
      </c>
      <c r="C7399" s="15" t="s">
        <v>31</v>
      </c>
      <c r="D7399" s="16">
        <v>3</v>
      </c>
      <c r="E7399" s="17">
        <v>26.23</v>
      </c>
      <c r="F7399" s="16">
        <v>0</v>
      </c>
      <c r="G7399" s="15" t="s">
        <v>32</v>
      </c>
      <c r="H7399" s="18">
        <v>-13.72</v>
      </c>
      <c r="I7399" s="19">
        <v>6.48</v>
      </c>
      <c r="J7399" s="19">
        <v>6.6</v>
      </c>
      <c r="K7399" s="19" t="s">
        <v>124</v>
      </c>
      <c r="L7399" s="19" t="s">
        <v>160</v>
      </c>
      <c r="M7399" s="15" t="s">
        <v>2281</v>
      </c>
      <c r="N7399" s="15" t="s">
        <v>36</v>
      </c>
      <c r="O7399" s="15" t="s">
        <v>117</v>
      </c>
      <c r="P7399" s="20" t="s">
        <v>458</v>
      </c>
      <c r="Q7399" s="15" t="s">
        <v>83</v>
      </c>
      <c r="R7399" s="4"/>
      <c r="S7399" s="4"/>
    </row>
    <row r="7400" spans="1:19" ht="21" customHeight="1" x14ac:dyDescent="0.25">
      <c r="A7400" s="14">
        <f>DATE(2012,12,31)-858</f>
        <v>40416</v>
      </c>
      <c r="B7400" s="15" t="s">
        <v>2264</v>
      </c>
      <c r="C7400" s="15" t="s">
        <v>31</v>
      </c>
      <c r="D7400" s="16">
        <v>44</v>
      </c>
      <c r="E7400" s="17">
        <v>210.46</v>
      </c>
      <c r="F7400" s="16">
        <v>0.03</v>
      </c>
      <c r="G7400" s="15" t="s">
        <v>101</v>
      </c>
      <c r="H7400" s="18">
        <v>50.039499999999997</v>
      </c>
      <c r="I7400" s="19">
        <v>4.49</v>
      </c>
      <c r="J7400" s="19">
        <v>1.49</v>
      </c>
      <c r="K7400" s="19" t="s">
        <v>124</v>
      </c>
      <c r="L7400" s="19" t="s">
        <v>493</v>
      </c>
      <c r="M7400" s="15" t="s">
        <v>2350</v>
      </c>
      <c r="N7400" s="15" t="s">
        <v>36</v>
      </c>
      <c r="O7400" s="15" t="s">
        <v>170</v>
      </c>
      <c r="P7400" s="20" t="s">
        <v>209</v>
      </c>
      <c r="Q7400" s="15" t="s">
        <v>83</v>
      </c>
      <c r="R7400" s="4"/>
      <c r="S7400" s="4"/>
    </row>
    <row r="7401" spans="1:19" ht="21" customHeight="1" x14ac:dyDescent="0.25">
      <c r="A7401" s="14">
        <f>DATE(2012,12,31)-523</f>
        <v>40751</v>
      </c>
      <c r="B7401" s="15" t="s">
        <v>533</v>
      </c>
      <c r="C7401" s="15" t="s">
        <v>85</v>
      </c>
      <c r="D7401" s="16">
        <v>20</v>
      </c>
      <c r="E7401" s="17">
        <v>92.15</v>
      </c>
      <c r="F7401" s="16">
        <v>0.08</v>
      </c>
      <c r="G7401" s="15" t="s">
        <v>32</v>
      </c>
      <c r="H7401" s="18">
        <v>36.979999999999997</v>
      </c>
      <c r="I7401" s="19">
        <v>4.91</v>
      </c>
      <c r="J7401" s="19">
        <v>0.5</v>
      </c>
      <c r="K7401" s="19" t="s">
        <v>124</v>
      </c>
      <c r="L7401" s="19" t="s">
        <v>160</v>
      </c>
      <c r="M7401" s="15" t="s">
        <v>2281</v>
      </c>
      <c r="N7401" s="15" t="s">
        <v>36</v>
      </c>
      <c r="O7401" s="15" t="s">
        <v>114</v>
      </c>
      <c r="P7401" s="20" t="s">
        <v>1201</v>
      </c>
      <c r="Q7401" s="15" t="s">
        <v>83</v>
      </c>
      <c r="R7401" s="4"/>
      <c r="S7401" s="4"/>
    </row>
    <row r="7402" spans="1:19" ht="21" customHeight="1" x14ac:dyDescent="0.25">
      <c r="A7402" s="14">
        <f>DATE(2012,12,31)-1006</f>
        <v>40268</v>
      </c>
      <c r="B7402" s="15" t="s">
        <v>1059</v>
      </c>
      <c r="C7402" s="15" t="s">
        <v>85</v>
      </c>
      <c r="D7402" s="16">
        <v>44</v>
      </c>
      <c r="E7402" s="17">
        <v>5735.79</v>
      </c>
      <c r="F7402" s="16">
        <v>0.08</v>
      </c>
      <c r="G7402" s="15" t="s">
        <v>32</v>
      </c>
      <c r="H7402" s="18">
        <v>828.27</v>
      </c>
      <c r="I7402" s="19">
        <v>136.97999999999999</v>
      </c>
      <c r="J7402" s="19">
        <v>24.49</v>
      </c>
      <c r="K7402" s="19" t="s">
        <v>124</v>
      </c>
      <c r="L7402" s="19" t="s">
        <v>160</v>
      </c>
      <c r="M7402" s="15" t="s">
        <v>2281</v>
      </c>
      <c r="N7402" s="15" t="s">
        <v>54</v>
      </c>
      <c r="O7402" s="15" t="s">
        <v>55</v>
      </c>
      <c r="P7402" s="20" t="s">
        <v>123</v>
      </c>
      <c r="Q7402" s="15" t="s">
        <v>39</v>
      </c>
      <c r="R7402" s="4"/>
      <c r="S7402" s="4"/>
    </row>
    <row r="7403" spans="1:19" ht="21" customHeight="1" x14ac:dyDescent="0.25">
      <c r="A7403" s="14">
        <f>DATE(2012,12,31)-291</f>
        <v>40983</v>
      </c>
      <c r="B7403" s="15" t="s">
        <v>586</v>
      </c>
      <c r="C7403" s="15" t="s">
        <v>43</v>
      </c>
      <c r="D7403" s="16">
        <v>8</v>
      </c>
      <c r="E7403" s="17">
        <v>33.39</v>
      </c>
      <c r="F7403" s="16">
        <v>0.03</v>
      </c>
      <c r="G7403" s="15" t="s">
        <v>32</v>
      </c>
      <c r="H7403" s="18">
        <v>-35.512</v>
      </c>
      <c r="I7403" s="19">
        <v>3.36</v>
      </c>
      <c r="J7403" s="19">
        <v>6.27</v>
      </c>
      <c r="K7403" s="19" t="s">
        <v>124</v>
      </c>
      <c r="L7403" s="19" t="s">
        <v>160</v>
      </c>
      <c r="M7403" s="15" t="s">
        <v>2281</v>
      </c>
      <c r="N7403" s="15" t="s">
        <v>36</v>
      </c>
      <c r="O7403" s="15" t="s">
        <v>170</v>
      </c>
      <c r="P7403" s="20" t="s">
        <v>106</v>
      </c>
      <c r="Q7403" s="15" t="s">
        <v>83</v>
      </c>
      <c r="R7403" s="4"/>
      <c r="S7403" s="4"/>
    </row>
    <row r="7404" spans="1:19" ht="21" customHeight="1" x14ac:dyDescent="0.25">
      <c r="A7404" s="14">
        <f>DATE(2012,12,31)-250</f>
        <v>41024</v>
      </c>
      <c r="B7404" s="15" t="s">
        <v>1658</v>
      </c>
      <c r="C7404" s="15" t="s">
        <v>43</v>
      </c>
      <c r="D7404" s="16">
        <v>5</v>
      </c>
      <c r="E7404" s="17">
        <v>43.61</v>
      </c>
      <c r="F7404" s="16">
        <v>0.04</v>
      </c>
      <c r="G7404" s="15" t="s">
        <v>101</v>
      </c>
      <c r="H7404" s="18">
        <v>22.85</v>
      </c>
      <c r="I7404" s="19">
        <v>7.59</v>
      </c>
      <c r="J7404" s="19">
        <v>4</v>
      </c>
      <c r="K7404" s="19" t="s">
        <v>124</v>
      </c>
      <c r="L7404" s="19" t="s">
        <v>164</v>
      </c>
      <c r="M7404" s="15" t="s">
        <v>2335</v>
      </c>
      <c r="N7404" s="15" t="s">
        <v>54</v>
      </c>
      <c r="O7404" s="15" t="s">
        <v>55</v>
      </c>
      <c r="P7404" s="20" t="s">
        <v>894</v>
      </c>
      <c r="Q7404" s="15" t="s">
        <v>79</v>
      </c>
      <c r="R7404" s="4"/>
      <c r="S7404" s="4"/>
    </row>
    <row r="7405" spans="1:19" ht="21" customHeight="1" x14ac:dyDescent="0.25">
      <c r="A7405" s="14">
        <f>DATE(2012,12,31)-250</f>
        <v>41024</v>
      </c>
      <c r="B7405" s="15" t="s">
        <v>1206</v>
      </c>
      <c r="C7405" s="15" t="s">
        <v>43</v>
      </c>
      <c r="D7405" s="16">
        <v>39</v>
      </c>
      <c r="E7405" s="17">
        <v>343.05</v>
      </c>
      <c r="F7405" s="16">
        <v>0.05</v>
      </c>
      <c r="G7405" s="15" t="s">
        <v>32</v>
      </c>
      <c r="H7405" s="18">
        <v>98.86</v>
      </c>
      <c r="I7405" s="19">
        <v>9.11</v>
      </c>
      <c r="J7405" s="19">
        <v>2.15</v>
      </c>
      <c r="K7405" s="19" t="s">
        <v>124</v>
      </c>
      <c r="L7405" s="19" t="s">
        <v>164</v>
      </c>
      <c r="M7405" s="15" t="s">
        <v>2335</v>
      </c>
      <c r="N7405" s="15" t="s">
        <v>36</v>
      </c>
      <c r="O7405" s="15" t="s">
        <v>117</v>
      </c>
      <c r="P7405" s="20" t="s">
        <v>715</v>
      </c>
      <c r="Q7405" s="15" t="s">
        <v>79</v>
      </c>
      <c r="R7405" s="4"/>
      <c r="S7405" s="4"/>
    </row>
    <row r="7406" spans="1:19" ht="21" customHeight="1" x14ac:dyDescent="0.25">
      <c r="A7406" s="14">
        <f>DATE(2012,12,31)-250</f>
        <v>41024</v>
      </c>
      <c r="B7406" s="15" t="s">
        <v>2247</v>
      </c>
      <c r="C7406" s="15" t="s">
        <v>43</v>
      </c>
      <c r="D7406" s="16">
        <v>7</v>
      </c>
      <c r="E7406" s="17">
        <v>44.63</v>
      </c>
      <c r="F7406" s="16">
        <v>0.1</v>
      </c>
      <c r="G7406" s="15" t="s">
        <v>32</v>
      </c>
      <c r="H7406" s="18">
        <v>-21.19</v>
      </c>
      <c r="I7406" s="19">
        <v>5.78</v>
      </c>
      <c r="J7406" s="19">
        <v>5.67</v>
      </c>
      <c r="K7406" s="19" t="s">
        <v>124</v>
      </c>
      <c r="L7406" s="19" t="s">
        <v>158</v>
      </c>
      <c r="M7406" s="15" t="s">
        <v>158</v>
      </c>
      <c r="N7406" s="15" t="s">
        <v>36</v>
      </c>
      <c r="O7406" s="15" t="s">
        <v>117</v>
      </c>
      <c r="P7406" s="20" t="s">
        <v>1427</v>
      </c>
      <c r="Q7406" s="15" t="s">
        <v>83</v>
      </c>
      <c r="R7406" s="4"/>
      <c r="S7406" s="4"/>
    </row>
    <row r="7407" spans="1:19" ht="21" customHeight="1" x14ac:dyDescent="0.25">
      <c r="A7407" s="14">
        <f>DATE(2012,12,31)-233</f>
        <v>41041</v>
      </c>
      <c r="B7407" s="15" t="s">
        <v>2220</v>
      </c>
      <c r="C7407" s="15" t="s">
        <v>43</v>
      </c>
      <c r="D7407" s="16">
        <v>9</v>
      </c>
      <c r="E7407" s="17">
        <v>187.13</v>
      </c>
      <c r="F7407" s="16">
        <v>0.09</v>
      </c>
      <c r="G7407" s="15" t="s">
        <v>32</v>
      </c>
      <c r="H7407" s="18">
        <v>12.4</v>
      </c>
      <c r="I7407" s="19">
        <v>20.28</v>
      </c>
      <c r="J7407" s="19">
        <v>14.39</v>
      </c>
      <c r="K7407" s="19" t="s">
        <v>124</v>
      </c>
      <c r="L7407" s="19" t="s">
        <v>168</v>
      </c>
      <c r="M7407" s="15" t="s">
        <v>2338</v>
      </c>
      <c r="N7407" s="15" t="s">
        <v>54</v>
      </c>
      <c r="O7407" s="15" t="s">
        <v>55</v>
      </c>
      <c r="P7407" s="20" t="s">
        <v>197</v>
      </c>
      <c r="Q7407" s="15" t="s">
        <v>83</v>
      </c>
      <c r="R7407" s="4"/>
      <c r="S7407" s="4"/>
    </row>
    <row r="7408" spans="1:19" ht="21" customHeight="1" x14ac:dyDescent="0.25">
      <c r="A7408" s="14">
        <f>DATE(2012,12,31)-233</f>
        <v>41041</v>
      </c>
      <c r="B7408" s="15" t="s">
        <v>2016</v>
      </c>
      <c r="C7408" s="15" t="s">
        <v>43</v>
      </c>
      <c r="D7408" s="16">
        <v>46</v>
      </c>
      <c r="E7408" s="17">
        <v>2255.1945000000001</v>
      </c>
      <c r="F7408" s="16">
        <v>0.03</v>
      </c>
      <c r="G7408" s="15" t="s">
        <v>32</v>
      </c>
      <c r="H7408" s="18">
        <v>74.51100000000001</v>
      </c>
      <c r="I7408" s="19">
        <v>55.99</v>
      </c>
      <c r="J7408" s="19">
        <v>5</v>
      </c>
      <c r="K7408" s="19" t="s">
        <v>124</v>
      </c>
      <c r="L7408" s="19" t="s">
        <v>164</v>
      </c>
      <c r="M7408" s="15" t="s">
        <v>2335</v>
      </c>
      <c r="N7408" s="15" t="s">
        <v>64</v>
      </c>
      <c r="O7408" s="15" t="s">
        <v>65</v>
      </c>
      <c r="P7408" s="20" t="s">
        <v>1326</v>
      </c>
      <c r="Q7408" s="15" t="s">
        <v>49</v>
      </c>
      <c r="R7408" s="4"/>
      <c r="S7408" s="4"/>
    </row>
    <row r="7409" spans="1:19" ht="21" customHeight="1" x14ac:dyDescent="0.25">
      <c r="A7409" s="14">
        <f>DATE(2012,12,31)-1020</f>
        <v>40254</v>
      </c>
      <c r="B7409" s="15" t="s">
        <v>2016</v>
      </c>
      <c r="C7409" s="15" t="s">
        <v>85</v>
      </c>
      <c r="D7409" s="16">
        <v>32</v>
      </c>
      <c r="E7409" s="17">
        <v>195.57</v>
      </c>
      <c r="F7409" s="16">
        <v>0.09</v>
      </c>
      <c r="G7409" s="15" t="s">
        <v>32</v>
      </c>
      <c r="H7409" s="18">
        <v>-132.93</v>
      </c>
      <c r="I7409" s="19">
        <v>5.98</v>
      </c>
      <c r="J7409" s="19">
        <v>7.5</v>
      </c>
      <c r="K7409" s="19" t="s">
        <v>124</v>
      </c>
      <c r="L7409" s="19" t="s">
        <v>125</v>
      </c>
      <c r="M7409" s="15" t="s">
        <v>2325</v>
      </c>
      <c r="N7409" s="15" t="s">
        <v>36</v>
      </c>
      <c r="O7409" s="15" t="s">
        <v>117</v>
      </c>
      <c r="P7409" s="20" t="s">
        <v>1150</v>
      </c>
      <c r="Q7409" s="15" t="s">
        <v>83</v>
      </c>
      <c r="R7409" s="4"/>
      <c r="S7409" s="4"/>
    </row>
    <row r="7410" spans="1:19" ht="21" customHeight="1" x14ac:dyDescent="0.25">
      <c r="A7410" s="14">
        <f>DATE(2012,12,31)-309</f>
        <v>40965</v>
      </c>
      <c r="B7410" s="15" t="s">
        <v>595</v>
      </c>
      <c r="C7410" s="15" t="s">
        <v>31</v>
      </c>
      <c r="D7410" s="16">
        <v>35</v>
      </c>
      <c r="E7410" s="17">
        <v>322.82</v>
      </c>
      <c r="F7410" s="16">
        <v>0.05</v>
      </c>
      <c r="G7410" s="15" t="s">
        <v>32</v>
      </c>
      <c r="H7410" s="18">
        <v>-17.579999999999998</v>
      </c>
      <c r="I7410" s="19">
        <v>9.31</v>
      </c>
      <c r="J7410" s="19">
        <v>3.98</v>
      </c>
      <c r="K7410" s="19" t="s">
        <v>44</v>
      </c>
      <c r="L7410" s="19" t="s">
        <v>52</v>
      </c>
      <c r="M7410" s="15" t="s">
        <v>2336</v>
      </c>
      <c r="N7410" s="15" t="s">
        <v>36</v>
      </c>
      <c r="O7410" s="15" t="s">
        <v>47</v>
      </c>
      <c r="P7410" s="20" t="s">
        <v>220</v>
      </c>
      <c r="Q7410" s="15" t="s">
        <v>49</v>
      </c>
      <c r="R7410" s="4"/>
      <c r="S7410" s="4"/>
    </row>
    <row r="7411" spans="1:19" ht="21" customHeight="1" x14ac:dyDescent="0.25">
      <c r="A7411" s="14">
        <f>DATE(2012,12,31)-797</f>
        <v>40477</v>
      </c>
      <c r="B7411" s="15" t="s">
        <v>831</v>
      </c>
      <c r="C7411" s="15" t="s">
        <v>31</v>
      </c>
      <c r="D7411" s="16">
        <v>38</v>
      </c>
      <c r="E7411" s="17">
        <v>1323.31</v>
      </c>
      <c r="F7411" s="16">
        <v>0.05</v>
      </c>
      <c r="G7411" s="15" t="s">
        <v>32</v>
      </c>
      <c r="H7411" s="18">
        <v>146.63999999999999</v>
      </c>
      <c r="I7411" s="19">
        <v>35.89</v>
      </c>
      <c r="J7411" s="19">
        <v>14.72</v>
      </c>
      <c r="K7411" s="19" t="s">
        <v>44</v>
      </c>
      <c r="L7411" s="19" t="s">
        <v>236</v>
      </c>
      <c r="M7411" s="15" t="s">
        <v>2341</v>
      </c>
      <c r="N7411" s="15" t="s">
        <v>36</v>
      </c>
      <c r="O7411" s="15" t="s">
        <v>189</v>
      </c>
      <c r="P7411" s="20" t="s">
        <v>1069</v>
      </c>
      <c r="Q7411" s="15" t="s">
        <v>83</v>
      </c>
      <c r="R7411" s="4"/>
      <c r="S7411" s="4"/>
    </row>
    <row r="7412" spans="1:19" ht="21" customHeight="1" x14ac:dyDescent="0.25">
      <c r="A7412" s="14">
        <f>DATE(2012,12,31)-1253</f>
        <v>40021</v>
      </c>
      <c r="B7412" s="15" t="s">
        <v>1622</v>
      </c>
      <c r="C7412" s="15" t="s">
        <v>31</v>
      </c>
      <c r="D7412" s="16">
        <v>39</v>
      </c>
      <c r="E7412" s="17">
        <v>223.34</v>
      </c>
      <c r="F7412" s="16">
        <v>0.1</v>
      </c>
      <c r="G7412" s="15" t="s">
        <v>32</v>
      </c>
      <c r="H7412" s="18">
        <v>95.42</v>
      </c>
      <c r="I7412" s="19">
        <v>6.3</v>
      </c>
      <c r="J7412" s="19">
        <v>0.5</v>
      </c>
      <c r="K7412" s="19" t="s">
        <v>44</v>
      </c>
      <c r="L7412" s="19" t="s">
        <v>52</v>
      </c>
      <c r="M7412" s="15" t="s">
        <v>2336</v>
      </c>
      <c r="N7412" s="15" t="s">
        <v>36</v>
      </c>
      <c r="O7412" s="15" t="s">
        <v>114</v>
      </c>
      <c r="P7412" s="20" t="s">
        <v>1424</v>
      </c>
      <c r="Q7412" s="15" t="s">
        <v>83</v>
      </c>
      <c r="R7412" s="4"/>
      <c r="S7412" s="4"/>
    </row>
    <row r="7413" spans="1:19" ht="21" customHeight="1" x14ac:dyDescent="0.25">
      <c r="A7413" s="14">
        <f>DATE(2012,12,31)-424</f>
        <v>40850</v>
      </c>
      <c r="B7413" s="15" t="s">
        <v>426</v>
      </c>
      <c r="C7413" s="15" t="s">
        <v>85</v>
      </c>
      <c r="D7413" s="16">
        <v>13</v>
      </c>
      <c r="E7413" s="17">
        <v>509.49</v>
      </c>
      <c r="F7413" s="16">
        <v>7.0000000000000007E-2</v>
      </c>
      <c r="G7413" s="15" t="s">
        <v>32</v>
      </c>
      <c r="H7413" s="18">
        <v>-51.182099999999998</v>
      </c>
      <c r="I7413" s="19">
        <v>40.99</v>
      </c>
      <c r="J7413" s="19">
        <v>8.9700000000000006</v>
      </c>
      <c r="K7413" s="19" t="s">
        <v>44</v>
      </c>
      <c r="L7413" s="19" t="s">
        <v>52</v>
      </c>
      <c r="M7413" s="15" t="s">
        <v>2336</v>
      </c>
      <c r="N7413" s="15" t="s">
        <v>64</v>
      </c>
      <c r="O7413" s="15" t="s">
        <v>122</v>
      </c>
      <c r="P7413" s="20" t="s">
        <v>1443</v>
      </c>
      <c r="Q7413" s="15" t="s">
        <v>83</v>
      </c>
      <c r="R7413" s="4"/>
      <c r="S7413" s="4"/>
    </row>
    <row r="7414" spans="1:19" ht="21" customHeight="1" x14ac:dyDescent="0.25">
      <c r="A7414" s="14">
        <f>DATE(2012,12,31)-1015</f>
        <v>40259</v>
      </c>
      <c r="B7414" s="15" t="s">
        <v>426</v>
      </c>
      <c r="C7414" s="15" t="s">
        <v>85</v>
      </c>
      <c r="D7414" s="16">
        <v>36</v>
      </c>
      <c r="E7414" s="17">
        <v>739.07</v>
      </c>
      <c r="F7414" s="16">
        <v>0.1</v>
      </c>
      <c r="G7414" s="15" t="s">
        <v>32</v>
      </c>
      <c r="H7414" s="18">
        <v>-71.55</v>
      </c>
      <c r="I7414" s="19">
        <v>20.95</v>
      </c>
      <c r="J7414" s="19">
        <v>5.99</v>
      </c>
      <c r="K7414" s="19" t="s">
        <v>44</v>
      </c>
      <c r="L7414" s="19" t="s">
        <v>52</v>
      </c>
      <c r="M7414" s="15" t="s">
        <v>2336</v>
      </c>
      <c r="N7414" s="15" t="s">
        <v>64</v>
      </c>
      <c r="O7414" s="15" t="s">
        <v>72</v>
      </c>
      <c r="P7414" s="20" t="s">
        <v>1293</v>
      </c>
      <c r="Q7414" s="15" t="s">
        <v>83</v>
      </c>
      <c r="R7414" s="4"/>
      <c r="S7414" s="4"/>
    </row>
    <row r="7415" spans="1:19" ht="21" customHeight="1" x14ac:dyDescent="0.25">
      <c r="A7415" s="14">
        <f>DATE(2012,12,31)-1015</f>
        <v>40259</v>
      </c>
      <c r="B7415" s="15" t="s">
        <v>426</v>
      </c>
      <c r="C7415" s="15" t="s">
        <v>85</v>
      </c>
      <c r="D7415" s="16">
        <v>4</v>
      </c>
      <c r="E7415" s="17">
        <v>38.58</v>
      </c>
      <c r="F7415" s="16">
        <v>0.02</v>
      </c>
      <c r="G7415" s="15" t="s">
        <v>32</v>
      </c>
      <c r="H7415" s="18">
        <v>-2.82</v>
      </c>
      <c r="I7415" s="19">
        <v>9.11</v>
      </c>
      <c r="J7415" s="19">
        <v>2.15</v>
      </c>
      <c r="K7415" s="19" t="s">
        <v>44</v>
      </c>
      <c r="L7415" s="19" t="s">
        <v>52</v>
      </c>
      <c r="M7415" s="15" t="s">
        <v>2336</v>
      </c>
      <c r="N7415" s="15" t="s">
        <v>36</v>
      </c>
      <c r="O7415" s="15" t="s">
        <v>117</v>
      </c>
      <c r="P7415" s="20" t="s">
        <v>2030</v>
      </c>
      <c r="Q7415" s="15" t="s">
        <v>79</v>
      </c>
      <c r="R7415" s="4"/>
      <c r="S7415" s="4"/>
    </row>
    <row r="7416" spans="1:19" ht="21" customHeight="1" x14ac:dyDescent="0.25">
      <c r="A7416" s="14">
        <f>DATE(2012,12,31)-228</f>
        <v>41046</v>
      </c>
      <c r="B7416" s="15" t="s">
        <v>426</v>
      </c>
      <c r="C7416" s="15" t="s">
        <v>43</v>
      </c>
      <c r="D7416" s="16">
        <v>5</v>
      </c>
      <c r="E7416" s="17">
        <v>22.75</v>
      </c>
      <c r="F7416" s="16">
        <v>0.09</v>
      </c>
      <c r="G7416" s="15" t="s">
        <v>32</v>
      </c>
      <c r="H7416" s="18">
        <v>-0.44999999999999929</v>
      </c>
      <c r="I7416" s="19">
        <v>4.76</v>
      </c>
      <c r="J7416" s="19">
        <v>0.88</v>
      </c>
      <c r="K7416" s="19" t="s">
        <v>44</v>
      </c>
      <c r="L7416" s="19" t="s">
        <v>52</v>
      </c>
      <c r="M7416" s="15" t="s">
        <v>2351</v>
      </c>
      <c r="N7416" s="15" t="s">
        <v>36</v>
      </c>
      <c r="O7416" s="15" t="s">
        <v>117</v>
      </c>
      <c r="P7416" s="20" t="s">
        <v>653</v>
      </c>
      <c r="Q7416" s="15" t="s">
        <v>79</v>
      </c>
      <c r="R7416" s="4"/>
      <c r="S7416" s="4"/>
    </row>
    <row r="7417" spans="1:19" ht="21" customHeight="1" x14ac:dyDescent="0.25">
      <c r="A7417" s="14">
        <f>DATE(2012,12,31)-1218</f>
        <v>40056</v>
      </c>
      <c r="B7417" s="15" t="s">
        <v>426</v>
      </c>
      <c r="C7417" s="15" t="s">
        <v>43</v>
      </c>
      <c r="D7417" s="16">
        <v>25</v>
      </c>
      <c r="E7417" s="17">
        <v>265.75</v>
      </c>
      <c r="F7417" s="16">
        <v>0.06</v>
      </c>
      <c r="G7417" s="15" t="s">
        <v>32</v>
      </c>
      <c r="H7417" s="18">
        <v>13.999499999999999</v>
      </c>
      <c r="I7417" s="19">
        <v>10.98</v>
      </c>
      <c r="J7417" s="19">
        <v>5.14</v>
      </c>
      <c r="K7417" s="19" t="s">
        <v>44</v>
      </c>
      <c r="L7417" s="19" t="s">
        <v>52</v>
      </c>
      <c r="M7417" s="15" t="s">
        <v>2351</v>
      </c>
      <c r="N7417" s="15" t="s">
        <v>36</v>
      </c>
      <c r="O7417" s="15" t="s">
        <v>170</v>
      </c>
      <c r="P7417" s="20" t="s">
        <v>1001</v>
      </c>
      <c r="Q7417" s="15" t="s">
        <v>83</v>
      </c>
      <c r="R7417" s="4"/>
      <c r="S7417" s="4"/>
    </row>
    <row r="7418" spans="1:19" ht="21" customHeight="1" x14ac:dyDescent="0.25">
      <c r="A7418" s="14">
        <f>DATE(2012,12,31)-600</f>
        <v>40674</v>
      </c>
      <c r="B7418" s="15" t="s">
        <v>1456</v>
      </c>
      <c r="C7418" s="15" t="s">
        <v>51</v>
      </c>
      <c r="D7418" s="16">
        <v>50</v>
      </c>
      <c r="E7418" s="17">
        <v>1893.29</v>
      </c>
      <c r="F7418" s="16">
        <v>7.0000000000000007E-2</v>
      </c>
      <c r="G7418" s="15" t="s">
        <v>32</v>
      </c>
      <c r="H7418" s="18">
        <v>857.34400000000005</v>
      </c>
      <c r="I7418" s="19">
        <v>37.700000000000003</v>
      </c>
      <c r="J7418" s="19">
        <v>2.99</v>
      </c>
      <c r="K7418" s="19" t="s">
        <v>44</v>
      </c>
      <c r="L7418" s="19" t="s">
        <v>52</v>
      </c>
      <c r="M7418" s="15" t="s">
        <v>2351</v>
      </c>
      <c r="N7418" s="15" t="s">
        <v>36</v>
      </c>
      <c r="O7418" s="15" t="s">
        <v>170</v>
      </c>
      <c r="P7418" s="20" t="s">
        <v>698</v>
      </c>
      <c r="Q7418" s="15" t="s">
        <v>83</v>
      </c>
      <c r="R7418" s="4"/>
      <c r="S7418" s="4"/>
    </row>
    <row r="7419" spans="1:19" ht="21" customHeight="1" x14ac:dyDescent="0.25">
      <c r="A7419" s="14">
        <f>DATE(2012,12,31)-600</f>
        <v>40674</v>
      </c>
      <c r="B7419" s="15" t="s">
        <v>104</v>
      </c>
      <c r="C7419" s="15" t="s">
        <v>51</v>
      </c>
      <c r="D7419" s="16">
        <v>49</v>
      </c>
      <c r="E7419" s="17">
        <v>2628.047</v>
      </c>
      <c r="F7419" s="16">
        <v>0.05</v>
      </c>
      <c r="G7419" s="15" t="s">
        <v>32</v>
      </c>
      <c r="H7419" s="18">
        <v>-137.95099999999999</v>
      </c>
      <c r="I7419" s="19">
        <v>65.989999999999995</v>
      </c>
      <c r="J7419" s="19">
        <v>19.989999999999998</v>
      </c>
      <c r="K7419" s="19" t="s">
        <v>44</v>
      </c>
      <c r="L7419" s="19" t="s">
        <v>52</v>
      </c>
      <c r="M7419" s="15" t="s">
        <v>2351</v>
      </c>
      <c r="N7419" s="15" t="s">
        <v>64</v>
      </c>
      <c r="O7419" s="15" t="s">
        <v>65</v>
      </c>
      <c r="P7419" s="20" t="s">
        <v>1879</v>
      </c>
      <c r="Q7419" s="15" t="s">
        <v>83</v>
      </c>
      <c r="R7419" s="4"/>
      <c r="S7419" s="4"/>
    </row>
    <row r="7420" spans="1:19" ht="21" customHeight="1" x14ac:dyDescent="0.25">
      <c r="A7420" s="14">
        <f>DATE(2012,12,31)-1397</f>
        <v>39877</v>
      </c>
      <c r="B7420" s="15" t="s">
        <v>30</v>
      </c>
      <c r="C7420" s="15" t="s">
        <v>85</v>
      </c>
      <c r="D7420" s="16">
        <v>36</v>
      </c>
      <c r="E7420" s="17">
        <v>2051.8235</v>
      </c>
      <c r="F7420" s="16">
        <v>0.01</v>
      </c>
      <c r="G7420" s="15" t="s">
        <v>101</v>
      </c>
      <c r="H7420" s="18">
        <v>350.36099999999999</v>
      </c>
      <c r="I7420" s="19">
        <v>65.989999999999995</v>
      </c>
      <c r="J7420" s="19">
        <v>8.8000000000000007</v>
      </c>
      <c r="K7420" s="19" t="s">
        <v>44</v>
      </c>
      <c r="L7420" s="19" t="s">
        <v>80</v>
      </c>
      <c r="M7420" s="15" t="s">
        <v>2339</v>
      </c>
      <c r="N7420" s="15" t="s">
        <v>64</v>
      </c>
      <c r="O7420" s="15" t="s">
        <v>65</v>
      </c>
      <c r="P7420" s="20" t="s">
        <v>324</v>
      </c>
      <c r="Q7420" s="15" t="s">
        <v>83</v>
      </c>
      <c r="R7420" s="4"/>
      <c r="S7420" s="4"/>
    </row>
    <row r="7421" spans="1:19" ht="21" customHeight="1" x14ac:dyDescent="0.25">
      <c r="A7421" s="14">
        <f>DATE(2012,12,31)-1397</f>
        <v>39877</v>
      </c>
      <c r="B7421" s="15" t="s">
        <v>30</v>
      </c>
      <c r="C7421" s="15" t="s">
        <v>85</v>
      </c>
      <c r="D7421" s="16">
        <v>5</v>
      </c>
      <c r="E7421" s="17">
        <v>185.79</v>
      </c>
      <c r="F7421" s="16">
        <v>0.02</v>
      </c>
      <c r="G7421" s="15" t="s">
        <v>32</v>
      </c>
      <c r="H7421" s="18">
        <v>-159.68</v>
      </c>
      <c r="I7421" s="19">
        <v>34.979999999999997</v>
      </c>
      <c r="J7421" s="19">
        <v>7.53</v>
      </c>
      <c r="K7421" s="19" t="s">
        <v>44</v>
      </c>
      <c r="L7421" s="19" t="s">
        <v>52</v>
      </c>
      <c r="M7421" s="15" t="s">
        <v>2351</v>
      </c>
      <c r="N7421" s="15" t="s">
        <v>64</v>
      </c>
      <c r="O7421" s="15" t="s">
        <v>72</v>
      </c>
      <c r="P7421" s="20" t="s">
        <v>822</v>
      </c>
      <c r="Q7421" s="15" t="s">
        <v>83</v>
      </c>
      <c r="R7421" s="4"/>
      <c r="S7421" s="4"/>
    </row>
    <row r="7422" spans="1:19" ht="21" customHeight="1" x14ac:dyDescent="0.25">
      <c r="A7422" s="14">
        <f>DATE(2012,12,31)-1397</f>
        <v>39877</v>
      </c>
      <c r="B7422" s="15" t="s">
        <v>30</v>
      </c>
      <c r="C7422" s="15" t="s">
        <v>85</v>
      </c>
      <c r="D7422" s="16">
        <v>9</v>
      </c>
      <c r="E7422" s="17">
        <v>196.41</v>
      </c>
      <c r="F7422" s="16">
        <v>0.01</v>
      </c>
      <c r="G7422" s="15" t="s">
        <v>32</v>
      </c>
      <c r="H7422" s="18">
        <v>27.91</v>
      </c>
      <c r="I7422" s="19">
        <v>19.989999999999998</v>
      </c>
      <c r="J7422" s="19">
        <v>11.17</v>
      </c>
      <c r="K7422" s="19" t="s">
        <v>44</v>
      </c>
      <c r="L7422" s="19" t="s">
        <v>80</v>
      </c>
      <c r="M7422" s="15" t="s">
        <v>2339</v>
      </c>
      <c r="N7422" s="15" t="s">
        <v>54</v>
      </c>
      <c r="O7422" s="15" t="s">
        <v>55</v>
      </c>
      <c r="P7422" s="20" t="s">
        <v>1592</v>
      </c>
      <c r="Q7422" s="15" t="s">
        <v>39</v>
      </c>
      <c r="R7422" s="4"/>
      <c r="S7422" s="4"/>
    </row>
    <row r="7423" spans="1:19" ht="21" customHeight="1" x14ac:dyDescent="0.25">
      <c r="A7423" s="14">
        <f>DATE(2012,12,31)-1397</f>
        <v>39877</v>
      </c>
      <c r="B7423" s="15" t="s">
        <v>30</v>
      </c>
      <c r="C7423" s="15" t="s">
        <v>85</v>
      </c>
      <c r="D7423" s="16">
        <v>9</v>
      </c>
      <c r="E7423" s="17">
        <v>186.67</v>
      </c>
      <c r="F7423" s="16">
        <v>0.02</v>
      </c>
      <c r="G7423" s="15" t="s">
        <v>32</v>
      </c>
      <c r="H7423" s="18">
        <v>2.06</v>
      </c>
      <c r="I7423" s="19">
        <v>19.98</v>
      </c>
      <c r="J7423" s="19">
        <v>8.68</v>
      </c>
      <c r="K7423" s="19" t="s">
        <v>44</v>
      </c>
      <c r="L7423" s="19" t="s">
        <v>52</v>
      </c>
      <c r="M7423" s="15" t="s">
        <v>2351</v>
      </c>
      <c r="N7423" s="15" t="s">
        <v>36</v>
      </c>
      <c r="O7423" s="15" t="s">
        <v>117</v>
      </c>
      <c r="P7423" s="20" t="s">
        <v>1149</v>
      </c>
      <c r="Q7423" s="15" t="s">
        <v>83</v>
      </c>
      <c r="R7423" s="4"/>
      <c r="S7423" s="4"/>
    </row>
    <row r="7424" spans="1:19" ht="21" customHeight="1" x14ac:dyDescent="0.25">
      <c r="A7424" s="14">
        <f>DATE(2012,12,31)-1195</f>
        <v>40079</v>
      </c>
      <c r="B7424" s="15" t="s">
        <v>2128</v>
      </c>
      <c r="C7424" s="15" t="s">
        <v>85</v>
      </c>
      <c r="D7424" s="16">
        <v>29</v>
      </c>
      <c r="E7424" s="17">
        <v>575.36</v>
      </c>
      <c r="F7424" s="16">
        <v>0.1</v>
      </c>
      <c r="G7424" s="15" t="s">
        <v>32</v>
      </c>
      <c r="H7424" s="18">
        <v>84.05</v>
      </c>
      <c r="I7424" s="19">
        <v>20.27</v>
      </c>
      <c r="J7424" s="19">
        <v>3.99</v>
      </c>
      <c r="K7424" s="19" t="s">
        <v>44</v>
      </c>
      <c r="L7424" s="19" t="s">
        <v>236</v>
      </c>
      <c r="M7424" s="15" t="s">
        <v>2341</v>
      </c>
      <c r="N7424" s="15" t="s">
        <v>36</v>
      </c>
      <c r="O7424" s="15" t="s">
        <v>176</v>
      </c>
      <c r="P7424" s="20" t="s">
        <v>581</v>
      </c>
      <c r="Q7424" s="15" t="s">
        <v>83</v>
      </c>
      <c r="R7424" s="4"/>
      <c r="S7424" s="4"/>
    </row>
    <row r="7425" spans="1:19" ht="21" customHeight="1" x14ac:dyDescent="0.25">
      <c r="A7425" s="14">
        <f>DATE(2012,12,31)-296</f>
        <v>40978</v>
      </c>
      <c r="B7425" s="15" t="s">
        <v>2128</v>
      </c>
      <c r="C7425" s="15" t="s">
        <v>43</v>
      </c>
      <c r="D7425" s="16">
        <v>47</v>
      </c>
      <c r="E7425" s="17">
        <v>186.93</v>
      </c>
      <c r="F7425" s="16">
        <v>7.0000000000000007E-2</v>
      </c>
      <c r="G7425" s="15" t="s">
        <v>32</v>
      </c>
      <c r="H7425" s="18">
        <v>56.44</v>
      </c>
      <c r="I7425" s="19">
        <v>4.13</v>
      </c>
      <c r="J7425" s="19">
        <v>0.99</v>
      </c>
      <c r="K7425" s="19" t="s">
        <v>124</v>
      </c>
      <c r="L7425" s="19" t="s">
        <v>160</v>
      </c>
      <c r="M7425" s="15" t="s">
        <v>2281</v>
      </c>
      <c r="N7425" s="15" t="s">
        <v>36</v>
      </c>
      <c r="O7425" s="15" t="s">
        <v>114</v>
      </c>
      <c r="P7425" s="20" t="s">
        <v>605</v>
      </c>
      <c r="Q7425" s="15" t="s">
        <v>83</v>
      </c>
      <c r="R7425" s="4"/>
      <c r="S7425" s="4"/>
    </row>
    <row r="7426" spans="1:19" ht="21" customHeight="1" x14ac:dyDescent="0.25">
      <c r="A7426" s="14">
        <f>DATE(2012,12,31)-56</f>
        <v>41218</v>
      </c>
      <c r="B7426" s="15" t="s">
        <v>2128</v>
      </c>
      <c r="C7426" s="15" t="s">
        <v>51</v>
      </c>
      <c r="D7426" s="16">
        <v>22</v>
      </c>
      <c r="E7426" s="17">
        <v>621.21</v>
      </c>
      <c r="F7426" s="16">
        <v>7.0000000000000007E-2</v>
      </c>
      <c r="G7426" s="15" t="s">
        <v>32</v>
      </c>
      <c r="H7426" s="18">
        <v>-42.35</v>
      </c>
      <c r="I7426" s="19">
        <v>29.74</v>
      </c>
      <c r="J7426" s="19">
        <v>6.64</v>
      </c>
      <c r="K7426" s="19" t="s">
        <v>33</v>
      </c>
      <c r="L7426" s="19" t="s">
        <v>145</v>
      </c>
      <c r="M7426" s="15" t="s">
        <v>2347</v>
      </c>
      <c r="N7426" s="15" t="s">
        <v>36</v>
      </c>
      <c r="O7426" s="15" t="s">
        <v>37</v>
      </c>
      <c r="P7426" s="20" t="s">
        <v>1212</v>
      </c>
      <c r="Q7426" s="15" t="s">
        <v>83</v>
      </c>
      <c r="R7426" s="4"/>
      <c r="S7426" s="4"/>
    </row>
    <row r="7427" spans="1:19" ht="21" customHeight="1" x14ac:dyDescent="0.25">
      <c r="A7427" s="14">
        <f>DATE(2012,12,31)-496</f>
        <v>40778</v>
      </c>
      <c r="B7427" s="15" t="s">
        <v>2128</v>
      </c>
      <c r="C7427" s="15" t="s">
        <v>85</v>
      </c>
      <c r="D7427" s="16">
        <v>29</v>
      </c>
      <c r="E7427" s="17">
        <v>214.19</v>
      </c>
      <c r="F7427" s="16">
        <v>0</v>
      </c>
      <c r="G7427" s="15" t="s">
        <v>101</v>
      </c>
      <c r="H7427" s="18">
        <v>-40.56</v>
      </c>
      <c r="I7427" s="19">
        <v>6.48</v>
      </c>
      <c r="J7427" s="19">
        <v>5.94</v>
      </c>
      <c r="K7427" s="19" t="s">
        <v>69</v>
      </c>
      <c r="L7427" s="19" t="s">
        <v>70</v>
      </c>
      <c r="M7427" s="15" t="s">
        <v>2348</v>
      </c>
      <c r="N7427" s="15" t="s">
        <v>36</v>
      </c>
      <c r="O7427" s="15" t="s">
        <v>117</v>
      </c>
      <c r="P7427" s="20" t="s">
        <v>815</v>
      </c>
      <c r="Q7427" s="15" t="s">
        <v>83</v>
      </c>
      <c r="R7427" s="4"/>
      <c r="S7427" s="4"/>
    </row>
    <row r="7428" spans="1:19" ht="21" customHeight="1" x14ac:dyDescent="0.25">
      <c r="A7428" s="14">
        <f>DATE(2012,12,31)-1194</f>
        <v>40080</v>
      </c>
      <c r="B7428" s="15" t="s">
        <v>516</v>
      </c>
      <c r="C7428" s="15" t="s">
        <v>85</v>
      </c>
      <c r="D7428" s="16">
        <v>10</v>
      </c>
      <c r="E7428" s="17">
        <v>268.18</v>
      </c>
      <c r="F7428" s="16">
        <v>0.06</v>
      </c>
      <c r="G7428" s="15" t="s">
        <v>32</v>
      </c>
      <c r="H7428" s="18">
        <v>74.638500000000008</v>
      </c>
      <c r="I7428" s="19">
        <v>28.53</v>
      </c>
      <c r="J7428" s="19">
        <v>1.49</v>
      </c>
      <c r="K7428" s="19" t="s">
        <v>69</v>
      </c>
      <c r="L7428" s="19" t="s">
        <v>70</v>
      </c>
      <c r="M7428" s="15" t="s">
        <v>2348</v>
      </c>
      <c r="N7428" s="15" t="s">
        <v>36</v>
      </c>
      <c r="O7428" s="15" t="s">
        <v>170</v>
      </c>
      <c r="P7428" s="20" t="s">
        <v>745</v>
      </c>
      <c r="Q7428" s="15" t="s">
        <v>83</v>
      </c>
      <c r="R7428" s="4"/>
      <c r="S7428" s="4"/>
    </row>
    <row r="7429" spans="1:19" ht="21" customHeight="1" x14ac:dyDescent="0.25">
      <c r="A7429" s="14">
        <f>DATE(2012,12,31)-1194</f>
        <v>40080</v>
      </c>
      <c r="B7429" s="15" t="s">
        <v>932</v>
      </c>
      <c r="C7429" s="15" t="s">
        <v>85</v>
      </c>
      <c r="D7429" s="16">
        <v>9</v>
      </c>
      <c r="E7429" s="17">
        <v>477.05399999999997</v>
      </c>
      <c r="F7429" s="16">
        <v>0.1</v>
      </c>
      <c r="G7429" s="15" t="s">
        <v>32</v>
      </c>
      <c r="H7429" s="18">
        <v>-170.53300000000002</v>
      </c>
      <c r="I7429" s="19">
        <v>65.989999999999995</v>
      </c>
      <c r="J7429" s="19">
        <v>3.99</v>
      </c>
      <c r="K7429" s="19" t="s">
        <v>69</v>
      </c>
      <c r="L7429" s="19" t="s">
        <v>70</v>
      </c>
      <c r="M7429" s="15" t="s">
        <v>2348</v>
      </c>
      <c r="N7429" s="15" t="s">
        <v>64</v>
      </c>
      <c r="O7429" s="15" t="s">
        <v>65</v>
      </c>
      <c r="P7429" s="20" t="s">
        <v>2221</v>
      </c>
      <c r="Q7429" s="15" t="s">
        <v>83</v>
      </c>
      <c r="R7429" s="4"/>
      <c r="S7429" s="4"/>
    </row>
    <row r="7430" spans="1:19" ht="21" customHeight="1" x14ac:dyDescent="0.25">
      <c r="A7430" s="14">
        <f>DATE(2012,12,31)-27</f>
        <v>41247</v>
      </c>
      <c r="B7430" s="15" t="s">
        <v>635</v>
      </c>
      <c r="C7430" s="15" t="s">
        <v>51</v>
      </c>
      <c r="D7430" s="16">
        <v>36</v>
      </c>
      <c r="E7430" s="17">
        <v>228.01</v>
      </c>
      <c r="F7430" s="16">
        <v>0.06</v>
      </c>
      <c r="G7430" s="15" t="s">
        <v>32</v>
      </c>
      <c r="H7430" s="18">
        <v>-185.54</v>
      </c>
      <c r="I7430" s="19">
        <v>6.48</v>
      </c>
      <c r="J7430" s="19">
        <v>8.73</v>
      </c>
      <c r="K7430" s="19" t="s">
        <v>69</v>
      </c>
      <c r="L7430" s="19" t="s">
        <v>215</v>
      </c>
      <c r="M7430" s="15" t="s">
        <v>2322</v>
      </c>
      <c r="N7430" s="15" t="s">
        <v>36</v>
      </c>
      <c r="O7430" s="15" t="s">
        <v>117</v>
      </c>
      <c r="P7430" s="20" t="s">
        <v>786</v>
      </c>
      <c r="Q7430" s="15" t="s">
        <v>83</v>
      </c>
      <c r="R7430" s="4"/>
      <c r="S7430" s="4"/>
    </row>
    <row r="7431" spans="1:19" ht="21" customHeight="1" x14ac:dyDescent="0.25">
      <c r="A7431" s="14">
        <f>DATE(2012,12,31)-309</f>
        <v>40965</v>
      </c>
      <c r="B7431" s="15" t="s">
        <v>436</v>
      </c>
      <c r="C7431" s="15" t="s">
        <v>43</v>
      </c>
      <c r="D7431" s="16">
        <v>29</v>
      </c>
      <c r="E7431" s="17">
        <v>433.44</v>
      </c>
      <c r="F7431" s="16">
        <v>0.1</v>
      </c>
      <c r="G7431" s="15" t="s">
        <v>32</v>
      </c>
      <c r="H7431" s="18">
        <v>147.46</v>
      </c>
      <c r="I7431" s="19">
        <v>15.68</v>
      </c>
      <c r="J7431" s="19">
        <v>3.73</v>
      </c>
      <c r="K7431" s="19" t="s">
        <v>44</v>
      </c>
      <c r="L7431" s="19" t="s">
        <v>120</v>
      </c>
      <c r="M7431" s="15" t="s">
        <v>2262</v>
      </c>
      <c r="N7431" s="15" t="s">
        <v>54</v>
      </c>
      <c r="O7431" s="15" t="s">
        <v>55</v>
      </c>
      <c r="P7431" s="20" t="s">
        <v>560</v>
      </c>
      <c r="Q7431" s="15" t="s">
        <v>49</v>
      </c>
      <c r="R7431" s="4"/>
      <c r="S7431" s="4"/>
    </row>
    <row r="7432" spans="1:19" ht="21" customHeight="1" x14ac:dyDescent="0.25">
      <c r="A7432" s="14">
        <f>DATE(2012,12,31)-1169</f>
        <v>40105</v>
      </c>
      <c r="B7432" s="15" t="s">
        <v>1106</v>
      </c>
      <c r="C7432" s="15" t="s">
        <v>31</v>
      </c>
      <c r="D7432" s="16">
        <v>2</v>
      </c>
      <c r="E7432" s="17">
        <v>21.71</v>
      </c>
      <c r="F7432" s="16">
        <v>7.0000000000000007E-2</v>
      </c>
      <c r="G7432" s="15" t="s">
        <v>32</v>
      </c>
      <c r="H7432" s="18">
        <v>-15.13</v>
      </c>
      <c r="I7432" s="19">
        <v>6.48</v>
      </c>
      <c r="J7432" s="19">
        <v>9.5399999999999991</v>
      </c>
      <c r="K7432" s="19" t="s">
        <v>44</v>
      </c>
      <c r="L7432" s="19" t="s">
        <v>89</v>
      </c>
      <c r="M7432" s="15" t="s">
        <v>2337</v>
      </c>
      <c r="N7432" s="15" t="s">
        <v>36</v>
      </c>
      <c r="O7432" s="15" t="s">
        <v>117</v>
      </c>
      <c r="P7432" s="20" t="s">
        <v>652</v>
      </c>
      <c r="Q7432" s="15" t="s">
        <v>83</v>
      </c>
      <c r="R7432" s="4"/>
      <c r="S7432" s="4"/>
    </row>
    <row r="7433" spans="1:19" ht="21" customHeight="1" x14ac:dyDescent="0.25">
      <c r="A7433" s="14">
        <f>DATE(2012,12,31)-170</f>
        <v>41104</v>
      </c>
      <c r="B7433" s="15" t="s">
        <v>1450</v>
      </c>
      <c r="C7433" s="15" t="s">
        <v>31</v>
      </c>
      <c r="D7433" s="16">
        <v>2</v>
      </c>
      <c r="E7433" s="17">
        <v>13.29</v>
      </c>
      <c r="F7433" s="16">
        <v>0.08</v>
      </c>
      <c r="G7433" s="15" t="s">
        <v>32</v>
      </c>
      <c r="H7433" s="18">
        <v>-10.327</v>
      </c>
      <c r="I7433" s="19">
        <v>4.24</v>
      </c>
      <c r="J7433" s="19">
        <v>5.41</v>
      </c>
      <c r="K7433" s="19" t="s">
        <v>44</v>
      </c>
      <c r="L7433" s="19" t="s">
        <v>45</v>
      </c>
      <c r="M7433" s="15" t="s">
        <v>2271</v>
      </c>
      <c r="N7433" s="15" t="s">
        <v>36</v>
      </c>
      <c r="O7433" s="15" t="s">
        <v>170</v>
      </c>
      <c r="P7433" s="20" t="s">
        <v>951</v>
      </c>
      <c r="Q7433" s="15" t="s">
        <v>83</v>
      </c>
      <c r="R7433" s="4"/>
      <c r="S7433" s="4"/>
    </row>
    <row r="7434" spans="1:19" ht="21" customHeight="1" x14ac:dyDescent="0.25">
      <c r="A7434" s="14">
        <f>DATE(2012,12,31)-794</f>
        <v>40480</v>
      </c>
      <c r="B7434" s="15" t="s">
        <v>1450</v>
      </c>
      <c r="C7434" s="15" t="s">
        <v>85</v>
      </c>
      <c r="D7434" s="16">
        <v>7</v>
      </c>
      <c r="E7434" s="17">
        <v>2423.06</v>
      </c>
      <c r="F7434" s="16">
        <v>0.06</v>
      </c>
      <c r="G7434" s="15" t="s">
        <v>58</v>
      </c>
      <c r="H7434" s="18">
        <v>-94.26560000000002</v>
      </c>
      <c r="I7434" s="19">
        <v>348.21</v>
      </c>
      <c r="J7434" s="19">
        <v>40.19</v>
      </c>
      <c r="K7434" s="19" t="s">
        <v>124</v>
      </c>
      <c r="L7434" s="19" t="s">
        <v>160</v>
      </c>
      <c r="M7434" s="15" t="s">
        <v>2281</v>
      </c>
      <c r="N7434" s="15" t="s">
        <v>54</v>
      </c>
      <c r="O7434" s="15" t="s">
        <v>61</v>
      </c>
      <c r="P7434" s="20" t="s">
        <v>1374</v>
      </c>
      <c r="Q7434" s="15" t="s">
        <v>63</v>
      </c>
      <c r="R7434" s="4"/>
      <c r="S7434" s="4"/>
    </row>
    <row r="7435" spans="1:19" ht="21" customHeight="1" x14ac:dyDescent="0.25">
      <c r="A7435" s="14">
        <f>DATE(2012,12,31)-1231</f>
        <v>40043</v>
      </c>
      <c r="B7435" s="15" t="s">
        <v>1450</v>
      </c>
      <c r="C7435" s="15" t="s">
        <v>85</v>
      </c>
      <c r="D7435" s="16">
        <v>34</v>
      </c>
      <c r="E7435" s="17">
        <v>5442.1419999999998</v>
      </c>
      <c r="F7435" s="16">
        <v>0</v>
      </c>
      <c r="G7435" s="15" t="s">
        <v>32</v>
      </c>
      <c r="H7435" s="18">
        <v>1640.2950000000001</v>
      </c>
      <c r="I7435" s="19">
        <v>175.99</v>
      </c>
      <c r="J7435" s="19">
        <v>4.99</v>
      </c>
      <c r="K7435" s="19" t="s">
        <v>44</v>
      </c>
      <c r="L7435" s="19" t="s">
        <v>52</v>
      </c>
      <c r="M7435" s="15" t="s">
        <v>2351</v>
      </c>
      <c r="N7435" s="15" t="s">
        <v>64</v>
      </c>
      <c r="O7435" s="15" t="s">
        <v>65</v>
      </c>
      <c r="P7435" s="20" t="s">
        <v>557</v>
      </c>
      <c r="Q7435" s="15" t="s">
        <v>83</v>
      </c>
      <c r="R7435" s="4"/>
      <c r="S7435" s="4"/>
    </row>
    <row r="7436" spans="1:19" ht="21" customHeight="1" x14ac:dyDescent="0.25">
      <c r="A7436" s="14">
        <f>DATE(2012,12,31)-1369</f>
        <v>39905</v>
      </c>
      <c r="B7436" s="15" t="s">
        <v>439</v>
      </c>
      <c r="C7436" s="15" t="s">
        <v>85</v>
      </c>
      <c r="D7436" s="16">
        <v>40</v>
      </c>
      <c r="E7436" s="17">
        <v>14075.99</v>
      </c>
      <c r="F7436" s="16">
        <v>0.08</v>
      </c>
      <c r="G7436" s="15" t="s">
        <v>58</v>
      </c>
      <c r="H7436" s="18">
        <v>1894.14</v>
      </c>
      <c r="I7436" s="19">
        <v>355.98</v>
      </c>
      <c r="J7436" s="19">
        <v>58.92</v>
      </c>
      <c r="K7436" s="19" t="s">
        <v>44</v>
      </c>
      <c r="L7436" s="19" t="s">
        <v>52</v>
      </c>
      <c r="M7436" s="15" t="s">
        <v>2351</v>
      </c>
      <c r="N7436" s="15" t="s">
        <v>54</v>
      </c>
      <c r="O7436" s="15" t="s">
        <v>252</v>
      </c>
      <c r="P7436" s="20" t="s">
        <v>1231</v>
      </c>
      <c r="Q7436" s="15" t="s">
        <v>181</v>
      </c>
      <c r="R7436" s="4"/>
      <c r="S7436" s="4"/>
    </row>
    <row r="7437" spans="1:19" ht="21" customHeight="1" x14ac:dyDescent="0.25">
      <c r="A7437" s="14">
        <f>DATE(2012,12,31)-430</f>
        <v>40844</v>
      </c>
      <c r="B7437" s="15" t="s">
        <v>439</v>
      </c>
      <c r="C7437" s="15" t="s">
        <v>51</v>
      </c>
      <c r="D7437" s="16">
        <v>2</v>
      </c>
      <c r="E7437" s="17">
        <v>25.07</v>
      </c>
      <c r="F7437" s="16">
        <v>0.04</v>
      </c>
      <c r="G7437" s="15" t="s">
        <v>32</v>
      </c>
      <c r="H7437" s="18">
        <v>-27.674699999999998</v>
      </c>
      <c r="I7437" s="19">
        <v>9.49</v>
      </c>
      <c r="J7437" s="19">
        <v>5.76</v>
      </c>
      <c r="K7437" s="19" t="s">
        <v>44</v>
      </c>
      <c r="L7437" s="19" t="s">
        <v>52</v>
      </c>
      <c r="M7437" s="15" t="s">
        <v>2351</v>
      </c>
      <c r="N7437" s="15" t="s">
        <v>64</v>
      </c>
      <c r="O7437" s="15" t="s">
        <v>122</v>
      </c>
      <c r="P7437" s="20" t="s">
        <v>975</v>
      </c>
      <c r="Q7437" s="15" t="s">
        <v>57</v>
      </c>
      <c r="R7437" s="4"/>
      <c r="S7437" s="4"/>
    </row>
    <row r="7438" spans="1:19" ht="21" customHeight="1" x14ac:dyDescent="0.25">
      <c r="A7438" s="14">
        <f>DATE(2012,12,31)-221</f>
        <v>41053</v>
      </c>
      <c r="B7438" s="15" t="s">
        <v>142</v>
      </c>
      <c r="C7438" s="15" t="s">
        <v>85</v>
      </c>
      <c r="D7438" s="16">
        <v>6</v>
      </c>
      <c r="E7438" s="17">
        <v>1042.96</v>
      </c>
      <c r="F7438" s="16">
        <v>0.04</v>
      </c>
      <c r="G7438" s="15" t="s">
        <v>32</v>
      </c>
      <c r="H7438" s="18">
        <v>163.80350000000001</v>
      </c>
      <c r="I7438" s="19">
        <v>165.98</v>
      </c>
      <c r="J7438" s="19">
        <v>19.989999999999998</v>
      </c>
      <c r="K7438" s="19" t="s">
        <v>33</v>
      </c>
      <c r="L7438" s="19" t="s">
        <v>34</v>
      </c>
      <c r="M7438" s="15" t="s">
        <v>2315</v>
      </c>
      <c r="N7438" s="15" t="s">
        <v>36</v>
      </c>
      <c r="O7438" s="15" t="s">
        <v>170</v>
      </c>
      <c r="P7438" s="20" t="s">
        <v>1801</v>
      </c>
      <c r="Q7438" s="15" t="s">
        <v>83</v>
      </c>
      <c r="R7438" s="4"/>
      <c r="S7438" s="4"/>
    </row>
    <row r="7439" spans="1:19" ht="21" customHeight="1" x14ac:dyDescent="0.25">
      <c r="A7439" s="14">
        <f>DATE(2012,12,31)-1276</f>
        <v>39998</v>
      </c>
      <c r="B7439" s="15" t="s">
        <v>2172</v>
      </c>
      <c r="C7439" s="15" t="s">
        <v>85</v>
      </c>
      <c r="D7439" s="16">
        <v>23</v>
      </c>
      <c r="E7439" s="17">
        <v>8413.23</v>
      </c>
      <c r="F7439" s="16">
        <v>0.05</v>
      </c>
      <c r="G7439" s="15" t="s">
        <v>32</v>
      </c>
      <c r="H7439" s="18">
        <v>2464.75</v>
      </c>
      <c r="I7439" s="19">
        <v>363.25</v>
      </c>
      <c r="J7439" s="19">
        <v>19.989999999999998</v>
      </c>
      <c r="K7439" s="19" t="s">
        <v>33</v>
      </c>
      <c r="L7439" s="19" t="s">
        <v>59</v>
      </c>
      <c r="M7439" s="15" t="s">
        <v>2344</v>
      </c>
      <c r="N7439" s="15" t="s">
        <v>36</v>
      </c>
      <c r="O7439" s="15" t="s">
        <v>176</v>
      </c>
      <c r="P7439" s="20" t="s">
        <v>291</v>
      </c>
      <c r="Q7439" s="15" t="s">
        <v>83</v>
      </c>
      <c r="R7439" s="4"/>
      <c r="S7439" s="4"/>
    </row>
    <row r="7440" spans="1:19" ht="21" customHeight="1" x14ac:dyDescent="0.25">
      <c r="A7440" s="14">
        <f>DATE(2012,12,31)-1276</f>
        <v>39998</v>
      </c>
      <c r="B7440" s="15" t="s">
        <v>2330</v>
      </c>
      <c r="C7440" s="15" t="s">
        <v>85</v>
      </c>
      <c r="D7440" s="16">
        <v>30</v>
      </c>
      <c r="E7440" s="17">
        <v>105.45</v>
      </c>
      <c r="F7440" s="16">
        <v>0.06</v>
      </c>
      <c r="G7440" s="15" t="s">
        <v>32</v>
      </c>
      <c r="H7440" s="18">
        <v>-173.36</v>
      </c>
      <c r="I7440" s="19">
        <v>3.34</v>
      </c>
      <c r="J7440" s="19">
        <v>7.49</v>
      </c>
      <c r="K7440" s="19" t="s">
        <v>69</v>
      </c>
      <c r="L7440" s="19" t="s">
        <v>75</v>
      </c>
      <c r="M7440" s="15" t="s">
        <v>76</v>
      </c>
      <c r="N7440" s="15" t="s">
        <v>36</v>
      </c>
      <c r="O7440" s="15" t="s">
        <v>77</v>
      </c>
      <c r="P7440" s="20" t="s">
        <v>1677</v>
      </c>
      <c r="Q7440" s="15" t="s">
        <v>79</v>
      </c>
      <c r="R7440" s="4"/>
      <c r="S7440" s="4"/>
    </row>
    <row r="7441" spans="1:19" ht="21" customHeight="1" x14ac:dyDescent="0.25">
      <c r="A7441" s="14">
        <f>DATE(2012,12,31)-834</f>
        <v>40440</v>
      </c>
      <c r="B7441" s="15" t="s">
        <v>875</v>
      </c>
      <c r="C7441" s="15" t="s">
        <v>51</v>
      </c>
      <c r="D7441" s="16">
        <v>33</v>
      </c>
      <c r="E7441" s="17">
        <v>2667.92</v>
      </c>
      <c r="F7441" s="16">
        <v>0.01</v>
      </c>
      <c r="G7441" s="15" t="s">
        <v>32</v>
      </c>
      <c r="H7441" s="18">
        <v>1049.02</v>
      </c>
      <c r="I7441" s="19">
        <v>78.69</v>
      </c>
      <c r="J7441" s="19">
        <v>19.989999999999998</v>
      </c>
      <c r="K7441" s="19" t="s">
        <v>69</v>
      </c>
      <c r="L7441" s="19" t="s">
        <v>215</v>
      </c>
      <c r="M7441" s="15" t="s">
        <v>2322</v>
      </c>
      <c r="N7441" s="15" t="s">
        <v>54</v>
      </c>
      <c r="O7441" s="15" t="s">
        <v>55</v>
      </c>
      <c r="P7441" s="20" t="s">
        <v>703</v>
      </c>
      <c r="Q7441" s="15" t="s">
        <v>83</v>
      </c>
      <c r="R7441" s="4"/>
      <c r="S7441" s="4"/>
    </row>
    <row r="7442" spans="1:19" ht="21" customHeight="1" x14ac:dyDescent="0.25">
      <c r="A7442" s="14">
        <f>DATE(2012,12,31)-834</f>
        <v>40440</v>
      </c>
      <c r="B7442" s="15" t="s">
        <v>759</v>
      </c>
      <c r="C7442" s="15" t="s">
        <v>51</v>
      </c>
      <c r="D7442" s="16">
        <v>15</v>
      </c>
      <c r="E7442" s="17">
        <v>2236.15</v>
      </c>
      <c r="F7442" s="16">
        <v>0.05</v>
      </c>
      <c r="G7442" s="15" t="s">
        <v>58</v>
      </c>
      <c r="H7442" s="18">
        <v>-310.95</v>
      </c>
      <c r="I7442" s="19">
        <v>145.97999999999999</v>
      </c>
      <c r="J7442" s="19">
        <v>51.92</v>
      </c>
      <c r="K7442" s="19" t="s">
        <v>44</v>
      </c>
      <c r="L7442" s="19" t="s">
        <v>120</v>
      </c>
      <c r="M7442" s="15" t="s">
        <v>2262</v>
      </c>
      <c r="N7442" s="15" t="s">
        <v>54</v>
      </c>
      <c r="O7442" s="15" t="s">
        <v>61</v>
      </c>
      <c r="P7442" s="20" t="s">
        <v>2352</v>
      </c>
      <c r="Q7442" s="15" t="s">
        <v>63</v>
      </c>
      <c r="R7442" s="4"/>
      <c r="S7442" s="4"/>
    </row>
    <row r="7443" spans="1:19" ht="21" customHeight="1" x14ac:dyDescent="0.25">
      <c r="A7443" s="14">
        <f>DATE(2012,12,31)-1041</f>
        <v>40233</v>
      </c>
      <c r="B7443" s="15" t="s">
        <v>630</v>
      </c>
      <c r="C7443" s="15" t="s">
        <v>51</v>
      </c>
      <c r="D7443" s="16">
        <v>36</v>
      </c>
      <c r="E7443" s="17">
        <v>181.95</v>
      </c>
      <c r="F7443" s="16">
        <v>0.03</v>
      </c>
      <c r="G7443" s="15" t="s">
        <v>32</v>
      </c>
      <c r="H7443" s="18">
        <v>-132.26150000000001</v>
      </c>
      <c r="I7443" s="19">
        <v>4.8899999999999997</v>
      </c>
      <c r="J7443" s="19">
        <v>6.07</v>
      </c>
      <c r="K7443" s="19" t="s">
        <v>97</v>
      </c>
      <c r="L7443" s="19" t="s">
        <v>195</v>
      </c>
      <c r="M7443" s="15" t="s">
        <v>2138</v>
      </c>
      <c r="N7443" s="15" t="s">
        <v>36</v>
      </c>
      <c r="O7443" s="15" t="s">
        <v>170</v>
      </c>
      <c r="P7443" s="20" t="s">
        <v>1259</v>
      </c>
      <c r="Q7443" s="15" t="s">
        <v>83</v>
      </c>
      <c r="R7443" s="4"/>
      <c r="S7443" s="4"/>
    </row>
    <row r="7444" spans="1:19" ht="21" customHeight="1" x14ac:dyDescent="0.25">
      <c r="A7444" s="14">
        <f>DATE(2012,12,31)-996</f>
        <v>40278</v>
      </c>
      <c r="B7444" s="15" t="s">
        <v>630</v>
      </c>
      <c r="C7444" s="15" t="s">
        <v>31</v>
      </c>
      <c r="D7444" s="16">
        <v>46</v>
      </c>
      <c r="E7444" s="17">
        <v>11002.66</v>
      </c>
      <c r="F7444" s="16">
        <v>7.0000000000000007E-2</v>
      </c>
      <c r="G7444" s="15" t="s">
        <v>58</v>
      </c>
      <c r="H7444" s="18">
        <v>2349.29</v>
      </c>
      <c r="I7444" s="19">
        <v>243.98</v>
      </c>
      <c r="J7444" s="19">
        <v>43.32</v>
      </c>
      <c r="K7444" s="19" t="s">
        <v>124</v>
      </c>
      <c r="L7444" s="19" t="s">
        <v>160</v>
      </c>
      <c r="M7444" s="15" t="s">
        <v>2281</v>
      </c>
      <c r="N7444" s="15" t="s">
        <v>54</v>
      </c>
      <c r="O7444" s="15" t="s">
        <v>252</v>
      </c>
      <c r="P7444" s="20" t="s">
        <v>1374</v>
      </c>
      <c r="Q7444" s="15" t="s">
        <v>181</v>
      </c>
      <c r="R7444" s="4"/>
      <c r="S7444" s="4"/>
    </row>
    <row r="7445" spans="1:19" ht="21" customHeight="1" x14ac:dyDescent="0.25">
      <c r="A7445" s="14">
        <f>DATE(2012,12,31)-1296</f>
        <v>39978</v>
      </c>
      <c r="B7445" s="15" t="s">
        <v>659</v>
      </c>
      <c r="C7445" s="15" t="s">
        <v>43</v>
      </c>
      <c r="D7445" s="16">
        <v>24</v>
      </c>
      <c r="E7445" s="17">
        <v>7046.61</v>
      </c>
      <c r="F7445" s="16">
        <v>0.08</v>
      </c>
      <c r="G7445" s="15" t="s">
        <v>32</v>
      </c>
      <c r="H7445" s="18">
        <v>2595.1775000000002</v>
      </c>
      <c r="I7445" s="19">
        <v>315.98</v>
      </c>
      <c r="J7445" s="19">
        <v>19.989999999999998</v>
      </c>
      <c r="K7445" s="19" t="s">
        <v>33</v>
      </c>
      <c r="L7445" s="19" t="s">
        <v>93</v>
      </c>
      <c r="M7445" s="15" t="s">
        <v>94</v>
      </c>
      <c r="N7445" s="15" t="s">
        <v>36</v>
      </c>
      <c r="O7445" s="15" t="s">
        <v>170</v>
      </c>
      <c r="P7445" s="20" t="s">
        <v>599</v>
      </c>
      <c r="Q7445" s="15" t="s">
        <v>83</v>
      </c>
      <c r="R7445" s="4"/>
      <c r="S7445" s="4"/>
    </row>
    <row r="7446" spans="1:19" ht="21" customHeight="1" x14ac:dyDescent="0.25">
      <c r="A7446" s="14">
        <f>DATE(2012,12,31)-171</f>
        <v>41103</v>
      </c>
      <c r="B7446" s="15" t="s">
        <v>1134</v>
      </c>
      <c r="C7446" s="15" t="s">
        <v>85</v>
      </c>
      <c r="D7446" s="16">
        <v>50</v>
      </c>
      <c r="E7446" s="17">
        <v>13934.53</v>
      </c>
      <c r="F7446" s="16">
        <v>0.1</v>
      </c>
      <c r="G7446" s="15" t="s">
        <v>101</v>
      </c>
      <c r="H7446" s="18">
        <v>4352.83</v>
      </c>
      <c r="I7446" s="19">
        <v>299.99</v>
      </c>
      <c r="J7446" s="19">
        <v>11.64</v>
      </c>
      <c r="K7446" s="19" t="s">
        <v>44</v>
      </c>
      <c r="L7446" s="19" t="s">
        <v>89</v>
      </c>
      <c r="M7446" s="15" t="s">
        <v>2337</v>
      </c>
      <c r="N7446" s="15" t="s">
        <v>64</v>
      </c>
      <c r="O7446" s="15" t="s">
        <v>460</v>
      </c>
      <c r="P7446" s="20" t="s">
        <v>1590</v>
      </c>
      <c r="Q7446" s="15" t="s">
        <v>39</v>
      </c>
      <c r="R7446" s="4"/>
      <c r="S7446" s="4"/>
    </row>
    <row r="7447" spans="1:19" ht="21" customHeight="1" x14ac:dyDescent="0.25">
      <c r="A7447" s="14">
        <f>DATE(2012,12,31)-171</f>
        <v>41103</v>
      </c>
      <c r="B7447" s="15" t="s">
        <v>1575</v>
      </c>
      <c r="C7447" s="15" t="s">
        <v>85</v>
      </c>
      <c r="D7447" s="16">
        <v>38</v>
      </c>
      <c r="E7447" s="17">
        <v>1233.76</v>
      </c>
      <c r="F7447" s="16">
        <v>0.06</v>
      </c>
      <c r="G7447" s="15" t="s">
        <v>32</v>
      </c>
      <c r="H7447" s="18">
        <v>-168.08</v>
      </c>
      <c r="I7447" s="19">
        <v>33.979999999999997</v>
      </c>
      <c r="J7447" s="19">
        <v>19.989999999999998</v>
      </c>
      <c r="K7447" s="19" t="s">
        <v>33</v>
      </c>
      <c r="L7447" s="19" t="s">
        <v>145</v>
      </c>
      <c r="M7447" s="15" t="s">
        <v>2347</v>
      </c>
      <c r="N7447" s="15" t="s">
        <v>54</v>
      </c>
      <c r="O7447" s="15" t="s">
        <v>55</v>
      </c>
      <c r="P7447" s="20" t="s">
        <v>391</v>
      </c>
      <c r="Q7447" s="15" t="s">
        <v>83</v>
      </c>
      <c r="R7447" s="4"/>
      <c r="S7447" s="4"/>
    </row>
    <row r="7448" spans="1:19" ht="21" customHeight="1" x14ac:dyDescent="0.25">
      <c r="A7448" s="14">
        <f>DATE(2012,12,31)-171</f>
        <v>41103</v>
      </c>
      <c r="B7448" s="15" t="s">
        <v>1575</v>
      </c>
      <c r="C7448" s="15" t="s">
        <v>85</v>
      </c>
      <c r="D7448" s="16">
        <v>49</v>
      </c>
      <c r="E7448" s="17">
        <v>2377.2800000000002</v>
      </c>
      <c r="F7448" s="16">
        <v>0.04</v>
      </c>
      <c r="G7448" s="15" t="s">
        <v>32</v>
      </c>
      <c r="H7448" s="18">
        <v>-5.7859999999999996</v>
      </c>
      <c r="I7448" s="19">
        <v>55.99</v>
      </c>
      <c r="J7448" s="19">
        <v>5</v>
      </c>
      <c r="K7448" s="19" t="s">
        <v>33</v>
      </c>
      <c r="L7448" s="19" t="s">
        <v>34</v>
      </c>
      <c r="M7448" s="15" t="s">
        <v>2353</v>
      </c>
      <c r="N7448" s="15" t="s">
        <v>64</v>
      </c>
      <c r="O7448" s="15" t="s">
        <v>65</v>
      </c>
      <c r="P7448" s="20" t="s">
        <v>1626</v>
      </c>
      <c r="Q7448" s="15" t="s">
        <v>49</v>
      </c>
      <c r="R7448" s="4"/>
      <c r="S7448" s="4"/>
    </row>
    <row r="7449" spans="1:19" ht="21" customHeight="1" x14ac:dyDescent="0.25">
      <c r="A7449" s="14">
        <f>DATE(2012,12,31)-827</f>
        <v>40447</v>
      </c>
      <c r="B7449" s="15" t="s">
        <v>286</v>
      </c>
      <c r="C7449" s="15" t="s">
        <v>85</v>
      </c>
      <c r="D7449" s="16">
        <v>26</v>
      </c>
      <c r="E7449" s="17">
        <v>287.43</v>
      </c>
      <c r="F7449" s="16">
        <v>0.01</v>
      </c>
      <c r="G7449" s="15" t="s">
        <v>32</v>
      </c>
      <c r="H7449" s="18">
        <v>37.9</v>
      </c>
      <c r="I7449" s="19">
        <v>10.98</v>
      </c>
      <c r="J7449" s="19">
        <v>4.8</v>
      </c>
      <c r="K7449" s="19" t="s">
        <v>44</v>
      </c>
      <c r="L7449" s="19" t="s">
        <v>45</v>
      </c>
      <c r="M7449" s="15" t="s">
        <v>2271</v>
      </c>
      <c r="N7449" s="15" t="s">
        <v>36</v>
      </c>
      <c r="O7449" s="15" t="s">
        <v>189</v>
      </c>
      <c r="P7449" s="20" t="s">
        <v>2041</v>
      </c>
      <c r="Q7449" s="15" t="s">
        <v>83</v>
      </c>
      <c r="R7449" s="4"/>
      <c r="S7449" s="4"/>
    </row>
    <row r="7450" spans="1:19" ht="21" customHeight="1" x14ac:dyDescent="0.25">
      <c r="A7450" s="14">
        <f>DATE(2012,12,31)-1100</f>
        <v>40174</v>
      </c>
      <c r="B7450" s="15" t="s">
        <v>286</v>
      </c>
      <c r="C7450" s="15" t="s">
        <v>43</v>
      </c>
      <c r="D7450" s="16">
        <v>13</v>
      </c>
      <c r="E7450" s="17">
        <v>88.17</v>
      </c>
      <c r="F7450" s="16">
        <v>0.1</v>
      </c>
      <c r="G7450" s="15" t="s">
        <v>32</v>
      </c>
      <c r="H7450" s="18">
        <v>-572.49</v>
      </c>
      <c r="I7450" s="19">
        <v>3.25</v>
      </c>
      <c r="J7450" s="19">
        <v>49</v>
      </c>
      <c r="K7450" s="19" t="s">
        <v>33</v>
      </c>
      <c r="L7450" s="19" t="s">
        <v>93</v>
      </c>
      <c r="M7450" s="15" t="s">
        <v>94</v>
      </c>
      <c r="N7450" s="15" t="s">
        <v>36</v>
      </c>
      <c r="O7450" s="15" t="s">
        <v>176</v>
      </c>
      <c r="P7450" s="20" t="s">
        <v>1694</v>
      </c>
      <c r="Q7450" s="15" t="s">
        <v>39</v>
      </c>
      <c r="R7450" s="4"/>
      <c r="S7450" s="4"/>
    </row>
    <row r="7451" spans="1:19" ht="21" customHeight="1" x14ac:dyDescent="0.25">
      <c r="A7451" s="14">
        <f>DATE(2012,12,31)-1100</f>
        <v>40174</v>
      </c>
      <c r="B7451" s="15" t="s">
        <v>286</v>
      </c>
      <c r="C7451" s="15" t="s">
        <v>43</v>
      </c>
      <c r="D7451" s="16">
        <v>15</v>
      </c>
      <c r="E7451" s="17">
        <v>4760.0200000000004</v>
      </c>
      <c r="F7451" s="16">
        <v>0</v>
      </c>
      <c r="G7451" s="15" t="s">
        <v>58</v>
      </c>
      <c r="H7451" s="18">
        <v>658.88</v>
      </c>
      <c r="I7451" s="19">
        <v>300.98</v>
      </c>
      <c r="J7451" s="19">
        <v>64.73</v>
      </c>
      <c r="K7451" s="19" t="s">
        <v>97</v>
      </c>
      <c r="L7451" s="19" t="s">
        <v>195</v>
      </c>
      <c r="M7451" s="15" t="s">
        <v>2138</v>
      </c>
      <c r="N7451" s="15" t="s">
        <v>54</v>
      </c>
      <c r="O7451" s="15" t="s">
        <v>252</v>
      </c>
      <c r="P7451" s="20" t="s">
        <v>1902</v>
      </c>
      <c r="Q7451" s="15" t="s">
        <v>181</v>
      </c>
      <c r="R7451" s="4"/>
      <c r="S7451" s="4"/>
    </row>
    <row r="7452" spans="1:19" ht="21" customHeight="1" x14ac:dyDescent="0.25">
      <c r="A7452" s="14">
        <f>DATE(2012,12,31)-1242</f>
        <v>40032</v>
      </c>
      <c r="B7452" s="15" t="s">
        <v>286</v>
      </c>
      <c r="C7452" s="15" t="s">
        <v>85</v>
      </c>
      <c r="D7452" s="16">
        <v>44</v>
      </c>
      <c r="E7452" s="17">
        <v>642.79999999999995</v>
      </c>
      <c r="F7452" s="16">
        <v>0.08</v>
      </c>
      <c r="G7452" s="15" t="s">
        <v>32</v>
      </c>
      <c r="H7452" s="18">
        <v>-253.11</v>
      </c>
      <c r="I7452" s="19">
        <v>14.81</v>
      </c>
      <c r="J7452" s="19">
        <v>13.32</v>
      </c>
      <c r="K7452" s="19" t="s">
        <v>33</v>
      </c>
      <c r="L7452" s="19" t="s">
        <v>145</v>
      </c>
      <c r="M7452" s="15" t="s">
        <v>2347</v>
      </c>
      <c r="N7452" s="15" t="s">
        <v>36</v>
      </c>
      <c r="O7452" s="15" t="s">
        <v>176</v>
      </c>
      <c r="P7452" s="20" t="s">
        <v>1274</v>
      </c>
      <c r="Q7452" s="15" t="s">
        <v>83</v>
      </c>
      <c r="R7452" s="4"/>
      <c r="S7452" s="4"/>
    </row>
    <row r="7453" spans="1:19" ht="21" customHeight="1" x14ac:dyDescent="0.25">
      <c r="A7453" s="14">
        <f>DATE(2012,12,31)-398</f>
        <v>40876</v>
      </c>
      <c r="B7453" s="15" t="s">
        <v>761</v>
      </c>
      <c r="C7453" s="15" t="s">
        <v>85</v>
      </c>
      <c r="D7453" s="16">
        <v>25</v>
      </c>
      <c r="E7453" s="17">
        <v>667.64</v>
      </c>
      <c r="F7453" s="16">
        <v>0.08</v>
      </c>
      <c r="G7453" s="15" t="s">
        <v>32</v>
      </c>
      <c r="H7453" s="18">
        <v>-57.53</v>
      </c>
      <c r="I7453" s="19">
        <v>27.48</v>
      </c>
      <c r="J7453" s="19">
        <v>4</v>
      </c>
      <c r="K7453" s="19" t="s">
        <v>33</v>
      </c>
      <c r="L7453" s="19" t="s">
        <v>59</v>
      </c>
      <c r="M7453" s="15" t="s">
        <v>2344</v>
      </c>
      <c r="N7453" s="15" t="s">
        <v>64</v>
      </c>
      <c r="O7453" s="15" t="s">
        <v>72</v>
      </c>
      <c r="P7453" s="20" t="s">
        <v>2100</v>
      </c>
      <c r="Q7453" s="15" t="s">
        <v>83</v>
      </c>
      <c r="R7453" s="4"/>
      <c r="S7453" s="4"/>
    </row>
    <row r="7454" spans="1:19" ht="21" customHeight="1" x14ac:dyDescent="0.25">
      <c r="A7454" s="14">
        <f>DATE(2012,12,31)-1203</f>
        <v>40071</v>
      </c>
      <c r="B7454" s="15" t="s">
        <v>1417</v>
      </c>
      <c r="C7454" s="15" t="s">
        <v>85</v>
      </c>
      <c r="D7454" s="16">
        <v>45</v>
      </c>
      <c r="E7454" s="17">
        <v>2544.73</v>
      </c>
      <c r="F7454" s="16">
        <v>0.02</v>
      </c>
      <c r="G7454" s="15" t="s">
        <v>32</v>
      </c>
      <c r="H7454" s="18">
        <v>375.87</v>
      </c>
      <c r="I7454" s="19">
        <v>54.2</v>
      </c>
      <c r="J7454" s="19">
        <v>11.1</v>
      </c>
      <c r="K7454" s="19" t="s">
        <v>69</v>
      </c>
      <c r="L7454" s="19" t="s">
        <v>70</v>
      </c>
      <c r="M7454" s="15" t="s">
        <v>2348</v>
      </c>
      <c r="N7454" s="15" t="s">
        <v>54</v>
      </c>
      <c r="O7454" s="15" t="s">
        <v>55</v>
      </c>
      <c r="P7454" s="20" t="s">
        <v>926</v>
      </c>
      <c r="Q7454" s="15" t="s">
        <v>57</v>
      </c>
      <c r="R7454" s="4"/>
      <c r="S7454" s="4"/>
    </row>
    <row r="7455" spans="1:19" ht="21" customHeight="1" x14ac:dyDescent="0.25">
      <c r="A7455" s="14">
        <f>DATE(2012,12,31)-1225</f>
        <v>40049</v>
      </c>
      <c r="B7455" s="15" t="s">
        <v>187</v>
      </c>
      <c r="C7455" s="15" t="s">
        <v>85</v>
      </c>
      <c r="D7455" s="16">
        <v>7</v>
      </c>
      <c r="E7455" s="17">
        <v>345.37</v>
      </c>
      <c r="F7455" s="16">
        <v>0.01</v>
      </c>
      <c r="G7455" s="15" t="s">
        <v>32</v>
      </c>
      <c r="H7455" s="18">
        <v>84.34</v>
      </c>
      <c r="I7455" s="19">
        <v>48.04</v>
      </c>
      <c r="J7455" s="19">
        <v>5.79</v>
      </c>
      <c r="K7455" s="19" t="s">
        <v>69</v>
      </c>
      <c r="L7455" s="19" t="s">
        <v>70</v>
      </c>
      <c r="M7455" s="15" t="s">
        <v>2348</v>
      </c>
      <c r="N7455" s="15" t="s">
        <v>36</v>
      </c>
      <c r="O7455" s="15" t="s">
        <v>117</v>
      </c>
      <c r="P7455" s="20" t="s">
        <v>1372</v>
      </c>
      <c r="Q7455" s="15" t="s">
        <v>83</v>
      </c>
      <c r="R7455" s="4"/>
      <c r="S7455" s="4"/>
    </row>
    <row r="7456" spans="1:19" ht="21" customHeight="1" x14ac:dyDescent="0.25">
      <c r="A7456" s="14">
        <f>DATE(2012,12,31)-450</f>
        <v>40824</v>
      </c>
      <c r="B7456" s="15" t="s">
        <v>1808</v>
      </c>
      <c r="C7456" s="15" t="s">
        <v>85</v>
      </c>
      <c r="D7456" s="16">
        <v>35</v>
      </c>
      <c r="E7456" s="17">
        <v>1477.63</v>
      </c>
      <c r="F7456" s="16">
        <v>0.04</v>
      </c>
      <c r="G7456" s="15" t="s">
        <v>32</v>
      </c>
      <c r="H7456" s="18">
        <v>387.56</v>
      </c>
      <c r="I7456" s="19">
        <v>42.98</v>
      </c>
      <c r="J7456" s="19">
        <v>4.62</v>
      </c>
      <c r="K7456" s="19" t="s">
        <v>69</v>
      </c>
      <c r="L7456" s="19" t="s">
        <v>75</v>
      </c>
      <c r="M7456" s="15" t="s">
        <v>76</v>
      </c>
      <c r="N7456" s="15" t="s">
        <v>36</v>
      </c>
      <c r="O7456" s="15" t="s">
        <v>176</v>
      </c>
      <c r="P7456" s="20" t="s">
        <v>1221</v>
      </c>
      <c r="Q7456" s="15" t="s">
        <v>83</v>
      </c>
      <c r="R7456" s="4"/>
      <c r="S7456" s="4"/>
    </row>
    <row r="7457" spans="1:19" ht="21" customHeight="1" x14ac:dyDescent="0.25">
      <c r="A7457" s="14">
        <f>DATE(2012,12,31)-450</f>
        <v>40824</v>
      </c>
      <c r="B7457" s="15" t="s">
        <v>1872</v>
      </c>
      <c r="C7457" s="15" t="s">
        <v>85</v>
      </c>
      <c r="D7457" s="16">
        <v>3</v>
      </c>
      <c r="E7457" s="17">
        <v>19.46</v>
      </c>
      <c r="F7457" s="16">
        <v>0.01</v>
      </c>
      <c r="G7457" s="15" t="s">
        <v>32</v>
      </c>
      <c r="H7457" s="18">
        <v>-2.0099999999999998</v>
      </c>
      <c r="I7457" s="19">
        <v>6.3</v>
      </c>
      <c r="J7457" s="19">
        <v>0.5</v>
      </c>
      <c r="K7457" s="19" t="s">
        <v>69</v>
      </c>
      <c r="L7457" s="19" t="s">
        <v>75</v>
      </c>
      <c r="M7457" s="15" t="s">
        <v>76</v>
      </c>
      <c r="N7457" s="15" t="s">
        <v>36</v>
      </c>
      <c r="O7457" s="15" t="s">
        <v>114</v>
      </c>
      <c r="P7457" s="20" t="s">
        <v>1566</v>
      </c>
      <c r="Q7457" s="15" t="s">
        <v>83</v>
      </c>
      <c r="R7457" s="4"/>
      <c r="S7457" s="4"/>
    </row>
    <row r="7458" spans="1:19" ht="21" customHeight="1" x14ac:dyDescent="0.25">
      <c r="A7458" s="14">
        <f>DATE(2012,12,31)-450</f>
        <v>40824</v>
      </c>
      <c r="B7458" s="15" t="s">
        <v>1872</v>
      </c>
      <c r="C7458" s="15" t="s">
        <v>85</v>
      </c>
      <c r="D7458" s="16">
        <v>22</v>
      </c>
      <c r="E7458" s="17">
        <v>148.80000000000001</v>
      </c>
      <c r="F7458" s="16">
        <v>0.04</v>
      </c>
      <c r="G7458" s="15" t="s">
        <v>32</v>
      </c>
      <c r="H7458" s="18">
        <v>52.08</v>
      </c>
      <c r="I7458" s="19">
        <v>6.47</v>
      </c>
      <c r="J7458" s="19">
        <v>1.22</v>
      </c>
      <c r="K7458" s="19" t="s">
        <v>69</v>
      </c>
      <c r="L7458" s="19" t="s">
        <v>70</v>
      </c>
      <c r="M7458" s="15" t="s">
        <v>2348</v>
      </c>
      <c r="N7458" s="15" t="s">
        <v>36</v>
      </c>
      <c r="O7458" s="15" t="s">
        <v>77</v>
      </c>
      <c r="P7458" s="20" t="s">
        <v>689</v>
      </c>
      <c r="Q7458" s="15" t="s">
        <v>79</v>
      </c>
      <c r="R7458" s="4"/>
      <c r="S7458" s="4"/>
    </row>
    <row r="7459" spans="1:19" ht="21" customHeight="1" x14ac:dyDescent="0.25">
      <c r="A7459" s="14">
        <f>DATE(2012,12,31)-68</f>
        <v>41206</v>
      </c>
      <c r="B7459" s="15" t="s">
        <v>820</v>
      </c>
      <c r="C7459" s="15" t="s">
        <v>51</v>
      </c>
      <c r="D7459" s="16">
        <v>8</v>
      </c>
      <c r="E7459" s="17">
        <v>105.95</v>
      </c>
      <c r="F7459" s="16">
        <v>0.01</v>
      </c>
      <c r="G7459" s="15" t="s">
        <v>32</v>
      </c>
      <c r="H7459" s="18">
        <v>-44.33</v>
      </c>
      <c r="I7459" s="19">
        <v>11.66</v>
      </c>
      <c r="J7459" s="19">
        <v>8.99</v>
      </c>
      <c r="K7459" s="19" t="s">
        <v>44</v>
      </c>
      <c r="L7459" s="19" t="s">
        <v>89</v>
      </c>
      <c r="M7459" s="15" t="s">
        <v>2337</v>
      </c>
      <c r="N7459" s="15" t="s">
        <v>36</v>
      </c>
      <c r="O7459" s="15" t="s">
        <v>77</v>
      </c>
      <c r="P7459" s="20" t="s">
        <v>880</v>
      </c>
      <c r="Q7459" s="15" t="s">
        <v>49</v>
      </c>
      <c r="R7459" s="4"/>
      <c r="S7459" s="4"/>
    </row>
    <row r="7460" spans="1:19" ht="21" customHeight="1" x14ac:dyDescent="0.25">
      <c r="A7460" s="14">
        <f>DATE(2012,12,31)-68</f>
        <v>41206</v>
      </c>
      <c r="B7460" s="15" t="s">
        <v>504</v>
      </c>
      <c r="C7460" s="15" t="s">
        <v>51</v>
      </c>
      <c r="D7460" s="16">
        <v>21</v>
      </c>
      <c r="E7460" s="17">
        <v>73.8</v>
      </c>
      <c r="F7460" s="16">
        <v>0.02</v>
      </c>
      <c r="G7460" s="15" t="s">
        <v>32</v>
      </c>
      <c r="H7460" s="18">
        <v>11.23</v>
      </c>
      <c r="I7460" s="19">
        <v>3.29</v>
      </c>
      <c r="J7460" s="19">
        <v>1.35</v>
      </c>
      <c r="K7460" s="19" t="s">
        <v>44</v>
      </c>
      <c r="L7460" s="19" t="s">
        <v>45</v>
      </c>
      <c r="M7460" s="15" t="s">
        <v>2271</v>
      </c>
      <c r="N7460" s="15" t="s">
        <v>36</v>
      </c>
      <c r="O7460" s="15" t="s">
        <v>105</v>
      </c>
      <c r="P7460" s="20" t="s">
        <v>718</v>
      </c>
      <c r="Q7460" s="15" t="s">
        <v>79</v>
      </c>
      <c r="R7460" s="4"/>
      <c r="S7460" s="4"/>
    </row>
    <row r="7461" spans="1:19" ht="21" customHeight="1" x14ac:dyDescent="0.25">
      <c r="A7461" s="14">
        <f>DATE(2012,12,31)-1299</f>
        <v>39975</v>
      </c>
      <c r="B7461" s="15" t="s">
        <v>728</v>
      </c>
      <c r="C7461" s="15" t="s">
        <v>43</v>
      </c>
      <c r="D7461" s="16">
        <v>14</v>
      </c>
      <c r="E7461" s="17">
        <v>481.4</v>
      </c>
      <c r="F7461" s="16">
        <v>0.04</v>
      </c>
      <c r="G7461" s="15" t="s">
        <v>32</v>
      </c>
      <c r="H7461" s="18">
        <v>150.72</v>
      </c>
      <c r="I7461" s="19">
        <v>35.44</v>
      </c>
      <c r="J7461" s="19">
        <v>5.09</v>
      </c>
      <c r="K7461" s="19" t="s">
        <v>44</v>
      </c>
      <c r="L7461" s="19" t="s">
        <v>89</v>
      </c>
      <c r="M7461" s="15" t="s">
        <v>2337</v>
      </c>
      <c r="N7461" s="15" t="s">
        <v>36</v>
      </c>
      <c r="O7461" s="15" t="s">
        <v>117</v>
      </c>
      <c r="P7461" s="20" t="s">
        <v>684</v>
      </c>
      <c r="Q7461" s="15" t="s">
        <v>83</v>
      </c>
      <c r="R7461" s="4"/>
      <c r="S7461" s="4"/>
    </row>
    <row r="7462" spans="1:19" ht="21" customHeight="1" x14ac:dyDescent="0.25">
      <c r="A7462" s="14">
        <f>DATE(2012,12,31)-1299</f>
        <v>39975</v>
      </c>
      <c r="B7462" s="15" t="s">
        <v>1395</v>
      </c>
      <c r="C7462" s="15" t="s">
        <v>43</v>
      </c>
      <c r="D7462" s="16">
        <v>24</v>
      </c>
      <c r="E7462" s="17">
        <v>93.85</v>
      </c>
      <c r="F7462" s="16">
        <v>0.08</v>
      </c>
      <c r="G7462" s="15" t="s">
        <v>32</v>
      </c>
      <c r="H7462" s="18">
        <v>19.420000000000002</v>
      </c>
      <c r="I7462" s="19">
        <v>3.98</v>
      </c>
      <c r="J7462" s="19">
        <v>0.7</v>
      </c>
      <c r="K7462" s="19" t="s">
        <v>44</v>
      </c>
      <c r="L7462" s="19" t="s">
        <v>89</v>
      </c>
      <c r="M7462" s="15" t="s">
        <v>2337</v>
      </c>
      <c r="N7462" s="15" t="s">
        <v>36</v>
      </c>
      <c r="O7462" s="15" t="s">
        <v>77</v>
      </c>
      <c r="P7462" s="20" t="s">
        <v>415</v>
      </c>
      <c r="Q7462" s="15" t="s">
        <v>79</v>
      </c>
      <c r="R7462" s="4"/>
      <c r="S7462" s="4"/>
    </row>
    <row r="7463" spans="1:19" ht="21" customHeight="1" x14ac:dyDescent="0.25">
      <c r="A7463" s="14">
        <f>DATE(2012,12,31)-1299</f>
        <v>39975</v>
      </c>
      <c r="B7463" s="15" t="s">
        <v>2235</v>
      </c>
      <c r="C7463" s="15" t="s">
        <v>43</v>
      </c>
      <c r="D7463" s="16">
        <v>47</v>
      </c>
      <c r="E7463" s="17">
        <v>85.87</v>
      </c>
      <c r="F7463" s="16">
        <v>0.01</v>
      </c>
      <c r="G7463" s="15" t="s">
        <v>32</v>
      </c>
      <c r="H7463" s="18">
        <v>3.13</v>
      </c>
      <c r="I7463" s="19">
        <v>1.76</v>
      </c>
      <c r="J7463" s="19">
        <v>0.7</v>
      </c>
      <c r="K7463" s="19" t="s">
        <v>44</v>
      </c>
      <c r="L7463" s="19" t="s">
        <v>89</v>
      </c>
      <c r="M7463" s="15" t="s">
        <v>2337</v>
      </c>
      <c r="N7463" s="15" t="s">
        <v>36</v>
      </c>
      <c r="O7463" s="15" t="s">
        <v>77</v>
      </c>
      <c r="P7463" s="20" t="s">
        <v>1141</v>
      </c>
      <c r="Q7463" s="15" t="s">
        <v>79</v>
      </c>
      <c r="R7463" s="4"/>
      <c r="S7463" s="4"/>
    </row>
    <row r="7464" spans="1:19" ht="21" customHeight="1" x14ac:dyDescent="0.25">
      <c r="A7464" s="14">
        <f>DATE(2012,12,31)-1299</f>
        <v>39975</v>
      </c>
      <c r="B7464" s="15" t="s">
        <v>459</v>
      </c>
      <c r="C7464" s="15" t="s">
        <v>43</v>
      </c>
      <c r="D7464" s="16">
        <v>42</v>
      </c>
      <c r="E7464" s="17">
        <v>8127.32</v>
      </c>
      <c r="F7464" s="16">
        <v>0.01</v>
      </c>
      <c r="G7464" s="15" t="s">
        <v>101</v>
      </c>
      <c r="H7464" s="18">
        <v>1141.07</v>
      </c>
      <c r="I7464" s="19">
        <v>193.17</v>
      </c>
      <c r="J7464" s="19">
        <v>19.989999999999998</v>
      </c>
      <c r="K7464" s="19" t="s">
        <v>44</v>
      </c>
      <c r="L7464" s="19" t="s">
        <v>120</v>
      </c>
      <c r="M7464" s="15" t="s">
        <v>2262</v>
      </c>
      <c r="N7464" s="15" t="s">
        <v>36</v>
      </c>
      <c r="O7464" s="15" t="s">
        <v>37</v>
      </c>
      <c r="P7464" s="20" t="s">
        <v>452</v>
      </c>
      <c r="Q7464" s="15" t="s">
        <v>83</v>
      </c>
      <c r="R7464" s="4"/>
      <c r="S7464" s="4"/>
    </row>
    <row r="7465" spans="1:19" ht="21" customHeight="1" x14ac:dyDescent="0.25">
      <c r="A7465" s="14">
        <f>DATE(2012,12,31)-240</f>
        <v>41034</v>
      </c>
      <c r="B7465" s="15" t="s">
        <v>696</v>
      </c>
      <c r="C7465" s="15" t="s">
        <v>51</v>
      </c>
      <c r="D7465" s="16">
        <v>32</v>
      </c>
      <c r="E7465" s="17">
        <v>3114.05</v>
      </c>
      <c r="F7465" s="16">
        <v>0.01</v>
      </c>
      <c r="G7465" s="15" t="s">
        <v>58</v>
      </c>
      <c r="H7465" s="18">
        <v>-1207.18</v>
      </c>
      <c r="I7465" s="19">
        <v>95.95</v>
      </c>
      <c r="J7465" s="19">
        <v>74.349999999999994</v>
      </c>
      <c r="K7465" s="19" t="s">
        <v>44</v>
      </c>
      <c r="L7465" s="19" t="s">
        <v>89</v>
      </c>
      <c r="M7465" s="15" t="s">
        <v>2337</v>
      </c>
      <c r="N7465" s="15" t="s">
        <v>54</v>
      </c>
      <c r="O7465" s="15" t="s">
        <v>252</v>
      </c>
      <c r="P7465" s="20" t="s">
        <v>1466</v>
      </c>
      <c r="Q7465" s="15" t="s">
        <v>181</v>
      </c>
      <c r="R7465" s="4"/>
      <c r="S7465" s="4"/>
    </row>
    <row r="7466" spans="1:19" ht="21" customHeight="1" x14ac:dyDescent="0.25">
      <c r="A7466" s="14">
        <f>DATE(2012,12,31)-240</f>
        <v>41034</v>
      </c>
      <c r="B7466" s="15" t="s">
        <v>2194</v>
      </c>
      <c r="C7466" s="15" t="s">
        <v>51</v>
      </c>
      <c r="D7466" s="16">
        <v>27</v>
      </c>
      <c r="E7466" s="17">
        <v>8161.93</v>
      </c>
      <c r="F7466" s="16">
        <v>0.06</v>
      </c>
      <c r="G7466" s="15" t="s">
        <v>58</v>
      </c>
      <c r="H7466" s="18">
        <v>1261.44</v>
      </c>
      <c r="I7466" s="19">
        <v>300.98</v>
      </c>
      <c r="J7466" s="19">
        <v>64.73</v>
      </c>
      <c r="K7466" s="19" t="s">
        <v>124</v>
      </c>
      <c r="L7466" s="19" t="s">
        <v>160</v>
      </c>
      <c r="M7466" s="15" t="s">
        <v>2281</v>
      </c>
      <c r="N7466" s="15" t="s">
        <v>54</v>
      </c>
      <c r="O7466" s="15" t="s">
        <v>252</v>
      </c>
      <c r="P7466" s="20" t="s">
        <v>1981</v>
      </c>
      <c r="Q7466" s="15" t="s">
        <v>181</v>
      </c>
      <c r="R7466" s="4"/>
      <c r="S7466" s="4"/>
    </row>
    <row r="7467" spans="1:19" ht="21" customHeight="1" x14ac:dyDescent="0.25">
      <c r="A7467" s="14">
        <f>DATE(2012,12,31)-240</f>
        <v>41034</v>
      </c>
      <c r="B7467" s="15" t="s">
        <v>2229</v>
      </c>
      <c r="C7467" s="15" t="s">
        <v>51</v>
      </c>
      <c r="D7467" s="16">
        <v>36</v>
      </c>
      <c r="E7467" s="17">
        <v>1314.65</v>
      </c>
      <c r="F7467" s="16">
        <v>0.06</v>
      </c>
      <c r="G7467" s="15" t="s">
        <v>32</v>
      </c>
      <c r="H7467" s="18">
        <v>536.87</v>
      </c>
      <c r="I7467" s="19">
        <v>37.94</v>
      </c>
      <c r="J7467" s="19">
        <v>5.08</v>
      </c>
      <c r="K7467" s="19" t="s">
        <v>33</v>
      </c>
      <c r="L7467" s="19" t="s">
        <v>93</v>
      </c>
      <c r="M7467" s="15" t="s">
        <v>94</v>
      </c>
      <c r="N7467" s="15" t="s">
        <v>36</v>
      </c>
      <c r="O7467" s="15" t="s">
        <v>117</v>
      </c>
      <c r="P7467" s="20" t="s">
        <v>945</v>
      </c>
      <c r="Q7467" s="15" t="s">
        <v>79</v>
      </c>
      <c r="R7467" s="4"/>
      <c r="S7467" s="4"/>
    </row>
    <row r="7468" spans="1:19" ht="21" customHeight="1" x14ac:dyDescent="0.25">
      <c r="A7468" s="14">
        <f>DATE(2012,12,31)-240</f>
        <v>41034</v>
      </c>
      <c r="B7468" s="15" t="s">
        <v>342</v>
      </c>
      <c r="C7468" s="15" t="s">
        <v>51</v>
      </c>
      <c r="D7468" s="16">
        <v>28</v>
      </c>
      <c r="E7468" s="17">
        <v>4479.16</v>
      </c>
      <c r="F7468" s="16">
        <v>7.0000000000000007E-2</v>
      </c>
      <c r="G7468" s="15" t="s">
        <v>32</v>
      </c>
      <c r="H7468" s="18">
        <v>610.9</v>
      </c>
      <c r="I7468" s="19">
        <v>161.55000000000001</v>
      </c>
      <c r="J7468" s="19">
        <v>19.989999999999998</v>
      </c>
      <c r="K7468" s="19" t="s">
        <v>33</v>
      </c>
      <c r="L7468" s="19" t="s">
        <v>128</v>
      </c>
      <c r="M7468" s="15" t="s">
        <v>129</v>
      </c>
      <c r="N7468" s="15" t="s">
        <v>36</v>
      </c>
      <c r="O7468" s="15" t="s">
        <v>37</v>
      </c>
      <c r="P7468" s="20" t="s">
        <v>177</v>
      </c>
      <c r="Q7468" s="15" t="s">
        <v>83</v>
      </c>
      <c r="R7468" s="4"/>
      <c r="S7468" s="4"/>
    </row>
    <row r="7469" spans="1:19" ht="21" customHeight="1" x14ac:dyDescent="0.25">
      <c r="A7469" s="14">
        <f>DATE(2012,12,31)-1147</f>
        <v>40127</v>
      </c>
      <c r="B7469" s="15" t="s">
        <v>342</v>
      </c>
      <c r="C7469" s="15" t="s">
        <v>51</v>
      </c>
      <c r="D7469" s="16">
        <v>13</v>
      </c>
      <c r="E7469" s="17">
        <v>1072.22</v>
      </c>
      <c r="F7469" s="16">
        <v>0.03</v>
      </c>
      <c r="G7469" s="15" t="s">
        <v>32</v>
      </c>
      <c r="H7469" s="18">
        <v>149.63999999999999</v>
      </c>
      <c r="I7469" s="19">
        <v>80.98</v>
      </c>
      <c r="J7469" s="19">
        <v>7.18</v>
      </c>
      <c r="K7469" s="19" t="s">
        <v>33</v>
      </c>
      <c r="L7469" s="19" t="s">
        <v>93</v>
      </c>
      <c r="M7469" s="15" t="s">
        <v>94</v>
      </c>
      <c r="N7469" s="15" t="s">
        <v>64</v>
      </c>
      <c r="O7469" s="15" t="s">
        <v>72</v>
      </c>
      <c r="P7469" s="20" t="s">
        <v>1836</v>
      </c>
      <c r="Q7469" s="15" t="s">
        <v>83</v>
      </c>
      <c r="R7469" s="4"/>
      <c r="S7469" s="4"/>
    </row>
    <row r="7470" spans="1:19" ht="21" customHeight="1" x14ac:dyDescent="0.25">
      <c r="A7470" s="14">
        <f>DATE(2012,12,31)-1147</f>
        <v>40127</v>
      </c>
      <c r="B7470" s="15" t="s">
        <v>219</v>
      </c>
      <c r="C7470" s="15" t="s">
        <v>51</v>
      </c>
      <c r="D7470" s="16">
        <v>25</v>
      </c>
      <c r="E7470" s="17">
        <v>342.85</v>
      </c>
      <c r="F7470" s="16">
        <v>0.06</v>
      </c>
      <c r="G7470" s="15" t="s">
        <v>32</v>
      </c>
      <c r="H7470" s="18">
        <v>-32.416199999999996</v>
      </c>
      <c r="I7470" s="19">
        <v>13.99</v>
      </c>
      <c r="J7470" s="19">
        <v>7.51</v>
      </c>
      <c r="K7470" s="19" t="s">
        <v>97</v>
      </c>
      <c r="L7470" s="19" t="s">
        <v>98</v>
      </c>
      <c r="M7470" s="15" t="s">
        <v>2328</v>
      </c>
      <c r="N7470" s="15" t="s">
        <v>64</v>
      </c>
      <c r="O7470" s="15" t="s">
        <v>122</v>
      </c>
      <c r="P7470" s="20" t="s">
        <v>1922</v>
      </c>
      <c r="Q7470" s="15" t="s">
        <v>57</v>
      </c>
      <c r="R7470" s="4"/>
      <c r="S7470" s="4"/>
    </row>
    <row r="7471" spans="1:19" ht="21" customHeight="1" x14ac:dyDescent="0.25">
      <c r="A7471" s="14">
        <f>DATE(2012,12,31)-1147</f>
        <v>40127</v>
      </c>
      <c r="B7471" s="15" t="s">
        <v>219</v>
      </c>
      <c r="C7471" s="15" t="s">
        <v>51</v>
      </c>
      <c r="D7471" s="16">
        <v>4</v>
      </c>
      <c r="E7471" s="17">
        <v>62.48</v>
      </c>
      <c r="F7471" s="16">
        <v>0.06</v>
      </c>
      <c r="G7471" s="15" t="s">
        <v>32</v>
      </c>
      <c r="H7471" s="18">
        <v>1.06</v>
      </c>
      <c r="I7471" s="19">
        <v>15.04</v>
      </c>
      <c r="J7471" s="19">
        <v>1.97</v>
      </c>
      <c r="K7471" s="19" t="s">
        <v>97</v>
      </c>
      <c r="L7471" s="19" t="s">
        <v>132</v>
      </c>
      <c r="M7471" s="15" t="s">
        <v>2294</v>
      </c>
      <c r="N7471" s="15" t="s">
        <v>36</v>
      </c>
      <c r="O7471" s="15" t="s">
        <v>117</v>
      </c>
      <c r="P7471" s="20" t="s">
        <v>910</v>
      </c>
      <c r="Q7471" s="15" t="s">
        <v>79</v>
      </c>
      <c r="R7471" s="4"/>
      <c r="S7471" s="4"/>
    </row>
    <row r="7472" spans="1:19" ht="21" customHeight="1" x14ac:dyDescent="0.25">
      <c r="A7472" s="14">
        <f>DATE(2012,12,31)-1410</f>
        <v>39864</v>
      </c>
      <c r="B7472" s="15" t="s">
        <v>580</v>
      </c>
      <c r="C7472" s="15" t="s">
        <v>85</v>
      </c>
      <c r="D7472" s="16">
        <v>41</v>
      </c>
      <c r="E7472" s="17">
        <v>241.1</v>
      </c>
      <c r="F7472" s="16">
        <v>7.0000000000000007E-2</v>
      </c>
      <c r="G7472" s="15" t="s">
        <v>32</v>
      </c>
      <c r="H7472" s="18">
        <v>-243.23649999999998</v>
      </c>
      <c r="I7472" s="19">
        <v>5.81</v>
      </c>
      <c r="J7472" s="19">
        <v>8.49</v>
      </c>
      <c r="K7472" s="19" t="s">
        <v>124</v>
      </c>
      <c r="L7472" s="19" t="s">
        <v>493</v>
      </c>
      <c r="M7472" s="15" t="s">
        <v>2350</v>
      </c>
      <c r="N7472" s="15" t="s">
        <v>36</v>
      </c>
      <c r="O7472" s="15" t="s">
        <v>170</v>
      </c>
      <c r="P7472" s="20" t="s">
        <v>2354</v>
      </c>
      <c r="Q7472" s="15" t="s">
        <v>83</v>
      </c>
      <c r="R7472" s="4"/>
      <c r="S7472" s="4"/>
    </row>
    <row r="7473" spans="1:19" ht="21" customHeight="1" x14ac:dyDescent="0.25">
      <c r="A7473" s="14">
        <f>DATE(2012,12,31)-1410</f>
        <v>39864</v>
      </c>
      <c r="B7473" s="15" t="s">
        <v>552</v>
      </c>
      <c r="C7473" s="15" t="s">
        <v>85</v>
      </c>
      <c r="D7473" s="16">
        <v>49</v>
      </c>
      <c r="E7473" s="17">
        <v>491.93</v>
      </c>
      <c r="F7473" s="16">
        <v>0.04</v>
      </c>
      <c r="G7473" s="15" t="s">
        <v>32</v>
      </c>
      <c r="H7473" s="18">
        <v>-53.62</v>
      </c>
      <c r="I7473" s="19">
        <v>9.65</v>
      </c>
      <c r="J7473" s="19">
        <v>6.22</v>
      </c>
      <c r="K7473" s="19" t="s">
        <v>124</v>
      </c>
      <c r="L7473" s="19" t="s">
        <v>493</v>
      </c>
      <c r="M7473" s="15" t="s">
        <v>2350</v>
      </c>
      <c r="N7473" s="15" t="s">
        <v>54</v>
      </c>
      <c r="O7473" s="15" t="s">
        <v>55</v>
      </c>
      <c r="P7473" s="20" t="s">
        <v>666</v>
      </c>
      <c r="Q7473" s="15" t="s">
        <v>83</v>
      </c>
      <c r="R7473" s="4"/>
      <c r="S7473" s="4"/>
    </row>
    <row r="7474" spans="1:19" ht="21" customHeight="1" x14ac:dyDescent="0.25">
      <c r="A7474" s="14">
        <f>DATE(2012,12,31)-62</f>
        <v>41212</v>
      </c>
      <c r="B7474" s="15" t="s">
        <v>1514</v>
      </c>
      <c r="C7474" s="15" t="s">
        <v>51</v>
      </c>
      <c r="D7474" s="16">
        <v>35</v>
      </c>
      <c r="E7474" s="17">
        <v>738.69</v>
      </c>
      <c r="F7474" s="16">
        <v>0.1</v>
      </c>
      <c r="G7474" s="15" t="s">
        <v>32</v>
      </c>
      <c r="H7474" s="18">
        <v>109.16</v>
      </c>
      <c r="I7474" s="19">
        <v>22.98</v>
      </c>
      <c r="J7474" s="19">
        <v>7.58</v>
      </c>
      <c r="K7474" s="19" t="s">
        <v>44</v>
      </c>
      <c r="L7474" s="19" t="s">
        <v>120</v>
      </c>
      <c r="M7474" s="15" t="s">
        <v>2262</v>
      </c>
      <c r="N7474" s="15" t="s">
        <v>54</v>
      </c>
      <c r="O7474" s="15" t="s">
        <v>55</v>
      </c>
      <c r="P7474" s="20" t="s">
        <v>503</v>
      </c>
      <c r="Q7474" s="15" t="s">
        <v>83</v>
      </c>
      <c r="R7474" s="4"/>
      <c r="S7474" s="4"/>
    </row>
    <row r="7475" spans="1:19" ht="21" customHeight="1" x14ac:dyDescent="0.25">
      <c r="A7475" s="14">
        <f>DATE(2012,12,31)-62</f>
        <v>41212</v>
      </c>
      <c r="B7475" s="15" t="s">
        <v>429</v>
      </c>
      <c r="C7475" s="15" t="s">
        <v>51</v>
      </c>
      <c r="D7475" s="16">
        <v>5</v>
      </c>
      <c r="E7475" s="17">
        <v>1015.4</v>
      </c>
      <c r="F7475" s="16">
        <v>0</v>
      </c>
      <c r="G7475" s="15" t="s">
        <v>58</v>
      </c>
      <c r="H7475" s="18">
        <v>-234.59400000000002</v>
      </c>
      <c r="I7475" s="19">
        <v>179.29</v>
      </c>
      <c r="J7475" s="19">
        <v>56.2</v>
      </c>
      <c r="K7475" s="19" t="s">
        <v>44</v>
      </c>
      <c r="L7475" s="19" t="s">
        <v>52</v>
      </c>
      <c r="M7475" s="15" t="s">
        <v>2351</v>
      </c>
      <c r="N7475" s="15" t="s">
        <v>54</v>
      </c>
      <c r="O7475" s="15" t="s">
        <v>61</v>
      </c>
      <c r="P7475" s="20" t="s">
        <v>973</v>
      </c>
      <c r="Q7475" s="15" t="s">
        <v>63</v>
      </c>
      <c r="R7475" s="4"/>
      <c r="S7475" s="4"/>
    </row>
    <row r="7476" spans="1:19" ht="21" customHeight="1" x14ac:dyDescent="0.25">
      <c r="A7476" s="14">
        <f>DATE(2012,12,31)-917</f>
        <v>40357</v>
      </c>
      <c r="B7476" s="15" t="s">
        <v>429</v>
      </c>
      <c r="C7476" s="15" t="s">
        <v>85</v>
      </c>
      <c r="D7476" s="16">
        <v>34</v>
      </c>
      <c r="E7476" s="17">
        <v>4281.13</v>
      </c>
      <c r="F7476" s="16">
        <v>0.05</v>
      </c>
      <c r="G7476" s="15" t="s">
        <v>58</v>
      </c>
      <c r="H7476" s="18">
        <v>-1446.08</v>
      </c>
      <c r="I7476" s="19">
        <v>122.99</v>
      </c>
      <c r="J7476" s="19">
        <v>70.2</v>
      </c>
      <c r="K7476" s="19" t="s">
        <v>44</v>
      </c>
      <c r="L7476" s="19" t="s">
        <v>52</v>
      </c>
      <c r="M7476" s="15" t="s">
        <v>2351</v>
      </c>
      <c r="N7476" s="15" t="s">
        <v>54</v>
      </c>
      <c r="O7476" s="15" t="s">
        <v>252</v>
      </c>
      <c r="P7476" s="20" t="s">
        <v>1238</v>
      </c>
      <c r="Q7476" s="15" t="s">
        <v>181</v>
      </c>
      <c r="R7476" s="4"/>
      <c r="S7476" s="4"/>
    </row>
    <row r="7477" spans="1:19" ht="21" customHeight="1" x14ac:dyDescent="0.25">
      <c r="A7477" s="14">
        <f>DATE(2012,12,31)-291</f>
        <v>40983</v>
      </c>
      <c r="B7477" s="15" t="s">
        <v>429</v>
      </c>
      <c r="C7477" s="15" t="s">
        <v>43</v>
      </c>
      <c r="D7477" s="16">
        <v>21</v>
      </c>
      <c r="E7477" s="17">
        <v>238.06</v>
      </c>
      <c r="F7477" s="16">
        <v>0.05</v>
      </c>
      <c r="G7477" s="15" t="s">
        <v>32</v>
      </c>
      <c r="H7477" s="18">
        <v>56.4315</v>
      </c>
      <c r="I7477" s="19">
        <v>10.91</v>
      </c>
      <c r="J7477" s="19">
        <v>2.99</v>
      </c>
      <c r="K7477" s="19" t="s">
        <v>44</v>
      </c>
      <c r="L7477" s="19" t="s">
        <v>52</v>
      </c>
      <c r="M7477" s="15" t="s">
        <v>2351</v>
      </c>
      <c r="N7477" s="15" t="s">
        <v>36</v>
      </c>
      <c r="O7477" s="15" t="s">
        <v>170</v>
      </c>
      <c r="P7477" s="20" t="s">
        <v>1377</v>
      </c>
      <c r="Q7477" s="15" t="s">
        <v>83</v>
      </c>
      <c r="R7477" s="4"/>
      <c r="S7477" s="4"/>
    </row>
    <row r="7478" spans="1:19" ht="21" customHeight="1" x14ac:dyDescent="0.25">
      <c r="A7478" s="14">
        <f>DATE(2012,12,31)-969</f>
        <v>40305</v>
      </c>
      <c r="B7478" s="15" t="s">
        <v>1778</v>
      </c>
      <c r="C7478" s="15" t="s">
        <v>85</v>
      </c>
      <c r="D7478" s="16">
        <v>17</v>
      </c>
      <c r="E7478" s="17">
        <v>184.09</v>
      </c>
      <c r="F7478" s="16">
        <v>7.0000000000000007E-2</v>
      </c>
      <c r="G7478" s="15" t="s">
        <v>32</v>
      </c>
      <c r="H7478" s="18">
        <v>4.79</v>
      </c>
      <c r="I7478" s="19">
        <v>11.09</v>
      </c>
      <c r="J7478" s="19">
        <v>5.25</v>
      </c>
      <c r="K7478" s="19" t="s">
        <v>33</v>
      </c>
      <c r="L7478" s="19" t="s">
        <v>145</v>
      </c>
      <c r="M7478" s="15" t="s">
        <v>2347</v>
      </c>
      <c r="N7478" s="15" t="s">
        <v>36</v>
      </c>
      <c r="O7478" s="15" t="s">
        <v>189</v>
      </c>
      <c r="P7478" s="20" t="s">
        <v>1051</v>
      </c>
      <c r="Q7478" s="15" t="s">
        <v>83</v>
      </c>
      <c r="R7478" s="4"/>
      <c r="S7478" s="4"/>
    </row>
    <row r="7479" spans="1:19" ht="21" customHeight="1" x14ac:dyDescent="0.25">
      <c r="A7479" s="14">
        <f>DATE(2012,12,31)-1387</f>
        <v>39887</v>
      </c>
      <c r="B7479" s="15" t="s">
        <v>2188</v>
      </c>
      <c r="C7479" s="15" t="s">
        <v>43</v>
      </c>
      <c r="D7479" s="16">
        <v>6</v>
      </c>
      <c r="E7479" s="17">
        <v>93.73</v>
      </c>
      <c r="F7479" s="16">
        <v>0.03</v>
      </c>
      <c r="G7479" s="15" t="s">
        <v>32</v>
      </c>
      <c r="H7479" s="18">
        <v>51.14</v>
      </c>
      <c r="I7479" s="19">
        <v>14.2</v>
      </c>
      <c r="J7479" s="19">
        <v>5.3</v>
      </c>
      <c r="K7479" s="19" t="s">
        <v>44</v>
      </c>
      <c r="L7479" s="19" t="s">
        <v>120</v>
      </c>
      <c r="M7479" s="15" t="s">
        <v>2262</v>
      </c>
      <c r="N7479" s="15" t="s">
        <v>54</v>
      </c>
      <c r="O7479" s="15" t="s">
        <v>55</v>
      </c>
      <c r="P7479" s="20" t="s">
        <v>1424</v>
      </c>
      <c r="Q7479" s="15" t="s">
        <v>79</v>
      </c>
      <c r="R7479" s="4"/>
      <c r="S7479" s="4"/>
    </row>
    <row r="7480" spans="1:19" ht="21" customHeight="1" x14ac:dyDescent="0.25">
      <c r="A7480" s="14">
        <f>DATE(2012,12,31)-266</f>
        <v>41008</v>
      </c>
      <c r="B7480" s="15" t="s">
        <v>2188</v>
      </c>
      <c r="C7480" s="15" t="s">
        <v>85</v>
      </c>
      <c r="D7480" s="16">
        <v>8</v>
      </c>
      <c r="E7480" s="17">
        <v>669.69</v>
      </c>
      <c r="F7480" s="16">
        <v>0.03</v>
      </c>
      <c r="G7480" s="15" t="s">
        <v>32</v>
      </c>
      <c r="H7480" s="18">
        <v>-297.02</v>
      </c>
      <c r="I7480" s="19">
        <v>80.98</v>
      </c>
      <c r="J7480" s="19">
        <v>35</v>
      </c>
      <c r="K7480" s="19" t="s">
        <v>33</v>
      </c>
      <c r="L7480" s="19" t="s">
        <v>93</v>
      </c>
      <c r="M7480" s="15" t="s">
        <v>94</v>
      </c>
      <c r="N7480" s="15" t="s">
        <v>36</v>
      </c>
      <c r="O7480" s="15" t="s">
        <v>37</v>
      </c>
      <c r="P7480" s="20" t="s">
        <v>1015</v>
      </c>
      <c r="Q7480" s="15" t="s">
        <v>39</v>
      </c>
      <c r="R7480" s="4"/>
      <c r="S7480" s="4"/>
    </row>
    <row r="7481" spans="1:19" ht="21" customHeight="1" x14ac:dyDescent="0.25">
      <c r="A7481" s="14">
        <f>DATE(2012,12,31)-174</f>
        <v>41100</v>
      </c>
      <c r="B7481" s="15" t="s">
        <v>1396</v>
      </c>
      <c r="C7481" s="15" t="s">
        <v>85</v>
      </c>
      <c r="D7481" s="16">
        <v>8</v>
      </c>
      <c r="E7481" s="17">
        <v>55.59</v>
      </c>
      <c r="F7481" s="16">
        <v>0.03</v>
      </c>
      <c r="G7481" s="15" t="s">
        <v>101</v>
      </c>
      <c r="H7481" s="18">
        <v>-17.951499999999999</v>
      </c>
      <c r="I7481" s="19">
        <v>5.18</v>
      </c>
      <c r="J7481" s="19">
        <v>5.74</v>
      </c>
      <c r="K7481" s="19" t="s">
        <v>124</v>
      </c>
      <c r="L7481" s="19" t="s">
        <v>160</v>
      </c>
      <c r="M7481" s="15" t="s">
        <v>2281</v>
      </c>
      <c r="N7481" s="15" t="s">
        <v>36</v>
      </c>
      <c r="O7481" s="15" t="s">
        <v>170</v>
      </c>
      <c r="P7481" s="20" t="s">
        <v>638</v>
      </c>
      <c r="Q7481" s="15" t="s">
        <v>83</v>
      </c>
      <c r="R7481" s="4"/>
      <c r="S7481" s="4"/>
    </row>
    <row r="7482" spans="1:19" ht="21" customHeight="1" x14ac:dyDescent="0.25">
      <c r="A7482" s="14">
        <f>DATE(2012,12,31)-881</f>
        <v>40393</v>
      </c>
      <c r="B7482" s="15" t="s">
        <v>663</v>
      </c>
      <c r="C7482" s="15" t="s">
        <v>85</v>
      </c>
      <c r="D7482" s="16">
        <v>19</v>
      </c>
      <c r="E7482" s="17">
        <v>506.49</v>
      </c>
      <c r="F7482" s="16">
        <v>0.06</v>
      </c>
      <c r="G7482" s="15" t="s">
        <v>32</v>
      </c>
      <c r="H7482" s="18">
        <v>105.69</v>
      </c>
      <c r="I7482" s="19">
        <v>25.98</v>
      </c>
      <c r="J7482" s="19">
        <v>5.37</v>
      </c>
      <c r="K7482" s="19" t="s">
        <v>124</v>
      </c>
      <c r="L7482" s="19" t="s">
        <v>319</v>
      </c>
      <c r="M7482" s="15" t="s">
        <v>2343</v>
      </c>
      <c r="N7482" s="15" t="s">
        <v>36</v>
      </c>
      <c r="O7482" s="15" t="s">
        <v>176</v>
      </c>
      <c r="P7482" s="20" t="s">
        <v>1322</v>
      </c>
      <c r="Q7482" s="15" t="s">
        <v>57</v>
      </c>
      <c r="R7482" s="4"/>
      <c r="S7482" s="4"/>
    </row>
    <row r="7483" spans="1:19" ht="21" customHeight="1" x14ac:dyDescent="0.25">
      <c r="A7483" s="14">
        <f>DATE(2012,12,31)-881</f>
        <v>40393</v>
      </c>
      <c r="B7483" s="15" t="s">
        <v>1250</v>
      </c>
      <c r="C7483" s="15" t="s">
        <v>85</v>
      </c>
      <c r="D7483" s="16">
        <v>48</v>
      </c>
      <c r="E7483" s="17">
        <v>8367.68</v>
      </c>
      <c r="F7483" s="16">
        <v>0.06</v>
      </c>
      <c r="G7483" s="15" t="s">
        <v>58</v>
      </c>
      <c r="H7483" s="18">
        <v>886.35</v>
      </c>
      <c r="I7483" s="19">
        <v>170.98</v>
      </c>
      <c r="J7483" s="19">
        <v>35.89</v>
      </c>
      <c r="K7483" s="19" t="s">
        <v>44</v>
      </c>
      <c r="L7483" s="19" t="s">
        <v>52</v>
      </c>
      <c r="M7483" s="15" t="s">
        <v>2351</v>
      </c>
      <c r="N7483" s="15" t="s">
        <v>54</v>
      </c>
      <c r="O7483" s="15" t="s">
        <v>134</v>
      </c>
      <c r="P7483" s="20" t="s">
        <v>1229</v>
      </c>
      <c r="Q7483" s="15" t="s">
        <v>63</v>
      </c>
      <c r="R7483" s="4"/>
      <c r="S7483" s="4"/>
    </row>
    <row r="7484" spans="1:19" ht="21" customHeight="1" x14ac:dyDescent="0.25">
      <c r="A7484" s="14">
        <f>DATE(2012,12,31)-881</f>
        <v>40393</v>
      </c>
      <c r="B7484" s="15" t="s">
        <v>970</v>
      </c>
      <c r="C7484" s="15" t="s">
        <v>85</v>
      </c>
      <c r="D7484" s="16">
        <v>1</v>
      </c>
      <c r="E7484" s="17">
        <v>74.31</v>
      </c>
      <c r="F7484" s="16">
        <v>7.0000000000000007E-2</v>
      </c>
      <c r="G7484" s="15" t="s">
        <v>32</v>
      </c>
      <c r="H7484" s="18">
        <v>-73.099999999999994</v>
      </c>
      <c r="I7484" s="19">
        <v>41.47</v>
      </c>
      <c r="J7484" s="19">
        <v>34.200000000000003</v>
      </c>
      <c r="K7484" s="19" t="s">
        <v>33</v>
      </c>
      <c r="L7484" s="19" t="s">
        <v>145</v>
      </c>
      <c r="M7484" s="15" t="s">
        <v>2347</v>
      </c>
      <c r="N7484" s="15" t="s">
        <v>54</v>
      </c>
      <c r="O7484" s="15" t="s">
        <v>55</v>
      </c>
      <c r="P7484" s="20" t="s">
        <v>1984</v>
      </c>
      <c r="Q7484" s="15" t="s">
        <v>79</v>
      </c>
      <c r="R7484" s="4"/>
      <c r="S7484" s="4"/>
    </row>
    <row r="7485" spans="1:19" ht="21" customHeight="1" x14ac:dyDescent="0.25">
      <c r="A7485" s="14">
        <f>DATE(2012,12,31)-166</f>
        <v>41108</v>
      </c>
      <c r="B7485" s="15" t="s">
        <v>1537</v>
      </c>
      <c r="C7485" s="15" t="s">
        <v>43</v>
      </c>
      <c r="D7485" s="16">
        <v>33</v>
      </c>
      <c r="E7485" s="17">
        <v>103.92</v>
      </c>
      <c r="F7485" s="16">
        <v>0.08</v>
      </c>
      <c r="G7485" s="15" t="s">
        <v>32</v>
      </c>
      <c r="H7485" s="18">
        <v>-52.76</v>
      </c>
      <c r="I7485" s="19">
        <v>3.14</v>
      </c>
      <c r="J7485" s="19">
        <v>1.92</v>
      </c>
      <c r="K7485" s="19" t="s">
        <v>33</v>
      </c>
      <c r="L7485" s="19" t="s">
        <v>145</v>
      </c>
      <c r="M7485" s="15" t="s">
        <v>2347</v>
      </c>
      <c r="N7485" s="15" t="s">
        <v>36</v>
      </c>
      <c r="O7485" s="15" t="s">
        <v>47</v>
      </c>
      <c r="P7485" s="20" t="s">
        <v>1670</v>
      </c>
      <c r="Q7485" s="15" t="s">
        <v>79</v>
      </c>
      <c r="R7485" s="4"/>
      <c r="S7485" s="4"/>
    </row>
    <row r="7486" spans="1:19" ht="21" customHeight="1" x14ac:dyDescent="0.25">
      <c r="A7486" s="14">
        <f>DATE(2012,12,31)-655</f>
        <v>40619</v>
      </c>
      <c r="B7486" s="15" t="s">
        <v>1537</v>
      </c>
      <c r="C7486" s="15" t="s">
        <v>51</v>
      </c>
      <c r="D7486" s="16">
        <v>12</v>
      </c>
      <c r="E7486" s="17">
        <v>451.09</v>
      </c>
      <c r="F7486" s="16">
        <v>0.1</v>
      </c>
      <c r="G7486" s="15" t="s">
        <v>101</v>
      </c>
      <c r="H7486" s="18">
        <v>61.27</v>
      </c>
      <c r="I7486" s="19">
        <v>39.979999999999997</v>
      </c>
      <c r="J7486" s="19">
        <v>9.83</v>
      </c>
      <c r="K7486" s="19" t="s">
        <v>33</v>
      </c>
      <c r="L7486" s="19" t="s">
        <v>59</v>
      </c>
      <c r="M7486" s="15" t="s">
        <v>2344</v>
      </c>
      <c r="N7486" s="15" t="s">
        <v>36</v>
      </c>
      <c r="O7486" s="15" t="s">
        <v>189</v>
      </c>
      <c r="P7486" s="20" t="s">
        <v>916</v>
      </c>
      <c r="Q7486" s="15" t="s">
        <v>83</v>
      </c>
      <c r="R7486" s="4"/>
      <c r="S7486" s="4"/>
    </row>
    <row r="7487" spans="1:19" ht="21" customHeight="1" x14ac:dyDescent="0.25">
      <c r="A7487" s="14">
        <f>DATE(2012,12,31)-228</f>
        <v>41046</v>
      </c>
      <c r="B7487" s="15" t="s">
        <v>1537</v>
      </c>
      <c r="C7487" s="15" t="s">
        <v>85</v>
      </c>
      <c r="D7487" s="16">
        <v>33</v>
      </c>
      <c r="E7487" s="17">
        <v>112.36</v>
      </c>
      <c r="F7487" s="16">
        <v>0.08</v>
      </c>
      <c r="G7487" s="15" t="s">
        <v>32</v>
      </c>
      <c r="H7487" s="18">
        <v>-159.73500000000001</v>
      </c>
      <c r="I7487" s="19">
        <v>3.36</v>
      </c>
      <c r="J7487" s="19">
        <v>6.27</v>
      </c>
      <c r="K7487" s="19" t="s">
        <v>33</v>
      </c>
      <c r="L7487" s="19" t="s">
        <v>59</v>
      </c>
      <c r="M7487" s="15" t="s">
        <v>2344</v>
      </c>
      <c r="N7487" s="15" t="s">
        <v>36</v>
      </c>
      <c r="O7487" s="15" t="s">
        <v>170</v>
      </c>
      <c r="P7487" s="20" t="s">
        <v>1592</v>
      </c>
      <c r="Q7487" s="15" t="s">
        <v>83</v>
      </c>
      <c r="R7487" s="4"/>
      <c r="S7487" s="4"/>
    </row>
    <row r="7488" spans="1:19" ht="21" customHeight="1" x14ac:dyDescent="0.25">
      <c r="A7488" s="14">
        <f>DATE(2012,12,31)-228</f>
        <v>41046</v>
      </c>
      <c r="B7488" s="15" t="s">
        <v>965</v>
      </c>
      <c r="C7488" s="15" t="s">
        <v>85</v>
      </c>
      <c r="D7488" s="16">
        <v>16</v>
      </c>
      <c r="E7488" s="17">
        <v>481.04900000000004</v>
      </c>
      <c r="F7488" s="16">
        <v>0.09</v>
      </c>
      <c r="G7488" s="15" t="s">
        <v>32</v>
      </c>
      <c r="H7488" s="18">
        <v>46.512</v>
      </c>
      <c r="I7488" s="19">
        <v>35.99</v>
      </c>
      <c r="J7488" s="19">
        <v>1.1000000000000001</v>
      </c>
      <c r="K7488" s="19" t="s">
        <v>33</v>
      </c>
      <c r="L7488" s="19" t="s">
        <v>145</v>
      </c>
      <c r="M7488" s="15" t="s">
        <v>2347</v>
      </c>
      <c r="N7488" s="15" t="s">
        <v>64</v>
      </c>
      <c r="O7488" s="15" t="s">
        <v>65</v>
      </c>
      <c r="P7488" s="20" t="s">
        <v>918</v>
      </c>
      <c r="Q7488" s="15" t="s">
        <v>83</v>
      </c>
      <c r="R7488" s="4"/>
      <c r="S7488" s="4"/>
    </row>
    <row r="7489" spans="1:19" ht="21" customHeight="1" x14ac:dyDescent="0.25">
      <c r="A7489" s="14">
        <f>DATE(2012,12,31)-1006</f>
        <v>40268</v>
      </c>
      <c r="B7489" s="15" t="s">
        <v>965</v>
      </c>
      <c r="C7489" s="15" t="s">
        <v>43</v>
      </c>
      <c r="D7489" s="16">
        <v>9</v>
      </c>
      <c r="E7489" s="17">
        <v>98.24</v>
      </c>
      <c r="F7489" s="16">
        <v>0.04</v>
      </c>
      <c r="G7489" s="15" t="s">
        <v>32</v>
      </c>
      <c r="H7489" s="18">
        <v>-10.38</v>
      </c>
      <c r="I7489" s="19">
        <v>10.98</v>
      </c>
      <c r="J7489" s="19">
        <v>3.37</v>
      </c>
      <c r="K7489" s="19" t="s">
        <v>33</v>
      </c>
      <c r="L7489" s="19" t="s">
        <v>59</v>
      </c>
      <c r="M7489" s="15" t="s">
        <v>2344</v>
      </c>
      <c r="N7489" s="15" t="s">
        <v>36</v>
      </c>
      <c r="O7489" s="15" t="s">
        <v>47</v>
      </c>
      <c r="P7489" s="20" t="s">
        <v>866</v>
      </c>
      <c r="Q7489" s="15" t="s">
        <v>49</v>
      </c>
      <c r="R7489" s="4"/>
      <c r="S7489" s="4"/>
    </row>
    <row r="7490" spans="1:19" ht="21" customHeight="1" x14ac:dyDescent="0.25">
      <c r="A7490" s="14">
        <f>DATE(2012,12,31)-570</f>
        <v>40704</v>
      </c>
      <c r="B7490" s="15" t="s">
        <v>812</v>
      </c>
      <c r="C7490" s="15" t="s">
        <v>85</v>
      </c>
      <c r="D7490" s="16">
        <v>41</v>
      </c>
      <c r="E7490" s="17">
        <v>236.68</v>
      </c>
      <c r="F7490" s="16">
        <v>0.08</v>
      </c>
      <c r="G7490" s="15" t="s">
        <v>32</v>
      </c>
      <c r="H7490" s="18">
        <v>-82.788499999999999</v>
      </c>
      <c r="I7490" s="19">
        <v>5.74</v>
      </c>
      <c r="J7490" s="19">
        <v>5.01</v>
      </c>
      <c r="K7490" s="19" t="s">
        <v>33</v>
      </c>
      <c r="L7490" s="19" t="s">
        <v>145</v>
      </c>
      <c r="M7490" s="15" t="s">
        <v>2347</v>
      </c>
      <c r="N7490" s="15" t="s">
        <v>36</v>
      </c>
      <c r="O7490" s="15" t="s">
        <v>170</v>
      </c>
      <c r="P7490" s="20" t="s">
        <v>1298</v>
      </c>
      <c r="Q7490" s="15" t="s">
        <v>83</v>
      </c>
      <c r="R7490" s="4"/>
      <c r="S7490" s="4"/>
    </row>
    <row r="7491" spans="1:19" ht="21" customHeight="1" x14ac:dyDescent="0.25">
      <c r="A7491" s="14">
        <f>DATE(2012,12,31)-570</f>
        <v>40704</v>
      </c>
      <c r="B7491" s="15" t="s">
        <v>812</v>
      </c>
      <c r="C7491" s="15" t="s">
        <v>85</v>
      </c>
      <c r="D7491" s="16">
        <v>43</v>
      </c>
      <c r="E7491" s="17">
        <v>6255.81</v>
      </c>
      <c r="F7491" s="16">
        <v>0.01</v>
      </c>
      <c r="G7491" s="15" t="s">
        <v>32</v>
      </c>
      <c r="H7491" s="18">
        <v>693.26</v>
      </c>
      <c r="I7491" s="19">
        <v>140.85</v>
      </c>
      <c r="J7491" s="19">
        <v>19.989999999999998</v>
      </c>
      <c r="K7491" s="19" t="s">
        <v>33</v>
      </c>
      <c r="L7491" s="19" t="s">
        <v>34</v>
      </c>
      <c r="M7491" s="15" t="s">
        <v>2353</v>
      </c>
      <c r="N7491" s="15" t="s">
        <v>36</v>
      </c>
      <c r="O7491" s="15" t="s">
        <v>37</v>
      </c>
      <c r="P7491" s="20" t="s">
        <v>981</v>
      </c>
      <c r="Q7491" s="15" t="s">
        <v>83</v>
      </c>
      <c r="R7491" s="4"/>
      <c r="S7491" s="4"/>
    </row>
    <row r="7492" spans="1:19" ht="21" customHeight="1" x14ac:dyDescent="0.25">
      <c r="A7492" s="14">
        <f>DATE(2012,12,31)-570</f>
        <v>40704</v>
      </c>
      <c r="B7492" s="15" t="s">
        <v>812</v>
      </c>
      <c r="C7492" s="15" t="s">
        <v>85</v>
      </c>
      <c r="D7492" s="16">
        <v>39</v>
      </c>
      <c r="E7492" s="17">
        <v>616.5</v>
      </c>
      <c r="F7492" s="16">
        <v>0.02</v>
      </c>
      <c r="G7492" s="15" t="s">
        <v>32</v>
      </c>
      <c r="H7492" s="18">
        <v>25.992999999999999</v>
      </c>
      <c r="I7492" s="19">
        <v>15.01</v>
      </c>
      <c r="J7492" s="19">
        <v>8.4</v>
      </c>
      <c r="K7492" s="19" t="s">
        <v>33</v>
      </c>
      <c r="L7492" s="19" t="s">
        <v>128</v>
      </c>
      <c r="M7492" s="15" t="s">
        <v>129</v>
      </c>
      <c r="N7492" s="15" t="s">
        <v>36</v>
      </c>
      <c r="O7492" s="15" t="s">
        <v>170</v>
      </c>
      <c r="P7492" s="20" t="s">
        <v>526</v>
      </c>
      <c r="Q7492" s="15" t="s">
        <v>83</v>
      </c>
      <c r="R7492" s="4"/>
      <c r="S7492" s="4"/>
    </row>
    <row r="7493" spans="1:19" ht="21" customHeight="1" x14ac:dyDescent="0.25">
      <c r="A7493" s="14">
        <f>DATE(2012,12,31)-198</f>
        <v>41076</v>
      </c>
      <c r="B7493" s="15" t="s">
        <v>812</v>
      </c>
      <c r="C7493" s="15" t="s">
        <v>85</v>
      </c>
      <c r="D7493" s="16">
        <v>10</v>
      </c>
      <c r="E7493" s="17">
        <v>55.33</v>
      </c>
      <c r="F7493" s="16">
        <v>0</v>
      </c>
      <c r="G7493" s="15" t="s">
        <v>101</v>
      </c>
      <c r="H7493" s="18">
        <v>13.38</v>
      </c>
      <c r="I7493" s="19">
        <v>4.84</v>
      </c>
      <c r="J7493" s="19">
        <v>0.71</v>
      </c>
      <c r="K7493" s="19" t="s">
        <v>33</v>
      </c>
      <c r="L7493" s="19" t="s">
        <v>145</v>
      </c>
      <c r="M7493" s="15" t="s">
        <v>2347</v>
      </c>
      <c r="N7493" s="15" t="s">
        <v>36</v>
      </c>
      <c r="O7493" s="15" t="s">
        <v>77</v>
      </c>
      <c r="P7493" s="20" t="s">
        <v>197</v>
      </c>
      <c r="Q7493" s="15" t="s">
        <v>79</v>
      </c>
      <c r="R7493" s="4"/>
      <c r="S7493" s="4"/>
    </row>
    <row r="7494" spans="1:19" ht="21" customHeight="1" x14ac:dyDescent="0.25">
      <c r="A7494" s="14">
        <f>DATE(2012,12,31)-931</f>
        <v>40343</v>
      </c>
      <c r="B7494" s="15" t="s">
        <v>657</v>
      </c>
      <c r="C7494" s="15" t="s">
        <v>43</v>
      </c>
      <c r="D7494" s="16">
        <v>14</v>
      </c>
      <c r="E7494" s="17">
        <v>1966.26</v>
      </c>
      <c r="F7494" s="16">
        <v>0.06</v>
      </c>
      <c r="G7494" s="15" t="s">
        <v>32</v>
      </c>
      <c r="H7494" s="18">
        <v>-34.79</v>
      </c>
      <c r="I7494" s="19">
        <v>140.85</v>
      </c>
      <c r="J7494" s="19">
        <v>19.989999999999998</v>
      </c>
      <c r="K7494" s="19" t="s">
        <v>33</v>
      </c>
      <c r="L7494" s="19" t="s">
        <v>128</v>
      </c>
      <c r="M7494" s="15" t="s">
        <v>129</v>
      </c>
      <c r="N7494" s="15" t="s">
        <v>36</v>
      </c>
      <c r="O7494" s="15" t="s">
        <v>37</v>
      </c>
      <c r="P7494" s="20" t="s">
        <v>540</v>
      </c>
      <c r="Q7494" s="15" t="s">
        <v>83</v>
      </c>
      <c r="R7494" s="4"/>
      <c r="S7494" s="4"/>
    </row>
    <row r="7495" spans="1:19" ht="21" customHeight="1" x14ac:dyDescent="0.25">
      <c r="A7495" s="14">
        <f>DATE(2012,12,31)-436</f>
        <v>40838</v>
      </c>
      <c r="B7495" s="15" t="s">
        <v>657</v>
      </c>
      <c r="C7495" s="15" t="s">
        <v>51</v>
      </c>
      <c r="D7495" s="16">
        <v>27</v>
      </c>
      <c r="E7495" s="17">
        <v>1502.66</v>
      </c>
      <c r="F7495" s="16">
        <v>7.0000000000000007E-2</v>
      </c>
      <c r="G7495" s="15" t="s">
        <v>32</v>
      </c>
      <c r="H7495" s="18">
        <v>637.60199999999998</v>
      </c>
      <c r="I7495" s="19">
        <v>58.1</v>
      </c>
      <c r="J7495" s="19">
        <v>1.49</v>
      </c>
      <c r="K7495" s="19" t="s">
        <v>33</v>
      </c>
      <c r="L7495" s="19" t="s">
        <v>145</v>
      </c>
      <c r="M7495" s="15" t="s">
        <v>2347</v>
      </c>
      <c r="N7495" s="15" t="s">
        <v>36</v>
      </c>
      <c r="O7495" s="15" t="s">
        <v>170</v>
      </c>
      <c r="P7495" s="20" t="s">
        <v>1015</v>
      </c>
      <c r="Q7495" s="15" t="s">
        <v>83</v>
      </c>
      <c r="R7495" s="4"/>
      <c r="S7495" s="4"/>
    </row>
    <row r="7496" spans="1:19" ht="21" customHeight="1" x14ac:dyDescent="0.25">
      <c r="A7496" s="14">
        <f>DATE(2012,12,31)-2</f>
        <v>41272</v>
      </c>
      <c r="B7496" s="15" t="s">
        <v>657</v>
      </c>
      <c r="C7496" s="15" t="s">
        <v>51</v>
      </c>
      <c r="D7496" s="16">
        <v>40</v>
      </c>
      <c r="E7496" s="17">
        <v>181.8</v>
      </c>
      <c r="F7496" s="16">
        <v>0.05</v>
      </c>
      <c r="G7496" s="15" t="s">
        <v>32</v>
      </c>
      <c r="H7496" s="18">
        <v>-144.739</v>
      </c>
      <c r="I7496" s="19">
        <v>4.54</v>
      </c>
      <c r="J7496" s="19">
        <v>5.83</v>
      </c>
      <c r="K7496" s="19" t="s">
        <v>33</v>
      </c>
      <c r="L7496" s="19" t="s">
        <v>145</v>
      </c>
      <c r="M7496" s="15" t="s">
        <v>2347</v>
      </c>
      <c r="N7496" s="15" t="s">
        <v>36</v>
      </c>
      <c r="O7496" s="15" t="s">
        <v>170</v>
      </c>
      <c r="P7496" s="20" t="s">
        <v>902</v>
      </c>
      <c r="Q7496" s="15" t="s">
        <v>83</v>
      </c>
      <c r="R7496" s="4"/>
      <c r="S7496" s="4"/>
    </row>
    <row r="7497" spans="1:19" ht="21" customHeight="1" x14ac:dyDescent="0.25">
      <c r="A7497" s="14">
        <f>DATE(2012,12,31)-213</f>
        <v>41061</v>
      </c>
      <c r="B7497" s="15" t="s">
        <v>657</v>
      </c>
      <c r="C7497" s="15" t="s">
        <v>85</v>
      </c>
      <c r="D7497" s="16">
        <v>28</v>
      </c>
      <c r="E7497" s="17">
        <v>136.16</v>
      </c>
      <c r="F7497" s="16">
        <v>7.0000000000000007E-2</v>
      </c>
      <c r="G7497" s="15" t="s">
        <v>32</v>
      </c>
      <c r="H7497" s="18">
        <v>58.1</v>
      </c>
      <c r="I7497" s="19">
        <v>4.9800000000000004</v>
      </c>
      <c r="J7497" s="19">
        <v>0.49</v>
      </c>
      <c r="K7497" s="19" t="s">
        <v>33</v>
      </c>
      <c r="L7497" s="19" t="s">
        <v>145</v>
      </c>
      <c r="M7497" s="15" t="s">
        <v>2347</v>
      </c>
      <c r="N7497" s="15" t="s">
        <v>36</v>
      </c>
      <c r="O7497" s="15" t="s">
        <v>114</v>
      </c>
      <c r="P7497" s="20" t="s">
        <v>1794</v>
      </c>
      <c r="Q7497" s="15" t="s">
        <v>83</v>
      </c>
      <c r="R7497" s="4"/>
      <c r="S7497" s="4"/>
    </row>
    <row r="7498" spans="1:19" ht="21" customHeight="1" x14ac:dyDescent="0.25">
      <c r="A7498" s="14">
        <f>DATE(2012,12,31)-1175</f>
        <v>40099</v>
      </c>
      <c r="B7498" s="15" t="s">
        <v>1438</v>
      </c>
      <c r="C7498" s="15" t="s">
        <v>43</v>
      </c>
      <c r="D7498" s="16">
        <v>22</v>
      </c>
      <c r="E7498" s="17">
        <v>3122.55</v>
      </c>
      <c r="F7498" s="16">
        <v>7.0000000000000007E-2</v>
      </c>
      <c r="G7498" s="15" t="s">
        <v>58</v>
      </c>
      <c r="H7498" s="18">
        <v>-574.55970000000002</v>
      </c>
      <c r="I7498" s="19">
        <v>145.97999999999999</v>
      </c>
      <c r="J7498" s="19">
        <v>46.2</v>
      </c>
      <c r="K7498" s="19" t="s">
        <v>33</v>
      </c>
      <c r="L7498" s="19" t="s">
        <v>34</v>
      </c>
      <c r="M7498" s="15" t="s">
        <v>2353</v>
      </c>
      <c r="N7498" s="15" t="s">
        <v>54</v>
      </c>
      <c r="O7498" s="15" t="s">
        <v>61</v>
      </c>
      <c r="P7498" s="20" t="s">
        <v>1641</v>
      </c>
      <c r="Q7498" s="15" t="s">
        <v>63</v>
      </c>
      <c r="R7498" s="4"/>
      <c r="S7498" s="4"/>
    </row>
    <row r="7499" spans="1:19" ht="21" customHeight="1" x14ac:dyDescent="0.25">
      <c r="A7499" s="14">
        <f>DATE(2012,12,31)-493</f>
        <v>40781</v>
      </c>
      <c r="B7499" s="15" t="s">
        <v>1438</v>
      </c>
      <c r="C7499" s="15" t="s">
        <v>43</v>
      </c>
      <c r="D7499" s="16">
        <v>35</v>
      </c>
      <c r="E7499" s="17">
        <v>1131.1500000000001</v>
      </c>
      <c r="F7499" s="16">
        <v>0.03</v>
      </c>
      <c r="G7499" s="15" t="s">
        <v>32</v>
      </c>
      <c r="H7499" s="18">
        <v>433.87</v>
      </c>
      <c r="I7499" s="19">
        <v>30.98</v>
      </c>
      <c r="J7499" s="19">
        <v>5.76</v>
      </c>
      <c r="K7499" s="19" t="s">
        <v>33</v>
      </c>
      <c r="L7499" s="19" t="s">
        <v>145</v>
      </c>
      <c r="M7499" s="15" t="s">
        <v>2347</v>
      </c>
      <c r="N7499" s="15" t="s">
        <v>36</v>
      </c>
      <c r="O7499" s="15" t="s">
        <v>117</v>
      </c>
      <c r="P7499" s="20" t="s">
        <v>370</v>
      </c>
      <c r="Q7499" s="15" t="s">
        <v>83</v>
      </c>
      <c r="R7499" s="4"/>
      <c r="S7499" s="4"/>
    </row>
    <row r="7500" spans="1:19" ht="21" customHeight="1" x14ac:dyDescent="0.25">
      <c r="A7500" s="14">
        <f>DATE(2012,12,31)-336</f>
        <v>40938</v>
      </c>
      <c r="B7500" s="15" t="s">
        <v>1438</v>
      </c>
      <c r="C7500" s="15" t="s">
        <v>51</v>
      </c>
      <c r="D7500" s="16">
        <v>40</v>
      </c>
      <c r="E7500" s="17">
        <v>264.60000000000002</v>
      </c>
      <c r="F7500" s="16">
        <v>0.1</v>
      </c>
      <c r="G7500" s="15" t="s">
        <v>101</v>
      </c>
      <c r="H7500" s="18">
        <v>-93.06</v>
      </c>
      <c r="I7500" s="19">
        <v>6.48</v>
      </c>
      <c r="J7500" s="19">
        <v>6.22</v>
      </c>
      <c r="K7500" s="19" t="s">
        <v>33</v>
      </c>
      <c r="L7500" s="19" t="s">
        <v>128</v>
      </c>
      <c r="M7500" s="15" t="s">
        <v>129</v>
      </c>
      <c r="N7500" s="15" t="s">
        <v>36</v>
      </c>
      <c r="O7500" s="15" t="s">
        <v>117</v>
      </c>
      <c r="P7500" s="20" t="s">
        <v>1662</v>
      </c>
      <c r="Q7500" s="15" t="s">
        <v>83</v>
      </c>
      <c r="R7500" s="4"/>
      <c r="S7500" s="4"/>
    </row>
    <row r="7501" spans="1:19" ht="21" customHeight="1" x14ac:dyDescent="0.25">
      <c r="A7501" s="14">
        <f>DATE(2012,12,31)-336</f>
        <v>40938</v>
      </c>
      <c r="B7501" s="15" t="s">
        <v>807</v>
      </c>
      <c r="C7501" s="15" t="s">
        <v>51</v>
      </c>
      <c r="D7501" s="16">
        <v>21</v>
      </c>
      <c r="E7501" s="17">
        <v>3356.7349999999997</v>
      </c>
      <c r="F7501" s="16">
        <v>0.05</v>
      </c>
      <c r="G7501" s="15" t="s">
        <v>32</v>
      </c>
      <c r="H7501" s="18">
        <v>370.33199999999999</v>
      </c>
      <c r="I7501" s="19">
        <v>195.99</v>
      </c>
      <c r="J7501" s="19">
        <v>4.2</v>
      </c>
      <c r="K7501" s="19" t="s">
        <v>33</v>
      </c>
      <c r="L7501" s="19" t="s">
        <v>34</v>
      </c>
      <c r="M7501" s="15" t="s">
        <v>2353</v>
      </c>
      <c r="N7501" s="15" t="s">
        <v>64</v>
      </c>
      <c r="O7501" s="15" t="s">
        <v>65</v>
      </c>
      <c r="P7501" s="20" t="s">
        <v>1190</v>
      </c>
      <c r="Q7501" s="15" t="s">
        <v>83</v>
      </c>
      <c r="R7501" s="4"/>
      <c r="S7501" s="4"/>
    </row>
    <row r="7502" spans="1:19" ht="21" customHeight="1" x14ac:dyDescent="0.25">
      <c r="A7502" s="14">
        <f>DATE(2012,12,31)-1187</f>
        <v>40087</v>
      </c>
      <c r="B7502" s="15" t="s">
        <v>807</v>
      </c>
      <c r="C7502" s="15" t="s">
        <v>85</v>
      </c>
      <c r="D7502" s="16">
        <v>10</v>
      </c>
      <c r="E7502" s="17">
        <v>623.71</v>
      </c>
      <c r="F7502" s="16">
        <v>0.01</v>
      </c>
      <c r="G7502" s="15" t="s">
        <v>58</v>
      </c>
      <c r="H7502" s="18">
        <v>-213.32</v>
      </c>
      <c r="I7502" s="19">
        <v>58.14</v>
      </c>
      <c r="J7502" s="19">
        <v>36.61</v>
      </c>
      <c r="K7502" s="19" t="s">
        <v>33</v>
      </c>
      <c r="L7502" s="19" t="s">
        <v>59</v>
      </c>
      <c r="M7502" s="15" t="s">
        <v>2344</v>
      </c>
      <c r="N7502" s="15" t="s">
        <v>54</v>
      </c>
      <c r="O7502" s="15" t="s">
        <v>134</v>
      </c>
      <c r="P7502" s="20" t="s">
        <v>490</v>
      </c>
      <c r="Q7502" s="15" t="s">
        <v>63</v>
      </c>
      <c r="R7502" s="4"/>
      <c r="S7502" s="4"/>
    </row>
    <row r="7503" spans="1:19" ht="21" customHeight="1" x14ac:dyDescent="0.25">
      <c r="A7503" s="14">
        <f>DATE(2012,12,31)-1352</f>
        <v>39922</v>
      </c>
      <c r="B7503" s="15" t="s">
        <v>194</v>
      </c>
      <c r="C7503" s="15" t="s">
        <v>31</v>
      </c>
      <c r="D7503" s="16">
        <v>29</v>
      </c>
      <c r="E7503" s="17">
        <v>2317.65</v>
      </c>
      <c r="F7503" s="16">
        <v>0</v>
      </c>
      <c r="G7503" s="15" t="s">
        <v>32</v>
      </c>
      <c r="H7503" s="18">
        <v>568.6</v>
      </c>
      <c r="I7503" s="19">
        <v>78.650000000000006</v>
      </c>
      <c r="J7503" s="19">
        <v>13.99</v>
      </c>
      <c r="K7503" s="19" t="s">
        <v>33</v>
      </c>
      <c r="L7503" s="19" t="s">
        <v>145</v>
      </c>
      <c r="M7503" s="15" t="s">
        <v>2347</v>
      </c>
      <c r="N7503" s="15" t="s">
        <v>36</v>
      </c>
      <c r="O7503" s="15" t="s">
        <v>176</v>
      </c>
      <c r="P7503" s="20" t="s">
        <v>579</v>
      </c>
      <c r="Q7503" s="15" t="s">
        <v>57</v>
      </c>
      <c r="R7503" s="4"/>
      <c r="S7503" s="4"/>
    </row>
    <row r="7504" spans="1:19" ht="21" customHeight="1" x14ac:dyDescent="0.25">
      <c r="A7504" s="14">
        <f>DATE(2012,12,31)-1352</f>
        <v>39922</v>
      </c>
      <c r="B7504" s="15" t="s">
        <v>194</v>
      </c>
      <c r="C7504" s="15" t="s">
        <v>31</v>
      </c>
      <c r="D7504" s="16">
        <v>41</v>
      </c>
      <c r="E7504" s="17">
        <v>4987.7299999999996</v>
      </c>
      <c r="F7504" s="16">
        <v>0.08</v>
      </c>
      <c r="G7504" s="15" t="s">
        <v>58</v>
      </c>
      <c r="H7504" s="18">
        <v>-1867.97</v>
      </c>
      <c r="I7504" s="19">
        <v>122.99</v>
      </c>
      <c r="J7504" s="19">
        <v>70.2</v>
      </c>
      <c r="K7504" s="19" t="s">
        <v>33</v>
      </c>
      <c r="L7504" s="19" t="s">
        <v>59</v>
      </c>
      <c r="M7504" s="15" t="s">
        <v>2344</v>
      </c>
      <c r="N7504" s="15" t="s">
        <v>54</v>
      </c>
      <c r="O7504" s="15" t="s">
        <v>252</v>
      </c>
      <c r="P7504" s="20" t="s">
        <v>1807</v>
      </c>
      <c r="Q7504" s="15" t="s">
        <v>181</v>
      </c>
      <c r="R7504" s="4"/>
      <c r="S7504" s="4"/>
    </row>
    <row r="7505" spans="1:19" ht="21" customHeight="1" x14ac:dyDescent="0.25">
      <c r="A7505" s="14">
        <f>DATE(2012,12,31)-632</f>
        <v>40642</v>
      </c>
      <c r="B7505" s="15" t="s">
        <v>1338</v>
      </c>
      <c r="C7505" s="15" t="s">
        <v>31</v>
      </c>
      <c r="D7505" s="16">
        <v>36</v>
      </c>
      <c r="E7505" s="17">
        <v>1646.05</v>
      </c>
      <c r="F7505" s="16">
        <v>0.08</v>
      </c>
      <c r="G7505" s="15" t="s">
        <v>32</v>
      </c>
      <c r="H7505" s="18">
        <v>649.79999999999995</v>
      </c>
      <c r="I7505" s="19">
        <v>48.04</v>
      </c>
      <c r="J7505" s="19">
        <v>7.23</v>
      </c>
      <c r="K7505" s="19" t="s">
        <v>33</v>
      </c>
      <c r="L7505" s="19" t="s">
        <v>145</v>
      </c>
      <c r="M7505" s="15" t="s">
        <v>2347</v>
      </c>
      <c r="N7505" s="15" t="s">
        <v>36</v>
      </c>
      <c r="O7505" s="15" t="s">
        <v>117</v>
      </c>
      <c r="P7505" s="20" t="s">
        <v>819</v>
      </c>
      <c r="Q7505" s="15" t="s">
        <v>83</v>
      </c>
      <c r="R7505" s="4"/>
      <c r="S7505" s="4"/>
    </row>
    <row r="7506" spans="1:19" ht="21" customHeight="1" x14ac:dyDescent="0.25">
      <c r="A7506" s="14">
        <f>DATE(2012,12,31)-942</f>
        <v>40332</v>
      </c>
      <c r="B7506" s="15" t="s">
        <v>937</v>
      </c>
      <c r="C7506" s="15" t="s">
        <v>51</v>
      </c>
      <c r="D7506" s="16">
        <v>46</v>
      </c>
      <c r="E7506" s="17">
        <v>7807.45</v>
      </c>
      <c r="F7506" s="16">
        <v>0.02</v>
      </c>
      <c r="G7506" s="15" t="s">
        <v>101</v>
      </c>
      <c r="H7506" s="18">
        <v>1660.15</v>
      </c>
      <c r="I7506" s="19">
        <v>161.55000000000001</v>
      </c>
      <c r="J7506" s="19">
        <v>19.989999999999998</v>
      </c>
      <c r="K7506" s="19" t="s">
        <v>33</v>
      </c>
      <c r="L7506" s="19" t="s">
        <v>128</v>
      </c>
      <c r="M7506" s="15" t="s">
        <v>129</v>
      </c>
      <c r="N7506" s="15" t="s">
        <v>36</v>
      </c>
      <c r="O7506" s="15" t="s">
        <v>37</v>
      </c>
      <c r="P7506" s="20" t="s">
        <v>554</v>
      </c>
      <c r="Q7506" s="15" t="s">
        <v>83</v>
      </c>
      <c r="R7506" s="4"/>
      <c r="S7506" s="4"/>
    </row>
    <row r="7507" spans="1:19" ht="21" customHeight="1" x14ac:dyDescent="0.25">
      <c r="A7507" s="14">
        <f>DATE(2012,12,31)-1439</f>
        <v>39835</v>
      </c>
      <c r="B7507" s="15" t="s">
        <v>1607</v>
      </c>
      <c r="C7507" s="15" t="s">
        <v>51</v>
      </c>
      <c r="D7507" s="16">
        <v>36</v>
      </c>
      <c r="E7507" s="17">
        <v>562.79999999999995</v>
      </c>
      <c r="F7507" s="16">
        <v>0.02</v>
      </c>
      <c r="G7507" s="15" t="s">
        <v>32</v>
      </c>
      <c r="H7507" s="18">
        <v>-17.445499999999999</v>
      </c>
      <c r="I7507" s="19">
        <v>15.22</v>
      </c>
      <c r="J7507" s="19">
        <v>9.73</v>
      </c>
      <c r="K7507" s="19" t="s">
        <v>33</v>
      </c>
      <c r="L7507" s="19" t="s">
        <v>34</v>
      </c>
      <c r="M7507" s="15" t="s">
        <v>2353</v>
      </c>
      <c r="N7507" s="15" t="s">
        <v>36</v>
      </c>
      <c r="O7507" s="15" t="s">
        <v>170</v>
      </c>
      <c r="P7507" s="20" t="s">
        <v>505</v>
      </c>
      <c r="Q7507" s="15" t="s">
        <v>83</v>
      </c>
      <c r="R7507" s="4"/>
      <c r="S7507" s="4"/>
    </row>
    <row r="7508" spans="1:19" ht="21" customHeight="1" x14ac:dyDescent="0.25">
      <c r="A7508" s="14">
        <f>DATE(2012,12,31)-1439</f>
        <v>39835</v>
      </c>
      <c r="B7508" s="15" t="s">
        <v>1682</v>
      </c>
      <c r="C7508" s="15" t="s">
        <v>51</v>
      </c>
      <c r="D7508" s="16">
        <v>27</v>
      </c>
      <c r="E7508" s="17">
        <v>4584.7299999999996</v>
      </c>
      <c r="F7508" s="16">
        <v>7.0000000000000007E-2</v>
      </c>
      <c r="G7508" s="15" t="s">
        <v>32</v>
      </c>
      <c r="H7508" s="18">
        <v>812.38</v>
      </c>
      <c r="I7508" s="19">
        <v>179.99</v>
      </c>
      <c r="J7508" s="19">
        <v>19.989999999999998</v>
      </c>
      <c r="K7508" s="19" t="s">
        <v>33</v>
      </c>
      <c r="L7508" s="19" t="s">
        <v>59</v>
      </c>
      <c r="M7508" s="15" t="s">
        <v>2344</v>
      </c>
      <c r="N7508" s="15" t="s">
        <v>64</v>
      </c>
      <c r="O7508" s="15" t="s">
        <v>72</v>
      </c>
      <c r="P7508" s="20" t="s">
        <v>930</v>
      </c>
      <c r="Q7508" s="15" t="s">
        <v>83</v>
      </c>
      <c r="R7508" s="4"/>
      <c r="S7508" s="4"/>
    </row>
    <row r="7509" spans="1:19" ht="21" customHeight="1" x14ac:dyDescent="0.25">
      <c r="A7509" s="14">
        <f>DATE(2012,12,31)-1439</f>
        <v>39835</v>
      </c>
      <c r="B7509" s="15" t="s">
        <v>1554</v>
      </c>
      <c r="C7509" s="15" t="s">
        <v>51</v>
      </c>
      <c r="D7509" s="16">
        <v>44</v>
      </c>
      <c r="E7509" s="17">
        <v>4039.72</v>
      </c>
      <c r="F7509" s="16">
        <v>0.02</v>
      </c>
      <c r="G7509" s="15" t="s">
        <v>101</v>
      </c>
      <c r="H7509" s="18">
        <v>-237.6</v>
      </c>
      <c r="I7509" s="19">
        <v>92.23</v>
      </c>
      <c r="J7509" s="19">
        <v>39.61</v>
      </c>
      <c r="K7509" s="19" t="s">
        <v>97</v>
      </c>
      <c r="L7509" s="19" t="s">
        <v>195</v>
      </c>
      <c r="M7509" s="15" t="s">
        <v>2138</v>
      </c>
      <c r="N7509" s="15" t="s">
        <v>54</v>
      </c>
      <c r="O7509" s="15" t="s">
        <v>55</v>
      </c>
      <c r="P7509" s="20" t="s">
        <v>1383</v>
      </c>
      <c r="Q7509" s="15" t="s">
        <v>57</v>
      </c>
      <c r="R7509" s="4"/>
      <c r="S7509" s="4"/>
    </row>
    <row r="7510" spans="1:19" ht="21" customHeight="1" x14ac:dyDescent="0.25">
      <c r="A7510" s="14">
        <f>DATE(2012,12,31)-1439</f>
        <v>39835</v>
      </c>
      <c r="B7510" s="15" t="s">
        <v>1898</v>
      </c>
      <c r="C7510" s="15" t="s">
        <v>51</v>
      </c>
      <c r="D7510" s="16">
        <v>25</v>
      </c>
      <c r="E7510" s="17">
        <v>2570.944</v>
      </c>
      <c r="F7510" s="16">
        <v>0.03</v>
      </c>
      <c r="G7510" s="15" t="s">
        <v>101</v>
      </c>
      <c r="H7510" s="18">
        <v>553.35599999999999</v>
      </c>
      <c r="I7510" s="19">
        <v>115.99</v>
      </c>
      <c r="J7510" s="19">
        <v>5.92</v>
      </c>
      <c r="K7510" s="19" t="s">
        <v>69</v>
      </c>
      <c r="L7510" s="19" t="s">
        <v>70</v>
      </c>
      <c r="M7510" s="15" t="s">
        <v>2348</v>
      </c>
      <c r="N7510" s="15" t="s">
        <v>64</v>
      </c>
      <c r="O7510" s="15" t="s">
        <v>65</v>
      </c>
      <c r="P7510" s="20" t="s">
        <v>427</v>
      </c>
      <c r="Q7510" s="15" t="s">
        <v>83</v>
      </c>
      <c r="R7510" s="4"/>
      <c r="S7510" s="4"/>
    </row>
    <row r="7511" spans="1:19" ht="21" customHeight="1" x14ac:dyDescent="0.25">
      <c r="A7511" s="14">
        <f>DATE(2012,12,31)-1273</f>
        <v>40001</v>
      </c>
      <c r="B7511" s="15" t="s">
        <v>1339</v>
      </c>
      <c r="C7511" s="15" t="s">
        <v>85</v>
      </c>
      <c r="D7511" s="16">
        <v>47</v>
      </c>
      <c r="E7511" s="17">
        <v>691.52</v>
      </c>
      <c r="F7511" s="16">
        <v>0.03</v>
      </c>
      <c r="G7511" s="15" t="s">
        <v>32</v>
      </c>
      <c r="H7511" s="18">
        <v>107.02</v>
      </c>
      <c r="I7511" s="19">
        <v>14.2</v>
      </c>
      <c r="J7511" s="19">
        <v>5.3</v>
      </c>
      <c r="K7511" s="19" t="s">
        <v>69</v>
      </c>
      <c r="L7511" s="19" t="s">
        <v>70</v>
      </c>
      <c r="M7511" s="15" t="s">
        <v>2348</v>
      </c>
      <c r="N7511" s="15" t="s">
        <v>54</v>
      </c>
      <c r="O7511" s="15" t="s">
        <v>55</v>
      </c>
      <c r="P7511" s="20" t="s">
        <v>1120</v>
      </c>
      <c r="Q7511" s="15" t="s">
        <v>79</v>
      </c>
      <c r="R7511" s="4"/>
      <c r="S7511" s="4"/>
    </row>
    <row r="7512" spans="1:19" ht="21" customHeight="1" x14ac:dyDescent="0.25">
      <c r="A7512" s="14">
        <f>DATE(2012,12,31)-1273</f>
        <v>40001</v>
      </c>
      <c r="B7512" s="15" t="s">
        <v>1339</v>
      </c>
      <c r="C7512" s="15" t="s">
        <v>85</v>
      </c>
      <c r="D7512" s="16">
        <v>37</v>
      </c>
      <c r="E7512" s="17">
        <v>2756.17</v>
      </c>
      <c r="F7512" s="16">
        <v>0.04</v>
      </c>
      <c r="G7512" s="15" t="s">
        <v>32</v>
      </c>
      <c r="H7512" s="18">
        <v>-1561.7160000000001</v>
      </c>
      <c r="I7512" s="19">
        <v>71.37</v>
      </c>
      <c r="J7512" s="19">
        <v>69</v>
      </c>
      <c r="K7512" s="19" t="s">
        <v>69</v>
      </c>
      <c r="L7512" s="19" t="s">
        <v>70</v>
      </c>
      <c r="M7512" s="15" t="s">
        <v>2348</v>
      </c>
      <c r="N7512" s="15" t="s">
        <v>54</v>
      </c>
      <c r="O7512" s="15" t="s">
        <v>61</v>
      </c>
      <c r="P7512" s="20" t="s">
        <v>1742</v>
      </c>
      <c r="Q7512" s="15" t="s">
        <v>39</v>
      </c>
      <c r="R7512" s="4"/>
      <c r="S7512" s="4"/>
    </row>
    <row r="7513" spans="1:19" ht="21" customHeight="1" x14ac:dyDescent="0.25">
      <c r="A7513" s="14">
        <f>DATE(2012,12,31)-1273</f>
        <v>40001</v>
      </c>
      <c r="B7513" s="15" t="s">
        <v>1339</v>
      </c>
      <c r="C7513" s="15" t="s">
        <v>85</v>
      </c>
      <c r="D7513" s="16">
        <v>29</v>
      </c>
      <c r="E7513" s="17">
        <v>5159.3725000000004</v>
      </c>
      <c r="F7513" s="16">
        <v>0.02</v>
      </c>
      <c r="G7513" s="15" t="s">
        <v>101</v>
      </c>
      <c r="H7513" s="18">
        <v>1252.4760000000001</v>
      </c>
      <c r="I7513" s="19">
        <v>200.99</v>
      </c>
      <c r="J7513" s="19">
        <v>8.08</v>
      </c>
      <c r="K7513" s="19" t="s">
        <v>69</v>
      </c>
      <c r="L7513" s="19" t="s">
        <v>75</v>
      </c>
      <c r="M7513" s="15" t="s">
        <v>76</v>
      </c>
      <c r="N7513" s="15" t="s">
        <v>64</v>
      </c>
      <c r="O7513" s="15" t="s">
        <v>65</v>
      </c>
      <c r="P7513" s="20" t="s">
        <v>1526</v>
      </c>
      <c r="Q7513" s="15" t="s">
        <v>83</v>
      </c>
      <c r="R7513" s="4"/>
      <c r="S7513" s="4"/>
    </row>
    <row r="7514" spans="1:19" ht="21" customHeight="1" x14ac:dyDescent="0.25">
      <c r="A7514" s="14">
        <f>DATE(2012,12,31)-484</f>
        <v>40790</v>
      </c>
      <c r="B7514" s="15" t="s">
        <v>1078</v>
      </c>
      <c r="C7514" s="15" t="s">
        <v>43</v>
      </c>
      <c r="D7514" s="16">
        <v>21</v>
      </c>
      <c r="E7514" s="17">
        <v>7922.69</v>
      </c>
      <c r="F7514" s="16">
        <v>0.1</v>
      </c>
      <c r="G7514" s="15" t="s">
        <v>32</v>
      </c>
      <c r="H7514" s="18">
        <v>1558.79</v>
      </c>
      <c r="I7514" s="19">
        <v>419.19</v>
      </c>
      <c r="J7514" s="19">
        <v>19.989999999999998</v>
      </c>
      <c r="K7514" s="19" t="s">
        <v>69</v>
      </c>
      <c r="L7514" s="19" t="s">
        <v>70</v>
      </c>
      <c r="M7514" s="15" t="s">
        <v>2348</v>
      </c>
      <c r="N7514" s="15" t="s">
        <v>36</v>
      </c>
      <c r="O7514" s="15" t="s">
        <v>37</v>
      </c>
      <c r="P7514" s="20" t="s">
        <v>148</v>
      </c>
      <c r="Q7514" s="15" t="s">
        <v>83</v>
      </c>
      <c r="R7514" s="4"/>
      <c r="S7514" s="4"/>
    </row>
    <row r="7515" spans="1:19" ht="21" customHeight="1" x14ac:dyDescent="0.25">
      <c r="A7515" s="14">
        <f>DATE(2012,12,31)-1384</f>
        <v>39890</v>
      </c>
      <c r="B7515" s="15" t="s">
        <v>1207</v>
      </c>
      <c r="C7515" s="15" t="s">
        <v>85</v>
      </c>
      <c r="D7515" s="16">
        <v>18</v>
      </c>
      <c r="E7515" s="17">
        <v>433.31</v>
      </c>
      <c r="F7515" s="16">
        <v>0.05</v>
      </c>
      <c r="G7515" s="15" t="s">
        <v>58</v>
      </c>
      <c r="H7515" s="18">
        <v>-815.79</v>
      </c>
      <c r="I7515" s="19">
        <v>20.98</v>
      </c>
      <c r="J7515" s="19">
        <v>53.03</v>
      </c>
      <c r="K7515" s="19" t="s">
        <v>69</v>
      </c>
      <c r="L7515" s="19" t="s">
        <v>70</v>
      </c>
      <c r="M7515" s="15" t="s">
        <v>2348</v>
      </c>
      <c r="N7515" s="15" t="s">
        <v>36</v>
      </c>
      <c r="O7515" s="15" t="s">
        <v>37</v>
      </c>
      <c r="P7515" s="20" t="s">
        <v>1614</v>
      </c>
      <c r="Q7515" s="15" t="s">
        <v>181</v>
      </c>
      <c r="R7515" s="4"/>
      <c r="S7515" s="4"/>
    </row>
    <row r="7516" spans="1:19" ht="21" customHeight="1" x14ac:dyDescent="0.25">
      <c r="A7516" s="14">
        <f>DATE(2012,12,31)-1375</f>
        <v>39899</v>
      </c>
      <c r="B7516" s="15" t="s">
        <v>797</v>
      </c>
      <c r="C7516" s="15" t="s">
        <v>43</v>
      </c>
      <c r="D7516" s="16">
        <v>36</v>
      </c>
      <c r="E7516" s="17">
        <v>307.64999999999998</v>
      </c>
      <c r="F7516" s="16">
        <v>7.0000000000000007E-2</v>
      </c>
      <c r="G7516" s="15" t="s">
        <v>32</v>
      </c>
      <c r="H7516" s="18">
        <v>91.73</v>
      </c>
      <c r="I7516" s="19">
        <v>8.9499999999999993</v>
      </c>
      <c r="J7516" s="19">
        <v>2.0099999999999998</v>
      </c>
      <c r="K7516" s="19" t="s">
        <v>69</v>
      </c>
      <c r="L7516" s="19" t="s">
        <v>75</v>
      </c>
      <c r="M7516" s="15" t="s">
        <v>76</v>
      </c>
      <c r="N7516" s="15" t="s">
        <v>36</v>
      </c>
      <c r="O7516" s="15" t="s">
        <v>117</v>
      </c>
      <c r="P7516" s="20" t="s">
        <v>652</v>
      </c>
      <c r="Q7516" s="15" t="s">
        <v>79</v>
      </c>
      <c r="R7516" s="4"/>
      <c r="S7516" s="4"/>
    </row>
    <row r="7517" spans="1:19" ht="21" customHeight="1" x14ac:dyDescent="0.25">
      <c r="A7517" s="14">
        <f>DATE(2012,12,31)-668</f>
        <v>40606</v>
      </c>
      <c r="B7517" s="15" t="s">
        <v>797</v>
      </c>
      <c r="C7517" s="15" t="s">
        <v>85</v>
      </c>
      <c r="D7517" s="16">
        <v>43</v>
      </c>
      <c r="E7517" s="17">
        <v>5544.99</v>
      </c>
      <c r="F7517" s="16">
        <v>0.04</v>
      </c>
      <c r="G7517" s="15" t="s">
        <v>58</v>
      </c>
      <c r="H7517" s="18">
        <v>-3404.24</v>
      </c>
      <c r="I7517" s="19">
        <v>130.97999999999999</v>
      </c>
      <c r="J7517" s="19">
        <v>130</v>
      </c>
      <c r="K7517" s="19" t="s">
        <v>69</v>
      </c>
      <c r="L7517" s="19" t="s">
        <v>75</v>
      </c>
      <c r="M7517" s="15" t="s">
        <v>76</v>
      </c>
      <c r="N7517" s="15" t="s">
        <v>54</v>
      </c>
      <c r="O7517" s="15" t="s">
        <v>252</v>
      </c>
      <c r="P7517" s="20" t="s">
        <v>501</v>
      </c>
      <c r="Q7517" s="15" t="s">
        <v>181</v>
      </c>
      <c r="R7517" s="4"/>
      <c r="S7517" s="4"/>
    </row>
    <row r="7518" spans="1:19" ht="21" customHeight="1" x14ac:dyDescent="0.25">
      <c r="A7518" s="14">
        <f>DATE(2012,12,31)-511</f>
        <v>40763</v>
      </c>
      <c r="B7518" s="15" t="s">
        <v>187</v>
      </c>
      <c r="C7518" s="15" t="s">
        <v>51</v>
      </c>
      <c r="D7518" s="16">
        <v>43</v>
      </c>
      <c r="E7518" s="17">
        <v>1779.87</v>
      </c>
      <c r="F7518" s="16">
        <v>0.01</v>
      </c>
      <c r="G7518" s="15" t="s">
        <v>32</v>
      </c>
      <c r="H7518" s="18">
        <v>311.72000000000003</v>
      </c>
      <c r="I7518" s="19">
        <v>40.99</v>
      </c>
      <c r="J7518" s="19">
        <v>17.48</v>
      </c>
      <c r="K7518" s="19" t="s">
        <v>69</v>
      </c>
      <c r="L7518" s="19" t="s">
        <v>215</v>
      </c>
      <c r="M7518" s="15" t="s">
        <v>2355</v>
      </c>
      <c r="N7518" s="15" t="s">
        <v>36</v>
      </c>
      <c r="O7518" s="15" t="s">
        <v>117</v>
      </c>
      <c r="P7518" s="20" t="s">
        <v>1698</v>
      </c>
      <c r="Q7518" s="15" t="s">
        <v>83</v>
      </c>
      <c r="R7518" s="4"/>
      <c r="S7518" s="4"/>
    </row>
    <row r="7519" spans="1:19" ht="21" customHeight="1" x14ac:dyDescent="0.25">
      <c r="A7519" s="14">
        <f>DATE(2012,12,31)-21</f>
        <v>41253</v>
      </c>
      <c r="B7519" s="15" t="s">
        <v>1893</v>
      </c>
      <c r="C7519" s="15" t="s">
        <v>85</v>
      </c>
      <c r="D7519" s="16">
        <v>23</v>
      </c>
      <c r="E7519" s="17">
        <v>172.9</v>
      </c>
      <c r="F7519" s="16">
        <v>0</v>
      </c>
      <c r="G7519" s="15" t="s">
        <v>32</v>
      </c>
      <c r="H7519" s="18">
        <v>51.43</v>
      </c>
      <c r="I7519" s="19">
        <v>6.88</v>
      </c>
      <c r="J7519" s="19">
        <v>2</v>
      </c>
      <c r="K7519" s="19" t="s">
        <v>69</v>
      </c>
      <c r="L7519" s="19" t="s">
        <v>215</v>
      </c>
      <c r="M7519" s="15" t="s">
        <v>2355</v>
      </c>
      <c r="N7519" s="15" t="s">
        <v>36</v>
      </c>
      <c r="O7519" s="15" t="s">
        <v>117</v>
      </c>
      <c r="P7519" s="20" t="s">
        <v>834</v>
      </c>
      <c r="Q7519" s="15" t="s">
        <v>79</v>
      </c>
      <c r="R7519" s="4"/>
      <c r="S7519" s="4"/>
    </row>
    <row r="7520" spans="1:19" ht="21" customHeight="1" x14ac:dyDescent="0.25">
      <c r="A7520" s="14">
        <f>DATE(2012,12,31)-60</f>
        <v>41214</v>
      </c>
      <c r="B7520" s="15" t="s">
        <v>1893</v>
      </c>
      <c r="C7520" s="15" t="s">
        <v>43</v>
      </c>
      <c r="D7520" s="16">
        <v>44</v>
      </c>
      <c r="E7520" s="17">
        <v>4263.9315000000006</v>
      </c>
      <c r="F7520" s="16">
        <v>0.04</v>
      </c>
      <c r="G7520" s="15" t="s">
        <v>32</v>
      </c>
      <c r="H7520" s="18">
        <v>1411.029</v>
      </c>
      <c r="I7520" s="19">
        <v>110.99</v>
      </c>
      <c r="J7520" s="19">
        <v>2.5</v>
      </c>
      <c r="K7520" s="19" t="s">
        <v>69</v>
      </c>
      <c r="L7520" s="19" t="s">
        <v>215</v>
      </c>
      <c r="M7520" s="15" t="s">
        <v>2355</v>
      </c>
      <c r="N7520" s="15" t="s">
        <v>64</v>
      </c>
      <c r="O7520" s="15" t="s">
        <v>65</v>
      </c>
      <c r="P7520" s="20" t="s">
        <v>634</v>
      </c>
      <c r="Q7520" s="15" t="s">
        <v>83</v>
      </c>
      <c r="R7520" s="4"/>
      <c r="S7520" s="4"/>
    </row>
    <row r="7521" spans="1:19" ht="21" customHeight="1" x14ac:dyDescent="0.25">
      <c r="A7521" s="14">
        <f>DATE(2012,12,31)-1279</f>
        <v>39995</v>
      </c>
      <c r="B7521" s="15" t="s">
        <v>1893</v>
      </c>
      <c r="C7521" s="15" t="s">
        <v>31</v>
      </c>
      <c r="D7521" s="16">
        <v>35</v>
      </c>
      <c r="E7521" s="17">
        <v>4233.1499999999996</v>
      </c>
      <c r="F7521" s="16">
        <v>0.08</v>
      </c>
      <c r="G7521" s="15" t="s">
        <v>58</v>
      </c>
      <c r="H7521" s="18">
        <v>1219.8699999999999</v>
      </c>
      <c r="I7521" s="19">
        <v>120.97</v>
      </c>
      <c r="J7521" s="19">
        <v>26.3</v>
      </c>
      <c r="K7521" s="19" t="s">
        <v>69</v>
      </c>
      <c r="L7521" s="19" t="s">
        <v>215</v>
      </c>
      <c r="M7521" s="15" t="s">
        <v>2355</v>
      </c>
      <c r="N7521" s="15" t="s">
        <v>64</v>
      </c>
      <c r="O7521" s="15" t="s">
        <v>122</v>
      </c>
      <c r="P7521" s="20" t="s">
        <v>1304</v>
      </c>
      <c r="Q7521" s="15" t="s">
        <v>181</v>
      </c>
      <c r="R7521" s="4"/>
      <c r="S7521" s="4"/>
    </row>
    <row r="7522" spans="1:19" ht="21" customHeight="1" x14ac:dyDescent="0.25">
      <c r="A7522" s="14">
        <f>DATE(2012,12,31)-335</f>
        <v>40939</v>
      </c>
      <c r="B7522" s="15" t="s">
        <v>279</v>
      </c>
      <c r="C7522" s="15" t="s">
        <v>31</v>
      </c>
      <c r="D7522" s="16">
        <v>35</v>
      </c>
      <c r="E7522" s="17">
        <v>648.58000000000004</v>
      </c>
      <c r="F7522" s="16">
        <v>0.05</v>
      </c>
      <c r="G7522" s="15" t="s">
        <v>32</v>
      </c>
      <c r="H7522" s="18">
        <v>182.63</v>
      </c>
      <c r="I7522" s="19">
        <v>18.97</v>
      </c>
      <c r="J7522" s="19">
        <v>5.21</v>
      </c>
      <c r="K7522" s="19" t="s">
        <v>69</v>
      </c>
      <c r="L7522" s="19" t="s">
        <v>215</v>
      </c>
      <c r="M7522" s="15" t="s">
        <v>2355</v>
      </c>
      <c r="N7522" s="15" t="s">
        <v>36</v>
      </c>
      <c r="O7522" s="15" t="s">
        <v>117</v>
      </c>
      <c r="P7522" s="20" t="s">
        <v>901</v>
      </c>
      <c r="Q7522" s="15" t="s">
        <v>83</v>
      </c>
      <c r="R7522" s="4"/>
      <c r="S7522" s="4"/>
    </row>
    <row r="7523" spans="1:19" ht="21" customHeight="1" x14ac:dyDescent="0.25">
      <c r="A7523" s="14">
        <f>DATE(2012,12,31)-335</f>
        <v>40939</v>
      </c>
      <c r="B7523" s="15" t="s">
        <v>403</v>
      </c>
      <c r="C7523" s="15" t="s">
        <v>31</v>
      </c>
      <c r="D7523" s="16">
        <v>43</v>
      </c>
      <c r="E7523" s="17">
        <v>270.56</v>
      </c>
      <c r="F7523" s="16">
        <v>0.09</v>
      </c>
      <c r="G7523" s="15" t="s">
        <v>32</v>
      </c>
      <c r="H7523" s="18">
        <v>-140.47999999999999</v>
      </c>
      <c r="I7523" s="19">
        <v>6.48</v>
      </c>
      <c r="J7523" s="19">
        <v>6.86</v>
      </c>
      <c r="K7523" s="19" t="s">
        <v>69</v>
      </c>
      <c r="L7523" s="19" t="s">
        <v>215</v>
      </c>
      <c r="M7523" s="15" t="s">
        <v>2355</v>
      </c>
      <c r="N7523" s="15" t="s">
        <v>36</v>
      </c>
      <c r="O7523" s="15" t="s">
        <v>117</v>
      </c>
      <c r="P7523" s="20" t="s">
        <v>634</v>
      </c>
      <c r="Q7523" s="15" t="s">
        <v>83</v>
      </c>
      <c r="R7523" s="4"/>
      <c r="S7523" s="4"/>
    </row>
    <row r="7524" spans="1:19" ht="21" customHeight="1" x14ac:dyDescent="0.25">
      <c r="A7524" s="14">
        <f>DATE(2012,12,31)-162</f>
        <v>41112</v>
      </c>
      <c r="B7524" s="15" t="s">
        <v>2188</v>
      </c>
      <c r="C7524" s="15" t="s">
        <v>43</v>
      </c>
      <c r="D7524" s="16">
        <v>45</v>
      </c>
      <c r="E7524" s="17">
        <v>405.6</v>
      </c>
      <c r="F7524" s="16">
        <v>7.0000000000000007E-2</v>
      </c>
      <c r="G7524" s="15" t="s">
        <v>32</v>
      </c>
      <c r="H7524" s="18">
        <v>-8.5904999999999987</v>
      </c>
      <c r="I7524" s="19">
        <v>8.85</v>
      </c>
      <c r="J7524" s="19">
        <v>5.6</v>
      </c>
      <c r="K7524" s="19" t="s">
        <v>111</v>
      </c>
      <c r="L7524" s="19" t="s">
        <v>442</v>
      </c>
      <c r="M7524" s="15" t="s">
        <v>2304</v>
      </c>
      <c r="N7524" s="15" t="s">
        <v>36</v>
      </c>
      <c r="O7524" s="15" t="s">
        <v>170</v>
      </c>
      <c r="P7524" s="20" t="s">
        <v>1104</v>
      </c>
      <c r="Q7524" s="15" t="s">
        <v>83</v>
      </c>
      <c r="R7524" s="4"/>
      <c r="S7524" s="4"/>
    </row>
    <row r="7525" spans="1:19" ht="21" customHeight="1" x14ac:dyDescent="0.25">
      <c r="A7525" s="14">
        <f>DATE(2012,12,31)-508</f>
        <v>40766</v>
      </c>
      <c r="B7525" s="15" t="s">
        <v>1940</v>
      </c>
      <c r="C7525" s="15" t="s">
        <v>85</v>
      </c>
      <c r="D7525" s="16">
        <v>23</v>
      </c>
      <c r="E7525" s="17">
        <v>3301.33</v>
      </c>
      <c r="F7525" s="16">
        <v>0.05</v>
      </c>
      <c r="G7525" s="15" t="s">
        <v>58</v>
      </c>
      <c r="H7525" s="18">
        <v>-307.45999999999998</v>
      </c>
      <c r="I7525" s="19">
        <v>140.97999999999999</v>
      </c>
      <c r="J7525" s="19">
        <v>36.090000000000003</v>
      </c>
      <c r="K7525" s="19" t="s">
        <v>111</v>
      </c>
      <c r="L7525" s="19" t="s">
        <v>2301</v>
      </c>
      <c r="M7525" s="15" t="s">
        <v>2346</v>
      </c>
      <c r="N7525" s="15" t="s">
        <v>54</v>
      </c>
      <c r="O7525" s="15" t="s">
        <v>134</v>
      </c>
      <c r="P7525" s="20" t="s">
        <v>1796</v>
      </c>
      <c r="Q7525" s="15" t="s">
        <v>63</v>
      </c>
      <c r="R7525" s="4"/>
      <c r="S7525" s="4"/>
    </row>
    <row r="7526" spans="1:19" ht="21" customHeight="1" x14ac:dyDescent="0.25">
      <c r="A7526" s="14">
        <f>DATE(2012,12,31)-508</f>
        <v>40766</v>
      </c>
      <c r="B7526" s="15" t="s">
        <v>1619</v>
      </c>
      <c r="C7526" s="15" t="s">
        <v>85</v>
      </c>
      <c r="D7526" s="16">
        <v>28</v>
      </c>
      <c r="E7526" s="17">
        <v>126.95</v>
      </c>
      <c r="F7526" s="16">
        <v>0.06</v>
      </c>
      <c r="G7526" s="15" t="s">
        <v>101</v>
      </c>
      <c r="H7526" s="18">
        <v>45.87</v>
      </c>
      <c r="I7526" s="19">
        <v>4.13</v>
      </c>
      <c r="J7526" s="19">
        <v>0.99</v>
      </c>
      <c r="K7526" s="19" t="s">
        <v>44</v>
      </c>
      <c r="L7526" s="19" t="s">
        <v>89</v>
      </c>
      <c r="M7526" s="15" t="s">
        <v>2337</v>
      </c>
      <c r="N7526" s="15" t="s">
        <v>36</v>
      </c>
      <c r="O7526" s="15" t="s">
        <v>114</v>
      </c>
      <c r="P7526" s="20" t="s">
        <v>304</v>
      </c>
      <c r="Q7526" s="15" t="s">
        <v>83</v>
      </c>
      <c r="R7526" s="4"/>
      <c r="S7526" s="4"/>
    </row>
    <row r="7527" spans="1:19" ht="21" customHeight="1" x14ac:dyDescent="0.25">
      <c r="A7527" s="14">
        <f>DATE(2012,12,31)-321</f>
        <v>40953</v>
      </c>
      <c r="B7527" s="15" t="s">
        <v>1170</v>
      </c>
      <c r="C7527" s="15" t="s">
        <v>51</v>
      </c>
      <c r="D7527" s="16">
        <v>18</v>
      </c>
      <c r="E7527" s="17">
        <v>821.78849999999989</v>
      </c>
      <c r="F7527" s="16">
        <v>0.06</v>
      </c>
      <c r="G7527" s="15" t="s">
        <v>101</v>
      </c>
      <c r="H7527" s="18">
        <v>-230.34</v>
      </c>
      <c r="I7527" s="19">
        <v>55.99</v>
      </c>
      <c r="J7527" s="19">
        <v>5</v>
      </c>
      <c r="K7527" s="19" t="s">
        <v>44</v>
      </c>
      <c r="L7527" s="19" t="s">
        <v>45</v>
      </c>
      <c r="M7527" s="15" t="s">
        <v>2271</v>
      </c>
      <c r="N7527" s="15" t="s">
        <v>64</v>
      </c>
      <c r="O7527" s="15" t="s">
        <v>65</v>
      </c>
      <c r="P7527" s="20" t="s">
        <v>910</v>
      </c>
      <c r="Q7527" s="15" t="s">
        <v>49</v>
      </c>
      <c r="R7527" s="4"/>
      <c r="S7527" s="4"/>
    </row>
    <row r="7528" spans="1:19" ht="21" customHeight="1" x14ac:dyDescent="0.25">
      <c r="A7528" s="14">
        <f>DATE(2012,12,31)-321</f>
        <v>40953</v>
      </c>
      <c r="B7528" s="15" t="s">
        <v>313</v>
      </c>
      <c r="C7528" s="15" t="s">
        <v>51</v>
      </c>
      <c r="D7528" s="16">
        <v>34</v>
      </c>
      <c r="E7528" s="17">
        <v>5634.3525</v>
      </c>
      <c r="F7528" s="16">
        <v>0.03</v>
      </c>
      <c r="G7528" s="15" t="s">
        <v>32</v>
      </c>
      <c r="H7528" s="18">
        <v>1185.4079999999999</v>
      </c>
      <c r="I7528" s="19">
        <v>200.99</v>
      </c>
      <c r="J7528" s="19">
        <v>8.08</v>
      </c>
      <c r="K7528" s="19" t="s">
        <v>44</v>
      </c>
      <c r="L7528" s="19" t="s">
        <v>45</v>
      </c>
      <c r="M7528" s="15" t="s">
        <v>2271</v>
      </c>
      <c r="N7528" s="15" t="s">
        <v>64</v>
      </c>
      <c r="O7528" s="15" t="s">
        <v>65</v>
      </c>
      <c r="P7528" s="20" t="s">
        <v>713</v>
      </c>
      <c r="Q7528" s="15" t="s">
        <v>83</v>
      </c>
      <c r="R7528" s="4"/>
      <c r="S7528" s="4"/>
    </row>
    <row r="7529" spans="1:19" ht="21" customHeight="1" x14ac:dyDescent="0.25">
      <c r="A7529" s="14">
        <f>DATE(2012,12,31)-1417</f>
        <v>39857</v>
      </c>
      <c r="B7529" s="15" t="s">
        <v>789</v>
      </c>
      <c r="C7529" s="15" t="s">
        <v>85</v>
      </c>
      <c r="D7529" s="16">
        <v>44</v>
      </c>
      <c r="E7529" s="17">
        <v>5483.96</v>
      </c>
      <c r="F7529" s="16">
        <v>0.02</v>
      </c>
      <c r="G7529" s="15" t="s">
        <v>58</v>
      </c>
      <c r="H7529" s="18">
        <v>-1330.5</v>
      </c>
      <c r="I7529" s="19">
        <v>120.98</v>
      </c>
      <c r="J7529" s="19">
        <v>58.64</v>
      </c>
      <c r="K7529" s="19" t="s">
        <v>44</v>
      </c>
      <c r="L7529" s="19" t="s">
        <v>45</v>
      </c>
      <c r="M7529" s="15" t="s">
        <v>2271</v>
      </c>
      <c r="N7529" s="15" t="s">
        <v>54</v>
      </c>
      <c r="O7529" s="15" t="s">
        <v>134</v>
      </c>
      <c r="P7529" s="20" t="s">
        <v>1323</v>
      </c>
      <c r="Q7529" s="15" t="s">
        <v>63</v>
      </c>
      <c r="R7529" s="4"/>
      <c r="S7529" s="4"/>
    </row>
    <row r="7530" spans="1:19" ht="21" customHeight="1" x14ac:dyDescent="0.25">
      <c r="A7530" s="14">
        <f>DATE(2012,12,31)-662</f>
        <v>40612</v>
      </c>
      <c r="B7530" s="15" t="s">
        <v>789</v>
      </c>
      <c r="C7530" s="15" t="s">
        <v>31</v>
      </c>
      <c r="D7530" s="16">
        <v>2</v>
      </c>
      <c r="E7530" s="17">
        <v>57.5</v>
      </c>
      <c r="F7530" s="16">
        <v>0.02</v>
      </c>
      <c r="G7530" s="15" t="s">
        <v>32</v>
      </c>
      <c r="H7530" s="18">
        <v>-83.18</v>
      </c>
      <c r="I7530" s="19">
        <v>28.48</v>
      </c>
      <c r="J7530" s="19">
        <v>1.99</v>
      </c>
      <c r="K7530" s="19" t="s">
        <v>44</v>
      </c>
      <c r="L7530" s="19" t="s">
        <v>120</v>
      </c>
      <c r="M7530" s="15" t="s">
        <v>2262</v>
      </c>
      <c r="N7530" s="15" t="s">
        <v>64</v>
      </c>
      <c r="O7530" s="15" t="s">
        <v>72</v>
      </c>
      <c r="P7530" s="20" t="s">
        <v>1393</v>
      </c>
      <c r="Q7530" s="15" t="s">
        <v>49</v>
      </c>
      <c r="R7530" s="4"/>
      <c r="S7530" s="4"/>
    </row>
    <row r="7531" spans="1:19" ht="21" customHeight="1" x14ac:dyDescent="0.25">
      <c r="A7531" s="14">
        <f>DATE(2012,12,31)-529</f>
        <v>40745</v>
      </c>
      <c r="B7531" s="15" t="s">
        <v>1509</v>
      </c>
      <c r="C7531" s="15" t="s">
        <v>51</v>
      </c>
      <c r="D7531" s="16">
        <v>10</v>
      </c>
      <c r="E7531" s="17">
        <v>2700.41</v>
      </c>
      <c r="F7531" s="16">
        <v>0.08</v>
      </c>
      <c r="G7531" s="15" t="s">
        <v>58</v>
      </c>
      <c r="H7531" s="18">
        <v>258.01</v>
      </c>
      <c r="I7531" s="19">
        <v>279.81</v>
      </c>
      <c r="J7531" s="19">
        <v>23.19</v>
      </c>
      <c r="K7531" s="19" t="s">
        <v>44</v>
      </c>
      <c r="L7531" s="19" t="s">
        <v>89</v>
      </c>
      <c r="M7531" s="15" t="s">
        <v>2337</v>
      </c>
      <c r="N7531" s="15" t="s">
        <v>36</v>
      </c>
      <c r="O7531" s="15" t="s">
        <v>176</v>
      </c>
      <c r="P7531" s="20" t="s">
        <v>1299</v>
      </c>
      <c r="Q7531" s="15" t="s">
        <v>181</v>
      </c>
      <c r="R7531" s="4"/>
      <c r="S7531" s="4"/>
    </row>
    <row r="7532" spans="1:19" ht="21" customHeight="1" x14ac:dyDescent="0.25">
      <c r="A7532" s="14">
        <f>DATE(2012,12,31)-478</f>
        <v>40796</v>
      </c>
      <c r="B7532" s="15" t="s">
        <v>1040</v>
      </c>
      <c r="C7532" s="15" t="s">
        <v>85</v>
      </c>
      <c r="D7532" s="16">
        <v>3</v>
      </c>
      <c r="E7532" s="17">
        <v>160.52000000000001</v>
      </c>
      <c r="F7532" s="16">
        <v>0.08</v>
      </c>
      <c r="G7532" s="15" t="s">
        <v>58</v>
      </c>
      <c r="H7532" s="18">
        <v>-69.66</v>
      </c>
      <c r="I7532" s="19">
        <v>50.98</v>
      </c>
      <c r="J7532" s="19">
        <v>14.19</v>
      </c>
      <c r="K7532" s="19" t="s">
        <v>44</v>
      </c>
      <c r="L7532" s="19" t="s">
        <v>89</v>
      </c>
      <c r="M7532" s="15" t="s">
        <v>2337</v>
      </c>
      <c r="N7532" s="15" t="s">
        <v>54</v>
      </c>
      <c r="O7532" s="15" t="s">
        <v>252</v>
      </c>
      <c r="P7532" s="20" t="s">
        <v>1665</v>
      </c>
      <c r="Q7532" s="15" t="s">
        <v>181</v>
      </c>
      <c r="R7532" s="4"/>
      <c r="S7532" s="4"/>
    </row>
    <row r="7533" spans="1:19" ht="21" customHeight="1" x14ac:dyDescent="0.25">
      <c r="A7533" s="14">
        <f>DATE(2012,12,31)-116</f>
        <v>41158</v>
      </c>
      <c r="B7533" s="15" t="s">
        <v>1040</v>
      </c>
      <c r="C7533" s="15" t="s">
        <v>31</v>
      </c>
      <c r="D7533" s="16">
        <v>23</v>
      </c>
      <c r="E7533" s="17">
        <v>5062.18</v>
      </c>
      <c r="F7533" s="16">
        <v>0.06</v>
      </c>
      <c r="G7533" s="15" t="s">
        <v>58</v>
      </c>
      <c r="H7533" s="18">
        <v>842.83</v>
      </c>
      <c r="I7533" s="19">
        <v>270.97000000000003</v>
      </c>
      <c r="J7533" s="19">
        <v>28.06</v>
      </c>
      <c r="K7533" s="19" t="s">
        <v>44</v>
      </c>
      <c r="L7533" s="19" t="s">
        <v>89</v>
      </c>
      <c r="M7533" s="15" t="s">
        <v>2337</v>
      </c>
      <c r="N7533" s="15" t="s">
        <v>64</v>
      </c>
      <c r="O7533" s="15" t="s">
        <v>122</v>
      </c>
      <c r="P7533" s="20" t="s">
        <v>819</v>
      </c>
      <c r="Q7533" s="15" t="s">
        <v>181</v>
      </c>
      <c r="R7533" s="4"/>
      <c r="S7533" s="4"/>
    </row>
    <row r="7534" spans="1:19" ht="21" customHeight="1" x14ac:dyDescent="0.25">
      <c r="A7534" s="14">
        <f>DATE(2012,12,31)-359</f>
        <v>40915</v>
      </c>
      <c r="B7534" s="15" t="s">
        <v>1438</v>
      </c>
      <c r="C7534" s="15" t="s">
        <v>31</v>
      </c>
      <c r="D7534" s="16">
        <v>24</v>
      </c>
      <c r="E7534" s="17">
        <v>114.17</v>
      </c>
      <c r="F7534" s="16">
        <v>0.01</v>
      </c>
      <c r="G7534" s="15" t="s">
        <v>32</v>
      </c>
      <c r="H7534" s="18">
        <v>-80.05</v>
      </c>
      <c r="I7534" s="19">
        <v>4.37</v>
      </c>
      <c r="J7534" s="19">
        <v>5.15</v>
      </c>
      <c r="K7534" s="19" t="s">
        <v>44</v>
      </c>
      <c r="L7534" s="19" t="s">
        <v>45</v>
      </c>
      <c r="M7534" s="15" t="s">
        <v>2271</v>
      </c>
      <c r="N7534" s="15" t="s">
        <v>36</v>
      </c>
      <c r="O7534" s="15" t="s">
        <v>176</v>
      </c>
      <c r="P7534" s="20" t="s">
        <v>891</v>
      </c>
      <c r="Q7534" s="15" t="s">
        <v>83</v>
      </c>
      <c r="R7534" s="4"/>
      <c r="S7534" s="4"/>
    </row>
    <row r="7535" spans="1:19" ht="21" customHeight="1" x14ac:dyDescent="0.25">
      <c r="A7535" s="14">
        <f>DATE(2012,12,31)-359</f>
        <v>40915</v>
      </c>
      <c r="B7535" s="15" t="s">
        <v>898</v>
      </c>
      <c r="C7535" s="15" t="s">
        <v>31</v>
      </c>
      <c r="D7535" s="16">
        <v>39</v>
      </c>
      <c r="E7535" s="17">
        <v>197.11</v>
      </c>
      <c r="F7535" s="16">
        <v>0.03</v>
      </c>
      <c r="G7535" s="15" t="s">
        <v>32</v>
      </c>
      <c r="H7535" s="18">
        <v>-89.424000000000007</v>
      </c>
      <c r="I7535" s="19">
        <v>4.9800000000000004</v>
      </c>
      <c r="J7535" s="19">
        <v>4.95</v>
      </c>
      <c r="K7535" s="19" t="s">
        <v>44</v>
      </c>
      <c r="L7535" s="19" t="s">
        <v>80</v>
      </c>
      <c r="M7535" s="15" t="s">
        <v>2339</v>
      </c>
      <c r="N7535" s="15" t="s">
        <v>36</v>
      </c>
      <c r="O7535" s="15" t="s">
        <v>170</v>
      </c>
      <c r="P7535" s="20" t="s">
        <v>1794</v>
      </c>
      <c r="Q7535" s="15" t="s">
        <v>83</v>
      </c>
      <c r="R7535" s="4"/>
      <c r="S7535" s="4"/>
    </row>
    <row r="7536" spans="1:19" ht="21" customHeight="1" x14ac:dyDescent="0.25">
      <c r="A7536" s="14">
        <f>DATE(2012,12,31)-424</f>
        <v>40850</v>
      </c>
      <c r="B7536" s="15" t="s">
        <v>1166</v>
      </c>
      <c r="C7536" s="15" t="s">
        <v>85</v>
      </c>
      <c r="D7536" s="16">
        <v>22</v>
      </c>
      <c r="E7536" s="17">
        <v>3329.27</v>
      </c>
      <c r="F7536" s="16">
        <v>0.05</v>
      </c>
      <c r="G7536" s="15" t="s">
        <v>58</v>
      </c>
      <c r="H7536" s="18">
        <v>350</v>
      </c>
      <c r="I7536" s="19">
        <v>150.97999999999999</v>
      </c>
      <c r="J7536" s="19">
        <v>16.010000000000002</v>
      </c>
      <c r="K7536" s="19" t="s">
        <v>44</v>
      </c>
      <c r="L7536" s="19" t="s">
        <v>120</v>
      </c>
      <c r="M7536" s="15" t="s">
        <v>2262</v>
      </c>
      <c r="N7536" s="15" t="s">
        <v>54</v>
      </c>
      <c r="O7536" s="15" t="s">
        <v>61</v>
      </c>
      <c r="P7536" s="20" t="s">
        <v>1617</v>
      </c>
      <c r="Q7536" s="15" t="s">
        <v>63</v>
      </c>
      <c r="R7536" s="4"/>
      <c r="S7536" s="4"/>
    </row>
    <row r="7537" spans="1:19" ht="21" customHeight="1" x14ac:dyDescent="0.25">
      <c r="A7537" s="14">
        <f>DATE(2012,12,31)-954</f>
        <v>40320</v>
      </c>
      <c r="B7537" s="15" t="s">
        <v>1166</v>
      </c>
      <c r="C7537" s="15" t="s">
        <v>85</v>
      </c>
      <c r="D7537" s="16">
        <v>45</v>
      </c>
      <c r="E7537" s="17">
        <v>261</v>
      </c>
      <c r="F7537" s="16">
        <v>0.04</v>
      </c>
      <c r="G7537" s="15" t="s">
        <v>101</v>
      </c>
      <c r="H7537" s="18">
        <v>-43.45</v>
      </c>
      <c r="I7537" s="19">
        <v>5.81</v>
      </c>
      <c r="J7537" s="19">
        <v>3.37</v>
      </c>
      <c r="K7537" s="19" t="s">
        <v>44</v>
      </c>
      <c r="L7537" s="19" t="s">
        <v>120</v>
      </c>
      <c r="M7537" s="15" t="s">
        <v>2262</v>
      </c>
      <c r="N7537" s="15" t="s">
        <v>36</v>
      </c>
      <c r="O7537" s="15" t="s">
        <v>105</v>
      </c>
      <c r="P7537" s="20" t="s">
        <v>763</v>
      </c>
      <c r="Q7537" s="15" t="s">
        <v>79</v>
      </c>
      <c r="R7537" s="4"/>
      <c r="S7537" s="4"/>
    </row>
    <row r="7538" spans="1:19" ht="21" customHeight="1" x14ac:dyDescent="0.25">
      <c r="A7538" s="14">
        <f>DATE(2012,12,31)-954</f>
        <v>40320</v>
      </c>
      <c r="B7538" s="15" t="s">
        <v>1166</v>
      </c>
      <c r="C7538" s="15" t="s">
        <v>85</v>
      </c>
      <c r="D7538" s="16">
        <v>4</v>
      </c>
      <c r="E7538" s="17">
        <v>127.56</v>
      </c>
      <c r="F7538" s="16">
        <v>0.05</v>
      </c>
      <c r="G7538" s="15" t="s">
        <v>32</v>
      </c>
      <c r="H7538" s="18">
        <v>-41.75</v>
      </c>
      <c r="I7538" s="19">
        <v>29.74</v>
      </c>
      <c r="J7538" s="19">
        <v>6.64</v>
      </c>
      <c r="K7538" s="19" t="s">
        <v>44</v>
      </c>
      <c r="L7538" s="19" t="s">
        <v>120</v>
      </c>
      <c r="M7538" s="15" t="s">
        <v>2262</v>
      </c>
      <c r="N7538" s="15" t="s">
        <v>36</v>
      </c>
      <c r="O7538" s="15" t="s">
        <v>37</v>
      </c>
      <c r="P7538" s="20" t="s">
        <v>1111</v>
      </c>
      <c r="Q7538" s="15" t="s">
        <v>83</v>
      </c>
      <c r="R7538" s="4"/>
      <c r="S7538" s="4"/>
    </row>
    <row r="7539" spans="1:19" ht="21" customHeight="1" x14ac:dyDescent="0.25">
      <c r="A7539" s="14">
        <f>DATE(2012,12,31)-1094</f>
        <v>40180</v>
      </c>
      <c r="B7539" s="15" t="s">
        <v>1166</v>
      </c>
      <c r="C7539" s="15" t="s">
        <v>31</v>
      </c>
      <c r="D7539" s="16">
        <v>34</v>
      </c>
      <c r="E7539" s="17">
        <v>70.25</v>
      </c>
      <c r="F7539" s="16">
        <v>0.1</v>
      </c>
      <c r="G7539" s="15" t="s">
        <v>32</v>
      </c>
      <c r="H7539" s="18">
        <v>-133.06</v>
      </c>
      <c r="I7539" s="19">
        <v>2.08</v>
      </c>
      <c r="J7539" s="19">
        <v>5.33</v>
      </c>
      <c r="K7539" s="19" t="s">
        <v>44</v>
      </c>
      <c r="L7539" s="19" t="s">
        <v>89</v>
      </c>
      <c r="M7539" s="15" t="s">
        <v>2337</v>
      </c>
      <c r="N7539" s="15" t="s">
        <v>54</v>
      </c>
      <c r="O7539" s="15" t="s">
        <v>55</v>
      </c>
      <c r="P7539" s="20" t="s">
        <v>1053</v>
      </c>
      <c r="Q7539" s="15" t="s">
        <v>83</v>
      </c>
      <c r="R7539" s="4"/>
      <c r="S7539" s="4"/>
    </row>
    <row r="7540" spans="1:19" ht="21" customHeight="1" x14ac:dyDescent="0.25">
      <c r="A7540" s="14">
        <f>DATE(2012,12,31)-805</f>
        <v>40469</v>
      </c>
      <c r="B7540" s="15" t="s">
        <v>799</v>
      </c>
      <c r="C7540" s="15" t="s">
        <v>31</v>
      </c>
      <c r="D7540" s="16">
        <v>3</v>
      </c>
      <c r="E7540" s="17">
        <v>124.75</v>
      </c>
      <c r="F7540" s="16">
        <v>0.06</v>
      </c>
      <c r="G7540" s="15" t="s">
        <v>32</v>
      </c>
      <c r="H7540" s="18">
        <v>-112.64</v>
      </c>
      <c r="I7540" s="19">
        <v>40.96</v>
      </c>
      <c r="J7540" s="19">
        <v>1.99</v>
      </c>
      <c r="K7540" s="19" t="s">
        <v>44</v>
      </c>
      <c r="L7540" s="19" t="s">
        <v>89</v>
      </c>
      <c r="M7540" s="15" t="s">
        <v>2337</v>
      </c>
      <c r="N7540" s="15" t="s">
        <v>64</v>
      </c>
      <c r="O7540" s="15" t="s">
        <v>72</v>
      </c>
      <c r="P7540" s="20" t="s">
        <v>930</v>
      </c>
      <c r="Q7540" s="15" t="s">
        <v>49</v>
      </c>
      <c r="R7540" s="4"/>
      <c r="S7540" s="4"/>
    </row>
    <row r="7541" spans="1:19" ht="21" customHeight="1" x14ac:dyDescent="0.25">
      <c r="A7541" s="14">
        <f>DATE(2012,12,31)-558</f>
        <v>40716</v>
      </c>
      <c r="B7541" s="15" t="s">
        <v>799</v>
      </c>
      <c r="C7541" s="15" t="s">
        <v>85</v>
      </c>
      <c r="D7541" s="16">
        <v>12</v>
      </c>
      <c r="E7541" s="17">
        <v>2011.6355000000001</v>
      </c>
      <c r="F7541" s="16">
        <v>0.01</v>
      </c>
      <c r="G7541" s="15" t="s">
        <v>101</v>
      </c>
      <c r="H7541" s="18">
        <v>-53.691000000000003</v>
      </c>
      <c r="I7541" s="19">
        <v>195.99</v>
      </c>
      <c r="J7541" s="19">
        <v>3.99</v>
      </c>
      <c r="K7541" s="19" t="s">
        <v>44</v>
      </c>
      <c r="L7541" s="19" t="s">
        <v>120</v>
      </c>
      <c r="M7541" s="15" t="s">
        <v>2262</v>
      </c>
      <c r="N7541" s="15" t="s">
        <v>64</v>
      </c>
      <c r="O7541" s="15" t="s">
        <v>65</v>
      </c>
      <c r="P7541" s="20" t="s">
        <v>399</v>
      </c>
      <c r="Q7541" s="15" t="s">
        <v>83</v>
      </c>
      <c r="R7541" s="4"/>
      <c r="S7541" s="4"/>
    </row>
    <row r="7542" spans="1:19" ht="21" customHeight="1" x14ac:dyDescent="0.25">
      <c r="A7542" s="14">
        <f>DATE(2012,12,31)-1216</f>
        <v>40058</v>
      </c>
      <c r="B7542" s="15" t="s">
        <v>799</v>
      </c>
      <c r="C7542" s="15" t="s">
        <v>85</v>
      </c>
      <c r="D7542" s="16">
        <v>35</v>
      </c>
      <c r="E7542" s="17">
        <v>205.87</v>
      </c>
      <c r="F7542" s="16">
        <v>0.03</v>
      </c>
      <c r="G7542" s="15" t="s">
        <v>32</v>
      </c>
      <c r="H7542" s="18">
        <v>65.88</v>
      </c>
      <c r="I7542" s="19">
        <v>5.68</v>
      </c>
      <c r="J7542" s="19">
        <v>1.46</v>
      </c>
      <c r="K7542" s="19" t="s">
        <v>44</v>
      </c>
      <c r="L7542" s="19" t="s">
        <v>45</v>
      </c>
      <c r="M7542" s="15" t="s">
        <v>2271</v>
      </c>
      <c r="N7542" s="15" t="s">
        <v>36</v>
      </c>
      <c r="O7542" s="15" t="s">
        <v>117</v>
      </c>
      <c r="P7542" s="20" t="s">
        <v>1145</v>
      </c>
      <c r="Q7542" s="15" t="s">
        <v>79</v>
      </c>
      <c r="R7542" s="4"/>
      <c r="S7542" s="4"/>
    </row>
    <row r="7543" spans="1:19" ht="21" customHeight="1" x14ac:dyDescent="0.25">
      <c r="A7543" s="14">
        <f>DATE(2012,12,31)-1216</f>
        <v>40058</v>
      </c>
      <c r="B7543" s="15" t="s">
        <v>1281</v>
      </c>
      <c r="C7543" s="15" t="s">
        <v>85</v>
      </c>
      <c r="D7543" s="16">
        <v>38</v>
      </c>
      <c r="E7543" s="17">
        <v>65.12</v>
      </c>
      <c r="F7543" s="16">
        <v>7.0000000000000007E-2</v>
      </c>
      <c r="G7543" s="15" t="s">
        <v>32</v>
      </c>
      <c r="H7543" s="18">
        <v>1.42</v>
      </c>
      <c r="I7543" s="19">
        <v>1.68</v>
      </c>
      <c r="J7543" s="19">
        <v>1</v>
      </c>
      <c r="K7543" s="19" t="s">
        <v>44</v>
      </c>
      <c r="L7543" s="19" t="s">
        <v>120</v>
      </c>
      <c r="M7543" s="15" t="s">
        <v>2262</v>
      </c>
      <c r="N7543" s="15" t="s">
        <v>36</v>
      </c>
      <c r="O7543" s="15" t="s">
        <v>77</v>
      </c>
      <c r="P7543" s="20" t="s">
        <v>1168</v>
      </c>
      <c r="Q7543" s="15" t="s">
        <v>79</v>
      </c>
      <c r="R7543" s="4"/>
      <c r="S7543" s="4"/>
    </row>
    <row r="7544" spans="1:19" ht="21" customHeight="1" x14ac:dyDescent="0.25">
      <c r="A7544" s="14">
        <f>DATE(2012,12,31)-553</f>
        <v>40721</v>
      </c>
      <c r="B7544" s="15" t="s">
        <v>1943</v>
      </c>
      <c r="C7544" s="15" t="s">
        <v>43</v>
      </c>
      <c r="D7544" s="16">
        <v>33</v>
      </c>
      <c r="E7544" s="17">
        <v>2492.9699999999998</v>
      </c>
      <c r="F7544" s="16">
        <v>0.06</v>
      </c>
      <c r="G7544" s="15" t="s">
        <v>32</v>
      </c>
      <c r="H7544" s="18">
        <v>131.02000000000001</v>
      </c>
      <c r="I7544" s="19">
        <v>73.98</v>
      </c>
      <c r="J7544" s="19">
        <v>14.52</v>
      </c>
      <c r="K7544" s="19" t="s">
        <v>33</v>
      </c>
      <c r="L7544" s="19" t="s">
        <v>128</v>
      </c>
      <c r="M7544" s="15" t="s">
        <v>129</v>
      </c>
      <c r="N7544" s="15" t="s">
        <v>64</v>
      </c>
      <c r="O7544" s="15" t="s">
        <v>72</v>
      </c>
      <c r="P7544" s="20" t="s">
        <v>180</v>
      </c>
      <c r="Q7544" s="15" t="s">
        <v>83</v>
      </c>
      <c r="R7544" s="4"/>
      <c r="S7544" s="4"/>
    </row>
    <row r="7545" spans="1:19" ht="21" customHeight="1" x14ac:dyDescent="0.25">
      <c r="A7545" s="14">
        <f>DATE(2012,12,31)-341</f>
        <v>40933</v>
      </c>
      <c r="B7545" s="15" t="s">
        <v>2103</v>
      </c>
      <c r="C7545" s="15" t="s">
        <v>85</v>
      </c>
      <c r="D7545" s="16">
        <v>12</v>
      </c>
      <c r="E7545" s="17">
        <v>480.73</v>
      </c>
      <c r="F7545" s="16">
        <v>0.1</v>
      </c>
      <c r="G7545" s="15" t="s">
        <v>32</v>
      </c>
      <c r="H7545" s="18">
        <v>148.19749999999999</v>
      </c>
      <c r="I7545" s="19">
        <v>42.8</v>
      </c>
      <c r="J7545" s="19">
        <v>2.99</v>
      </c>
      <c r="K7545" s="19" t="s">
        <v>33</v>
      </c>
      <c r="L7545" s="19" t="s">
        <v>128</v>
      </c>
      <c r="M7545" s="15" t="s">
        <v>129</v>
      </c>
      <c r="N7545" s="15" t="s">
        <v>36</v>
      </c>
      <c r="O7545" s="15" t="s">
        <v>170</v>
      </c>
      <c r="P7545" s="20" t="s">
        <v>1955</v>
      </c>
      <c r="Q7545" s="15" t="s">
        <v>83</v>
      </c>
      <c r="R7545" s="4"/>
      <c r="S7545" s="4"/>
    </row>
    <row r="7546" spans="1:19" ht="21" customHeight="1" x14ac:dyDescent="0.25">
      <c r="A7546" s="14">
        <f>DATE(2012,12,31)-341</f>
        <v>40933</v>
      </c>
      <c r="B7546" s="15" t="s">
        <v>167</v>
      </c>
      <c r="C7546" s="15" t="s">
        <v>85</v>
      </c>
      <c r="D7546" s="16">
        <v>25</v>
      </c>
      <c r="E7546" s="17">
        <v>159</v>
      </c>
      <c r="F7546" s="16">
        <v>0.1</v>
      </c>
      <c r="G7546" s="15" t="s">
        <v>32</v>
      </c>
      <c r="H7546" s="18">
        <v>-98.15</v>
      </c>
      <c r="I7546" s="19">
        <v>6.48</v>
      </c>
      <c r="J7546" s="19">
        <v>7.37</v>
      </c>
      <c r="K7546" s="19" t="s">
        <v>33</v>
      </c>
      <c r="L7546" s="19" t="s">
        <v>93</v>
      </c>
      <c r="M7546" s="15" t="s">
        <v>94</v>
      </c>
      <c r="N7546" s="15" t="s">
        <v>36</v>
      </c>
      <c r="O7546" s="15" t="s">
        <v>117</v>
      </c>
      <c r="P7546" s="20" t="s">
        <v>980</v>
      </c>
      <c r="Q7546" s="15" t="s">
        <v>83</v>
      </c>
      <c r="R7546" s="4"/>
      <c r="S7546" s="4"/>
    </row>
    <row r="7547" spans="1:19" ht="21" customHeight="1" x14ac:dyDescent="0.25">
      <c r="A7547" s="14">
        <f>DATE(2012,12,31)-70</f>
        <v>41204</v>
      </c>
      <c r="B7547" s="15" t="s">
        <v>610</v>
      </c>
      <c r="C7547" s="15" t="s">
        <v>85</v>
      </c>
      <c r="D7547" s="16">
        <v>43</v>
      </c>
      <c r="E7547" s="17">
        <v>913.99</v>
      </c>
      <c r="F7547" s="16">
        <v>0.08</v>
      </c>
      <c r="G7547" s="15" t="s">
        <v>32</v>
      </c>
      <c r="H7547" s="18">
        <v>-57.75</v>
      </c>
      <c r="I7547" s="19">
        <v>21.38</v>
      </c>
      <c r="J7547" s="19">
        <v>8.99</v>
      </c>
      <c r="K7547" s="19" t="s">
        <v>33</v>
      </c>
      <c r="L7547" s="19" t="s">
        <v>128</v>
      </c>
      <c r="M7547" s="15" t="s">
        <v>129</v>
      </c>
      <c r="N7547" s="15" t="s">
        <v>36</v>
      </c>
      <c r="O7547" s="15" t="s">
        <v>77</v>
      </c>
      <c r="P7547" s="20" t="s">
        <v>583</v>
      </c>
      <c r="Q7547" s="15" t="s">
        <v>49</v>
      </c>
      <c r="R7547" s="4"/>
      <c r="S7547" s="4"/>
    </row>
    <row r="7548" spans="1:19" ht="21" customHeight="1" x14ac:dyDescent="0.25">
      <c r="A7548" s="14">
        <f>DATE(2012,12,31)-227</f>
        <v>41047</v>
      </c>
      <c r="B7548" s="15" t="s">
        <v>491</v>
      </c>
      <c r="C7548" s="15" t="s">
        <v>51</v>
      </c>
      <c r="D7548" s="16">
        <v>12</v>
      </c>
      <c r="E7548" s="17">
        <v>2608.79</v>
      </c>
      <c r="F7548" s="16">
        <v>0.03</v>
      </c>
      <c r="G7548" s="15" t="s">
        <v>58</v>
      </c>
      <c r="H7548" s="18">
        <v>67.36000000000007</v>
      </c>
      <c r="I7548" s="19">
        <v>213.45</v>
      </c>
      <c r="J7548" s="19">
        <v>14.7</v>
      </c>
      <c r="K7548" s="19" t="s">
        <v>97</v>
      </c>
      <c r="L7548" s="19" t="s">
        <v>283</v>
      </c>
      <c r="M7548" s="15" t="s">
        <v>2306</v>
      </c>
      <c r="N7548" s="15" t="s">
        <v>64</v>
      </c>
      <c r="O7548" s="15" t="s">
        <v>122</v>
      </c>
      <c r="P7548" s="20" t="s">
        <v>356</v>
      </c>
      <c r="Q7548" s="15" t="s">
        <v>181</v>
      </c>
      <c r="R7548" s="4"/>
      <c r="S7548" s="4"/>
    </row>
    <row r="7549" spans="1:19" ht="21" customHeight="1" x14ac:dyDescent="0.25">
      <c r="A7549" s="14">
        <f>DATE(2012,12,31)-260</f>
        <v>41014</v>
      </c>
      <c r="B7549" s="15" t="s">
        <v>336</v>
      </c>
      <c r="C7549" s="15" t="s">
        <v>85</v>
      </c>
      <c r="D7549" s="16">
        <v>32</v>
      </c>
      <c r="E7549" s="17">
        <v>2773.71</v>
      </c>
      <c r="F7549" s="16">
        <v>0.02</v>
      </c>
      <c r="G7549" s="15" t="s">
        <v>101</v>
      </c>
      <c r="H7549" s="18">
        <v>1097.25</v>
      </c>
      <c r="I7549" s="19">
        <v>82.99</v>
      </c>
      <c r="J7549" s="19">
        <v>5.5</v>
      </c>
      <c r="K7549" s="19" t="s">
        <v>97</v>
      </c>
      <c r="L7549" s="19" t="s">
        <v>132</v>
      </c>
      <c r="M7549" s="15" t="s">
        <v>2294</v>
      </c>
      <c r="N7549" s="15" t="s">
        <v>64</v>
      </c>
      <c r="O7549" s="15" t="s">
        <v>72</v>
      </c>
      <c r="P7549" s="20" t="s">
        <v>1010</v>
      </c>
      <c r="Q7549" s="15" t="s">
        <v>83</v>
      </c>
      <c r="R7549" s="4"/>
      <c r="S7549" s="4"/>
    </row>
    <row r="7550" spans="1:19" ht="21" customHeight="1" x14ac:dyDescent="0.25">
      <c r="A7550" s="14">
        <f>DATE(2012,12,31)-260</f>
        <v>41014</v>
      </c>
      <c r="B7550" s="15" t="s">
        <v>921</v>
      </c>
      <c r="C7550" s="15" t="s">
        <v>85</v>
      </c>
      <c r="D7550" s="16">
        <v>9</v>
      </c>
      <c r="E7550" s="17">
        <v>113.89</v>
      </c>
      <c r="F7550" s="16">
        <v>0.02</v>
      </c>
      <c r="G7550" s="15" t="s">
        <v>32</v>
      </c>
      <c r="H7550" s="18">
        <v>-52.25</v>
      </c>
      <c r="I7550" s="19">
        <v>11.66</v>
      </c>
      <c r="J7550" s="19">
        <v>8.99</v>
      </c>
      <c r="K7550" s="19" t="s">
        <v>97</v>
      </c>
      <c r="L7550" s="19" t="s">
        <v>98</v>
      </c>
      <c r="M7550" s="15" t="s">
        <v>2328</v>
      </c>
      <c r="N7550" s="15" t="s">
        <v>36</v>
      </c>
      <c r="O7550" s="15" t="s">
        <v>77</v>
      </c>
      <c r="P7550" s="20" t="s">
        <v>1878</v>
      </c>
      <c r="Q7550" s="15" t="s">
        <v>49</v>
      </c>
      <c r="R7550" s="4"/>
      <c r="S7550" s="4"/>
    </row>
    <row r="7551" spans="1:19" ht="21" customHeight="1" x14ac:dyDescent="0.25">
      <c r="A7551" s="14">
        <f>DATE(2012,12,31)-138</f>
        <v>41136</v>
      </c>
      <c r="B7551" s="15" t="s">
        <v>1692</v>
      </c>
      <c r="C7551" s="15" t="s">
        <v>85</v>
      </c>
      <c r="D7551" s="16">
        <v>21</v>
      </c>
      <c r="E7551" s="17">
        <v>664.98900000000003</v>
      </c>
      <c r="F7551" s="16">
        <v>0.04</v>
      </c>
      <c r="G7551" s="15" t="s">
        <v>32</v>
      </c>
      <c r="H7551" s="18">
        <v>170.46</v>
      </c>
      <c r="I7551" s="19">
        <v>35.99</v>
      </c>
      <c r="J7551" s="19">
        <v>5.99</v>
      </c>
      <c r="K7551" s="19" t="s">
        <v>97</v>
      </c>
      <c r="L7551" s="19" t="s">
        <v>132</v>
      </c>
      <c r="M7551" s="15" t="s">
        <v>2294</v>
      </c>
      <c r="N7551" s="15" t="s">
        <v>64</v>
      </c>
      <c r="O7551" s="15" t="s">
        <v>65</v>
      </c>
      <c r="P7551" s="20" t="s">
        <v>1437</v>
      </c>
      <c r="Q7551" s="15" t="s">
        <v>79</v>
      </c>
      <c r="R7551" s="4"/>
      <c r="S7551" s="4"/>
    </row>
    <row r="7552" spans="1:19" ht="21" customHeight="1" x14ac:dyDescent="0.25">
      <c r="A7552" s="14">
        <f>DATE(2012,12,31)-364</f>
        <v>40910</v>
      </c>
      <c r="B7552" s="15" t="s">
        <v>1692</v>
      </c>
      <c r="C7552" s="15" t="s">
        <v>85</v>
      </c>
      <c r="D7552" s="16">
        <v>38</v>
      </c>
      <c r="E7552" s="17">
        <v>7325.63</v>
      </c>
      <c r="F7552" s="16">
        <v>0.04</v>
      </c>
      <c r="G7552" s="15" t="s">
        <v>101</v>
      </c>
      <c r="H7552" s="18">
        <v>1899.23</v>
      </c>
      <c r="I7552" s="19">
        <v>199.99</v>
      </c>
      <c r="J7552" s="19">
        <v>24.49</v>
      </c>
      <c r="K7552" s="19" t="s">
        <v>97</v>
      </c>
      <c r="L7552" s="19" t="s">
        <v>132</v>
      </c>
      <c r="M7552" s="15" t="s">
        <v>2294</v>
      </c>
      <c r="N7552" s="15" t="s">
        <v>64</v>
      </c>
      <c r="O7552" s="15" t="s">
        <v>460</v>
      </c>
      <c r="P7552" s="20" t="s">
        <v>522</v>
      </c>
      <c r="Q7552" s="15" t="s">
        <v>39</v>
      </c>
      <c r="R7552" s="4"/>
      <c r="S7552" s="4"/>
    </row>
    <row r="7553" spans="1:19" ht="21" customHeight="1" x14ac:dyDescent="0.25">
      <c r="A7553" s="14">
        <f>DATE(2012,12,31)-437</f>
        <v>40837</v>
      </c>
      <c r="B7553" s="15" t="s">
        <v>1088</v>
      </c>
      <c r="C7553" s="15" t="s">
        <v>51</v>
      </c>
      <c r="D7553" s="16">
        <v>14</v>
      </c>
      <c r="E7553" s="17">
        <v>321.20999999999998</v>
      </c>
      <c r="F7553" s="16">
        <v>0.04</v>
      </c>
      <c r="G7553" s="15" t="s">
        <v>32</v>
      </c>
      <c r="H7553" s="18">
        <v>53.44</v>
      </c>
      <c r="I7553" s="19">
        <v>22.98</v>
      </c>
      <c r="J7553" s="19">
        <v>1.99</v>
      </c>
      <c r="K7553" s="19" t="s">
        <v>97</v>
      </c>
      <c r="L7553" s="19" t="s">
        <v>98</v>
      </c>
      <c r="M7553" s="15" t="s">
        <v>2328</v>
      </c>
      <c r="N7553" s="15" t="s">
        <v>64</v>
      </c>
      <c r="O7553" s="15" t="s">
        <v>72</v>
      </c>
      <c r="P7553" s="20" t="s">
        <v>1218</v>
      </c>
      <c r="Q7553" s="15" t="s">
        <v>49</v>
      </c>
      <c r="R7553" s="4"/>
      <c r="S7553" s="4"/>
    </row>
    <row r="7554" spans="1:19" ht="21" customHeight="1" x14ac:dyDescent="0.25">
      <c r="A7554" s="14">
        <f>DATE(2012,12,31)-1202</f>
        <v>40072</v>
      </c>
      <c r="B7554" s="15" t="s">
        <v>330</v>
      </c>
      <c r="C7554" s="15" t="s">
        <v>31</v>
      </c>
      <c r="D7554" s="16">
        <v>6</v>
      </c>
      <c r="E7554" s="17">
        <v>907.24</v>
      </c>
      <c r="F7554" s="16">
        <v>7.0000000000000007E-2</v>
      </c>
      <c r="G7554" s="15" t="s">
        <v>101</v>
      </c>
      <c r="H7554" s="18">
        <v>-634.73410000000013</v>
      </c>
      <c r="I7554" s="19">
        <v>154.13</v>
      </c>
      <c r="J7554" s="19">
        <v>69</v>
      </c>
      <c r="K7554" s="19" t="s">
        <v>97</v>
      </c>
      <c r="L7554" s="19" t="s">
        <v>98</v>
      </c>
      <c r="M7554" s="15" t="s">
        <v>2328</v>
      </c>
      <c r="N7554" s="15" t="s">
        <v>54</v>
      </c>
      <c r="O7554" s="15" t="s">
        <v>61</v>
      </c>
      <c r="P7554" s="20" t="s">
        <v>1039</v>
      </c>
      <c r="Q7554" s="15" t="s">
        <v>39</v>
      </c>
      <c r="R7554" s="4"/>
      <c r="S7554" s="4"/>
    </row>
    <row r="7555" spans="1:19" ht="21" customHeight="1" x14ac:dyDescent="0.25">
      <c r="A7555" s="14">
        <f>DATE(2012,12,31)-648</f>
        <v>40626</v>
      </c>
      <c r="B7555" s="15" t="s">
        <v>330</v>
      </c>
      <c r="C7555" s="15" t="s">
        <v>85</v>
      </c>
      <c r="D7555" s="16">
        <v>5</v>
      </c>
      <c r="E7555" s="17">
        <v>83.3</v>
      </c>
      <c r="F7555" s="16">
        <v>0.09</v>
      </c>
      <c r="G7555" s="15" t="s">
        <v>32</v>
      </c>
      <c r="H7555" s="18">
        <v>-114.90599999999999</v>
      </c>
      <c r="I7555" s="19">
        <v>20.99</v>
      </c>
      <c r="J7555" s="19">
        <v>2.5</v>
      </c>
      <c r="K7555" s="19" t="s">
        <v>97</v>
      </c>
      <c r="L7555" s="19" t="s">
        <v>132</v>
      </c>
      <c r="M7555" s="15" t="s">
        <v>2294</v>
      </c>
      <c r="N7555" s="15" t="s">
        <v>64</v>
      </c>
      <c r="O7555" s="15" t="s">
        <v>65</v>
      </c>
      <c r="P7555" s="20" t="s">
        <v>926</v>
      </c>
      <c r="Q7555" s="15" t="s">
        <v>79</v>
      </c>
      <c r="R7555" s="4"/>
      <c r="S7555" s="4"/>
    </row>
    <row r="7556" spans="1:19" ht="21" customHeight="1" x14ac:dyDescent="0.25">
      <c r="A7556" s="14">
        <f>DATE(2012,12,31)-769</f>
        <v>40505</v>
      </c>
      <c r="B7556" s="15" t="s">
        <v>804</v>
      </c>
      <c r="C7556" s="15" t="s">
        <v>43</v>
      </c>
      <c r="D7556" s="16">
        <v>20</v>
      </c>
      <c r="E7556" s="17">
        <v>1583.06</v>
      </c>
      <c r="F7556" s="16">
        <v>0.05</v>
      </c>
      <c r="G7556" s="15" t="s">
        <v>32</v>
      </c>
      <c r="H7556" s="18">
        <v>328</v>
      </c>
      <c r="I7556" s="19">
        <v>78.650000000000006</v>
      </c>
      <c r="J7556" s="19">
        <v>13.99</v>
      </c>
      <c r="K7556" s="19" t="s">
        <v>111</v>
      </c>
      <c r="L7556" s="19" t="s">
        <v>407</v>
      </c>
      <c r="M7556" s="15" t="s">
        <v>407</v>
      </c>
      <c r="N7556" s="15" t="s">
        <v>36</v>
      </c>
      <c r="O7556" s="15" t="s">
        <v>176</v>
      </c>
      <c r="P7556" s="20" t="s">
        <v>975</v>
      </c>
      <c r="Q7556" s="15" t="s">
        <v>57</v>
      </c>
      <c r="R7556" s="4"/>
      <c r="S7556" s="4"/>
    </row>
    <row r="7557" spans="1:19" ht="21" customHeight="1" x14ac:dyDescent="0.25">
      <c r="A7557" s="14">
        <f>DATE(2012,12,31)-1059</f>
        <v>40215</v>
      </c>
      <c r="B7557" s="15" t="s">
        <v>804</v>
      </c>
      <c r="C7557" s="15" t="s">
        <v>43</v>
      </c>
      <c r="D7557" s="16">
        <v>21</v>
      </c>
      <c r="E7557" s="17">
        <v>756.6</v>
      </c>
      <c r="F7557" s="16">
        <v>0</v>
      </c>
      <c r="G7557" s="15" t="s">
        <v>32</v>
      </c>
      <c r="H7557" s="18">
        <v>299.58999999999997</v>
      </c>
      <c r="I7557" s="19">
        <v>35.44</v>
      </c>
      <c r="J7557" s="19">
        <v>4.92</v>
      </c>
      <c r="K7557" s="19" t="s">
        <v>124</v>
      </c>
      <c r="L7557" s="19" t="s">
        <v>160</v>
      </c>
      <c r="M7557" s="15" t="s">
        <v>2281</v>
      </c>
      <c r="N7557" s="15" t="s">
        <v>36</v>
      </c>
      <c r="O7557" s="15" t="s">
        <v>117</v>
      </c>
      <c r="P7557" s="20" t="s">
        <v>1145</v>
      </c>
      <c r="Q7557" s="15" t="s">
        <v>83</v>
      </c>
      <c r="R7557" s="4"/>
      <c r="S7557" s="4"/>
    </row>
    <row r="7558" spans="1:19" ht="21" customHeight="1" x14ac:dyDescent="0.25">
      <c r="A7558" s="14">
        <f>DATE(2012,12,31)-520</f>
        <v>40754</v>
      </c>
      <c r="B7558" s="15" t="s">
        <v>426</v>
      </c>
      <c r="C7558" s="15" t="s">
        <v>51</v>
      </c>
      <c r="D7558" s="16">
        <v>41</v>
      </c>
      <c r="E7558" s="17">
        <v>10071.09</v>
      </c>
      <c r="F7558" s="16">
        <v>0.1</v>
      </c>
      <c r="G7558" s="15" t="s">
        <v>58</v>
      </c>
      <c r="H7558" s="18">
        <v>1977.69</v>
      </c>
      <c r="I7558" s="19">
        <v>264.98</v>
      </c>
      <c r="J7558" s="19">
        <v>17.86</v>
      </c>
      <c r="K7558" s="19" t="s">
        <v>124</v>
      </c>
      <c r="L7558" s="19" t="s">
        <v>493</v>
      </c>
      <c r="M7558" s="15" t="s">
        <v>2350</v>
      </c>
      <c r="N7558" s="15" t="s">
        <v>64</v>
      </c>
      <c r="O7558" s="15" t="s">
        <v>122</v>
      </c>
      <c r="P7558" s="20" t="s">
        <v>280</v>
      </c>
      <c r="Q7558" s="15" t="s">
        <v>181</v>
      </c>
      <c r="R7558" s="4"/>
      <c r="S7558" s="4"/>
    </row>
    <row r="7559" spans="1:19" ht="21" customHeight="1" x14ac:dyDescent="0.25">
      <c r="A7559" s="14">
        <f>DATE(2012,12,31)-1048</f>
        <v>40226</v>
      </c>
      <c r="B7559" s="15" t="s">
        <v>1952</v>
      </c>
      <c r="C7559" s="15" t="s">
        <v>51</v>
      </c>
      <c r="D7559" s="16">
        <v>11</v>
      </c>
      <c r="E7559" s="17">
        <v>558.62</v>
      </c>
      <c r="F7559" s="16">
        <v>0.03</v>
      </c>
      <c r="G7559" s="15" t="s">
        <v>32</v>
      </c>
      <c r="H7559" s="18">
        <v>118.32</v>
      </c>
      <c r="I7559" s="19">
        <v>48.58</v>
      </c>
      <c r="J7559" s="19">
        <v>3.99</v>
      </c>
      <c r="K7559" s="19" t="s">
        <v>124</v>
      </c>
      <c r="L7559" s="19" t="s">
        <v>160</v>
      </c>
      <c r="M7559" s="15" t="s">
        <v>2281</v>
      </c>
      <c r="N7559" s="15" t="s">
        <v>36</v>
      </c>
      <c r="O7559" s="15" t="s">
        <v>176</v>
      </c>
      <c r="P7559" s="20" t="s">
        <v>382</v>
      </c>
      <c r="Q7559" s="15" t="s">
        <v>83</v>
      </c>
      <c r="R7559" s="4"/>
      <c r="S7559" s="4"/>
    </row>
    <row r="7560" spans="1:19" ht="21" customHeight="1" x14ac:dyDescent="0.25">
      <c r="A7560" s="14">
        <f>DATE(2012,12,31)-358</f>
        <v>40916</v>
      </c>
      <c r="B7560" s="15" t="s">
        <v>481</v>
      </c>
      <c r="C7560" s="15" t="s">
        <v>51</v>
      </c>
      <c r="D7560" s="16">
        <v>15</v>
      </c>
      <c r="E7560" s="17">
        <v>243.52</v>
      </c>
      <c r="F7560" s="16">
        <v>0.01</v>
      </c>
      <c r="G7560" s="15" t="s">
        <v>32</v>
      </c>
      <c r="H7560" s="18">
        <v>-59.64</v>
      </c>
      <c r="I7560" s="19">
        <v>14.89</v>
      </c>
      <c r="J7560" s="19">
        <v>13.56</v>
      </c>
      <c r="K7560" s="19" t="s">
        <v>124</v>
      </c>
      <c r="L7560" s="19" t="s">
        <v>493</v>
      </c>
      <c r="M7560" s="15" t="s">
        <v>2350</v>
      </c>
      <c r="N7560" s="15" t="s">
        <v>54</v>
      </c>
      <c r="O7560" s="15" t="s">
        <v>55</v>
      </c>
      <c r="P7560" s="20" t="s">
        <v>682</v>
      </c>
      <c r="Q7560" s="15" t="s">
        <v>39</v>
      </c>
      <c r="R7560" s="4"/>
      <c r="S7560" s="4"/>
    </row>
    <row r="7561" spans="1:19" ht="21" customHeight="1" x14ac:dyDescent="0.25">
      <c r="A7561" s="14">
        <f>DATE(2012,12,31)-358</f>
        <v>40916</v>
      </c>
      <c r="B7561" s="15" t="s">
        <v>1026</v>
      </c>
      <c r="C7561" s="15" t="s">
        <v>51</v>
      </c>
      <c r="D7561" s="16">
        <v>14</v>
      </c>
      <c r="E7561" s="17">
        <v>3849.8</v>
      </c>
      <c r="F7561" s="16">
        <v>0.04</v>
      </c>
      <c r="G7561" s="15" t="s">
        <v>58</v>
      </c>
      <c r="H7561" s="18">
        <v>192.2</v>
      </c>
      <c r="I7561" s="19">
        <v>280.98</v>
      </c>
      <c r="J7561" s="19">
        <v>35.67</v>
      </c>
      <c r="K7561" s="19" t="s">
        <v>124</v>
      </c>
      <c r="L7561" s="19" t="s">
        <v>160</v>
      </c>
      <c r="M7561" s="15" t="s">
        <v>2281</v>
      </c>
      <c r="N7561" s="15" t="s">
        <v>54</v>
      </c>
      <c r="O7561" s="15" t="s">
        <v>61</v>
      </c>
      <c r="P7561" s="20" t="s">
        <v>1117</v>
      </c>
      <c r="Q7561" s="15" t="s">
        <v>63</v>
      </c>
      <c r="R7561" s="4"/>
      <c r="S7561" s="4"/>
    </row>
    <row r="7562" spans="1:19" ht="21" customHeight="1" x14ac:dyDescent="0.25">
      <c r="A7562" s="14">
        <f>DATE(2012,12,31)-358</f>
        <v>40916</v>
      </c>
      <c r="B7562" s="15" t="s">
        <v>701</v>
      </c>
      <c r="C7562" s="15" t="s">
        <v>51</v>
      </c>
      <c r="D7562" s="16">
        <v>41</v>
      </c>
      <c r="E7562" s="17">
        <v>198.29</v>
      </c>
      <c r="F7562" s="16">
        <v>0.08</v>
      </c>
      <c r="G7562" s="15" t="s">
        <v>32</v>
      </c>
      <c r="H7562" s="18">
        <v>-134.41200000000001</v>
      </c>
      <c r="I7562" s="19">
        <v>4.91</v>
      </c>
      <c r="J7562" s="19">
        <v>5.68</v>
      </c>
      <c r="K7562" s="19" t="s">
        <v>124</v>
      </c>
      <c r="L7562" s="19" t="s">
        <v>160</v>
      </c>
      <c r="M7562" s="15" t="s">
        <v>2281</v>
      </c>
      <c r="N7562" s="15" t="s">
        <v>36</v>
      </c>
      <c r="O7562" s="15" t="s">
        <v>170</v>
      </c>
      <c r="P7562" s="20" t="s">
        <v>1865</v>
      </c>
      <c r="Q7562" s="15" t="s">
        <v>83</v>
      </c>
      <c r="R7562" s="4"/>
      <c r="S7562" s="4"/>
    </row>
    <row r="7563" spans="1:19" ht="21" customHeight="1" x14ac:dyDescent="0.25">
      <c r="A7563" s="14">
        <f>DATE(2012,12,31)-991</f>
        <v>40283</v>
      </c>
      <c r="B7563" s="15" t="s">
        <v>550</v>
      </c>
      <c r="C7563" s="15" t="s">
        <v>85</v>
      </c>
      <c r="D7563" s="16">
        <v>50</v>
      </c>
      <c r="E7563" s="17">
        <v>952.21</v>
      </c>
      <c r="F7563" s="16">
        <v>0.05</v>
      </c>
      <c r="G7563" s="15" t="s">
        <v>32</v>
      </c>
      <c r="H7563" s="18">
        <v>403.83</v>
      </c>
      <c r="I7563" s="19">
        <v>18.84</v>
      </c>
      <c r="J7563" s="19">
        <v>3.62</v>
      </c>
      <c r="K7563" s="19" t="s">
        <v>124</v>
      </c>
      <c r="L7563" s="19" t="s">
        <v>160</v>
      </c>
      <c r="M7563" s="15" t="s">
        <v>2281</v>
      </c>
      <c r="N7563" s="15" t="s">
        <v>54</v>
      </c>
      <c r="O7563" s="15" t="s">
        <v>55</v>
      </c>
      <c r="P7563" s="20" t="s">
        <v>1179</v>
      </c>
      <c r="Q7563" s="15" t="s">
        <v>79</v>
      </c>
      <c r="R7563" s="4"/>
      <c r="S7563" s="4"/>
    </row>
    <row r="7564" spans="1:19" ht="21" customHeight="1" x14ac:dyDescent="0.25">
      <c r="A7564" s="14">
        <f>DATE(2012,12,31)-243</f>
        <v>41031</v>
      </c>
      <c r="B7564" s="15" t="s">
        <v>550</v>
      </c>
      <c r="C7564" s="15" t="s">
        <v>31</v>
      </c>
      <c r="D7564" s="16">
        <v>48</v>
      </c>
      <c r="E7564" s="17">
        <v>3005.74</v>
      </c>
      <c r="F7564" s="16">
        <v>0.02</v>
      </c>
      <c r="G7564" s="15" t="s">
        <v>101</v>
      </c>
      <c r="H7564" s="18">
        <v>1053.21</v>
      </c>
      <c r="I7564" s="19">
        <v>59.98</v>
      </c>
      <c r="J7564" s="19">
        <v>3.99</v>
      </c>
      <c r="K7564" s="19" t="s">
        <v>124</v>
      </c>
      <c r="L7564" s="19" t="s">
        <v>160</v>
      </c>
      <c r="M7564" s="15" t="s">
        <v>2281</v>
      </c>
      <c r="N7564" s="15" t="s">
        <v>36</v>
      </c>
      <c r="O7564" s="15" t="s">
        <v>176</v>
      </c>
      <c r="P7564" s="20" t="s">
        <v>1570</v>
      </c>
      <c r="Q7564" s="15" t="s">
        <v>83</v>
      </c>
      <c r="R7564" s="4"/>
      <c r="S7564" s="4"/>
    </row>
    <row r="7565" spans="1:19" ht="21" customHeight="1" x14ac:dyDescent="0.25">
      <c r="A7565" s="14">
        <f>DATE(2012,12,31)-243</f>
        <v>41031</v>
      </c>
      <c r="B7565" s="15" t="s">
        <v>204</v>
      </c>
      <c r="C7565" s="15" t="s">
        <v>31</v>
      </c>
      <c r="D7565" s="16">
        <v>41</v>
      </c>
      <c r="E7565" s="17">
        <v>2209.5155</v>
      </c>
      <c r="F7565" s="16">
        <v>0.06</v>
      </c>
      <c r="G7565" s="15" t="s">
        <v>32</v>
      </c>
      <c r="H7565" s="18">
        <v>458.62199999999996</v>
      </c>
      <c r="I7565" s="19">
        <v>65.989999999999995</v>
      </c>
      <c r="J7565" s="19">
        <v>5.31</v>
      </c>
      <c r="K7565" s="19" t="s">
        <v>124</v>
      </c>
      <c r="L7565" s="19" t="s">
        <v>160</v>
      </c>
      <c r="M7565" s="15" t="s">
        <v>2281</v>
      </c>
      <c r="N7565" s="15" t="s">
        <v>64</v>
      </c>
      <c r="O7565" s="15" t="s">
        <v>65</v>
      </c>
      <c r="P7565" s="20" t="s">
        <v>941</v>
      </c>
      <c r="Q7565" s="15" t="s">
        <v>83</v>
      </c>
      <c r="R7565" s="4"/>
      <c r="S7565" s="4"/>
    </row>
    <row r="7566" spans="1:19" ht="21" customHeight="1" x14ac:dyDescent="0.25">
      <c r="A7566" s="14">
        <f>DATE(2012,12,31)-1302</f>
        <v>39972</v>
      </c>
      <c r="B7566" s="15" t="s">
        <v>282</v>
      </c>
      <c r="C7566" s="15" t="s">
        <v>31</v>
      </c>
      <c r="D7566" s="16">
        <v>35</v>
      </c>
      <c r="E7566" s="17">
        <v>3439.39</v>
      </c>
      <c r="F7566" s="16">
        <v>0.05</v>
      </c>
      <c r="G7566" s="15" t="s">
        <v>101</v>
      </c>
      <c r="H7566" s="18">
        <v>1057.6199999999999</v>
      </c>
      <c r="I7566" s="19">
        <v>100.97</v>
      </c>
      <c r="J7566" s="19">
        <v>7.18</v>
      </c>
      <c r="K7566" s="19" t="s">
        <v>124</v>
      </c>
      <c r="L7566" s="19" t="s">
        <v>319</v>
      </c>
      <c r="M7566" s="15" t="s">
        <v>2343</v>
      </c>
      <c r="N7566" s="15" t="s">
        <v>64</v>
      </c>
      <c r="O7566" s="15" t="s">
        <v>72</v>
      </c>
      <c r="P7566" s="20" t="s">
        <v>209</v>
      </c>
      <c r="Q7566" s="15" t="s">
        <v>83</v>
      </c>
      <c r="R7566" s="4"/>
      <c r="S7566" s="4"/>
    </row>
    <row r="7567" spans="1:19" ht="21" customHeight="1" x14ac:dyDescent="0.25">
      <c r="A7567" s="14">
        <f>DATE(2012,12,31)-1302</f>
        <v>39972</v>
      </c>
      <c r="B7567" s="15" t="s">
        <v>282</v>
      </c>
      <c r="C7567" s="15" t="s">
        <v>31</v>
      </c>
      <c r="D7567" s="16">
        <v>2</v>
      </c>
      <c r="E7567" s="17">
        <v>10.48</v>
      </c>
      <c r="F7567" s="16">
        <v>0.02</v>
      </c>
      <c r="G7567" s="15" t="s">
        <v>32</v>
      </c>
      <c r="H7567" s="18">
        <v>-5.65</v>
      </c>
      <c r="I7567" s="19">
        <v>4.84</v>
      </c>
      <c r="J7567" s="19">
        <v>0.71</v>
      </c>
      <c r="K7567" s="19" t="s">
        <v>124</v>
      </c>
      <c r="L7567" s="19" t="s">
        <v>164</v>
      </c>
      <c r="M7567" s="15" t="s">
        <v>2335</v>
      </c>
      <c r="N7567" s="15" t="s">
        <v>36</v>
      </c>
      <c r="O7567" s="15" t="s">
        <v>77</v>
      </c>
      <c r="P7567" s="20" t="s">
        <v>1372</v>
      </c>
      <c r="Q7567" s="15" t="s">
        <v>79</v>
      </c>
      <c r="R7567" s="4"/>
      <c r="S7567" s="4"/>
    </row>
    <row r="7568" spans="1:19" ht="21" customHeight="1" x14ac:dyDescent="0.25">
      <c r="A7568" s="14">
        <f>DATE(2012,12,31)-426</f>
        <v>40848</v>
      </c>
      <c r="B7568" s="15" t="s">
        <v>516</v>
      </c>
      <c r="C7568" s="15" t="s">
        <v>43</v>
      </c>
      <c r="D7568" s="16">
        <v>31</v>
      </c>
      <c r="E7568" s="17">
        <v>233.2</v>
      </c>
      <c r="F7568" s="16">
        <v>0.04</v>
      </c>
      <c r="G7568" s="15" t="s">
        <v>32</v>
      </c>
      <c r="H7568" s="18">
        <v>-48.07</v>
      </c>
      <c r="I7568" s="19">
        <v>7.64</v>
      </c>
      <c r="J7568" s="19">
        <v>5.83</v>
      </c>
      <c r="K7568" s="19" t="s">
        <v>124</v>
      </c>
      <c r="L7568" s="19" t="s">
        <v>158</v>
      </c>
      <c r="M7568" s="15" t="s">
        <v>158</v>
      </c>
      <c r="N7568" s="15" t="s">
        <v>36</v>
      </c>
      <c r="O7568" s="15" t="s">
        <v>117</v>
      </c>
      <c r="P7568" s="20" t="s">
        <v>858</v>
      </c>
      <c r="Q7568" s="15" t="s">
        <v>79</v>
      </c>
      <c r="R7568" s="4"/>
      <c r="S7568" s="4"/>
    </row>
    <row r="7569" spans="1:19" ht="21" customHeight="1" x14ac:dyDescent="0.25">
      <c r="A7569" s="14">
        <f>DATE(2012,12,31)-426</f>
        <v>40848</v>
      </c>
      <c r="B7569" s="15" t="s">
        <v>1681</v>
      </c>
      <c r="C7569" s="15" t="s">
        <v>43</v>
      </c>
      <c r="D7569" s="16">
        <v>16</v>
      </c>
      <c r="E7569" s="17">
        <v>79.53</v>
      </c>
      <c r="F7569" s="16">
        <v>0.08</v>
      </c>
      <c r="G7569" s="15" t="s">
        <v>32</v>
      </c>
      <c r="H7569" s="18">
        <v>-48.55</v>
      </c>
      <c r="I7569" s="19">
        <v>4.9800000000000004</v>
      </c>
      <c r="J7569" s="19">
        <v>5.49</v>
      </c>
      <c r="K7569" s="19" t="s">
        <v>124</v>
      </c>
      <c r="L7569" s="19" t="s">
        <v>164</v>
      </c>
      <c r="M7569" s="15" t="s">
        <v>2335</v>
      </c>
      <c r="N7569" s="15" t="s">
        <v>36</v>
      </c>
      <c r="O7569" s="15" t="s">
        <v>117</v>
      </c>
      <c r="P7569" s="20" t="s">
        <v>677</v>
      </c>
      <c r="Q7569" s="15" t="s">
        <v>83</v>
      </c>
      <c r="R7569" s="4"/>
      <c r="S7569" s="4"/>
    </row>
    <row r="7570" spans="1:19" ht="21" customHeight="1" x14ac:dyDescent="0.25">
      <c r="A7570" s="14">
        <f>DATE(2012,12,31)-426</f>
        <v>40848</v>
      </c>
      <c r="B7570" s="15" t="s">
        <v>2211</v>
      </c>
      <c r="C7570" s="15" t="s">
        <v>43</v>
      </c>
      <c r="D7570" s="16">
        <v>43</v>
      </c>
      <c r="E7570" s="17">
        <v>1680.9769999999999</v>
      </c>
      <c r="F7570" s="16">
        <v>0.05</v>
      </c>
      <c r="G7570" s="15" t="s">
        <v>32</v>
      </c>
      <c r="H7570" s="18">
        <v>383.09400000000005</v>
      </c>
      <c r="I7570" s="19">
        <v>45.99</v>
      </c>
      <c r="J7570" s="19">
        <v>4.99</v>
      </c>
      <c r="K7570" s="19" t="s">
        <v>124</v>
      </c>
      <c r="L7570" s="19" t="s">
        <v>125</v>
      </c>
      <c r="M7570" s="15" t="s">
        <v>2325</v>
      </c>
      <c r="N7570" s="15" t="s">
        <v>64</v>
      </c>
      <c r="O7570" s="15" t="s">
        <v>65</v>
      </c>
      <c r="P7570" s="20" t="s">
        <v>2034</v>
      </c>
      <c r="Q7570" s="15" t="s">
        <v>83</v>
      </c>
      <c r="R7570" s="4"/>
      <c r="S7570" s="4"/>
    </row>
    <row r="7571" spans="1:19" ht="21" customHeight="1" x14ac:dyDescent="0.25">
      <c r="A7571" s="14">
        <f>DATE(2012,12,31)-1400</f>
        <v>39874</v>
      </c>
      <c r="B7571" s="15" t="s">
        <v>1926</v>
      </c>
      <c r="C7571" s="15" t="s">
        <v>43</v>
      </c>
      <c r="D7571" s="16">
        <v>47</v>
      </c>
      <c r="E7571" s="17">
        <v>421.08</v>
      </c>
      <c r="F7571" s="16">
        <v>0</v>
      </c>
      <c r="G7571" s="15" t="s">
        <v>101</v>
      </c>
      <c r="H7571" s="18">
        <v>82.31</v>
      </c>
      <c r="I7571" s="19">
        <v>8.33</v>
      </c>
      <c r="J7571" s="19">
        <v>1.99</v>
      </c>
      <c r="K7571" s="19" t="s">
        <v>124</v>
      </c>
      <c r="L7571" s="19" t="s">
        <v>168</v>
      </c>
      <c r="M7571" s="15" t="s">
        <v>2338</v>
      </c>
      <c r="N7571" s="15" t="s">
        <v>64</v>
      </c>
      <c r="O7571" s="15" t="s">
        <v>72</v>
      </c>
      <c r="P7571" s="20" t="s">
        <v>2017</v>
      </c>
      <c r="Q7571" s="15" t="s">
        <v>49</v>
      </c>
      <c r="R7571" s="4"/>
      <c r="S7571" s="4"/>
    </row>
    <row r="7572" spans="1:19" ht="21" customHeight="1" x14ac:dyDescent="0.25">
      <c r="A7572" s="14">
        <f>DATE(2012,12,31)-267</f>
        <v>41007</v>
      </c>
      <c r="B7572" s="15" t="s">
        <v>1926</v>
      </c>
      <c r="C7572" s="15" t="s">
        <v>43</v>
      </c>
      <c r="D7572" s="16">
        <v>49</v>
      </c>
      <c r="E7572" s="17">
        <v>4968.5</v>
      </c>
      <c r="F7572" s="16">
        <v>0</v>
      </c>
      <c r="G7572" s="15" t="s">
        <v>32</v>
      </c>
      <c r="H7572" s="18">
        <v>1041.28</v>
      </c>
      <c r="I7572" s="19">
        <v>99.99</v>
      </c>
      <c r="J7572" s="19">
        <v>19.989999999999998</v>
      </c>
      <c r="K7572" s="19" t="s">
        <v>124</v>
      </c>
      <c r="L7572" s="19" t="s">
        <v>125</v>
      </c>
      <c r="M7572" s="15" t="s">
        <v>2325</v>
      </c>
      <c r="N7572" s="15" t="s">
        <v>64</v>
      </c>
      <c r="O7572" s="15" t="s">
        <v>72</v>
      </c>
      <c r="P7572" s="20" t="s">
        <v>1772</v>
      </c>
      <c r="Q7572" s="15" t="s">
        <v>83</v>
      </c>
      <c r="R7572" s="4"/>
      <c r="S7572" s="4"/>
    </row>
    <row r="7573" spans="1:19" ht="21" customHeight="1" x14ac:dyDescent="0.25">
      <c r="A7573" s="14">
        <f>DATE(2012,12,31)-320</f>
        <v>40954</v>
      </c>
      <c r="B7573" s="15" t="s">
        <v>595</v>
      </c>
      <c r="C7573" s="15" t="s">
        <v>43</v>
      </c>
      <c r="D7573" s="16">
        <v>28</v>
      </c>
      <c r="E7573" s="17">
        <v>115.02</v>
      </c>
      <c r="F7573" s="16">
        <v>0</v>
      </c>
      <c r="G7573" s="15" t="s">
        <v>32</v>
      </c>
      <c r="H7573" s="18">
        <v>46.3</v>
      </c>
      <c r="I7573" s="19">
        <v>3.78</v>
      </c>
      <c r="J7573" s="19">
        <v>0.71</v>
      </c>
      <c r="K7573" s="19" t="s">
        <v>124</v>
      </c>
      <c r="L7573" s="19" t="s">
        <v>168</v>
      </c>
      <c r="M7573" s="15" t="s">
        <v>2338</v>
      </c>
      <c r="N7573" s="15" t="s">
        <v>36</v>
      </c>
      <c r="O7573" s="15" t="s">
        <v>105</v>
      </c>
      <c r="P7573" s="20" t="s">
        <v>842</v>
      </c>
      <c r="Q7573" s="15" t="s">
        <v>79</v>
      </c>
      <c r="R7573" s="4"/>
      <c r="S7573" s="4"/>
    </row>
    <row r="7574" spans="1:19" ht="21" customHeight="1" x14ac:dyDescent="0.25">
      <c r="A7574" s="14">
        <f>DATE(2012,12,31)-320</f>
        <v>40954</v>
      </c>
      <c r="B7574" s="15" t="s">
        <v>1484</v>
      </c>
      <c r="C7574" s="15" t="s">
        <v>43</v>
      </c>
      <c r="D7574" s="16">
        <v>7</v>
      </c>
      <c r="E7574" s="17">
        <v>118.63</v>
      </c>
      <c r="F7574" s="16">
        <v>0.05</v>
      </c>
      <c r="G7574" s="15" t="s">
        <v>32</v>
      </c>
      <c r="H7574" s="18">
        <v>6.2985000000000007</v>
      </c>
      <c r="I7574" s="19">
        <v>16.739999999999998</v>
      </c>
      <c r="J7574" s="19">
        <v>5.08</v>
      </c>
      <c r="K7574" s="19" t="s">
        <v>124</v>
      </c>
      <c r="L7574" s="19" t="s">
        <v>158</v>
      </c>
      <c r="M7574" s="15" t="s">
        <v>158</v>
      </c>
      <c r="N7574" s="15" t="s">
        <v>36</v>
      </c>
      <c r="O7574" s="15" t="s">
        <v>170</v>
      </c>
      <c r="P7574" s="20" t="s">
        <v>1391</v>
      </c>
      <c r="Q7574" s="15" t="s">
        <v>83</v>
      </c>
      <c r="R7574" s="4"/>
      <c r="S7574" s="4"/>
    </row>
    <row r="7575" spans="1:19" ht="21" customHeight="1" x14ac:dyDescent="0.25">
      <c r="A7575" s="14">
        <f>DATE(2012,12,31)-393</f>
        <v>40881</v>
      </c>
      <c r="B7575" s="15" t="s">
        <v>1484</v>
      </c>
      <c r="C7575" s="15" t="s">
        <v>51</v>
      </c>
      <c r="D7575" s="16">
        <v>34</v>
      </c>
      <c r="E7575" s="17">
        <v>670.02</v>
      </c>
      <c r="F7575" s="16">
        <v>7.0000000000000007E-2</v>
      </c>
      <c r="G7575" s="15" t="s">
        <v>32</v>
      </c>
      <c r="H7575" s="18">
        <v>278.57900000000001</v>
      </c>
      <c r="I7575" s="19">
        <v>20.98</v>
      </c>
      <c r="J7575" s="19">
        <v>1.49</v>
      </c>
      <c r="K7575" s="19" t="s">
        <v>124</v>
      </c>
      <c r="L7575" s="19" t="s">
        <v>158</v>
      </c>
      <c r="M7575" s="15" t="s">
        <v>158</v>
      </c>
      <c r="N7575" s="15" t="s">
        <v>36</v>
      </c>
      <c r="O7575" s="15" t="s">
        <v>170</v>
      </c>
      <c r="P7575" s="20" t="s">
        <v>998</v>
      </c>
      <c r="Q7575" s="15" t="s">
        <v>83</v>
      </c>
      <c r="R7575" s="4"/>
      <c r="S7575" s="4"/>
    </row>
    <row r="7576" spans="1:19" ht="21" customHeight="1" x14ac:dyDescent="0.25">
      <c r="A7576" s="14">
        <f>DATE(2012,12,31)-929</f>
        <v>40345</v>
      </c>
      <c r="B7576" s="15" t="s">
        <v>1731</v>
      </c>
      <c r="C7576" s="15" t="s">
        <v>85</v>
      </c>
      <c r="D7576" s="16">
        <v>24</v>
      </c>
      <c r="E7576" s="17">
        <v>9396.27</v>
      </c>
      <c r="F7576" s="16">
        <v>7.0000000000000007E-2</v>
      </c>
      <c r="G7576" s="15" t="s">
        <v>32</v>
      </c>
      <c r="H7576" s="18">
        <v>3857.5719999999997</v>
      </c>
      <c r="I7576" s="19">
        <v>420.98</v>
      </c>
      <c r="J7576" s="19">
        <v>19.989999999999998</v>
      </c>
      <c r="K7576" s="19" t="s">
        <v>124</v>
      </c>
      <c r="L7576" s="19" t="s">
        <v>164</v>
      </c>
      <c r="M7576" s="15" t="s">
        <v>2335</v>
      </c>
      <c r="N7576" s="15" t="s">
        <v>36</v>
      </c>
      <c r="O7576" s="15" t="s">
        <v>170</v>
      </c>
      <c r="P7576" s="20" t="s">
        <v>948</v>
      </c>
      <c r="Q7576" s="15" t="s">
        <v>83</v>
      </c>
      <c r="R7576" s="4"/>
      <c r="S7576" s="4"/>
    </row>
    <row r="7577" spans="1:19" ht="21" customHeight="1" x14ac:dyDescent="0.25">
      <c r="A7577" s="14">
        <f>DATE(2012,12,31)-1199</f>
        <v>40075</v>
      </c>
      <c r="B7577" s="15" t="s">
        <v>1876</v>
      </c>
      <c r="C7577" s="15" t="s">
        <v>51</v>
      </c>
      <c r="D7577" s="16">
        <v>17</v>
      </c>
      <c r="E7577" s="17">
        <v>705.85</v>
      </c>
      <c r="F7577" s="16">
        <v>0.04</v>
      </c>
      <c r="G7577" s="15" t="s">
        <v>101</v>
      </c>
      <c r="H7577" s="18">
        <v>151.66999999999999</v>
      </c>
      <c r="I7577" s="19">
        <v>39.479999999999997</v>
      </c>
      <c r="J7577" s="19">
        <v>1.99</v>
      </c>
      <c r="K7577" s="19" t="s">
        <v>44</v>
      </c>
      <c r="L7577" s="19" t="s">
        <v>52</v>
      </c>
      <c r="M7577" s="15" t="s">
        <v>2351</v>
      </c>
      <c r="N7577" s="15" t="s">
        <v>64</v>
      </c>
      <c r="O7577" s="15" t="s">
        <v>72</v>
      </c>
      <c r="P7577" s="20" t="s">
        <v>1623</v>
      </c>
      <c r="Q7577" s="15" t="s">
        <v>49</v>
      </c>
      <c r="R7577" s="4"/>
      <c r="S7577" s="4"/>
    </row>
    <row r="7578" spans="1:19" ht="21" customHeight="1" x14ac:dyDescent="0.25">
      <c r="A7578" s="14">
        <f>DATE(2012,12,31)-1199</f>
        <v>40075</v>
      </c>
      <c r="B7578" s="15" t="s">
        <v>2028</v>
      </c>
      <c r="C7578" s="15" t="s">
        <v>51</v>
      </c>
      <c r="D7578" s="16">
        <v>37</v>
      </c>
      <c r="E7578" s="17">
        <v>321.3</v>
      </c>
      <c r="F7578" s="16">
        <v>0</v>
      </c>
      <c r="G7578" s="15" t="s">
        <v>32</v>
      </c>
      <c r="H7578" s="18">
        <v>-47.23</v>
      </c>
      <c r="I7578" s="19">
        <v>8.1199999999999992</v>
      </c>
      <c r="J7578" s="19">
        <v>2.83</v>
      </c>
      <c r="K7578" s="19" t="s">
        <v>44</v>
      </c>
      <c r="L7578" s="19" t="s">
        <v>236</v>
      </c>
      <c r="M7578" s="15" t="s">
        <v>2341</v>
      </c>
      <c r="N7578" s="15" t="s">
        <v>64</v>
      </c>
      <c r="O7578" s="15" t="s">
        <v>72</v>
      </c>
      <c r="P7578" s="20" t="s">
        <v>1095</v>
      </c>
      <c r="Q7578" s="15" t="s">
        <v>49</v>
      </c>
      <c r="R7578" s="4"/>
      <c r="S7578" s="4"/>
    </row>
    <row r="7579" spans="1:19" ht="21" customHeight="1" x14ac:dyDescent="0.25">
      <c r="A7579" s="14">
        <f>DATE(2012,12,31)-743</f>
        <v>40531</v>
      </c>
      <c r="B7579" s="15" t="s">
        <v>2028</v>
      </c>
      <c r="C7579" s="15" t="s">
        <v>51</v>
      </c>
      <c r="D7579" s="16">
        <v>15</v>
      </c>
      <c r="E7579" s="17">
        <v>653.87099999999998</v>
      </c>
      <c r="F7579" s="16">
        <v>0.09</v>
      </c>
      <c r="G7579" s="15" t="s">
        <v>32</v>
      </c>
      <c r="H7579" s="18">
        <v>-311.04699999999997</v>
      </c>
      <c r="I7579" s="19">
        <v>55.99</v>
      </c>
      <c r="J7579" s="19">
        <v>5</v>
      </c>
      <c r="K7579" s="19" t="s">
        <v>124</v>
      </c>
      <c r="L7579" s="19" t="s">
        <v>319</v>
      </c>
      <c r="M7579" s="15" t="s">
        <v>2343</v>
      </c>
      <c r="N7579" s="15" t="s">
        <v>64</v>
      </c>
      <c r="O7579" s="15" t="s">
        <v>65</v>
      </c>
      <c r="P7579" s="20" t="s">
        <v>918</v>
      </c>
      <c r="Q7579" s="15" t="s">
        <v>49</v>
      </c>
      <c r="R7579" s="4"/>
      <c r="S7579" s="4"/>
    </row>
    <row r="7580" spans="1:19" ht="21" customHeight="1" x14ac:dyDescent="0.25">
      <c r="A7580" s="14">
        <f>DATE(2012,12,31)-1217</f>
        <v>40057</v>
      </c>
      <c r="B7580" s="15" t="s">
        <v>254</v>
      </c>
      <c r="C7580" s="15" t="s">
        <v>51</v>
      </c>
      <c r="D7580" s="16">
        <v>11</v>
      </c>
      <c r="E7580" s="17">
        <v>227.41</v>
      </c>
      <c r="F7580" s="16">
        <v>0.06</v>
      </c>
      <c r="G7580" s="15" t="s">
        <v>32</v>
      </c>
      <c r="H7580" s="18">
        <v>44.29</v>
      </c>
      <c r="I7580" s="19">
        <v>19.98</v>
      </c>
      <c r="J7580" s="19">
        <v>10.49</v>
      </c>
      <c r="K7580" s="19" t="s">
        <v>124</v>
      </c>
      <c r="L7580" s="19" t="s">
        <v>319</v>
      </c>
      <c r="M7580" s="15" t="s">
        <v>2343</v>
      </c>
      <c r="N7580" s="15" t="s">
        <v>54</v>
      </c>
      <c r="O7580" s="15" t="s">
        <v>55</v>
      </c>
      <c r="P7580" s="20" t="s">
        <v>1577</v>
      </c>
      <c r="Q7580" s="15" t="s">
        <v>83</v>
      </c>
      <c r="R7580" s="4"/>
      <c r="S7580" s="4"/>
    </row>
    <row r="7581" spans="1:19" ht="21" customHeight="1" x14ac:dyDescent="0.25">
      <c r="A7581" s="14">
        <f>DATE(2012,12,31)-1217</f>
        <v>40057</v>
      </c>
      <c r="B7581" s="15" t="s">
        <v>1268</v>
      </c>
      <c r="C7581" s="15" t="s">
        <v>51</v>
      </c>
      <c r="D7581" s="16">
        <v>50</v>
      </c>
      <c r="E7581" s="17">
        <v>87.44</v>
      </c>
      <c r="F7581" s="16">
        <v>0.08</v>
      </c>
      <c r="G7581" s="15" t="s">
        <v>32</v>
      </c>
      <c r="H7581" s="18">
        <v>-184.6</v>
      </c>
      <c r="I7581" s="19">
        <v>1.76</v>
      </c>
      <c r="J7581" s="19">
        <v>4.8600000000000003</v>
      </c>
      <c r="K7581" s="19" t="s">
        <v>44</v>
      </c>
      <c r="L7581" s="19" t="s">
        <v>52</v>
      </c>
      <c r="M7581" s="15" t="s">
        <v>2351</v>
      </c>
      <c r="N7581" s="15" t="s">
        <v>54</v>
      </c>
      <c r="O7581" s="15" t="s">
        <v>55</v>
      </c>
      <c r="P7581" s="20" t="s">
        <v>1967</v>
      </c>
      <c r="Q7581" s="15" t="s">
        <v>83</v>
      </c>
      <c r="R7581" s="4"/>
      <c r="S7581" s="4"/>
    </row>
    <row r="7582" spans="1:19" ht="21" customHeight="1" x14ac:dyDescent="0.25">
      <c r="A7582" s="14">
        <f>DATE(2012,12,31)-805</f>
        <v>40469</v>
      </c>
      <c r="B7582" s="15" t="s">
        <v>701</v>
      </c>
      <c r="C7582" s="15" t="s">
        <v>31</v>
      </c>
      <c r="D7582" s="16">
        <v>37</v>
      </c>
      <c r="E7582" s="17">
        <v>436.67</v>
      </c>
      <c r="F7582" s="16">
        <v>0.06</v>
      </c>
      <c r="G7582" s="15" t="s">
        <v>32</v>
      </c>
      <c r="H7582" s="18">
        <v>51.91</v>
      </c>
      <c r="I7582" s="19">
        <v>11.58</v>
      </c>
      <c r="J7582" s="19">
        <v>5.72</v>
      </c>
      <c r="K7582" s="19" t="s">
        <v>44</v>
      </c>
      <c r="L7582" s="19" t="s">
        <v>52</v>
      </c>
      <c r="M7582" s="15" t="s">
        <v>2351</v>
      </c>
      <c r="N7582" s="15" t="s">
        <v>36</v>
      </c>
      <c r="O7582" s="15" t="s">
        <v>189</v>
      </c>
      <c r="P7582" s="20" t="s">
        <v>551</v>
      </c>
      <c r="Q7582" s="15" t="s">
        <v>83</v>
      </c>
      <c r="R7582" s="4"/>
      <c r="S7582" s="4"/>
    </row>
    <row r="7583" spans="1:19" ht="21" customHeight="1" x14ac:dyDescent="0.25">
      <c r="A7583" s="14">
        <f>DATE(2012,12,31)-805</f>
        <v>40469</v>
      </c>
      <c r="B7583" s="15" t="s">
        <v>898</v>
      </c>
      <c r="C7583" s="15" t="s">
        <v>31</v>
      </c>
      <c r="D7583" s="16">
        <v>30</v>
      </c>
      <c r="E7583" s="17">
        <v>146.72</v>
      </c>
      <c r="F7583" s="16">
        <v>0.06</v>
      </c>
      <c r="G7583" s="15" t="s">
        <v>32</v>
      </c>
      <c r="H7583" s="18">
        <v>18.260000000000002</v>
      </c>
      <c r="I7583" s="19">
        <v>5.08</v>
      </c>
      <c r="J7583" s="19">
        <v>2.0299999999999998</v>
      </c>
      <c r="K7583" s="19" t="s">
        <v>44</v>
      </c>
      <c r="L7583" s="19" t="s">
        <v>52</v>
      </c>
      <c r="M7583" s="15" t="s">
        <v>2351</v>
      </c>
      <c r="N7583" s="15" t="s">
        <v>54</v>
      </c>
      <c r="O7583" s="15" t="s">
        <v>55</v>
      </c>
      <c r="P7583" s="20" t="s">
        <v>1923</v>
      </c>
      <c r="Q7583" s="15" t="s">
        <v>79</v>
      </c>
      <c r="R7583" s="4"/>
      <c r="S7583" s="4"/>
    </row>
    <row r="7584" spans="1:19" ht="21" customHeight="1" x14ac:dyDescent="0.25">
      <c r="A7584" s="14">
        <f>DATE(2012,12,31)-805</f>
        <v>40469</v>
      </c>
      <c r="B7584" s="15" t="s">
        <v>1834</v>
      </c>
      <c r="C7584" s="15" t="s">
        <v>31</v>
      </c>
      <c r="D7584" s="16">
        <v>17</v>
      </c>
      <c r="E7584" s="17">
        <v>74.83</v>
      </c>
      <c r="F7584" s="16">
        <v>0.08</v>
      </c>
      <c r="G7584" s="15" t="s">
        <v>32</v>
      </c>
      <c r="H7584" s="18">
        <v>-83.71</v>
      </c>
      <c r="I7584" s="19">
        <v>4.0599999999999996</v>
      </c>
      <c r="J7584" s="19">
        <v>6.89</v>
      </c>
      <c r="K7584" s="19" t="s">
        <v>44</v>
      </c>
      <c r="L7584" s="19" t="s">
        <v>52</v>
      </c>
      <c r="M7584" s="15" t="s">
        <v>2351</v>
      </c>
      <c r="N7584" s="15" t="s">
        <v>36</v>
      </c>
      <c r="O7584" s="15" t="s">
        <v>176</v>
      </c>
      <c r="P7584" s="20" t="s">
        <v>445</v>
      </c>
      <c r="Q7584" s="15" t="s">
        <v>83</v>
      </c>
      <c r="R7584" s="4"/>
      <c r="S7584" s="4"/>
    </row>
    <row r="7585" spans="1:19" ht="21" customHeight="1" x14ac:dyDescent="0.25">
      <c r="A7585" s="14">
        <f>DATE(2012,12,31)-1113</f>
        <v>40161</v>
      </c>
      <c r="B7585" s="15" t="s">
        <v>1046</v>
      </c>
      <c r="C7585" s="15" t="s">
        <v>51</v>
      </c>
      <c r="D7585" s="16">
        <v>15</v>
      </c>
      <c r="E7585" s="17">
        <v>40.75</v>
      </c>
      <c r="F7585" s="16">
        <v>0.03</v>
      </c>
      <c r="G7585" s="15" t="s">
        <v>32</v>
      </c>
      <c r="H7585" s="18">
        <v>12.76</v>
      </c>
      <c r="I7585" s="19">
        <v>2.61</v>
      </c>
      <c r="J7585" s="19">
        <v>0.5</v>
      </c>
      <c r="K7585" s="19" t="s">
        <v>44</v>
      </c>
      <c r="L7585" s="19" t="s">
        <v>52</v>
      </c>
      <c r="M7585" s="15" t="s">
        <v>2351</v>
      </c>
      <c r="N7585" s="15" t="s">
        <v>36</v>
      </c>
      <c r="O7585" s="15" t="s">
        <v>114</v>
      </c>
      <c r="P7585" s="20" t="s">
        <v>1665</v>
      </c>
      <c r="Q7585" s="15" t="s">
        <v>83</v>
      </c>
      <c r="R7585" s="4"/>
      <c r="S7585" s="4"/>
    </row>
    <row r="7586" spans="1:19" ht="21" customHeight="1" x14ac:dyDescent="0.25">
      <c r="A7586" s="14">
        <f>DATE(2012,12,31)-1113</f>
        <v>40161</v>
      </c>
      <c r="B7586" s="15" t="s">
        <v>1946</v>
      </c>
      <c r="C7586" s="15" t="s">
        <v>51</v>
      </c>
      <c r="D7586" s="16">
        <v>35</v>
      </c>
      <c r="E7586" s="17">
        <v>424.09</v>
      </c>
      <c r="F7586" s="16">
        <v>0.01</v>
      </c>
      <c r="G7586" s="15" t="s">
        <v>32</v>
      </c>
      <c r="H7586" s="18">
        <v>-114.18</v>
      </c>
      <c r="I7586" s="19">
        <v>11.66</v>
      </c>
      <c r="J7586" s="19">
        <v>7.95</v>
      </c>
      <c r="K7586" s="19" t="s">
        <v>44</v>
      </c>
      <c r="L7586" s="19" t="s">
        <v>236</v>
      </c>
      <c r="M7586" s="15" t="s">
        <v>2341</v>
      </c>
      <c r="N7586" s="15" t="s">
        <v>36</v>
      </c>
      <c r="O7586" s="15" t="s">
        <v>77</v>
      </c>
      <c r="P7586" s="20" t="s">
        <v>1851</v>
      </c>
      <c r="Q7586" s="15" t="s">
        <v>49</v>
      </c>
      <c r="R7586" s="4"/>
      <c r="S7586" s="4"/>
    </row>
    <row r="7587" spans="1:19" ht="21" customHeight="1" x14ac:dyDescent="0.25">
      <c r="A7587" s="14">
        <f>DATE(2012,12,31)-1077</f>
        <v>40197</v>
      </c>
      <c r="B7587" s="15" t="s">
        <v>1948</v>
      </c>
      <c r="C7587" s="15" t="s">
        <v>43</v>
      </c>
      <c r="D7587" s="16">
        <v>1</v>
      </c>
      <c r="E7587" s="17">
        <v>155.51</v>
      </c>
      <c r="F7587" s="16">
        <v>7.0000000000000007E-2</v>
      </c>
      <c r="G7587" s="15" t="s">
        <v>32</v>
      </c>
      <c r="H7587" s="18">
        <v>-87.34</v>
      </c>
      <c r="I7587" s="19">
        <v>142.86000000000001</v>
      </c>
      <c r="J7587" s="19">
        <v>19.989999999999998</v>
      </c>
      <c r="K7587" s="19" t="s">
        <v>44</v>
      </c>
      <c r="L7587" s="19" t="s">
        <v>52</v>
      </c>
      <c r="M7587" s="15" t="s">
        <v>2351</v>
      </c>
      <c r="N7587" s="15" t="s">
        <v>36</v>
      </c>
      <c r="O7587" s="15" t="s">
        <v>37</v>
      </c>
      <c r="P7587" s="20" t="s">
        <v>780</v>
      </c>
      <c r="Q7587" s="15" t="s">
        <v>83</v>
      </c>
      <c r="R7587" s="4"/>
      <c r="S7587" s="4"/>
    </row>
    <row r="7588" spans="1:19" ht="21" customHeight="1" x14ac:dyDescent="0.25">
      <c r="A7588" s="14">
        <f>DATE(2012,12,31)-32</f>
        <v>41242</v>
      </c>
      <c r="B7588" s="15" t="s">
        <v>142</v>
      </c>
      <c r="C7588" s="15" t="s">
        <v>85</v>
      </c>
      <c r="D7588" s="16">
        <v>36</v>
      </c>
      <c r="E7588" s="17">
        <v>2039.0820000000001</v>
      </c>
      <c r="F7588" s="16">
        <v>0.01</v>
      </c>
      <c r="G7588" s="15" t="s">
        <v>32</v>
      </c>
      <c r="H7588" s="18">
        <v>481.69800000000004</v>
      </c>
      <c r="I7588" s="19">
        <v>65.989999999999995</v>
      </c>
      <c r="J7588" s="19">
        <v>4.99</v>
      </c>
      <c r="K7588" s="19" t="s">
        <v>44</v>
      </c>
      <c r="L7588" s="19" t="s">
        <v>52</v>
      </c>
      <c r="M7588" s="15" t="s">
        <v>2351</v>
      </c>
      <c r="N7588" s="15" t="s">
        <v>64</v>
      </c>
      <c r="O7588" s="15" t="s">
        <v>65</v>
      </c>
      <c r="P7588" s="20" t="s">
        <v>483</v>
      </c>
      <c r="Q7588" s="15" t="s">
        <v>83</v>
      </c>
      <c r="R7588" s="4"/>
      <c r="S7588" s="4"/>
    </row>
    <row r="7589" spans="1:19" ht="21" customHeight="1" x14ac:dyDescent="0.25">
      <c r="A7589" s="14">
        <f>DATE(2012,12,31)-32</f>
        <v>41242</v>
      </c>
      <c r="B7589" s="15" t="s">
        <v>1026</v>
      </c>
      <c r="C7589" s="15" t="s">
        <v>85</v>
      </c>
      <c r="D7589" s="16">
        <v>16</v>
      </c>
      <c r="E7589" s="17">
        <v>225.46</v>
      </c>
      <c r="F7589" s="16">
        <v>0.09</v>
      </c>
      <c r="G7589" s="15" t="s">
        <v>32</v>
      </c>
      <c r="H7589" s="18">
        <v>-33.025199999999998</v>
      </c>
      <c r="I7589" s="19">
        <v>13.99</v>
      </c>
      <c r="J7589" s="19">
        <v>7.51</v>
      </c>
      <c r="K7589" s="19" t="s">
        <v>44</v>
      </c>
      <c r="L7589" s="19" t="s">
        <v>52</v>
      </c>
      <c r="M7589" s="15" t="s">
        <v>2351</v>
      </c>
      <c r="N7589" s="15" t="s">
        <v>64</v>
      </c>
      <c r="O7589" s="15" t="s">
        <v>122</v>
      </c>
      <c r="P7589" s="20" t="s">
        <v>1825</v>
      </c>
      <c r="Q7589" s="15" t="s">
        <v>57</v>
      </c>
      <c r="R7589" s="4"/>
      <c r="S7589" s="4"/>
    </row>
    <row r="7590" spans="1:19" ht="21" customHeight="1" x14ac:dyDescent="0.25">
      <c r="A7590" s="14">
        <f>DATE(2012,12,31)-32</f>
        <v>41242</v>
      </c>
      <c r="B7590" s="15" t="s">
        <v>1026</v>
      </c>
      <c r="C7590" s="15" t="s">
        <v>85</v>
      </c>
      <c r="D7590" s="16">
        <v>38</v>
      </c>
      <c r="E7590" s="17">
        <v>783.96</v>
      </c>
      <c r="F7590" s="16">
        <v>0.05</v>
      </c>
      <c r="G7590" s="15" t="s">
        <v>32</v>
      </c>
      <c r="H7590" s="18">
        <v>-1195.29</v>
      </c>
      <c r="I7590" s="19">
        <v>20.34</v>
      </c>
      <c r="J7590" s="19">
        <v>35</v>
      </c>
      <c r="K7590" s="19" t="s">
        <v>44</v>
      </c>
      <c r="L7590" s="19" t="s">
        <v>52</v>
      </c>
      <c r="M7590" s="15" t="s">
        <v>2351</v>
      </c>
      <c r="N7590" s="15" t="s">
        <v>36</v>
      </c>
      <c r="O7590" s="15" t="s">
        <v>37</v>
      </c>
      <c r="P7590" s="20" t="s">
        <v>368</v>
      </c>
      <c r="Q7590" s="15" t="s">
        <v>39</v>
      </c>
      <c r="R7590" s="4"/>
      <c r="S7590" s="4"/>
    </row>
    <row r="7591" spans="1:19" ht="21" customHeight="1" x14ac:dyDescent="0.25">
      <c r="A7591" s="14">
        <f>DATE(2012,12,31)-727</f>
        <v>40547</v>
      </c>
      <c r="B7591" s="15" t="s">
        <v>1026</v>
      </c>
      <c r="C7591" s="15" t="s">
        <v>85</v>
      </c>
      <c r="D7591" s="16">
        <v>15</v>
      </c>
      <c r="E7591" s="17">
        <v>92.03</v>
      </c>
      <c r="F7591" s="16">
        <v>0.03</v>
      </c>
      <c r="G7591" s="15" t="s">
        <v>32</v>
      </c>
      <c r="H7591" s="18">
        <v>19.71</v>
      </c>
      <c r="I7591" s="19">
        <v>6.08</v>
      </c>
      <c r="J7591" s="19">
        <v>0.91</v>
      </c>
      <c r="K7591" s="19" t="s">
        <v>44</v>
      </c>
      <c r="L7591" s="19" t="s">
        <v>52</v>
      </c>
      <c r="M7591" s="15" t="s">
        <v>2351</v>
      </c>
      <c r="N7591" s="15" t="s">
        <v>36</v>
      </c>
      <c r="O7591" s="15" t="s">
        <v>77</v>
      </c>
      <c r="P7591" s="20" t="s">
        <v>1284</v>
      </c>
      <c r="Q7591" s="15" t="s">
        <v>79</v>
      </c>
      <c r="R7591" s="4"/>
      <c r="S7591" s="4"/>
    </row>
    <row r="7592" spans="1:19" ht="21" customHeight="1" x14ac:dyDescent="0.25">
      <c r="A7592" s="14">
        <f>DATE(2012,12,31)-727</f>
        <v>40547</v>
      </c>
      <c r="B7592" s="15" t="s">
        <v>311</v>
      </c>
      <c r="C7592" s="15" t="s">
        <v>85</v>
      </c>
      <c r="D7592" s="16">
        <v>17</v>
      </c>
      <c r="E7592" s="17">
        <v>207.19</v>
      </c>
      <c r="F7592" s="16">
        <v>0.01</v>
      </c>
      <c r="G7592" s="15" t="s">
        <v>32</v>
      </c>
      <c r="H7592" s="18">
        <v>-85.91</v>
      </c>
      <c r="I7592" s="19">
        <v>11.66</v>
      </c>
      <c r="J7592" s="19">
        <v>8.99</v>
      </c>
      <c r="K7592" s="19" t="s">
        <v>44</v>
      </c>
      <c r="L7592" s="19" t="s">
        <v>236</v>
      </c>
      <c r="M7592" s="15" t="s">
        <v>2341</v>
      </c>
      <c r="N7592" s="15" t="s">
        <v>36</v>
      </c>
      <c r="O7592" s="15" t="s">
        <v>77</v>
      </c>
      <c r="P7592" s="20" t="s">
        <v>1630</v>
      </c>
      <c r="Q7592" s="15" t="s">
        <v>49</v>
      </c>
      <c r="R7592" s="4"/>
      <c r="S7592" s="4"/>
    </row>
    <row r="7593" spans="1:19" ht="21" customHeight="1" x14ac:dyDescent="0.25">
      <c r="A7593" s="14">
        <f>DATE(2012,12,31)-727</f>
        <v>40547</v>
      </c>
      <c r="B7593" s="15" t="s">
        <v>564</v>
      </c>
      <c r="C7593" s="15" t="s">
        <v>85</v>
      </c>
      <c r="D7593" s="16">
        <v>8</v>
      </c>
      <c r="E7593" s="17">
        <v>88</v>
      </c>
      <c r="F7593" s="16">
        <v>0.06</v>
      </c>
      <c r="G7593" s="15" t="s">
        <v>32</v>
      </c>
      <c r="H7593" s="18">
        <v>-6.38</v>
      </c>
      <c r="I7593" s="19">
        <v>10.48</v>
      </c>
      <c r="J7593" s="19">
        <v>2.89</v>
      </c>
      <c r="K7593" s="19" t="s">
        <v>44</v>
      </c>
      <c r="L7593" s="19" t="s">
        <v>52</v>
      </c>
      <c r="M7593" s="15" t="s">
        <v>2351</v>
      </c>
      <c r="N7593" s="15" t="s">
        <v>36</v>
      </c>
      <c r="O7593" s="15" t="s">
        <v>77</v>
      </c>
      <c r="P7593" s="20" t="s">
        <v>351</v>
      </c>
      <c r="Q7593" s="15" t="s">
        <v>49</v>
      </c>
      <c r="R7593" s="4"/>
      <c r="S7593" s="4"/>
    </row>
    <row r="7594" spans="1:19" ht="21" customHeight="1" x14ac:dyDescent="0.25">
      <c r="A7594" s="14">
        <f>DATE(2012,12,31)-379</f>
        <v>40895</v>
      </c>
      <c r="B7594" s="15" t="s">
        <v>564</v>
      </c>
      <c r="C7594" s="15" t="s">
        <v>85</v>
      </c>
      <c r="D7594" s="16">
        <v>21</v>
      </c>
      <c r="E7594" s="17">
        <v>162.25</v>
      </c>
      <c r="F7594" s="16">
        <v>0.03</v>
      </c>
      <c r="G7594" s="15" t="s">
        <v>32</v>
      </c>
      <c r="H7594" s="18">
        <v>-42.722499999999997</v>
      </c>
      <c r="I7594" s="19">
        <v>7.1</v>
      </c>
      <c r="J7594" s="19">
        <v>6.05</v>
      </c>
      <c r="K7594" s="19" t="s">
        <v>44</v>
      </c>
      <c r="L7594" s="19" t="s">
        <v>52</v>
      </c>
      <c r="M7594" s="15" t="s">
        <v>2351</v>
      </c>
      <c r="N7594" s="15" t="s">
        <v>36</v>
      </c>
      <c r="O7594" s="15" t="s">
        <v>170</v>
      </c>
      <c r="P7594" s="20" t="s">
        <v>1376</v>
      </c>
      <c r="Q7594" s="15" t="s">
        <v>83</v>
      </c>
      <c r="R7594" s="4"/>
      <c r="S7594" s="4"/>
    </row>
    <row r="7595" spans="1:19" ht="21" customHeight="1" x14ac:dyDescent="0.25">
      <c r="A7595" s="14">
        <f>DATE(2012,12,31)-287</f>
        <v>40987</v>
      </c>
      <c r="B7595" s="15" t="s">
        <v>1866</v>
      </c>
      <c r="C7595" s="15" t="s">
        <v>43</v>
      </c>
      <c r="D7595" s="16">
        <v>16</v>
      </c>
      <c r="E7595" s="17">
        <v>124.71</v>
      </c>
      <c r="F7595" s="16">
        <v>0.01</v>
      </c>
      <c r="G7595" s="15" t="s">
        <v>32</v>
      </c>
      <c r="H7595" s="18">
        <v>-30.04</v>
      </c>
      <c r="I7595" s="19">
        <v>7.35</v>
      </c>
      <c r="J7595" s="19">
        <v>5.96</v>
      </c>
      <c r="K7595" s="19" t="s">
        <v>44</v>
      </c>
      <c r="L7595" s="19" t="s">
        <v>236</v>
      </c>
      <c r="M7595" s="15" t="s">
        <v>2341</v>
      </c>
      <c r="N7595" s="15" t="s">
        <v>36</v>
      </c>
      <c r="O7595" s="15" t="s">
        <v>117</v>
      </c>
      <c r="P7595" s="20" t="s">
        <v>2047</v>
      </c>
      <c r="Q7595" s="15" t="s">
        <v>83</v>
      </c>
      <c r="R7595" s="4"/>
      <c r="S7595" s="4"/>
    </row>
    <row r="7596" spans="1:19" ht="21" customHeight="1" x14ac:dyDescent="0.25">
      <c r="A7596" s="14">
        <f>DATE(2012,12,31)-1264</f>
        <v>40010</v>
      </c>
      <c r="B7596" s="15" t="s">
        <v>1866</v>
      </c>
      <c r="C7596" s="15" t="s">
        <v>85</v>
      </c>
      <c r="D7596" s="16">
        <v>22</v>
      </c>
      <c r="E7596" s="17">
        <v>604.38</v>
      </c>
      <c r="F7596" s="16">
        <v>0.09</v>
      </c>
      <c r="G7596" s="15" t="s">
        <v>32</v>
      </c>
      <c r="H7596" s="18">
        <v>167.58</v>
      </c>
      <c r="I7596" s="19">
        <v>28.48</v>
      </c>
      <c r="J7596" s="19">
        <v>1.99</v>
      </c>
      <c r="K7596" s="19" t="s">
        <v>44</v>
      </c>
      <c r="L7596" s="19" t="s">
        <v>52</v>
      </c>
      <c r="M7596" s="15" t="s">
        <v>2351</v>
      </c>
      <c r="N7596" s="15" t="s">
        <v>64</v>
      </c>
      <c r="O7596" s="15" t="s">
        <v>72</v>
      </c>
      <c r="P7596" s="20" t="s">
        <v>901</v>
      </c>
      <c r="Q7596" s="15" t="s">
        <v>49</v>
      </c>
      <c r="R7596" s="4"/>
      <c r="S7596" s="4"/>
    </row>
    <row r="7597" spans="1:19" ht="21" customHeight="1" x14ac:dyDescent="0.25">
      <c r="A7597" s="14">
        <f>DATE(2012,12,31)-1264</f>
        <v>40010</v>
      </c>
      <c r="B7597" s="15" t="s">
        <v>1256</v>
      </c>
      <c r="C7597" s="15" t="s">
        <v>85</v>
      </c>
      <c r="D7597" s="16">
        <v>45</v>
      </c>
      <c r="E7597" s="17">
        <v>2404.5990000000002</v>
      </c>
      <c r="F7597" s="16">
        <v>0.08</v>
      </c>
      <c r="G7597" s="15" t="s">
        <v>101</v>
      </c>
      <c r="H7597" s="18">
        <v>496.89</v>
      </c>
      <c r="I7597" s="19">
        <v>65.989999999999995</v>
      </c>
      <c r="J7597" s="19">
        <v>4.99</v>
      </c>
      <c r="K7597" s="19" t="s">
        <v>44</v>
      </c>
      <c r="L7597" s="19" t="s">
        <v>80</v>
      </c>
      <c r="M7597" s="15" t="s">
        <v>2339</v>
      </c>
      <c r="N7597" s="15" t="s">
        <v>64</v>
      </c>
      <c r="O7597" s="15" t="s">
        <v>65</v>
      </c>
      <c r="P7597" s="20" t="s">
        <v>188</v>
      </c>
      <c r="Q7597" s="15" t="s">
        <v>83</v>
      </c>
      <c r="R7597" s="4"/>
      <c r="S7597" s="4"/>
    </row>
    <row r="7598" spans="1:19" ht="21" customHeight="1" x14ac:dyDescent="0.25">
      <c r="A7598" s="14">
        <f>DATE(2012,12,31)-819</f>
        <v>40455</v>
      </c>
      <c r="B7598" s="15" t="s">
        <v>1256</v>
      </c>
      <c r="C7598" s="15" t="s">
        <v>85</v>
      </c>
      <c r="D7598" s="16">
        <v>24</v>
      </c>
      <c r="E7598" s="17">
        <v>523.55999999999995</v>
      </c>
      <c r="F7598" s="16">
        <v>0.01</v>
      </c>
      <c r="G7598" s="15" t="s">
        <v>32</v>
      </c>
      <c r="H7598" s="18">
        <v>43.87</v>
      </c>
      <c r="I7598" s="19">
        <v>20.239999999999998</v>
      </c>
      <c r="J7598" s="19">
        <v>8.99</v>
      </c>
      <c r="K7598" s="19" t="s">
        <v>44</v>
      </c>
      <c r="L7598" s="19" t="s">
        <v>52</v>
      </c>
      <c r="M7598" s="15" t="s">
        <v>2351</v>
      </c>
      <c r="N7598" s="15" t="s">
        <v>54</v>
      </c>
      <c r="O7598" s="15" t="s">
        <v>55</v>
      </c>
      <c r="P7598" s="20" t="s">
        <v>569</v>
      </c>
      <c r="Q7598" s="15" t="s">
        <v>49</v>
      </c>
      <c r="R7598" s="4"/>
      <c r="S7598" s="4"/>
    </row>
    <row r="7599" spans="1:19" ht="21" customHeight="1" x14ac:dyDescent="0.25">
      <c r="A7599" s="14">
        <f>DATE(2012,12,31)-756</f>
        <v>40518</v>
      </c>
      <c r="B7599" s="15" t="s">
        <v>1256</v>
      </c>
      <c r="C7599" s="15" t="s">
        <v>51</v>
      </c>
      <c r="D7599" s="16">
        <v>27</v>
      </c>
      <c r="E7599" s="17">
        <v>1553.8679999999999</v>
      </c>
      <c r="F7599" s="16">
        <v>0.04</v>
      </c>
      <c r="G7599" s="15" t="s">
        <v>101</v>
      </c>
      <c r="H7599" s="18">
        <v>322.50599999999997</v>
      </c>
      <c r="I7599" s="19">
        <v>65.989999999999995</v>
      </c>
      <c r="J7599" s="19">
        <v>5.92</v>
      </c>
      <c r="K7599" s="19" t="s">
        <v>44</v>
      </c>
      <c r="L7599" s="19" t="s">
        <v>236</v>
      </c>
      <c r="M7599" s="15" t="s">
        <v>2341</v>
      </c>
      <c r="N7599" s="15" t="s">
        <v>64</v>
      </c>
      <c r="O7599" s="15" t="s">
        <v>65</v>
      </c>
      <c r="P7599" s="20" t="s">
        <v>1057</v>
      </c>
      <c r="Q7599" s="15" t="s">
        <v>83</v>
      </c>
      <c r="R7599" s="4"/>
      <c r="S7599" s="4"/>
    </row>
    <row r="7600" spans="1:19" ht="21" customHeight="1" x14ac:dyDescent="0.25">
      <c r="A7600" s="14">
        <f>DATE(2012,12,31)-1247</f>
        <v>40027</v>
      </c>
      <c r="B7600" s="15" t="s">
        <v>2187</v>
      </c>
      <c r="C7600" s="15" t="s">
        <v>85</v>
      </c>
      <c r="D7600" s="16">
        <v>31</v>
      </c>
      <c r="E7600" s="17">
        <v>196.74</v>
      </c>
      <c r="F7600" s="16">
        <v>0.09</v>
      </c>
      <c r="G7600" s="15" t="s">
        <v>32</v>
      </c>
      <c r="H7600" s="18">
        <v>-61.59</v>
      </c>
      <c r="I7600" s="19">
        <v>6.28</v>
      </c>
      <c r="J7600" s="19">
        <v>5.41</v>
      </c>
      <c r="K7600" s="19" t="s">
        <v>44</v>
      </c>
      <c r="L7600" s="19" t="s">
        <v>52</v>
      </c>
      <c r="M7600" s="15" t="s">
        <v>2351</v>
      </c>
      <c r="N7600" s="15" t="s">
        <v>54</v>
      </c>
      <c r="O7600" s="15" t="s">
        <v>55</v>
      </c>
      <c r="P7600" s="20" t="s">
        <v>966</v>
      </c>
      <c r="Q7600" s="15" t="s">
        <v>83</v>
      </c>
      <c r="R7600" s="4"/>
      <c r="S7600" s="4"/>
    </row>
    <row r="7601" spans="1:19" ht="21" customHeight="1" x14ac:dyDescent="0.25">
      <c r="A7601" s="14">
        <f>DATE(2012,12,31)-568</f>
        <v>40706</v>
      </c>
      <c r="B7601" s="15" t="s">
        <v>629</v>
      </c>
      <c r="C7601" s="15" t="s">
        <v>31</v>
      </c>
      <c r="D7601" s="16">
        <v>28</v>
      </c>
      <c r="E7601" s="17">
        <v>1971.56</v>
      </c>
      <c r="F7601" s="16">
        <v>0.05</v>
      </c>
      <c r="G7601" s="15" t="s">
        <v>58</v>
      </c>
      <c r="H7601" s="18">
        <v>-15.29</v>
      </c>
      <c r="I7601" s="19">
        <v>70.98</v>
      </c>
      <c r="J7601" s="19">
        <v>26.85</v>
      </c>
      <c r="K7601" s="19" t="s">
        <v>44</v>
      </c>
      <c r="L7601" s="19" t="s">
        <v>52</v>
      </c>
      <c r="M7601" s="15" t="s">
        <v>2351</v>
      </c>
      <c r="N7601" s="15" t="s">
        <v>54</v>
      </c>
      <c r="O7601" s="15" t="s">
        <v>134</v>
      </c>
      <c r="P7601" s="20" t="s">
        <v>496</v>
      </c>
      <c r="Q7601" s="15" t="s">
        <v>63</v>
      </c>
      <c r="R7601" s="4"/>
      <c r="S7601" s="4"/>
    </row>
    <row r="7602" spans="1:19" ht="21" customHeight="1" x14ac:dyDescent="0.25">
      <c r="A7602" s="14">
        <f>DATE(2012,12,31)-568</f>
        <v>40706</v>
      </c>
      <c r="B7602" s="15" t="s">
        <v>1793</v>
      </c>
      <c r="C7602" s="15" t="s">
        <v>31</v>
      </c>
      <c r="D7602" s="16">
        <v>34</v>
      </c>
      <c r="E7602" s="17">
        <v>154.43</v>
      </c>
      <c r="F7602" s="16">
        <v>0.03</v>
      </c>
      <c r="G7602" s="15" t="s">
        <v>32</v>
      </c>
      <c r="H7602" s="18">
        <v>-133.77000000000001</v>
      </c>
      <c r="I7602" s="19">
        <v>4.18</v>
      </c>
      <c r="J7602" s="19">
        <v>6.92</v>
      </c>
      <c r="K7602" s="19" t="s">
        <v>44</v>
      </c>
      <c r="L7602" s="19" t="s">
        <v>45</v>
      </c>
      <c r="M7602" s="15" t="s">
        <v>2356</v>
      </c>
      <c r="N7602" s="15" t="s">
        <v>54</v>
      </c>
      <c r="O7602" s="15" t="s">
        <v>55</v>
      </c>
      <c r="P7602" s="20" t="s">
        <v>693</v>
      </c>
      <c r="Q7602" s="15" t="s">
        <v>83</v>
      </c>
      <c r="R7602" s="4"/>
      <c r="S7602" s="4"/>
    </row>
    <row r="7603" spans="1:19" ht="21" customHeight="1" x14ac:dyDescent="0.25">
      <c r="A7603" s="14">
        <f>DATE(2012,12,31)-1343</f>
        <v>39931</v>
      </c>
      <c r="B7603" s="15" t="s">
        <v>1793</v>
      </c>
      <c r="C7603" s="15" t="s">
        <v>85</v>
      </c>
      <c r="D7603" s="16">
        <v>30</v>
      </c>
      <c r="E7603" s="17">
        <v>250.29</v>
      </c>
      <c r="F7603" s="16">
        <v>0.02</v>
      </c>
      <c r="G7603" s="15" t="s">
        <v>32</v>
      </c>
      <c r="H7603" s="18">
        <v>6.79</v>
      </c>
      <c r="I7603" s="19">
        <v>8.34</v>
      </c>
      <c r="J7603" s="19">
        <v>2.64</v>
      </c>
      <c r="K7603" s="19" t="s">
        <v>124</v>
      </c>
      <c r="L7603" s="19" t="s">
        <v>160</v>
      </c>
      <c r="M7603" s="15" t="s">
        <v>2281</v>
      </c>
      <c r="N7603" s="15" t="s">
        <v>36</v>
      </c>
      <c r="O7603" s="15" t="s">
        <v>47</v>
      </c>
      <c r="P7603" s="20" t="s">
        <v>2059</v>
      </c>
      <c r="Q7603" s="15" t="s">
        <v>49</v>
      </c>
      <c r="R7603" s="4"/>
      <c r="S7603" s="4"/>
    </row>
    <row r="7604" spans="1:19" ht="21" customHeight="1" x14ac:dyDescent="0.25">
      <c r="A7604" s="14">
        <f>DATE(2012,12,31)-1343</f>
        <v>39931</v>
      </c>
      <c r="B7604" s="15" t="s">
        <v>276</v>
      </c>
      <c r="C7604" s="15" t="s">
        <v>85</v>
      </c>
      <c r="D7604" s="16">
        <v>41</v>
      </c>
      <c r="E7604" s="17">
        <v>5258.94</v>
      </c>
      <c r="F7604" s="16">
        <v>0.09</v>
      </c>
      <c r="G7604" s="15" t="s">
        <v>58</v>
      </c>
      <c r="H7604" s="18">
        <v>-421.76</v>
      </c>
      <c r="I7604" s="19">
        <v>130.97999999999999</v>
      </c>
      <c r="J7604" s="19">
        <v>30</v>
      </c>
      <c r="K7604" s="19" t="s">
        <v>44</v>
      </c>
      <c r="L7604" s="19" t="s">
        <v>52</v>
      </c>
      <c r="M7604" s="15" t="s">
        <v>2351</v>
      </c>
      <c r="N7604" s="15" t="s">
        <v>54</v>
      </c>
      <c r="O7604" s="15" t="s">
        <v>252</v>
      </c>
      <c r="P7604" s="20" t="s">
        <v>1102</v>
      </c>
      <c r="Q7604" s="15" t="s">
        <v>181</v>
      </c>
      <c r="R7604" s="4"/>
      <c r="S7604" s="4"/>
    </row>
    <row r="7605" spans="1:19" ht="21" customHeight="1" x14ac:dyDescent="0.25">
      <c r="A7605" s="14">
        <f>DATE(2012,12,31)-940</f>
        <v>40334</v>
      </c>
      <c r="B7605" s="15" t="s">
        <v>1132</v>
      </c>
      <c r="C7605" s="15" t="s">
        <v>51</v>
      </c>
      <c r="D7605" s="16">
        <v>21</v>
      </c>
      <c r="E7605" s="17">
        <v>471.24</v>
      </c>
      <c r="F7605" s="16">
        <v>7.0000000000000007E-2</v>
      </c>
      <c r="G7605" s="15" t="s">
        <v>32</v>
      </c>
      <c r="H7605" s="18">
        <v>115.54</v>
      </c>
      <c r="I7605" s="19">
        <v>22.98</v>
      </c>
      <c r="J7605" s="19">
        <v>1.99</v>
      </c>
      <c r="K7605" s="19" t="s">
        <v>69</v>
      </c>
      <c r="L7605" s="19" t="s">
        <v>70</v>
      </c>
      <c r="M7605" s="15" t="s">
        <v>2348</v>
      </c>
      <c r="N7605" s="15" t="s">
        <v>64</v>
      </c>
      <c r="O7605" s="15" t="s">
        <v>72</v>
      </c>
      <c r="P7605" s="20" t="s">
        <v>466</v>
      </c>
      <c r="Q7605" s="15" t="s">
        <v>49</v>
      </c>
      <c r="R7605" s="4"/>
      <c r="S7605" s="4"/>
    </row>
    <row r="7606" spans="1:19" ht="21" customHeight="1" x14ac:dyDescent="0.25">
      <c r="A7606" s="14">
        <f>DATE(2012,12,31)-143</f>
        <v>41131</v>
      </c>
      <c r="B7606" s="15" t="s">
        <v>1793</v>
      </c>
      <c r="C7606" s="15" t="s">
        <v>31</v>
      </c>
      <c r="D7606" s="16">
        <v>11</v>
      </c>
      <c r="E7606" s="17">
        <v>73.22</v>
      </c>
      <c r="F7606" s="16">
        <v>0.06</v>
      </c>
      <c r="G7606" s="15" t="s">
        <v>32</v>
      </c>
      <c r="H7606" s="18">
        <v>-34.53</v>
      </c>
      <c r="I7606" s="19">
        <v>6.48</v>
      </c>
      <c r="J7606" s="19">
        <v>6.22</v>
      </c>
      <c r="K7606" s="19" t="s">
        <v>44</v>
      </c>
      <c r="L7606" s="19" t="s">
        <v>89</v>
      </c>
      <c r="M7606" s="15" t="s">
        <v>2337</v>
      </c>
      <c r="N7606" s="15" t="s">
        <v>36</v>
      </c>
      <c r="O7606" s="15" t="s">
        <v>117</v>
      </c>
      <c r="P7606" s="20" t="s">
        <v>218</v>
      </c>
      <c r="Q7606" s="15" t="s">
        <v>83</v>
      </c>
      <c r="R7606" s="4"/>
      <c r="S7606" s="4"/>
    </row>
    <row r="7607" spans="1:19" ht="21" customHeight="1" x14ac:dyDescent="0.25">
      <c r="A7607" s="14">
        <f>DATE(2012,12,31)-42</f>
        <v>41232</v>
      </c>
      <c r="B7607" s="15" t="s">
        <v>1793</v>
      </c>
      <c r="C7607" s="15" t="s">
        <v>51</v>
      </c>
      <c r="D7607" s="16">
        <v>22</v>
      </c>
      <c r="E7607" s="17">
        <v>109.52</v>
      </c>
      <c r="F7607" s="16">
        <v>0.09</v>
      </c>
      <c r="G7607" s="15" t="s">
        <v>101</v>
      </c>
      <c r="H7607" s="18">
        <v>-73.347000000000008</v>
      </c>
      <c r="I7607" s="19">
        <v>4.54</v>
      </c>
      <c r="J7607" s="19">
        <v>5.83</v>
      </c>
      <c r="K7607" s="19" t="s">
        <v>44</v>
      </c>
      <c r="L7607" s="19" t="s">
        <v>45</v>
      </c>
      <c r="M7607" s="15" t="s">
        <v>2356</v>
      </c>
      <c r="N7607" s="15" t="s">
        <v>36</v>
      </c>
      <c r="O7607" s="15" t="s">
        <v>170</v>
      </c>
      <c r="P7607" s="20" t="s">
        <v>879</v>
      </c>
      <c r="Q7607" s="15" t="s">
        <v>83</v>
      </c>
      <c r="R7607" s="4"/>
      <c r="S7607" s="4"/>
    </row>
    <row r="7608" spans="1:19" ht="21" customHeight="1" x14ac:dyDescent="0.25">
      <c r="A7608" s="14">
        <f>DATE(2012,12,31)-504</f>
        <v>40770</v>
      </c>
      <c r="B7608" s="15" t="s">
        <v>185</v>
      </c>
      <c r="C7608" s="15" t="s">
        <v>51</v>
      </c>
      <c r="D7608" s="16">
        <v>38</v>
      </c>
      <c r="E7608" s="17">
        <v>262.89999999999998</v>
      </c>
      <c r="F7608" s="16">
        <v>0.06</v>
      </c>
      <c r="G7608" s="15" t="s">
        <v>32</v>
      </c>
      <c r="H7608" s="18">
        <v>-41.98</v>
      </c>
      <c r="I7608" s="19">
        <v>6.68</v>
      </c>
      <c r="J7608" s="19">
        <v>5.2</v>
      </c>
      <c r="K7608" s="19" t="s">
        <v>124</v>
      </c>
      <c r="L7608" s="19" t="s">
        <v>125</v>
      </c>
      <c r="M7608" s="15" t="s">
        <v>2325</v>
      </c>
      <c r="N7608" s="15" t="s">
        <v>36</v>
      </c>
      <c r="O7608" s="15" t="s">
        <v>117</v>
      </c>
      <c r="P7608" s="20" t="s">
        <v>1377</v>
      </c>
      <c r="Q7608" s="15" t="s">
        <v>83</v>
      </c>
      <c r="R7608" s="4"/>
      <c r="S7608" s="4"/>
    </row>
    <row r="7609" spans="1:19" ht="21" customHeight="1" x14ac:dyDescent="0.25">
      <c r="A7609" s="14">
        <f>DATE(2012,12,31)-1032</f>
        <v>40242</v>
      </c>
      <c r="B7609" s="15" t="s">
        <v>1364</v>
      </c>
      <c r="C7609" s="15" t="s">
        <v>85</v>
      </c>
      <c r="D7609" s="16">
        <v>16</v>
      </c>
      <c r="E7609" s="17">
        <v>43.65</v>
      </c>
      <c r="F7609" s="16">
        <v>0.05</v>
      </c>
      <c r="G7609" s="15" t="s">
        <v>32</v>
      </c>
      <c r="H7609" s="18">
        <v>-3.67</v>
      </c>
      <c r="I7609" s="19">
        <v>2.78</v>
      </c>
      <c r="J7609" s="19">
        <v>0.97</v>
      </c>
      <c r="K7609" s="19" t="s">
        <v>33</v>
      </c>
      <c r="L7609" s="19" t="s">
        <v>34</v>
      </c>
      <c r="M7609" s="15" t="s">
        <v>2353</v>
      </c>
      <c r="N7609" s="15" t="s">
        <v>36</v>
      </c>
      <c r="O7609" s="15" t="s">
        <v>77</v>
      </c>
      <c r="P7609" s="20" t="s">
        <v>889</v>
      </c>
      <c r="Q7609" s="15" t="s">
        <v>79</v>
      </c>
      <c r="R7609" s="4"/>
      <c r="S7609" s="4"/>
    </row>
    <row r="7610" spans="1:19" ht="21" customHeight="1" x14ac:dyDescent="0.25">
      <c r="A7610" s="14">
        <f>DATE(2012,12,31)-1032</f>
        <v>40242</v>
      </c>
      <c r="B7610" s="15" t="s">
        <v>1364</v>
      </c>
      <c r="C7610" s="15" t="s">
        <v>85</v>
      </c>
      <c r="D7610" s="16">
        <v>27</v>
      </c>
      <c r="E7610" s="17">
        <v>2478.4810000000002</v>
      </c>
      <c r="F7610" s="16">
        <v>0.09</v>
      </c>
      <c r="G7610" s="15" t="s">
        <v>32</v>
      </c>
      <c r="H7610" s="18">
        <v>249.10199999999998</v>
      </c>
      <c r="I7610" s="19">
        <v>115.99</v>
      </c>
      <c r="J7610" s="19">
        <v>8.99</v>
      </c>
      <c r="K7610" s="19" t="s">
        <v>33</v>
      </c>
      <c r="L7610" s="19" t="s">
        <v>145</v>
      </c>
      <c r="M7610" s="15" t="s">
        <v>2347</v>
      </c>
      <c r="N7610" s="15" t="s">
        <v>64</v>
      </c>
      <c r="O7610" s="15" t="s">
        <v>65</v>
      </c>
      <c r="P7610" s="20" t="s">
        <v>1287</v>
      </c>
      <c r="Q7610" s="15" t="s">
        <v>83</v>
      </c>
      <c r="R7610" s="4"/>
      <c r="S7610" s="4"/>
    </row>
    <row r="7611" spans="1:19" ht="21" customHeight="1" x14ac:dyDescent="0.25">
      <c r="A7611" s="14">
        <f>DATE(2012,12,31)-1199</f>
        <v>40075</v>
      </c>
      <c r="B7611" s="15" t="s">
        <v>770</v>
      </c>
      <c r="C7611" s="15" t="s">
        <v>85</v>
      </c>
      <c r="D7611" s="16">
        <v>43</v>
      </c>
      <c r="E7611" s="17">
        <v>112.63</v>
      </c>
      <c r="F7611" s="16">
        <v>0.08</v>
      </c>
      <c r="G7611" s="15" t="s">
        <v>32</v>
      </c>
      <c r="H7611" s="18">
        <v>-201.6</v>
      </c>
      <c r="I7611" s="19">
        <v>2.66</v>
      </c>
      <c r="J7611" s="19">
        <v>6.35</v>
      </c>
      <c r="K7611" s="19" t="s">
        <v>69</v>
      </c>
      <c r="L7611" s="19" t="s">
        <v>70</v>
      </c>
      <c r="M7611" s="15" t="s">
        <v>2348</v>
      </c>
      <c r="N7611" s="15" t="s">
        <v>36</v>
      </c>
      <c r="O7611" s="15" t="s">
        <v>189</v>
      </c>
      <c r="P7611" s="20" t="s">
        <v>977</v>
      </c>
      <c r="Q7611" s="15" t="s">
        <v>83</v>
      </c>
      <c r="R7611" s="4"/>
      <c r="S7611" s="4"/>
    </row>
    <row r="7612" spans="1:19" ht="21" customHeight="1" x14ac:dyDescent="0.25">
      <c r="A7612" s="14">
        <f>DATE(2012,12,31)-74</f>
        <v>41200</v>
      </c>
      <c r="B7612" s="15" t="s">
        <v>770</v>
      </c>
      <c r="C7612" s="15" t="s">
        <v>43</v>
      </c>
      <c r="D7612" s="16">
        <v>19</v>
      </c>
      <c r="E7612" s="17">
        <v>2002.4</v>
      </c>
      <c r="F7612" s="16">
        <v>0</v>
      </c>
      <c r="G7612" s="15" t="s">
        <v>58</v>
      </c>
      <c r="H7612" s="18">
        <v>151.09</v>
      </c>
      <c r="I7612" s="19">
        <v>100.98</v>
      </c>
      <c r="J7612" s="19">
        <v>26.22</v>
      </c>
      <c r="K7612" s="19" t="s">
        <v>69</v>
      </c>
      <c r="L7612" s="19" t="s">
        <v>70</v>
      </c>
      <c r="M7612" s="15" t="s">
        <v>2357</v>
      </c>
      <c r="N7612" s="15" t="s">
        <v>54</v>
      </c>
      <c r="O7612" s="15" t="s">
        <v>134</v>
      </c>
      <c r="P7612" s="20" t="s">
        <v>1126</v>
      </c>
      <c r="Q7612" s="15" t="s">
        <v>63</v>
      </c>
      <c r="R7612" s="4"/>
      <c r="S7612" s="4"/>
    </row>
    <row r="7613" spans="1:19" ht="21" customHeight="1" x14ac:dyDescent="0.25">
      <c r="A7613" s="14">
        <f>DATE(2012,12,31)-749</f>
        <v>40525</v>
      </c>
      <c r="B7613" s="15" t="s">
        <v>770</v>
      </c>
      <c r="C7613" s="15" t="s">
        <v>85</v>
      </c>
      <c r="D7613" s="16">
        <v>29</v>
      </c>
      <c r="E7613" s="17">
        <v>1427.14</v>
      </c>
      <c r="F7613" s="16">
        <v>0.02</v>
      </c>
      <c r="G7613" s="15" t="s">
        <v>32</v>
      </c>
      <c r="H7613" s="18">
        <v>605.91999999999996</v>
      </c>
      <c r="I7613" s="19">
        <v>48.04</v>
      </c>
      <c r="J7613" s="19">
        <v>7.23</v>
      </c>
      <c r="K7613" s="19" t="s">
        <v>69</v>
      </c>
      <c r="L7613" s="19" t="s">
        <v>70</v>
      </c>
      <c r="M7613" s="15" t="s">
        <v>2357</v>
      </c>
      <c r="N7613" s="15" t="s">
        <v>36</v>
      </c>
      <c r="O7613" s="15" t="s">
        <v>117</v>
      </c>
      <c r="P7613" s="20" t="s">
        <v>1222</v>
      </c>
      <c r="Q7613" s="15" t="s">
        <v>83</v>
      </c>
      <c r="R7613" s="4"/>
      <c r="S7613" s="4"/>
    </row>
    <row r="7614" spans="1:19" ht="21" customHeight="1" x14ac:dyDescent="0.25">
      <c r="A7614" s="14">
        <f>DATE(2012,12,31)-1353</f>
        <v>39921</v>
      </c>
      <c r="B7614" s="15" t="s">
        <v>140</v>
      </c>
      <c r="C7614" s="15" t="s">
        <v>85</v>
      </c>
      <c r="D7614" s="16">
        <v>36</v>
      </c>
      <c r="E7614" s="17">
        <v>4711.2440000000006</v>
      </c>
      <c r="F7614" s="16">
        <v>0.06</v>
      </c>
      <c r="G7614" s="15" t="s">
        <v>32</v>
      </c>
      <c r="H7614" s="18">
        <v>1380.3210000000001</v>
      </c>
      <c r="I7614" s="19">
        <v>155.99</v>
      </c>
      <c r="J7614" s="19">
        <v>3.9</v>
      </c>
      <c r="K7614" s="19" t="s">
        <v>69</v>
      </c>
      <c r="L7614" s="19" t="s">
        <v>70</v>
      </c>
      <c r="M7614" s="15" t="s">
        <v>2357</v>
      </c>
      <c r="N7614" s="15" t="s">
        <v>64</v>
      </c>
      <c r="O7614" s="15" t="s">
        <v>65</v>
      </c>
      <c r="P7614" s="20" t="s">
        <v>593</v>
      </c>
      <c r="Q7614" s="15" t="s">
        <v>83</v>
      </c>
      <c r="R7614" s="4"/>
      <c r="S7614" s="4"/>
    </row>
    <row r="7615" spans="1:19" ht="21" customHeight="1" x14ac:dyDescent="0.25">
      <c r="A7615" s="14">
        <f>DATE(2012,12,31)-1120</f>
        <v>40154</v>
      </c>
      <c r="B7615" s="15" t="s">
        <v>140</v>
      </c>
      <c r="C7615" s="15" t="s">
        <v>85</v>
      </c>
      <c r="D7615" s="16">
        <v>44</v>
      </c>
      <c r="E7615" s="17">
        <v>3421.88</v>
      </c>
      <c r="F7615" s="16">
        <v>0</v>
      </c>
      <c r="G7615" s="15" t="s">
        <v>32</v>
      </c>
      <c r="H7615" s="18">
        <v>443.52</v>
      </c>
      <c r="I7615" s="19">
        <v>73.98</v>
      </c>
      <c r="J7615" s="19">
        <v>4</v>
      </c>
      <c r="K7615" s="19" t="s">
        <v>44</v>
      </c>
      <c r="L7615" s="19" t="s">
        <v>89</v>
      </c>
      <c r="M7615" s="15" t="s">
        <v>2337</v>
      </c>
      <c r="N7615" s="15" t="s">
        <v>64</v>
      </c>
      <c r="O7615" s="15" t="s">
        <v>72</v>
      </c>
      <c r="P7615" s="20" t="s">
        <v>1502</v>
      </c>
      <c r="Q7615" s="15" t="s">
        <v>83</v>
      </c>
      <c r="R7615" s="4"/>
      <c r="S7615" s="4"/>
    </row>
    <row r="7616" spans="1:19" ht="21" customHeight="1" x14ac:dyDescent="0.25">
      <c r="A7616" s="14">
        <f>DATE(2012,12,31)-355</f>
        <v>40919</v>
      </c>
      <c r="B7616" s="15" t="s">
        <v>1675</v>
      </c>
      <c r="C7616" s="15" t="s">
        <v>43</v>
      </c>
      <c r="D7616" s="16">
        <v>30</v>
      </c>
      <c r="E7616" s="17">
        <v>380.28</v>
      </c>
      <c r="F7616" s="16">
        <v>0.08</v>
      </c>
      <c r="G7616" s="15" t="s">
        <v>32</v>
      </c>
      <c r="H7616" s="18">
        <v>-20.58</v>
      </c>
      <c r="I7616" s="19">
        <v>13.48</v>
      </c>
      <c r="J7616" s="19">
        <v>4.51</v>
      </c>
      <c r="K7616" s="19" t="s">
        <v>44</v>
      </c>
      <c r="L7616" s="19" t="s">
        <v>89</v>
      </c>
      <c r="M7616" s="15" t="s">
        <v>2337</v>
      </c>
      <c r="N7616" s="15" t="s">
        <v>36</v>
      </c>
      <c r="O7616" s="15" t="s">
        <v>37</v>
      </c>
      <c r="P7616" s="20" t="s">
        <v>1019</v>
      </c>
      <c r="Q7616" s="15" t="s">
        <v>83</v>
      </c>
      <c r="R7616" s="4"/>
      <c r="S7616" s="4"/>
    </row>
    <row r="7617" spans="1:19" ht="21" customHeight="1" x14ac:dyDescent="0.25">
      <c r="A7617" s="14">
        <f>DATE(2012,12,31)-676</f>
        <v>40598</v>
      </c>
      <c r="B7617" s="15" t="s">
        <v>403</v>
      </c>
      <c r="C7617" s="15" t="s">
        <v>51</v>
      </c>
      <c r="D7617" s="16">
        <v>7</v>
      </c>
      <c r="E7617" s="17">
        <v>170.02</v>
      </c>
      <c r="F7617" s="16">
        <v>7.0000000000000007E-2</v>
      </c>
      <c r="G7617" s="15" t="s">
        <v>32</v>
      </c>
      <c r="H7617" s="18">
        <v>-56.1</v>
      </c>
      <c r="I7617" s="19">
        <v>22.84</v>
      </c>
      <c r="J7617" s="19">
        <v>16.87</v>
      </c>
      <c r="K7617" s="19" t="s">
        <v>44</v>
      </c>
      <c r="L7617" s="19" t="s">
        <v>89</v>
      </c>
      <c r="M7617" s="15" t="s">
        <v>2337</v>
      </c>
      <c r="N7617" s="15" t="s">
        <v>36</v>
      </c>
      <c r="O7617" s="15" t="s">
        <v>117</v>
      </c>
      <c r="P7617" s="20" t="s">
        <v>1705</v>
      </c>
      <c r="Q7617" s="15" t="s">
        <v>83</v>
      </c>
      <c r="R7617" s="4"/>
      <c r="S7617" s="4"/>
    </row>
    <row r="7618" spans="1:19" ht="21" customHeight="1" x14ac:dyDescent="0.25">
      <c r="A7618" s="14">
        <f>DATE(2012,12,31)-11</f>
        <v>41263</v>
      </c>
      <c r="B7618" s="15" t="s">
        <v>403</v>
      </c>
      <c r="C7618" s="15" t="s">
        <v>51</v>
      </c>
      <c r="D7618" s="16">
        <v>27</v>
      </c>
      <c r="E7618" s="17">
        <v>1087.58</v>
      </c>
      <c r="F7618" s="16">
        <v>0.01</v>
      </c>
      <c r="G7618" s="15" t="s">
        <v>32</v>
      </c>
      <c r="H7618" s="18">
        <v>514.45000000000005</v>
      </c>
      <c r="I7618" s="19">
        <v>39.89</v>
      </c>
      <c r="J7618" s="19">
        <v>3.04</v>
      </c>
      <c r="K7618" s="19" t="s">
        <v>44</v>
      </c>
      <c r="L7618" s="19" t="s">
        <v>120</v>
      </c>
      <c r="M7618" s="15" t="s">
        <v>2262</v>
      </c>
      <c r="N7618" s="15" t="s">
        <v>54</v>
      </c>
      <c r="O7618" s="15" t="s">
        <v>55</v>
      </c>
      <c r="P7618" s="20" t="s">
        <v>370</v>
      </c>
      <c r="Q7618" s="15" t="s">
        <v>79</v>
      </c>
      <c r="R7618" s="4"/>
      <c r="S7618" s="4"/>
    </row>
    <row r="7619" spans="1:19" ht="21" customHeight="1" x14ac:dyDescent="0.25">
      <c r="A7619" s="14">
        <f>DATE(2012,12,31)-11</f>
        <v>41263</v>
      </c>
      <c r="B7619" s="15" t="s">
        <v>403</v>
      </c>
      <c r="C7619" s="15" t="s">
        <v>51</v>
      </c>
      <c r="D7619" s="16">
        <v>42</v>
      </c>
      <c r="E7619" s="17">
        <v>4273.3500000000004</v>
      </c>
      <c r="F7619" s="16">
        <v>7.0000000000000007E-2</v>
      </c>
      <c r="G7619" s="15" t="s">
        <v>32</v>
      </c>
      <c r="H7619" s="18">
        <v>-892.03</v>
      </c>
      <c r="I7619" s="19">
        <v>101.41</v>
      </c>
      <c r="J7619" s="19">
        <v>35</v>
      </c>
      <c r="K7619" s="19" t="s">
        <v>124</v>
      </c>
      <c r="L7619" s="19" t="s">
        <v>319</v>
      </c>
      <c r="M7619" s="15" t="s">
        <v>2343</v>
      </c>
      <c r="N7619" s="15" t="s">
        <v>36</v>
      </c>
      <c r="O7619" s="15" t="s">
        <v>37</v>
      </c>
      <c r="P7619" s="20" t="s">
        <v>1690</v>
      </c>
      <c r="Q7619" s="15" t="s">
        <v>39</v>
      </c>
      <c r="R7619" s="4"/>
      <c r="S7619" s="4"/>
    </row>
    <row r="7620" spans="1:19" ht="21" customHeight="1" x14ac:dyDescent="0.25">
      <c r="A7620" s="14">
        <f>DATE(2012,12,31)-11</f>
        <v>41263</v>
      </c>
      <c r="B7620" s="15" t="s">
        <v>1172</v>
      </c>
      <c r="C7620" s="15" t="s">
        <v>51</v>
      </c>
      <c r="D7620" s="16">
        <v>45</v>
      </c>
      <c r="E7620" s="17">
        <v>4165.04</v>
      </c>
      <c r="F7620" s="16">
        <v>0</v>
      </c>
      <c r="G7620" s="15" t="s">
        <v>58</v>
      </c>
      <c r="H7620" s="18">
        <v>135.68</v>
      </c>
      <c r="I7620" s="19">
        <v>90.98</v>
      </c>
      <c r="J7620" s="19">
        <v>30</v>
      </c>
      <c r="K7620" s="19" t="s">
        <v>33</v>
      </c>
      <c r="L7620" s="19" t="s">
        <v>93</v>
      </c>
      <c r="M7620" s="15" t="s">
        <v>94</v>
      </c>
      <c r="N7620" s="15" t="s">
        <v>54</v>
      </c>
      <c r="O7620" s="15" t="s">
        <v>252</v>
      </c>
      <c r="P7620" s="20" t="s">
        <v>1476</v>
      </c>
      <c r="Q7620" s="15" t="s">
        <v>181</v>
      </c>
      <c r="R7620" s="4"/>
      <c r="S7620" s="4"/>
    </row>
    <row r="7621" spans="1:19" ht="21" customHeight="1" x14ac:dyDescent="0.25">
      <c r="A7621" s="14">
        <f>DATE(2012,12,31)-1178</f>
        <v>40096</v>
      </c>
      <c r="B7621" s="15" t="s">
        <v>1172</v>
      </c>
      <c r="C7621" s="15" t="s">
        <v>31</v>
      </c>
      <c r="D7621" s="16">
        <v>10</v>
      </c>
      <c r="E7621" s="17">
        <v>53.32</v>
      </c>
      <c r="F7621" s="16">
        <v>7.0000000000000007E-2</v>
      </c>
      <c r="G7621" s="15" t="s">
        <v>32</v>
      </c>
      <c r="H7621" s="18">
        <v>-20.68</v>
      </c>
      <c r="I7621" s="19">
        <v>4.97</v>
      </c>
      <c r="J7621" s="19">
        <v>5.71</v>
      </c>
      <c r="K7621" s="19" t="s">
        <v>33</v>
      </c>
      <c r="L7621" s="19" t="s">
        <v>128</v>
      </c>
      <c r="M7621" s="15" t="s">
        <v>129</v>
      </c>
      <c r="N7621" s="15" t="s">
        <v>54</v>
      </c>
      <c r="O7621" s="15" t="s">
        <v>55</v>
      </c>
      <c r="P7621" s="20" t="s">
        <v>918</v>
      </c>
      <c r="Q7621" s="15" t="s">
        <v>57</v>
      </c>
      <c r="R7621" s="4"/>
      <c r="S7621" s="4"/>
    </row>
    <row r="7622" spans="1:19" ht="21" customHeight="1" x14ac:dyDescent="0.25">
      <c r="A7622" s="14">
        <f>DATE(2012,12,31)-1178</f>
        <v>40096</v>
      </c>
      <c r="B7622" s="15" t="s">
        <v>1172</v>
      </c>
      <c r="C7622" s="15" t="s">
        <v>31</v>
      </c>
      <c r="D7622" s="16">
        <v>26</v>
      </c>
      <c r="E7622" s="17">
        <v>64.03</v>
      </c>
      <c r="F7622" s="16">
        <v>0.09</v>
      </c>
      <c r="G7622" s="15" t="s">
        <v>32</v>
      </c>
      <c r="H7622" s="18">
        <v>11.42</v>
      </c>
      <c r="I7622" s="19">
        <v>2.62</v>
      </c>
      <c r="J7622" s="19">
        <v>0.8</v>
      </c>
      <c r="K7622" s="19" t="s">
        <v>97</v>
      </c>
      <c r="L7622" s="19" t="s">
        <v>98</v>
      </c>
      <c r="M7622" s="15" t="s">
        <v>2328</v>
      </c>
      <c r="N7622" s="15" t="s">
        <v>36</v>
      </c>
      <c r="O7622" s="15" t="s">
        <v>105</v>
      </c>
      <c r="P7622" s="20" t="s">
        <v>1753</v>
      </c>
      <c r="Q7622" s="15" t="s">
        <v>79</v>
      </c>
      <c r="R7622" s="4"/>
      <c r="S7622" s="4"/>
    </row>
    <row r="7623" spans="1:19" ht="21" customHeight="1" x14ac:dyDescent="0.25">
      <c r="A7623" s="14">
        <f>DATE(2012,12,31)-1178</f>
        <v>40096</v>
      </c>
      <c r="B7623" s="15" t="s">
        <v>1334</v>
      </c>
      <c r="C7623" s="15" t="s">
        <v>31</v>
      </c>
      <c r="D7623" s="16">
        <v>46</v>
      </c>
      <c r="E7623" s="17">
        <v>2710.5054999999998</v>
      </c>
      <c r="F7623" s="16">
        <v>0.03</v>
      </c>
      <c r="G7623" s="15" t="s">
        <v>32</v>
      </c>
      <c r="H7623" s="18">
        <v>624.12300000000005</v>
      </c>
      <c r="I7623" s="19">
        <v>65.989999999999995</v>
      </c>
      <c r="J7623" s="19">
        <v>8.8000000000000007</v>
      </c>
      <c r="K7623" s="19" t="s">
        <v>124</v>
      </c>
      <c r="L7623" s="19" t="s">
        <v>160</v>
      </c>
      <c r="M7623" s="15" t="s">
        <v>2281</v>
      </c>
      <c r="N7623" s="15" t="s">
        <v>64</v>
      </c>
      <c r="O7623" s="15" t="s">
        <v>65</v>
      </c>
      <c r="P7623" s="20" t="s">
        <v>913</v>
      </c>
      <c r="Q7623" s="15" t="s">
        <v>83</v>
      </c>
      <c r="R7623" s="4"/>
      <c r="S7623" s="4"/>
    </row>
    <row r="7624" spans="1:19" ht="21" customHeight="1" x14ac:dyDescent="0.25">
      <c r="A7624" s="14">
        <f>DATE(2012,12,31)-738</f>
        <v>40536</v>
      </c>
      <c r="B7624" s="15" t="s">
        <v>1414</v>
      </c>
      <c r="C7624" s="15" t="s">
        <v>43</v>
      </c>
      <c r="D7624" s="16">
        <v>16</v>
      </c>
      <c r="E7624" s="17">
        <v>2834.96</v>
      </c>
      <c r="F7624" s="16">
        <v>7.0000000000000007E-2</v>
      </c>
      <c r="G7624" s="15" t="s">
        <v>32</v>
      </c>
      <c r="H7624" s="18">
        <v>587.64</v>
      </c>
      <c r="I7624" s="19">
        <v>178.47</v>
      </c>
      <c r="J7624" s="19">
        <v>19.989999999999998</v>
      </c>
      <c r="K7624" s="19" t="s">
        <v>124</v>
      </c>
      <c r="L7624" s="19" t="s">
        <v>160</v>
      </c>
      <c r="M7624" s="15" t="s">
        <v>2281</v>
      </c>
      <c r="N7624" s="15" t="s">
        <v>36</v>
      </c>
      <c r="O7624" s="15" t="s">
        <v>37</v>
      </c>
      <c r="P7624" s="20" t="s">
        <v>801</v>
      </c>
      <c r="Q7624" s="15" t="s">
        <v>83</v>
      </c>
      <c r="R7624" s="4"/>
      <c r="S7624" s="4"/>
    </row>
    <row r="7625" spans="1:19" ht="21" customHeight="1" x14ac:dyDescent="0.25">
      <c r="A7625" s="14">
        <f>DATE(2012,12,31)-738</f>
        <v>40536</v>
      </c>
      <c r="B7625" s="15" t="s">
        <v>1360</v>
      </c>
      <c r="C7625" s="15" t="s">
        <v>43</v>
      </c>
      <c r="D7625" s="16">
        <v>9</v>
      </c>
      <c r="E7625" s="17">
        <v>953.98899999999992</v>
      </c>
      <c r="F7625" s="16">
        <v>0.02</v>
      </c>
      <c r="G7625" s="15" t="s">
        <v>32</v>
      </c>
      <c r="H7625" s="18">
        <v>-249.32599999999999</v>
      </c>
      <c r="I7625" s="19">
        <v>125.99</v>
      </c>
      <c r="J7625" s="19">
        <v>8.08</v>
      </c>
      <c r="K7625" s="19" t="s">
        <v>124</v>
      </c>
      <c r="L7625" s="19" t="s">
        <v>125</v>
      </c>
      <c r="M7625" s="15" t="s">
        <v>2358</v>
      </c>
      <c r="N7625" s="15" t="s">
        <v>64</v>
      </c>
      <c r="O7625" s="15" t="s">
        <v>65</v>
      </c>
      <c r="P7625" s="20" t="s">
        <v>382</v>
      </c>
      <c r="Q7625" s="15" t="s">
        <v>83</v>
      </c>
      <c r="R7625" s="4"/>
      <c r="S7625" s="4"/>
    </row>
    <row r="7626" spans="1:19" ht="21" customHeight="1" x14ac:dyDescent="0.25">
      <c r="A7626" s="14">
        <f>DATE(2012,12,31)-694</f>
        <v>40580</v>
      </c>
      <c r="B7626" s="15" t="s">
        <v>1360</v>
      </c>
      <c r="C7626" s="15" t="s">
        <v>85</v>
      </c>
      <c r="D7626" s="16">
        <v>17</v>
      </c>
      <c r="E7626" s="17">
        <v>86.29</v>
      </c>
      <c r="F7626" s="16">
        <v>0.02</v>
      </c>
      <c r="G7626" s="15" t="s">
        <v>32</v>
      </c>
      <c r="H7626" s="18">
        <v>34.979999999999997</v>
      </c>
      <c r="I7626" s="19">
        <v>4.9800000000000004</v>
      </c>
      <c r="J7626" s="19">
        <v>0.49</v>
      </c>
      <c r="K7626" s="19" t="s">
        <v>44</v>
      </c>
      <c r="L7626" s="19" t="s">
        <v>52</v>
      </c>
      <c r="M7626" s="15" t="s">
        <v>2351</v>
      </c>
      <c r="N7626" s="15" t="s">
        <v>36</v>
      </c>
      <c r="O7626" s="15" t="s">
        <v>114</v>
      </c>
      <c r="P7626" s="20" t="s">
        <v>2095</v>
      </c>
      <c r="Q7626" s="15" t="s">
        <v>83</v>
      </c>
      <c r="R7626" s="4"/>
      <c r="S7626" s="4"/>
    </row>
    <row r="7627" spans="1:19" ht="21" customHeight="1" x14ac:dyDescent="0.25">
      <c r="A7627" s="14">
        <f>DATE(2012,12,31)-694</f>
        <v>40580</v>
      </c>
      <c r="B7627" s="15" t="s">
        <v>2235</v>
      </c>
      <c r="C7627" s="15" t="s">
        <v>85</v>
      </c>
      <c r="D7627" s="16">
        <v>2</v>
      </c>
      <c r="E7627" s="17">
        <v>86.92</v>
      </c>
      <c r="F7627" s="16">
        <v>0.03</v>
      </c>
      <c r="G7627" s="15" t="s">
        <v>32</v>
      </c>
      <c r="H7627" s="18">
        <v>-43.93</v>
      </c>
      <c r="I7627" s="19">
        <v>36.549999999999997</v>
      </c>
      <c r="J7627" s="19">
        <v>13.89</v>
      </c>
      <c r="K7627" s="19" t="s">
        <v>44</v>
      </c>
      <c r="L7627" s="19" t="s">
        <v>52</v>
      </c>
      <c r="M7627" s="15" t="s">
        <v>2351</v>
      </c>
      <c r="N7627" s="15" t="s">
        <v>36</v>
      </c>
      <c r="O7627" s="15" t="s">
        <v>77</v>
      </c>
      <c r="P7627" s="20" t="s">
        <v>2193</v>
      </c>
      <c r="Q7627" s="15" t="s">
        <v>79</v>
      </c>
      <c r="R7627" s="4"/>
      <c r="S7627" s="4"/>
    </row>
    <row r="7628" spans="1:19" ht="21" customHeight="1" x14ac:dyDescent="0.25">
      <c r="A7628" s="14">
        <f>DATE(2012,12,31)-149</f>
        <v>41125</v>
      </c>
      <c r="B7628" s="15" t="s">
        <v>1916</v>
      </c>
      <c r="C7628" s="15" t="s">
        <v>85</v>
      </c>
      <c r="D7628" s="16">
        <v>39</v>
      </c>
      <c r="E7628" s="17">
        <v>419.95</v>
      </c>
      <c r="F7628" s="16">
        <v>0.02</v>
      </c>
      <c r="G7628" s="15" t="s">
        <v>32</v>
      </c>
      <c r="H7628" s="18">
        <v>-39.1</v>
      </c>
      <c r="I7628" s="19">
        <v>10.64</v>
      </c>
      <c r="J7628" s="19">
        <v>5.16</v>
      </c>
      <c r="K7628" s="19" t="s">
        <v>44</v>
      </c>
      <c r="L7628" s="19" t="s">
        <v>52</v>
      </c>
      <c r="M7628" s="15" t="s">
        <v>2351</v>
      </c>
      <c r="N7628" s="15" t="s">
        <v>54</v>
      </c>
      <c r="O7628" s="15" t="s">
        <v>55</v>
      </c>
      <c r="P7628" s="20" t="s">
        <v>1135</v>
      </c>
      <c r="Q7628" s="15" t="s">
        <v>83</v>
      </c>
      <c r="R7628" s="4"/>
      <c r="S7628" s="4"/>
    </row>
    <row r="7629" spans="1:19" ht="21" customHeight="1" x14ac:dyDescent="0.25">
      <c r="A7629" s="14">
        <f>DATE(2012,12,31)-529</f>
        <v>40745</v>
      </c>
      <c r="B7629" s="15" t="s">
        <v>826</v>
      </c>
      <c r="C7629" s="15" t="s">
        <v>31</v>
      </c>
      <c r="D7629" s="16">
        <v>17</v>
      </c>
      <c r="E7629" s="17">
        <v>117.33</v>
      </c>
      <c r="F7629" s="16">
        <v>7.0000000000000007E-2</v>
      </c>
      <c r="G7629" s="15" t="s">
        <v>32</v>
      </c>
      <c r="H7629" s="18">
        <v>10.31</v>
      </c>
      <c r="I7629" s="19">
        <v>6.69</v>
      </c>
      <c r="J7629" s="19">
        <v>3.1</v>
      </c>
      <c r="K7629" s="19" t="s">
        <v>33</v>
      </c>
      <c r="L7629" s="19" t="s">
        <v>59</v>
      </c>
      <c r="M7629" s="15" t="s">
        <v>2344</v>
      </c>
      <c r="N7629" s="15" t="s">
        <v>36</v>
      </c>
      <c r="O7629" s="15" t="s">
        <v>117</v>
      </c>
      <c r="P7629" s="20" t="s">
        <v>1743</v>
      </c>
      <c r="Q7629" s="15" t="s">
        <v>79</v>
      </c>
      <c r="R7629" s="4"/>
      <c r="S7629" s="4"/>
    </row>
    <row r="7630" spans="1:19" ht="21" customHeight="1" x14ac:dyDescent="0.25">
      <c r="A7630" s="14">
        <f>DATE(2012,12,31)-912</f>
        <v>40362</v>
      </c>
      <c r="B7630" s="15" t="s">
        <v>1784</v>
      </c>
      <c r="C7630" s="15" t="s">
        <v>51</v>
      </c>
      <c r="D7630" s="16">
        <v>11</v>
      </c>
      <c r="E7630" s="17">
        <v>54.61</v>
      </c>
      <c r="F7630" s="16">
        <v>0.08</v>
      </c>
      <c r="G7630" s="15" t="s">
        <v>101</v>
      </c>
      <c r="H7630" s="18">
        <v>14.99</v>
      </c>
      <c r="I7630" s="19">
        <v>4.76</v>
      </c>
      <c r="J7630" s="19">
        <v>0.88</v>
      </c>
      <c r="K7630" s="19" t="s">
        <v>97</v>
      </c>
      <c r="L7630" s="19" t="s">
        <v>195</v>
      </c>
      <c r="M7630" s="15" t="s">
        <v>2138</v>
      </c>
      <c r="N7630" s="15" t="s">
        <v>36</v>
      </c>
      <c r="O7630" s="15" t="s">
        <v>117</v>
      </c>
      <c r="P7630" s="20" t="s">
        <v>2150</v>
      </c>
      <c r="Q7630" s="15" t="s">
        <v>79</v>
      </c>
      <c r="R7630" s="4"/>
      <c r="S7630" s="4"/>
    </row>
    <row r="7631" spans="1:19" ht="21" customHeight="1" x14ac:dyDescent="0.25">
      <c r="A7631" s="14">
        <f>DATE(2012,12,31)-491</f>
        <v>40783</v>
      </c>
      <c r="B7631" s="15" t="s">
        <v>1784</v>
      </c>
      <c r="C7631" s="15" t="s">
        <v>85</v>
      </c>
      <c r="D7631" s="16">
        <v>32</v>
      </c>
      <c r="E7631" s="17">
        <v>197.93</v>
      </c>
      <c r="F7631" s="16">
        <v>0.06</v>
      </c>
      <c r="G7631" s="15" t="s">
        <v>32</v>
      </c>
      <c r="H7631" s="18">
        <v>-57.64</v>
      </c>
      <c r="I7631" s="19">
        <v>5.98</v>
      </c>
      <c r="J7631" s="19">
        <v>5.46</v>
      </c>
      <c r="K7631" s="19" t="s">
        <v>69</v>
      </c>
      <c r="L7631" s="19" t="s">
        <v>70</v>
      </c>
      <c r="M7631" s="15" t="s">
        <v>2357</v>
      </c>
      <c r="N7631" s="15" t="s">
        <v>36</v>
      </c>
      <c r="O7631" s="15" t="s">
        <v>117</v>
      </c>
      <c r="P7631" s="20" t="s">
        <v>1744</v>
      </c>
      <c r="Q7631" s="15" t="s">
        <v>83</v>
      </c>
      <c r="R7631" s="4"/>
      <c r="S7631" s="4"/>
    </row>
    <row r="7632" spans="1:19" ht="21" customHeight="1" x14ac:dyDescent="0.25">
      <c r="A7632" s="14">
        <f>DATE(2012,12,31)-491</f>
        <v>40783</v>
      </c>
      <c r="B7632" s="15" t="s">
        <v>1784</v>
      </c>
      <c r="C7632" s="15" t="s">
        <v>85</v>
      </c>
      <c r="D7632" s="16">
        <v>7</v>
      </c>
      <c r="E7632" s="17">
        <v>90.58</v>
      </c>
      <c r="F7632" s="16">
        <v>0.06</v>
      </c>
      <c r="G7632" s="15" t="s">
        <v>32</v>
      </c>
      <c r="H7632" s="18">
        <v>-27.83</v>
      </c>
      <c r="I7632" s="19">
        <v>12.44</v>
      </c>
      <c r="J7632" s="19">
        <v>6.27</v>
      </c>
      <c r="K7632" s="19" t="s">
        <v>69</v>
      </c>
      <c r="L7632" s="19" t="s">
        <v>70</v>
      </c>
      <c r="M7632" s="15" t="s">
        <v>2357</v>
      </c>
      <c r="N7632" s="15" t="s">
        <v>36</v>
      </c>
      <c r="O7632" s="15" t="s">
        <v>37</v>
      </c>
      <c r="P7632" s="20" t="s">
        <v>1864</v>
      </c>
      <c r="Q7632" s="15" t="s">
        <v>57</v>
      </c>
      <c r="R7632" s="4"/>
      <c r="S7632" s="4"/>
    </row>
    <row r="7633" spans="1:19" ht="21" customHeight="1" x14ac:dyDescent="0.25">
      <c r="A7633" s="14">
        <f>DATE(2012,12,31)-997</f>
        <v>40277</v>
      </c>
      <c r="B7633" s="15" t="s">
        <v>1784</v>
      </c>
      <c r="C7633" s="15" t="s">
        <v>51</v>
      </c>
      <c r="D7633" s="16">
        <v>12</v>
      </c>
      <c r="E7633" s="17">
        <v>6034.68</v>
      </c>
      <c r="F7633" s="16">
        <v>0.06</v>
      </c>
      <c r="G7633" s="15" t="s">
        <v>32</v>
      </c>
      <c r="H7633" s="18">
        <v>-517.08000000000004</v>
      </c>
      <c r="I7633" s="19">
        <v>499.99</v>
      </c>
      <c r="J7633" s="19">
        <v>24.49</v>
      </c>
      <c r="K7633" s="19" t="s">
        <v>44</v>
      </c>
      <c r="L7633" s="19" t="s">
        <v>89</v>
      </c>
      <c r="M7633" s="15" t="s">
        <v>2337</v>
      </c>
      <c r="N7633" s="15" t="s">
        <v>64</v>
      </c>
      <c r="O7633" s="15" t="s">
        <v>460</v>
      </c>
      <c r="P7633" s="20" t="s">
        <v>980</v>
      </c>
      <c r="Q7633" s="15" t="s">
        <v>39</v>
      </c>
      <c r="R7633" s="4"/>
      <c r="S7633" s="4"/>
    </row>
    <row r="7634" spans="1:19" ht="21" customHeight="1" x14ac:dyDescent="0.25">
      <c r="A7634" s="14">
        <f>DATE(2012,12,31)-1408</f>
        <v>39866</v>
      </c>
      <c r="B7634" s="15" t="s">
        <v>1994</v>
      </c>
      <c r="C7634" s="15" t="s">
        <v>43</v>
      </c>
      <c r="D7634" s="16">
        <v>27</v>
      </c>
      <c r="E7634" s="17">
        <v>132.36000000000001</v>
      </c>
      <c r="F7634" s="16">
        <v>0.05</v>
      </c>
      <c r="G7634" s="15" t="s">
        <v>32</v>
      </c>
      <c r="H7634" s="18">
        <v>-98.35</v>
      </c>
      <c r="I7634" s="19">
        <v>4.9800000000000004</v>
      </c>
      <c r="J7634" s="19">
        <v>4.62</v>
      </c>
      <c r="K7634" s="19" t="s">
        <v>44</v>
      </c>
      <c r="L7634" s="19" t="s">
        <v>89</v>
      </c>
      <c r="M7634" s="15" t="s">
        <v>2337</v>
      </c>
      <c r="N7634" s="15" t="s">
        <v>64</v>
      </c>
      <c r="O7634" s="15" t="s">
        <v>72</v>
      </c>
      <c r="P7634" s="20" t="s">
        <v>551</v>
      </c>
      <c r="Q7634" s="15" t="s">
        <v>49</v>
      </c>
      <c r="R7634" s="4"/>
      <c r="S7634" s="4"/>
    </row>
    <row r="7635" spans="1:19" ht="21" customHeight="1" x14ac:dyDescent="0.25">
      <c r="A7635" s="14">
        <f>DATE(2012,12,31)-1408</f>
        <v>39866</v>
      </c>
      <c r="B7635" s="15" t="s">
        <v>1908</v>
      </c>
      <c r="C7635" s="15" t="s">
        <v>43</v>
      </c>
      <c r="D7635" s="16">
        <v>42</v>
      </c>
      <c r="E7635" s="17">
        <v>1498.46</v>
      </c>
      <c r="F7635" s="16">
        <v>0.02</v>
      </c>
      <c r="G7635" s="15" t="s">
        <v>32</v>
      </c>
      <c r="H7635" s="18">
        <v>565.37</v>
      </c>
      <c r="I7635" s="19">
        <v>34.229999999999997</v>
      </c>
      <c r="J7635" s="19">
        <v>5.0199999999999996</v>
      </c>
      <c r="K7635" s="19" t="s">
        <v>44</v>
      </c>
      <c r="L7635" s="19" t="s">
        <v>80</v>
      </c>
      <c r="M7635" s="15" t="s">
        <v>2339</v>
      </c>
      <c r="N7635" s="15" t="s">
        <v>54</v>
      </c>
      <c r="O7635" s="15" t="s">
        <v>55</v>
      </c>
      <c r="P7635" s="20" t="s">
        <v>1323</v>
      </c>
      <c r="Q7635" s="15" t="s">
        <v>83</v>
      </c>
      <c r="R7635" s="4"/>
      <c r="S7635" s="4"/>
    </row>
    <row r="7636" spans="1:19" ht="21" customHeight="1" x14ac:dyDescent="0.25">
      <c r="A7636" s="14">
        <f>DATE(2012,12,31)-1239</f>
        <v>40035</v>
      </c>
      <c r="B7636" s="15" t="s">
        <v>1343</v>
      </c>
      <c r="C7636" s="15" t="s">
        <v>31</v>
      </c>
      <c r="D7636" s="16">
        <v>32</v>
      </c>
      <c r="E7636" s="17">
        <v>210.94</v>
      </c>
      <c r="F7636" s="16">
        <v>0.08</v>
      </c>
      <c r="G7636" s="15" t="s">
        <v>32</v>
      </c>
      <c r="H7636" s="18">
        <v>-94.59</v>
      </c>
      <c r="I7636" s="19">
        <v>6.48</v>
      </c>
      <c r="J7636" s="19">
        <v>6.81</v>
      </c>
      <c r="K7636" s="19" t="s">
        <v>44</v>
      </c>
      <c r="L7636" s="19" t="s">
        <v>52</v>
      </c>
      <c r="M7636" s="15" t="s">
        <v>2351</v>
      </c>
      <c r="N7636" s="15" t="s">
        <v>36</v>
      </c>
      <c r="O7636" s="15" t="s">
        <v>117</v>
      </c>
      <c r="P7636" s="20" t="s">
        <v>1796</v>
      </c>
      <c r="Q7636" s="15" t="s">
        <v>83</v>
      </c>
      <c r="R7636" s="4"/>
      <c r="S7636" s="4"/>
    </row>
    <row r="7637" spans="1:19" ht="21" customHeight="1" x14ac:dyDescent="0.25">
      <c r="A7637" s="14">
        <f>DATE(2012,12,31)-1239</f>
        <v>40035</v>
      </c>
      <c r="B7637" s="15" t="s">
        <v>629</v>
      </c>
      <c r="C7637" s="15" t="s">
        <v>31</v>
      </c>
      <c r="D7637" s="16">
        <v>7</v>
      </c>
      <c r="E7637" s="17">
        <v>192.02</v>
      </c>
      <c r="F7637" s="16">
        <v>0.09</v>
      </c>
      <c r="G7637" s="15" t="s">
        <v>58</v>
      </c>
      <c r="H7637" s="18">
        <v>-293.74</v>
      </c>
      <c r="I7637" s="19">
        <v>20.98</v>
      </c>
      <c r="J7637" s="19">
        <v>53.03</v>
      </c>
      <c r="K7637" s="19" t="s">
        <v>44</v>
      </c>
      <c r="L7637" s="19" t="s">
        <v>52</v>
      </c>
      <c r="M7637" s="15" t="s">
        <v>2351</v>
      </c>
      <c r="N7637" s="15" t="s">
        <v>36</v>
      </c>
      <c r="O7637" s="15" t="s">
        <v>37</v>
      </c>
      <c r="P7637" s="20" t="s">
        <v>1307</v>
      </c>
      <c r="Q7637" s="15" t="s">
        <v>181</v>
      </c>
      <c r="R7637" s="4"/>
      <c r="S7637" s="4"/>
    </row>
    <row r="7638" spans="1:19" ht="21" customHeight="1" x14ac:dyDescent="0.25">
      <c r="A7638" s="14">
        <f>DATE(2012,12,31)-757</f>
        <v>40517</v>
      </c>
      <c r="B7638" s="15" t="s">
        <v>1995</v>
      </c>
      <c r="C7638" s="15" t="s">
        <v>51</v>
      </c>
      <c r="D7638" s="16">
        <v>26</v>
      </c>
      <c r="E7638" s="17">
        <v>174.58</v>
      </c>
      <c r="F7638" s="16">
        <v>0.08</v>
      </c>
      <c r="G7638" s="15" t="s">
        <v>32</v>
      </c>
      <c r="H7638" s="18">
        <v>-57.17</v>
      </c>
      <c r="I7638" s="19">
        <v>6.84</v>
      </c>
      <c r="J7638" s="19">
        <v>4.42</v>
      </c>
      <c r="K7638" s="19" t="s">
        <v>44</v>
      </c>
      <c r="L7638" s="19" t="s">
        <v>52</v>
      </c>
      <c r="M7638" s="15" t="s">
        <v>2351</v>
      </c>
      <c r="N7638" s="15" t="s">
        <v>36</v>
      </c>
      <c r="O7638" s="15" t="s">
        <v>47</v>
      </c>
      <c r="P7638" s="20" t="s">
        <v>2274</v>
      </c>
      <c r="Q7638" s="15" t="s">
        <v>49</v>
      </c>
      <c r="R7638" s="4"/>
      <c r="S7638" s="4"/>
    </row>
    <row r="7639" spans="1:19" ht="21" customHeight="1" x14ac:dyDescent="0.25">
      <c r="A7639" s="14">
        <f>DATE(2012,12,31)-757</f>
        <v>40517</v>
      </c>
      <c r="B7639" s="15" t="s">
        <v>1995</v>
      </c>
      <c r="C7639" s="15" t="s">
        <v>51</v>
      </c>
      <c r="D7639" s="16">
        <v>22</v>
      </c>
      <c r="E7639" s="17">
        <v>8789.5400000000009</v>
      </c>
      <c r="F7639" s="16">
        <v>7.0000000000000007E-2</v>
      </c>
      <c r="G7639" s="15" t="s">
        <v>58</v>
      </c>
      <c r="H7639" s="18">
        <v>-1025.1883070000001</v>
      </c>
      <c r="I7639" s="19">
        <v>424.21</v>
      </c>
      <c r="J7639" s="19">
        <v>110.2</v>
      </c>
      <c r="K7639" s="19" t="s">
        <v>33</v>
      </c>
      <c r="L7639" s="19" t="s">
        <v>93</v>
      </c>
      <c r="M7639" s="15" t="s">
        <v>94</v>
      </c>
      <c r="N7639" s="15" t="s">
        <v>54</v>
      </c>
      <c r="O7639" s="15" t="s">
        <v>61</v>
      </c>
      <c r="P7639" s="20" t="s">
        <v>2135</v>
      </c>
      <c r="Q7639" s="15" t="s">
        <v>63</v>
      </c>
      <c r="R7639" s="4"/>
      <c r="S7639" s="4"/>
    </row>
    <row r="7640" spans="1:19" ht="21" customHeight="1" x14ac:dyDescent="0.25">
      <c r="A7640" s="14">
        <f>DATE(2012,12,31)-540</f>
        <v>40734</v>
      </c>
      <c r="B7640" s="15" t="s">
        <v>1897</v>
      </c>
      <c r="C7640" s="15" t="s">
        <v>31</v>
      </c>
      <c r="D7640" s="16">
        <v>24</v>
      </c>
      <c r="E7640" s="17">
        <v>344.25</v>
      </c>
      <c r="F7640" s="16">
        <v>0.1</v>
      </c>
      <c r="G7640" s="15" t="s">
        <v>32</v>
      </c>
      <c r="H7640" s="18">
        <v>23.961500000000001</v>
      </c>
      <c r="I7640" s="19">
        <v>14.48</v>
      </c>
      <c r="J7640" s="19">
        <v>6.46</v>
      </c>
      <c r="K7640" s="19" t="s">
        <v>33</v>
      </c>
      <c r="L7640" s="19" t="s">
        <v>59</v>
      </c>
      <c r="M7640" s="15" t="s">
        <v>2344</v>
      </c>
      <c r="N7640" s="15" t="s">
        <v>36</v>
      </c>
      <c r="O7640" s="15" t="s">
        <v>170</v>
      </c>
      <c r="P7640" s="20" t="s">
        <v>2104</v>
      </c>
      <c r="Q7640" s="15" t="s">
        <v>83</v>
      </c>
      <c r="R7640" s="4"/>
      <c r="S7640" s="4"/>
    </row>
    <row r="7641" spans="1:19" ht="21" customHeight="1" x14ac:dyDescent="0.25">
      <c r="A7641" s="14">
        <f>DATE(2012,12,31)-540</f>
        <v>40734</v>
      </c>
      <c r="B7641" s="15" t="s">
        <v>178</v>
      </c>
      <c r="C7641" s="15" t="s">
        <v>31</v>
      </c>
      <c r="D7641" s="16">
        <v>12</v>
      </c>
      <c r="E7641" s="17">
        <v>64.77</v>
      </c>
      <c r="F7641" s="16">
        <v>0.09</v>
      </c>
      <c r="G7641" s="15" t="s">
        <v>32</v>
      </c>
      <c r="H7641" s="18">
        <v>14.46</v>
      </c>
      <c r="I7641" s="19">
        <v>5.84</v>
      </c>
      <c r="J7641" s="19">
        <v>1</v>
      </c>
      <c r="K7641" s="19" t="s">
        <v>33</v>
      </c>
      <c r="L7641" s="19" t="s">
        <v>145</v>
      </c>
      <c r="M7641" s="15" t="s">
        <v>2347</v>
      </c>
      <c r="N7641" s="15" t="s">
        <v>36</v>
      </c>
      <c r="O7641" s="15" t="s">
        <v>77</v>
      </c>
      <c r="P7641" s="20" t="s">
        <v>397</v>
      </c>
      <c r="Q7641" s="15" t="s">
        <v>79</v>
      </c>
      <c r="R7641" s="4"/>
      <c r="S7641" s="4"/>
    </row>
    <row r="7642" spans="1:19" ht="21" customHeight="1" x14ac:dyDescent="0.25">
      <c r="A7642" s="14">
        <f>DATE(2012,12,31)-324</f>
        <v>40950</v>
      </c>
      <c r="B7642" s="15" t="s">
        <v>770</v>
      </c>
      <c r="C7642" s="15" t="s">
        <v>51</v>
      </c>
      <c r="D7642" s="16">
        <v>31</v>
      </c>
      <c r="E7642" s="17">
        <v>1024.31</v>
      </c>
      <c r="F7642" s="16">
        <v>0.03</v>
      </c>
      <c r="G7642" s="15" t="s">
        <v>32</v>
      </c>
      <c r="H7642" s="18">
        <v>174.7175</v>
      </c>
      <c r="I7642" s="19">
        <v>31.74</v>
      </c>
      <c r="J7642" s="19">
        <v>12.62</v>
      </c>
      <c r="K7642" s="19" t="s">
        <v>33</v>
      </c>
      <c r="L7642" s="19" t="s">
        <v>145</v>
      </c>
      <c r="M7642" s="15" t="s">
        <v>2347</v>
      </c>
      <c r="N7642" s="15" t="s">
        <v>36</v>
      </c>
      <c r="O7642" s="15" t="s">
        <v>170</v>
      </c>
      <c r="P7642" s="20" t="s">
        <v>891</v>
      </c>
      <c r="Q7642" s="15" t="s">
        <v>83</v>
      </c>
      <c r="R7642" s="4"/>
      <c r="S7642" s="4"/>
    </row>
    <row r="7643" spans="1:19" ht="21" customHeight="1" x14ac:dyDescent="0.25">
      <c r="A7643" s="14">
        <f>DATE(2012,12,31)-362</f>
        <v>40912</v>
      </c>
      <c r="B7643" s="15" t="s">
        <v>1396</v>
      </c>
      <c r="C7643" s="15" t="s">
        <v>85</v>
      </c>
      <c r="D7643" s="16">
        <v>48</v>
      </c>
      <c r="E7643" s="17">
        <v>452.28</v>
      </c>
      <c r="F7643" s="16">
        <v>0.09</v>
      </c>
      <c r="G7643" s="15" t="s">
        <v>32</v>
      </c>
      <c r="H7643" s="18">
        <v>-21</v>
      </c>
      <c r="I7643" s="19">
        <v>9.85</v>
      </c>
      <c r="J7643" s="19">
        <v>4.82</v>
      </c>
      <c r="K7643" s="19" t="s">
        <v>33</v>
      </c>
      <c r="L7643" s="19" t="s">
        <v>59</v>
      </c>
      <c r="M7643" s="15" t="s">
        <v>2344</v>
      </c>
      <c r="N7643" s="15" t="s">
        <v>36</v>
      </c>
      <c r="O7643" s="15" t="s">
        <v>77</v>
      </c>
      <c r="P7643" s="20" t="s">
        <v>686</v>
      </c>
      <c r="Q7643" s="15" t="s">
        <v>79</v>
      </c>
      <c r="R7643" s="4"/>
      <c r="S7643" s="4"/>
    </row>
    <row r="7644" spans="1:19" ht="21" customHeight="1" x14ac:dyDescent="0.25">
      <c r="A7644" s="14">
        <f>DATE(2012,12,31)-362</f>
        <v>40912</v>
      </c>
      <c r="B7644" s="15" t="s">
        <v>764</v>
      </c>
      <c r="C7644" s="15" t="s">
        <v>85</v>
      </c>
      <c r="D7644" s="16">
        <v>18</v>
      </c>
      <c r="E7644" s="17">
        <v>55.82</v>
      </c>
      <c r="F7644" s="16">
        <v>0.01</v>
      </c>
      <c r="G7644" s="15" t="s">
        <v>32</v>
      </c>
      <c r="H7644" s="18">
        <v>14.19</v>
      </c>
      <c r="I7644" s="19">
        <v>2.94</v>
      </c>
      <c r="J7644" s="19">
        <v>0.81</v>
      </c>
      <c r="K7644" s="19" t="s">
        <v>33</v>
      </c>
      <c r="L7644" s="19" t="s">
        <v>145</v>
      </c>
      <c r="M7644" s="15" t="s">
        <v>2347</v>
      </c>
      <c r="N7644" s="15" t="s">
        <v>36</v>
      </c>
      <c r="O7644" s="15" t="s">
        <v>77</v>
      </c>
      <c r="P7644" s="20" t="s">
        <v>566</v>
      </c>
      <c r="Q7644" s="15" t="s">
        <v>79</v>
      </c>
      <c r="R7644" s="4"/>
      <c r="S7644" s="4"/>
    </row>
    <row r="7645" spans="1:19" ht="21" customHeight="1" x14ac:dyDescent="0.25">
      <c r="A7645" s="14">
        <f>DATE(2012,12,31)-538</f>
        <v>40736</v>
      </c>
      <c r="B7645" s="15" t="s">
        <v>1929</v>
      </c>
      <c r="C7645" s="15" t="s">
        <v>31</v>
      </c>
      <c r="D7645" s="16">
        <v>5</v>
      </c>
      <c r="E7645" s="17">
        <v>24.3</v>
      </c>
      <c r="F7645" s="16">
        <v>0.02</v>
      </c>
      <c r="G7645" s="15" t="s">
        <v>32</v>
      </c>
      <c r="H7645" s="18">
        <v>3.14</v>
      </c>
      <c r="I7645" s="19">
        <v>4.91</v>
      </c>
      <c r="J7645" s="19">
        <v>0.5</v>
      </c>
      <c r="K7645" s="19" t="s">
        <v>33</v>
      </c>
      <c r="L7645" s="19" t="s">
        <v>34</v>
      </c>
      <c r="M7645" s="15" t="s">
        <v>2353</v>
      </c>
      <c r="N7645" s="15" t="s">
        <v>36</v>
      </c>
      <c r="O7645" s="15" t="s">
        <v>114</v>
      </c>
      <c r="P7645" s="20" t="s">
        <v>515</v>
      </c>
      <c r="Q7645" s="15" t="s">
        <v>83</v>
      </c>
      <c r="R7645" s="4"/>
      <c r="S7645" s="4"/>
    </row>
    <row r="7646" spans="1:19" ht="21" customHeight="1" x14ac:dyDescent="0.25">
      <c r="A7646" s="14">
        <f>DATE(2012,12,31)-538</f>
        <v>40736</v>
      </c>
      <c r="B7646" s="15" t="s">
        <v>1919</v>
      </c>
      <c r="C7646" s="15" t="s">
        <v>31</v>
      </c>
      <c r="D7646" s="16">
        <v>14</v>
      </c>
      <c r="E7646" s="17">
        <v>322.61</v>
      </c>
      <c r="F7646" s="16">
        <v>0.02</v>
      </c>
      <c r="G7646" s="15" t="s">
        <v>32</v>
      </c>
      <c r="H7646" s="18">
        <v>19.37</v>
      </c>
      <c r="I7646" s="19">
        <v>22.01</v>
      </c>
      <c r="J7646" s="19">
        <v>5.53</v>
      </c>
      <c r="K7646" s="19" t="s">
        <v>33</v>
      </c>
      <c r="L7646" s="19" t="s">
        <v>93</v>
      </c>
      <c r="M7646" s="15" t="s">
        <v>94</v>
      </c>
      <c r="N7646" s="15" t="s">
        <v>36</v>
      </c>
      <c r="O7646" s="15" t="s">
        <v>77</v>
      </c>
      <c r="P7646" s="20" t="s">
        <v>1848</v>
      </c>
      <c r="Q7646" s="15" t="s">
        <v>49</v>
      </c>
      <c r="R7646" s="4"/>
      <c r="S7646" s="4"/>
    </row>
    <row r="7647" spans="1:19" ht="21" customHeight="1" x14ac:dyDescent="0.25">
      <c r="A7647" s="14">
        <f>DATE(2012,12,31)-791</f>
        <v>40483</v>
      </c>
      <c r="B7647" s="15" t="s">
        <v>808</v>
      </c>
      <c r="C7647" s="15" t="s">
        <v>51</v>
      </c>
      <c r="D7647" s="16">
        <v>38</v>
      </c>
      <c r="E7647" s="17">
        <v>235.15</v>
      </c>
      <c r="F7647" s="16">
        <v>0.03</v>
      </c>
      <c r="G7647" s="15" t="s">
        <v>32</v>
      </c>
      <c r="H7647" s="18">
        <v>12.7</v>
      </c>
      <c r="I7647" s="19">
        <v>5.85</v>
      </c>
      <c r="J7647" s="19">
        <v>2.27</v>
      </c>
      <c r="K7647" s="19" t="s">
        <v>33</v>
      </c>
      <c r="L7647" s="19" t="s">
        <v>59</v>
      </c>
      <c r="M7647" s="15" t="s">
        <v>2344</v>
      </c>
      <c r="N7647" s="15" t="s">
        <v>36</v>
      </c>
      <c r="O7647" s="15" t="s">
        <v>77</v>
      </c>
      <c r="P7647" s="20" t="s">
        <v>375</v>
      </c>
      <c r="Q7647" s="15" t="s">
        <v>79</v>
      </c>
      <c r="R7647" s="4"/>
      <c r="S7647" s="4"/>
    </row>
    <row r="7648" spans="1:19" ht="21" customHeight="1" x14ac:dyDescent="0.25">
      <c r="A7648" s="14">
        <f>DATE(2012,12,31)-1359</f>
        <v>39915</v>
      </c>
      <c r="B7648" s="15" t="s">
        <v>808</v>
      </c>
      <c r="C7648" s="15" t="s">
        <v>51</v>
      </c>
      <c r="D7648" s="16">
        <v>8</v>
      </c>
      <c r="E7648" s="17">
        <v>292.38</v>
      </c>
      <c r="F7648" s="16">
        <v>0.05</v>
      </c>
      <c r="G7648" s="15" t="s">
        <v>32</v>
      </c>
      <c r="H7648" s="18">
        <v>6.11</v>
      </c>
      <c r="I7648" s="19">
        <v>35.51</v>
      </c>
      <c r="J7648" s="19">
        <v>6.31</v>
      </c>
      <c r="K7648" s="19" t="s">
        <v>33</v>
      </c>
      <c r="L7648" s="19" t="s">
        <v>145</v>
      </c>
      <c r="M7648" s="15" t="s">
        <v>2347</v>
      </c>
      <c r="N7648" s="15" t="s">
        <v>36</v>
      </c>
      <c r="O7648" s="15" t="s">
        <v>37</v>
      </c>
      <c r="P7648" s="20" t="s">
        <v>1411</v>
      </c>
      <c r="Q7648" s="15" t="s">
        <v>83</v>
      </c>
      <c r="R7648" s="4"/>
      <c r="S7648" s="4"/>
    </row>
    <row r="7649" spans="1:19" ht="21" customHeight="1" x14ac:dyDescent="0.25">
      <c r="A7649" s="14">
        <f>DATE(2012,12,31)-1359</f>
        <v>39915</v>
      </c>
      <c r="B7649" s="15" t="s">
        <v>808</v>
      </c>
      <c r="C7649" s="15" t="s">
        <v>51</v>
      </c>
      <c r="D7649" s="16">
        <v>24</v>
      </c>
      <c r="E7649" s="17">
        <v>191.79</v>
      </c>
      <c r="F7649" s="16">
        <v>0.1</v>
      </c>
      <c r="G7649" s="15" t="s">
        <v>32</v>
      </c>
      <c r="H7649" s="18">
        <v>-6.34</v>
      </c>
      <c r="I7649" s="19">
        <v>8.34</v>
      </c>
      <c r="J7649" s="19">
        <v>2.64</v>
      </c>
      <c r="K7649" s="19" t="s">
        <v>33</v>
      </c>
      <c r="L7649" s="19" t="s">
        <v>145</v>
      </c>
      <c r="M7649" s="15" t="s">
        <v>2347</v>
      </c>
      <c r="N7649" s="15" t="s">
        <v>36</v>
      </c>
      <c r="O7649" s="15" t="s">
        <v>47</v>
      </c>
      <c r="P7649" s="20" t="s">
        <v>621</v>
      </c>
      <c r="Q7649" s="15" t="s">
        <v>49</v>
      </c>
      <c r="R7649" s="4"/>
      <c r="S7649" s="4"/>
    </row>
    <row r="7650" spans="1:19" ht="21" customHeight="1" x14ac:dyDescent="0.25">
      <c r="A7650" s="14">
        <f>DATE(2012,12,31)-1359</f>
        <v>39915</v>
      </c>
      <c r="B7650" s="15" t="s">
        <v>1129</v>
      </c>
      <c r="C7650" s="15" t="s">
        <v>51</v>
      </c>
      <c r="D7650" s="16">
        <v>34</v>
      </c>
      <c r="E7650" s="17">
        <v>290.01</v>
      </c>
      <c r="F7650" s="16">
        <v>0.03</v>
      </c>
      <c r="G7650" s="15" t="s">
        <v>32</v>
      </c>
      <c r="H7650" s="18">
        <v>-160.27549999999999</v>
      </c>
      <c r="I7650" s="19">
        <v>8.0399999999999991</v>
      </c>
      <c r="J7650" s="19">
        <v>8.94</v>
      </c>
      <c r="K7650" s="19" t="s">
        <v>33</v>
      </c>
      <c r="L7650" s="19" t="s">
        <v>59</v>
      </c>
      <c r="M7650" s="15" t="s">
        <v>2344</v>
      </c>
      <c r="N7650" s="15" t="s">
        <v>36</v>
      </c>
      <c r="O7650" s="15" t="s">
        <v>170</v>
      </c>
      <c r="P7650" s="20" t="s">
        <v>326</v>
      </c>
      <c r="Q7650" s="15" t="s">
        <v>83</v>
      </c>
      <c r="R7650" s="4"/>
      <c r="S7650" s="4"/>
    </row>
    <row r="7651" spans="1:19" ht="21" customHeight="1" x14ac:dyDescent="0.25">
      <c r="A7651" s="14">
        <f>DATE(2012,12,31)-1359</f>
        <v>39915</v>
      </c>
      <c r="B7651" s="15" t="s">
        <v>1129</v>
      </c>
      <c r="C7651" s="15" t="s">
        <v>51</v>
      </c>
      <c r="D7651" s="16">
        <v>2</v>
      </c>
      <c r="E7651" s="17">
        <v>4692.26</v>
      </c>
      <c r="F7651" s="16">
        <v>0.08</v>
      </c>
      <c r="G7651" s="15" t="s">
        <v>58</v>
      </c>
      <c r="H7651" s="18">
        <v>-7373.1282000000001</v>
      </c>
      <c r="I7651" s="19">
        <v>2550.14</v>
      </c>
      <c r="J7651" s="19">
        <v>29.7</v>
      </c>
      <c r="K7651" s="19" t="s">
        <v>69</v>
      </c>
      <c r="L7651" s="19" t="s">
        <v>75</v>
      </c>
      <c r="M7651" s="15" t="s">
        <v>76</v>
      </c>
      <c r="N7651" s="15" t="s">
        <v>64</v>
      </c>
      <c r="O7651" s="15" t="s">
        <v>122</v>
      </c>
      <c r="P7651" s="20" t="s">
        <v>915</v>
      </c>
      <c r="Q7651" s="15" t="s">
        <v>181</v>
      </c>
      <c r="R7651" s="4"/>
      <c r="S7651" s="4"/>
    </row>
    <row r="7652" spans="1:19" ht="21" customHeight="1" x14ac:dyDescent="0.25">
      <c r="A7652" s="14">
        <f>DATE(2012,12,31)-389</f>
        <v>40885</v>
      </c>
      <c r="B7652" s="15" t="s">
        <v>1129</v>
      </c>
      <c r="C7652" s="15" t="s">
        <v>51</v>
      </c>
      <c r="D7652" s="16">
        <v>28</v>
      </c>
      <c r="E7652" s="17">
        <v>1717.88</v>
      </c>
      <c r="F7652" s="16">
        <v>0.05</v>
      </c>
      <c r="G7652" s="15" t="s">
        <v>101</v>
      </c>
      <c r="H7652" s="18">
        <v>513.92999999999995</v>
      </c>
      <c r="I7652" s="19">
        <v>60.97</v>
      </c>
      <c r="J7652" s="19">
        <v>4.5</v>
      </c>
      <c r="K7652" s="19" t="s">
        <v>69</v>
      </c>
      <c r="L7652" s="19" t="s">
        <v>70</v>
      </c>
      <c r="M7652" s="15" t="s">
        <v>2357</v>
      </c>
      <c r="N7652" s="15" t="s">
        <v>36</v>
      </c>
      <c r="O7652" s="15" t="s">
        <v>176</v>
      </c>
      <c r="P7652" s="20" t="s">
        <v>2041</v>
      </c>
      <c r="Q7652" s="15" t="s">
        <v>83</v>
      </c>
      <c r="R7652" s="4"/>
      <c r="S7652" s="4"/>
    </row>
    <row r="7653" spans="1:19" ht="21" customHeight="1" x14ac:dyDescent="0.25">
      <c r="A7653" s="14">
        <f>DATE(2012,12,31)-389</f>
        <v>40885</v>
      </c>
      <c r="B7653" s="15" t="s">
        <v>1931</v>
      </c>
      <c r="C7653" s="15" t="s">
        <v>51</v>
      </c>
      <c r="D7653" s="16">
        <v>38</v>
      </c>
      <c r="E7653" s="17">
        <v>1978.4345000000001</v>
      </c>
      <c r="F7653" s="16">
        <v>0.09</v>
      </c>
      <c r="G7653" s="15" t="s">
        <v>32</v>
      </c>
      <c r="H7653" s="18">
        <v>471.08699999999993</v>
      </c>
      <c r="I7653" s="19">
        <v>65.989999999999995</v>
      </c>
      <c r="J7653" s="19">
        <v>2.5</v>
      </c>
      <c r="K7653" s="19" t="s">
        <v>69</v>
      </c>
      <c r="L7653" s="19" t="s">
        <v>70</v>
      </c>
      <c r="M7653" s="15" t="s">
        <v>2357</v>
      </c>
      <c r="N7653" s="15" t="s">
        <v>64</v>
      </c>
      <c r="O7653" s="15" t="s">
        <v>65</v>
      </c>
      <c r="P7653" s="20" t="s">
        <v>232</v>
      </c>
      <c r="Q7653" s="15" t="s">
        <v>83</v>
      </c>
      <c r="R7653" s="4"/>
      <c r="S7653" s="4"/>
    </row>
    <row r="7654" spans="1:19" ht="21" customHeight="1" x14ac:dyDescent="0.25">
      <c r="A7654" s="14">
        <f>DATE(2012,12,31)-1135</f>
        <v>40139</v>
      </c>
      <c r="B7654" s="15" t="s">
        <v>1931</v>
      </c>
      <c r="C7654" s="15" t="s">
        <v>51</v>
      </c>
      <c r="D7654" s="16">
        <v>20</v>
      </c>
      <c r="E7654" s="17">
        <v>632.04999999999995</v>
      </c>
      <c r="F7654" s="16">
        <v>0.09</v>
      </c>
      <c r="G7654" s="15" t="s">
        <v>32</v>
      </c>
      <c r="H7654" s="18">
        <v>-626.61</v>
      </c>
      <c r="I7654" s="19">
        <v>32.479999999999997</v>
      </c>
      <c r="J7654" s="19">
        <v>35</v>
      </c>
      <c r="K7654" s="19" t="s">
        <v>69</v>
      </c>
      <c r="L7654" s="19" t="s">
        <v>70</v>
      </c>
      <c r="M7654" s="15" t="s">
        <v>2357</v>
      </c>
      <c r="N7654" s="15" t="s">
        <v>36</v>
      </c>
      <c r="O7654" s="15" t="s">
        <v>37</v>
      </c>
      <c r="P7654" s="20" t="s">
        <v>174</v>
      </c>
      <c r="Q7654" s="15" t="s">
        <v>39</v>
      </c>
      <c r="R7654" s="4"/>
      <c r="S7654" s="4"/>
    </row>
    <row r="7655" spans="1:19" ht="21" customHeight="1" x14ac:dyDescent="0.25">
      <c r="A7655" s="14">
        <f>DATE(2012,12,31)-1358</f>
        <v>39916</v>
      </c>
      <c r="B7655" s="15" t="s">
        <v>1189</v>
      </c>
      <c r="C7655" s="15" t="s">
        <v>85</v>
      </c>
      <c r="D7655" s="16">
        <v>2</v>
      </c>
      <c r="E7655" s="17">
        <v>29.32</v>
      </c>
      <c r="F7655" s="16">
        <v>0.08</v>
      </c>
      <c r="G7655" s="15" t="s">
        <v>101</v>
      </c>
      <c r="H7655" s="18">
        <v>-12.93</v>
      </c>
      <c r="I7655" s="19">
        <v>7.28</v>
      </c>
      <c r="J7655" s="19">
        <v>11.15</v>
      </c>
      <c r="K7655" s="19" t="s">
        <v>69</v>
      </c>
      <c r="L7655" s="19" t="s">
        <v>75</v>
      </c>
      <c r="M7655" s="15" t="s">
        <v>76</v>
      </c>
      <c r="N7655" s="15" t="s">
        <v>36</v>
      </c>
      <c r="O7655" s="15" t="s">
        <v>117</v>
      </c>
      <c r="P7655" s="20" t="s">
        <v>304</v>
      </c>
      <c r="Q7655" s="15" t="s">
        <v>83</v>
      </c>
      <c r="R7655" s="4"/>
      <c r="S7655" s="4"/>
    </row>
    <row r="7656" spans="1:19" ht="21" customHeight="1" x14ac:dyDescent="0.25">
      <c r="A7656" s="14">
        <f>DATE(2012,12,31)-286</f>
        <v>40988</v>
      </c>
      <c r="B7656" s="15" t="s">
        <v>1189</v>
      </c>
      <c r="C7656" s="15" t="s">
        <v>31</v>
      </c>
      <c r="D7656" s="16">
        <v>40</v>
      </c>
      <c r="E7656" s="17">
        <v>2376.7105000000001</v>
      </c>
      <c r="F7656" s="16">
        <v>0.01</v>
      </c>
      <c r="G7656" s="15" t="s">
        <v>32</v>
      </c>
      <c r="H7656" s="18">
        <v>721.80899999999997</v>
      </c>
      <c r="I7656" s="19">
        <v>65.989999999999995</v>
      </c>
      <c r="J7656" s="19">
        <v>3.99</v>
      </c>
      <c r="K7656" s="19" t="s">
        <v>69</v>
      </c>
      <c r="L7656" s="19" t="s">
        <v>75</v>
      </c>
      <c r="M7656" s="15" t="s">
        <v>76</v>
      </c>
      <c r="N7656" s="15" t="s">
        <v>64</v>
      </c>
      <c r="O7656" s="15" t="s">
        <v>65</v>
      </c>
      <c r="P7656" s="20" t="s">
        <v>150</v>
      </c>
      <c r="Q7656" s="15" t="s">
        <v>83</v>
      </c>
      <c r="R7656" s="4"/>
      <c r="S7656" s="4"/>
    </row>
    <row r="7657" spans="1:19" ht="21" customHeight="1" x14ac:dyDescent="0.25">
      <c r="A7657" s="14">
        <f>DATE(2012,12,31)-699</f>
        <v>40575</v>
      </c>
      <c r="B7657" s="15" t="s">
        <v>2184</v>
      </c>
      <c r="C7657" s="15" t="s">
        <v>85</v>
      </c>
      <c r="D7657" s="16">
        <v>21</v>
      </c>
      <c r="E7657" s="17">
        <v>556.45000000000005</v>
      </c>
      <c r="F7657" s="16">
        <v>0.08</v>
      </c>
      <c r="G7657" s="15" t="s">
        <v>58</v>
      </c>
      <c r="H7657" s="18">
        <v>-124.42</v>
      </c>
      <c r="I7657" s="19">
        <v>25.98</v>
      </c>
      <c r="J7657" s="19">
        <v>14.36</v>
      </c>
      <c r="K7657" s="19" t="s">
        <v>69</v>
      </c>
      <c r="L7657" s="19" t="s">
        <v>75</v>
      </c>
      <c r="M7657" s="15" t="s">
        <v>76</v>
      </c>
      <c r="N7657" s="15" t="s">
        <v>54</v>
      </c>
      <c r="O7657" s="15" t="s">
        <v>252</v>
      </c>
      <c r="P7657" s="20" t="s">
        <v>607</v>
      </c>
      <c r="Q7657" s="15" t="s">
        <v>181</v>
      </c>
      <c r="R7657" s="4"/>
      <c r="S7657" s="4"/>
    </row>
    <row r="7658" spans="1:19" ht="21" customHeight="1" x14ac:dyDescent="0.25">
      <c r="A7658" s="14">
        <f>DATE(2012,12,31)-454</f>
        <v>40820</v>
      </c>
      <c r="B7658" s="15" t="s">
        <v>1933</v>
      </c>
      <c r="C7658" s="15" t="s">
        <v>85</v>
      </c>
      <c r="D7658" s="16">
        <v>2</v>
      </c>
      <c r="E7658" s="17">
        <v>31.7</v>
      </c>
      <c r="F7658" s="16">
        <v>0.05</v>
      </c>
      <c r="G7658" s="15" t="s">
        <v>32</v>
      </c>
      <c r="H7658" s="18">
        <v>-44.39</v>
      </c>
      <c r="I7658" s="19">
        <v>14.48</v>
      </c>
      <c r="J7658" s="19">
        <v>1.99</v>
      </c>
      <c r="K7658" s="19" t="s">
        <v>69</v>
      </c>
      <c r="L7658" s="19" t="s">
        <v>70</v>
      </c>
      <c r="M7658" s="15" t="s">
        <v>2357</v>
      </c>
      <c r="N7658" s="15" t="s">
        <v>64</v>
      </c>
      <c r="O7658" s="15" t="s">
        <v>72</v>
      </c>
      <c r="P7658" s="20" t="s">
        <v>2026</v>
      </c>
      <c r="Q7658" s="15" t="s">
        <v>49</v>
      </c>
      <c r="R7658" s="4"/>
      <c r="S7658" s="4"/>
    </row>
    <row r="7659" spans="1:19" ht="21" customHeight="1" x14ac:dyDescent="0.25">
      <c r="A7659" s="14">
        <f>DATE(2012,12,31)-454</f>
        <v>40820</v>
      </c>
      <c r="B7659" s="15" t="s">
        <v>932</v>
      </c>
      <c r="C7659" s="15" t="s">
        <v>85</v>
      </c>
      <c r="D7659" s="16">
        <v>3</v>
      </c>
      <c r="E7659" s="17">
        <v>143.98149999999998</v>
      </c>
      <c r="F7659" s="16">
        <v>0.08</v>
      </c>
      <c r="G7659" s="15" t="s">
        <v>32</v>
      </c>
      <c r="H7659" s="18">
        <v>-283.22800000000001</v>
      </c>
      <c r="I7659" s="19">
        <v>55.99</v>
      </c>
      <c r="J7659" s="19">
        <v>2.5</v>
      </c>
      <c r="K7659" s="19" t="s">
        <v>69</v>
      </c>
      <c r="L7659" s="19" t="s">
        <v>70</v>
      </c>
      <c r="M7659" s="15" t="s">
        <v>2357</v>
      </c>
      <c r="N7659" s="15" t="s">
        <v>64</v>
      </c>
      <c r="O7659" s="15" t="s">
        <v>65</v>
      </c>
      <c r="P7659" s="20" t="s">
        <v>599</v>
      </c>
      <c r="Q7659" s="15" t="s">
        <v>49</v>
      </c>
      <c r="R7659" s="4"/>
      <c r="S7659" s="4"/>
    </row>
    <row r="7660" spans="1:19" ht="21" customHeight="1" x14ac:dyDescent="0.25">
      <c r="A7660" s="14">
        <f>DATE(2012,12,31)-968</f>
        <v>40306</v>
      </c>
      <c r="B7660" s="15" t="s">
        <v>290</v>
      </c>
      <c r="C7660" s="15" t="s">
        <v>31</v>
      </c>
      <c r="D7660" s="16">
        <v>32</v>
      </c>
      <c r="E7660" s="17">
        <v>171.52</v>
      </c>
      <c r="F7660" s="16">
        <v>0.1</v>
      </c>
      <c r="G7660" s="15" t="s">
        <v>32</v>
      </c>
      <c r="H7660" s="18">
        <v>46.61</v>
      </c>
      <c r="I7660" s="19">
        <v>5.68</v>
      </c>
      <c r="J7660" s="19">
        <v>1.39</v>
      </c>
      <c r="K7660" s="19" t="s">
        <v>69</v>
      </c>
      <c r="L7660" s="19" t="s">
        <v>75</v>
      </c>
      <c r="M7660" s="15" t="s">
        <v>76</v>
      </c>
      <c r="N7660" s="15" t="s">
        <v>36</v>
      </c>
      <c r="O7660" s="15" t="s">
        <v>189</v>
      </c>
      <c r="P7660" s="20" t="s">
        <v>1879</v>
      </c>
      <c r="Q7660" s="15" t="s">
        <v>83</v>
      </c>
      <c r="R7660" s="4"/>
      <c r="S7660" s="4"/>
    </row>
    <row r="7661" spans="1:19" ht="21" customHeight="1" x14ac:dyDescent="0.25">
      <c r="A7661" s="14">
        <f>DATE(2012,12,31)-814</f>
        <v>40460</v>
      </c>
      <c r="B7661" s="15" t="s">
        <v>290</v>
      </c>
      <c r="C7661" s="15" t="s">
        <v>85</v>
      </c>
      <c r="D7661" s="16">
        <v>29</v>
      </c>
      <c r="E7661" s="17">
        <v>134.68</v>
      </c>
      <c r="F7661" s="16">
        <v>0.1</v>
      </c>
      <c r="G7661" s="15" t="s">
        <v>32</v>
      </c>
      <c r="H7661" s="18">
        <v>-66.459999999999994</v>
      </c>
      <c r="I7661" s="19">
        <v>4.9800000000000004</v>
      </c>
      <c r="J7661" s="19">
        <v>4.7</v>
      </c>
      <c r="K7661" s="19" t="s">
        <v>69</v>
      </c>
      <c r="L7661" s="19" t="s">
        <v>70</v>
      </c>
      <c r="M7661" s="15" t="s">
        <v>2357</v>
      </c>
      <c r="N7661" s="15" t="s">
        <v>36</v>
      </c>
      <c r="O7661" s="15" t="s">
        <v>117</v>
      </c>
      <c r="P7661" s="20" t="s">
        <v>143</v>
      </c>
      <c r="Q7661" s="15" t="s">
        <v>83</v>
      </c>
      <c r="R7661" s="4"/>
      <c r="S7661" s="4"/>
    </row>
    <row r="7662" spans="1:19" ht="21" customHeight="1" x14ac:dyDescent="0.25">
      <c r="A7662" s="14">
        <f>DATE(2012,12,31)-1194</f>
        <v>40080</v>
      </c>
      <c r="B7662" s="15" t="s">
        <v>1648</v>
      </c>
      <c r="C7662" s="15" t="s">
        <v>51</v>
      </c>
      <c r="D7662" s="16">
        <v>22</v>
      </c>
      <c r="E7662" s="17">
        <v>1132.54</v>
      </c>
      <c r="F7662" s="16">
        <v>0</v>
      </c>
      <c r="G7662" s="15" t="s">
        <v>32</v>
      </c>
      <c r="H7662" s="18">
        <v>-628.38</v>
      </c>
      <c r="I7662" s="19">
        <v>48.91</v>
      </c>
      <c r="J7662" s="19">
        <v>35</v>
      </c>
      <c r="K7662" s="19" t="s">
        <v>69</v>
      </c>
      <c r="L7662" s="19" t="s">
        <v>70</v>
      </c>
      <c r="M7662" s="15" t="s">
        <v>2357</v>
      </c>
      <c r="N7662" s="15" t="s">
        <v>36</v>
      </c>
      <c r="O7662" s="15" t="s">
        <v>37</v>
      </c>
      <c r="P7662" s="20" t="s">
        <v>1118</v>
      </c>
      <c r="Q7662" s="15" t="s">
        <v>39</v>
      </c>
      <c r="R7662" s="4"/>
      <c r="S7662" s="4"/>
    </row>
    <row r="7663" spans="1:19" ht="21" customHeight="1" x14ac:dyDescent="0.25">
      <c r="A7663" s="14">
        <f>DATE(2012,12,31)-1079</f>
        <v>40195</v>
      </c>
      <c r="B7663" s="15" t="s">
        <v>1202</v>
      </c>
      <c r="C7663" s="15" t="s">
        <v>43</v>
      </c>
      <c r="D7663" s="16">
        <v>26</v>
      </c>
      <c r="E7663" s="17">
        <v>85.71</v>
      </c>
      <c r="F7663" s="16">
        <v>0.08</v>
      </c>
      <c r="G7663" s="15" t="s">
        <v>32</v>
      </c>
      <c r="H7663" s="18">
        <v>9.32</v>
      </c>
      <c r="I7663" s="19">
        <v>3.28</v>
      </c>
      <c r="J7663" s="19">
        <v>0.98</v>
      </c>
      <c r="K7663" s="19" t="s">
        <v>69</v>
      </c>
      <c r="L7663" s="19" t="s">
        <v>75</v>
      </c>
      <c r="M7663" s="15" t="s">
        <v>76</v>
      </c>
      <c r="N7663" s="15" t="s">
        <v>36</v>
      </c>
      <c r="O7663" s="15" t="s">
        <v>77</v>
      </c>
      <c r="P7663" s="20" t="s">
        <v>139</v>
      </c>
      <c r="Q7663" s="15" t="s">
        <v>79</v>
      </c>
      <c r="R7663" s="4"/>
      <c r="S7663" s="4"/>
    </row>
    <row r="7664" spans="1:19" ht="21" customHeight="1" x14ac:dyDescent="0.25">
      <c r="A7664" s="14">
        <f>DATE(2012,12,31)-1079</f>
        <v>40195</v>
      </c>
      <c r="B7664" s="15" t="s">
        <v>1202</v>
      </c>
      <c r="C7664" s="15" t="s">
        <v>43</v>
      </c>
      <c r="D7664" s="16">
        <v>41</v>
      </c>
      <c r="E7664" s="17">
        <v>576.58000000000004</v>
      </c>
      <c r="F7664" s="16">
        <v>0.04</v>
      </c>
      <c r="G7664" s="15" t="s">
        <v>32</v>
      </c>
      <c r="H7664" s="18">
        <v>-81.55</v>
      </c>
      <c r="I7664" s="19">
        <v>13.9</v>
      </c>
      <c r="J7664" s="19">
        <v>7.59</v>
      </c>
      <c r="K7664" s="19" t="s">
        <v>69</v>
      </c>
      <c r="L7664" s="19" t="s">
        <v>75</v>
      </c>
      <c r="M7664" s="15" t="s">
        <v>76</v>
      </c>
      <c r="N7664" s="15" t="s">
        <v>36</v>
      </c>
      <c r="O7664" s="15" t="s">
        <v>47</v>
      </c>
      <c r="P7664" s="20" t="s">
        <v>1481</v>
      </c>
      <c r="Q7664" s="15" t="s">
        <v>49</v>
      </c>
      <c r="R7664" s="4"/>
      <c r="S7664" s="4"/>
    </row>
    <row r="7665" spans="1:19" ht="21" customHeight="1" x14ac:dyDescent="0.25">
      <c r="A7665" s="14">
        <f>DATE(2012,12,31)-911</f>
        <v>40363</v>
      </c>
      <c r="B7665" s="15" t="s">
        <v>2127</v>
      </c>
      <c r="C7665" s="15" t="s">
        <v>85</v>
      </c>
      <c r="D7665" s="16">
        <v>39</v>
      </c>
      <c r="E7665" s="17">
        <v>438.8</v>
      </c>
      <c r="F7665" s="16">
        <v>0.09</v>
      </c>
      <c r="G7665" s="15" t="s">
        <v>32</v>
      </c>
      <c r="H7665" s="18">
        <v>-84.19</v>
      </c>
      <c r="I7665" s="19">
        <v>11.7</v>
      </c>
      <c r="J7665" s="19">
        <v>6.96</v>
      </c>
      <c r="K7665" s="19" t="s">
        <v>69</v>
      </c>
      <c r="L7665" s="19" t="s">
        <v>215</v>
      </c>
      <c r="M7665" s="15" t="s">
        <v>2355</v>
      </c>
      <c r="N7665" s="15" t="s">
        <v>36</v>
      </c>
      <c r="O7665" s="15" t="s">
        <v>176</v>
      </c>
      <c r="P7665" s="20" t="s">
        <v>735</v>
      </c>
      <c r="Q7665" s="15" t="s">
        <v>57</v>
      </c>
      <c r="R7665" s="4"/>
      <c r="S7665" s="4"/>
    </row>
    <row r="7666" spans="1:19" ht="21" customHeight="1" x14ac:dyDescent="0.25">
      <c r="A7666" s="14">
        <f>DATE(2012,12,31)-101</f>
        <v>41173</v>
      </c>
      <c r="B7666" s="15" t="s">
        <v>2127</v>
      </c>
      <c r="C7666" s="15" t="s">
        <v>85</v>
      </c>
      <c r="D7666" s="16">
        <v>22</v>
      </c>
      <c r="E7666" s="17">
        <v>985.29</v>
      </c>
      <c r="F7666" s="16">
        <v>0.04</v>
      </c>
      <c r="G7666" s="15" t="s">
        <v>101</v>
      </c>
      <c r="H7666" s="18">
        <v>138.37</v>
      </c>
      <c r="I7666" s="19">
        <v>43.98</v>
      </c>
      <c r="J7666" s="19">
        <v>8.99</v>
      </c>
      <c r="K7666" s="19" t="s">
        <v>69</v>
      </c>
      <c r="L7666" s="19" t="s">
        <v>215</v>
      </c>
      <c r="M7666" s="15" t="s">
        <v>2355</v>
      </c>
      <c r="N7666" s="15" t="s">
        <v>36</v>
      </c>
      <c r="O7666" s="15" t="s">
        <v>77</v>
      </c>
      <c r="P7666" s="20" t="s">
        <v>180</v>
      </c>
      <c r="Q7666" s="15" t="s">
        <v>49</v>
      </c>
      <c r="R7666" s="4"/>
      <c r="S7666" s="4"/>
    </row>
    <row r="7667" spans="1:19" ht="21" customHeight="1" x14ac:dyDescent="0.25">
      <c r="A7667" s="14">
        <f>DATE(2012,12,31)-66</f>
        <v>41208</v>
      </c>
      <c r="B7667" s="15" t="s">
        <v>2116</v>
      </c>
      <c r="C7667" s="15" t="s">
        <v>51</v>
      </c>
      <c r="D7667" s="16">
        <v>29</v>
      </c>
      <c r="E7667" s="17">
        <v>575.89</v>
      </c>
      <c r="F7667" s="16">
        <v>0.06</v>
      </c>
      <c r="G7667" s="15" t="s">
        <v>32</v>
      </c>
      <c r="H7667" s="18">
        <v>-14.04</v>
      </c>
      <c r="I7667" s="19">
        <v>19.98</v>
      </c>
      <c r="J7667" s="19">
        <v>4</v>
      </c>
      <c r="K7667" s="19" t="s">
        <v>69</v>
      </c>
      <c r="L7667" s="19" t="s">
        <v>215</v>
      </c>
      <c r="M7667" s="15" t="s">
        <v>2355</v>
      </c>
      <c r="N7667" s="15" t="s">
        <v>64</v>
      </c>
      <c r="O7667" s="15" t="s">
        <v>72</v>
      </c>
      <c r="P7667" s="20" t="s">
        <v>2075</v>
      </c>
      <c r="Q7667" s="15" t="s">
        <v>83</v>
      </c>
      <c r="R7667" s="4"/>
      <c r="S7667" s="4"/>
    </row>
    <row r="7668" spans="1:19" ht="21" customHeight="1" x14ac:dyDescent="0.25">
      <c r="A7668" s="14">
        <f>DATE(2012,12,31)-66</f>
        <v>41208</v>
      </c>
      <c r="B7668" s="15" t="s">
        <v>2116</v>
      </c>
      <c r="C7668" s="15" t="s">
        <v>51</v>
      </c>
      <c r="D7668" s="16">
        <v>43</v>
      </c>
      <c r="E7668" s="17">
        <v>260.60000000000002</v>
      </c>
      <c r="F7668" s="16">
        <v>0.05</v>
      </c>
      <c r="G7668" s="15" t="s">
        <v>32</v>
      </c>
      <c r="H7668" s="18">
        <v>-182.71</v>
      </c>
      <c r="I7668" s="19">
        <v>5.78</v>
      </c>
      <c r="J7668" s="19">
        <v>7.96</v>
      </c>
      <c r="K7668" s="19" t="s">
        <v>69</v>
      </c>
      <c r="L7668" s="19" t="s">
        <v>75</v>
      </c>
      <c r="M7668" s="15" t="s">
        <v>76</v>
      </c>
      <c r="N7668" s="15" t="s">
        <v>36</v>
      </c>
      <c r="O7668" s="15" t="s">
        <v>117</v>
      </c>
      <c r="P7668" s="20" t="s">
        <v>2106</v>
      </c>
      <c r="Q7668" s="15" t="s">
        <v>83</v>
      </c>
      <c r="R7668" s="4"/>
      <c r="S7668" s="4"/>
    </row>
    <row r="7669" spans="1:19" ht="21" customHeight="1" x14ac:dyDescent="0.25">
      <c r="A7669" s="14">
        <f>DATE(2012,12,31)-759</f>
        <v>40515</v>
      </c>
      <c r="B7669" s="15" t="s">
        <v>346</v>
      </c>
      <c r="C7669" s="15" t="s">
        <v>43</v>
      </c>
      <c r="D7669" s="16">
        <v>1</v>
      </c>
      <c r="E7669" s="17">
        <v>37.89</v>
      </c>
      <c r="F7669" s="16">
        <v>0</v>
      </c>
      <c r="G7669" s="15" t="s">
        <v>32</v>
      </c>
      <c r="H7669" s="18">
        <v>-120.97</v>
      </c>
      <c r="I7669" s="19">
        <v>35.409999999999997</v>
      </c>
      <c r="J7669" s="19">
        <v>1.99</v>
      </c>
      <c r="K7669" s="19" t="s">
        <v>69</v>
      </c>
      <c r="L7669" s="19" t="s">
        <v>215</v>
      </c>
      <c r="M7669" s="15" t="s">
        <v>2355</v>
      </c>
      <c r="N7669" s="15" t="s">
        <v>64</v>
      </c>
      <c r="O7669" s="15" t="s">
        <v>72</v>
      </c>
      <c r="P7669" s="20" t="s">
        <v>646</v>
      </c>
      <c r="Q7669" s="15" t="s">
        <v>49</v>
      </c>
      <c r="R7669" s="4"/>
      <c r="S7669" s="4"/>
    </row>
    <row r="7670" spans="1:19" ht="21" customHeight="1" x14ac:dyDescent="0.25">
      <c r="A7670" s="14">
        <f>DATE(2012,12,31)-856</f>
        <v>40418</v>
      </c>
      <c r="B7670" s="15" t="s">
        <v>346</v>
      </c>
      <c r="C7670" s="15" t="s">
        <v>85</v>
      </c>
      <c r="D7670" s="16">
        <v>33</v>
      </c>
      <c r="E7670" s="17">
        <v>505.08</v>
      </c>
      <c r="F7670" s="16">
        <v>0.01</v>
      </c>
      <c r="G7670" s="15" t="s">
        <v>32</v>
      </c>
      <c r="H7670" s="18">
        <v>-56.913499999999999</v>
      </c>
      <c r="I7670" s="19">
        <v>15.15</v>
      </c>
      <c r="J7670" s="19">
        <v>10.130000000000001</v>
      </c>
      <c r="K7670" s="19" t="s">
        <v>69</v>
      </c>
      <c r="L7670" s="19" t="s">
        <v>215</v>
      </c>
      <c r="M7670" s="15" t="s">
        <v>2355</v>
      </c>
      <c r="N7670" s="15" t="s">
        <v>36</v>
      </c>
      <c r="O7670" s="15" t="s">
        <v>170</v>
      </c>
      <c r="P7670" s="20" t="s">
        <v>1148</v>
      </c>
      <c r="Q7670" s="15" t="s">
        <v>83</v>
      </c>
      <c r="R7670" s="4"/>
      <c r="S7670" s="4"/>
    </row>
    <row r="7671" spans="1:19" ht="21" customHeight="1" x14ac:dyDescent="0.25">
      <c r="A7671" s="14">
        <f>DATE(2012,12,31)-856</f>
        <v>40418</v>
      </c>
      <c r="B7671" s="15" t="s">
        <v>1910</v>
      </c>
      <c r="C7671" s="15" t="s">
        <v>85</v>
      </c>
      <c r="D7671" s="16">
        <v>4</v>
      </c>
      <c r="E7671" s="17">
        <v>649.23849999999993</v>
      </c>
      <c r="F7671" s="16">
        <v>0.1</v>
      </c>
      <c r="G7671" s="15" t="s">
        <v>32</v>
      </c>
      <c r="H7671" s="18">
        <v>-830.72</v>
      </c>
      <c r="I7671" s="19">
        <v>205.99</v>
      </c>
      <c r="J7671" s="19">
        <v>2.79</v>
      </c>
      <c r="K7671" s="19" t="s">
        <v>111</v>
      </c>
      <c r="L7671" s="19" t="s">
        <v>2301</v>
      </c>
      <c r="M7671" s="15" t="s">
        <v>2346</v>
      </c>
      <c r="N7671" s="15" t="s">
        <v>64</v>
      </c>
      <c r="O7671" s="15" t="s">
        <v>65</v>
      </c>
      <c r="P7671" s="20" t="s">
        <v>1344</v>
      </c>
      <c r="Q7671" s="15" t="s">
        <v>83</v>
      </c>
      <c r="R7671" s="4"/>
      <c r="S7671" s="4"/>
    </row>
    <row r="7672" spans="1:19" ht="21" customHeight="1" x14ac:dyDescent="0.25">
      <c r="A7672" s="14">
        <f>DATE(2012,12,31)-495</f>
        <v>40779</v>
      </c>
      <c r="B7672" s="15" t="s">
        <v>1426</v>
      </c>
      <c r="C7672" s="15" t="s">
        <v>31</v>
      </c>
      <c r="D7672" s="16">
        <v>33</v>
      </c>
      <c r="E7672" s="17">
        <v>3093.76</v>
      </c>
      <c r="F7672" s="16">
        <v>7.0000000000000007E-2</v>
      </c>
      <c r="G7672" s="15" t="s">
        <v>101</v>
      </c>
      <c r="H7672" s="18">
        <v>-850.71</v>
      </c>
      <c r="I7672" s="19">
        <v>95.99</v>
      </c>
      <c r="J7672" s="19">
        <v>35</v>
      </c>
      <c r="K7672" s="19" t="s">
        <v>111</v>
      </c>
      <c r="L7672" s="19" t="s">
        <v>442</v>
      </c>
      <c r="M7672" s="15" t="s">
        <v>2304</v>
      </c>
      <c r="N7672" s="15" t="s">
        <v>36</v>
      </c>
      <c r="O7672" s="15" t="s">
        <v>37</v>
      </c>
      <c r="P7672" s="20" t="s">
        <v>2079</v>
      </c>
      <c r="Q7672" s="15" t="s">
        <v>39</v>
      </c>
      <c r="R7672" s="4"/>
      <c r="S7672" s="4"/>
    </row>
    <row r="7673" spans="1:19" ht="21" customHeight="1" x14ac:dyDescent="0.25">
      <c r="A7673" s="14">
        <f>DATE(2012,12,31)-495</f>
        <v>40779</v>
      </c>
      <c r="B7673" s="15" t="s">
        <v>1426</v>
      </c>
      <c r="C7673" s="15" t="s">
        <v>31</v>
      </c>
      <c r="D7673" s="16">
        <v>49</v>
      </c>
      <c r="E7673" s="17">
        <v>6335.8575000000001</v>
      </c>
      <c r="F7673" s="16">
        <v>0.08</v>
      </c>
      <c r="G7673" s="15" t="s">
        <v>32</v>
      </c>
      <c r="H7673" s="18">
        <v>1620.2249999999999</v>
      </c>
      <c r="I7673" s="19">
        <v>155.99</v>
      </c>
      <c r="J7673" s="19">
        <v>8.99</v>
      </c>
      <c r="K7673" s="19" t="s">
        <v>111</v>
      </c>
      <c r="L7673" s="19" t="s">
        <v>442</v>
      </c>
      <c r="M7673" s="15" t="s">
        <v>2304</v>
      </c>
      <c r="N7673" s="15" t="s">
        <v>64</v>
      </c>
      <c r="O7673" s="15" t="s">
        <v>65</v>
      </c>
      <c r="P7673" s="20" t="s">
        <v>1584</v>
      </c>
      <c r="Q7673" s="15" t="s">
        <v>83</v>
      </c>
      <c r="R7673" s="4"/>
      <c r="S7673" s="4"/>
    </row>
    <row r="7674" spans="1:19" ht="21" customHeight="1" x14ac:dyDescent="0.25">
      <c r="A7674" s="14">
        <f>DATE(2012,12,31)-995</f>
        <v>40279</v>
      </c>
      <c r="B7674" s="15" t="s">
        <v>1819</v>
      </c>
      <c r="C7674" s="15" t="s">
        <v>31</v>
      </c>
      <c r="D7674" s="16">
        <v>18</v>
      </c>
      <c r="E7674" s="17">
        <v>994.47450000000003</v>
      </c>
      <c r="F7674" s="16">
        <v>0.05</v>
      </c>
      <c r="G7674" s="15" t="s">
        <v>32</v>
      </c>
      <c r="H7674" s="18">
        <v>0.71100000000000563</v>
      </c>
      <c r="I7674" s="19">
        <v>65.989999999999995</v>
      </c>
      <c r="J7674" s="19">
        <v>7.69</v>
      </c>
      <c r="K7674" s="19" t="s">
        <v>44</v>
      </c>
      <c r="L7674" s="19" t="s">
        <v>89</v>
      </c>
      <c r="M7674" s="15" t="s">
        <v>2337</v>
      </c>
      <c r="N7674" s="15" t="s">
        <v>64</v>
      </c>
      <c r="O7674" s="15" t="s">
        <v>65</v>
      </c>
      <c r="P7674" s="20" t="s">
        <v>786</v>
      </c>
      <c r="Q7674" s="15" t="s">
        <v>83</v>
      </c>
      <c r="R7674" s="4"/>
      <c r="S7674" s="4"/>
    </row>
    <row r="7675" spans="1:19" ht="21" customHeight="1" x14ac:dyDescent="0.25">
      <c r="A7675" s="14">
        <f>DATE(2012,12,31)-425</f>
        <v>40849</v>
      </c>
      <c r="B7675" s="15" t="s">
        <v>1819</v>
      </c>
      <c r="C7675" s="15" t="s">
        <v>85</v>
      </c>
      <c r="D7675" s="16">
        <v>20</v>
      </c>
      <c r="E7675" s="17">
        <v>52.7</v>
      </c>
      <c r="F7675" s="16">
        <v>0.03</v>
      </c>
      <c r="G7675" s="15" t="s">
        <v>101</v>
      </c>
      <c r="H7675" s="18">
        <v>-64.882999999999996</v>
      </c>
      <c r="I7675" s="19">
        <v>1.8</v>
      </c>
      <c r="J7675" s="19">
        <v>4.79</v>
      </c>
      <c r="K7675" s="19" t="s">
        <v>44</v>
      </c>
      <c r="L7675" s="19" t="s">
        <v>89</v>
      </c>
      <c r="M7675" s="15" t="s">
        <v>2337</v>
      </c>
      <c r="N7675" s="15" t="s">
        <v>36</v>
      </c>
      <c r="O7675" s="15" t="s">
        <v>170</v>
      </c>
      <c r="P7675" s="20" t="s">
        <v>709</v>
      </c>
      <c r="Q7675" s="15" t="s">
        <v>83</v>
      </c>
      <c r="R7675" s="4"/>
      <c r="S7675" s="4"/>
    </row>
    <row r="7676" spans="1:19" ht="21" customHeight="1" x14ac:dyDescent="0.25">
      <c r="A7676" s="14">
        <f>DATE(2012,12,31)-887</f>
        <v>40387</v>
      </c>
      <c r="B7676" s="15" t="s">
        <v>648</v>
      </c>
      <c r="C7676" s="15" t="s">
        <v>31</v>
      </c>
      <c r="D7676" s="16">
        <v>12</v>
      </c>
      <c r="E7676" s="17">
        <v>600.86</v>
      </c>
      <c r="F7676" s="16">
        <v>0.09</v>
      </c>
      <c r="G7676" s="15" t="s">
        <v>32</v>
      </c>
      <c r="H7676" s="18">
        <v>-82.67</v>
      </c>
      <c r="I7676" s="19">
        <v>53.98</v>
      </c>
      <c r="J7676" s="19">
        <v>5.5</v>
      </c>
      <c r="K7676" s="19" t="s">
        <v>44</v>
      </c>
      <c r="L7676" s="19" t="s">
        <v>45</v>
      </c>
      <c r="M7676" s="15" t="s">
        <v>2356</v>
      </c>
      <c r="N7676" s="15" t="s">
        <v>64</v>
      </c>
      <c r="O7676" s="15" t="s">
        <v>72</v>
      </c>
      <c r="P7676" s="20" t="s">
        <v>793</v>
      </c>
      <c r="Q7676" s="15" t="s">
        <v>83</v>
      </c>
      <c r="R7676" s="4"/>
      <c r="S7676" s="4"/>
    </row>
    <row r="7677" spans="1:19" ht="21" customHeight="1" x14ac:dyDescent="0.25">
      <c r="A7677" s="14">
        <f>DATE(2012,12,31)-887</f>
        <v>40387</v>
      </c>
      <c r="B7677" s="15" t="s">
        <v>1656</v>
      </c>
      <c r="C7677" s="15" t="s">
        <v>31</v>
      </c>
      <c r="D7677" s="16">
        <v>5</v>
      </c>
      <c r="E7677" s="17">
        <v>17.059999999999999</v>
      </c>
      <c r="F7677" s="16">
        <v>0.03</v>
      </c>
      <c r="G7677" s="15" t="s">
        <v>32</v>
      </c>
      <c r="H7677" s="18">
        <v>-7.54</v>
      </c>
      <c r="I7677" s="19">
        <v>2.98</v>
      </c>
      <c r="J7677" s="19">
        <v>2.0299999999999998</v>
      </c>
      <c r="K7677" s="19" t="s">
        <v>44</v>
      </c>
      <c r="L7677" s="19" t="s">
        <v>89</v>
      </c>
      <c r="M7677" s="15" t="s">
        <v>2337</v>
      </c>
      <c r="N7677" s="15" t="s">
        <v>36</v>
      </c>
      <c r="O7677" s="15" t="s">
        <v>77</v>
      </c>
      <c r="P7677" s="20" t="s">
        <v>484</v>
      </c>
      <c r="Q7677" s="15" t="s">
        <v>79</v>
      </c>
      <c r="R7677" s="4"/>
      <c r="S7677" s="4"/>
    </row>
    <row r="7678" spans="1:19" ht="21" customHeight="1" x14ac:dyDescent="0.25">
      <c r="A7678" s="14">
        <f>DATE(2012,12,31)-817</f>
        <v>40457</v>
      </c>
      <c r="B7678" s="15" t="s">
        <v>1656</v>
      </c>
      <c r="C7678" s="15" t="s">
        <v>31</v>
      </c>
      <c r="D7678" s="16">
        <v>33</v>
      </c>
      <c r="E7678" s="17">
        <v>2532.6175000000003</v>
      </c>
      <c r="F7678" s="16">
        <v>0</v>
      </c>
      <c r="G7678" s="15" t="s">
        <v>32</v>
      </c>
      <c r="H7678" s="18">
        <v>730.51199999999994</v>
      </c>
      <c r="I7678" s="19">
        <v>85.99</v>
      </c>
      <c r="J7678" s="19">
        <v>2.79</v>
      </c>
      <c r="K7678" s="19" t="s">
        <v>44</v>
      </c>
      <c r="L7678" s="19" t="s">
        <v>45</v>
      </c>
      <c r="M7678" s="15" t="s">
        <v>2356</v>
      </c>
      <c r="N7678" s="15" t="s">
        <v>64</v>
      </c>
      <c r="O7678" s="15" t="s">
        <v>65</v>
      </c>
      <c r="P7678" s="20" t="s">
        <v>1864</v>
      </c>
      <c r="Q7678" s="15" t="s">
        <v>83</v>
      </c>
      <c r="R7678" s="4"/>
      <c r="S7678" s="4"/>
    </row>
    <row r="7679" spans="1:19" ht="21" customHeight="1" x14ac:dyDescent="0.25">
      <c r="A7679" s="14">
        <f>DATE(2012,12,31)-28</f>
        <v>41246</v>
      </c>
      <c r="B7679" s="15" t="s">
        <v>1656</v>
      </c>
      <c r="C7679" s="15" t="s">
        <v>85</v>
      </c>
      <c r="D7679" s="16">
        <v>6</v>
      </c>
      <c r="E7679" s="17">
        <v>1008.872</v>
      </c>
      <c r="F7679" s="16">
        <v>0.02</v>
      </c>
      <c r="G7679" s="15" t="s">
        <v>101</v>
      </c>
      <c r="H7679" s="18">
        <v>-505.98447900000014</v>
      </c>
      <c r="I7679" s="19">
        <v>209.37</v>
      </c>
      <c r="J7679" s="19">
        <v>69</v>
      </c>
      <c r="K7679" s="19" t="s">
        <v>44</v>
      </c>
      <c r="L7679" s="19" t="s">
        <v>89</v>
      </c>
      <c r="M7679" s="15" t="s">
        <v>2337</v>
      </c>
      <c r="N7679" s="15" t="s">
        <v>54</v>
      </c>
      <c r="O7679" s="15" t="s">
        <v>61</v>
      </c>
      <c r="P7679" s="20" t="s">
        <v>995</v>
      </c>
      <c r="Q7679" s="15" t="s">
        <v>39</v>
      </c>
      <c r="R7679" s="4"/>
      <c r="S7679" s="4"/>
    </row>
    <row r="7680" spans="1:19" ht="21" customHeight="1" x14ac:dyDescent="0.25">
      <c r="A7680" s="14">
        <f>DATE(2012,12,31)-28</f>
        <v>41246</v>
      </c>
      <c r="B7680" s="15" t="s">
        <v>1656</v>
      </c>
      <c r="C7680" s="15" t="s">
        <v>85</v>
      </c>
      <c r="D7680" s="16">
        <v>13</v>
      </c>
      <c r="E7680" s="17">
        <v>95.68</v>
      </c>
      <c r="F7680" s="16">
        <v>7.0000000000000007E-2</v>
      </c>
      <c r="G7680" s="15" t="s">
        <v>101</v>
      </c>
      <c r="H7680" s="18">
        <v>-15.27</v>
      </c>
      <c r="I7680" s="19">
        <v>6.48</v>
      </c>
      <c r="J7680" s="19">
        <v>5.14</v>
      </c>
      <c r="K7680" s="19" t="s">
        <v>44</v>
      </c>
      <c r="L7680" s="19" t="s">
        <v>45</v>
      </c>
      <c r="M7680" s="15" t="s">
        <v>2356</v>
      </c>
      <c r="N7680" s="15" t="s">
        <v>36</v>
      </c>
      <c r="O7680" s="15" t="s">
        <v>117</v>
      </c>
      <c r="P7680" s="20" t="s">
        <v>731</v>
      </c>
      <c r="Q7680" s="15" t="s">
        <v>83</v>
      </c>
      <c r="R7680" s="4"/>
      <c r="S7680" s="4"/>
    </row>
    <row r="7681" spans="1:19" ht="21" customHeight="1" x14ac:dyDescent="0.25">
      <c r="A7681" s="14">
        <f>DATE(2012,12,31)-1195</f>
        <v>40079</v>
      </c>
      <c r="B7681" s="15" t="s">
        <v>1407</v>
      </c>
      <c r="C7681" s="15" t="s">
        <v>31</v>
      </c>
      <c r="D7681" s="16">
        <v>39</v>
      </c>
      <c r="E7681" s="17">
        <v>706.39250000000004</v>
      </c>
      <c r="F7681" s="16">
        <v>0.06</v>
      </c>
      <c r="G7681" s="15" t="s">
        <v>32</v>
      </c>
      <c r="H7681" s="18">
        <v>346.14</v>
      </c>
      <c r="I7681" s="19">
        <v>20.99</v>
      </c>
      <c r="J7681" s="19">
        <v>0.99</v>
      </c>
      <c r="K7681" s="19" t="s">
        <v>44</v>
      </c>
      <c r="L7681" s="19" t="s">
        <v>236</v>
      </c>
      <c r="M7681" s="15" t="s">
        <v>2341</v>
      </c>
      <c r="N7681" s="15" t="s">
        <v>64</v>
      </c>
      <c r="O7681" s="15" t="s">
        <v>65</v>
      </c>
      <c r="P7681" s="20" t="s">
        <v>571</v>
      </c>
      <c r="Q7681" s="15" t="s">
        <v>79</v>
      </c>
      <c r="R7681" s="4"/>
      <c r="S7681" s="4"/>
    </row>
    <row r="7682" spans="1:19" ht="21" customHeight="1" x14ac:dyDescent="0.25">
      <c r="A7682" s="14">
        <f>DATE(2012,12,31)-289</f>
        <v>40985</v>
      </c>
      <c r="B7682" s="15" t="s">
        <v>1407</v>
      </c>
      <c r="C7682" s="15" t="s">
        <v>51</v>
      </c>
      <c r="D7682" s="16">
        <v>11</v>
      </c>
      <c r="E7682" s="17">
        <v>61.46</v>
      </c>
      <c r="F7682" s="16">
        <v>0.08</v>
      </c>
      <c r="G7682" s="15" t="s">
        <v>101</v>
      </c>
      <c r="H7682" s="18">
        <v>-47.83</v>
      </c>
      <c r="I7682" s="19">
        <v>4.8899999999999997</v>
      </c>
      <c r="J7682" s="19">
        <v>4.93</v>
      </c>
      <c r="K7682" s="19" t="s">
        <v>44</v>
      </c>
      <c r="L7682" s="19" t="s">
        <v>89</v>
      </c>
      <c r="M7682" s="15" t="s">
        <v>2337</v>
      </c>
      <c r="N7682" s="15" t="s">
        <v>64</v>
      </c>
      <c r="O7682" s="15" t="s">
        <v>72</v>
      </c>
      <c r="P7682" s="20" t="s">
        <v>1239</v>
      </c>
      <c r="Q7682" s="15" t="s">
        <v>49</v>
      </c>
      <c r="R7682" s="4"/>
      <c r="S7682" s="4"/>
    </row>
    <row r="7683" spans="1:19" ht="21" customHeight="1" x14ac:dyDescent="0.25">
      <c r="A7683" s="14">
        <f>DATE(2012,12,31)-1030</f>
        <v>40244</v>
      </c>
      <c r="B7683" s="15" t="s">
        <v>716</v>
      </c>
      <c r="C7683" s="15" t="s">
        <v>85</v>
      </c>
      <c r="D7683" s="16">
        <v>1</v>
      </c>
      <c r="E7683" s="17">
        <v>49.61</v>
      </c>
      <c r="F7683" s="16">
        <v>0</v>
      </c>
      <c r="G7683" s="15" t="s">
        <v>32</v>
      </c>
      <c r="H7683" s="18">
        <v>-41.82</v>
      </c>
      <c r="I7683" s="19">
        <v>30.98</v>
      </c>
      <c r="J7683" s="19">
        <v>17.079999999999998</v>
      </c>
      <c r="K7683" s="19" t="s">
        <v>44</v>
      </c>
      <c r="L7683" s="19" t="s">
        <v>89</v>
      </c>
      <c r="M7683" s="15" t="s">
        <v>2337</v>
      </c>
      <c r="N7683" s="15" t="s">
        <v>36</v>
      </c>
      <c r="O7683" s="15" t="s">
        <v>117</v>
      </c>
      <c r="P7683" s="20" t="s">
        <v>1856</v>
      </c>
      <c r="Q7683" s="15" t="s">
        <v>83</v>
      </c>
      <c r="R7683" s="4"/>
      <c r="S7683" s="4"/>
    </row>
    <row r="7684" spans="1:19" ht="21" customHeight="1" x14ac:dyDescent="0.25">
      <c r="A7684" s="14">
        <f>DATE(2012,12,31)-1074</f>
        <v>40200</v>
      </c>
      <c r="B7684" s="15" t="s">
        <v>318</v>
      </c>
      <c r="C7684" s="15" t="s">
        <v>85</v>
      </c>
      <c r="D7684" s="16">
        <v>1</v>
      </c>
      <c r="E7684" s="17">
        <v>35.14</v>
      </c>
      <c r="F7684" s="16">
        <v>0.02</v>
      </c>
      <c r="G7684" s="15" t="s">
        <v>32</v>
      </c>
      <c r="H7684" s="18">
        <v>-12.753499999999999</v>
      </c>
      <c r="I7684" s="19">
        <v>29.17</v>
      </c>
      <c r="J7684" s="19">
        <v>6.27</v>
      </c>
      <c r="K7684" s="19" t="s">
        <v>44</v>
      </c>
      <c r="L7684" s="19" t="s">
        <v>89</v>
      </c>
      <c r="M7684" s="15" t="s">
        <v>2337</v>
      </c>
      <c r="N7684" s="15" t="s">
        <v>36</v>
      </c>
      <c r="O7684" s="15" t="s">
        <v>170</v>
      </c>
      <c r="P7684" s="20" t="s">
        <v>1324</v>
      </c>
      <c r="Q7684" s="15" t="s">
        <v>83</v>
      </c>
      <c r="R7684" s="4"/>
      <c r="S7684" s="4"/>
    </row>
    <row r="7685" spans="1:19" ht="21" customHeight="1" x14ac:dyDescent="0.25">
      <c r="A7685" s="14">
        <f>DATE(2012,12,31)-661</f>
        <v>40613</v>
      </c>
      <c r="B7685" s="15" t="s">
        <v>373</v>
      </c>
      <c r="C7685" s="15" t="s">
        <v>85</v>
      </c>
      <c r="D7685" s="16">
        <v>16</v>
      </c>
      <c r="E7685" s="17">
        <v>1648.33</v>
      </c>
      <c r="F7685" s="16">
        <v>7.0000000000000007E-2</v>
      </c>
      <c r="G7685" s="15" t="s">
        <v>58</v>
      </c>
      <c r="H7685" s="18">
        <v>-210.14</v>
      </c>
      <c r="I7685" s="19">
        <v>100.89</v>
      </c>
      <c r="J7685" s="19">
        <v>42</v>
      </c>
      <c r="K7685" s="19" t="s">
        <v>44</v>
      </c>
      <c r="L7685" s="19" t="s">
        <v>89</v>
      </c>
      <c r="M7685" s="15" t="s">
        <v>2337</v>
      </c>
      <c r="N7685" s="15" t="s">
        <v>54</v>
      </c>
      <c r="O7685" s="15" t="s">
        <v>252</v>
      </c>
      <c r="P7685" s="20" t="s">
        <v>1775</v>
      </c>
      <c r="Q7685" s="15" t="s">
        <v>181</v>
      </c>
      <c r="R7685" s="4"/>
      <c r="S7685" s="4"/>
    </row>
    <row r="7686" spans="1:19" ht="21" customHeight="1" x14ac:dyDescent="0.25">
      <c r="A7686" s="14">
        <f>DATE(2012,12,31)-74</f>
        <v>41200</v>
      </c>
      <c r="B7686" s="15" t="s">
        <v>1767</v>
      </c>
      <c r="C7686" s="15" t="s">
        <v>31</v>
      </c>
      <c r="D7686" s="16">
        <v>32</v>
      </c>
      <c r="E7686" s="17">
        <v>317.06</v>
      </c>
      <c r="F7686" s="16">
        <v>0.05</v>
      </c>
      <c r="G7686" s="15" t="s">
        <v>32</v>
      </c>
      <c r="H7686" s="18">
        <v>105.47</v>
      </c>
      <c r="I7686" s="19">
        <v>10.06</v>
      </c>
      <c r="J7686" s="19">
        <v>2.06</v>
      </c>
      <c r="K7686" s="19" t="s">
        <v>44</v>
      </c>
      <c r="L7686" s="19" t="s">
        <v>89</v>
      </c>
      <c r="M7686" s="15" t="s">
        <v>2337</v>
      </c>
      <c r="N7686" s="15" t="s">
        <v>36</v>
      </c>
      <c r="O7686" s="15" t="s">
        <v>117</v>
      </c>
      <c r="P7686" s="20" t="s">
        <v>1431</v>
      </c>
      <c r="Q7686" s="15" t="s">
        <v>79</v>
      </c>
      <c r="R7686" s="4"/>
      <c r="S7686" s="4"/>
    </row>
    <row r="7687" spans="1:19" ht="21" customHeight="1" x14ac:dyDescent="0.25">
      <c r="A7687" s="14">
        <f>DATE(2012,12,31)-804</f>
        <v>40470</v>
      </c>
      <c r="B7687" s="15" t="s">
        <v>1395</v>
      </c>
      <c r="C7687" s="15" t="s">
        <v>85</v>
      </c>
      <c r="D7687" s="16">
        <v>29</v>
      </c>
      <c r="E7687" s="17">
        <v>566.66</v>
      </c>
      <c r="F7687" s="16">
        <v>0.1</v>
      </c>
      <c r="G7687" s="15" t="s">
        <v>32</v>
      </c>
      <c r="H7687" s="18">
        <v>60.59</v>
      </c>
      <c r="I7687" s="19">
        <v>19.98</v>
      </c>
      <c r="J7687" s="19">
        <v>8.68</v>
      </c>
      <c r="K7687" s="19" t="s">
        <v>44</v>
      </c>
      <c r="L7687" s="19" t="s">
        <v>89</v>
      </c>
      <c r="M7687" s="15" t="s">
        <v>2337</v>
      </c>
      <c r="N7687" s="15" t="s">
        <v>36</v>
      </c>
      <c r="O7687" s="15" t="s">
        <v>117</v>
      </c>
      <c r="P7687" s="20" t="s">
        <v>658</v>
      </c>
      <c r="Q7687" s="15" t="s">
        <v>83</v>
      </c>
      <c r="R7687" s="4"/>
      <c r="S7687" s="4"/>
    </row>
    <row r="7688" spans="1:19" ht="21" customHeight="1" x14ac:dyDescent="0.25">
      <c r="A7688" s="14">
        <f>DATE(2012,12,31)-1247</f>
        <v>40027</v>
      </c>
      <c r="B7688" s="15" t="s">
        <v>1395</v>
      </c>
      <c r="C7688" s="15" t="s">
        <v>85</v>
      </c>
      <c r="D7688" s="16">
        <v>1</v>
      </c>
      <c r="E7688" s="17">
        <v>368.66</v>
      </c>
      <c r="F7688" s="16">
        <v>0.01</v>
      </c>
      <c r="G7688" s="15" t="s">
        <v>58</v>
      </c>
      <c r="H7688" s="18">
        <v>-165.6</v>
      </c>
      <c r="I7688" s="19">
        <v>300.98</v>
      </c>
      <c r="J7688" s="19">
        <v>64.73</v>
      </c>
      <c r="K7688" s="19" t="s">
        <v>44</v>
      </c>
      <c r="L7688" s="19" t="s">
        <v>120</v>
      </c>
      <c r="M7688" s="15" t="s">
        <v>2262</v>
      </c>
      <c r="N7688" s="15" t="s">
        <v>54</v>
      </c>
      <c r="O7688" s="15" t="s">
        <v>252</v>
      </c>
      <c r="P7688" s="20" t="s">
        <v>1150</v>
      </c>
      <c r="Q7688" s="15" t="s">
        <v>181</v>
      </c>
      <c r="R7688" s="4"/>
      <c r="S7688" s="4"/>
    </row>
    <row r="7689" spans="1:19" ht="21" customHeight="1" x14ac:dyDescent="0.25">
      <c r="A7689" s="14">
        <f>DATE(2012,12,31)-276</f>
        <v>40998</v>
      </c>
      <c r="B7689" s="15" t="s">
        <v>1174</v>
      </c>
      <c r="C7689" s="15" t="s">
        <v>31</v>
      </c>
      <c r="D7689" s="16">
        <v>20</v>
      </c>
      <c r="E7689" s="17">
        <v>22.28</v>
      </c>
      <c r="F7689" s="16">
        <v>0.09</v>
      </c>
      <c r="G7689" s="15" t="s">
        <v>32</v>
      </c>
      <c r="H7689" s="18">
        <v>-2.66</v>
      </c>
      <c r="I7689" s="19">
        <v>1.1399999999999999</v>
      </c>
      <c r="J7689" s="19">
        <v>0.7</v>
      </c>
      <c r="K7689" s="19" t="s">
        <v>44</v>
      </c>
      <c r="L7689" s="19" t="s">
        <v>89</v>
      </c>
      <c r="M7689" s="15" t="s">
        <v>2337</v>
      </c>
      <c r="N7689" s="15" t="s">
        <v>36</v>
      </c>
      <c r="O7689" s="15" t="s">
        <v>105</v>
      </c>
      <c r="P7689" s="20" t="s">
        <v>202</v>
      </c>
      <c r="Q7689" s="15" t="s">
        <v>79</v>
      </c>
      <c r="R7689" s="4"/>
      <c r="S7689" s="4"/>
    </row>
    <row r="7690" spans="1:19" ht="21" customHeight="1" x14ac:dyDescent="0.25">
      <c r="A7690" s="14">
        <f>DATE(2012,12,31)-1410</f>
        <v>39864</v>
      </c>
      <c r="B7690" s="15" t="s">
        <v>282</v>
      </c>
      <c r="C7690" s="15" t="s">
        <v>51</v>
      </c>
      <c r="D7690" s="16">
        <v>37</v>
      </c>
      <c r="E7690" s="17">
        <v>159.88999999999999</v>
      </c>
      <c r="F7690" s="16">
        <v>0.03</v>
      </c>
      <c r="G7690" s="15" t="s">
        <v>32</v>
      </c>
      <c r="H7690" s="18">
        <v>-185.17</v>
      </c>
      <c r="I7690" s="19">
        <v>4.0599999999999996</v>
      </c>
      <c r="J7690" s="19">
        <v>6.89</v>
      </c>
      <c r="K7690" s="19" t="s">
        <v>44</v>
      </c>
      <c r="L7690" s="19" t="s">
        <v>89</v>
      </c>
      <c r="M7690" s="15" t="s">
        <v>2337</v>
      </c>
      <c r="N7690" s="15" t="s">
        <v>36</v>
      </c>
      <c r="O7690" s="15" t="s">
        <v>176</v>
      </c>
      <c r="P7690" s="20" t="s">
        <v>1563</v>
      </c>
      <c r="Q7690" s="15" t="s">
        <v>83</v>
      </c>
      <c r="R7690" s="4"/>
      <c r="S7690" s="4"/>
    </row>
    <row r="7691" spans="1:19" ht="21" customHeight="1" x14ac:dyDescent="0.25">
      <c r="A7691" s="14">
        <f>DATE(2012,12,31)-1410</f>
        <v>39864</v>
      </c>
      <c r="B7691" s="15" t="s">
        <v>1924</v>
      </c>
      <c r="C7691" s="15" t="s">
        <v>51</v>
      </c>
      <c r="D7691" s="16">
        <v>48</v>
      </c>
      <c r="E7691" s="17">
        <v>180.48</v>
      </c>
      <c r="F7691" s="16">
        <v>0.01</v>
      </c>
      <c r="G7691" s="15" t="s">
        <v>32</v>
      </c>
      <c r="H7691" s="18">
        <v>82.38</v>
      </c>
      <c r="I7691" s="19">
        <v>3.75</v>
      </c>
      <c r="J7691" s="19">
        <v>0.5</v>
      </c>
      <c r="K7691" s="19" t="s">
        <v>44</v>
      </c>
      <c r="L7691" s="19" t="s">
        <v>89</v>
      </c>
      <c r="M7691" s="15" t="s">
        <v>2337</v>
      </c>
      <c r="N7691" s="15" t="s">
        <v>36</v>
      </c>
      <c r="O7691" s="15" t="s">
        <v>114</v>
      </c>
      <c r="P7691" s="20" t="s">
        <v>1184</v>
      </c>
      <c r="Q7691" s="15" t="s">
        <v>83</v>
      </c>
      <c r="R7691" s="4"/>
      <c r="S7691" s="4"/>
    </row>
    <row r="7692" spans="1:19" ht="21" customHeight="1" x14ac:dyDescent="0.25">
      <c r="A7692" s="14">
        <f>DATE(2012,12,31)-1410</f>
        <v>39864</v>
      </c>
      <c r="B7692" s="15" t="s">
        <v>651</v>
      </c>
      <c r="C7692" s="15" t="s">
        <v>51</v>
      </c>
      <c r="D7692" s="16">
        <v>31</v>
      </c>
      <c r="E7692" s="17">
        <v>350.48</v>
      </c>
      <c r="F7692" s="16">
        <v>0.02</v>
      </c>
      <c r="G7692" s="15" t="s">
        <v>32</v>
      </c>
      <c r="H7692" s="18">
        <v>-231.05</v>
      </c>
      <c r="I7692" s="19">
        <v>10.68</v>
      </c>
      <c r="J7692" s="19">
        <v>13.04</v>
      </c>
      <c r="K7692" s="19" t="s">
        <v>44</v>
      </c>
      <c r="L7692" s="19" t="s">
        <v>89</v>
      </c>
      <c r="M7692" s="15" t="s">
        <v>2337</v>
      </c>
      <c r="N7692" s="15" t="s">
        <v>54</v>
      </c>
      <c r="O7692" s="15" t="s">
        <v>55</v>
      </c>
      <c r="P7692" s="20" t="s">
        <v>1669</v>
      </c>
      <c r="Q7692" s="15" t="s">
        <v>39</v>
      </c>
      <c r="R7692" s="4"/>
      <c r="S7692" s="4"/>
    </row>
    <row r="7693" spans="1:19" ht="21" customHeight="1" x14ac:dyDescent="0.25">
      <c r="A7693" s="14">
        <f>DATE(2012,12,31)-1237</f>
        <v>40037</v>
      </c>
      <c r="B7693" s="15" t="s">
        <v>651</v>
      </c>
      <c r="C7693" s="15" t="s">
        <v>85</v>
      </c>
      <c r="D7693" s="16">
        <v>49</v>
      </c>
      <c r="E7693" s="17">
        <v>633.91</v>
      </c>
      <c r="F7693" s="16">
        <v>0</v>
      </c>
      <c r="G7693" s="15" t="s">
        <v>32</v>
      </c>
      <c r="H7693" s="18">
        <v>141.16999999999999</v>
      </c>
      <c r="I7693" s="19">
        <v>12.58</v>
      </c>
      <c r="J7693" s="19">
        <v>5.16</v>
      </c>
      <c r="K7693" s="19" t="s">
        <v>44</v>
      </c>
      <c r="L7693" s="19" t="s">
        <v>45</v>
      </c>
      <c r="M7693" s="15" t="s">
        <v>2356</v>
      </c>
      <c r="N7693" s="15" t="s">
        <v>54</v>
      </c>
      <c r="O7693" s="15" t="s">
        <v>55</v>
      </c>
      <c r="P7693" s="20" t="s">
        <v>976</v>
      </c>
      <c r="Q7693" s="15" t="s">
        <v>83</v>
      </c>
      <c r="R7693" s="4"/>
      <c r="S7693" s="4"/>
    </row>
    <row r="7694" spans="1:19" ht="21" customHeight="1" x14ac:dyDescent="0.25">
      <c r="A7694" s="14">
        <f>DATE(2012,12,31)-749</f>
        <v>40525</v>
      </c>
      <c r="B7694" s="15" t="s">
        <v>239</v>
      </c>
      <c r="C7694" s="15" t="s">
        <v>51</v>
      </c>
      <c r="D7694" s="16">
        <v>13</v>
      </c>
      <c r="E7694" s="17">
        <v>50.35</v>
      </c>
      <c r="F7694" s="16">
        <v>0.05</v>
      </c>
      <c r="G7694" s="15" t="s">
        <v>32</v>
      </c>
      <c r="H7694" s="18">
        <v>-8.24</v>
      </c>
      <c r="I7694" s="19">
        <v>3.69</v>
      </c>
      <c r="J7694" s="19">
        <v>2.5</v>
      </c>
      <c r="K7694" s="19" t="s">
        <v>124</v>
      </c>
      <c r="L7694" s="19" t="s">
        <v>160</v>
      </c>
      <c r="M7694" s="15" t="s">
        <v>2281</v>
      </c>
      <c r="N7694" s="15" t="s">
        <v>36</v>
      </c>
      <c r="O7694" s="15" t="s">
        <v>189</v>
      </c>
      <c r="P7694" s="20" t="s">
        <v>227</v>
      </c>
      <c r="Q7694" s="15" t="s">
        <v>83</v>
      </c>
      <c r="R7694" s="4"/>
      <c r="S7694" s="4"/>
    </row>
    <row r="7695" spans="1:19" ht="21" customHeight="1" x14ac:dyDescent="0.25">
      <c r="A7695" s="14">
        <f>DATE(2012,12,31)-107</f>
        <v>41167</v>
      </c>
      <c r="B7695" s="15" t="s">
        <v>961</v>
      </c>
      <c r="C7695" s="15" t="s">
        <v>43</v>
      </c>
      <c r="D7695" s="16">
        <v>30</v>
      </c>
      <c r="E7695" s="17">
        <v>8684.23</v>
      </c>
      <c r="F7695" s="16">
        <v>0.05</v>
      </c>
      <c r="G7695" s="15" t="s">
        <v>58</v>
      </c>
      <c r="H7695" s="18">
        <v>1488.77</v>
      </c>
      <c r="I7695" s="19">
        <v>280.98</v>
      </c>
      <c r="J7695" s="19">
        <v>35.67</v>
      </c>
      <c r="K7695" s="19" t="s">
        <v>33</v>
      </c>
      <c r="L7695" s="19" t="s">
        <v>93</v>
      </c>
      <c r="M7695" s="15" t="s">
        <v>94</v>
      </c>
      <c r="N7695" s="15" t="s">
        <v>54</v>
      </c>
      <c r="O7695" s="15" t="s">
        <v>61</v>
      </c>
      <c r="P7695" s="20" t="s">
        <v>173</v>
      </c>
      <c r="Q7695" s="15" t="s">
        <v>63</v>
      </c>
      <c r="R7695" s="4"/>
      <c r="S7695" s="4"/>
    </row>
    <row r="7696" spans="1:19" ht="21" customHeight="1" x14ac:dyDescent="0.25">
      <c r="A7696" s="14">
        <f>DATE(2012,12,31)-1439</f>
        <v>39835</v>
      </c>
      <c r="B7696" s="15" t="s">
        <v>1668</v>
      </c>
      <c r="C7696" s="15" t="s">
        <v>85</v>
      </c>
      <c r="D7696" s="16">
        <v>49</v>
      </c>
      <c r="E7696" s="17">
        <v>134.83000000000001</v>
      </c>
      <c r="F7696" s="16">
        <v>7.0000000000000007E-2</v>
      </c>
      <c r="G7696" s="15" t="s">
        <v>32</v>
      </c>
      <c r="H7696" s="18">
        <v>50.74</v>
      </c>
      <c r="I7696" s="19">
        <v>2.89</v>
      </c>
      <c r="J7696" s="19">
        <v>0.5</v>
      </c>
      <c r="K7696" s="19" t="s">
        <v>33</v>
      </c>
      <c r="L7696" s="19" t="s">
        <v>128</v>
      </c>
      <c r="M7696" s="15" t="s">
        <v>129</v>
      </c>
      <c r="N7696" s="15" t="s">
        <v>36</v>
      </c>
      <c r="O7696" s="15" t="s">
        <v>114</v>
      </c>
      <c r="P7696" s="20" t="s">
        <v>805</v>
      </c>
      <c r="Q7696" s="15" t="s">
        <v>83</v>
      </c>
      <c r="R7696" s="4"/>
      <c r="S7696" s="4"/>
    </row>
    <row r="7697" spans="1:19" ht="21" customHeight="1" x14ac:dyDescent="0.25">
      <c r="A7697" s="14">
        <f>DATE(2012,12,31)-1439</f>
        <v>39835</v>
      </c>
      <c r="B7697" s="15" t="s">
        <v>1668</v>
      </c>
      <c r="C7697" s="15" t="s">
        <v>85</v>
      </c>
      <c r="D7697" s="16">
        <v>39</v>
      </c>
      <c r="E7697" s="17">
        <v>8865.1</v>
      </c>
      <c r="F7697" s="16">
        <v>0</v>
      </c>
      <c r="G7697" s="15" t="s">
        <v>58</v>
      </c>
      <c r="H7697" s="18">
        <v>1517.12</v>
      </c>
      <c r="I7697" s="19">
        <v>217.85</v>
      </c>
      <c r="J7697" s="19">
        <v>29.1</v>
      </c>
      <c r="K7697" s="19" t="s">
        <v>33</v>
      </c>
      <c r="L7697" s="19" t="s">
        <v>128</v>
      </c>
      <c r="M7697" s="15" t="s">
        <v>129</v>
      </c>
      <c r="N7697" s="15" t="s">
        <v>54</v>
      </c>
      <c r="O7697" s="15" t="s">
        <v>61</v>
      </c>
      <c r="P7697" s="20" t="s">
        <v>1017</v>
      </c>
      <c r="Q7697" s="15" t="s">
        <v>63</v>
      </c>
      <c r="R7697" s="4"/>
      <c r="S7697" s="4"/>
    </row>
    <row r="7698" spans="1:19" ht="21" customHeight="1" x14ac:dyDescent="0.25">
      <c r="A7698" s="14">
        <f>DATE(2012,12,31)-649</f>
        <v>40625</v>
      </c>
      <c r="B7698" s="15" t="s">
        <v>1713</v>
      </c>
      <c r="C7698" s="15" t="s">
        <v>43</v>
      </c>
      <c r="D7698" s="16">
        <v>22</v>
      </c>
      <c r="E7698" s="17">
        <v>51.39</v>
      </c>
      <c r="F7698" s="16">
        <v>0.06</v>
      </c>
      <c r="G7698" s="15" t="s">
        <v>101</v>
      </c>
      <c r="H7698" s="18">
        <v>-64.37</v>
      </c>
      <c r="I7698" s="19">
        <v>1.76</v>
      </c>
      <c r="J7698" s="19">
        <v>4.8600000000000003</v>
      </c>
      <c r="K7698" s="19" t="s">
        <v>33</v>
      </c>
      <c r="L7698" s="19" t="s">
        <v>128</v>
      </c>
      <c r="M7698" s="15" t="s">
        <v>129</v>
      </c>
      <c r="N7698" s="15" t="s">
        <v>54</v>
      </c>
      <c r="O7698" s="15" t="s">
        <v>55</v>
      </c>
      <c r="P7698" s="20" t="s">
        <v>1004</v>
      </c>
      <c r="Q7698" s="15" t="s">
        <v>83</v>
      </c>
      <c r="R7698" s="4"/>
      <c r="S7698" s="4"/>
    </row>
    <row r="7699" spans="1:19" ht="21" customHeight="1" x14ac:dyDescent="0.25">
      <c r="A7699" s="14">
        <f>DATE(2012,12,31)-649</f>
        <v>40625</v>
      </c>
      <c r="B7699" s="15" t="s">
        <v>267</v>
      </c>
      <c r="C7699" s="15" t="s">
        <v>43</v>
      </c>
      <c r="D7699" s="16">
        <v>31</v>
      </c>
      <c r="E7699" s="17">
        <v>293.52</v>
      </c>
      <c r="F7699" s="16">
        <v>0.08</v>
      </c>
      <c r="G7699" s="15" t="s">
        <v>32</v>
      </c>
      <c r="H7699" s="18">
        <v>-116.66</v>
      </c>
      <c r="I7699" s="19">
        <v>9.3800000000000008</v>
      </c>
      <c r="J7699" s="19">
        <v>7.28</v>
      </c>
      <c r="K7699" s="19" t="s">
        <v>33</v>
      </c>
      <c r="L7699" s="19" t="s">
        <v>128</v>
      </c>
      <c r="M7699" s="15" t="s">
        <v>129</v>
      </c>
      <c r="N7699" s="15" t="s">
        <v>36</v>
      </c>
      <c r="O7699" s="15" t="s">
        <v>37</v>
      </c>
      <c r="P7699" s="20" t="s">
        <v>1636</v>
      </c>
      <c r="Q7699" s="15" t="s">
        <v>83</v>
      </c>
      <c r="R7699" s="4"/>
      <c r="S7699" s="4"/>
    </row>
    <row r="7700" spans="1:19" ht="21" customHeight="1" x14ac:dyDescent="0.25">
      <c r="A7700" s="14">
        <f>DATE(2012,12,31)-621</f>
        <v>40653</v>
      </c>
      <c r="B7700" s="15" t="s">
        <v>267</v>
      </c>
      <c r="C7700" s="15" t="s">
        <v>51</v>
      </c>
      <c r="D7700" s="16">
        <v>24</v>
      </c>
      <c r="E7700" s="17">
        <v>67.84</v>
      </c>
      <c r="F7700" s="16">
        <v>7.0000000000000007E-2</v>
      </c>
      <c r="G7700" s="15" t="s">
        <v>32</v>
      </c>
      <c r="H7700" s="18">
        <v>13.44</v>
      </c>
      <c r="I7700" s="19">
        <v>2.88</v>
      </c>
      <c r="J7700" s="19">
        <v>0.99</v>
      </c>
      <c r="K7700" s="19" t="s">
        <v>97</v>
      </c>
      <c r="L7700" s="19" t="s">
        <v>283</v>
      </c>
      <c r="M7700" s="15" t="s">
        <v>2306</v>
      </c>
      <c r="N7700" s="15" t="s">
        <v>36</v>
      </c>
      <c r="O7700" s="15" t="s">
        <v>114</v>
      </c>
      <c r="P7700" s="20" t="s">
        <v>2311</v>
      </c>
      <c r="Q7700" s="15" t="s">
        <v>83</v>
      </c>
      <c r="R7700" s="4"/>
      <c r="S7700" s="4"/>
    </row>
    <row r="7701" spans="1:19" ht="21" customHeight="1" x14ac:dyDescent="0.25">
      <c r="A7701" s="14">
        <f>DATE(2012,12,31)-734</f>
        <v>40540</v>
      </c>
      <c r="B7701" s="15" t="s">
        <v>651</v>
      </c>
      <c r="C7701" s="15" t="s">
        <v>51</v>
      </c>
      <c r="D7701" s="16">
        <v>14</v>
      </c>
      <c r="E7701" s="17">
        <v>2232.06</v>
      </c>
      <c r="F7701" s="16">
        <v>0.03</v>
      </c>
      <c r="G7701" s="15" t="s">
        <v>32</v>
      </c>
      <c r="H7701" s="18">
        <v>542.16</v>
      </c>
      <c r="I7701" s="19">
        <v>155.06</v>
      </c>
      <c r="J7701" s="19">
        <v>7.07</v>
      </c>
      <c r="K7701" s="19" t="s">
        <v>97</v>
      </c>
      <c r="L7701" s="19" t="s">
        <v>98</v>
      </c>
      <c r="M7701" s="15" t="s">
        <v>2328</v>
      </c>
      <c r="N7701" s="15" t="s">
        <v>36</v>
      </c>
      <c r="O7701" s="15" t="s">
        <v>37</v>
      </c>
      <c r="P7701" s="20" t="s">
        <v>137</v>
      </c>
      <c r="Q7701" s="15" t="s">
        <v>83</v>
      </c>
      <c r="R7701" s="4"/>
      <c r="S7701" s="4"/>
    </row>
    <row r="7702" spans="1:19" ht="21" customHeight="1" x14ac:dyDescent="0.25">
      <c r="A7702" s="14">
        <f>DATE(2012,12,31)-82</f>
        <v>41192</v>
      </c>
      <c r="B7702" s="15" t="s">
        <v>651</v>
      </c>
      <c r="C7702" s="15" t="s">
        <v>85</v>
      </c>
      <c r="D7702" s="16">
        <v>7</v>
      </c>
      <c r="E7702" s="17">
        <v>387.17</v>
      </c>
      <c r="F7702" s="16">
        <v>0.1</v>
      </c>
      <c r="G7702" s="15" t="s">
        <v>32</v>
      </c>
      <c r="H7702" s="18">
        <v>-204.65</v>
      </c>
      <c r="I7702" s="19">
        <v>55.94</v>
      </c>
      <c r="J7702" s="19">
        <v>6.55</v>
      </c>
      <c r="K7702" s="19" t="s">
        <v>97</v>
      </c>
      <c r="L7702" s="19" t="s">
        <v>98</v>
      </c>
      <c r="M7702" s="15" t="s">
        <v>2328</v>
      </c>
      <c r="N7702" s="15" t="s">
        <v>64</v>
      </c>
      <c r="O7702" s="15" t="s">
        <v>72</v>
      </c>
      <c r="P7702" s="20" t="s">
        <v>438</v>
      </c>
      <c r="Q7702" s="15" t="s">
        <v>83</v>
      </c>
      <c r="R7702" s="4"/>
      <c r="S7702" s="4"/>
    </row>
    <row r="7703" spans="1:19" ht="21" customHeight="1" x14ac:dyDescent="0.25">
      <c r="A7703" s="14">
        <f>DATE(2012,12,31)-1451</f>
        <v>39823</v>
      </c>
      <c r="B7703" s="15" t="s">
        <v>1189</v>
      </c>
      <c r="C7703" s="15" t="s">
        <v>85</v>
      </c>
      <c r="D7703" s="16">
        <v>31</v>
      </c>
      <c r="E7703" s="17">
        <v>2137.1</v>
      </c>
      <c r="F7703" s="16">
        <v>0.05</v>
      </c>
      <c r="G7703" s="15" t="s">
        <v>58</v>
      </c>
      <c r="H7703" s="18">
        <v>-686.01</v>
      </c>
      <c r="I7703" s="19">
        <v>70.98</v>
      </c>
      <c r="J7703" s="19">
        <v>46.74</v>
      </c>
      <c r="K7703" s="19" t="s">
        <v>97</v>
      </c>
      <c r="L7703" s="19" t="s">
        <v>98</v>
      </c>
      <c r="M7703" s="15" t="s">
        <v>2328</v>
      </c>
      <c r="N7703" s="15" t="s">
        <v>54</v>
      </c>
      <c r="O7703" s="15" t="s">
        <v>134</v>
      </c>
      <c r="P7703" s="20" t="s">
        <v>229</v>
      </c>
      <c r="Q7703" s="15" t="s">
        <v>63</v>
      </c>
      <c r="R7703" s="4"/>
      <c r="S7703" s="4"/>
    </row>
    <row r="7704" spans="1:19" ht="21" customHeight="1" x14ac:dyDescent="0.25">
      <c r="A7704" s="14">
        <f>DATE(2012,12,31)-1451</f>
        <v>39823</v>
      </c>
      <c r="B7704" s="15" t="s">
        <v>1256</v>
      </c>
      <c r="C7704" s="15" t="s">
        <v>85</v>
      </c>
      <c r="D7704" s="16">
        <v>48</v>
      </c>
      <c r="E7704" s="17">
        <v>571.16999999999996</v>
      </c>
      <c r="F7704" s="16">
        <v>0.05</v>
      </c>
      <c r="G7704" s="15" t="s">
        <v>32</v>
      </c>
      <c r="H7704" s="18">
        <v>129.87</v>
      </c>
      <c r="I7704" s="19">
        <v>11.55</v>
      </c>
      <c r="J7704" s="19">
        <v>2.36</v>
      </c>
      <c r="K7704" s="19" t="s">
        <v>97</v>
      </c>
      <c r="L7704" s="19" t="s">
        <v>283</v>
      </c>
      <c r="M7704" s="15" t="s">
        <v>2306</v>
      </c>
      <c r="N7704" s="15" t="s">
        <v>36</v>
      </c>
      <c r="O7704" s="15" t="s">
        <v>77</v>
      </c>
      <c r="P7704" s="20" t="s">
        <v>2157</v>
      </c>
      <c r="Q7704" s="15" t="s">
        <v>79</v>
      </c>
      <c r="R7704" s="4"/>
      <c r="S7704" s="4"/>
    </row>
    <row r="7705" spans="1:19" ht="21" customHeight="1" x14ac:dyDescent="0.25">
      <c r="A7705" s="14">
        <f>DATE(2012,12,31)-1304</f>
        <v>39970</v>
      </c>
      <c r="B7705" s="15" t="s">
        <v>2359</v>
      </c>
      <c r="C7705" s="15" t="s">
        <v>85</v>
      </c>
      <c r="D7705" s="16">
        <v>20</v>
      </c>
      <c r="E7705" s="17">
        <v>129.30000000000001</v>
      </c>
      <c r="F7705" s="16">
        <v>0.02</v>
      </c>
      <c r="G7705" s="15" t="s">
        <v>32</v>
      </c>
      <c r="H7705" s="18">
        <v>40.200000000000003</v>
      </c>
      <c r="I7705" s="19">
        <v>6.47</v>
      </c>
      <c r="J7705" s="19">
        <v>1.22</v>
      </c>
      <c r="K7705" s="19" t="s">
        <v>97</v>
      </c>
      <c r="L7705" s="19" t="s">
        <v>283</v>
      </c>
      <c r="M7705" s="15" t="s">
        <v>2306</v>
      </c>
      <c r="N7705" s="15" t="s">
        <v>36</v>
      </c>
      <c r="O7705" s="15" t="s">
        <v>77</v>
      </c>
      <c r="P7705" s="20" t="s">
        <v>773</v>
      </c>
      <c r="Q7705" s="15" t="s">
        <v>79</v>
      </c>
      <c r="R7705" s="4"/>
      <c r="S7705" s="4"/>
    </row>
    <row r="7706" spans="1:19" ht="21" customHeight="1" x14ac:dyDescent="0.25">
      <c r="A7706" s="14">
        <f>DATE(2012,12,31)-1304</f>
        <v>39970</v>
      </c>
      <c r="B7706" s="15" t="s">
        <v>2359</v>
      </c>
      <c r="C7706" s="15" t="s">
        <v>85</v>
      </c>
      <c r="D7706" s="16">
        <v>39</v>
      </c>
      <c r="E7706" s="17">
        <v>104.97</v>
      </c>
      <c r="F7706" s="16">
        <v>7.0000000000000007E-2</v>
      </c>
      <c r="G7706" s="15" t="s">
        <v>32</v>
      </c>
      <c r="H7706" s="18">
        <v>3.21</v>
      </c>
      <c r="I7706" s="19">
        <v>2.84</v>
      </c>
      <c r="J7706" s="19">
        <v>0.93</v>
      </c>
      <c r="K7706" s="19" t="s">
        <v>124</v>
      </c>
      <c r="L7706" s="19" t="s">
        <v>493</v>
      </c>
      <c r="M7706" s="15" t="s">
        <v>2334</v>
      </c>
      <c r="N7706" s="15" t="s">
        <v>36</v>
      </c>
      <c r="O7706" s="15" t="s">
        <v>77</v>
      </c>
      <c r="P7706" s="20" t="s">
        <v>1972</v>
      </c>
      <c r="Q7706" s="15" t="s">
        <v>79</v>
      </c>
      <c r="R7706" s="4"/>
      <c r="S7706" s="4"/>
    </row>
    <row r="7707" spans="1:19" ht="21" customHeight="1" x14ac:dyDescent="0.25">
      <c r="A7707" s="14">
        <f>DATE(2012,12,31)-1039</f>
        <v>40235</v>
      </c>
      <c r="B7707" s="15" t="s">
        <v>699</v>
      </c>
      <c r="C7707" s="15" t="s">
        <v>85</v>
      </c>
      <c r="D7707" s="16">
        <v>21</v>
      </c>
      <c r="E7707" s="17">
        <v>340.7</v>
      </c>
      <c r="F7707" s="16">
        <v>0.05</v>
      </c>
      <c r="G7707" s="15" t="s">
        <v>58</v>
      </c>
      <c r="H7707" s="18">
        <v>11.650950000000002</v>
      </c>
      <c r="I7707" s="19">
        <v>15.23</v>
      </c>
      <c r="J7707" s="19">
        <v>27.75</v>
      </c>
      <c r="K7707" s="19" t="s">
        <v>124</v>
      </c>
      <c r="L7707" s="19" t="s">
        <v>160</v>
      </c>
      <c r="M7707" s="15" t="s">
        <v>2281</v>
      </c>
      <c r="N7707" s="15" t="s">
        <v>54</v>
      </c>
      <c r="O7707" s="15" t="s">
        <v>61</v>
      </c>
      <c r="P7707" s="20" t="s">
        <v>1394</v>
      </c>
      <c r="Q7707" s="15" t="s">
        <v>63</v>
      </c>
      <c r="R7707" s="4"/>
      <c r="S7707" s="4"/>
    </row>
    <row r="7708" spans="1:19" ht="21" customHeight="1" x14ac:dyDescent="0.25">
      <c r="A7708" s="14">
        <f>DATE(2012,12,31)-1076</f>
        <v>40198</v>
      </c>
      <c r="B7708" s="15" t="s">
        <v>1520</v>
      </c>
      <c r="C7708" s="15" t="s">
        <v>85</v>
      </c>
      <c r="D7708" s="16">
        <v>21</v>
      </c>
      <c r="E7708" s="17">
        <v>46.42</v>
      </c>
      <c r="F7708" s="16">
        <v>0.04</v>
      </c>
      <c r="G7708" s="15" t="s">
        <v>32</v>
      </c>
      <c r="H7708" s="18">
        <v>2.38</v>
      </c>
      <c r="I7708" s="19">
        <v>2.1</v>
      </c>
      <c r="J7708" s="19">
        <v>0.7</v>
      </c>
      <c r="K7708" s="19" t="s">
        <v>124</v>
      </c>
      <c r="L7708" s="19" t="s">
        <v>160</v>
      </c>
      <c r="M7708" s="15" t="s">
        <v>2281</v>
      </c>
      <c r="N7708" s="15" t="s">
        <v>36</v>
      </c>
      <c r="O7708" s="15" t="s">
        <v>77</v>
      </c>
      <c r="P7708" s="20" t="s">
        <v>1131</v>
      </c>
      <c r="Q7708" s="15" t="s">
        <v>79</v>
      </c>
      <c r="R7708" s="4"/>
      <c r="S7708" s="4"/>
    </row>
    <row r="7709" spans="1:19" ht="21" customHeight="1" x14ac:dyDescent="0.25">
      <c r="A7709" s="14">
        <f>DATE(2012,12,31)-1076</f>
        <v>40198</v>
      </c>
      <c r="B7709" s="15" t="s">
        <v>1520</v>
      </c>
      <c r="C7709" s="15" t="s">
        <v>85</v>
      </c>
      <c r="D7709" s="16">
        <v>24</v>
      </c>
      <c r="E7709" s="17">
        <v>154.99</v>
      </c>
      <c r="F7709" s="16">
        <v>7.0000000000000007E-2</v>
      </c>
      <c r="G7709" s="15" t="s">
        <v>32</v>
      </c>
      <c r="H7709" s="18">
        <v>-1085.52</v>
      </c>
      <c r="I7709" s="19">
        <v>4.4800000000000004</v>
      </c>
      <c r="J7709" s="19">
        <v>49</v>
      </c>
      <c r="K7709" s="19" t="s">
        <v>124</v>
      </c>
      <c r="L7709" s="19" t="s">
        <v>160</v>
      </c>
      <c r="M7709" s="15" t="s">
        <v>2281</v>
      </c>
      <c r="N7709" s="15" t="s">
        <v>36</v>
      </c>
      <c r="O7709" s="15" t="s">
        <v>176</v>
      </c>
      <c r="P7709" s="20" t="s">
        <v>302</v>
      </c>
      <c r="Q7709" s="15" t="s">
        <v>39</v>
      </c>
      <c r="R7709" s="4"/>
      <c r="S7709" s="4"/>
    </row>
    <row r="7710" spans="1:19" ht="21" customHeight="1" x14ac:dyDescent="0.25">
      <c r="A7710" s="14">
        <f>DATE(2012,12,31)-1035</f>
        <v>40239</v>
      </c>
      <c r="B7710" s="15" t="s">
        <v>1554</v>
      </c>
      <c r="C7710" s="15" t="s">
        <v>85</v>
      </c>
      <c r="D7710" s="16">
        <v>6</v>
      </c>
      <c r="E7710" s="17">
        <v>25.84</v>
      </c>
      <c r="F7710" s="16">
        <v>0.04</v>
      </c>
      <c r="G7710" s="15" t="s">
        <v>101</v>
      </c>
      <c r="H7710" s="18">
        <v>-4.13</v>
      </c>
      <c r="I7710" s="19">
        <v>1.76</v>
      </c>
      <c r="J7710" s="19">
        <v>4.8600000000000003</v>
      </c>
      <c r="K7710" s="19" t="s">
        <v>124</v>
      </c>
      <c r="L7710" s="19" t="s">
        <v>160</v>
      </c>
      <c r="M7710" s="15" t="s">
        <v>2281</v>
      </c>
      <c r="N7710" s="15" t="s">
        <v>54</v>
      </c>
      <c r="O7710" s="15" t="s">
        <v>55</v>
      </c>
      <c r="P7710" s="20" t="s">
        <v>1101</v>
      </c>
      <c r="Q7710" s="15" t="s">
        <v>83</v>
      </c>
      <c r="R7710" s="4"/>
      <c r="S7710" s="4"/>
    </row>
    <row r="7711" spans="1:19" ht="21" customHeight="1" x14ac:dyDescent="0.25">
      <c r="A7711" s="14">
        <f>DATE(2012,12,31)-426</f>
        <v>40848</v>
      </c>
      <c r="B7711" s="15" t="s">
        <v>1329</v>
      </c>
      <c r="C7711" s="15" t="s">
        <v>85</v>
      </c>
      <c r="D7711" s="16">
        <v>7</v>
      </c>
      <c r="E7711" s="17">
        <v>73.86</v>
      </c>
      <c r="F7711" s="16">
        <v>0.08</v>
      </c>
      <c r="G7711" s="15" t="s">
        <v>32</v>
      </c>
      <c r="H7711" s="18">
        <v>-52.49</v>
      </c>
      <c r="I7711" s="19">
        <v>9.7100000000000009</v>
      </c>
      <c r="J7711" s="19">
        <v>9.4499999999999993</v>
      </c>
      <c r="K7711" s="19" t="s">
        <v>124</v>
      </c>
      <c r="L7711" s="19" t="s">
        <v>160</v>
      </c>
      <c r="M7711" s="15" t="s">
        <v>2281</v>
      </c>
      <c r="N7711" s="15" t="s">
        <v>36</v>
      </c>
      <c r="O7711" s="15" t="s">
        <v>37</v>
      </c>
      <c r="P7711" s="20" t="s">
        <v>480</v>
      </c>
      <c r="Q7711" s="15" t="s">
        <v>83</v>
      </c>
      <c r="R7711" s="4"/>
      <c r="S7711" s="4"/>
    </row>
    <row r="7712" spans="1:19" ht="21" customHeight="1" x14ac:dyDescent="0.25">
      <c r="A7712" s="14">
        <f>DATE(2012,12,31)-426</f>
        <v>40848</v>
      </c>
      <c r="B7712" s="15" t="s">
        <v>1467</v>
      </c>
      <c r="C7712" s="15" t="s">
        <v>85</v>
      </c>
      <c r="D7712" s="16">
        <v>42</v>
      </c>
      <c r="E7712" s="17">
        <v>4373.8535000000002</v>
      </c>
      <c r="F7712" s="16">
        <v>0.04</v>
      </c>
      <c r="G7712" s="15" t="s">
        <v>101</v>
      </c>
      <c r="H7712" s="18">
        <v>963.67499999999995</v>
      </c>
      <c r="I7712" s="19">
        <v>125.99</v>
      </c>
      <c r="J7712" s="19">
        <v>7.69</v>
      </c>
      <c r="K7712" s="19" t="s">
        <v>124</v>
      </c>
      <c r="L7712" s="19" t="s">
        <v>493</v>
      </c>
      <c r="M7712" s="15" t="s">
        <v>2334</v>
      </c>
      <c r="N7712" s="15" t="s">
        <v>64</v>
      </c>
      <c r="O7712" s="15" t="s">
        <v>65</v>
      </c>
      <c r="P7712" s="20" t="s">
        <v>1867</v>
      </c>
      <c r="Q7712" s="15" t="s">
        <v>83</v>
      </c>
      <c r="R7712" s="4"/>
      <c r="S7712" s="4"/>
    </row>
    <row r="7713" spans="1:19" ht="21" customHeight="1" x14ac:dyDescent="0.25">
      <c r="A7713" s="14">
        <f>DATE(2012,12,31)-426</f>
        <v>40848</v>
      </c>
      <c r="B7713" s="15" t="s">
        <v>342</v>
      </c>
      <c r="C7713" s="15" t="s">
        <v>85</v>
      </c>
      <c r="D7713" s="16">
        <v>8</v>
      </c>
      <c r="E7713" s="17">
        <v>2302.36</v>
      </c>
      <c r="F7713" s="16">
        <v>0.05</v>
      </c>
      <c r="G7713" s="15" t="s">
        <v>101</v>
      </c>
      <c r="H7713" s="18">
        <v>-114.68</v>
      </c>
      <c r="I7713" s="19">
        <v>300.97000000000003</v>
      </c>
      <c r="J7713" s="19">
        <v>7.18</v>
      </c>
      <c r="K7713" s="19" t="s">
        <v>124</v>
      </c>
      <c r="L7713" s="19" t="s">
        <v>493</v>
      </c>
      <c r="M7713" s="15" t="s">
        <v>2334</v>
      </c>
      <c r="N7713" s="15" t="s">
        <v>64</v>
      </c>
      <c r="O7713" s="15" t="s">
        <v>72</v>
      </c>
      <c r="P7713" s="20" t="s">
        <v>1063</v>
      </c>
      <c r="Q7713" s="15" t="s">
        <v>83</v>
      </c>
      <c r="R7713" s="4"/>
      <c r="S7713" s="4"/>
    </row>
    <row r="7714" spans="1:19" ht="21" customHeight="1" x14ac:dyDescent="0.25">
      <c r="A7714" s="14">
        <f>DATE(2012,12,31)-1281</f>
        <v>39993</v>
      </c>
      <c r="B7714" s="15" t="s">
        <v>256</v>
      </c>
      <c r="C7714" s="15" t="s">
        <v>51</v>
      </c>
      <c r="D7714" s="16">
        <v>43</v>
      </c>
      <c r="E7714" s="17">
        <v>260.58999999999997</v>
      </c>
      <c r="F7714" s="16">
        <v>0.09</v>
      </c>
      <c r="G7714" s="15" t="s">
        <v>32</v>
      </c>
      <c r="H7714" s="18">
        <v>-157.76</v>
      </c>
      <c r="I7714" s="19">
        <v>6.48</v>
      </c>
      <c r="J7714" s="19">
        <v>7.03</v>
      </c>
      <c r="K7714" s="19" t="s">
        <v>124</v>
      </c>
      <c r="L7714" s="19" t="s">
        <v>160</v>
      </c>
      <c r="M7714" s="15" t="s">
        <v>2281</v>
      </c>
      <c r="N7714" s="15" t="s">
        <v>36</v>
      </c>
      <c r="O7714" s="15" t="s">
        <v>117</v>
      </c>
      <c r="P7714" s="20" t="s">
        <v>2174</v>
      </c>
      <c r="Q7714" s="15" t="s">
        <v>83</v>
      </c>
      <c r="R7714" s="4"/>
      <c r="S7714" s="4"/>
    </row>
    <row r="7715" spans="1:19" ht="21" customHeight="1" x14ac:dyDescent="0.25">
      <c r="A7715" s="14">
        <f>DATE(2012,12,31)-206</f>
        <v>41068</v>
      </c>
      <c r="B7715" s="15" t="s">
        <v>384</v>
      </c>
      <c r="C7715" s="15" t="s">
        <v>43</v>
      </c>
      <c r="D7715" s="16">
        <v>13</v>
      </c>
      <c r="E7715" s="17">
        <v>3723.99</v>
      </c>
      <c r="F7715" s="16">
        <v>0.03</v>
      </c>
      <c r="G7715" s="15" t="s">
        <v>32</v>
      </c>
      <c r="H7715" s="18">
        <v>777.28</v>
      </c>
      <c r="I7715" s="19">
        <v>289.52999999999997</v>
      </c>
      <c r="J7715" s="19">
        <v>19.989999999999998</v>
      </c>
      <c r="K7715" s="19" t="s">
        <v>124</v>
      </c>
      <c r="L7715" s="19" t="s">
        <v>164</v>
      </c>
      <c r="M7715" s="15" t="s">
        <v>2360</v>
      </c>
      <c r="N7715" s="15" t="s">
        <v>36</v>
      </c>
      <c r="O7715" s="15" t="s">
        <v>176</v>
      </c>
      <c r="P7715" s="20" t="s">
        <v>837</v>
      </c>
      <c r="Q7715" s="15" t="s">
        <v>83</v>
      </c>
      <c r="R7715" s="4"/>
      <c r="S7715" s="4"/>
    </row>
    <row r="7716" spans="1:19" ht="21" customHeight="1" x14ac:dyDescent="0.25">
      <c r="A7716" s="14">
        <f>DATE(2012,12,31)-206</f>
        <v>41068</v>
      </c>
      <c r="B7716" s="15" t="s">
        <v>2013</v>
      </c>
      <c r="C7716" s="15" t="s">
        <v>43</v>
      </c>
      <c r="D7716" s="16">
        <v>39</v>
      </c>
      <c r="E7716" s="17">
        <v>61.94</v>
      </c>
      <c r="F7716" s="16">
        <v>0.1</v>
      </c>
      <c r="G7716" s="15" t="s">
        <v>32</v>
      </c>
      <c r="H7716" s="18">
        <v>-17.78</v>
      </c>
      <c r="I7716" s="19">
        <v>1.6</v>
      </c>
      <c r="J7716" s="19">
        <v>1.29</v>
      </c>
      <c r="K7716" s="19" t="s">
        <v>124</v>
      </c>
      <c r="L7716" s="19" t="s">
        <v>160</v>
      </c>
      <c r="M7716" s="15" t="s">
        <v>2281</v>
      </c>
      <c r="N7716" s="15" t="s">
        <v>36</v>
      </c>
      <c r="O7716" s="15" t="s">
        <v>77</v>
      </c>
      <c r="P7716" s="20" t="s">
        <v>1274</v>
      </c>
      <c r="Q7716" s="15" t="s">
        <v>79</v>
      </c>
      <c r="R7716" s="4"/>
      <c r="S7716" s="4"/>
    </row>
    <row r="7717" spans="1:19" ht="21" customHeight="1" x14ac:dyDescent="0.25">
      <c r="A7717" s="14">
        <f>DATE(2012,12,31)-290</f>
        <v>40984</v>
      </c>
      <c r="B7717" s="15" t="s">
        <v>1950</v>
      </c>
      <c r="C7717" s="15" t="s">
        <v>51</v>
      </c>
      <c r="D7717" s="16">
        <v>32</v>
      </c>
      <c r="E7717" s="17">
        <v>115.78</v>
      </c>
      <c r="F7717" s="16">
        <v>7.0000000000000007E-2</v>
      </c>
      <c r="G7717" s="15" t="s">
        <v>32</v>
      </c>
      <c r="H7717" s="18">
        <v>-167.417</v>
      </c>
      <c r="I7717" s="19">
        <v>3.52</v>
      </c>
      <c r="J7717" s="19">
        <v>6.83</v>
      </c>
      <c r="K7717" s="19" t="s">
        <v>124</v>
      </c>
      <c r="L7717" s="19" t="s">
        <v>160</v>
      </c>
      <c r="M7717" s="15" t="s">
        <v>2281</v>
      </c>
      <c r="N7717" s="15" t="s">
        <v>36</v>
      </c>
      <c r="O7717" s="15" t="s">
        <v>170</v>
      </c>
      <c r="P7717" s="20" t="s">
        <v>1015</v>
      </c>
      <c r="Q7717" s="15" t="s">
        <v>83</v>
      </c>
      <c r="R7717" s="4"/>
      <c r="S7717" s="4"/>
    </row>
    <row r="7718" spans="1:19" ht="21" customHeight="1" x14ac:dyDescent="0.25">
      <c r="A7718" s="14">
        <f>DATE(2012,12,31)-290</f>
        <v>40984</v>
      </c>
      <c r="B7718" s="15" t="s">
        <v>648</v>
      </c>
      <c r="C7718" s="15" t="s">
        <v>51</v>
      </c>
      <c r="D7718" s="16">
        <v>13</v>
      </c>
      <c r="E7718" s="17">
        <v>210.22</v>
      </c>
      <c r="F7718" s="16">
        <v>0</v>
      </c>
      <c r="G7718" s="15" t="s">
        <v>32</v>
      </c>
      <c r="H7718" s="18">
        <v>-30.71</v>
      </c>
      <c r="I7718" s="19">
        <v>14.98</v>
      </c>
      <c r="J7718" s="19">
        <v>7.69</v>
      </c>
      <c r="K7718" s="19" t="s">
        <v>124</v>
      </c>
      <c r="L7718" s="19" t="s">
        <v>493</v>
      </c>
      <c r="M7718" s="15" t="s">
        <v>2334</v>
      </c>
      <c r="N7718" s="15" t="s">
        <v>36</v>
      </c>
      <c r="O7718" s="15" t="s">
        <v>37</v>
      </c>
      <c r="P7718" s="20" t="s">
        <v>1551</v>
      </c>
      <c r="Q7718" s="15" t="s">
        <v>83</v>
      </c>
      <c r="R7718" s="4"/>
      <c r="S7718" s="4"/>
    </row>
    <row r="7719" spans="1:19" ht="21" customHeight="1" x14ac:dyDescent="0.25">
      <c r="A7719" s="14">
        <f>DATE(2012,12,31)-1346</f>
        <v>39928</v>
      </c>
      <c r="B7719" s="15" t="s">
        <v>637</v>
      </c>
      <c r="C7719" s="15" t="s">
        <v>85</v>
      </c>
      <c r="D7719" s="16">
        <v>5</v>
      </c>
      <c r="E7719" s="17">
        <v>126.95</v>
      </c>
      <c r="F7719" s="16">
        <v>0</v>
      </c>
      <c r="G7719" s="15" t="s">
        <v>32</v>
      </c>
      <c r="H7719" s="18">
        <v>-4.17</v>
      </c>
      <c r="I7719" s="19">
        <v>22.84</v>
      </c>
      <c r="J7719" s="19">
        <v>8.18</v>
      </c>
      <c r="K7719" s="19" t="s">
        <v>124</v>
      </c>
      <c r="L7719" s="19" t="s">
        <v>160</v>
      </c>
      <c r="M7719" s="15" t="s">
        <v>2281</v>
      </c>
      <c r="N7719" s="15" t="s">
        <v>36</v>
      </c>
      <c r="O7719" s="15" t="s">
        <v>117</v>
      </c>
      <c r="P7719" s="20" t="s">
        <v>1222</v>
      </c>
      <c r="Q7719" s="15" t="s">
        <v>83</v>
      </c>
      <c r="R7719" s="4"/>
      <c r="S7719" s="4"/>
    </row>
    <row r="7720" spans="1:19" ht="21" customHeight="1" x14ac:dyDescent="0.25">
      <c r="A7720" s="14">
        <f>DATE(2012,12,31)-219</f>
        <v>41055</v>
      </c>
      <c r="B7720" s="15" t="s">
        <v>637</v>
      </c>
      <c r="C7720" s="15" t="s">
        <v>51</v>
      </c>
      <c r="D7720" s="16">
        <v>49</v>
      </c>
      <c r="E7720" s="17">
        <v>1944.87</v>
      </c>
      <c r="F7720" s="16">
        <v>0.06</v>
      </c>
      <c r="G7720" s="15" t="s">
        <v>32</v>
      </c>
      <c r="H7720" s="18">
        <v>496.43</v>
      </c>
      <c r="I7720" s="19">
        <v>41.71</v>
      </c>
      <c r="J7720" s="19">
        <v>4.5</v>
      </c>
      <c r="K7720" s="19" t="s">
        <v>124</v>
      </c>
      <c r="L7720" s="19" t="s">
        <v>160</v>
      </c>
      <c r="M7720" s="15" t="s">
        <v>2281</v>
      </c>
      <c r="N7720" s="15" t="s">
        <v>36</v>
      </c>
      <c r="O7720" s="15" t="s">
        <v>176</v>
      </c>
      <c r="P7720" s="20" t="s">
        <v>982</v>
      </c>
      <c r="Q7720" s="15" t="s">
        <v>83</v>
      </c>
      <c r="R7720" s="4"/>
      <c r="S7720" s="4"/>
    </row>
    <row r="7721" spans="1:19" ht="21" customHeight="1" x14ac:dyDescent="0.25">
      <c r="A7721" s="14">
        <f>DATE(2012,12,31)-219</f>
        <v>41055</v>
      </c>
      <c r="B7721" s="15" t="s">
        <v>637</v>
      </c>
      <c r="C7721" s="15" t="s">
        <v>51</v>
      </c>
      <c r="D7721" s="16">
        <v>12</v>
      </c>
      <c r="E7721" s="17">
        <v>61.82</v>
      </c>
      <c r="F7721" s="16">
        <v>0.1</v>
      </c>
      <c r="G7721" s="15" t="s">
        <v>32</v>
      </c>
      <c r="H7721" s="18">
        <v>-10.4535</v>
      </c>
      <c r="I7721" s="19">
        <v>5.34</v>
      </c>
      <c r="J7721" s="19">
        <v>2.99</v>
      </c>
      <c r="K7721" s="19" t="s">
        <v>124</v>
      </c>
      <c r="L7721" s="19" t="s">
        <v>158</v>
      </c>
      <c r="M7721" s="15" t="s">
        <v>158</v>
      </c>
      <c r="N7721" s="15" t="s">
        <v>36</v>
      </c>
      <c r="O7721" s="15" t="s">
        <v>170</v>
      </c>
      <c r="P7721" s="20" t="s">
        <v>2321</v>
      </c>
      <c r="Q7721" s="15" t="s">
        <v>83</v>
      </c>
      <c r="R7721" s="4"/>
      <c r="S7721" s="4"/>
    </row>
    <row r="7722" spans="1:19" ht="21" customHeight="1" x14ac:dyDescent="0.25">
      <c r="A7722" s="14">
        <f>DATE(2012,12,31)-1190</f>
        <v>40084</v>
      </c>
      <c r="B7722" s="15" t="s">
        <v>149</v>
      </c>
      <c r="C7722" s="15" t="s">
        <v>85</v>
      </c>
      <c r="D7722" s="16">
        <v>16</v>
      </c>
      <c r="E7722" s="17">
        <v>84.01</v>
      </c>
      <c r="F7722" s="16">
        <v>0.06</v>
      </c>
      <c r="G7722" s="15" t="s">
        <v>32</v>
      </c>
      <c r="H7722" s="18">
        <v>-34.119999999999997</v>
      </c>
      <c r="I7722" s="19">
        <v>4.82</v>
      </c>
      <c r="J7722" s="19">
        <v>5.72</v>
      </c>
      <c r="K7722" s="19" t="s">
        <v>124</v>
      </c>
      <c r="L7722" s="19" t="s">
        <v>164</v>
      </c>
      <c r="M7722" s="15" t="s">
        <v>2360</v>
      </c>
      <c r="N7722" s="15" t="s">
        <v>54</v>
      </c>
      <c r="O7722" s="15" t="s">
        <v>55</v>
      </c>
      <c r="P7722" s="20" t="s">
        <v>840</v>
      </c>
      <c r="Q7722" s="15" t="s">
        <v>49</v>
      </c>
      <c r="R7722" s="4"/>
      <c r="S7722" s="4"/>
    </row>
    <row r="7723" spans="1:19" ht="21" customHeight="1" x14ac:dyDescent="0.25">
      <c r="A7723" s="14">
        <f>DATE(2012,12,31)-279</f>
        <v>40995</v>
      </c>
      <c r="B7723" s="15" t="s">
        <v>633</v>
      </c>
      <c r="C7723" s="15" t="s">
        <v>85</v>
      </c>
      <c r="D7723" s="16">
        <v>13</v>
      </c>
      <c r="E7723" s="17">
        <v>75.27</v>
      </c>
      <c r="F7723" s="16">
        <v>0.06</v>
      </c>
      <c r="G7723" s="15" t="s">
        <v>32</v>
      </c>
      <c r="H7723" s="18">
        <v>-1.84</v>
      </c>
      <c r="I7723" s="19">
        <v>5.58</v>
      </c>
      <c r="J7723" s="19">
        <v>2.99</v>
      </c>
      <c r="K7723" s="19" t="s">
        <v>124</v>
      </c>
      <c r="L7723" s="19" t="s">
        <v>164</v>
      </c>
      <c r="M7723" s="15" t="s">
        <v>2360</v>
      </c>
      <c r="N7723" s="15" t="s">
        <v>36</v>
      </c>
      <c r="O7723" s="15" t="s">
        <v>170</v>
      </c>
      <c r="P7723" s="20" t="s">
        <v>1871</v>
      </c>
      <c r="Q7723" s="15" t="s">
        <v>83</v>
      </c>
      <c r="R7723" s="4"/>
      <c r="S7723" s="4"/>
    </row>
    <row r="7724" spans="1:19" ht="21" customHeight="1" x14ac:dyDescent="0.25">
      <c r="A7724" s="14">
        <f>DATE(2012,12,31)-279</f>
        <v>40995</v>
      </c>
      <c r="B7724" s="15" t="s">
        <v>392</v>
      </c>
      <c r="C7724" s="15" t="s">
        <v>85</v>
      </c>
      <c r="D7724" s="16">
        <v>31</v>
      </c>
      <c r="E7724" s="17">
        <v>1184.53</v>
      </c>
      <c r="F7724" s="16">
        <v>0.05</v>
      </c>
      <c r="G7724" s="15" t="s">
        <v>32</v>
      </c>
      <c r="H7724" s="18">
        <v>-26.49</v>
      </c>
      <c r="I7724" s="19">
        <v>39.979999999999997</v>
      </c>
      <c r="J7724" s="19">
        <v>7.12</v>
      </c>
      <c r="K7724" s="19" t="s">
        <v>124</v>
      </c>
      <c r="L7724" s="19" t="s">
        <v>158</v>
      </c>
      <c r="M7724" s="15" t="s">
        <v>158</v>
      </c>
      <c r="N7724" s="15" t="s">
        <v>64</v>
      </c>
      <c r="O7724" s="15" t="s">
        <v>72</v>
      </c>
      <c r="P7724" s="20" t="s">
        <v>368</v>
      </c>
      <c r="Q7724" s="15" t="s">
        <v>83</v>
      </c>
      <c r="R7724" s="4"/>
      <c r="S7724" s="4"/>
    </row>
    <row r="7725" spans="1:19" ht="21" customHeight="1" x14ac:dyDescent="0.25">
      <c r="A7725" s="14">
        <f>DATE(2012,12,31)-279</f>
        <v>40995</v>
      </c>
      <c r="B7725" s="15" t="s">
        <v>1407</v>
      </c>
      <c r="C7725" s="15" t="s">
        <v>85</v>
      </c>
      <c r="D7725" s="16">
        <v>35</v>
      </c>
      <c r="E7725" s="17">
        <v>3683.73</v>
      </c>
      <c r="F7725" s="16">
        <v>0.09</v>
      </c>
      <c r="G7725" s="15" t="s">
        <v>32</v>
      </c>
      <c r="H7725" s="18">
        <v>708.75900000000001</v>
      </c>
      <c r="I7725" s="19">
        <v>125.99</v>
      </c>
      <c r="J7725" s="19">
        <v>8.99</v>
      </c>
      <c r="K7725" s="19" t="s">
        <v>124</v>
      </c>
      <c r="L7725" s="19" t="s">
        <v>168</v>
      </c>
      <c r="M7725" s="15" t="s">
        <v>2338</v>
      </c>
      <c r="N7725" s="15" t="s">
        <v>64</v>
      </c>
      <c r="O7725" s="15" t="s">
        <v>65</v>
      </c>
      <c r="P7725" s="20" t="s">
        <v>115</v>
      </c>
      <c r="Q7725" s="15" t="s">
        <v>83</v>
      </c>
      <c r="R7725" s="4"/>
      <c r="S7725" s="4"/>
    </row>
    <row r="7726" spans="1:19" ht="21" customHeight="1" x14ac:dyDescent="0.25">
      <c r="A7726" s="14">
        <f>DATE(2012,12,31)-1141</f>
        <v>40133</v>
      </c>
      <c r="B7726" s="15" t="s">
        <v>1407</v>
      </c>
      <c r="C7726" s="15" t="s">
        <v>85</v>
      </c>
      <c r="D7726" s="16">
        <v>3</v>
      </c>
      <c r="E7726" s="17">
        <v>246.2</v>
      </c>
      <c r="F7726" s="16">
        <v>0.04</v>
      </c>
      <c r="G7726" s="15" t="s">
        <v>58</v>
      </c>
      <c r="H7726" s="18">
        <v>-184.16</v>
      </c>
      <c r="I7726" s="19">
        <v>70.89</v>
      </c>
      <c r="J7726" s="19">
        <v>89.3</v>
      </c>
      <c r="K7726" s="19" t="s">
        <v>124</v>
      </c>
      <c r="L7726" s="19" t="s">
        <v>158</v>
      </c>
      <c r="M7726" s="15" t="s">
        <v>158</v>
      </c>
      <c r="N7726" s="15" t="s">
        <v>54</v>
      </c>
      <c r="O7726" s="15" t="s">
        <v>61</v>
      </c>
      <c r="P7726" s="20" t="s">
        <v>2317</v>
      </c>
      <c r="Q7726" s="15" t="s">
        <v>63</v>
      </c>
      <c r="R7726" s="4"/>
      <c r="S7726" s="4"/>
    </row>
    <row r="7727" spans="1:19" ht="21" customHeight="1" x14ac:dyDescent="0.25">
      <c r="A7727" s="14">
        <f>DATE(2012,12,31)-469</f>
        <v>40805</v>
      </c>
      <c r="B7727" s="15" t="s">
        <v>2132</v>
      </c>
      <c r="C7727" s="15" t="s">
        <v>85</v>
      </c>
      <c r="D7727" s="16">
        <v>10</v>
      </c>
      <c r="E7727" s="17">
        <v>1124.2440000000001</v>
      </c>
      <c r="F7727" s="16">
        <v>0.03</v>
      </c>
      <c r="G7727" s="15" t="s">
        <v>101</v>
      </c>
      <c r="H7727" s="18">
        <v>-126.44499999999999</v>
      </c>
      <c r="I7727" s="19">
        <v>125.99</v>
      </c>
      <c r="J7727" s="19">
        <v>7.69</v>
      </c>
      <c r="K7727" s="19" t="s">
        <v>124</v>
      </c>
      <c r="L7727" s="19" t="s">
        <v>164</v>
      </c>
      <c r="M7727" s="15" t="s">
        <v>2360</v>
      </c>
      <c r="N7727" s="15" t="s">
        <v>64</v>
      </c>
      <c r="O7727" s="15" t="s">
        <v>65</v>
      </c>
      <c r="P7727" s="20" t="s">
        <v>1287</v>
      </c>
      <c r="Q7727" s="15" t="s">
        <v>83</v>
      </c>
      <c r="R7727" s="4"/>
      <c r="S7727" s="4"/>
    </row>
    <row r="7728" spans="1:19" ht="21" customHeight="1" x14ac:dyDescent="0.25">
      <c r="A7728" s="14">
        <f>DATE(2012,12,31)-189</f>
        <v>41085</v>
      </c>
      <c r="B7728" s="15" t="s">
        <v>2132</v>
      </c>
      <c r="C7728" s="15" t="s">
        <v>43</v>
      </c>
      <c r="D7728" s="16">
        <v>4</v>
      </c>
      <c r="E7728" s="17">
        <v>57.82</v>
      </c>
      <c r="F7728" s="16">
        <v>0.08</v>
      </c>
      <c r="G7728" s="15" t="s">
        <v>101</v>
      </c>
      <c r="H7728" s="18">
        <v>0.84999999999999787</v>
      </c>
      <c r="I7728" s="19">
        <v>10.98</v>
      </c>
      <c r="J7728" s="19">
        <v>4.8</v>
      </c>
      <c r="K7728" s="19" t="s">
        <v>124</v>
      </c>
      <c r="L7728" s="19" t="s">
        <v>125</v>
      </c>
      <c r="M7728" s="15" t="s">
        <v>2358</v>
      </c>
      <c r="N7728" s="15" t="s">
        <v>36</v>
      </c>
      <c r="O7728" s="15" t="s">
        <v>189</v>
      </c>
      <c r="P7728" s="20" t="s">
        <v>1860</v>
      </c>
      <c r="Q7728" s="15" t="s">
        <v>83</v>
      </c>
      <c r="R7728" s="4"/>
      <c r="S7728" s="4"/>
    </row>
    <row r="7729" spans="1:19" ht="21" customHeight="1" x14ac:dyDescent="0.25">
      <c r="A7729" s="14">
        <f>DATE(2012,12,31)-189</f>
        <v>41085</v>
      </c>
      <c r="B7729" s="15" t="s">
        <v>1961</v>
      </c>
      <c r="C7729" s="15" t="s">
        <v>43</v>
      </c>
      <c r="D7729" s="16">
        <v>49</v>
      </c>
      <c r="E7729" s="17">
        <v>544.89</v>
      </c>
      <c r="F7729" s="16">
        <v>0.09</v>
      </c>
      <c r="G7729" s="15" t="s">
        <v>32</v>
      </c>
      <c r="H7729" s="18">
        <v>-115.66</v>
      </c>
      <c r="I7729" s="19">
        <v>11.97</v>
      </c>
      <c r="J7729" s="19">
        <v>5.81</v>
      </c>
      <c r="K7729" s="19" t="s">
        <v>124</v>
      </c>
      <c r="L7729" s="19" t="s">
        <v>164</v>
      </c>
      <c r="M7729" s="15" t="s">
        <v>2360</v>
      </c>
      <c r="N7729" s="15" t="s">
        <v>36</v>
      </c>
      <c r="O7729" s="15" t="s">
        <v>77</v>
      </c>
      <c r="P7729" s="20" t="s">
        <v>1153</v>
      </c>
      <c r="Q7729" s="15" t="s">
        <v>49</v>
      </c>
      <c r="R7729" s="4"/>
      <c r="S7729" s="4"/>
    </row>
    <row r="7730" spans="1:19" ht="21" customHeight="1" x14ac:dyDescent="0.25">
      <c r="A7730" s="14">
        <f>DATE(2012,12,31)-604</f>
        <v>40670</v>
      </c>
      <c r="B7730" s="15" t="s">
        <v>1172</v>
      </c>
      <c r="C7730" s="15" t="s">
        <v>85</v>
      </c>
      <c r="D7730" s="16">
        <v>43</v>
      </c>
      <c r="E7730" s="17">
        <v>525.77</v>
      </c>
      <c r="F7730" s="16">
        <v>0.08</v>
      </c>
      <c r="G7730" s="15" t="s">
        <v>101</v>
      </c>
      <c r="H7730" s="18">
        <v>34.630000000000003</v>
      </c>
      <c r="I7730" s="19">
        <v>11.99</v>
      </c>
      <c r="J7730" s="19">
        <v>5.99</v>
      </c>
      <c r="K7730" s="19" t="s">
        <v>124</v>
      </c>
      <c r="L7730" s="19" t="s">
        <v>125</v>
      </c>
      <c r="M7730" s="15" t="s">
        <v>2358</v>
      </c>
      <c r="N7730" s="15" t="s">
        <v>64</v>
      </c>
      <c r="O7730" s="15" t="s">
        <v>122</v>
      </c>
      <c r="P7730" s="20" t="s">
        <v>1107</v>
      </c>
      <c r="Q7730" s="15" t="s">
        <v>57</v>
      </c>
      <c r="R7730" s="4"/>
      <c r="S7730" s="4"/>
    </row>
    <row r="7731" spans="1:19" ht="21" customHeight="1" x14ac:dyDescent="0.25">
      <c r="A7731" s="14">
        <f>DATE(2012,12,31)-1333</f>
        <v>39941</v>
      </c>
      <c r="B7731" s="15" t="s">
        <v>1509</v>
      </c>
      <c r="C7731" s="15" t="s">
        <v>31</v>
      </c>
      <c r="D7731" s="16">
        <v>1</v>
      </c>
      <c r="E7731" s="17">
        <v>291.39999999999998</v>
      </c>
      <c r="F7731" s="16">
        <v>0.06</v>
      </c>
      <c r="G7731" s="15" t="s">
        <v>32</v>
      </c>
      <c r="H7731" s="18">
        <v>-763.16</v>
      </c>
      <c r="I7731" s="19">
        <v>300.97000000000003</v>
      </c>
      <c r="J7731" s="19">
        <v>7.18</v>
      </c>
      <c r="K7731" s="19" t="s">
        <v>44</v>
      </c>
      <c r="L7731" s="19" t="s">
        <v>52</v>
      </c>
      <c r="M7731" s="15" t="s">
        <v>2351</v>
      </c>
      <c r="N7731" s="15" t="s">
        <v>64</v>
      </c>
      <c r="O7731" s="15" t="s">
        <v>72</v>
      </c>
      <c r="P7731" s="20" t="s">
        <v>702</v>
      </c>
      <c r="Q7731" s="15" t="s">
        <v>83</v>
      </c>
      <c r="R7731" s="4"/>
      <c r="S7731" s="4"/>
    </row>
    <row r="7732" spans="1:19" ht="21" customHeight="1" x14ac:dyDescent="0.25">
      <c r="A7732" s="14">
        <f>DATE(2012,12,31)-182</f>
        <v>41092</v>
      </c>
      <c r="B7732" s="15" t="s">
        <v>1086</v>
      </c>
      <c r="C7732" s="15" t="s">
        <v>51</v>
      </c>
      <c r="D7732" s="16">
        <v>23</v>
      </c>
      <c r="E7732" s="17">
        <v>445.17</v>
      </c>
      <c r="F7732" s="16">
        <v>0.02</v>
      </c>
      <c r="G7732" s="15" t="s">
        <v>32</v>
      </c>
      <c r="H7732" s="18">
        <v>38.11</v>
      </c>
      <c r="I7732" s="19">
        <v>18.97</v>
      </c>
      <c r="J7732" s="19">
        <v>9.0299999999999994</v>
      </c>
      <c r="K7732" s="19" t="s">
        <v>44</v>
      </c>
      <c r="L7732" s="19" t="s">
        <v>52</v>
      </c>
      <c r="M7732" s="15" t="s">
        <v>2351</v>
      </c>
      <c r="N7732" s="15" t="s">
        <v>36</v>
      </c>
      <c r="O7732" s="15" t="s">
        <v>117</v>
      </c>
      <c r="P7732" s="20" t="s">
        <v>381</v>
      </c>
      <c r="Q7732" s="15" t="s">
        <v>83</v>
      </c>
      <c r="R7732" s="4"/>
      <c r="S7732" s="4"/>
    </row>
    <row r="7733" spans="1:19" ht="21" customHeight="1" x14ac:dyDescent="0.25">
      <c r="A7733" s="14">
        <f>DATE(2012,12,31)-1263</f>
        <v>40011</v>
      </c>
      <c r="B7733" s="15" t="s">
        <v>1086</v>
      </c>
      <c r="C7733" s="15" t="s">
        <v>85</v>
      </c>
      <c r="D7733" s="16">
        <v>32</v>
      </c>
      <c r="E7733" s="17">
        <v>177.52</v>
      </c>
      <c r="F7733" s="16">
        <v>0.05</v>
      </c>
      <c r="G7733" s="15" t="s">
        <v>32</v>
      </c>
      <c r="H7733" s="18">
        <v>52.61</v>
      </c>
      <c r="I7733" s="19">
        <v>5.68</v>
      </c>
      <c r="J7733" s="19">
        <v>1.39</v>
      </c>
      <c r="K7733" s="19" t="s">
        <v>44</v>
      </c>
      <c r="L7733" s="19" t="s">
        <v>236</v>
      </c>
      <c r="M7733" s="15" t="s">
        <v>2341</v>
      </c>
      <c r="N7733" s="15" t="s">
        <v>36</v>
      </c>
      <c r="O7733" s="15" t="s">
        <v>189</v>
      </c>
      <c r="P7733" s="20" t="s">
        <v>996</v>
      </c>
      <c r="Q7733" s="15" t="s">
        <v>83</v>
      </c>
      <c r="R7733" s="4"/>
      <c r="S7733" s="4"/>
    </row>
    <row r="7734" spans="1:19" ht="21" customHeight="1" x14ac:dyDescent="0.25">
      <c r="A7734" s="14">
        <f>DATE(2012,12,31)-1141</f>
        <v>40133</v>
      </c>
      <c r="B7734" s="15" t="s">
        <v>746</v>
      </c>
      <c r="C7734" s="15" t="s">
        <v>85</v>
      </c>
      <c r="D7734" s="16">
        <v>6</v>
      </c>
      <c r="E7734" s="17">
        <v>122.09</v>
      </c>
      <c r="F7734" s="16">
        <v>0.04</v>
      </c>
      <c r="G7734" s="15" t="s">
        <v>32</v>
      </c>
      <c r="H7734" s="18">
        <v>-15.2</v>
      </c>
      <c r="I7734" s="19">
        <v>18.97</v>
      </c>
      <c r="J7734" s="19">
        <v>9.5399999999999991</v>
      </c>
      <c r="K7734" s="19" t="s">
        <v>44</v>
      </c>
      <c r="L7734" s="19" t="s">
        <v>52</v>
      </c>
      <c r="M7734" s="15" t="s">
        <v>2351</v>
      </c>
      <c r="N7734" s="15" t="s">
        <v>36</v>
      </c>
      <c r="O7734" s="15" t="s">
        <v>117</v>
      </c>
      <c r="P7734" s="20" t="s">
        <v>1592</v>
      </c>
      <c r="Q7734" s="15" t="s">
        <v>83</v>
      </c>
      <c r="R7734" s="4"/>
      <c r="S7734" s="4"/>
    </row>
    <row r="7735" spans="1:19" ht="21" customHeight="1" x14ac:dyDescent="0.25">
      <c r="A7735" s="14">
        <f>DATE(2012,12,31)-1141</f>
        <v>40133</v>
      </c>
      <c r="B7735" s="15" t="s">
        <v>746</v>
      </c>
      <c r="C7735" s="15" t="s">
        <v>85</v>
      </c>
      <c r="D7735" s="16">
        <v>49</v>
      </c>
      <c r="E7735" s="17">
        <v>150.06</v>
      </c>
      <c r="F7735" s="16">
        <v>0.02</v>
      </c>
      <c r="G7735" s="15" t="s">
        <v>32</v>
      </c>
      <c r="H7735" s="18">
        <v>30.97</v>
      </c>
      <c r="I7735" s="19">
        <v>2.88</v>
      </c>
      <c r="J7735" s="19">
        <v>0.7</v>
      </c>
      <c r="K7735" s="19" t="s">
        <v>44</v>
      </c>
      <c r="L7735" s="19" t="s">
        <v>236</v>
      </c>
      <c r="M7735" s="15" t="s">
        <v>2341</v>
      </c>
      <c r="N7735" s="15" t="s">
        <v>36</v>
      </c>
      <c r="O7735" s="15" t="s">
        <v>77</v>
      </c>
      <c r="P7735" s="20" t="s">
        <v>510</v>
      </c>
      <c r="Q7735" s="15" t="s">
        <v>79</v>
      </c>
      <c r="R7735" s="4"/>
      <c r="S7735" s="4"/>
    </row>
    <row r="7736" spans="1:19" ht="21" customHeight="1" x14ac:dyDescent="0.25">
      <c r="A7736" s="14">
        <f>DATE(2012,12,31)-1141</f>
        <v>40133</v>
      </c>
      <c r="B7736" s="15" t="s">
        <v>1939</v>
      </c>
      <c r="C7736" s="15" t="s">
        <v>85</v>
      </c>
      <c r="D7736" s="16">
        <v>9</v>
      </c>
      <c r="E7736" s="17">
        <v>95.09</v>
      </c>
      <c r="F7736" s="16">
        <v>0.09</v>
      </c>
      <c r="G7736" s="15" t="s">
        <v>32</v>
      </c>
      <c r="H7736" s="18">
        <v>-13.53</v>
      </c>
      <c r="I7736" s="19">
        <v>10.98</v>
      </c>
      <c r="J7736" s="19">
        <v>3.37</v>
      </c>
      <c r="K7736" s="19" t="s">
        <v>124</v>
      </c>
      <c r="L7736" s="19" t="s">
        <v>319</v>
      </c>
      <c r="M7736" s="15" t="s">
        <v>2343</v>
      </c>
      <c r="N7736" s="15" t="s">
        <v>36</v>
      </c>
      <c r="O7736" s="15" t="s">
        <v>47</v>
      </c>
      <c r="P7736" s="20" t="s">
        <v>1635</v>
      </c>
      <c r="Q7736" s="15" t="s">
        <v>49</v>
      </c>
      <c r="R7736" s="4"/>
      <c r="S7736" s="4"/>
    </row>
    <row r="7737" spans="1:19" ht="21" customHeight="1" x14ac:dyDescent="0.25">
      <c r="A7737" s="14">
        <f>DATE(2012,12,31)-875</f>
        <v>40399</v>
      </c>
      <c r="B7737" s="15" t="s">
        <v>485</v>
      </c>
      <c r="C7737" s="15" t="s">
        <v>85</v>
      </c>
      <c r="D7737" s="16">
        <v>8</v>
      </c>
      <c r="E7737" s="17">
        <v>1294.04</v>
      </c>
      <c r="F7737" s="16">
        <v>0.05</v>
      </c>
      <c r="G7737" s="15" t="s">
        <v>58</v>
      </c>
      <c r="H7737" s="18">
        <v>-323.18</v>
      </c>
      <c r="I7737" s="19">
        <v>150.97999999999999</v>
      </c>
      <c r="J7737" s="19">
        <v>66.27</v>
      </c>
      <c r="K7737" s="19" t="s">
        <v>44</v>
      </c>
      <c r="L7737" s="19" t="s">
        <v>52</v>
      </c>
      <c r="M7737" s="15" t="s">
        <v>2351</v>
      </c>
      <c r="N7737" s="15" t="s">
        <v>54</v>
      </c>
      <c r="O7737" s="15" t="s">
        <v>134</v>
      </c>
      <c r="P7737" s="20" t="s">
        <v>1849</v>
      </c>
      <c r="Q7737" s="15" t="s">
        <v>63</v>
      </c>
      <c r="R7737" s="4"/>
      <c r="S7737" s="4"/>
    </row>
    <row r="7738" spans="1:19" ht="21" customHeight="1" x14ac:dyDescent="0.25">
      <c r="A7738" s="14">
        <f>DATE(2012,12,31)-875</f>
        <v>40399</v>
      </c>
      <c r="B7738" s="15" t="s">
        <v>485</v>
      </c>
      <c r="C7738" s="15" t="s">
        <v>85</v>
      </c>
      <c r="D7738" s="16">
        <v>23</v>
      </c>
      <c r="E7738" s="17">
        <v>392.57</v>
      </c>
      <c r="F7738" s="16">
        <v>0.04</v>
      </c>
      <c r="G7738" s="15" t="s">
        <v>32</v>
      </c>
      <c r="H7738" s="18">
        <v>22.25</v>
      </c>
      <c r="I7738" s="19">
        <v>17.07</v>
      </c>
      <c r="J7738" s="19">
        <v>8.1300000000000008</v>
      </c>
      <c r="K7738" s="19" t="s">
        <v>44</v>
      </c>
      <c r="L7738" s="19" t="s">
        <v>52</v>
      </c>
      <c r="M7738" s="15" t="s">
        <v>2351</v>
      </c>
      <c r="N7738" s="15" t="s">
        <v>36</v>
      </c>
      <c r="O7738" s="15" t="s">
        <v>189</v>
      </c>
      <c r="P7738" s="20" t="s">
        <v>314</v>
      </c>
      <c r="Q7738" s="15" t="s">
        <v>83</v>
      </c>
      <c r="R7738" s="4"/>
      <c r="S7738" s="4"/>
    </row>
    <row r="7739" spans="1:19" ht="21" customHeight="1" x14ac:dyDescent="0.25">
      <c r="A7739" s="14">
        <f>DATE(2012,12,31)-603</f>
        <v>40671</v>
      </c>
      <c r="B7739" s="15" t="s">
        <v>2057</v>
      </c>
      <c r="C7739" s="15" t="s">
        <v>51</v>
      </c>
      <c r="D7739" s="16">
        <v>24</v>
      </c>
      <c r="E7739" s="17">
        <v>437.47799999999995</v>
      </c>
      <c r="F7739" s="16">
        <v>0.02</v>
      </c>
      <c r="G7739" s="15" t="s">
        <v>32</v>
      </c>
      <c r="H7739" s="18">
        <v>-42.228999999999999</v>
      </c>
      <c r="I7739" s="19">
        <v>20.99</v>
      </c>
      <c r="J7739" s="19">
        <v>1.25</v>
      </c>
      <c r="K7739" s="19" t="s">
        <v>44</v>
      </c>
      <c r="L7739" s="19" t="s">
        <v>52</v>
      </c>
      <c r="M7739" s="15" t="s">
        <v>2351</v>
      </c>
      <c r="N7739" s="15" t="s">
        <v>64</v>
      </c>
      <c r="O7739" s="15" t="s">
        <v>65</v>
      </c>
      <c r="P7739" s="20" t="s">
        <v>1287</v>
      </c>
      <c r="Q7739" s="15" t="s">
        <v>49</v>
      </c>
      <c r="R7739" s="4"/>
      <c r="S7739" s="4"/>
    </row>
    <row r="7740" spans="1:19" ht="21" customHeight="1" x14ac:dyDescent="0.25">
      <c r="A7740" s="14">
        <f>DATE(2012,12,31)-603</f>
        <v>40671</v>
      </c>
      <c r="B7740" s="15" t="s">
        <v>558</v>
      </c>
      <c r="C7740" s="15" t="s">
        <v>51</v>
      </c>
      <c r="D7740" s="16">
        <v>29</v>
      </c>
      <c r="E7740" s="17">
        <v>184.74</v>
      </c>
      <c r="F7740" s="16">
        <v>0</v>
      </c>
      <c r="G7740" s="15" t="s">
        <v>32</v>
      </c>
      <c r="H7740" s="18">
        <v>-102.25</v>
      </c>
      <c r="I7740" s="19">
        <v>5.98</v>
      </c>
      <c r="J7740" s="19">
        <v>4.38</v>
      </c>
      <c r="K7740" s="19" t="s">
        <v>44</v>
      </c>
      <c r="L7740" s="19" t="s">
        <v>236</v>
      </c>
      <c r="M7740" s="15" t="s">
        <v>2361</v>
      </c>
      <c r="N7740" s="15" t="s">
        <v>64</v>
      </c>
      <c r="O7740" s="15" t="s">
        <v>72</v>
      </c>
      <c r="P7740" s="20" t="s">
        <v>130</v>
      </c>
      <c r="Q7740" s="15" t="s">
        <v>49</v>
      </c>
      <c r="R7740" s="4"/>
      <c r="S7740" s="4"/>
    </row>
    <row r="7741" spans="1:19" ht="21" customHeight="1" x14ac:dyDescent="0.25">
      <c r="A7741" s="14">
        <f>DATE(2012,12,31)-345</f>
        <v>40929</v>
      </c>
      <c r="B7741" s="15" t="s">
        <v>558</v>
      </c>
      <c r="C7741" s="15" t="s">
        <v>85</v>
      </c>
      <c r="D7741" s="16">
        <v>48</v>
      </c>
      <c r="E7741" s="17">
        <v>1494.232</v>
      </c>
      <c r="F7741" s="16">
        <v>0.04</v>
      </c>
      <c r="G7741" s="15" t="s">
        <v>32</v>
      </c>
      <c r="H7741" s="18">
        <v>479.952</v>
      </c>
      <c r="I7741" s="19">
        <v>35.99</v>
      </c>
      <c r="J7741" s="19">
        <v>1.25</v>
      </c>
      <c r="K7741" s="19" t="s">
        <v>44</v>
      </c>
      <c r="L7741" s="19" t="s">
        <v>52</v>
      </c>
      <c r="M7741" s="15" t="s">
        <v>2351</v>
      </c>
      <c r="N7741" s="15" t="s">
        <v>64</v>
      </c>
      <c r="O7741" s="15" t="s">
        <v>65</v>
      </c>
      <c r="P7741" s="20" t="s">
        <v>954</v>
      </c>
      <c r="Q7741" s="15" t="s">
        <v>49</v>
      </c>
      <c r="R7741" s="4"/>
      <c r="S7741" s="4"/>
    </row>
    <row r="7742" spans="1:19" ht="21" customHeight="1" x14ac:dyDescent="0.25">
      <c r="A7742" s="14">
        <f>DATE(2012,12,31)-657</f>
        <v>40617</v>
      </c>
      <c r="B7742" s="15" t="s">
        <v>558</v>
      </c>
      <c r="C7742" s="15" t="s">
        <v>31</v>
      </c>
      <c r="D7742" s="16">
        <v>50</v>
      </c>
      <c r="E7742" s="17">
        <v>6356.68</v>
      </c>
      <c r="F7742" s="16">
        <v>0.03</v>
      </c>
      <c r="G7742" s="15" t="s">
        <v>32</v>
      </c>
      <c r="H7742" s="18">
        <v>1812.86</v>
      </c>
      <c r="I7742" s="19">
        <v>128.24</v>
      </c>
      <c r="J7742" s="19">
        <v>12.65</v>
      </c>
      <c r="K7742" s="19" t="s">
        <v>44</v>
      </c>
      <c r="L7742" s="19" t="s">
        <v>236</v>
      </c>
      <c r="M7742" s="15" t="s">
        <v>2361</v>
      </c>
      <c r="N7742" s="15" t="s">
        <v>54</v>
      </c>
      <c r="O7742" s="15" t="s">
        <v>252</v>
      </c>
      <c r="P7742" s="20" t="s">
        <v>717</v>
      </c>
      <c r="Q7742" s="15" t="s">
        <v>57</v>
      </c>
      <c r="R7742" s="4"/>
      <c r="S7742" s="4"/>
    </row>
    <row r="7743" spans="1:19" ht="21" customHeight="1" x14ac:dyDescent="0.25">
      <c r="A7743" s="14">
        <f>DATE(2012,12,31)-657</f>
        <v>40617</v>
      </c>
      <c r="B7743" s="15" t="s">
        <v>678</v>
      </c>
      <c r="C7743" s="15" t="s">
        <v>31</v>
      </c>
      <c r="D7743" s="16">
        <v>47</v>
      </c>
      <c r="E7743" s="17">
        <v>193.15</v>
      </c>
      <c r="F7743" s="16">
        <v>0.09</v>
      </c>
      <c r="G7743" s="15" t="s">
        <v>32</v>
      </c>
      <c r="H7743" s="18">
        <v>27.76</v>
      </c>
      <c r="I7743" s="19">
        <v>4.28</v>
      </c>
      <c r="J7743" s="19">
        <v>0.94</v>
      </c>
      <c r="K7743" s="19" t="s">
        <v>44</v>
      </c>
      <c r="L7743" s="19" t="s">
        <v>236</v>
      </c>
      <c r="M7743" s="15" t="s">
        <v>2361</v>
      </c>
      <c r="N7743" s="15" t="s">
        <v>36</v>
      </c>
      <c r="O7743" s="15" t="s">
        <v>77</v>
      </c>
      <c r="P7743" s="20" t="s">
        <v>1348</v>
      </c>
      <c r="Q7743" s="15" t="s">
        <v>79</v>
      </c>
      <c r="R7743" s="4"/>
      <c r="S7743" s="4"/>
    </row>
    <row r="7744" spans="1:19" ht="21" customHeight="1" x14ac:dyDescent="0.25">
      <c r="A7744" s="14">
        <f>DATE(2012,12,31)-87</f>
        <v>41187</v>
      </c>
      <c r="B7744" s="15" t="s">
        <v>541</v>
      </c>
      <c r="C7744" s="15" t="s">
        <v>85</v>
      </c>
      <c r="D7744" s="16">
        <v>47</v>
      </c>
      <c r="E7744" s="17">
        <v>10348.73</v>
      </c>
      <c r="F7744" s="16">
        <v>0.09</v>
      </c>
      <c r="G7744" s="15" t="s">
        <v>58</v>
      </c>
      <c r="H7744" s="18">
        <v>1094.57</v>
      </c>
      <c r="I7744" s="19">
        <v>227.55</v>
      </c>
      <c r="J7744" s="19">
        <v>32.479999999999997</v>
      </c>
      <c r="K7744" s="19" t="s">
        <v>44</v>
      </c>
      <c r="L7744" s="19" t="s">
        <v>52</v>
      </c>
      <c r="M7744" s="15" t="s">
        <v>2351</v>
      </c>
      <c r="N7744" s="15" t="s">
        <v>54</v>
      </c>
      <c r="O7744" s="15" t="s">
        <v>61</v>
      </c>
      <c r="P7744" s="20" t="s">
        <v>1513</v>
      </c>
      <c r="Q7744" s="15" t="s">
        <v>63</v>
      </c>
      <c r="R7744" s="4"/>
      <c r="S7744" s="4"/>
    </row>
    <row r="7745" spans="1:19" ht="21" customHeight="1" x14ac:dyDescent="0.25">
      <c r="A7745" s="14">
        <f>DATE(2012,12,31)-1209</f>
        <v>40065</v>
      </c>
      <c r="B7745" s="15" t="s">
        <v>541</v>
      </c>
      <c r="C7745" s="15" t="s">
        <v>85</v>
      </c>
      <c r="D7745" s="16">
        <v>5</v>
      </c>
      <c r="E7745" s="17">
        <v>14.74</v>
      </c>
      <c r="F7745" s="16">
        <v>0.08</v>
      </c>
      <c r="G7745" s="15" t="s">
        <v>32</v>
      </c>
      <c r="H7745" s="18">
        <v>-2.58</v>
      </c>
      <c r="I7745" s="19">
        <v>2.88</v>
      </c>
      <c r="J7745" s="19">
        <v>0.7</v>
      </c>
      <c r="K7745" s="19" t="s">
        <v>44</v>
      </c>
      <c r="L7745" s="19" t="s">
        <v>236</v>
      </c>
      <c r="M7745" s="15" t="s">
        <v>2361</v>
      </c>
      <c r="N7745" s="15" t="s">
        <v>36</v>
      </c>
      <c r="O7745" s="15" t="s">
        <v>77</v>
      </c>
      <c r="P7745" s="20" t="s">
        <v>2099</v>
      </c>
      <c r="Q7745" s="15" t="s">
        <v>79</v>
      </c>
      <c r="R7745" s="4"/>
      <c r="S7745" s="4"/>
    </row>
    <row r="7746" spans="1:19" ht="21" customHeight="1" x14ac:dyDescent="0.25">
      <c r="A7746" s="14">
        <f>DATE(2012,12,31)-437</f>
        <v>40837</v>
      </c>
      <c r="B7746" s="15" t="s">
        <v>2178</v>
      </c>
      <c r="C7746" s="15" t="s">
        <v>31</v>
      </c>
      <c r="D7746" s="16">
        <v>41</v>
      </c>
      <c r="E7746" s="17">
        <v>1258.97</v>
      </c>
      <c r="F7746" s="16">
        <v>0.1</v>
      </c>
      <c r="G7746" s="15" t="s">
        <v>32</v>
      </c>
      <c r="H7746" s="18">
        <v>-112.58</v>
      </c>
      <c r="I7746" s="19">
        <v>32.979999999999997</v>
      </c>
      <c r="J7746" s="19">
        <v>5.5</v>
      </c>
      <c r="K7746" s="19" t="s">
        <v>44</v>
      </c>
      <c r="L7746" s="19" t="s">
        <v>52</v>
      </c>
      <c r="M7746" s="15" t="s">
        <v>2351</v>
      </c>
      <c r="N7746" s="15" t="s">
        <v>64</v>
      </c>
      <c r="O7746" s="15" t="s">
        <v>72</v>
      </c>
      <c r="P7746" s="20" t="s">
        <v>1859</v>
      </c>
      <c r="Q7746" s="15" t="s">
        <v>83</v>
      </c>
      <c r="R7746" s="4"/>
      <c r="S7746" s="4"/>
    </row>
    <row r="7747" spans="1:19" ht="21" customHeight="1" x14ac:dyDescent="0.25">
      <c r="A7747" s="14">
        <f>DATE(2012,12,31)-299</f>
        <v>40975</v>
      </c>
      <c r="B7747" s="15" t="s">
        <v>2178</v>
      </c>
      <c r="C7747" s="15" t="s">
        <v>85</v>
      </c>
      <c r="D7747" s="16">
        <v>11</v>
      </c>
      <c r="E7747" s="17">
        <v>995.72400000000005</v>
      </c>
      <c r="F7747" s="16">
        <v>0.05</v>
      </c>
      <c r="G7747" s="15" t="s">
        <v>32</v>
      </c>
      <c r="H7747" s="18">
        <v>-117.61199999999999</v>
      </c>
      <c r="I7747" s="19">
        <v>110.99</v>
      </c>
      <c r="J7747" s="19">
        <v>2.5</v>
      </c>
      <c r="K7747" s="19" t="s">
        <v>44</v>
      </c>
      <c r="L7747" s="19" t="s">
        <v>52</v>
      </c>
      <c r="M7747" s="15" t="s">
        <v>2351</v>
      </c>
      <c r="N7747" s="15" t="s">
        <v>64</v>
      </c>
      <c r="O7747" s="15" t="s">
        <v>65</v>
      </c>
      <c r="P7747" s="20" t="s">
        <v>1089</v>
      </c>
      <c r="Q7747" s="15" t="s">
        <v>83</v>
      </c>
      <c r="R7747" s="4"/>
      <c r="S7747" s="4"/>
    </row>
    <row r="7748" spans="1:19" ht="21" customHeight="1" x14ac:dyDescent="0.25">
      <c r="A7748" s="14">
        <f>DATE(2012,12,31)-299</f>
        <v>40975</v>
      </c>
      <c r="B7748" s="15" t="s">
        <v>1456</v>
      </c>
      <c r="C7748" s="15" t="s">
        <v>85</v>
      </c>
      <c r="D7748" s="16">
        <v>41</v>
      </c>
      <c r="E7748" s="17">
        <v>830.53</v>
      </c>
      <c r="F7748" s="16">
        <v>0.01</v>
      </c>
      <c r="G7748" s="15" t="s">
        <v>32</v>
      </c>
      <c r="H7748" s="18">
        <v>120.69</v>
      </c>
      <c r="I7748" s="19">
        <v>20.239999999999998</v>
      </c>
      <c r="J7748" s="19">
        <v>8.99</v>
      </c>
      <c r="K7748" s="19" t="s">
        <v>44</v>
      </c>
      <c r="L7748" s="19" t="s">
        <v>52</v>
      </c>
      <c r="M7748" s="15" t="s">
        <v>2351</v>
      </c>
      <c r="N7748" s="15" t="s">
        <v>54</v>
      </c>
      <c r="O7748" s="15" t="s">
        <v>55</v>
      </c>
      <c r="P7748" s="20" t="s">
        <v>1489</v>
      </c>
      <c r="Q7748" s="15" t="s">
        <v>49</v>
      </c>
      <c r="R7748" s="4"/>
      <c r="S7748" s="4"/>
    </row>
    <row r="7749" spans="1:19" ht="21" customHeight="1" x14ac:dyDescent="0.25">
      <c r="A7749" s="14">
        <f>DATE(2012,12,31)-299</f>
        <v>40975</v>
      </c>
      <c r="B7749" s="15" t="s">
        <v>823</v>
      </c>
      <c r="C7749" s="15" t="s">
        <v>85</v>
      </c>
      <c r="D7749" s="16">
        <v>2</v>
      </c>
      <c r="E7749" s="17">
        <v>79.930000000000007</v>
      </c>
      <c r="F7749" s="16">
        <v>0</v>
      </c>
      <c r="G7749" s="15" t="s">
        <v>32</v>
      </c>
      <c r="H7749" s="18">
        <v>-52.73</v>
      </c>
      <c r="I7749" s="19">
        <v>27.75</v>
      </c>
      <c r="J7749" s="19">
        <v>19.989999999999998</v>
      </c>
      <c r="K7749" s="19" t="s">
        <v>44</v>
      </c>
      <c r="L7749" s="19" t="s">
        <v>52</v>
      </c>
      <c r="M7749" s="15" t="s">
        <v>2351</v>
      </c>
      <c r="N7749" s="15" t="s">
        <v>36</v>
      </c>
      <c r="O7749" s="15" t="s">
        <v>37</v>
      </c>
      <c r="P7749" s="20" t="s">
        <v>2163</v>
      </c>
      <c r="Q7749" s="15" t="s">
        <v>83</v>
      </c>
      <c r="R7749" s="4"/>
      <c r="S7749" s="4"/>
    </row>
    <row r="7750" spans="1:19" ht="21" customHeight="1" x14ac:dyDescent="0.25">
      <c r="A7750" s="14">
        <f>DATE(2012,12,31)-766</f>
        <v>40508</v>
      </c>
      <c r="B7750" s="15" t="s">
        <v>823</v>
      </c>
      <c r="C7750" s="15" t="s">
        <v>85</v>
      </c>
      <c r="D7750" s="16">
        <v>34</v>
      </c>
      <c r="E7750" s="17">
        <v>15152.55</v>
      </c>
      <c r="F7750" s="16">
        <v>0.05</v>
      </c>
      <c r="G7750" s="15" t="s">
        <v>58</v>
      </c>
      <c r="H7750" s="18">
        <v>7719.21</v>
      </c>
      <c r="I7750" s="19">
        <v>500.98</v>
      </c>
      <c r="J7750" s="19">
        <v>28.14</v>
      </c>
      <c r="K7750" s="19" t="s">
        <v>44</v>
      </c>
      <c r="L7750" s="19" t="s">
        <v>52</v>
      </c>
      <c r="M7750" s="15" t="s">
        <v>2351</v>
      </c>
      <c r="N7750" s="15" t="s">
        <v>64</v>
      </c>
      <c r="O7750" s="15" t="s">
        <v>122</v>
      </c>
      <c r="P7750" s="20" t="s">
        <v>388</v>
      </c>
      <c r="Q7750" s="15" t="s">
        <v>181</v>
      </c>
      <c r="R7750" s="4"/>
      <c r="S7750" s="4"/>
    </row>
    <row r="7751" spans="1:19" ht="21" customHeight="1" x14ac:dyDescent="0.25">
      <c r="A7751" s="14">
        <f>DATE(2012,12,31)-834</f>
        <v>40440</v>
      </c>
      <c r="B7751" s="15" t="s">
        <v>348</v>
      </c>
      <c r="C7751" s="15" t="s">
        <v>51</v>
      </c>
      <c r="D7751" s="16">
        <v>2</v>
      </c>
      <c r="E7751" s="17">
        <v>17.3</v>
      </c>
      <c r="F7751" s="16">
        <v>0.04</v>
      </c>
      <c r="G7751" s="15" t="s">
        <v>32</v>
      </c>
      <c r="H7751" s="18">
        <v>-7.49</v>
      </c>
      <c r="I7751" s="19">
        <v>6.98</v>
      </c>
      <c r="J7751" s="19">
        <v>2.83</v>
      </c>
      <c r="K7751" s="19" t="s">
        <v>44</v>
      </c>
      <c r="L7751" s="19" t="s">
        <v>52</v>
      </c>
      <c r="M7751" s="15" t="s">
        <v>2351</v>
      </c>
      <c r="N7751" s="15" t="s">
        <v>54</v>
      </c>
      <c r="O7751" s="15" t="s">
        <v>55</v>
      </c>
      <c r="P7751" s="20" t="s">
        <v>1562</v>
      </c>
      <c r="Q7751" s="15" t="s">
        <v>49</v>
      </c>
      <c r="R7751" s="4"/>
      <c r="S7751" s="4"/>
    </row>
    <row r="7752" spans="1:19" ht="21" customHeight="1" x14ac:dyDescent="0.25">
      <c r="A7752" s="14">
        <f>DATE(2012,12,31)-98</f>
        <v>41176</v>
      </c>
      <c r="B7752" s="15" t="s">
        <v>1223</v>
      </c>
      <c r="C7752" s="15" t="s">
        <v>31</v>
      </c>
      <c r="D7752" s="16">
        <v>33</v>
      </c>
      <c r="E7752" s="17">
        <v>3671.1414999999997</v>
      </c>
      <c r="F7752" s="16">
        <v>0.02</v>
      </c>
      <c r="G7752" s="15" t="s">
        <v>32</v>
      </c>
      <c r="H7752" s="18">
        <v>995.08500000000004</v>
      </c>
      <c r="I7752" s="19">
        <v>125.99</v>
      </c>
      <c r="J7752" s="19">
        <v>8.99</v>
      </c>
      <c r="K7752" s="19" t="s">
        <v>44</v>
      </c>
      <c r="L7752" s="19" t="s">
        <v>52</v>
      </c>
      <c r="M7752" s="15" t="s">
        <v>2351</v>
      </c>
      <c r="N7752" s="15" t="s">
        <v>64</v>
      </c>
      <c r="O7752" s="15" t="s">
        <v>65</v>
      </c>
      <c r="P7752" s="20" t="s">
        <v>2267</v>
      </c>
      <c r="Q7752" s="15" t="s">
        <v>83</v>
      </c>
      <c r="R7752" s="4"/>
      <c r="S7752" s="4"/>
    </row>
    <row r="7753" spans="1:19" ht="21" customHeight="1" x14ac:dyDescent="0.25">
      <c r="A7753" s="14">
        <f>DATE(2012,12,31)-169</f>
        <v>41105</v>
      </c>
      <c r="B7753" s="15" t="s">
        <v>1223</v>
      </c>
      <c r="C7753" s="15" t="s">
        <v>51</v>
      </c>
      <c r="D7753" s="16">
        <v>50</v>
      </c>
      <c r="E7753" s="17">
        <v>172.23</v>
      </c>
      <c r="F7753" s="16">
        <v>0.02</v>
      </c>
      <c r="G7753" s="15" t="s">
        <v>32</v>
      </c>
      <c r="H7753" s="18">
        <v>32.35</v>
      </c>
      <c r="I7753" s="19">
        <v>3.29</v>
      </c>
      <c r="J7753" s="19">
        <v>1.35</v>
      </c>
      <c r="K7753" s="19" t="s">
        <v>44</v>
      </c>
      <c r="L7753" s="19" t="s">
        <v>89</v>
      </c>
      <c r="M7753" s="15" t="s">
        <v>2337</v>
      </c>
      <c r="N7753" s="15" t="s">
        <v>36</v>
      </c>
      <c r="O7753" s="15" t="s">
        <v>105</v>
      </c>
      <c r="P7753" s="20" t="s">
        <v>1468</v>
      </c>
      <c r="Q7753" s="15" t="s">
        <v>79</v>
      </c>
      <c r="R7753" s="4"/>
      <c r="S7753" s="4"/>
    </row>
    <row r="7754" spans="1:19" ht="21" customHeight="1" x14ac:dyDescent="0.25">
      <c r="A7754" s="14">
        <f>DATE(2012,12,31)-169</f>
        <v>41105</v>
      </c>
      <c r="B7754" s="15" t="s">
        <v>1223</v>
      </c>
      <c r="C7754" s="15" t="s">
        <v>51</v>
      </c>
      <c r="D7754" s="16">
        <v>23</v>
      </c>
      <c r="E7754" s="17">
        <v>1198.0999999999999</v>
      </c>
      <c r="F7754" s="16">
        <v>0.02</v>
      </c>
      <c r="G7754" s="15" t="s">
        <v>32</v>
      </c>
      <c r="H7754" s="18">
        <v>187.19</v>
      </c>
      <c r="I7754" s="19">
        <v>51.75</v>
      </c>
      <c r="J7754" s="19">
        <v>19.989999999999998</v>
      </c>
      <c r="K7754" s="19" t="s">
        <v>33</v>
      </c>
      <c r="L7754" s="19" t="s">
        <v>93</v>
      </c>
      <c r="M7754" s="15" t="s">
        <v>94</v>
      </c>
      <c r="N7754" s="15" t="s">
        <v>54</v>
      </c>
      <c r="O7754" s="15" t="s">
        <v>55</v>
      </c>
      <c r="P7754" s="20" t="s">
        <v>1553</v>
      </c>
      <c r="Q7754" s="15" t="s">
        <v>83</v>
      </c>
      <c r="R7754" s="4"/>
      <c r="S7754" s="4"/>
    </row>
    <row r="7755" spans="1:19" ht="21" customHeight="1" x14ac:dyDescent="0.25">
      <c r="A7755" s="14">
        <f>DATE(2012,12,31)-647</f>
        <v>40627</v>
      </c>
      <c r="B7755" s="15" t="s">
        <v>523</v>
      </c>
      <c r="C7755" s="15" t="s">
        <v>85</v>
      </c>
      <c r="D7755" s="16">
        <v>26</v>
      </c>
      <c r="E7755" s="17">
        <v>423.14</v>
      </c>
      <c r="F7755" s="16">
        <v>0.03</v>
      </c>
      <c r="G7755" s="15" t="s">
        <v>32</v>
      </c>
      <c r="H7755" s="18">
        <v>85.51</v>
      </c>
      <c r="I7755" s="19">
        <v>15.98</v>
      </c>
      <c r="J7755" s="19">
        <v>4</v>
      </c>
      <c r="K7755" s="19" t="s">
        <v>124</v>
      </c>
      <c r="L7755" s="19" t="s">
        <v>160</v>
      </c>
      <c r="M7755" s="15" t="s">
        <v>2281</v>
      </c>
      <c r="N7755" s="15" t="s">
        <v>64</v>
      </c>
      <c r="O7755" s="15" t="s">
        <v>72</v>
      </c>
      <c r="P7755" s="20" t="s">
        <v>62</v>
      </c>
      <c r="Q7755" s="15" t="s">
        <v>83</v>
      </c>
      <c r="R7755" s="4"/>
      <c r="S7755" s="4"/>
    </row>
    <row r="7756" spans="1:19" ht="21" customHeight="1" x14ac:dyDescent="0.25">
      <c r="A7756" s="14">
        <f>DATE(2012,12,31)-647</f>
        <v>40627</v>
      </c>
      <c r="B7756" s="15" t="s">
        <v>1395</v>
      </c>
      <c r="C7756" s="15" t="s">
        <v>85</v>
      </c>
      <c r="D7756" s="16">
        <v>22</v>
      </c>
      <c r="E7756" s="17">
        <v>628.39</v>
      </c>
      <c r="F7756" s="16">
        <v>0.1</v>
      </c>
      <c r="G7756" s="15" t="s">
        <v>101</v>
      </c>
      <c r="H7756" s="18">
        <v>181.83</v>
      </c>
      <c r="I7756" s="19">
        <v>30.98</v>
      </c>
      <c r="J7756" s="19">
        <v>5.09</v>
      </c>
      <c r="K7756" s="19" t="s">
        <v>33</v>
      </c>
      <c r="L7756" s="19" t="s">
        <v>59</v>
      </c>
      <c r="M7756" s="15" t="s">
        <v>2344</v>
      </c>
      <c r="N7756" s="15" t="s">
        <v>36</v>
      </c>
      <c r="O7756" s="15" t="s">
        <v>117</v>
      </c>
      <c r="P7756" s="20" t="s">
        <v>860</v>
      </c>
      <c r="Q7756" s="15" t="s">
        <v>83</v>
      </c>
      <c r="R7756" s="4"/>
      <c r="S7756" s="4"/>
    </row>
    <row r="7757" spans="1:19" ht="21" customHeight="1" x14ac:dyDescent="0.25">
      <c r="A7757" s="14">
        <f>DATE(2012,12,31)-647</f>
        <v>40627</v>
      </c>
      <c r="B7757" s="15" t="s">
        <v>1003</v>
      </c>
      <c r="C7757" s="15" t="s">
        <v>85</v>
      </c>
      <c r="D7757" s="16">
        <v>2</v>
      </c>
      <c r="E7757" s="17">
        <v>162.49</v>
      </c>
      <c r="F7757" s="16">
        <v>0.03</v>
      </c>
      <c r="G7757" s="15" t="s">
        <v>32</v>
      </c>
      <c r="H7757" s="18">
        <v>-94.83</v>
      </c>
      <c r="I7757" s="19">
        <v>81.319999999999993</v>
      </c>
      <c r="J7757" s="19">
        <v>0.99</v>
      </c>
      <c r="K7757" s="19" t="s">
        <v>69</v>
      </c>
      <c r="L7757" s="19" t="s">
        <v>70</v>
      </c>
      <c r="M7757" s="15" t="s">
        <v>2357</v>
      </c>
      <c r="N7757" s="15" t="s">
        <v>36</v>
      </c>
      <c r="O7757" s="15" t="s">
        <v>176</v>
      </c>
      <c r="P7757" s="20" t="s">
        <v>1051</v>
      </c>
      <c r="Q7757" s="15" t="s">
        <v>83</v>
      </c>
      <c r="R7757" s="4"/>
      <c r="S7757" s="4"/>
    </row>
    <row r="7758" spans="1:19" ht="21" customHeight="1" x14ac:dyDescent="0.25">
      <c r="A7758" s="14">
        <f>DATE(2012,12,31)-1428</f>
        <v>39846</v>
      </c>
      <c r="B7758" s="15" t="s">
        <v>1003</v>
      </c>
      <c r="C7758" s="15" t="s">
        <v>51</v>
      </c>
      <c r="D7758" s="16">
        <v>49</v>
      </c>
      <c r="E7758" s="17">
        <v>5718.85</v>
      </c>
      <c r="F7758" s="16">
        <v>0.09</v>
      </c>
      <c r="G7758" s="15" t="s">
        <v>58</v>
      </c>
      <c r="H7758" s="18">
        <v>-2426.5500000000002</v>
      </c>
      <c r="I7758" s="19">
        <v>122.99</v>
      </c>
      <c r="J7758" s="19">
        <v>70.2</v>
      </c>
      <c r="K7758" s="19" t="s">
        <v>44</v>
      </c>
      <c r="L7758" s="19" t="s">
        <v>89</v>
      </c>
      <c r="M7758" s="15" t="s">
        <v>2337</v>
      </c>
      <c r="N7758" s="15" t="s">
        <v>54</v>
      </c>
      <c r="O7758" s="15" t="s">
        <v>252</v>
      </c>
      <c r="P7758" s="20" t="s">
        <v>467</v>
      </c>
      <c r="Q7758" s="15" t="s">
        <v>181</v>
      </c>
      <c r="R7758" s="4"/>
      <c r="S7758" s="4"/>
    </row>
    <row r="7759" spans="1:19" ht="21" customHeight="1" x14ac:dyDescent="0.25">
      <c r="A7759" s="14">
        <f>DATE(2012,12,31)-639</f>
        <v>40635</v>
      </c>
      <c r="B7759" s="15" t="s">
        <v>201</v>
      </c>
      <c r="C7759" s="15" t="s">
        <v>85</v>
      </c>
      <c r="D7759" s="16">
        <v>28</v>
      </c>
      <c r="E7759" s="17">
        <v>168.57</v>
      </c>
      <c r="F7759" s="16">
        <v>0.02</v>
      </c>
      <c r="G7759" s="15" t="s">
        <v>101</v>
      </c>
      <c r="H7759" s="18">
        <v>16.651499999999999</v>
      </c>
      <c r="I7759" s="19">
        <v>5.28</v>
      </c>
      <c r="J7759" s="19">
        <v>2.99</v>
      </c>
      <c r="K7759" s="19" t="s">
        <v>97</v>
      </c>
      <c r="L7759" s="19" t="s">
        <v>98</v>
      </c>
      <c r="M7759" s="15" t="s">
        <v>2328</v>
      </c>
      <c r="N7759" s="15" t="s">
        <v>36</v>
      </c>
      <c r="O7759" s="15" t="s">
        <v>170</v>
      </c>
      <c r="P7759" s="20" t="s">
        <v>1213</v>
      </c>
      <c r="Q7759" s="15" t="s">
        <v>83</v>
      </c>
      <c r="R7759" s="4"/>
      <c r="S7759" s="4"/>
    </row>
    <row r="7760" spans="1:19" ht="21" customHeight="1" x14ac:dyDescent="0.25">
      <c r="A7760" s="14">
        <f>DATE(2012,12,31)-70</f>
        <v>41204</v>
      </c>
      <c r="B7760" s="15" t="s">
        <v>489</v>
      </c>
      <c r="C7760" s="15" t="s">
        <v>51</v>
      </c>
      <c r="D7760" s="16">
        <v>9</v>
      </c>
      <c r="E7760" s="17">
        <v>14665.55</v>
      </c>
      <c r="F7760" s="16">
        <v>7.0000000000000007E-2</v>
      </c>
      <c r="G7760" s="15" t="s">
        <v>32</v>
      </c>
      <c r="H7760" s="18">
        <v>-767.51</v>
      </c>
      <c r="I7760" s="19">
        <v>1637.53</v>
      </c>
      <c r="J7760" s="19">
        <v>24.49</v>
      </c>
      <c r="K7760" s="19" t="s">
        <v>124</v>
      </c>
      <c r="L7760" s="19" t="s">
        <v>168</v>
      </c>
      <c r="M7760" s="15" t="s">
        <v>2362</v>
      </c>
      <c r="N7760" s="15" t="s">
        <v>36</v>
      </c>
      <c r="O7760" s="15" t="s">
        <v>47</v>
      </c>
      <c r="P7760" s="20" t="s">
        <v>717</v>
      </c>
      <c r="Q7760" s="15" t="s">
        <v>57</v>
      </c>
      <c r="R7760" s="4"/>
      <c r="S7760" s="4"/>
    </row>
    <row r="7761" spans="1:19" ht="21" customHeight="1" x14ac:dyDescent="0.25">
      <c r="A7761" s="14">
        <f>DATE(2012,12,31)-438</f>
        <v>40836</v>
      </c>
      <c r="B7761" s="15" t="s">
        <v>1099</v>
      </c>
      <c r="C7761" s="15" t="s">
        <v>85</v>
      </c>
      <c r="D7761" s="16">
        <v>23</v>
      </c>
      <c r="E7761" s="17">
        <v>415.05500000000001</v>
      </c>
      <c r="F7761" s="16">
        <v>0.02</v>
      </c>
      <c r="G7761" s="15" t="s">
        <v>32</v>
      </c>
      <c r="H7761" s="18">
        <v>-44.131999999999998</v>
      </c>
      <c r="I7761" s="19">
        <v>20.99</v>
      </c>
      <c r="J7761" s="19">
        <v>0.99</v>
      </c>
      <c r="K7761" s="19" t="s">
        <v>33</v>
      </c>
      <c r="L7761" s="19" t="s">
        <v>59</v>
      </c>
      <c r="M7761" s="15" t="s">
        <v>2344</v>
      </c>
      <c r="N7761" s="15" t="s">
        <v>64</v>
      </c>
      <c r="O7761" s="15" t="s">
        <v>65</v>
      </c>
      <c r="P7761" s="20" t="s">
        <v>127</v>
      </c>
      <c r="Q7761" s="15" t="s">
        <v>49</v>
      </c>
      <c r="R7761" s="4"/>
      <c r="S7761" s="4"/>
    </row>
    <row r="7762" spans="1:19" ht="21" customHeight="1" x14ac:dyDescent="0.25">
      <c r="A7762" s="14">
        <f>DATE(2012,12,31)-1280</f>
        <v>39994</v>
      </c>
      <c r="B7762" s="15" t="s">
        <v>1023</v>
      </c>
      <c r="C7762" s="15" t="s">
        <v>43</v>
      </c>
      <c r="D7762" s="16">
        <v>29</v>
      </c>
      <c r="E7762" s="17">
        <v>324.75</v>
      </c>
      <c r="F7762" s="16">
        <v>7.0000000000000007E-2</v>
      </c>
      <c r="G7762" s="15" t="s">
        <v>32</v>
      </c>
      <c r="H7762" s="18">
        <v>-36.869999999999997</v>
      </c>
      <c r="I7762" s="19">
        <v>11.29</v>
      </c>
      <c r="J7762" s="19">
        <v>5.03</v>
      </c>
      <c r="K7762" s="19" t="s">
        <v>124</v>
      </c>
      <c r="L7762" s="19" t="s">
        <v>164</v>
      </c>
      <c r="M7762" s="15" t="s">
        <v>2360</v>
      </c>
      <c r="N7762" s="15" t="s">
        <v>36</v>
      </c>
      <c r="O7762" s="15" t="s">
        <v>37</v>
      </c>
      <c r="P7762" s="20" t="s">
        <v>202</v>
      </c>
      <c r="Q7762" s="15" t="s">
        <v>83</v>
      </c>
      <c r="R7762" s="4"/>
      <c r="S7762" s="4"/>
    </row>
    <row r="7763" spans="1:19" ht="21" customHeight="1" x14ac:dyDescent="0.25">
      <c r="A7763" s="14">
        <f>DATE(2012,12,31)-29</f>
        <v>41245</v>
      </c>
      <c r="B7763" s="15" t="s">
        <v>925</v>
      </c>
      <c r="C7763" s="15" t="s">
        <v>51</v>
      </c>
      <c r="D7763" s="16">
        <v>36</v>
      </c>
      <c r="E7763" s="17">
        <v>17560.95</v>
      </c>
      <c r="F7763" s="16">
        <v>0.09</v>
      </c>
      <c r="G7763" s="15" t="s">
        <v>58</v>
      </c>
      <c r="H7763" s="18">
        <v>4801.82</v>
      </c>
      <c r="I7763" s="19">
        <v>500.98</v>
      </c>
      <c r="J7763" s="19">
        <v>26</v>
      </c>
      <c r="K7763" s="19" t="s">
        <v>44</v>
      </c>
      <c r="L7763" s="19" t="s">
        <v>52</v>
      </c>
      <c r="M7763" s="15" t="s">
        <v>2351</v>
      </c>
      <c r="N7763" s="15" t="s">
        <v>54</v>
      </c>
      <c r="O7763" s="15" t="s">
        <v>252</v>
      </c>
      <c r="P7763" s="20" t="s">
        <v>281</v>
      </c>
      <c r="Q7763" s="15" t="s">
        <v>181</v>
      </c>
      <c r="R7763" s="4"/>
      <c r="S7763" s="4"/>
    </row>
    <row r="7764" spans="1:19" ht="21" customHeight="1" x14ac:dyDescent="0.25">
      <c r="A7764" s="14">
        <f>DATE(2012,12,31)-29</f>
        <v>41245</v>
      </c>
      <c r="B7764" s="15" t="s">
        <v>925</v>
      </c>
      <c r="C7764" s="15" t="s">
        <v>51</v>
      </c>
      <c r="D7764" s="16">
        <v>42</v>
      </c>
      <c r="E7764" s="17">
        <v>19845.696</v>
      </c>
      <c r="F7764" s="16">
        <v>0.01</v>
      </c>
      <c r="G7764" s="15" t="s">
        <v>58</v>
      </c>
      <c r="H7764" s="18">
        <v>-1331.5533660000001</v>
      </c>
      <c r="I7764" s="19">
        <v>550.98</v>
      </c>
      <c r="J7764" s="19">
        <v>64.59</v>
      </c>
      <c r="K7764" s="19" t="s">
        <v>69</v>
      </c>
      <c r="L7764" s="19" t="s">
        <v>215</v>
      </c>
      <c r="M7764" s="15" t="s">
        <v>2355</v>
      </c>
      <c r="N7764" s="15" t="s">
        <v>54</v>
      </c>
      <c r="O7764" s="15" t="s">
        <v>61</v>
      </c>
      <c r="P7764" s="20" t="s">
        <v>95</v>
      </c>
      <c r="Q7764" s="15" t="s">
        <v>63</v>
      </c>
      <c r="R7764" s="4"/>
      <c r="S7764" s="4"/>
    </row>
    <row r="7765" spans="1:19" ht="21" customHeight="1" x14ac:dyDescent="0.25">
      <c r="A7765" s="14">
        <f>DATE(2012,12,31)-242</f>
        <v>41032</v>
      </c>
      <c r="B7765" s="15" t="s">
        <v>925</v>
      </c>
      <c r="C7765" s="15" t="s">
        <v>85</v>
      </c>
      <c r="D7765" s="16">
        <v>42</v>
      </c>
      <c r="E7765" s="17">
        <v>364.8</v>
      </c>
      <c r="F7765" s="16">
        <v>0.01</v>
      </c>
      <c r="G7765" s="15" t="s">
        <v>32</v>
      </c>
      <c r="H7765" s="18">
        <v>149.44999999999999</v>
      </c>
      <c r="I7765" s="19">
        <v>8.74</v>
      </c>
      <c r="J7765" s="19">
        <v>1.39</v>
      </c>
      <c r="K7765" s="19" t="s">
        <v>124</v>
      </c>
      <c r="L7765" s="19" t="s">
        <v>160</v>
      </c>
      <c r="M7765" s="15" t="s">
        <v>2281</v>
      </c>
      <c r="N7765" s="15" t="s">
        <v>36</v>
      </c>
      <c r="O7765" s="15" t="s">
        <v>189</v>
      </c>
      <c r="P7765" s="20" t="s">
        <v>1698</v>
      </c>
      <c r="Q7765" s="15" t="s">
        <v>83</v>
      </c>
      <c r="R7765" s="4"/>
      <c r="S7765" s="4"/>
    </row>
    <row r="7766" spans="1:19" ht="21" customHeight="1" x14ac:dyDescent="0.25">
      <c r="A7766" s="14">
        <f>DATE(2012,12,31)-857</f>
        <v>40417</v>
      </c>
      <c r="B7766" s="15" t="s">
        <v>2061</v>
      </c>
      <c r="C7766" s="15" t="s">
        <v>85</v>
      </c>
      <c r="D7766" s="16">
        <v>31</v>
      </c>
      <c r="E7766" s="17">
        <v>5445.9920000000002</v>
      </c>
      <c r="F7766" s="16">
        <v>0.08</v>
      </c>
      <c r="G7766" s="15" t="s">
        <v>58</v>
      </c>
      <c r="H7766" s="18">
        <v>-791.66</v>
      </c>
      <c r="I7766" s="19">
        <v>218.75</v>
      </c>
      <c r="J7766" s="19">
        <v>69.64</v>
      </c>
      <c r="K7766" s="19" t="s">
        <v>69</v>
      </c>
      <c r="L7766" s="19" t="s">
        <v>70</v>
      </c>
      <c r="M7766" s="15" t="s">
        <v>2357</v>
      </c>
      <c r="N7766" s="15" t="s">
        <v>54</v>
      </c>
      <c r="O7766" s="15" t="s">
        <v>61</v>
      </c>
      <c r="P7766" s="20" t="s">
        <v>1113</v>
      </c>
      <c r="Q7766" s="15" t="s">
        <v>63</v>
      </c>
      <c r="R7766" s="4"/>
      <c r="S7766" s="4"/>
    </row>
    <row r="7767" spans="1:19" ht="21" customHeight="1" x14ac:dyDescent="0.25">
      <c r="A7767" s="14">
        <f>DATE(2012,12,31)-1380</f>
        <v>39894</v>
      </c>
      <c r="B7767" s="15" t="s">
        <v>2061</v>
      </c>
      <c r="C7767" s="15" t="s">
        <v>43</v>
      </c>
      <c r="D7767" s="16">
        <v>32</v>
      </c>
      <c r="E7767" s="17">
        <v>4856.1000000000004</v>
      </c>
      <c r="F7767" s="16">
        <v>0.01</v>
      </c>
      <c r="G7767" s="15" t="s">
        <v>58</v>
      </c>
      <c r="H7767" s="18">
        <v>1096.6400000000001</v>
      </c>
      <c r="I7767" s="19">
        <v>145.44999999999999</v>
      </c>
      <c r="J7767" s="19">
        <v>17.850000000000001</v>
      </c>
      <c r="K7767" s="19" t="s">
        <v>124</v>
      </c>
      <c r="L7767" s="19" t="s">
        <v>160</v>
      </c>
      <c r="M7767" s="15" t="s">
        <v>2281</v>
      </c>
      <c r="N7767" s="15" t="s">
        <v>64</v>
      </c>
      <c r="O7767" s="15" t="s">
        <v>122</v>
      </c>
      <c r="P7767" s="20" t="s">
        <v>2004</v>
      </c>
      <c r="Q7767" s="15" t="s">
        <v>181</v>
      </c>
      <c r="R7767" s="4"/>
      <c r="S7767" s="4"/>
    </row>
    <row r="7768" spans="1:19" ht="21" customHeight="1" x14ac:dyDescent="0.25">
      <c r="A7768" s="14">
        <f>DATE(2012,12,31)-51</f>
        <v>41223</v>
      </c>
      <c r="B7768" s="15" t="s">
        <v>1520</v>
      </c>
      <c r="C7768" s="15" t="s">
        <v>43</v>
      </c>
      <c r="D7768" s="16">
        <v>6</v>
      </c>
      <c r="E7768" s="17">
        <v>323.52999999999997</v>
      </c>
      <c r="F7768" s="16">
        <v>0.06</v>
      </c>
      <c r="G7768" s="15" t="s">
        <v>32</v>
      </c>
      <c r="H7768" s="18">
        <v>136.32</v>
      </c>
      <c r="I7768" s="19">
        <v>51.75</v>
      </c>
      <c r="J7768" s="19">
        <v>19.989999999999998</v>
      </c>
      <c r="K7768" s="19" t="s">
        <v>33</v>
      </c>
      <c r="L7768" s="19" t="s">
        <v>145</v>
      </c>
      <c r="M7768" s="15" t="s">
        <v>146</v>
      </c>
      <c r="N7768" s="15" t="s">
        <v>54</v>
      </c>
      <c r="O7768" s="15" t="s">
        <v>55</v>
      </c>
      <c r="P7768" s="20" t="s">
        <v>1261</v>
      </c>
      <c r="Q7768" s="15" t="s">
        <v>83</v>
      </c>
      <c r="R7768" s="4"/>
      <c r="S7768" s="4"/>
    </row>
    <row r="7769" spans="1:19" ht="21" customHeight="1" x14ac:dyDescent="0.25">
      <c r="A7769" s="14">
        <f>DATE(2012,12,31)-51</f>
        <v>41223</v>
      </c>
      <c r="B7769" s="15" t="s">
        <v>1520</v>
      </c>
      <c r="C7769" s="15" t="s">
        <v>43</v>
      </c>
      <c r="D7769" s="16">
        <v>1</v>
      </c>
      <c r="E7769" s="17">
        <v>65.747500000000002</v>
      </c>
      <c r="F7769" s="16">
        <v>0.1</v>
      </c>
      <c r="G7769" s="15" t="s">
        <v>101</v>
      </c>
      <c r="H7769" s="18">
        <v>-252.483</v>
      </c>
      <c r="I7769" s="19">
        <v>65.989999999999995</v>
      </c>
      <c r="J7769" s="19">
        <v>3.99</v>
      </c>
      <c r="K7769" s="19" t="s">
        <v>33</v>
      </c>
      <c r="L7769" s="19" t="s">
        <v>34</v>
      </c>
      <c r="M7769" s="15" t="s">
        <v>2353</v>
      </c>
      <c r="N7769" s="15" t="s">
        <v>64</v>
      </c>
      <c r="O7769" s="15" t="s">
        <v>65</v>
      </c>
      <c r="P7769" s="20" t="s">
        <v>618</v>
      </c>
      <c r="Q7769" s="15" t="s">
        <v>83</v>
      </c>
      <c r="R7769" s="4"/>
      <c r="S7769" s="4"/>
    </row>
    <row r="7770" spans="1:19" ht="21" customHeight="1" x14ac:dyDescent="0.25">
      <c r="A7770" s="14">
        <f>DATE(2012,12,31)-296</f>
        <v>40978</v>
      </c>
      <c r="B7770" s="15" t="s">
        <v>550</v>
      </c>
      <c r="C7770" s="15" t="s">
        <v>85</v>
      </c>
      <c r="D7770" s="16">
        <v>26</v>
      </c>
      <c r="E7770" s="17">
        <v>4073.17</v>
      </c>
      <c r="F7770" s="16">
        <v>0.08</v>
      </c>
      <c r="G7770" s="15" t="s">
        <v>58</v>
      </c>
      <c r="H7770" s="18">
        <v>376.21</v>
      </c>
      <c r="I7770" s="19">
        <v>160.97999999999999</v>
      </c>
      <c r="J7770" s="19">
        <v>30</v>
      </c>
      <c r="K7770" s="19" t="s">
        <v>69</v>
      </c>
      <c r="L7770" s="19" t="s">
        <v>75</v>
      </c>
      <c r="M7770" s="15" t="s">
        <v>76</v>
      </c>
      <c r="N7770" s="15" t="s">
        <v>54</v>
      </c>
      <c r="O7770" s="15" t="s">
        <v>252</v>
      </c>
      <c r="P7770" s="20" t="s">
        <v>680</v>
      </c>
      <c r="Q7770" s="15" t="s">
        <v>181</v>
      </c>
      <c r="R7770" s="4"/>
      <c r="S7770" s="4"/>
    </row>
    <row r="7771" spans="1:19" ht="21" customHeight="1" x14ac:dyDescent="0.25">
      <c r="A7771" s="14">
        <f>DATE(2012,12,31)-686</f>
        <v>40588</v>
      </c>
      <c r="B7771" s="15" t="s">
        <v>785</v>
      </c>
      <c r="C7771" s="15" t="s">
        <v>43</v>
      </c>
      <c r="D7771" s="16">
        <v>6</v>
      </c>
      <c r="E7771" s="17">
        <v>830.28</v>
      </c>
      <c r="F7771" s="16">
        <v>0</v>
      </c>
      <c r="G7771" s="15" t="s">
        <v>58</v>
      </c>
      <c r="H7771" s="18">
        <v>-382.98</v>
      </c>
      <c r="I7771" s="19">
        <v>122.99</v>
      </c>
      <c r="J7771" s="19">
        <v>70.2</v>
      </c>
      <c r="K7771" s="19" t="s">
        <v>69</v>
      </c>
      <c r="L7771" s="19" t="s">
        <v>70</v>
      </c>
      <c r="M7771" s="15" t="s">
        <v>2357</v>
      </c>
      <c r="N7771" s="15" t="s">
        <v>54</v>
      </c>
      <c r="O7771" s="15" t="s">
        <v>252</v>
      </c>
      <c r="P7771" s="20" t="s">
        <v>585</v>
      </c>
      <c r="Q7771" s="15" t="s">
        <v>181</v>
      </c>
      <c r="R7771" s="4"/>
      <c r="S7771" s="4"/>
    </row>
    <row r="7772" spans="1:19" ht="21" customHeight="1" x14ac:dyDescent="0.25">
      <c r="A7772" s="14">
        <f>DATE(2012,12,31)-686</f>
        <v>40588</v>
      </c>
      <c r="B7772" s="15" t="s">
        <v>785</v>
      </c>
      <c r="C7772" s="15" t="s">
        <v>43</v>
      </c>
      <c r="D7772" s="16">
        <v>45</v>
      </c>
      <c r="E7772" s="17">
        <v>837.38599999999997</v>
      </c>
      <c r="F7772" s="16">
        <v>0.03</v>
      </c>
      <c r="G7772" s="15" t="s">
        <v>32</v>
      </c>
      <c r="H7772" s="18">
        <v>104.328</v>
      </c>
      <c r="I7772" s="19">
        <v>20.99</v>
      </c>
      <c r="J7772" s="19">
        <v>4.8099999999999996</v>
      </c>
      <c r="K7772" s="19" t="s">
        <v>69</v>
      </c>
      <c r="L7772" s="19" t="s">
        <v>70</v>
      </c>
      <c r="M7772" s="15" t="s">
        <v>2357</v>
      </c>
      <c r="N7772" s="15" t="s">
        <v>64</v>
      </c>
      <c r="O7772" s="15" t="s">
        <v>65</v>
      </c>
      <c r="P7772" s="20" t="s">
        <v>600</v>
      </c>
      <c r="Q7772" s="15" t="s">
        <v>57</v>
      </c>
      <c r="R7772" s="4"/>
      <c r="S7772" s="4"/>
    </row>
    <row r="7773" spans="1:19" ht="21" customHeight="1" x14ac:dyDescent="0.25">
      <c r="A7773" s="14">
        <f>DATE(2012,12,31)-478</f>
        <v>40796</v>
      </c>
      <c r="B7773" s="15" t="s">
        <v>676</v>
      </c>
      <c r="C7773" s="15" t="s">
        <v>85</v>
      </c>
      <c r="D7773" s="16">
        <v>2</v>
      </c>
      <c r="E7773" s="17">
        <v>250.7</v>
      </c>
      <c r="F7773" s="16">
        <v>0.03</v>
      </c>
      <c r="G7773" s="15" t="s">
        <v>58</v>
      </c>
      <c r="H7773" s="18">
        <v>-180.61</v>
      </c>
      <c r="I7773" s="19">
        <v>100.98</v>
      </c>
      <c r="J7773" s="19">
        <v>45</v>
      </c>
      <c r="K7773" s="19" t="s">
        <v>44</v>
      </c>
      <c r="L7773" s="19" t="s">
        <v>89</v>
      </c>
      <c r="M7773" s="15" t="s">
        <v>2337</v>
      </c>
      <c r="N7773" s="15" t="s">
        <v>54</v>
      </c>
      <c r="O7773" s="15" t="s">
        <v>252</v>
      </c>
      <c r="P7773" s="20" t="s">
        <v>372</v>
      </c>
      <c r="Q7773" s="15" t="s">
        <v>181</v>
      </c>
      <c r="R7773" s="4"/>
      <c r="S7773" s="4"/>
    </row>
    <row r="7774" spans="1:19" ht="21" customHeight="1" x14ac:dyDescent="0.25">
      <c r="A7774" s="14">
        <f>DATE(2012,12,31)-156</f>
        <v>41118</v>
      </c>
      <c r="B7774" s="15" t="s">
        <v>409</v>
      </c>
      <c r="C7774" s="15" t="s">
        <v>31</v>
      </c>
      <c r="D7774" s="16">
        <v>39</v>
      </c>
      <c r="E7774" s="17">
        <v>2650.77</v>
      </c>
      <c r="F7774" s="16">
        <v>0.08</v>
      </c>
      <c r="G7774" s="15" t="s">
        <v>32</v>
      </c>
      <c r="H7774" s="18">
        <v>-824.43</v>
      </c>
      <c r="I7774" s="19">
        <v>70.709999999999994</v>
      </c>
      <c r="J7774" s="19">
        <v>37.58</v>
      </c>
      <c r="K7774" s="19" t="s">
        <v>44</v>
      </c>
      <c r="L7774" s="19" t="s">
        <v>120</v>
      </c>
      <c r="M7774" s="15" t="s">
        <v>2262</v>
      </c>
      <c r="N7774" s="15" t="s">
        <v>54</v>
      </c>
      <c r="O7774" s="15" t="s">
        <v>55</v>
      </c>
      <c r="P7774" s="20" t="s">
        <v>1022</v>
      </c>
      <c r="Q7774" s="15" t="s">
        <v>79</v>
      </c>
      <c r="R7774" s="4"/>
      <c r="S7774" s="4"/>
    </row>
    <row r="7775" spans="1:19" ht="21" customHeight="1" x14ac:dyDescent="0.25">
      <c r="A7775" s="14">
        <f>DATE(2012,12,31)-718</f>
        <v>40556</v>
      </c>
      <c r="B7775" s="15" t="s">
        <v>1418</v>
      </c>
      <c r="C7775" s="15" t="s">
        <v>51</v>
      </c>
      <c r="D7775" s="16">
        <v>28</v>
      </c>
      <c r="E7775" s="17">
        <v>2860.19</v>
      </c>
      <c r="F7775" s="16">
        <v>0.04</v>
      </c>
      <c r="G7775" s="15" t="s">
        <v>101</v>
      </c>
      <c r="H7775" s="18">
        <v>458.4</v>
      </c>
      <c r="I7775" s="19">
        <v>105.29</v>
      </c>
      <c r="J7775" s="19">
        <v>10.119999999999999</v>
      </c>
      <c r="K7775" s="19" t="s">
        <v>44</v>
      </c>
      <c r="L7775" s="19" t="s">
        <v>120</v>
      </c>
      <c r="M7775" s="15" t="s">
        <v>2262</v>
      </c>
      <c r="N7775" s="15" t="s">
        <v>54</v>
      </c>
      <c r="O7775" s="15" t="s">
        <v>55</v>
      </c>
      <c r="P7775" s="20" t="s">
        <v>993</v>
      </c>
      <c r="Q7775" s="15" t="s">
        <v>39</v>
      </c>
      <c r="R7775" s="4"/>
      <c r="S7775" s="4"/>
    </row>
    <row r="7776" spans="1:19" ht="21" customHeight="1" x14ac:dyDescent="0.25">
      <c r="A7776" s="14">
        <f>DATE(2012,12,31)-1232</f>
        <v>40042</v>
      </c>
      <c r="B7776" s="15" t="s">
        <v>759</v>
      </c>
      <c r="C7776" s="15" t="s">
        <v>85</v>
      </c>
      <c r="D7776" s="16">
        <v>11</v>
      </c>
      <c r="E7776" s="17">
        <v>59.03</v>
      </c>
      <c r="F7776" s="16">
        <v>0.04</v>
      </c>
      <c r="G7776" s="15" t="s">
        <v>32</v>
      </c>
      <c r="H7776" s="18">
        <v>-25.21</v>
      </c>
      <c r="I7776" s="19">
        <v>4.9800000000000004</v>
      </c>
      <c r="J7776" s="19">
        <v>4.8600000000000003</v>
      </c>
      <c r="K7776" s="19" t="s">
        <v>44</v>
      </c>
      <c r="L7776" s="19" t="s">
        <v>45</v>
      </c>
      <c r="M7776" s="15" t="s">
        <v>2356</v>
      </c>
      <c r="N7776" s="15" t="s">
        <v>36</v>
      </c>
      <c r="O7776" s="15" t="s">
        <v>117</v>
      </c>
      <c r="P7776" s="20" t="s">
        <v>1010</v>
      </c>
      <c r="Q7776" s="15" t="s">
        <v>83</v>
      </c>
      <c r="R7776" s="4"/>
      <c r="S7776" s="4"/>
    </row>
    <row r="7777" spans="1:19" ht="21" customHeight="1" x14ac:dyDescent="0.25">
      <c r="A7777" s="14">
        <f>DATE(2012,12,31)-529</f>
        <v>40745</v>
      </c>
      <c r="B7777" s="15" t="s">
        <v>759</v>
      </c>
      <c r="C7777" s="15" t="s">
        <v>31</v>
      </c>
      <c r="D7777" s="16">
        <v>29</v>
      </c>
      <c r="E7777" s="17">
        <v>4203.88</v>
      </c>
      <c r="F7777" s="16">
        <v>0.1</v>
      </c>
      <c r="G7777" s="15" t="s">
        <v>58</v>
      </c>
      <c r="H7777" s="18">
        <v>-865.88</v>
      </c>
      <c r="I7777" s="19">
        <v>150.97999999999999</v>
      </c>
      <c r="J7777" s="19">
        <v>66.27</v>
      </c>
      <c r="K7777" s="19" t="s">
        <v>44</v>
      </c>
      <c r="L7777" s="19" t="s">
        <v>89</v>
      </c>
      <c r="M7777" s="15" t="s">
        <v>2337</v>
      </c>
      <c r="N7777" s="15" t="s">
        <v>54</v>
      </c>
      <c r="O7777" s="15" t="s">
        <v>134</v>
      </c>
      <c r="P7777" s="20" t="s">
        <v>2193</v>
      </c>
      <c r="Q7777" s="15" t="s">
        <v>63</v>
      </c>
      <c r="R7777" s="4"/>
      <c r="S7777" s="4"/>
    </row>
    <row r="7778" spans="1:19" ht="21" customHeight="1" x14ac:dyDescent="0.25">
      <c r="A7778" s="14">
        <f>DATE(2012,12,31)-1260</f>
        <v>40014</v>
      </c>
      <c r="B7778" s="15" t="s">
        <v>759</v>
      </c>
      <c r="C7778" s="15" t="s">
        <v>43</v>
      </c>
      <c r="D7778" s="16">
        <v>30</v>
      </c>
      <c r="E7778" s="17">
        <v>221.05</v>
      </c>
      <c r="F7778" s="16">
        <v>0.02</v>
      </c>
      <c r="G7778" s="15" t="s">
        <v>32</v>
      </c>
      <c r="H7778" s="18">
        <v>-66.378</v>
      </c>
      <c r="I7778" s="19">
        <v>7.1</v>
      </c>
      <c r="J7778" s="19">
        <v>6.05</v>
      </c>
      <c r="K7778" s="19" t="s">
        <v>44</v>
      </c>
      <c r="L7778" s="19" t="s">
        <v>45</v>
      </c>
      <c r="M7778" s="15" t="s">
        <v>2356</v>
      </c>
      <c r="N7778" s="15" t="s">
        <v>36</v>
      </c>
      <c r="O7778" s="15" t="s">
        <v>170</v>
      </c>
      <c r="P7778" s="20" t="s">
        <v>1226</v>
      </c>
      <c r="Q7778" s="15" t="s">
        <v>83</v>
      </c>
      <c r="R7778" s="4"/>
      <c r="S7778" s="4"/>
    </row>
    <row r="7779" spans="1:19" ht="21" customHeight="1" x14ac:dyDescent="0.25">
      <c r="A7779" s="14">
        <f>DATE(2012,12,31)-1260</f>
        <v>40014</v>
      </c>
      <c r="B7779" s="15" t="s">
        <v>1321</v>
      </c>
      <c r="C7779" s="15" t="s">
        <v>43</v>
      </c>
      <c r="D7779" s="16">
        <v>21</v>
      </c>
      <c r="E7779" s="17">
        <v>133.15</v>
      </c>
      <c r="F7779" s="16">
        <v>0.05</v>
      </c>
      <c r="G7779" s="15" t="s">
        <v>32</v>
      </c>
      <c r="H7779" s="18">
        <v>-51.427999999999997</v>
      </c>
      <c r="I7779" s="19">
        <v>6.28</v>
      </c>
      <c r="J7779" s="19">
        <v>5.36</v>
      </c>
      <c r="K7779" s="19" t="s">
        <v>44</v>
      </c>
      <c r="L7779" s="19" t="s">
        <v>89</v>
      </c>
      <c r="M7779" s="15" t="s">
        <v>2337</v>
      </c>
      <c r="N7779" s="15" t="s">
        <v>36</v>
      </c>
      <c r="O7779" s="15" t="s">
        <v>170</v>
      </c>
      <c r="P7779" s="20" t="s">
        <v>231</v>
      </c>
      <c r="Q7779" s="15" t="s">
        <v>83</v>
      </c>
      <c r="R7779" s="4"/>
      <c r="S7779" s="4"/>
    </row>
    <row r="7780" spans="1:19" ht="21" customHeight="1" x14ac:dyDescent="0.25">
      <c r="A7780" s="14">
        <f>DATE(2012,12,31)-1260</f>
        <v>40014</v>
      </c>
      <c r="B7780" s="15" t="s">
        <v>2237</v>
      </c>
      <c r="C7780" s="15" t="s">
        <v>43</v>
      </c>
      <c r="D7780" s="16">
        <v>45</v>
      </c>
      <c r="E7780" s="17">
        <v>136.71</v>
      </c>
      <c r="F7780" s="16">
        <v>0.04</v>
      </c>
      <c r="G7780" s="15" t="s">
        <v>32</v>
      </c>
      <c r="H7780" s="18">
        <v>34.72</v>
      </c>
      <c r="I7780" s="19">
        <v>3.08</v>
      </c>
      <c r="J7780" s="19">
        <v>0.99</v>
      </c>
      <c r="K7780" s="19" t="s">
        <v>124</v>
      </c>
      <c r="L7780" s="19" t="s">
        <v>160</v>
      </c>
      <c r="M7780" s="15" t="s">
        <v>2281</v>
      </c>
      <c r="N7780" s="15" t="s">
        <v>36</v>
      </c>
      <c r="O7780" s="15" t="s">
        <v>114</v>
      </c>
      <c r="P7780" s="20" t="s">
        <v>1873</v>
      </c>
      <c r="Q7780" s="15" t="s">
        <v>83</v>
      </c>
      <c r="R7780" s="4"/>
      <c r="S7780" s="4"/>
    </row>
    <row r="7781" spans="1:19" ht="21" customHeight="1" x14ac:dyDescent="0.25">
      <c r="A7781" s="14">
        <f>DATE(2012,12,31)-408</f>
        <v>40866</v>
      </c>
      <c r="B7781" s="15" t="s">
        <v>1125</v>
      </c>
      <c r="C7781" s="15" t="s">
        <v>31</v>
      </c>
      <c r="D7781" s="16">
        <v>48</v>
      </c>
      <c r="E7781" s="17">
        <v>15602.93</v>
      </c>
      <c r="F7781" s="16">
        <v>0</v>
      </c>
      <c r="G7781" s="15" t="s">
        <v>58</v>
      </c>
      <c r="H7781" s="18">
        <v>4875.8900000000003</v>
      </c>
      <c r="I7781" s="19">
        <v>306.14</v>
      </c>
      <c r="J7781" s="19">
        <v>26.53</v>
      </c>
      <c r="K7781" s="19" t="s">
        <v>33</v>
      </c>
      <c r="L7781" s="19" t="s">
        <v>93</v>
      </c>
      <c r="M7781" s="15" t="s">
        <v>94</v>
      </c>
      <c r="N7781" s="15" t="s">
        <v>64</v>
      </c>
      <c r="O7781" s="15" t="s">
        <v>122</v>
      </c>
      <c r="P7781" s="20" t="s">
        <v>1550</v>
      </c>
      <c r="Q7781" s="15" t="s">
        <v>181</v>
      </c>
      <c r="R7781" s="4"/>
      <c r="S7781" s="4"/>
    </row>
    <row r="7782" spans="1:19" ht="21" customHeight="1" x14ac:dyDescent="0.25">
      <c r="A7782" s="14">
        <f>DATE(2012,12,31)-1414</f>
        <v>39860</v>
      </c>
      <c r="B7782" s="15" t="s">
        <v>1292</v>
      </c>
      <c r="C7782" s="15" t="s">
        <v>85</v>
      </c>
      <c r="D7782" s="16">
        <v>28</v>
      </c>
      <c r="E7782" s="17">
        <v>208.83</v>
      </c>
      <c r="F7782" s="16">
        <v>0</v>
      </c>
      <c r="G7782" s="15" t="s">
        <v>32</v>
      </c>
      <c r="H7782" s="18">
        <v>-60.145000000000003</v>
      </c>
      <c r="I7782" s="19">
        <v>7.1</v>
      </c>
      <c r="J7782" s="19">
        <v>6.05</v>
      </c>
      <c r="K7782" s="19" t="s">
        <v>97</v>
      </c>
      <c r="L7782" s="19" t="s">
        <v>98</v>
      </c>
      <c r="M7782" s="15" t="s">
        <v>2328</v>
      </c>
      <c r="N7782" s="15" t="s">
        <v>36</v>
      </c>
      <c r="O7782" s="15" t="s">
        <v>170</v>
      </c>
      <c r="P7782" s="20" t="s">
        <v>866</v>
      </c>
      <c r="Q7782" s="15" t="s">
        <v>83</v>
      </c>
      <c r="R7782" s="4"/>
      <c r="S7782" s="4"/>
    </row>
    <row r="7783" spans="1:19" ht="21" customHeight="1" x14ac:dyDescent="0.25">
      <c r="A7783" s="14">
        <f>DATE(2012,12,31)-1414</f>
        <v>39860</v>
      </c>
      <c r="B7783" s="15" t="s">
        <v>1292</v>
      </c>
      <c r="C7783" s="15" t="s">
        <v>85</v>
      </c>
      <c r="D7783" s="16">
        <v>41</v>
      </c>
      <c r="E7783" s="17">
        <v>228.3</v>
      </c>
      <c r="F7783" s="16">
        <v>0.01</v>
      </c>
      <c r="G7783" s="15" t="s">
        <v>101</v>
      </c>
      <c r="H7783" s="18">
        <v>-111.72</v>
      </c>
      <c r="I7783" s="19">
        <v>4.9800000000000004</v>
      </c>
      <c r="J7783" s="19">
        <v>4.62</v>
      </c>
      <c r="K7783" s="19" t="s">
        <v>97</v>
      </c>
      <c r="L7783" s="19" t="s">
        <v>98</v>
      </c>
      <c r="M7783" s="15" t="s">
        <v>2363</v>
      </c>
      <c r="N7783" s="15" t="s">
        <v>64</v>
      </c>
      <c r="O7783" s="15" t="s">
        <v>72</v>
      </c>
      <c r="P7783" s="20" t="s">
        <v>2002</v>
      </c>
      <c r="Q7783" s="15" t="s">
        <v>49</v>
      </c>
      <c r="R7783" s="4"/>
      <c r="S7783" s="4"/>
    </row>
    <row r="7784" spans="1:19" ht="21" customHeight="1" x14ac:dyDescent="0.25">
      <c r="A7784" s="14">
        <f>DATE(2012,12,31)-1414</f>
        <v>39860</v>
      </c>
      <c r="B7784" s="15" t="s">
        <v>1379</v>
      </c>
      <c r="C7784" s="15" t="s">
        <v>85</v>
      </c>
      <c r="D7784" s="16">
        <v>24</v>
      </c>
      <c r="E7784" s="17">
        <v>129.53</v>
      </c>
      <c r="F7784" s="16">
        <v>0.06</v>
      </c>
      <c r="G7784" s="15" t="s">
        <v>32</v>
      </c>
      <c r="H7784" s="18">
        <v>33.01</v>
      </c>
      <c r="I7784" s="19">
        <v>5.68</v>
      </c>
      <c r="J7784" s="19">
        <v>1.39</v>
      </c>
      <c r="K7784" s="19" t="s">
        <v>97</v>
      </c>
      <c r="L7784" s="19" t="s">
        <v>195</v>
      </c>
      <c r="M7784" s="15" t="s">
        <v>2138</v>
      </c>
      <c r="N7784" s="15" t="s">
        <v>36</v>
      </c>
      <c r="O7784" s="15" t="s">
        <v>189</v>
      </c>
      <c r="P7784" s="20" t="s">
        <v>344</v>
      </c>
      <c r="Q7784" s="15" t="s">
        <v>83</v>
      </c>
      <c r="R7784" s="4"/>
      <c r="S7784" s="4"/>
    </row>
    <row r="7785" spans="1:19" ht="21" customHeight="1" x14ac:dyDescent="0.25">
      <c r="A7785" s="14">
        <f>DATE(2012,12,31)-1132</f>
        <v>40142</v>
      </c>
      <c r="B7785" s="15" t="s">
        <v>1379</v>
      </c>
      <c r="C7785" s="15" t="s">
        <v>85</v>
      </c>
      <c r="D7785" s="16">
        <v>50</v>
      </c>
      <c r="E7785" s="17">
        <v>413.86</v>
      </c>
      <c r="F7785" s="16">
        <v>0</v>
      </c>
      <c r="G7785" s="15" t="s">
        <v>32</v>
      </c>
      <c r="H7785" s="18">
        <v>39.29</v>
      </c>
      <c r="I7785" s="19">
        <v>7.59</v>
      </c>
      <c r="J7785" s="19">
        <v>4</v>
      </c>
      <c r="K7785" s="19" t="s">
        <v>124</v>
      </c>
      <c r="L7785" s="19" t="s">
        <v>160</v>
      </c>
      <c r="M7785" s="15" t="s">
        <v>2281</v>
      </c>
      <c r="N7785" s="15" t="s">
        <v>54</v>
      </c>
      <c r="O7785" s="15" t="s">
        <v>55</v>
      </c>
      <c r="P7785" s="20" t="s">
        <v>1385</v>
      </c>
      <c r="Q7785" s="15" t="s">
        <v>79</v>
      </c>
      <c r="R7785" s="4"/>
      <c r="S7785" s="4"/>
    </row>
    <row r="7786" spans="1:19" ht="21" customHeight="1" x14ac:dyDescent="0.25">
      <c r="A7786" s="14">
        <f>DATE(2012,12,31)-1132</f>
        <v>40142</v>
      </c>
      <c r="B7786" s="15" t="s">
        <v>1379</v>
      </c>
      <c r="C7786" s="15" t="s">
        <v>85</v>
      </c>
      <c r="D7786" s="16">
        <v>31</v>
      </c>
      <c r="E7786" s="17">
        <v>178.45</v>
      </c>
      <c r="F7786" s="16">
        <v>0.09</v>
      </c>
      <c r="G7786" s="15" t="s">
        <v>32</v>
      </c>
      <c r="H7786" s="18">
        <v>-104.96</v>
      </c>
      <c r="I7786" s="19">
        <v>5.98</v>
      </c>
      <c r="J7786" s="19">
        <v>4.6900000000000004</v>
      </c>
      <c r="K7786" s="19" t="s">
        <v>124</v>
      </c>
      <c r="L7786" s="19" t="s">
        <v>493</v>
      </c>
      <c r="M7786" s="15" t="s">
        <v>2334</v>
      </c>
      <c r="N7786" s="15" t="s">
        <v>36</v>
      </c>
      <c r="O7786" s="15" t="s">
        <v>37</v>
      </c>
      <c r="P7786" s="20" t="s">
        <v>1791</v>
      </c>
      <c r="Q7786" s="15" t="s">
        <v>83</v>
      </c>
      <c r="R7786" s="4"/>
      <c r="S7786" s="4"/>
    </row>
    <row r="7787" spans="1:19" ht="21" customHeight="1" x14ac:dyDescent="0.25">
      <c r="A7787" s="14">
        <f>DATE(2012,12,31)-1063</f>
        <v>40211</v>
      </c>
      <c r="B7787" s="15" t="s">
        <v>737</v>
      </c>
      <c r="C7787" s="15" t="s">
        <v>43</v>
      </c>
      <c r="D7787" s="16">
        <v>40</v>
      </c>
      <c r="E7787" s="17">
        <v>144.28</v>
      </c>
      <c r="F7787" s="16">
        <v>0.01</v>
      </c>
      <c r="G7787" s="15" t="s">
        <v>101</v>
      </c>
      <c r="H7787" s="18">
        <v>52.94</v>
      </c>
      <c r="I7787" s="19">
        <v>3.08</v>
      </c>
      <c r="J7787" s="19">
        <v>0.99</v>
      </c>
      <c r="K7787" s="19" t="s">
        <v>124</v>
      </c>
      <c r="L7787" s="19" t="s">
        <v>493</v>
      </c>
      <c r="M7787" s="15" t="s">
        <v>2334</v>
      </c>
      <c r="N7787" s="15" t="s">
        <v>36</v>
      </c>
      <c r="O7787" s="15" t="s">
        <v>114</v>
      </c>
      <c r="P7787" s="20" t="s">
        <v>819</v>
      </c>
      <c r="Q7787" s="15" t="s">
        <v>83</v>
      </c>
      <c r="R7787" s="4"/>
      <c r="S7787" s="4"/>
    </row>
    <row r="7788" spans="1:19" ht="21" customHeight="1" x14ac:dyDescent="0.25">
      <c r="A7788" s="14">
        <f>DATE(2012,12,31)-1063</f>
        <v>40211</v>
      </c>
      <c r="B7788" s="15" t="s">
        <v>710</v>
      </c>
      <c r="C7788" s="15" t="s">
        <v>43</v>
      </c>
      <c r="D7788" s="16">
        <v>19</v>
      </c>
      <c r="E7788" s="17">
        <v>126.53</v>
      </c>
      <c r="F7788" s="16">
        <v>0.03</v>
      </c>
      <c r="G7788" s="15" t="s">
        <v>32</v>
      </c>
      <c r="H7788" s="18">
        <v>-73.38</v>
      </c>
      <c r="I7788" s="19">
        <v>5.98</v>
      </c>
      <c r="J7788" s="19">
        <v>7.5</v>
      </c>
      <c r="K7788" s="19" t="s">
        <v>124</v>
      </c>
      <c r="L7788" s="19" t="s">
        <v>493</v>
      </c>
      <c r="M7788" s="15" t="s">
        <v>2334</v>
      </c>
      <c r="N7788" s="15" t="s">
        <v>36</v>
      </c>
      <c r="O7788" s="15" t="s">
        <v>117</v>
      </c>
      <c r="P7788" s="20" t="s">
        <v>358</v>
      </c>
      <c r="Q7788" s="15" t="s">
        <v>83</v>
      </c>
      <c r="R7788" s="4"/>
      <c r="S7788" s="4"/>
    </row>
    <row r="7789" spans="1:19" ht="21" customHeight="1" x14ac:dyDescent="0.25">
      <c r="A7789" s="14">
        <f>DATE(2012,12,31)-1131</f>
        <v>40143</v>
      </c>
      <c r="B7789" s="15" t="s">
        <v>696</v>
      </c>
      <c r="C7789" s="15" t="s">
        <v>85</v>
      </c>
      <c r="D7789" s="16">
        <v>49</v>
      </c>
      <c r="E7789" s="17">
        <v>276.3</v>
      </c>
      <c r="F7789" s="16">
        <v>0.02</v>
      </c>
      <c r="G7789" s="15" t="s">
        <v>32</v>
      </c>
      <c r="H7789" s="18">
        <v>14.841000000000001</v>
      </c>
      <c r="I7789" s="19">
        <v>5.58</v>
      </c>
      <c r="J7789" s="19">
        <v>2.99</v>
      </c>
      <c r="K7789" s="19" t="s">
        <v>124</v>
      </c>
      <c r="L7789" s="19" t="s">
        <v>125</v>
      </c>
      <c r="M7789" s="15" t="s">
        <v>2358</v>
      </c>
      <c r="N7789" s="15" t="s">
        <v>36</v>
      </c>
      <c r="O7789" s="15" t="s">
        <v>170</v>
      </c>
      <c r="P7789" s="20" t="s">
        <v>1138</v>
      </c>
      <c r="Q7789" s="15" t="s">
        <v>83</v>
      </c>
      <c r="R7789" s="4"/>
      <c r="S7789" s="4"/>
    </row>
    <row r="7790" spans="1:19" ht="21" customHeight="1" x14ac:dyDescent="0.25">
      <c r="A7790" s="14">
        <f>DATE(2012,12,31)-1131</f>
        <v>40143</v>
      </c>
      <c r="B7790" s="15" t="s">
        <v>606</v>
      </c>
      <c r="C7790" s="15" t="s">
        <v>85</v>
      </c>
      <c r="D7790" s="16">
        <v>15</v>
      </c>
      <c r="E7790" s="17">
        <v>120.52</v>
      </c>
      <c r="F7790" s="16">
        <v>0.06</v>
      </c>
      <c r="G7790" s="15" t="s">
        <v>32</v>
      </c>
      <c r="H7790" s="18">
        <v>43.92</v>
      </c>
      <c r="I7790" s="19">
        <v>7.98</v>
      </c>
      <c r="J7790" s="19">
        <v>1.25</v>
      </c>
      <c r="K7790" s="19" t="s">
        <v>124</v>
      </c>
      <c r="L7790" s="19" t="s">
        <v>164</v>
      </c>
      <c r="M7790" s="15" t="s">
        <v>2360</v>
      </c>
      <c r="N7790" s="15" t="s">
        <v>36</v>
      </c>
      <c r="O7790" s="15" t="s">
        <v>117</v>
      </c>
      <c r="P7790" s="20" t="s">
        <v>1811</v>
      </c>
      <c r="Q7790" s="15" t="s">
        <v>79</v>
      </c>
      <c r="R7790" s="4"/>
      <c r="S7790" s="4"/>
    </row>
    <row r="7791" spans="1:19" ht="21" customHeight="1" x14ac:dyDescent="0.25">
      <c r="A7791" s="14">
        <f>DATE(2012,12,31)-1131</f>
        <v>40143</v>
      </c>
      <c r="B7791" s="15" t="s">
        <v>1219</v>
      </c>
      <c r="C7791" s="15" t="s">
        <v>85</v>
      </c>
      <c r="D7791" s="16">
        <v>42</v>
      </c>
      <c r="E7791" s="17">
        <v>2269.0100000000002</v>
      </c>
      <c r="F7791" s="16">
        <v>0.02</v>
      </c>
      <c r="G7791" s="15" t="s">
        <v>32</v>
      </c>
      <c r="H7791" s="18">
        <v>-19.37</v>
      </c>
      <c r="I7791" s="19">
        <v>54.1</v>
      </c>
      <c r="J7791" s="19">
        <v>19.989999999999998</v>
      </c>
      <c r="K7791" s="19" t="s">
        <v>124</v>
      </c>
      <c r="L7791" s="19" t="s">
        <v>164</v>
      </c>
      <c r="M7791" s="15" t="s">
        <v>2360</v>
      </c>
      <c r="N7791" s="15" t="s">
        <v>36</v>
      </c>
      <c r="O7791" s="15" t="s">
        <v>37</v>
      </c>
      <c r="P7791" s="20" t="s">
        <v>1085</v>
      </c>
      <c r="Q7791" s="15" t="s">
        <v>83</v>
      </c>
      <c r="R7791" s="4"/>
      <c r="S7791" s="4"/>
    </row>
    <row r="7792" spans="1:19" ht="21" customHeight="1" x14ac:dyDescent="0.25">
      <c r="A7792" s="14">
        <f>DATE(2012,12,31)-1318</f>
        <v>39956</v>
      </c>
      <c r="B7792" s="15" t="s">
        <v>500</v>
      </c>
      <c r="C7792" s="15" t="s">
        <v>51</v>
      </c>
      <c r="D7792" s="16">
        <v>44</v>
      </c>
      <c r="E7792" s="17">
        <v>1844.97</v>
      </c>
      <c r="F7792" s="16">
        <v>0.03</v>
      </c>
      <c r="G7792" s="15" t="s">
        <v>32</v>
      </c>
      <c r="H7792" s="18">
        <v>807.38100000000009</v>
      </c>
      <c r="I7792" s="19">
        <v>42.8</v>
      </c>
      <c r="J7792" s="19">
        <v>2.99</v>
      </c>
      <c r="K7792" s="19" t="s">
        <v>44</v>
      </c>
      <c r="L7792" s="19" t="s">
        <v>52</v>
      </c>
      <c r="M7792" s="15" t="s">
        <v>2351</v>
      </c>
      <c r="N7792" s="15" t="s">
        <v>36</v>
      </c>
      <c r="O7792" s="15" t="s">
        <v>170</v>
      </c>
      <c r="P7792" s="20" t="s">
        <v>577</v>
      </c>
      <c r="Q7792" s="15" t="s">
        <v>83</v>
      </c>
      <c r="R7792" s="4"/>
      <c r="S7792" s="4"/>
    </row>
    <row r="7793" spans="1:19" ht="21" customHeight="1" x14ac:dyDescent="0.25">
      <c r="A7793" s="14">
        <f>DATE(2012,12,31)-1322</f>
        <v>39952</v>
      </c>
      <c r="B7793" s="15" t="s">
        <v>500</v>
      </c>
      <c r="C7793" s="15" t="s">
        <v>31</v>
      </c>
      <c r="D7793" s="16">
        <v>2</v>
      </c>
      <c r="E7793" s="17">
        <v>32.6</v>
      </c>
      <c r="F7793" s="16">
        <v>0.03</v>
      </c>
      <c r="G7793" s="15" t="s">
        <v>32</v>
      </c>
      <c r="H7793" s="18">
        <v>-20.57</v>
      </c>
      <c r="I7793" s="19">
        <v>13.43</v>
      </c>
      <c r="J7793" s="19">
        <v>5.5</v>
      </c>
      <c r="K7793" s="19" t="s">
        <v>44</v>
      </c>
      <c r="L7793" s="19" t="s">
        <v>236</v>
      </c>
      <c r="M7793" s="15" t="s">
        <v>2361</v>
      </c>
      <c r="N7793" s="15" t="s">
        <v>36</v>
      </c>
      <c r="O7793" s="15" t="s">
        <v>37</v>
      </c>
      <c r="P7793" s="20" t="s">
        <v>1557</v>
      </c>
      <c r="Q7793" s="15" t="s">
        <v>83</v>
      </c>
      <c r="R7793" s="4"/>
      <c r="S7793" s="4"/>
    </row>
    <row r="7794" spans="1:19" ht="21" customHeight="1" x14ac:dyDescent="0.25">
      <c r="A7794" s="14">
        <f>DATE(2012,12,31)-1322</f>
        <v>39952</v>
      </c>
      <c r="B7794" s="15" t="s">
        <v>1632</v>
      </c>
      <c r="C7794" s="15" t="s">
        <v>31</v>
      </c>
      <c r="D7794" s="16">
        <v>3</v>
      </c>
      <c r="E7794" s="17">
        <v>526.76</v>
      </c>
      <c r="F7794" s="16">
        <v>7.0000000000000007E-2</v>
      </c>
      <c r="G7794" s="15" t="s">
        <v>32</v>
      </c>
      <c r="H7794" s="18">
        <v>-93.828500000000005</v>
      </c>
      <c r="I7794" s="19">
        <v>172.99</v>
      </c>
      <c r="J7794" s="19">
        <v>19.989999999999998</v>
      </c>
      <c r="K7794" s="19" t="s">
        <v>44</v>
      </c>
      <c r="L7794" s="19" t="s">
        <v>52</v>
      </c>
      <c r="M7794" s="15" t="s">
        <v>2351</v>
      </c>
      <c r="N7794" s="15" t="s">
        <v>36</v>
      </c>
      <c r="O7794" s="15" t="s">
        <v>170</v>
      </c>
      <c r="P7794" s="20" t="s">
        <v>581</v>
      </c>
      <c r="Q7794" s="15" t="s">
        <v>83</v>
      </c>
      <c r="R7794" s="4"/>
      <c r="S7794" s="4"/>
    </row>
    <row r="7795" spans="1:19" ht="21" customHeight="1" x14ac:dyDescent="0.25">
      <c r="A7795" s="14">
        <f>DATE(2012,12,31)-1435</f>
        <v>39839</v>
      </c>
      <c r="B7795" s="15" t="s">
        <v>2136</v>
      </c>
      <c r="C7795" s="15" t="s">
        <v>85</v>
      </c>
      <c r="D7795" s="16">
        <v>10</v>
      </c>
      <c r="E7795" s="17">
        <v>392.77</v>
      </c>
      <c r="F7795" s="16">
        <v>0.09</v>
      </c>
      <c r="G7795" s="15" t="s">
        <v>32</v>
      </c>
      <c r="H7795" s="18">
        <v>-146.19999999999999</v>
      </c>
      <c r="I7795" s="19">
        <v>39.979999999999997</v>
      </c>
      <c r="J7795" s="19">
        <v>7.12</v>
      </c>
      <c r="K7795" s="19" t="s">
        <v>44</v>
      </c>
      <c r="L7795" s="19" t="s">
        <v>236</v>
      </c>
      <c r="M7795" s="15" t="s">
        <v>2361</v>
      </c>
      <c r="N7795" s="15" t="s">
        <v>64</v>
      </c>
      <c r="O7795" s="15" t="s">
        <v>72</v>
      </c>
      <c r="P7795" s="20" t="s">
        <v>425</v>
      </c>
      <c r="Q7795" s="15" t="s">
        <v>83</v>
      </c>
      <c r="R7795" s="4"/>
      <c r="S7795" s="4"/>
    </row>
    <row r="7796" spans="1:19" ht="21" customHeight="1" x14ac:dyDescent="0.25">
      <c r="A7796" s="14">
        <f>DATE(2012,12,31)-1435</f>
        <v>39839</v>
      </c>
      <c r="B7796" s="15" t="s">
        <v>2298</v>
      </c>
      <c r="C7796" s="15" t="s">
        <v>85</v>
      </c>
      <c r="D7796" s="16">
        <v>24</v>
      </c>
      <c r="E7796" s="17">
        <v>7332.0880000000006</v>
      </c>
      <c r="F7796" s="16">
        <v>0.06</v>
      </c>
      <c r="G7796" s="15" t="s">
        <v>58</v>
      </c>
      <c r="H7796" s="18">
        <v>53.79</v>
      </c>
      <c r="I7796" s="19">
        <v>376.13</v>
      </c>
      <c r="J7796" s="19">
        <v>85.63</v>
      </c>
      <c r="K7796" s="19" t="s">
        <v>69</v>
      </c>
      <c r="L7796" s="19" t="s">
        <v>70</v>
      </c>
      <c r="M7796" s="15" t="s">
        <v>2357</v>
      </c>
      <c r="N7796" s="15" t="s">
        <v>54</v>
      </c>
      <c r="O7796" s="15" t="s">
        <v>61</v>
      </c>
      <c r="P7796" s="20" t="s">
        <v>299</v>
      </c>
      <c r="Q7796" s="15" t="s">
        <v>63</v>
      </c>
      <c r="R7796" s="4"/>
      <c r="S7796" s="4"/>
    </row>
    <row r="7797" spans="1:19" ht="21" customHeight="1" x14ac:dyDescent="0.25">
      <c r="A7797" s="14">
        <f>DATE(2012,12,31)-182</f>
        <v>41092</v>
      </c>
      <c r="B7797" s="15" t="s">
        <v>820</v>
      </c>
      <c r="C7797" s="15" t="s">
        <v>43</v>
      </c>
      <c r="D7797" s="16">
        <v>42</v>
      </c>
      <c r="E7797" s="17">
        <v>802.46</v>
      </c>
      <c r="F7797" s="16">
        <v>0.08</v>
      </c>
      <c r="G7797" s="15" t="s">
        <v>101</v>
      </c>
      <c r="H7797" s="18">
        <v>192.88</v>
      </c>
      <c r="I7797" s="19">
        <v>19.98</v>
      </c>
      <c r="J7797" s="19">
        <v>5.97</v>
      </c>
      <c r="K7797" s="19" t="s">
        <v>69</v>
      </c>
      <c r="L7797" s="19" t="s">
        <v>70</v>
      </c>
      <c r="M7797" s="15" t="s">
        <v>2357</v>
      </c>
      <c r="N7797" s="15" t="s">
        <v>36</v>
      </c>
      <c r="O7797" s="15" t="s">
        <v>117</v>
      </c>
      <c r="P7797" s="20" t="s">
        <v>2002</v>
      </c>
      <c r="Q7797" s="15" t="s">
        <v>83</v>
      </c>
      <c r="R7797" s="4"/>
      <c r="S7797" s="4"/>
    </row>
    <row r="7798" spans="1:19" ht="21" customHeight="1" x14ac:dyDescent="0.25">
      <c r="A7798" s="14">
        <f>DATE(2012,12,31)-182</f>
        <v>41092</v>
      </c>
      <c r="B7798" s="15" t="s">
        <v>820</v>
      </c>
      <c r="C7798" s="15" t="s">
        <v>43</v>
      </c>
      <c r="D7798" s="16">
        <v>18</v>
      </c>
      <c r="E7798" s="17">
        <v>1769.9</v>
      </c>
      <c r="F7798" s="16">
        <v>0.05</v>
      </c>
      <c r="G7798" s="15" t="s">
        <v>101</v>
      </c>
      <c r="H7798" s="18">
        <v>-468.89</v>
      </c>
      <c r="I7798" s="19">
        <v>95.99</v>
      </c>
      <c r="J7798" s="19">
        <v>35</v>
      </c>
      <c r="K7798" s="19" t="s">
        <v>44</v>
      </c>
      <c r="L7798" s="19" t="s">
        <v>89</v>
      </c>
      <c r="M7798" s="15" t="s">
        <v>2337</v>
      </c>
      <c r="N7798" s="15" t="s">
        <v>36</v>
      </c>
      <c r="O7798" s="15" t="s">
        <v>37</v>
      </c>
      <c r="P7798" s="20" t="s">
        <v>689</v>
      </c>
      <c r="Q7798" s="15" t="s">
        <v>39</v>
      </c>
      <c r="R7798" s="4"/>
      <c r="S7798" s="4"/>
    </row>
    <row r="7799" spans="1:19" ht="21" customHeight="1" x14ac:dyDescent="0.25">
      <c r="A7799" s="14">
        <f>DATE(2012,12,31)-1342</f>
        <v>39932</v>
      </c>
      <c r="B7799" s="15" t="s">
        <v>1713</v>
      </c>
      <c r="C7799" s="15" t="s">
        <v>43</v>
      </c>
      <c r="D7799" s="16">
        <v>29</v>
      </c>
      <c r="E7799" s="17">
        <v>2925.78</v>
      </c>
      <c r="F7799" s="16">
        <v>0.03</v>
      </c>
      <c r="G7799" s="15" t="s">
        <v>32</v>
      </c>
      <c r="H7799" s="18">
        <v>1041.29</v>
      </c>
      <c r="I7799" s="19">
        <v>100.98</v>
      </c>
      <c r="J7799" s="19">
        <v>7.18</v>
      </c>
      <c r="K7799" s="19" t="s">
        <v>33</v>
      </c>
      <c r="L7799" s="19" t="s">
        <v>93</v>
      </c>
      <c r="M7799" s="15" t="s">
        <v>94</v>
      </c>
      <c r="N7799" s="15" t="s">
        <v>64</v>
      </c>
      <c r="O7799" s="15" t="s">
        <v>72</v>
      </c>
      <c r="P7799" s="20" t="s">
        <v>726</v>
      </c>
      <c r="Q7799" s="15" t="s">
        <v>83</v>
      </c>
      <c r="R7799" s="4"/>
      <c r="S7799" s="4"/>
    </row>
    <row r="7800" spans="1:19" ht="21" customHeight="1" x14ac:dyDescent="0.25">
      <c r="A7800" s="14">
        <f>DATE(2012,12,31)-92</f>
        <v>41182</v>
      </c>
      <c r="B7800" s="15" t="s">
        <v>394</v>
      </c>
      <c r="C7800" s="15" t="s">
        <v>31</v>
      </c>
      <c r="D7800" s="16">
        <v>40</v>
      </c>
      <c r="E7800" s="17">
        <v>73.62</v>
      </c>
      <c r="F7800" s="16">
        <v>0.05</v>
      </c>
      <c r="G7800" s="15" t="s">
        <v>32</v>
      </c>
      <c r="H7800" s="18">
        <v>0.86</v>
      </c>
      <c r="I7800" s="19">
        <v>1.82</v>
      </c>
      <c r="J7800" s="19">
        <v>1</v>
      </c>
      <c r="K7800" s="19" t="s">
        <v>97</v>
      </c>
      <c r="L7800" s="19" t="s">
        <v>98</v>
      </c>
      <c r="M7800" s="15" t="s">
        <v>2363</v>
      </c>
      <c r="N7800" s="15" t="s">
        <v>36</v>
      </c>
      <c r="O7800" s="15" t="s">
        <v>77</v>
      </c>
      <c r="P7800" s="20" t="s">
        <v>819</v>
      </c>
      <c r="Q7800" s="15" t="s">
        <v>79</v>
      </c>
      <c r="R7800" s="4"/>
      <c r="S7800" s="4"/>
    </row>
    <row r="7801" spans="1:19" ht="21" customHeight="1" x14ac:dyDescent="0.25">
      <c r="A7801" s="14">
        <f>DATE(2012,12,31)-819</f>
        <v>40455</v>
      </c>
      <c r="B7801" s="15" t="s">
        <v>394</v>
      </c>
      <c r="C7801" s="15" t="s">
        <v>85</v>
      </c>
      <c r="D7801" s="16">
        <v>37</v>
      </c>
      <c r="E7801" s="17">
        <v>2329.4</v>
      </c>
      <c r="F7801" s="16">
        <v>0.08</v>
      </c>
      <c r="G7801" s="15" t="s">
        <v>32</v>
      </c>
      <c r="H7801" s="18">
        <v>189.77</v>
      </c>
      <c r="I7801" s="19">
        <v>64.98</v>
      </c>
      <c r="J7801" s="19">
        <v>6.88</v>
      </c>
      <c r="K7801" s="19" t="s">
        <v>124</v>
      </c>
      <c r="L7801" s="19" t="s">
        <v>493</v>
      </c>
      <c r="M7801" s="15" t="s">
        <v>2334</v>
      </c>
      <c r="N7801" s="15" t="s">
        <v>36</v>
      </c>
      <c r="O7801" s="15" t="s">
        <v>37</v>
      </c>
      <c r="P7801" s="20" t="s">
        <v>654</v>
      </c>
      <c r="Q7801" s="15" t="s">
        <v>83</v>
      </c>
      <c r="R7801" s="4"/>
      <c r="S7801" s="4"/>
    </row>
    <row r="7802" spans="1:19" ht="21" customHeight="1" x14ac:dyDescent="0.25">
      <c r="A7802" s="14">
        <f>DATE(2012,12,31)-994</f>
        <v>40280</v>
      </c>
      <c r="B7802" s="15" t="s">
        <v>1310</v>
      </c>
      <c r="C7802" s="15" t="s">
        <v>31</v>
      </c>
      <c r="D7802" s="16">
        <v>17</v>
      </c>
      <c r="E7802" s="17">
        <v>118.36</v>
      </c>
      <c r="F7802" s="16">
        <v>0.08</v>
      </c>
      <c r="G7802" s="15" t="s">
        <v>101</v>
      </c>
      <c r="H7802" s="18">
        <v>-60.65</v>
      </c>
      <c r="I7802" s="19">
        <v>6.48</v>
      </c>
      <c r="J7802" s="19">
        <v>7.37</v>
      </c>
      <c r="K7802" s="19" t="s">
        <v>124</v>
      </c>
      <c r="L7802" s="19" t="s">
        <v>158</v>
      </c>
      <c r="M7802" s="15" t="s">
        <v>158</v>
      </c>
      <c r="N7802" s="15" t="s">
        <v>36</v>
      </c>
      <c r="O7802" s="15" t="s">
        <v>117</v>
      </c>
      <c r="P7802" s="20" t="s">
        <v>2226</v>
      </c>
      <c r="Q7802" s="15" t="s">
        <v>83</v>
      </c>
      <c r="R7802" s="4"/>
      <c r="S7802" s="4"/>
    </row>
    <row r="7803" spans="1:19" ht="21" customHeight="1" x14ac:dyDescent="0.25">
      <c r="A7803" s="14">
        <f>DATE(2012,12,31)-1276</f>
        <v>39998</v>
      </c>
      <c r="B7803" s="15" t="s">
        <v>1515</v>
      </c>
      <c r="C7803" s="15" t="s">
        <v>31</v>
      </c>
      <c r="D7803" s="16">
        <v>21</v>
      </c>
      <c r="E7803" s="17">
        <v>514.53</v>
      </c>
      <c r="F7803" s="16">
        <v>0.04</v>
      </c>
      <c r="G7803" s="15" t="s">
        <v>32</v>
      </c>
      <c r="H7803" s="18">
        <v>149.31</v>
      </c>
      <c r="I7803" s="19">
        <v>23.99</v>
      </c>
      <c r="J7803" s="19">
        <v>6.71</v>
      </c>
      <c r="K7803" s="19" t="s">
        <v>44</v>
      </c>
      <c r="L7803" s="19" t="s">
        <v>52</v>
      </c>
      <c r="M7803" s="15" t="s">
        <v>2351</v>
      </c>
      <c r="N7803" s="15" t="s">
        <v>36</v>
      </c>
      <c r="O7803" s="15" t="s">
        <v>189</v>
      </c>
      <c r="P7803" s="20" t="s">
        <v>1158</v>
      </c>
      <c r="Q7803" s="15" t="s">
        <v>83</v>
      </c>
      <c r="R7803" s="4"/>
      <c r="S7803" s="4"/>
    </row>
    <row r="7804" spans="1:19" ht="21" customHeight="1" x14ac:dyDescent="0.25">
      <c r="A7804" s="14">
        <f>DATE(2012,12,31)-1276</f>
        <v>39998</v>
      </c>
      <c r="B7804" s="15" t="s">
        <v>1362</v>
      </c>
      <c r="C7804" s="15" t="s">
        <v>31</v>
      </c>
      <c r="D7804" s="16">
        <v>14</v>
      </c>
      <c r="E7804" s="17">
        <v>748.84</v>
      </c>
      <c r="F7804" s="16">
        <v>0.09</v>
      </c>
      <c r="G7804" s="15" t="s">
        <v>32</v>
      </c>
      <c r="H7804" s="18">
        <v>286.7</v>
      </c>
      <c r="I7804" s="19">
        <v>55.98</v>
      </c>
      <c r="J7804" s="19">
        <v>4.8600000000000003</v>
      </c>
      <c r="K7804" s="19" t="s">
        <v>44</v>
      </c>
      <c r="L7804" s="19" t="s">
        <v>52</v>
      </c>
      <c r="M7804" s="15" t="s">
        <v>2351</v>
      </c>
      <c r="N7804" s="15" t="s">
        <v>36</v>
      </c>
      <c r="O7804" s="15" t="s">
        <v>117</v>
      </c>
      <c r="P7804" s="20" t="s">
        <v>430</v>
      </c>
      <c r="Q7804" s="15" t="s">
        <v>83</v>
      </c>
      <c r="R7804" s="4"/>
      <c r="S7804" s="4"/>
    </row>
    <row r="7805" spans="1:19" ht="21" customHeight="1" x14ac:dyDescent="0.25">
      <c r="A7805" s="14">
        <f>DATE(2012,12,31)-1276</f>
        <v>39998</v>
      </c>
      <c r="B7805" s="15" t="s">
        <v>367</v>
      </c>
      <c r="C7805" s="15" t="s">
        <v>31</v>
      </c>
      <c r="D7805" s="16">
        <v>9</v>
      </c>
      <c r="E7805" s="17">
        <v>1497.93</v>
      </c>
      <c r="F7805" s="16">
        <v>0.05</v>
      </c>
      <c r="G7805" s="15" t="s">
        <v>32</v>
      </c>
      <c r="H7805" s="18">
        <v>35.31</v>
      </c>
      <c r="I7805" s="19">
        <v>161.55000000000001</v>
      </c>
      <c r="J7805" s="19">
        <v>19.989999999999998</v>
      </c>
      <c r="K7805" s="19" t="s">
        <v>33</v>
      </c>
      <c r="L7805" s="19" t="s">
        <v>145</v>
      </c>
      <c r="M7805" s="15" t="s">
        <v>146</v>
      </c>
      <c r="N7805" s="15" t="s">
        <v>36</v>
      </c>
      <c r="O7805" s="15" t="s">
        <v>37</v>
      </c>
      <c r="P7805" s="20" t="s">
        <v>234</v>
      </c>
      <c r="Q7805" s="15" t="s">
        <v>83</v>
      </c>
      <c r="R7805" s="4"/>
      <c r="S7805" s="4"/>
    </row>
    <row r="7806" spans="1:19" ht="21" customHeight="1" x14ac:dyDescent="0.25">
      <c r="A7806" s="14">
        <f>DATE(2012,12,31)-1276</f>
        <v>39998</v>
      </c>
      <c r="B7806" s="15" t="s">
        <v>1026</v>
      </c>
      <c r="C7806" s="15" t="s">
        <v>31</v>
      </c>
      <c r="D7806" s="16">
        <v>14</v>
      </c>
      <c r="E7806" s="17">
        <v>3857.56</v>
      </c>
      <c r="F7806" s="16">
        <v>7.0000000000000007E-2</v>
      </c>
      <c r="G7806" s="15" t="s">
        <v>32</v>
      </c>
      <c r="H7806" s="18">
        <v>-377.81100000000004</v>
      </c>
      <c r="I7806" s="19">
        <v>290.98</v>
      </c>
      <c r="J7806" s="19">
        <v>69</v>
      </c>
      <c r="K7806" s="19" t="s">
        <v>33</v>
      </c>
      <c r="L7806" s="19" t="s">
        <v>145</v>
      </c>
      <c r="M7806" s="15" t="s">
        <v>146</v>
      </c>
      <c r="N7806" s="15" t="s">
        <v>54</v>
      </c>
      <c r="O7806" s="15" t="s">
        <v>61</v>
      </c>
      <c r="P7806" s="20" t="s">
        <v>1113</v>
      </c>
      <c r="Q7806" s="15" t="s">
        <v>39</v>
      </c>
      <c r="R7806" s="4"/>
      <c r="S7806" s="4"/>
    </row>
    <row r="7807" spans="1:19" ht="21" customHeight="1" x14ac:dyDescent="0.25">
      <c r="A7807" s="14">
        <f>DATE(2012,12,31)-1000</f>
        <v>40274</v>
      </c>
      <c r="B7807" s="15" t="s">
        <v>1834</v>
      </c>
      <c r="C7807" s="15" t="s">
        <v>85</v>
      </c>
      <c r="D7807" s="16">
        <v>13</v>
      </c>
      <c r="E7807" s="17">
        <v>1835.47</v>
      </c>
      <c r="F7807" s="16">
        <v>0.1</v>
      </c>
      <c r="G7807" s="15" t="s">
        <v>58</v>
      </c>
      <c r="H7807" s="18">
        <v>-364.87336600000009</v>
      </c>
      <c r="I7807" s="19">
        <v>150.97999999999999</v>
      </c>
      <c r="J7807" s="19">
        <v>16.010000000000002</v>
      </c>
      <c r="K7807" s="19" t="s">
        <v>33</v>
      </c>
      <c r="L7807" s="19" t="s">
        <v>145</v>
      </c>
      <c r="M7807" s="15" t="s">
        <v>146</v>
      </c>
      <c r="N7807" s="15" t="s">
        <v>54</v>
      </c>
      <c r="O7807" s="15" t="s">
        <v>61</v>
      </c>
      <c r="P7807" s="20" t="s">
        <v>913</v>
      </c>
      <c r="Q7807" s="15" t="s">
        <v>63</v>
      </c>
      <c r="R7807" s="4"/>
      <c r="S7807" s="4"/>
    </row>
    <row r="7808" spans="1:19" ht="21" customHeight="1" x14ac:dyDescent="0.25">
      <c r="A7808" s="14">
        <f>DATE(2012,12,31)-457</f>
        <v>40817</v>
      </c>
      <c r="B7808" s="15" t="s">
        <v>1002</v>
      </c>
      <c r="C7808" s="15" t="s">
        <v>85</v>
      </c>
      <c r="D7808" s="16">
        <v>16</v>
      </c>
      <c r="E7808" s="17">
        <v>102.99</v>
      </c>
      <c r="F7808" s="16">
        <v>0.1</v>
      </c>
      <c r="G7808" s="15" t="s">
        <v>32</v>
      </c>
      <c r="H7808" s="18">
        <v>-102.17</v>
      </c>
      <c r="I7808" s="19">
        <v>6.48</v>
      </c>
      <c r="J7808" s="19">
        <v>9.68</v>
      </c>
      <c r="K7808" s="19" t="s">
        <v>33</v>
      </c>
      <c r="L7808" s="19" t="s">
        <v>145</v>
      </c>
      <c r="M7808" s="15" t="s">
        <v>146</v>
      </c>
      <c r="N7808" s="15" t="s">
        <v>36</v>
      </c>
      <c r="O7808" s="15" t="s">
        <v>117</v>
      </c>
      <c r="P7808" s="20" t="s">
        <v>517</v>
      </c>
      <c r="Q7808" s="15" t="s">
        <v>83</v>
      </c>
      <c r="R7808" s="4"/>
      <c r="S7808" s="4"/>
    </row>
    <row r="7809" spans="1:19" ht="21" customHeight="1" x14ac:dyDescent="0.25">
      <c r="A7809" s="14">
        <f>DATE(2012,12,31)-457</f>
        <v>40817</v>
      </c>
      <c r="B7809" s="15" t="s">
        <v>1002</v>
      </c>
      <c r="C7809" s="15" t="s">
        <v>85</v>
      </c>
      <c r="D7809" s="16">
        <v>20</v>
      </c>
      <c r="E7809" s="17">
        <v>1429.088</v>
      </c>
      <c r="F7809" s="16">
        <v>0.06</v>
      </c>
      <c r="G7809" s="15" t="s">
        <v>32</v>
      </c>
      <c r="H7809" s="18">
        <v>500.04899999999998</v>
      </c>
      <c r="I7809" s="19">
        <v>85.99</v>
      </c>
      <c r="J7809" s="19">
        <v>1.25</v>
      </c>
      <c r="K7809" s="19" t="s">
        <v>33</v>
      </c>
      <c r="L7809" s="19" t="s">
        <v>59</v>
      </c>
      <c r="M7809" s="15" t="s">
        <v>2344</v>
      </c>
      <c r="N7809" s="15" t="s">
        <v>64</v>
      </c>
      <c r="O7809" s="15" t="s">
        <v>65</v>
      </c>
      <c r="P7809" s="20" t="s">
        <v>262</v>
      </c>
      <c r="Q7809" s="15" t="s">
        <v>49</v>
      </c>
      <c r="R7809" s="4"/>
      <c r="S7809" s="4"/>
    </row>
    <row r="7810" spans="1:19" ht="21" customHeight="1" x14ac:dyDescent="0.25">
      <c r="A7810" s="14">
        <f>DATE(2012,12,31)-378</f>
        <v>40896</v>
      </c>
      <c r="B7810" s="15" t="s">
        <v>2211</v>
      </c>
      <c r="C7810" s="15" t="s">
        <v>43</v>
      </c>
      <c r="D7810" s="16">
        <v>31</v>
      </c>
      <c r="E7810" s="17">
        <v>2893.31</v>
      </c>
      <c r="F7810" s="16">
        <v>0.1</v>
      </c>
      <c r="G7810" s="15" t="s">
        <v>32</v>
      </c>
      <c r="H7810" s="18">
        <v>937.64</v>
      </c>
      <c r="I7810" s="19">
        <v>96.45</v>
      </c>
      <c r="J7810" s="19">
        <v>13.99</v>
      </c>
      <c r="K7810" s="19" t="s">
        <v>33</v>
      </c>
      <c r="L7810" s="19" t="s">
        <v>59</v>
      </c>
      <c r="M7810" s="15" t="s">
        <v>2344</v>
      </c>
      <c r="N7810" s="15" t="s">
        <v>64</v>
      </c>
      <c r="O7810" s="15" t="s">
        <v>122</v>
      </c>
      <c r="P7810" s="20" t="s">
        <v>1405</v>
      </c>
      <c r="Q7810" s="15" t="s">
        <v>57</v>
      </c>
      <c r="R7810" s="4"/>
      <c r="S7810" s="4"/>
    </row>
    <row r="7811" spans="1:19" ht="21" customHeight="1" x14ac:dyDescent="0.25">
      <c r="A7811" s="14">
        <f>DATE(2012,12,31)-378</f>
        <v>40896</v>
      </c>
      <c r="B7811" s="15" t="s">
        <v>1599</v>
      </c>
      <c r="C7811" s="15" t="s">
        <v>43</v>
      </c>
      <c r="D7811" s="16">
        <v>25</v>
      </c>
      <c r="E7811" s="17">
        <v>3923.27</v>
      </c>
      <c r="F7811" s="16">
        <v>0.03</v>
      </c>
      <c r="G7811" s="15" t="s">
        <v>58</v>
      </c>
      <c r="H7811" s="18">
        <v>-85.86</v>
      </c>
      <c r="I7811" s="19">
        <v>159.31</v>
      </c>
      <c r="J7811" s="19">
        <v>60</v>
      </c>
      <c r="K7811" s="19" t="s">
        <v>33</v>
      </c>
      <c r="L7811" s="19" t="s">
        <v>59</v>
      </c>
      <c r="M7811" s="15" t="s">
        <v>2344</v>
      </c>
      <c r="N7811" s="15" t="s">
        <v>54</v>
      </c>
      <c r="O7811" s="15" t="s">
        <v>61</v>
      </c>
      <c r="P7811" s="20" t="s">
        <v>913</v>
      </c>
      <c r="Q7811" s="15" t="s">
        <v>181</v>
      </c>
      <c r="R7811" s="4"/>
      <c r="S7811" s="4"/>
    </row>
    <row r="7812" spans="1:19" ht="21" customHeight="1" x14ac:dyDescent="0.25">
      <c r="A7812" s="14">
        <f>DATE(2012,12,31)-402</f>
        <v>40872</v>
      </c>
      <c r="B7812" s="15" t="s">
        <v>1599</v>
      </c>
      <c r="C7812" s="15" t="s">
        <v>31</v>
      </c>
      <c r="D7812" s="16">
        <v>23</v>
      </c>
      <c r="E7812" s="17">
        <v>156.66</v>
      </c>
      <c r="F7812" s="16">
        <v>7.0000000000000007E-2</v>
      </c>
      <c r="G7812" s="15" t="s">
        <v>32</v>
      </c>
      <c r="H7812" s="18">
        <v>-33.15</v>
      </c>
      <c r="I7812" s="19">
        <v>6.68</v>
      </c>
      <c r="J7812" s="19">
        <v>5.2</v>
      </c>
      <c r="K7812" s="19" t="s">
        <v>33</v>
      </c>
      <c r="L7812" s="19" t="s">
        <v>34</v>
      </c>
      <c r="M7812" s="15" t="s">
        <v>2353</v>
      </c>
      <c r="N7812" s="15" t="s">
        <v>36</v>
      </c>
      <c r="O7812" s="15" t="s">
        <v>117</v>
      </c>
      <c r="P7812" s="20" t="s">
        <v>139</v>
      </c>
      <c r="Q7812" s="15" t="s">
        <v>83</v>
      </c>
      <c r="R7812" s="4"/>
      <c r="S7812" s="4"/>
    </row>
    <row r="7813" spans="1:19" ht="21" customHeight="1" x14ac:dyDescent="0.25">
      <c r="A7813" s="14">
        <f>DATE(2012,12,31)-1159</f>
        <v>40115</v>
      </c>
      <c r="B7813" s="15" t="s">
        <v>1599</v>
      </c>
      <c r="C7813" s="15" t="s">
        <v>85</v>
      </c>
      <c r="D7813" s="16">
        <v>41</v>
      </c>
      <c r="E7813" s="17">
        <v>1169.26</v>
      </c>
      <c r="F7813" s="16">
        <v>0.02</v>
      </c>
      <c r="G7813" s="15" t="s">
        <v>32</v>
      </c>
      <c r="H7813" s="18">
        <v>515.61850000000004</v>
      </c>
      <c r="I7813" s="19">
        <v>28.53</v>
      </c>
      <c r="J7813" s="19">
        <v>1.49</v>
      </c>
      <c r="K7813" s="19" t="s">
        <v>33</v>
      </c>
      <c r="L7813" s="19" t="s">
        <v>145</v>
      </c>
      <c r="M7813" s="15" t="s">
        <v>146</v>
      </c>
      <c r="N7813" s="15" t="s">
        <v>36</v>
      </c>
      <c r="O7813" s="15" t="s">
        <v>170</v>
      </c>
      <c r="P7813" s="20" t="s">
        <v>202</v>
      </c>
      <c r="Q7813" s="15" t="s">
        <v>83</v>
      </c>
      <c r="R7813" s="4"/>
      <c r="S7813" s="4"/>
    </row>
    <row r="7814" spans="1:19" ht="21" customHeight="1" x14ac:dyDescent="0.25">
      <c r="A7814" s="14">
        <f>DATE(2012,12,31)-78</f>
        <v>41196</v>
      </c>
      <c r="B7814" s="15" t="s">
        <v>775</v>
      </c>
      <c r="C7814" s="15" t="s">
        <v>31</v>
      </c>
      <c r="D7814" s="16">
        <v>10</v>
      </c>
      <c r="E7814" s="17">
        <v>55.66</v>
      </c>
      <c r="F7814" s="16">
        <v>0.09</v>
      </c>
      <c r="G7814" s="15" t="s">
        <v>32</v>
      </c>
      <c r="H7814" s="18">
        <v>8.82</v>
      </c>
      <c r="I7814" s="19">
        <v>5.68</v>
      </c>
      <c r="J7814" s="19">
        <v>1.39</v>
      </c>
      <c r="K7814" s="19" t="s">
        <v>33</v>
      </c>
      <c r="L7814" s="19" t="s">
        <v>145</v>
      </c>
      <c r="M7814" s="15" t="s">
        <v>146</v>
      </c>
      <c r="N7814" s="15" t="s">
        <v>36</v>
      </c>
      <c r="O7814" s="15" t="s">
        <v>189</v>
      </c>
      <c r="P7814" s="20" t="s">
        <v>951</v>
      </c>
      <c r="Q7814" s="15" t="s">
        <v>83</v>
      </c>
      <c r="R7814" s="4"/>
      <c r="S7814" s="4"/>
    </row>
    <row r="7815" spans="1:19" ht="21" customHeight="1" x14ac:dyDescent="0.25">
      <c r="A7815" s="14">
        <f>DATE(2012,12,31)-818</f>
        <v>40456</v>
      </c>
      <c r="B7815" s="15" t="s">
        <v>775</v>
      </c>
      <c r="C7815" s="15" t="s">
        <v>31</v>
      </c>
      <c r="D7815" s="16">
        <v>6</v>
      </c>
      <c r="E7815" s="17">
        <v>96.03</v>
      </c>
      <c r="F7815" s="16">
        <v>0.1</v>
      </c>
      <c r="G7815" s="15" t="s">
        <v>32</v>
      </c>
      <c r="H7815" s="18">
        <v>-59.39</v>
      </c>
      <c r="I7815" s="19">
        <v>15.7</v>
      </c>
      <c r="J7815" s="19">
        <v>11.25</v>
      </c>
      <c r="K7815" s="19" t="s">
        <v>33</v>
      </c>
      <c r="L7815" s="19" t="s">
        <v>145</v>
      </c>
      <c r="M7815" s="15" t="s">
        <v>146</v>
      </c>
      <c r="N7815" s="15" t="s">
        <v>36</v>
      </c>
      <c r="O7815" s="15" t="s">
        <v>37</v>
      </c>
      <c r="P7815" s="20" t="s">
        <v>813</v>
      </c>
      <c r="Q7815" s="15" t="s">
        <v>83</v>
      </c>
      <c r="R7815" s="4"/>
      <c r="S7815" s="4"/>
    </row>
    <row r="7816" spans="1:19" ht="21" customHeight="1" x14ac:dyDescent="0.25">
      <c r="A7816" s="14">
        <f>DATE(2012,12,31)-818</f>
        <v>40456</v>
      </c>
      <c r="B7816" s="15" t="s">
        <v>1824</v>
      </c>
      <c r="C7816" s="15" t="s">
        <v>31</v>
      </c>
      <c r="D7816" s="16">
        <v>11</v>
      </c>
      <c r="E7816" s="17">
        <v>122.35</v>
      </c>
      <c r="F7816" s="16">
        <v>0.02</v>
      </c>
      <c r="G7816" s="15" t="s">
        <v>32</v>
      </c>
      <c r="H7816" s="18">
        <v>-13.55</v>
      </c>
      <c r="I7816" s="19">
        <v>10.98</v>
      </c>
      <c r="J7816" s="19">
        <v>3.99</v>
      </c>
      <c r="K7816" s="19" t="s">
        <v>33</v>
      </c>
      <c r="L7816" s="19" t="s">
        <v>145</v>
      </c>
      <c r="M7816" s="15" t="s">
        <v>146</v>
      </c>
      <c r="N7816" s="15" t="s">
        <v>36</v>
      </c>
      <c r="O7816" s="15" t="s">
        <v>176</v>
      </c>
      <c r="P7816" s="20" t="s">
        <v>1914</v>
      </c>
      <c r="Q7816" s="15" t="s">
        <v>83</v>
      </c>
      <c r="R7816" s="4"/>
      <c r="S7816" s="4"/>
    </row>
    <row r="7817" spans="1:19" ht="21" customHeight="1" x14ac:dyDescent="0.25">
      <c r="A7817" s="14">
        <f>DATE(2012,12,31)-896</f>
        <v>40378</v>
      </c>
      <c r="B7817" s="15" t="s">
        <v>1824</v>
      </c>
      <c r="C7817" s="15" t="s">
        <v>43</v>
      </c>
      <c r="D7817" s="16">
        <v>1</v>
      </c>
      <c r="E7817" s="17">
        <v>21.45</v>
      </c>
      <c r="F7817" s="16">
        <v>0.01</v>
      </c>
      <c r="G7817" s="15" t="s">
        <v>32</v>
      </c>
      <c r="H7817" s="18">
        <v>-7.22</v>
      </c>
      <c r="I7817" s="19">
        <v>14.42</v>
      </c>
      <c r="J7817" s="19">
        <v>6.75</v>
      </c>
      <c r="K7817" s="19" t="s">
        <v>33</v>
      </c>
      <c r="L7817" s="19" t="s">
        <v>145</v>
      </c>
      <c r="M7817" s="15" t="s">
        <v>146</v>
      </c>
      <c r="N7817" s="15" t="s">
        <v>36</v>
      </c>
      <c r="O7817" s="15" t="s">
        <v>176</v>
      </c>
      <c r="P7817" s="20" t="s">
        <v>1801</v>
      </c>
      <c r="Q7817" s="15" t="s">
        <v>57</v>
      </c>
      <c r="R7817" s="4"/>
      <c r="S7817" s="4"/>
    </row>
    <row r="7818" spans="1:19" ht="21" customHeight="1" x14ac:dyDescent="0.25">
      <c r="A7818" s="14">
        <f>DATE(2012,12,31)-896</f>
        <v>40378</v>
      </c>
      <c r="B7818" s="15" t="s">
        <v>1532</v>
      </c>
      <c r="C7818" s="15" t="s">
        <v>43</v>
      </c>
      <c r="D7818" s="16">
        <v>44</v>
      </c>
      <c r="E7818" s="17">
        <v>5347.13</v>
      </c>
      <c r="F7818" s="16">
        <v>0.08</v>
      </c>
      <c r="G7818" s="15" t="s">
        <v>32</v>
      </c>
      <c r="H7818" s="18">
        <v>1886.4134999999999</v>
      </c>
      <c r="I7818" s="19">
        <v>122.99</v>
      </c>
      <c r="J7818" s="19">
        <v>19.989999999999998</v>
      </c>
      <c r="K7818" s="19" t="s">
        <v>33</v>
      </c>
      <c r="L7818" s="19" t="s">
        <v>128</v>
      </c>
      <c r="M7818" s="15" t="s">
        <v>129</v>
      </c>
      <c r="N7818" s="15" t="s">
        <v>36</v>
      </c>
      <c r="O7818" s="15" t="s">
        <v>170</v>
      </c>
      <c r="P7818" s="20" t="s">
        <v>2267</v>
      </c>
      <c r="Q7818" s="15" t="s">
        <v>83</v>
      </c>
      <c r="R7818" s="4"/>
      <c r="S7818" s="4"/>
    </row>
    <row r="7819" spans="1:19" ht="21" customHeight="1" x14ac:dyDescent="0.25">
      <c r="A7819" s="14">
        <f>DATE(2012,12,31)-736</f>
        <v>40538</v>
      </c>
      <c r="B7819" s="15" t="s">
        <v>1532</v>
      </c>
      <c r="C7819" s="15" t="s">
        <v>51</v>
      </c>
      <c r="D7819" s="16">
        <v>24</v>
      </c>
      <c r="E7819" s="17">
        <v>2332.5954999999999</v>
      </c>
      <c r="F7819" s="16">
        <v>7.0000000000000007E-2</v>
      </c>
      <c r="G7819" s="15" t="s">
        <v>32</v>
      </c>
      <c r="H7819" s="18">
        <v>366.858</v>
      </c>
      <c r="I7819" s="19">
        <v>115.99</v>
      </c>
      <c r="J7819" s="19">
        <v>5.92</v>
      </c>
      <c r="K7819" s="19" t="s">
        <v>33</v>
      </c>
      <c r="L7819" s="19" t="s">
        <v>145</v>
      </c>
      <c r="M7819" s="15" t="s">
        <v>146</v>
      </c>
      <c r="N7819" s="15" t="s">
        <v>64</v>
      </c>
      <c r="O7819" s="15" t="s">
        <v>65</v>
      </c>
      <c r="P7819" s="20" t="s">
        <v>2109</v>
      </c>
      <c r="Q7819" s="15" t="s">
        <v>83</v>
      </c>
      <c r="R7819" s="4"/>
      <c r="S7819" s="4"/>
    </row>
    <row r="7820" spans="1:19" ht="21" customHeight="1" x14ac:dyDescent="0.25">
      <c r="A7820" s="14">
        <f>DATE(2012,12,31)-885</f>
        <v>40389</v>
      </c>
      <c r="B7820" s="15" t="s">
        <v>1532</v>
      </c>
      <c r="C7820" s="15" t="s">
        <v>85</v>
      </c>
      <c r="D7820" s="16">
        <v>41</v>
      </c>
      <c r="E7820" s="17">
        <v>902.19</v>
      </c>
      <c r="F7820" s="16">
        <v>0.08</v>
      </c>
      <c r="G7820" s="15" t="s">
        <v>32</v>
      </c>
      <c r="H7820" s="18">
        <v>-49.66</v>
      </c>
      <c r="I7820" s="19">
        <v>22.99</v>
      </c>
      <c r="J7820" s="19">
        <v>8.99</v>
      </c>
      <c r="K7820" s="19" t="s">
        <v>33</v>
      </c>
      <c r="L7820" s="19" t="s">
        <v>128</v>
      </c>
      <c r="M7820" s="15" t="s">
        <v>129</v>
      </c>
      <c r="N7820" s="15" t="s">
        <v>36</v>
      </c>
      <c r="O7820" s="15" t="s">
        <v>77</v>
      </c>
      <c r="P7820" s="20" t="s">
        <v>2037</v>
      </c>
      <c r="Q7820" s="15" t="s">
        <v>49</v>
      </c>
      <c r="R7820" s="4"/>
      <c r="S7820" s="4"/>
    </row>
    <row r="7821" spans="1:19" ht="21" customHeight="1" x14ac:dyDescent="0.25">
      <c r="A7821" s="14">
        <f>DATE(2012,12,31)-885</f>
        <v>40389</v>
      </c>
      <c r="B7821" s="15" t="s">
        <v>529</v>
      </c>
      <c r="C7821" s="15" t="s">
        <v>85</v>
      </c>
      <c r="D7821" s="16">
        <v>19</v>
      </c>
      <c r="E7821" s="17">
        <v>657.23199999999997</v>
      </c>
      <c r="F7821" s="16">
        <v>0.1</v>
      </c>
      <c r="G7821" s="15" t="s">
        <v>58</v>
      </c>
      <c r="H7821" s="18">
        <v>33.988949999999996</v>
      </c>
      <c r="I7821" s="19">
        <v>44.43</v>
      </c>
      <c r="J7821" s="19">
        <v>46.59</v>
      </c>
      <c r="K7821" s="19" t="s">
        <v>33</v>
      </c>
      <c r="L7821" s="19" t="s">
        <v>59</v>
      </c>
      <c r="M7821" s="15" t="s">
        <v>2344</v>
      </c>
      <c r="N7821" s="15" t="s">
        <v>54</v>
      </c>
      <c r="O7821" s="15" t="s">
        <v>61</v>
      </c>
      <c r="P7821" s="20" t="s">
        <v>1391</v>
      </c>
      <c r="Q7821" s="15" t="s">
        <v>63</v>
      </c>
      <c r="R7821" s="4"/>
      <c r="S7821" s="4"/>
    </row>
    <row r="7822" spans="1:19" ht="21" customHeight="1" x14ac:dyDescent="0.25">
      <c r="A7822" s="14">
        <f>DATE(2012,12,31)-398</f>
        <v>40876</v>
      </c>
      <c r="B7822" s="15" t="s">
        <v>157</v>
      </c>
      <c r="C7822" s="15" t="s">
        <v>85</v>
      </c>
      <c r="D7822" s="16">
        <v>13</v>
      </c>
      <c r="E7822" s="17">
        <v>246.06</v>
      </c>
      <c r="F7822" s="16">
        <v>0.08</v>
      </c>
      <c r="G7822" s="15" t="s">
        <v>32</v>
      </c>
      <c r="H7822" s="18">
        <v>52.33</v>
      </c>
      <c r="I7822" s="19">
        <v>18.7</v>
      </c>
      <c r="J7822" s="19">
        <v>8.99</v>
      </c>
      <c r="K7822" s="19" t="s">
        <v>33</v>
      </c>
      <c r="L7822" s="19" t="s">
        <v>145</v>
      </c>
      <c r="M7822" s="15" t="s">
        <v>146</v>
      </c>
      <c r="N7822" s="15" t="s">
        <v>54</v>
      </c>
      <c r="O7822" s="15" t="s">
        <v>55</v>
      </c>
      <c r="P7822" s="20" t="s">
        <v>1109</v>
      </c>
      <c r="Q7822" s="15" t="s">
        <v>49</v>
      </c>
      <c r="R7822" s="4"/>
      <c r="S7822" s="4"/>
    </row>
    <row r="7823" spans="1:19" ht="21" customHeight="1" x14ac:dyDescent="0.25">
      <c r="A7823" s="14">
        <f>DATE(2012,12,31)-398</f>
        <v>40876</v>
      </c>
      <c r="B7823" s="15" t="s">
        <v>157</v>
      </c>
      <c r="C7823" s="15" t="s">
        <v>85</v>
      </c>
      <c r="D7823" s="16">
        <v>25</v>
      </c>
      <c r="E7823" s="17">
        <v>41.87</v>
      </c>
      <c r="F7823" s="16">
        <v>0.05</v>
      </c>
      <c r="G7823" s="15" t="s">
        <v>32</v>
      </c>
      <c r="H7823" s="18">
        <v>-25.52</v>
      </c>
      <c r="I7823" s="19">
        <v>1.68</v>
      </c>
      <c r="J7823" s="19">
        <v>1.57</v>
      </c>
      <c r="K7823" s="19" t="s">
        <v>33</v>
      </c>
      <c r="L7823" s="19" t="s">
        <v>145</v>
      </c>
      <c r="M7823" s="15" t="s">
        <v>146</v>
      </c>
      <c r="N7823" s="15" t="s">
        <v>36</v>
      </c>
      <c r="O7823" s="15" t="s">
        <v>77</v>
      </c>
      <c r="P7823" s="20" t="s">
        <v>1271</v>
      </c>
      <c r="Q7823" s="15" t="s">
        <v>79</v>
      </c>
      <c r="R7823" s="4"/>
      <c r="S7823" s="4"/>
    </row>
    <row r="7824" spans="1:19" ht="21" customHeight="1" x14ac:dyDescent="0.25">
      <c r="A7824" s="14">
        <f>DATE(2012,12,31)-779</f>
        <v>40495</v>
      </c>
      <c r="B7824" s="15" t="s">
        <v>457</v>
      </c>
      <c r="C7824" s="15" t="s">
        <v>85</v>
      </c>
      <c r="D7824" s="16">
        <v>8</v>
      </c>
      <c r="E7824" s="17">
        <v>1118.82</v>
      </c>
      <c r="F7824" s="16">
        <v>0.04</v>
      </c>
      <c r="G7824" s="15" t="s">
        <v>58</v>
      </c>
      <c r="H7824" s="18">
        <v>-320.3</v>
      </c>
      <c r="I7824" s="19">
        <v>140.97999999999999</v>
      </c>
      <c r="J7824" s="19">
        <v>36.090000000000003</v>
      </c>
      <c r="K7824" s="19" t="s">
        <v>33</v>
      </c>
      <c r="L7824" s="19" t="s">
        <v>34</v>
      </c>
      <c r="M7824" s="15" t="s">
        <v>2353</v>
      </c>
      <c r="N7824" s="15" t="s">
        <v>54</v>
      </c>
      <c r="O7824" s="15" t="s">
        <v>134</v>
      </c>
      <c r="P7824" s="20" t="s">
        <v>1468</v>
      </c>
      <c r="Q7824" s="15" t="s">
        <v>63</v>
      </c>
      <c r="R7824" s="4"/>
      <c r="S7824" s="4"/>
    </row>
    <row r="7825" spans="1:19" ht="21" customHeight="1" x14ac:dyDescent="0.25">
      <c r="A7825" s="14">
        <f>DATE(2012,12,31)-779</f>
        <v>40495</v>
      </c>
      <c r="B7825" s="15" t="s">
        <v>457</v>
      </c>
      <c r="C7825" s="15" t="s">
        <v>85</v>
      </c>
      <c r="D7825" s="16">
        <v>48</v>
      </c>
      <c r="E7825" s="17">
        <v>79.75</v>
      </c>
      <c r="F7825" s="16">
        <v>0.1</v>
      </c>
      <c r="G7825" s="15" t="s">
        <v>32</v>
      </c>
      <c r="H7825" s="18">
        <v>-41.32</v>
      </c>
      <c r="I7825" s="19">
        <v>1.81</v>
      </c>
      <c r="J7825" s="19">
        <v>1.56</v>
      </c>
      <c r="K7825" s="19" t="s">
        <v>33</v>
      </c>
      <c r="L7825" s="19" t="s">
        <v>93</v>
      </c>
      <c r="M7825" s="15" t="s">
        <v>94</v>
      </c>
      <c r="N7825" s="15" t="s">
        <v>36</v>
      </c>
      <c r="O7825" s="15" t="s">
        <v>105</v>
      </c>
      <c r="P7825" s="20" t="s">
        <v>1159</v>
      </c>
      <c r="Q7825" s="15" t="s">
        <v>79</v>
      </c>
      <c r="R7825" s="4"/>
      <c r="S7825" s="4"/>
    </row>
    <row r="7826" spans="1:19" ht="21" customHeight="1" x14ac:dyDescent="0.25">
      <c r="A7826" s="14">
        <f>DATE(2012,12,31)-261</f>
        <v>41013</v>
      </c>
      <c r="B7826" s="15" t="s">
        <v>1024</v>
      </c>
      <c r="C7826" s="15" t="s">
        <v>51</v>
      </c>
      <c r="D7826" s="16">
        <v>38</v>
      </c>
      <c r="E7826" s="17">
        <v>1504.22</v>
      </c>
      <c r="F7826" s="16">
        <v>0.02</v>
      </c>
      <c r="G7826" s="15" t="s">
        <v>101</v>
      </c>
      <c r="H7826" s="18">
        <v>118.97</v>
      </c>
      <c r="I7826" s="19">
        <v>39.99</v>
      </c>
      <c r="J7826" s="19">
        <v>10.25</v>
      </c>
      <c r="K7826" s="19" t="s">
        <v>33</v>
      </c>
      <c r="L7826" s="19" t="s">
        <v>59</v>
      </c>
      <c r="M7826" s="15" t="s">
        <v>2344</v>
      </c>
      <c r="N7826" s="15" t="s">
        <v>64</v>
      </c>
      <c r="O7826" s="15" t="s">
        <v>72</v>
      </c>
      <c r="P7826" s="20" t="s">
        <v>1347</v>
      </c>
      <c r="Q7826" s="15" t="s">
        <v>83</v>
      </c>
      <c r="R7826" s="4"/>
      <c r="S7826" s="4"/>
    </row>
    <row r="7827" spans="1:19" ht="21" customHeight="1" x14ac:dyDescent="0.25">
      <c r="A7827" s="14">
        <f>DATE(2012,12,31)-616</f>
        <v>40658</v>
      </c>
      <c r="B7827" s="15" t="s">
        <v>1024</v>
      </c>
      <c r="C7827" s="15" t="s">
        <v>43</v>
      </c>
      <c r="D7827" s="16">
        <v>30</v>
      </c>
      <c r="E7827" s="17">
        <v>5217.79</v>
      </c>
      <c r="F7827" s="16">
        <v>0.09</v>
      </c>
      <c r="G7827" s="15" t="s">
        <v>58</v>
      </c>
      <c r="H7827" s="18">
        <v>209.54</v>
      </c>
      <c r="I7827" s="19">
        <v>180.98</v>
      </c>
      <c r="J7827" s="19">
        <v>30</v>
      </c>
      <c r="K7827" s="19" t="s">
        <v>33</v>
      </c>
      <c r="L7827" s="19" t="s">
        <v>34</v>
      </c>
      <c r="M7827" s="15" t="s">
        <v>2353</v>
      </c>
      <c r="N7827" s="15" t="s">
        <v>54</v>
      </c>
      <c r="O7827" s="15" t="s">
        <v>252</v>
      </c>
      <c r="P7827" s="20" t="s">
        <v>137</v>
      </c>
      <c r="Q7827" s="15" t="s">
        <v>181</v>
      </c>
      <c r="R7827" s="4"/>
      <c r="S7827" s="4"/>
    </row>
    <row r="7828" spans="1:19" ht="21" customHeight="1" x14ac:dyDescent="0.25">
      <c r="A7828" s="14">
        <f>DATE(2012,12,31)-1238</f>
        <v>40036</v>
      </c>
      <c r="B7828" s="15" t="s">
        <v>1854</v>
      </c>
      <c r="C7828" s="15" t="s">
        <v>43</v>
      </c>
      <c r="D7828" s="16">
        <v>3</v>
      </c>
      <c r="E7828" s="17">
        <v>119.9</v>
      </c>
      <c r="F7828" s="16">
        <v>0.03</v>
      </c>
      <c r="G7828" s="15" t="s">
        <v>32</v>
      </c>
      <c r="H7828" s="18">
        <v>-14.47</v>
      </c>
      <c r="I7828" s="19">
        <v>37.94</v>
      </c>
      <c r="J7828" s="19">
        <v>5.08</v>
      </c>
      <c r="K7828" s="19" t="s">
        <v>69</v>
      </c>
      <c r="L7828" s="19" t="s">
        <v>70</v>
      </c>
      <c r="M7828" s="15" t="s">
        <v>2357</v>
      </c>
      <c r="N7828" s="15" t="s">
        <v>36</v>
      </c>
      <c r="O7828" s="15" t="s">
        <v>117</v>
      </c>
      <c r="P7828" s="20" t="s">
        <v>1686</v>
      </c>
      <c r="Q7828" s="15" t="s">
        <v>79</v>
      </c>
      <c r="R7828" s="4"/>
      <c r="S7828" s="4"/>
    </row>
    <row r="7829" spans="1:19" ht="21" customHeight="1" x14ac:dyDescent="0.25">
      <c r="A7829" s="14">
        <f>DATE(2012,12,31)-880</f>
        <v>40394</v>
      </c>
      <c r="B7829" s="15" t="s">
        <v>1944</v>
      </c>
      <c r="C7829" s="15" t="s">
        <v>85</v>
      </c>
      <c r="D7829" s="16">
        <v>45</v>
      </c>
      <c r="E7829" s="17">
        <v>615.67999999999995</v>
      </c>
      <c r="F7829" s="16">
        <v>0.08</v>
      </c>
      <c r="G7829" s="15" t="s">
        <v>32</v>
      </c>
      <c r="H7829" s="18">
        <v>-54.34</v>
      </c>
      <c r="I7829" s="19">
        <v>14.42</v>
      </c>
      <c r="J7829" s="19">
        <v>6.75</v>
      </c>
      <c r="K7829" s="19" t="s">
        <v>69</v>
      </c>
      <c r="L7829" s="19" t="s">
        <v>70</v>
      </c>
      <c r="M7829" s="15" t="s">
        <v>2357</v>
      </c>
      <c r="N7829" s="15" t="s">
        <v>36</v>
      </c>
      <c r="O7829" s="15" t="s">
        <v>176</v>
      </c>
      <c r="P7829" s="20" t="s">
        <v>756</v>
      </c>
      <c r="Q7829" s="15" t="s">
        <v>57</v>
      </c>
      <c r="R7829" s="4"/>
      <c r="S7829" s="4"/>
    </row>
    <row r="7830" spans="1:19" ht="21" customHeight="1" x14ac:dyDescent="0.25">
      <c r="A7830" s="14">
        <f>DATE(2012,12,31)-880</f>
        <v>40394</v>
      </c>
      <c r="B7830" s="15" t="s">
        <v>348</v>
      </c>
      <c r="C7830" s="15" t="s">
        <v>85</v>
      </c>
      <c r="D7830" s="16">
        <v>1</v>
      </c>
      <c r="E7830" s="17">
        <v>142.24</v>
      </c>
      <c r="F7830" s="16">
        <v>0.08</v>
      </c>
      <c r="G7830" s="15" t="s">
        <v>58</v>
      </c>
      <c r="H7830" s="18">
        <v>-62.19</v>
      </c>
      <c r="I7830" s="19">
        <v>100.89</v>
      </c>
      <c r="J7830" s="19">
        <v>42</v>
      </c>
      <c r="K7830" s="19" t="s">
        <v>69</v>
      </c>
      <c r="L7830" s="19" t="s">
        <v>75</v>
      </c>
      <c r="M7830" s="15" t="s">
        <v>76</v>
      </c>
      <c r="N7830" s="15" t="s">
        <v>54</v>
      </c>
      <c r="O7830" s="15" t="s">
        <v>252</v>
      </c>
      <c r="P7830" s="20" t="s">
        <v>727</v>
      </c>
      <c r="Q7830" s="15" t="s">
        <v>181</v>
      </c>
      <c r="R7830" s="4"/>
      <c r="S7830" s="4"/>
    </row>
    <row r="7831" spans="1:19" ht="21" customHeight="1" x14ac:dyDescent="0.25">
      <c r="A7831" s="14">
        <f>DATE(2012,12,31)-1330</f>
        <v>39944</v>
      </c>
      <c r="B7831" s="15" t="s">
        <v>533</v>
      </c>
      <c r="C7831" s="15" t="s">
        <v>51</v>
      </c>
      <c r="D7831" s="16">
        <v>11</v>
      </c>
      <c r="E7831" s="17">
        <v>28.63</v>
      </c>
      <c r="F7831" s="16">
        <v>0.09</v>
      </c>
      <c r="G7831" s="15" t="s">
        <v>101</v>
      </c>
      <c r="H7831" s="18">
        <v>-21.17</v>
      </c>
      <c r="I7831" s="19">
        <v>1.74</v>
      </c>
      <c r="J7831" s="19">
        <v>4.08</v>
      </c>
      <c r="K7831" s="19" t="s">
        <v>69</v>
      </c>
      <c r="L7831" s="19" t="s">
        <v>70</v>
      </c>
      <c r="M7831" s="15" t="s">
        <v>2357</v>
      </c>
      <c r="N7831" s="15" t="s">
        <v>54</v>
      </c>
      <c r="O7831" s="15" t="s">
        <v>55</v>
      </c>
      <c r="P7831" s="20" t="s">
        <v>998</v>
      </c>
      <c r="Q7831" s="15" t="s">
        <v>49</v>
      </c>
      <c r="R7831" s="4"/>
      <c r="S7831" s="4"/>
    </row>
    <row r="7832" spans="1:19" ht="21" customHeight="1" x14ac:dyDescent="0.25">
      <c r="A7832" s="14">
        <f>DATE(2012,12,31)-1330</f>
        <v>39944</v>
      </c>
      <c r="B7832" s="15" t="s">
        <v>276</v>
      </c>
      <c r="C7832" s="15" t="s">
        <v>51</v>
      </c>
      <c r="D7832" s="16">
        <v>45</v>
      </c>
      <c r="E7832" s="17">
        <v>8014.6240000000007</v>
      </c>
      <c r="F7832" s="16">
        <v>0.08</v>
      </c>
      <c r="G7832" s="15" t="s">
        <v>58</v>
      </c>
      <c r="H7832" s="18">
        <v>1366.1</v>
      </c>
      <c r="I7832" s="19">
        <v>227.55</v>
      </c>
      <c r="J7832" s="19">
        <v>32.479999999999997</v>
      </c>
      <c r="K7832" s="19" t="s">
        <v>69</v>
      </c>
      <c r="L7832" s="19" t="s">
        <v>70</v>
      </c>
      <c r="M7832" s="15" t="s">
        <v>2357</v>
      </c>
      <c r="N7832" s="15" t="s">
        <v>54</v>
      </c>
      <c r="O7832" s="15" t="s">
        <v>61</v>
      </c>
      <c r="P7832" s="20" t="s">
        <v>1556</v>
      </c>
      <c r="Q7832" s="15" t="s">
        <v>63</v>
      </c>
      <c r="R7832" s="4"/>
      <c r="S7832" s="4"/>
    </row>
    <row r="7833" spans="1:19" ht="21" customHeight="1" x14ac:dyDescent="0.25">
      <c r="A7833" s="14">
        <f>DATE(2012,12,31)-67</f>
        <v>41207</v>
      </c>
      <c r="B7833" s="15" t="s">
        <v>276</v>
      </c>
      <c r="C7833" s="15" t="s">
        <v>85</v>
      </c>
      <c r="D7833" s="16">
        <v>35</v>
      </c>
      <c r="E7833" s="17">
        <v>144.06</v>
      </c>
      <c r="F7833" s="16">
        <v>0.01</v>
      </c>
      <c r="G7833" s="15" t="s">
        <v>32</v>
      </c>
      <c r="H7833" s="18">
        <v>-117.2655</v>
      </c>
      <c r="I7833" s="19">
        <v>3.81</v>
      </c>
      <c r="J7833" s="19">
        <v>5.44</v>
      </c>
      <c r="K7833" s="19" t="s">
        <v>69</v>
      </c>
      <c r="L7833" s="19" t="s">
        <v>70</v>
      </c>
      <c r="M7833" s="15" t="s">
        <v>2357</v>
      </c>
      <c r="N7833" s="15" t="s">
        <v>36</v>
      </c>
      <c r="O7833" s="15" t="s">
        <v>170</v>
      </c>
      <c r="P7833" s="20" t="s">
        <v>584</v>
      </c>
      <c r="Q7833" s="15" t="s">
        <v>83</v>
      </c>
      <c r="R7833" s="4"/>
      <c r="S7833" s="4"/>
    </row>
    <row r="7834" spans="1:19" ht="21" customHeight="1" x14ac:dyDescent="0.25">
      <c r="A7834" s="14">
        <f>DATE(2012,12,31)-67</f>
        <v>41207</v>
      </c>
      <c r="B7834" s="15" t="s">
        <v>276</v>
      </c>
      <c r="C7834" s="15" t="s">
        <v>85</v>
      </c>
      <c r="D7834" s="16">
        <v>32</v>
      </c>
      <c r="E7834" s="17">
        <v>3205.24</v>
      </c>
      <c r="F7834" s="16">
        <v>0.01</v>
      </c>
      <c r="G7834" s="15" t="s">
        <v>58</v>
      </c>
      <c r="H7834" s="18">
        <v>-1115.99</v>
      </c>
      <c r="I7834" s="19">
        <v>95.95</v>
      </c>
      <c r="J7834" s="19">
        <v>74.349999999999994</v>
      </c>
      <c r="K7834" s="19" t="s">
        <v>69</v>
      </c>
      <c r="L7834" s="19" t="s">
        <v>75</v>
      </c>
      <c r="M7834" s="15" t="s">
        <v>76</v>
      </c>
      <c r="N7834" s="15" t="s">
        <v>54</v>
      </c>
      <c r="O7834" s="15" t="s">
        <v>252</v>
      </c>
      <c r="P7834" s="20" t="s">
        <v>1794</v>
      </c>
      <c r="Q7834" s="15" t="s">
        <v>181</v>
      </c>
      <c r="R7834" s="4"/>
      <c r="S7834" s="4"/>
    </row>
    <row r="7835" spans="1:19" ht="21" customHeight="1" x14ac:dyDescent="0.25">
      <c r="A7835" s="14">
        <f>DATE(2012,12,31)-67</f>
        <v>41207</v>
      </c>
      <c r="B7835" s="15" t="s">
        <v>276</v>
      </c>
      <c r="C7835" s="15" t="s">
        <v>85</v>
      </c>
      <c r="D7835" s="16">
        <v>46</v>
      </c>
      <c r="E7835" s="17">
        <v>339.27</v>
      </c>
      <c r="F7835" s="16">
        <v>0.1</v>
      </c>
      <c r="G7835" s="15" t="s">
        <v>32</v>
      </c>
      <c r="H7835" s="18">
        <v>48.59</v>
      </c>
      <c r="I7835" s="19">
        <v>7.89</v>
      </c>
      <c r="J7835" s="19">
        <v>2.82</v>
      </c>
      <c r="K7835" s="19" t="s">
        <v>69</v>
      </c>
      <c r="L7835" s="19" t="s">
        <v>70</v>
      </c>
      <c r="M7835" s="15" t="s">
        <v>2357</v>
      </c>
      <c r="N7835" s="15" t="s">
        <v>36</v>
      </c>
      <c r="O7835" s="15" t="s">
        <v>105</v>
      </c>
      <c r="P7835" s="20" t="s">
        <v>2018</v>
      </c>
      <c r="Q7835" s="15" t="s">
        <v>79</v>
      </c>
      <c r="R7835" s="4"/>
      <c r="S7835" s="4"/>
    </row>
    <row r="7836" spans="1:19" ht="21" customHeight="1" x14ac:dyDescent="0.25">
      <c r="A7836" s="14">
        <f>DATE(2012,12,31)-67</f>
        <v>41207</v>
      </c>
      <c r="B7836" s="15" t="s">
        <v>578</v>
      </c>
      <c r="C7836" s="15" t="s">
        <v>85</v>
      </c>
      <c r="D7836" s="16">
        <v>9</v>
      </c>
      <c r="E7836" s="17">
        <v>902.024</v>
      </c>
      <c r="F7836" s="16">
        <v>0.04</v>
      </c>
      <c r="G7836" s="15" t="s">
        <v>58</v>
      </c>
      <c r="H7836" s="18">
        <v>-153.25200000000001</v>
      </c>
      <c r="I7836" s="19">
        <v>124.49</v>
      </c>
      <c r="J7836" s="19">
        <v>51.94</v>
      </c>
      <c r="K7836" s="19" t="s">
        <v>69</v>
      </c>
      <c r="L7836" s="19" t="s">
        <v>75</v>
      </c>
      <c r="M7836" s="15" t="s">
        <v>76</v>
      </c>
      <c r="N7836" s="15" t="s">
        <v>54</v>
      </c>
      <c r="O7836" s="15" t="s">
        <v>61</v>
      </c>
      <c r="P7836" s="20" t="s">
        <v>941</v>
      </c>
      <c r="Q7836" s="15" t="s">
        <v>63</v>
      </c>
      <c r="R7836" s="4"/>
      <c r="S7836" s="4"/>
    </row>
    <row r="7837" spans="1:19" ht="21" customHeight="1" x14ac:dyDescent="0.25">
      <c r="A7837" s="14">
        <f>DATE(2012,12,31)-479</f>
        <v>40795</v>
      </c>
      <c r="B7837" s="15" t="s">
        <v>683</v>
      </c>
      <c r="C7837" s="15" t="s">
        <v>85</v>
      </c>
      <c r="D7837" s="16">
        <v>49</v>
      </c>
      <c r="E7837" s="17">
        <v>266.3</v>
      </c>
      <c r="F7837" s="16">
        <v>0.03</v>
      </c>
      <c r="G7837" s="15" t="s">
        <v>101</v>
      </c>
      <c r="H7837" s="18">
        <v>-135.06</v>
      </c>
      <c r="I7837" s="19">
        <v>4.97</v>
      </c>
      <c r="J7837" s="19">
        <v>5.71</v>
      </c>
      <c r="K7837" s="19" t="s">
        <v>69</v>
      </c>
      <c r="L7837" s="19" t="s">
        <v>75</v>
      </c>
      <c r="M7837" s="15" t="s">
        <v>76</v>
      </c>
      <c r="N7837" s="15" t="s">
        <v>54</v>
      </c>
      <c r="O7837" s="15" t="s">
        <v>55</v>
      </c>
      <c r="P7837" s="20" t="s">
        <v>1803</v>
      </c>
      <c r="Q7837" s="15" t="s">
        <v>57</v>
      </c>
      <c r="R7837" s="4"/>
      <c r="S7837" s="4"/>
    </row>
    <row r="7838" spans="1:19" ht="21" customHeight="1" x14ac:dyDescent="0.25">
      <c r="A7838" s="14">
        <f>DATE(2012,12,31)-1234</f>
        <v>40040</v>
      </c>
      <c r="B7838" s="15" t="s">
        <v>683</v>
      </c>
      <c r="C7838" s="15" t="s">
        <v>43</v>
      </c>
      <c r="D7838" s="16">
        <v>34</v>
      </c>
      <c r="E7838" s="17">
        <v>223.76</v>
      </c>
      <c r="F7838" s="16">
        <v>0.03</v>
      </c>
      <c r="G7838" s="15" t="s">
        <v>32</v>
      </c>
      <c r="H7838" s="18">
        <v>-139.66</v>
      </c>
      <c r="I7838" s="19">
        <v>6.48</v>
      </c>
      <c r="J7838" s="19">
        <v>7.91</v>
      </c>
      <c r="K7838" s="19" t="s">
        <v>69</v>
      </c>
      <c r="L7838" s="19" t="s">
        <v>70</v>
      </c>
      <c r="M7838" s="15" t="s">
        <v>2357</v>
      </c>
      <c r="N7838" s="15" t="s">
        <v>36</v>
      </c>
      <c r="O7838" s="15" t="s">
        <v>117</v>
      </c>
      <c r="P7838" s="20" t="s">
        <v>685</v>
      </c>
      <c r="Q7838" s="15" t="s">
        <v>83</v>
      </c>
      <c r="R7838" s="4"/>
      <c r="S7838" s="4"/>
    </row>
    <row r="7839" spans="1:19" ht="21" customHeight="1" x14ac:dyDescent="0.25">
      <c r="A7839" s="14">
        <f>DATE(2012,12,31)-308</f>
        <v>40966</v>
      </c>
      <c r="B7839" s="15" t="s">
        <v>390</v>
      </c>
      <c r="C7839" s="15" t="s">
        <v>85</v>
      </c>
      <c r="D7839" s="16">
        <v>43</v>
      </c>
      <c r="E7839" s="17">
        <v>16886.759999999998</v>
      </c>
      <c r="F7839" s="16">
        <v>0.02</v>
      </c>
      <c r="G7839" s="15" t="s">
        <v>58</v>
      </c>
      <c r="H7839" s="18">
        <v>483.95</v>
      </c>
      <c r="I7839" s="19">
        <v>376.13</v>
      </c>
      <c r="J7839" s="19">
        <v>85.63</v>
      </c>
      <c r="K7839" s="19" t="s">
        <v>69</v>
      </c>
      <c r="L7839" s="19" t="s">
        <v>75</v>
      </c>
      <c r="M7839" s="15" t="s">
        <v>76</v>
      </c>
      <c r="N7839" s="15" t="s">
        <v>54</v>
      </c>
      <c r="O7839" s="15" t="s">
        <v>61</v>
      </c>
      <c r="P7839" s="20" t="s">
        <v>2032</v>
      </c>
      <c r="Q7839" s="15" t="s">
        <v>63</v>
      </c>
      <c r="R7839" s="4"/>
      <c r="S7839" s="4"/>
    </row>
    <row r="7840" spans="1:19" ht="21" customHeight="1" x14ac:dyDescent="0.25">
      <c r="A7840" s="14">
        <f>DATE(2012,12,31)-915</f>
        <v>40359</v>
      </c>
      <c r="B7840" s="15" t="s">
        <v>390</v>
      </c>
      <c r="C7840" s="15" t="s">
        <v>43</v>
      </c>
      <c r="D7840" s="16">
        <v>37</v>
      </c>
      <c r="E7840" s="17">
        <v>1287.94</v>
      </c>
      <c r="F7840" s="16">
        <v>0.06</v>
      </c>
      <c r="G7840" s="15" t="s">
        <v>32</v>
      </c>
      <c r="H7840" s="18">
        <v>140.35</v>
      </c>
      <c r="I7840" s="19">
        <v>35.89</v>
      </c>
      <c r="J7840" s="19">
        <v>14.72</v>
      </c>
      <c r="K7840" s="19" t="s">
        <v>69</v>
      </c>
      <c r="L7840" s="19" t="s">
        <v>70</v>
      </c>
      <c r="M7840" s="15" t="s">
        <v>2357</v>
      </c>
      <c r="N7840" s="15" t="s">
        <v>36</v>
      </c>
      <c r="O7840" s="15" t="s">
        <v>189</v>
      </c>
      <c r="P7840" s="20" t="s">
        <v>679</v>
      </c>
      <c r="Q7840" s="15" t="s">
        <v>83</v>
      </c>
      <c r="R7840" s="4"/>
      <c r="S7840" s="4"/>
    </row>
    <row r="7841" spans="1:19" ht="21" customHeight="1" x14ac:dyDescent="0.25">
      <c r="A7841" s="14">
        <f>DATE(2012,12,31)-915</f>
        <v>40359</v>
      </c>
      <c r="B7841" s="15" t="s">
        <v>1599</v>
      </c>
      <c r="C7841" s="15" t="s">
        <v>43</v>
      </c>
      <c r="D7841" s="16">
        <v>39</v>
      </c>
      <c r="E7841" s="17">
        <v>585.36</v>
      </c>
      <c r="F7841" s="16">
        <v>7.0000000000000007E-2</v>
      </c>
      <c r="G7841" s="15" t="s">
        <v>101</v>
      </c>
      <c r="H7841" s="18">
        <v>269.26</v>
      </c>
      <c r="I7841" s="19">
        <v>15.57</v>
      </c>
      <c r="J7841" s="19">
        <v>1.39</v>
      </c>
      <c r="K7841" s="19" t="s">
        <v>69</v>
      </c>
      <c r="L7841" s="19" t="s">
        <v>215</v>
      </c>
      <c r="M7841" s="15" t="s">
        <v>2355</v>
      </c>
      <c r="N7841" s="15" t="s">
        <v>36</v>
      </c>
      <c r="O7841" s="15" t="s">
        <v>189</v>
      </c>
      <c r="P7841" s="20" t="s">
        <v>1307</v>
      </c>
      <c r="Q7841" s="15" t="s">
        <v>83</v>
      </c>
      <c r="R7841" s="4"/>
      <c r="S7841" s="4"/>
    </row>
    <row r="7842" spans="1:19" ht="21" customHeight="1" x14ac:dyDescent="0.25">
      <c r="A7842" s="14">
        <f>DATE(2012,12,31)-105</f>
        <v>41169</v>
      </c>
      <c r="B7842" s="15" t="s">
        <v>282</v>
      </c>
      <c r="C7842" s="15" t="s">
        <v>43</v>
      </c>
      <c r="D7842" s="16">
        <v>22</v>
      </c>
      <c r="E7842" s="17">
        <v>11022.53</v>
      </c>
      <c r="F7842" s="16">
        <v>0.06</v>
      </c>
      <c r="G7842" s="15" t="s">
        <v>58</v>
      </c>
      <c r="H7842" s="18">
        <v>1869.86</v>
      </c>
      <c r="I7842" s="19">
        <v>517.48</v>
      </c>
      <c r="J7842" s="19">
        <v>16.63</v>
      </c>
      <c r="K7842" s="19" t="s">
        <v>69</v>
      </c>
      <c r="L7842" s="19" t="s">
        <v>215</v>
      </c>
      <c r="M7842" s="15" t="s">
        <v>2355</v>
      </c>
      <c r="N7842" s="15" t="s">
        <v>64</v>
      </c>
      <c r="O7842" s="15" t="s">
        <v>122</v>
      </c>
      <c r="P7842" s="20" t="s">
        <v>1566</v>
      </c>
      <c r="Q7842" s="15" t="s">
        <v>63</v>
      </c>
      <c r="R7842" s="4"/>
      <c r="S7842" s="4"/>
    </row>
    <row r="7843" spans="1:19" ht="21" customHeight="1" x14ac:dyDescent="0.25">
      <c r="A7843" s="14">
        <f>DATE(2012,12,31)-105</f>
        <v>41169</v>
      </c>
      <c r="B7843" s="15" t="s">
        <v>523</v>
      </c>
      <c r="C7843" s="15" t="s">
        <v>43</v>
      </c>
      <c r="D7843" s="16">
        <v>25</v>
      </c>
      <c r="E7843" s="17">
        <v>377.37</v>
      </c>
      <c r="F7843" s="16">
        <v>0.04</v>
      </c>
      <c r="G7843" s="15" t="s">
        <v>32</v>
      </c>
      <c r="H7843" s="18">
        <v>151.4</v>
      </c>
      <c r="I7843" s="19">
        <v>15.04</v>
      </c>
      <c r="J7843" s="19">
        <v>1.97</v>
      </c>
      <c r="K7843" s="19" t="s">
        <v>69</v>
      </c>
      <c r="L7843" s="19" t="s">
        <v>215</v>
      </c>
      <c r="M7843" s="15" t="s">
        <v>2355</v>
      </c>
      <c r="N7843" s="15" t="s">
        <v>36</v>
      </c>
      <c r="O7843" s="15" t="s">
        <v>117</v>
      </c>
      <c r="P7843" s="20" t="s">
        <v>202</v>
      </c>
      <c r="Q7843" s="15" t="s">
        <v>79</v>
      </c>
      <c r="R7843" s="4"/>
      <c r="S7843" s="4"/>
    </row>
    <row r="7844" spans="1:19" ht="21" customHeight="1" x14ac:dyDescent="0.25">
      <c r="A7844" s="14">
        <f>DATE(2012,12,31)-105</f>
        <v>41169</v>
      </c>
      <c r="B7844" s="15" t="s">
        <v>1276</v>
      </c>
      <c r="C7844" s="15" t="s">
        <v>43</v>
      </c>
      <c r="D7844" s="16">
        <v>47</v>
      </c>
      <c r="E7844" s="17">
        <v>1200.7</v>
      </c>
      <c r="F7844" s="16">
        <v>0.06</v>
      </c>
      <c r="G7844" s="15" t="s">
        <v>32</v>
      </c>
      <c r="H7844" s="18">
        <v>-37.270000000000003</v>
      </c>
      <c r="I7844" s="19">
        <v>24.98</v>
      </c>
      <c r="J7844" s="19">
        <v>8.7899999999999991</v>
      </c>
      <c r="K7844" s="19" t="s">
        <v>69</v>
      </c>
      <c r="L7844" s="19" t="s">
        <v>75</v>
      </c>
      <c r="M7844" s="15" t="s">
        <v>76</v>
      </c>
      <c r="N7844" s="15" t="s">
        <v>36</v>
      </c>
      <c r="O7844" s="15" t="s">
        <v>37</v>
      </c>
      <c r="P7844" s="20" t="s">
        <v>242</v>
      </c>
      <c r="Q7844" s="15" t="s">
        <v>83</v>
      </c>
      <c r="R7844" s="4"/>
      <c r="S7844" s="4"/>
    </row>
    <row r="7845" spans="1:19" ht="21" customHeight="1" x14ac:dyDescent="0.25">
      <c r="A7845" s="14">
        <f>DATE(2012,12,31)-1091</f>
        <v>40183</v>
      </c>
      <c r="B7845" s="15" t="s">
        <v>1276</v>
      </c>
      <c r="C7845" s="15" t="s">
        <v>43</v>
      </c>
      <c r="D7845" s="16">
        <v>34</v>
      </c>
      <c r="E7845" s="17">
        <v>702.79</v>
      </c>
      <c r="F7845" s="16">
        <v>0.04</v>
      </c>
      <c r="G7845" s="15" t="s">
        <v>32</v>
      </c>
      <c r="H7845" s="18">
        <v>-44.81</v>
      </c>
      <c r="I7845" s="19">
        <v>19.989999999999998</v>
      </c>
      <c r="J7845" s="19">
        <v>11.17</v>
      </c>
      <c r="K7845" s="19" t="s">
        <v>111</v>
      </c>
      <c r="L7845" s="19" t="s">
        <v>258</v>
      </c>
      <c r="M7845" s="15" t="s">
        <v>259</v>
      </c>
      <c r="N7845" s="15" t="s">
        <v>54</v>
      </c>
      <c r="O7845" s="15" t="s">
        <v>55</v>
      </c>
      <c r="P7845" s="20" t="s">
        <v>1312</v>
      </c>
      <c r="Q7845" s="15" t="s">
        <v>39</v>
      </c>
      <c r="R7845" s="4"/>
      <c r="S7845" s="4"/>
    </row>
    <row r="7846" spans="1:19" ht="21" customHeight="1" x14ac:dyDescent="0.25">
      <c r="A7846" s="14">
        <f>DATE(2012,12,31)-1091</f>
        <v>40183</v>
      </c>
      <c r="B7846" s="15" t="s">
        <v>1589</v>
      </c>
      <c r="C7846" s="15" t="s">
        <v>43</v>
      </c>
      <c r="D7846" s="16">
        <v>44</v>
      </c>
      <c r="E7846" s="17">
        <v>712.64</v>
      </c>
      <c r="F7846" s="16">
        <v>0.06</v>
      </c>
      <c r="G7846" s="15" t="s">
        <v>32</v>
      </c>
      <c r="H7846" s="18">
        <v>-27.72</v>
      </c>
      <c r="I7846" s="19">
        <v>16.91</v>
      </c>
      <c r="J7846" s="19">
        <v>6.25</v>
      </c>
      <c r="K7846" s="19" t="s">
        <v>111</v>
      </c>
      <c r="L7846" s="19" t="s">
        <v>2301</v>
      </c>
      <c r="M7846" s="15" t="s">
        <v>2346</v>
      </c>
      <c r="N7846" s="15" t="s">
        <v>36</v>
      </c>
      <c r="O7846" s="15" t="s">
        <v>37</v>
      </c>
      <c r="P7846" s="20" t="s">
        <v>411</v>
      </c>
      <c r="Q7846" s="15" t="s">
        <v>83</v>
      </c>
      <c r="R7846" s="4"/>
      <c r="S7846" s="4"/>
    </row>
    <row r="7847" spans="1:19" ht="21" customHeight="1" x14ac:dyDescent="0.25">
      <c r="A7847" s="14">
        <f>DATE(2012,12,31)-990</f>
        <v>40284</v>
      </c>
      <c r="B7847" s="15" t="s">
        <v>1589</v>
      </c>
      <c r="C7847" s="15" t="s">
        <v>85</v>
      </c>
      <c r="D7847" s="16">
        <v>24</v>
      </c>
      <c r="E7847" s="17">
        <v>135.88</v>
      </c>
      <c r="F7847" s="16">
        <v>0.1</v>
      </c>
      <c r="G7847" s="15" t="s">
        <v>32</v>
      </c>
      <c r="H7847" s="18">
        <v>-75.394000000000005</v>
      </c>
      <c r="I7847" s="19">
        <v>5.8</v>
      </c>
      <c r="J7847" s="19">
        <v>5.59</v>
      </c>
      <c r="K7847" s="19" t="s">
        <v>111</v>
      </c>
      <c r="L7847" s="19" t="s">
        <v>2301</v>
      </c>
      <c r="M7847" s="15" t="s">
        <v>2346</v>
      </c>
      <c r="N7847" s="15" t="s">
        <v>36</v>
      </c>
      <c r="O7847" s="15" t="s">
        <v>170</v>
      </c>
      <c r="P7847" s="20" t="s">
        <v>362</v>
      </c>
      <c r="Q7847" s="15" t="s">
        <v>83</v>
      </c>
      <c r="R7847" s="4"/>
      <c r="S7847" s="4"/>
    </row>
    <row r="7848" spans="1:19" ht="21" customHeight="1" x14ac:dyDescent="0.25">
      <c r="A7848" s="14">
        <f>DATE(2012,12,31)-458</f>
        <v>40816</v>
      </c>
      <c r="B7848" s="15" t="s">
        <v>1532</v>
      </c>
      <c r="C7848" s="15" t="s">
        <v>85</v>
      </c>
      <c r="D7848" s="16">
        <v>26</v>
      </c>
      <c r="E7848" s="17">
        <v>799.84</v>
      </c>
      <c r="F7848" s="16">
        <v>0.08</v>
      </c>
      <c r="G7848" s="15" t="s">
        <v>32</v>
      </c>
      <c r="H7848" s="18">
        <v>64.13</v>
      </c>
      <c r="I7848" s="19">
        <v>31.11</v>
      </c>
      <c r="J7848" s="19">
        <v>3.6</v>
      </c>
      <c r="K7848" s="19" t="s">
        <v>111</v>
      </c>
      <c r="L7848" s="19" t="s">
        <v>258</v>
      </c>
      <c r="M7848" s="15" t="s">
        <v>259</v>
      </c>
      <c r="N7848" s="15" t="s">
        <v>64</v>
      </c>
      <c r="O7848" s="15" t="s">
        <v>72</v>
      </c>
      <c r="P7848" s="20" t="s">
        <v>1053</v>
      </c>
      <c r="Q7848" s="15" t="s">
        <v>49</v>
      </c>
      <c r="R7848" s="4"/>
      <c r="S7848" s="4"/>
    </row>
    <row r="7849" spans="1:19" ht="21" customHeight="1" x14ac:dyDescent="0.25">
      <c r="A7849" s="14">
        <f>DATE(2012,12,31)-458</f>
        <v>40816</v>
      </c>
      <c r="B7849" s="15" t="s">
        <v>380</v>
      </c>
      <c r="C7849" s="15" t="s">
        <v>85</v>
      </c>
      <c r="D7849" s="16">
        <v>16</v>
      </c>
      <c r="E7849" s="17">
        <v>1689.1369999999999</v>
      </c>
      <c r="F7849" s="16">
        <v>7.0000000000000007E-2</v>
      </c>
      <c r="G7849" s="15" t="s">
        <v>32</v>
      </c>
      <c r="H7849" s="18">
        <v>71.063999999999993</v>
      </c>
      <c r="I7849" s="19">
        <v>125.99</v>
      </c>
      <c r="J7849" s="19">
        <v>8.08</v>
      </c>
      <c r="K7849" s="19" t="s">
        <v>111</v>
      </c>
      <c r="L7849" s="19" t="s">
        <v>2301</v>
      </c>
      <c r="M7849" s="15" t="s">
        <v>2364</v>
      </c>
      <c r="N7849" s="15" t="s">
        <v>64</v>
      </c>
      <c r="O7849" s="15" t="s">
        <v>65</v>
      </c>
      <c r="P7849" s="20" t="s">
        <v>1501</v>
      </c>
      <c r="Q7849" s="15" t="s">
        <v>83</v>
      </c>
      <c r="R7849" s="4"/>
      <c r="S7849" s="4"/>
    </row>
    <row r="7850" spans="1:19" ht="21" customHeight="1" x14ac:dyDescent="0.25">
      <c r="A7850" s="14">
        <f>DATE(2012,12,31)-1085</f>
        <v>40189</v>
      </c>
      <c r="B7850" s="15" t="s">
        <v>380</v>
      </c>
      <c r="C7850" s="15" t="s">
        <v>85</v>
      </c>
      <c r="D7850" s="16">
        <v>42</v>
      </c>
      <c r="E7850" s="17">
        <v>1767.47</v>
      </c>
      <c r="F7850" s="16">
        <v>0.05</v>
      </c>
      <c r="G7850" s="15" t="s">
        <v>32</v>
      </c>
      <c r="H7850" s="18">
        <v>331.56</v>
      </c>
      <c r="I7850" s="19">
        <v>40.99</v>
      </c>
      <c r="J7850" s="19">
        <v>17.48</v>
      </c>
      <c r="K7850" s="19" t="s">
        <v>111</v>
      </c>
      <c r="L7850" s="19" t="s">
        <v>258</v>
      </c>
      <c r="M7850" s="15" t="s">
        <v>259</v>
      </c>
      <c r="N7850" s="15" t="s">
        <v>36</v>
      </c>
      <c r="O7850" s="15" t="s">
        <v>117</v>
      </c>
      <c r="P7850" s="20" t="s">
        <v>1314</v>
      </c>
      <c r="Q7850" s="15" t="s">
        <v>83</v>
      </c>
      <c r="R7850" s="4"/>
      <c r="S7850" s="4"/>
    </row>
    <row r="7851" spans="1:19" ht="21" customHeight="1" x14ac:dyDescent="0.25">
      <c r="A7851" s="14">
        <f>DATE(2012,12,31)-1085</f>
        <v>40189</v>
      </c>
      <c r="B7851" s="15" t="s">
        <v>1688</v>
      </c>
      <c r="C7851" s="15" t="s">
        <v>85</v>
      </c>
      <c r="D7851" s="16">
        <v>11</v>
      </c>
      <c r="E7851" s="17">
        <v>2164.0700000000002</v>
      </c>
      <c r="F7851" s="16">
        <v>0.01</v>
      </c>
      <c r="G7851" s="15" t="s">
        <v>58</v>
      </c>
      <c r="H7851" s="18">
        <v>59.73</v>
      </c>
      <c r="I7851" s="19">
        <v>180.98</v>
      </c>
      <c r="J7851" s="19">
        <v>55.24</v>
      </c>
      <c r="K7851" s="19" t="s">
        <v>111</v>
      </c>
      <c r="L7851" s="19" t="s">
        <v>407</v>
      </c>
      <c r="M7851" s="15" t="s">
        <v>407</v>
      </c>
      <c r="N7851" s="15" t="s">
        <v>36</v>
      </c>
      <c r="O7851" s="15" t="s">
        <v>176</v>
      </c>
      <c r="P7851" s="20" t="s">
        <v>1992</v>
      </c>
      <c r="Q7851" s="15" t="s">
        <v>181</v>
      </c>
      <c r="R7851" s="4"/>
      <c r="S7851" s="4"/>
    </row>
    <row r="7852" spans="1:19" ht="21" customHeight="1" x14ac:dyDescent="0.25">
      <c r="A7852" s="14">
        <f>DATE(2012,12,31)-1085</f>
        <v>40189</v>
      </c>
      <c r="B7852" s="15" t="s">
        <v>1688</v>
      </c>
      <c r="C7852" s="15" t="s">
        <v>85</v>
      </c>
      <c r="D7852" s="16">
        <v>47</v>
      </c>
      <c r="E7852" s="17">
        <v>1276.73</v>
      </c>
      <c r="F7852" s="16">
        <v>0.08</v>
      </c>
      <c r="G7852" s="15" t="s">
        <v>101</v>
      </c>
      <c r="H7852" s="18">
        <v>357.23</v>
      </c>
      <c r="I7852" s="19">
        <v>29.18</v>
      </c>
      <c r="J7852" s="19">
        <v>8.5500000000000007</v>
      </c>
      <c r="K7852" s="19" t="s">
        <v>44</v>
      </c>
      <c r="L7852" s="19" t="s">
        <v>45</v>
      </c>
      <c r="M7852" s="15" t="s">
        <v>2356</v>
      </c>
      <c r="N7852" s="15" t="s">
        <v>54</v>
      </c>
      <c r="O7852" s="15" t="s">
        <v>55</v>
      </c>
      <c r="P7852" s="20" t="s">
        <v>838</v>
      </c>
      <c r="Q7852" s="15" t="s">
        <v>83</v>
      </c>
      <c r="R7852" s="4"/>
      <c r="S7852" s="4"/>
    </row>
    <row r="7853" spans="1:19" ht="21" customHeight="1" x14ac:dyDescent="0.25">
      <c r="A7853" s="14">
        <f>DATE(2012,12,31)-305</f>
        <v>40969</v>
      </c>
      <c r="B7853" s="15" t="s">
        <v>441</v>
      </c>
      <c r="C7853" s="15" t="s">
        <v>43</v>
      </c>
      <c r="D7853" s="16">
        <v>1</v>
      </c>
      <c r="E7853" s="17">
        <v>11.7</v>
      </c>
      <c r="F7853" s="16">
        <v>0</v>
      </c>
      <c r="G7853" s="15" t="s">
        <v>32</v>
      </c>
      <c r="H7853" s="18">
        <v>-8.06</v>
      </c>
      <c r="I7853" s="19">
        <v>5.89</v>
      </c>
      <c r="J7853" s="19">
        <v>5.57</v>
      </c>
      <c r="K7853" s="19" t="s">
        <v>44</v>
      </c>
      <c r="L7853" s="19" t="s">
        <v>120</v>
      </c>
      <c r="M7853" s="15" t="s">
        <v>2262</v>
      </c>
      <c r="N7853" s="15" t="s">
        <v>54</v>
      </c>
      <c r="O7853" s="15" t="s">
        <v>55</v>
      </c>
      <c r="P7853" s="20" t="s">
        <v>1039</v>
      </c>
      <c r="Q7853" s="15" t="s">
        <v>83</v>
      </c>
      <c r="R7853" s="4"/>
      <c r="S7853" s="4"/>
    </row>
    <row r="7854" spans="1:19" ht="21" customHeight="1" x14ac:dyDescent="0.25">
      <c r="A7854" s="14">
        <f>DATE(2012,12,31)-153</f>
        <v>41121</v>
      </c>
      <c r="B7854" s="15" t="s">
        <v>441</v>
      </c>
      <c r="C7854" s="15" t="s">
        <v>85</v>
      </c>
      <c r="D7854" s="16">
        <v>47</v>
      </c>
      <c r="E7854" s="17">
        <v>257.2</v>
      </c>
      <c r="F7854" s="16">
        <v>0.04</v>
      </c>
      <c r="G7854" s="15" t="s">
        <v>32</v>
      </c>
      <c r="H7854" s="18">
        <v>-2172.14</v>
      </c>
      <c r="I7854" s="19">
        <v>4.4800000000000004</v>
      </c>
      <c r="J7854" s="19">
        <v>49</v>
      </c>
      <c r="K7854" s="19" t="s">
        <v>44</v>
      </c>
      <c r="L7854" s="19" t="s">
        <v>89</v>
      </c>
      <c r="M7854" s="15" t="s">
        <v>2337</v>
      </c>
      <c r="N7854" s="15" t="s">
        <v>36</v>
      </c>
      <c r="O7854" s="15" t="s">
        <v>176</v>
      </c>
      <c r="P7854" s="20" t="s">
        <v>2289</v>
      </c>
      <c r="Q7854" s="15" t="s">
        <v>39</v>
      </c>
      <c r="R7854" s="4"/>
      <c r="S7854" s="4"/>
    </row>
    <row r="7855" spans="1:19" ht="21" customHeight="1" x14ac:dyDescent="0.25">
      <c r="A7855" s="14">
        <f>DATE(2012,12,31)-153</f>
        <v>41121</v>
      </c>
      <c r="B7855" s="15" t="s">
        <v>394</v>
      </c>
      <c r="C7855" s="15" t="s">
        <v>85</v>
      </c>
      <c r="D7855" s="16">
        <v>29</v>
      </c>
      <c r="E7855" s="17">
        <v>6139.34</v>
      </c>
      <c r="F7855" s="16">
        <v>0.08</v>
      </c>
      <c r="G7855" s="15" t="s">
        <v>58</v>
      </c>
      <c r="H7855" s="18">
        <v>-528.65312500000005</v>
      </c>
      <c r="I7855" s="19">
        <v>218.75</v>
      </c>
      <c r="J7855" s="19">
        <v>69.64</v>
      </c>
      <c r="K7855" s="19" t="s">
        <v>44</v>
      </c>
      <c r="L7855" s="19" t="s">
        <v>89</v>
      </c>
      <c r="M7855" s="15" t="s">
        <v>2337</v>
      </c>
      <c r="N7855" s="15" t="s">
        <v>54</v>
      </c>
      <c r="O7855" s="15" t="s">
        <v>61</v>
      </c>
      <c r="P7855" s="20" t="s">
        <v>1754</v>
      </c>
      <c r="Q7855" s="15" t="s">
        <v>63</v>
      </c>
      <c r="R7855" s="4"/>
      <c r="S7855" s="4"/>
    </row>
    <row r="7856" spans="1:19" ht="21" customHeight="1" x14ac:dyDescent="0.25">
      <c r="A7856" s="14">
        <f>DATE(2012,12,31)-591</f>
        <v>40683</v>
      </c>
      <c r="B7856" s="15" t="s">
        <v>1402</v>
      </c>
      <c r="C7856" s="15" t="s">
        <v>85</v>
      </c>
      <c r="D7856" s="16">
        <v>32</v>
      </c>
      <c r="E7856" s="17">
        <v>128.13999999999999</v>
      </c>
      <c r="F7856" s="16">
        <v>0.1</v>
      </c>
      <c r="G7856" s="15" t="s">
        <v>101</v>
      </c>
      <c r="H7856" s="18">
        <v>-163.57600000000002</v>
      </c>
      <c r="I7856" s="19">
        <v>3.89</v>
      </c>
      <c r="J7856" s="19">
        <v>7.01</v>
      </c>
      <c r="K7856" s="19" t="s">
        <v>44</v>
      </c>
      <c r="L7856" s="19" t="s">
        <v>89</v>
      </c>
      <c r="M7856" s="15" t="s">
        <v>2337</v>
      </c>
      <c r="N7856" s="15" t="s">
        <v>36</v>
      </c>
      <c r="O7856" s="15" t="s">
        <v>170</v>
      </c>
      <c r="P7856" s="20" t="s">
        <v>1543</v>
      </c>
      <c r="Q7856" s="15" t="s">
        <v>83</v>
      </c>
      <c r="R7856" s="4"/>
      <c r="S7856" s="4"/>
    </row>
    <row r="7857" spans="1:19" ht="21" customHeight="1" x14ac:dyDescent="0.25">
      <c r="A7857" s="14">
        <f>DATE(2012,12,31)-591</f>
        <v>40683</v>
      </c>
      <c r="B7857" s="15" t="s">
        <v>1549</v>
      </c>
      <c r="C7857" s="15" t="s">
        <v>85</v>
      </c>
      <c r="D7857" s="16">
        <v>9</v>
      </c>
      <c r="E7857" s="17">
        <v>67.459999999999994</v>
      </c>
      <c r="F7857" s="16">
        <v>0.08</v>
      </c>
      <c r="G7857" s="15" t="s">
        <v>32</v>
      </c>
      <c r="H7857" s="18">
        <v>-57.53</v>
      </c>
      <c r="I7857" s="19">
        <v>6.48</v>
      </c>
      <c r="J7857" s="19">
        <v>10.050000000000001</v>
      </c>
      <c r="K7857" s="19" t="s">
        <v>44</v>
      </c>
      <c r="L7857" s="19" t="s">
        <v>89</v>
      </c>
      <c r="M7857" s="15" t="s">
        <v>2337</v>
      </c>
      <c r="N7857" s="15" t="s">
        <v>36</v>
      </c>
      <c r="O7857" s="15" t="s">
        <v>117</v>
      </c>
      <c r="P7857" s="20" t="s">
        <v>902</v>
      </c>
      <c r="Q7857" s="15" t="s">
        <v>83</v>
      </c>
      <c r="R7857" s="4"/>
      <c r="S7857" s="4"/>
    </row>
    <row r="7858" spans="1:19" ht="21" customHeight="1" x14ac:dyDescent="0.25">
      <c r="A7858" s="14">
        <f>DATE(2012,12,31)-263</f>
        <v>41011</v>
      </c>
      <c r="B7858" s="15" t="s">
        <v>416</v>
      </c>
      <c r="C7858" s="15" t="s">
        <v>85</v>
      </c>
      <c r="D7858" s="16">
        <v>47</v>
      </c>
      <c r="E7858" s="17">
        <v>1613.84</v>
      </c>
      <c r="F7858" s="16">
        <v>0.09</v>
      </c>
      <c r="G7858" s="15" t="s">
        <v>32</v>
      </c>
      <c r="H7858" s="18">
        <v>226.76</v>
      </c>
      <c r="I7858" s="19">
        <v>34.76</v>
      </c>
      <c r="J7858" s="19">
        <v>8.2200000000000006</v>
      </c>
      <c r="K7858" s="19" t="s">
        <v>44</v>
      </c>
      <c r="L7858" s="19" t="s">
        <v>89</v>
      </c>
      <c r="M7858" s="15" t="s">
        <v>2337</v>
      </c>
      <c r="N7858" s="15" t="s">
        <v>36</v>
      </c>
      <c r="O7858" s="15" t="s">
        <v>37</v>
      </c>
      <c r="P7858" s="20" t="s">
        <v>411</v>
      </c>
      <c r="Q7858" s="15" t="s">
        <v>83</v>
      </c>
      <c r="R7858" s="4"/>
      <c r="S7858" s="4"/>
    </row>
    <row r="7859" spans="1:19" ht="21" customHeight="1" x14ac:dyDescent="0.25">
      <c r="A7859" s="14">
        <f>DATE(2012,12,31)-526</f>
        <v>40748</v>
      </c>
      <c r="B7859" s="15" t="s">
        <v>416</v>
      </c>
      <c r="C7859" s="15" t="s">
        <v>31</v>
      </c>
      <c r="D7859" s="16">
        <v>16</v>
      </c>
      <c r="E7859" s="17">
        <v>597.44000000000005</v>
      </c>
      <c r="F7859" s="16">
        <v>0.09</v>
      </c>
      <c r="G7859" s="15" t="s">
        <v>32</v>
      </c>
      <c r="H7859" s="18">
        <v>108.3</v>
      </c>
      <c r="I7859" s="19">
        <v>38.06</v>
      </c>
      <c r="J7859" s="19">
        <v>4.5</v>
      </c>
      <c r="K7859" s="19" t="s">
        <v>44</v>
      </c>
      <c r="L7859" s="19" t="s">
        <v>120</v>
      </c>
      <c r="M7859" s="15" t="s">
        <v>2262</v>
      </c>
      <c r="N7859" s="15" t="s">
        <v>36</v>
      </c>
      <c r="O7859" s="15" t="s">
        <v>176</v>
      </c>
      <c r="P7859" s="20" t="s">
        <v>2174</v>
      </c>
      <c r="Q7859" s="15" t="s">
        <v>83</v>
      </c>
      <c r="R7859" s="4"/>
      <c r="S7859" s="4"/>
    </row>
    <row r="7860" spans="1:19" ht="21" customHeight="1" x14ac:dyDescent="0.25">
      <c r="A7860" s="14">
        <f>DATE(2012,12,31)-526</f>
        <v>40748</v>
      </c>
      <c r="B7860" s="15" t="s">
        <v>1002</v>
      </c>
      <c r="C7860" s="15" t="s">
        <v>31</v>
      </c>
      <c r="D7860" s="16">
        <v>26</v>
      </c>
      <c r="E7860" s="17">
        <v>132.22999999999999</v>
      </c>
      <c r="F7860" s="16">
        <v>7.0000000000000007E-2</v>
      </c>
      <c r="G7860" s="15" t="s">
        <v>32</v>
      </c>
      <c r="H7860" s="18">
        <v>22.25</v>
      </c>
      <c r="I7860" s="19">
        <v>5.08</v>
      </c>
      <c r="J7860" s="19">
        <v>2.0299999999999998</v>
      </c>
      <c r="K7860" s="19" t="s">
        <v>44</v>
      </c>
      <c r="L7860" s="19" t="s">
        <v>89</v>
      </c>
      <c r="M7860" s="15" t="s">
        <v>2365</v>
      </c>
      <c r="N7860" s="15" t="s">
        <v>54</v>
      </c>
      <c r="O7860" s="15" t="s">
        <v>55</v>
      </c>
      <c r="P7860" s="20" t="s">
        <v>935</v>
      </c>
      <c r="Q7860" s="15" t="s">
        <v>79</v>
      </c>
      <c r="R7860" s="4"/>
      <c r="S7860" s="4"/>
    </row>
    <row r="7861" spans="1:19" ht="21" customHeight="1" x14ac:dyDescent="0.25">
      <c r="A7861" s="14">
        <f>DATE(2012,12,31)-526</f>
        <v>40748</v>
      </c>
      <c r="B7861" s="15" t="s">
        <v>1002</v>
      </c>
      <c r="C7861" s="15" t="s">
        <v>31</v>
      </c>
      <c r="D7861" s="16">
        <v>22</v>
      </c>
      <c r="E7861" s="17">
        <v>2403.1369999999997</v>
      </c>
      <c r="F7861" s="16">
        <v>0</v>
      </c>
      <c r="G7861" s="15" t="s">
        <v>32</v>
      </c>
      <c r="H7861" s="18">
        <v>377.62199999999996</v>
      </c>
      <c r="I7861" s="19">
        <v>125.99</v>
      </c>
      <c r="J7861" s="19">
        <v>8.99</v>
      </c>
      <c r="K7861" s="19" t="s">
        <v>44</v>
      </c>
      <c r="L7861" s="19" t="s">
        <v>89</v>
      </c>
      <c r="M7861" s="15" t="s">
        <v>2365</v>
      </c>
      <c r="N7861" s="15" t="s">
        <v>64</v>
      </c>
      <c r="O7861" s="15" t="s">
        <v>65</v>
      </c>
      <c r="P7861" s="20" t="s">
        <v>372</v>
      </c>
      <c r="Q7861" s="15" t="s">
        <v>83</v>
      </c>
      <c r="R7861" s="4"/>
      <c r="S7861" s="4"/>
    </row>
    <row r="7862" spans="1:19" ht="21" customHeight="1" x14ac:dyDescent="0.25">
      <c r="A7862" s="14">
        <f>DATE(2012,12,31)-526</f>
        <v>40748</v>
      </c>
      <c r="B7862" s="15" t="s">
        <v>648</v>
      </c>
      <c r="C7862" s="15" t="s">
        <v>31</v>
      </c>
      <c r="D7862" s="16">
        <v>48</v>
      </c>
      <c r="E7862" s="17">
        <v>5138.335</v>
      </c>
      <c r="F7862" s="16">
        <v>0.02</v>
      </c>
      <c r="G7862" s="15" t="s">
        <v>32</v>
      </c>
      <c r="H7862" s="18">
        <v>1422.1980000000001</v>
      </c>
      <c r="I7862" s="19">
        <v>125.99</v>
      </c>
      <c r="J7862" s="19">
        <v>8.08</v>
      </c>
      <c r="K7862" s="19" t="s">
        <v>44</v>
      </c>
      <c r="L7862" s="19" t="s">
        <v>120</v>
      </c>
      <c r="M7862" s="15" t="s">
        <v>2262</v>
      </c>
      <c r="N7862" s="15" t="s">
        <v>64</v>
      </c>
      <c r="O7862" s="15" t="s">
        <v>65</v>
      </c>
      <c r="P7862" s="20" t="s">
        <v>835</v>
      </c>
      <c r="Q7862" s="15" t="s">
        <v>83</v>
      </c>
      <c r="R7862" s="4"/>
      <c r="S7862" s="4"/>
    </row>
    <row r="7863" spans="1:19" ht="21" customHeight="1" x14ac:dyDescent="0.25">
      <c r="A7863" s="14">
        <f>DATE(2012,12,31)-372</f>
        <v>40902</v>
      </c>
      <c r="B7863" s="15" t="s">
        <v>648</v>
      </c>
      <c r="C7863" s="15" t="s">
        <v>43</v>
      </c>
      <c r="D7863" s="16">
        <v>41</v>
      </c>
      <c r="E7863" s="17">
        <v>170.82</v>
      </c>
      <c r="F7863" s="16">
        <v>0</v>
      </c>
      <c r="G7863" s="15" t="s">
        <v>101</v>
      </c>
      <c r="H7863" s="18">
        <v>85.45</v>
      </c>
      <c r="I7863" s="19">
        <v>3.69</v>
      </c>
      <c r="J7863" s="19">
        <v>0.5</v>
      </c>
      <c r="K7863" s="19" t="s">
        <v>44</v>
      </c>
      <c r="L7863" s="19" t="s">
        <v>80</v>
      </c>
      <c r="M7863" s="15" t="s">
        <v>2339</v>
      </c>
      <c r="N7863" s="15" t="s">
        <v>36</v>
      </c>
      <c r="O7863" s="15" t="s">
        <v>114</v>
      </c>
      <c r="P7863" s="20" t="s">
        <v>540</v>
      </c>
      <c r="Q7863" s="15" t="s">
        <v>83</v>
      </c>
      <c r="R7863" s="4"/>
      <c r="S7863" s="4"/>
    </row>
    <row r="7864" spans="1:19" ht="21" customHeight="1" x14ac:dyDescent="0.25">
      <c r="A7864" s="14">
        <f>DATE(2012,12,31)-372</f>
        <v>40902</v>
      </c>
      <c r="B7864" s="15" t="s">
        <v>648</v>
      </c>
      <c r="C7864" s="15" t="s">
        <v>43</v>
      </c>
      <c r="D7864" s="16">
        <v>4</v>
      </c>
      <c r="E7864" s="17">
        <v>1609.69</v>
      </c>
      <c r="F7864" s="16">
        <v>0.04</v>
      </c>
      <c r="G7864" s="15" t="s">
        <v>32</v>
      </c>
      <c r="H7864" s="18">
        <v>-281.17</v>
      </c>
      <c r="I7864" s="19">
        <v>419.19</v>
      </c>
      <c r="J7864" s="19">
        <v>19.989999999999998</v>
      </c>
      <c r="K7864" s="19" t="s">
        <v>44</v>
      </c>
      <c r="L7864" s="19" t="s">
        <v>89</v>
      </c>
      <c r="M7864" s="15" t="s">
        <v>2365</v>
      </c>
      <c r="N7864" s="15" t="s">
        <v>36</v>
      </c>
      <c r="O7864" s="15" t="s">
        <v>37</v>
      </c>
      <c r="P7864" s="20" t="s">
        <v>2022</v>
      </c>
      <c r="Q7864" s="15" t="s">
        <v>83</v>
      </c>
      <c r="R7864" s="4"/>
      <c r="S7864" s="4"/>
    </row>
    <row r="7865" spans="1:19" ht="21" customHeight="1" x14ac:dyDescent="0.25">
      <c r="A7865" s="14">
        <f>DATE(2012,12,31)-1416</f>
        <v>39858</v>
      </c>
      <c r="B7865" s="15" t="s">
        <v>648</v>
      </c>
      <c r="C7865" s="15" t="s">
        <v>43</v>
      </c>
      <c r="D7865" s="16">
        <v>34</v>
      </c>
      <c r="E7865" s="17">
        <v>6686.344000000001</v>
      </c>
      <c r="F7865" s="16">
        <v>0</v>
      </c>
      <c r="G7865" s="15" t="s">
        <v>58</v>
      </c>
      <c r="H7865" s="18">
        <v>1192.04</v>
      </c>
      <c r="I7865" s="19">
        <v>236.97</v>
      </c>
      <c r="J7865" s="19">
        <v>59.24</v>
      </c>
      <c r="K7865" s="19" t="s">
        <v>44</v>
      </c>
      <c r="L7865" s="19" t="s">
        <v>89</v>
      </c>
      <c r="M7865" s="15" t="s">
        <v>2365</v>
      </c>
      <c r="N7865" s="15" t="s">
        <v>54</v>
      </c>
      <c r="O7865" s="15" t="s">
        <v>61</v>
      </c>
      <c r="P7865" s="20" t="s">
        <v>220</v>
      </c>
      <c r="Q7865" s="15" t="s">
        <v>63</v>
      </c>
      <c r="R7865" s="4"/>
      <c r="S7865" s="4"/>
    </row>
    <row r="7866" spans="1:19" ht="21" customHeight="1" x14ac:dyDescent="0.25">
      <c r="A7866" s="14">
        <f>DATE(2012,12,31)-264</f>
        <v>41010</v>
      </c>
      <c r="B7866" s="15" t="s">
        <v>810</v>
      </c>
      <c r="C7866" s="15" t="s">
        <v>85</v>
      </c>
      <c r="D7866" s="16">
        <v>1</v>
      </c>
      <c r="E7866" s="17">
        <v>2728.65</v>
      </c>
      <c r="F7866" s="16">
        <v>0</v>
      </c>
      <c r="G7866" s="15" t="s">
        <v>58</v>
      </c>
      <c r="H7866" s="18">
        <v>-5572.3935000000001</v>
      </c>
      <c r="I7866" s="19">
        <v>2550.14</v>
      </c>
      <c r="J7866" s="19">
        <v>29.7</v>
      </c>
      <c r="K7866" s="19" t="s">
        <v>44</v>
      </c>
      <c r="L7866" s="19" t="s">
        <v>45</v>
      </c>
      <c r="M7866" s="15" t="s">
        <v>2356</v>
      </c>
      <c r="N7866" s="15" t="s">
        <v>64</v>
      </c>
      <c r="O7866" s="15" t="s">
        <v>122</v>
      </c>
      <c r="P7866" s="20" t="s">
        <v>326</v>
      </c>
      <c r="Q7866" s="15" t="s">
        <v>181</v>
      </c>
      <c r="R7866" s="4"/>
      <c r="S7866" s="4"/>
    </row>
    <row r="7867" spans="1:19" ht="21" customHeight="1" x14ac:dyDescent="0.25">
      <c r="A7867" s="14">
        <f>DATE(2012,12,31)-1411</f>
        <v>39863</v>
      </c>
      <c r="B7867" s="15" t="s">
        <v>2220</v>
      </c>
      <c r="C7867" s="15" t="s">
        <v>51</v>
      </c>
      <c r="D7867" s="16">
        <v>37</v>
      </c>
      <c r="E7867" s="17">
        <v>158.62</v>
      </c>
      <c r="F7867" s="16">
        <v>0.05</v>
      </c>
      <c r="G7867" s="15" t="s">
        <v>32</v>
      </c>
      <c r="H7867" s="18">
        <v>-104.57</v>
      </c>
      <c r="I7867" s="19">
        <v>4.28</v>
      </c>
      <c r="J7867" s="19">
        <v>5.17</v>
      </c>
      <c r="K7867" s="19" t="s">
        <v>124</v>
      </c>
      <c r="L7867" s="19" t="s">
        <v>160</v>
      </c>
      <c r="M7867" s="15" t="s">
        <v>2281</v>
      </c>
      <c r="N7867" s="15" t="s">
        <v>36</v>
      </c>
      <c r="O7867" s="15" t="s">
        <v>117</v>
      </c>
      <c r="P7867" s="20" t="s">
        <v>547</v>
      </c>
      <c r="Q7867" s="15" t="s">
        <v>83</v>
      </c>
      <c r="R7867" s="4"/>
      <c r="S7867" s="4"/>
    </row>
    <row r="7868" spans="1:19" ht="21" customHeight="1" x14ac:dyDescent="0.25">
      <c r="A7868" s="14">
        <f>DATE(2012,12,31)-406</f>
        <v>40868</v>
      </c>
      <c r="B7868" s="15" t="s">
        <v>1840</v>
      </c>
      <c r="C7868" s="15" t="s">
        <v>43</v>
      </c>
      <c r="D7868" s="16">
        <v>6</v>
      </c>
      <c r="E7868" s="17">
        <v>176.58</v>
      </c>
      <c r="F7868" s="16">
        <v>0.1</v>
      </c>
      <c r="G7868" s="15" t="s">
        <v>32</v>
      </c>
      <c r="H7868" s="18">
        <v>28.339000000000002</v>
      </c>
      <c r="I7868" s="19">
        <v>30.56</v>
      </c>
      <c r="J7868" s="19">
        <v>2.99</v>
      </c>
      <c r="K7868" s="19" t="s">
        <v>124</v>
      </c>
      <c r="L7868" s="19" t="s">
        <v>125</v>
      </c>
      <c r="M7868" s="15" t="s">
        <v>2358</v>
      </c>
      <c r="N7868" s="15" t="s">
        <v>36</v>
      </c>
      <c r="O7868" s="15" t="s">
        <v>170</v>
      </c>
      <c r="P7868" s="20" t="s">
        <v>1159</v>
      </c>
      <c r="Q7868" s="15" t="s">
        <v>83</v>
      </c>
      <c r="R7868" s="4"/>
      <c r="S7868" s="4"/>
    </row>
    <row r="7869" spans="1:19" ht="21" customHeight="1" x14ac:dyDescent="0.25">
      <c r="A7869" s="14">
        <f>DATE(2012,12,31)-406</f>
        <v>40868</v>
      </c>
      <c r="B7869" s="15" t="s">
        <v>1142</v>
      </c>
      <c r="C7869" s="15" t="s">
        <v>43</v>
      </c>
      <c r="D7869" s="16">
        <v>15</v>
      </c>
      <c r="E7869" s="17">
        <v>1121.8399999999999</v>
      </c>
      <c r="F7869" s="16">
        <v>0</v>
      </c>
      <c r="G7869" s="15" t="s">
        <v>32</v>
      </c>
      <c r="H7869" s="18">
        <v>-173.66</v>
      </c>
      <c r="I7869" s="19">
        <v>73.98</v>
      </c>
      <c r="J7869" s="19">
        <v>12.14</v>
      </c>
      <c r="K7869" s="19" t="s">
        <v>33</v>
      </c>
      <c r="L7869" s="19" t="s">
        <v>93</v>
      </c>
      <c r="M7869" s="15" t="s">
        <v>94</v>
      </c>
      <c r="N7869" s="15" t="s">
        <v>64</v>
      </c>
      <c r="O7869" s="15" t="s">
        <v>72</v>
      </c>
      <c r="P7869" s="20" t="s">
        <v>1677</v>
      </c>
      <c r="Q7869" s="15" t="s">
        <v>83</v>
      </c>
      <c r="R7869" s="4"/>
      <c r="S7869" s="4"/>
    </row>
    <row r="7870" spans="1:19" ht="21" customHeight="1" x14ac:dyDescent="0.25">
      <c r="A7870" s="14">
        <f>DATE(2012,12,31)-1313</f>
        <v>39961</v>
      </c>
      <c r="B7870" s="15" t="s">
        <v>1142</v>
      </c>
      <c r="C7870" s="15" t="s">
        <v>85</v>
      </c>
      <c r="D7870" s="16">
        <v>11</v>
      </c>
      <c r="E7870" s="17">
        <v>73.62</v>
      </c>
      <c r="F7870" s="16">
        <v>0.03</v>
      </c>
      <c r="G7870" s="15" t="s">
        <v>32</v>
      </c>
      <c r="H7870" s="18">
        <v>-23.5</v>
      </c>
      <c r="I7870" s="19">
        <v>5.98</v>
      </c>
      <c r="J7870" s="19">
        <v>5.35</v>
      </c>
      <c r="K7870" s="19" t="s">
        <v>33</v>
      </c>
      <c r="L7870" s="19" t="s">
        <v>128</v>
      </c>
      <c r="M7870" s="15" t="s">
        <v>129</v>
      </c>
      <c r="N7870" s="15" t="s">
        <v>36</v>
      </c>
      <c r="O7870" s="15" t="s">
        <v>117</v>
      </c>
      <c r="P7870" s="20" t="s">
        <v>802</v>
      </c>
      <c r="Q7870" s="15" t="s">
        <v>83</v>
      </c>
      <c r="R7870" s="4"/>
      <c r="S7870" s="4"/>
    </row>
    <row r="7871" spans="1:19" ht="21" customHeight="1" x14ac:dyDescent="0.25">
      <c r="A7871" s="14">
        <f>DATE(2012,12,31)-324</f>
        <v>40950</v>
      </c>
      <c r="B7871" s="15" t="s">
        <v>2366</v>
      </c>
      <c r="C7871" s="15" t="s">
        <v>31</v>
      </c>
      <c r="D7871" s="16">
        <v>3</v>
      </c>
      <c r="E7871" s="17">
        <v>110</v>
      </c>
      <c r="F7871" s="16">
        <v>0.02</v>
      </c>
      <c r="G7871" s="15" t="s">
        <v>32</v>
      </c>
      <c r="H7871" s="18">
        <v>-24.425999999999998</v>
      </c>
      <c r="I7871" s="19">
        <v>30.98</v>
      </c>
      <c r="J7871" s="19">
        <v>11.63</v>
      </c>
      <c r="K7871" s="19" t="s">
        <v>33</v>
      </c>
      <c r="L7871" s="19" t="s">
        <v>93</v>
      </c>
      <c r="M7871" s="15" t="s">
        <v>94</v>
      </c>
      <c r="N7871" s="15" t="s">
        <v>36</v>
      </c>
      <c r="O7871" s="15" t="s">
        <v>170</v>
      </c>
      <c r="P7871" s="20" t="s">
        <v>2156</v>
      </c>
      <c r="Q7871" s="15" t="s">
        <v>83</v>
      </c>
      <c r="R7871" s="4"/>
      <c r="S7871" s="4"/>
    </row>
    <row r="7872" spans="1:19" ht="21" customHeight="1" x14ac:dyDescent="0.25">
      <c r="A7872" s="14">
        <f>DATE(2012,12,31)-324</f>
        <v>40950</v>
      </c>
      <c r="B7872" s="15" t="s">
        <v>2366</v>
      </c>
      <c r="C7872" s="15" t="s">
        <v>31</v>
      </c>
      <c r="D7872" s="16">
        <v>35</v>
      </c>
      <c r="E7872" s="17">
        <v>186.89</v>
      </c>
      <c r="F7872" s="16">
        <v>0.02</v>
      </c>
      <c r="G7872" s="15" t="s">
        <v>32</v>
      </c>
      <c r="H7872" s="18">
        <v>-153.19999999999999</v>
      </c>
      <c r="I7872" s="19">
        <v>4.9800000000000004</v>
      </c>
      <c r="J7872" s="19">
        <v>7.54</v>
      </c>
      <c r="K7872" s="19" t="s">
        <v>33</v>
      </c>
      <c r="L7872" s="19" t="s">
        <v>93</v>
      </c>
      <c r="M7872" s="15" t="s">
        <v>94</v>
      </c>
      <c r="N7872" s="15" t="s">
        <v>36</v>
      </c>
      <c r="O7872" s="15" t="s">
        <v>117</v>
      </c>
      <c r="P7872" s="20" t="s">
        <v>1662</v>
      </c>
      <c r="Q7872" s="15" t="s">
        <v>83</v>
      </c>
      <c r="R7872" s="4"/>
      <c r="S7872" s="4"/>
    </row>
    <row r="7873" spans="1:19" ht="21" customHeight="1" x14ac:dyDescent="0.25">
      <c r="A7873" s="14">
        <f>DATE(2012,12,31)-584</f>
        <v>40690</v>
      </c>
      <c r="B7873" s="15" t="s">
        <v>2366</v>
      </c>
      <c r="C7873" s="15" t="s">
        <v>85</v>
      </c>
      <c r="D7873" s="16">
        <v>17</v>
      </c>
      <c r="E7873" s="17">
        <v>979.52</v>
      </c>
      <c r="F7873" s="16">
        <v>0.1</v>
      </c>
      <c r="G7873" s="15" t="s">
        <v>58</v>
      </c>
      <c r="H7873" s="18">
        <v>-362.04</v>
      </c>
      <c r="I7873" s="19">
        <v>58.14</v>
      </c>
      <c r="J7873" s="19">
        <v>36.61</v>
      </c>
      <c r="K7873" s="19" t="s">
        <v>33</v>
      </c>
      <c r="L7873" s="19" t="s">
        <v>128</v>
      </c>
      <c r="M7873" s="15" t="s">
        <v>129</v>
      </c>
      <c r="N7873" s="15" t="s">
        <v>54</v>
      </c>
      <c r="O7873" s="15" t="s">
        <v>134</v>
      </c>
      <c r="P7873" s="20" t="s">
        <v>1613</v>
      </c>
      <c r="Q7873" s="15" t="s">
        <v>63</v>
      </c>
      <c r="R7873" s="4"/>
      <c r="S7873" s="4"/>
    </row>
    <row r="7874" spans="1:19" ht="21" customHeight="1" x14ac:dyDescent="0.25">
      <c r="A7874" s="14">
        <f>DATE(2012,12,31)-584</f>
        <v>40690</v>
      </c>
      <c r="B7874" s="15" t="s">
        <v>1872</v>
      </c>
      <c r="C7874" s="15" t="s">
        <v>85</v>
      </c>
      <c r="D7874" s="16">
        <v>18</v>
      </c>
      <c r="E7874" s="17">
        <v>126.62</v>
      </c>
      <c r="F7874" s="16">
        <v>0.08</v>
      </c>
      <c r="G7874" s="15" t="s">
        <v>101</v>
      </c>
      <c r="H7874" s="18">
        <v>60.79</v>
      </c>
      <c r="I7874" s="19">
        <v>6.3</v>
      </c>
      <c r="J7874" s="19">
        <v>0.5</v>
      </c>
      <c r="K7874" s="19" t="s">
        <v>33</v>
      </c>
      <c r="L7874" s="19" t="s">
        <v>128</v>
      </c>
      <c r="M7874" s="15" t="s">
        <v>129</v>
      </c>
      <c r="N7874" s="15" t="s">
        <v>36</v>
      </c>
      <c r="O7874" s="15" t="s">
        <v>114</v>
      </c>
      <c r="P7874" s="20" t="s">
        <v>1902</v>
      </c>
      <c r="Q7874" s="15" t="s">
        <v>83</v>
      </c>
      <c r="R7874" s="4"/>
      <c r="S7874" s="4"/>
    </row>
    <row r="7875" spans="1:19" ht="21" customHeight="1" x14ac:dyDescent="0.25">
      <c r="A7875" s="14">
        <f>DATE(2012,12,31)-1246</f>
        <v>40028</v>
      </c>
      <c r="B7875" s="15" t="s">
        <v>1872</v>
      </c>
      <c r="C7875" s="15" t="s">
        <v>85</v>
      </c>
      <c r="D7875" s="16">
        <v>6</v>
      </c>
      <c r="E7875" s="17">
        <v>27.89</v>
      </c>
      <c r="F7875" s="16">
        <v>0.08</v>
      </c>
      <c r="G7875" s="15" t="s">
        <v>32</v>
      </c>
      <c r="H7875" s="18">
        <v>-23.805</v>
      </c>
      <c r="I7875" s="19">
        <v>3.98</v>
      </c>
      <c r="J7875" s="19">
        <v>5.26</v>
      </c>
      <c r="K7875" s="19" t="s">
        <v>33</v>
      </c>
      <c r="L7875" s="19" t="s">
        <v>93</v>
      </c>
      <c r="M7875" s="15" t="s">
        <v>94</v>
      </c>
      <c r="N7875" s="15" t="s">
        <v>36</v>
      </c>
      <c r="O7875" s="15" t="s">
        <v>170</v>
      </c>
      <c r="P7875" s="20" t="s">
        <v>1586</v>
      </c>
      <c r="Q7875" s="15" t="s">
        <v>83</v>
      </c>
      <c r="R7875" s="4"/>
      <c r="S7875" s="4"/>
    </row>
    <row r="7876" spans="1:19" ht="21" customHeight="1" x14ac:dyDescent="0.25">
      <c r="A7876" s="14">
        <f>DATE(2012,12,31)-1246</f>
        <v>40028</v>
      </c>
      <c r="B7876" s="15" t="s">
        <v>465</v>
      </c>
      <c r="C7876" s="15" t="s">
        <v>85</v>
      </c>
      <c r="D7876" s="16">
        <v>24</v>
      </c>
      <c r="E7876" s="17">
        <v>2560.9395</v>
      </c>
      <c r="F7876" s="16">
        <v>0.06</v>
      </c>
      <c r="G7876" s="15" t="s">
        <v>32</v>
      </c>
      <c r="H7876" s="18">
        <v>457.79400000000004</v>
      </c>
      <c r="I7876" s="19">
        <v>125.99</v>
      </c>
      <c r="J7876" s="19">
        <v>2.5</v>
      </c>
      <c r="K7876" s="19" t="s">
        <v>97</v>
      </c>
      <c r="L7876" s="19" t="s">
        <v>98</v>
      </c>
      <c r="M7876" s="15" t="s">
        <v>2363</v>
      </c>
      <c r="N7876" s="15" t="s">
        <v>64</v>
      </c>
      <c r="O7876" s="15" t="s">
        <v>65</v>
      </c>
      <c r="P7876" s="20" t="s">
        <v>1006</v>
      </c>
      <c r="Q7876" s="15" t="s">
        <v>83</v>
      </c>
      <c r="R7876" s="4"/>
      <c r="S7876" s="4"/>
    </row>
    <row r="7877" spans="1:19" ht="21" customHeight="1" x14ac:dyDescent="0.25">
      <c r="A7877" s="14">
        <f>DATE(2012,12,31)-117</f>
        <v>41157</v>
      </c>
      <c r="B7877" s="15" t="s">
        <v>175</v>
      </c>
      <c r="C7877" s="15" t="s">
        <v>85</v>
      </c>
      <c r="D7877" s="16">
        <v>7</v>
      </c>
      <c r="E7877" s="17">
        <v>1339.0240000000001</v>
      </c>
      <c r="F7877" s="16">
        <v>0.03</v>
      </c>
      <c r="G7877" s="15" t="s">
        <v>58</v>
      </c>
      <c r="H7877" s="18">
        <v>-211.51</v>
      </c>
      <c r="I7877" s="19">
        <v>218.75</v>
      </c>
      <c r="J7877" s="19">
        <v>69.64</v>
      </c>
      <c r="K7877" s="19" t="s">
        <v>97</v>
      </c>
      <c r="L7877" s="19" t="s">
        <v>132</v>
      </c>
      <c r="M7877" s="15" t="s">
        <v>2294</v>
      </c>
      <c r="N7877" s="15" t="s">
        <v>54</v>
      </c>
      <c r="O7877" s="15" t="s">
        <v>61</v>
      </c>
      <c r="P7877" s="20" t="s">
        <v>1164</v>
      </c>
      <c r="Q7877" s="15" t="s">
        <v>63</v>
      </c>
      <c r="R7877" s="4"/>
      <c r="S7877" s="4"/>
    </row>
    <row r="7878" spans="1:19" ht="21" customHeight="1" x14ac:dyDescent="0.25">
      <c r="A7878" s="14">
        <f>DATE(2012,12,31)-633</f>
        <v>40641</v>
      </c>
      <c r="B7878" s="15" t="s">
        <v>175</v>
      </c>
      <c r="C7878" s="15" t="s">
        <v>43</v>
      </c>
      <c r="D7878" s="16">
        <v>37</v>
      </c>
      <c r="E7878" s="17">
        <v>823.78</v>
      </c>
      <c r="F7878" s="16">
        <v>0.03</v>
      </c>
      <c r="G7878" s="15" t="s">
        <v>101</v>
      </c>
      <c r="H7878" s="18">
        <v>343.05</v>
      </c>
      <c r="I7878" s="19">
        <v>22.23</v>
      </c>
      <c r="J7878" s="19">
        <v>5.08</v>
      </c>
      <c r="K7878" s="19" t="s">
        <v>97</v>
      </c>
      <c r="L7878" s="19" t="s">
        <v>98</v>
      </c>
      <c r="M7878" s="15" t="s">
        <v>2363</v>
      </c>
      <c r="N7878" s="15" t="s">
        <v>54</v>
      </c>
      <c r="O7878" s="15" t="s">
        <v>55</v>
      </c>
      <c r="P7878" s="20" t="s">
        <v>535</v>
      </c>
      <c r="Q7878" s="15" t="s">
        <v>49</v>
      </c>
      <c r="R7878" s="4"/>
      <c r="S7878" s="4"/>
    </row>
    <row r="7879" spans="1:19" ht="21" customHeight="1" x14ac:dyDescent="0.25">
      <c r="A7879" s="14">
        <f>DATE(2012,12,31)-633</f>
        <v>40641</v>
      </c>
      <c r="B7879" s="15" t="s">
        <v>2057</v>
      </c>
      <c r="C7879" s="15" t="s">
        <v>43</v>
      </c>
      <c r="D7879" s="16">
        <v>8</v>
      </c>
      <c r="E7879" s="17">
        <v>469.83749999999998</v>
      </c>
      <c r="F7879" s="16">
        <v>0</v>
      </c>
      <c r="G7879" s="15" t="s">
        <v>32</v>
      </c>
      <c r="H7879" s="18">
        <v>-159.23599999999999</v>
      </c>
      <c r="I7879" s="19">
        <v>65.989999999999995</v>
      </c>
      <c r="J7879" s="19">
        <v>8.99</v>
      </c>
      <c r="K7879" s="19" t="s">
        <v>97</v>
      </c>
      <c r="L7879" s="19" t="s">
        <v>132</v>
      </c>
      <c r="M7879" s="15" t="s">
        <v>2294</v>
      </c>
      <c r="N7879" s="15" t="s">
        <v>64</v>
      </c>
      <c r="O7879" s="15" t="s">
        <v>65</v>
      </c>
      <c r="P7879" s="20" t="s">
        <v>583</v>
      </c>
      <c r="Q7879" s="15" t="s">
        <v>83</v>
      </c>
      <c r="R7879" s="4"/>
      <c r="S7879" s="4"/>
    </row>
    <row r="7880" spans="1:19" ht="21" customHeight="1" x14ac:dyDescent="0.25">
      <c r="A7880" s="14">
        <f>DATE(2012,12,31)-633</f>
        <v>40641</v>
      </c>
      <c r="B7880" s="15" t="s">
        <v>2057</v>
      </c>
      <c r="C7880" s="15" t="s">
        <v>43</v>
      </c>
      <c r="D7880" s="16">
        <v>33</v>
      </c>
      <c r="E7880" s="17">
        <v>647.77</v>
      </c>
      <c r="F7880" s="16">
        <v>0.09</v>
      </c>
      <c r="G7880" s="15" t="s">
        <v>32</v>
      </c>
      <c r="H7880" s="18">
        <v>166.85</v>
      </c>
      <c r="I7880" s="19">
        <v>19.98</v>
      </c>
      <c r="J7880" s="19">
        <v>5.77</v>
      </c>
      <c r="K7880" s="19" t="s">
        <v>124</v>
      </c>
      <c r="L7880" s="19" t="s">
        <v>493</v>
      </c>
      <c r="M7880" s="15" t="s">
        <v>2367</v>
      </c>
      <c r="N7880" s="15" t="s">
        <v>36</v>
      </c>
      <c r="O7880" s="15" t="s">
        <v>117</v>
      </c>
      <c r="P7880" s="20" t="s">
        <v>1420</v>
      </c>
      <c r="Q7880" s="15" t="s">
        <v>83</v>
      </c>
      <c r="R7880" s="4"/>
      <c r="S7880" s="4"/>
    </row>
    <row r="7881" spans="1:19" ht="21" customHeight="1" x14ac:dyDescent="0.25">
      <c r="A7881" s="14">
        <f>DATE(2012,12,31)-425</f>
        <v>40849</v>
      </c>
      <c r="B7881" s="15" t="s">
        <v>2057</v>
      </c>
      <c r="C7881" s="15" t="s">
        <v>85</v>
      </c>
      <c r="D7881" s="16">
        <v>30</v>
      </c>
      <c r="E7881" s="17">
        <v>7497.08</v>
      </c>
      <c r="F7881" s="16">
        <v>0.02</v>
      </c>
      <c r="G7881" s="15" t="s">
        <v>58</v>
      </c>
      <c r="H7881" s="18">
        <v>698.67</v>
      </c>
      <c r="I7881" s="19">
        <v>296.18</v>
      </c>
      <c r="J7881" s="19">
        <v>54.12</v>
      </c>
      <c r="K7881" s="19" t="s">
        <v>124</v>
      </c>
      <c r="L7881" s="19" t="s">
        <v>160</v>
      </c>
      <c r="M7881" s="15" t="s">
        <v>2281</v>
      </c>
      <c r="N7881" s="15" t="s">
        <v>54</v>
      </c>
      <c r="O7881" s="15" t="s">
        <v>61</v>
      </c>
      <c r="P7881" s="20" t="s">
        <v>868</v>
      </c>
      <c r="Q7881" s="15" t="s">
        <v>63</v>
      </c>
      <c r="R7881" s="4"/>
      <c r="S7881" s="4"/>
    </row>
    <row r="7882" spans="1:19" ht="21" customHeight="1" x14ac:dyDescent="0.25">
      <c r="A7882" s="14">
        <f>DATE(2012,12,31)-425</f>
        <v>40849</v>
      </c>
      <c r="B7882" s="15" t="s">
        <v>1181</v>
      </c>
      <c r="C7882" s="15" t="s">
        <v>85</v>
      </c>
      <c r="D7882" s="16">
        <v>19</v>
      </c>
      <c r="E7882" s="17">
        <v>1134.2</v>
      </c>
      <c r="F7882" s="16">
        <v>0.08</v>
      </c>
      <c r="G7882" s="15" t="s">
        <v>58</v>
      </c>
      <c r="H7882" s="18">
        <v>-351.51</v>
      </c>
      <c r="I7882" s="19">
        <v>58.14</v>
      </c>
      <c r="J7882" s="19">
        <v>36.61</v>
      </c>
      <c r="K7882" s="19" t="s">
        <v>124</v>
      </c>
      <c r="L7882" s="19" t="s">
        <v>160</v>
      </c>
      <c r="M7882" s="15" t="s">
        <v>2281</v>
      </c>
      <c r="N7882" s="15" t="s">
        <v>54</v>
      </c>
      <c r="O7882" s="15" t="s">
        <v>134</v>
      </c>
      <c r="P7882" s="20" t="s">
        <v>2173</v>
      </c>
      <c r="Q7882" s="15" t="s">
        <v>63</v>
      </c>
      <c r="R7882" s="4"/>
      <c r="S7882" s="4"/>
    </row>
    <row r="7883" spans="1:19" ht="21" customHeight="1" x14ac:dyDescent="0.25">
      <c r="A7883" s="14">
        <f>DATE(2012,12,31)-505</f>
        <v>40769</v>
      </c>
      <c r="B7883" s="15" t="s">
        <v>1409</v>
      </c>
      <c r="C7883" s="15" t="s">
        <v>43</v>
      </c>
      <c r="D7883" s="16">
        <v>9</v>
      </c>
      <c r="E7883" s="17">
        <v>73.05</v>
      </c>
      <c r="F7883" s="16">
        <v>0.1</v>
      </c>
      <c r="G7883" s="15" t="s">
        <v>32</v>
      </c>
      <c r="H7883" s="18">
        <v>-17.03</v>
      </c>
      <c r="I7883" s="19">
        <v>8.34</v>
      </c>
      <c r="J7883" s="19">
        <v>4.82</v>
      </c>
      <c r="K7883" s="19" t="s">
        <v>124</v>
      </c>
      <c r="L7883" s="19" t="s">
        <v>160</v>
      </c>
      <c r="M7883" s="15" t="s">
        <v>2281</v>
      </c>
      <c r="N7883" s="15" t="s">
        <v>36</v>
      </c>
      <c r="O7883" s="15" t="s">
        <v>117</v>
      </c>
      <c r="P7883" s="20" t="s">
        <v>314</v>
      </c>
      <c r="Q7883" s="15" t="s">
        <v>83</v>
      </c>
      <c r="R7883" s="4"/>
      <c r="S7883" s="4"/>
    </row>
    <row r="7884" spans="1:19" ht="21" customHeight="1" x14ac:dyDescent="0.25">
      <c r="A7884" s="14">
        <f>DATE(2012,12,31)-505</f>
        <v>40769</v>
      </c>
      <c r="B7884" s="15" t="s">
        <v>1409</v>
      </c>
      <c r="C7884" s="15" t="s">
        <v>43</v>
      </c>
      <c r="D7884" s="16">
        <v>44</v>
      </c>
      <c r="E7884" s="17">
        <v>950.3</v>
      </c>
      <c r="F7884" s="16">
        <v>0.1</v>
      </c>
      <c r="G7884" s="15" t="s">
        <v>58</v>
      </c>
      <c r="H7884" s="18">
        <v>-2103.0500000000002</v>
      </c>
      <c r="I7884" s="19">
        <v>20.98</v>
      </c>
      <c r="J7884" s="19">
        <v>53.03</v>
      </c>
      <c r="K7884" s="19" t="s">
        <v>124</v>
      </c>
      <c r="L7884" s="19" t="s">
        <v>160</v>
      </c>
      <c r="M7884" s="15" t="s">
        <v>2281</v>
      </c>
      <c r="N7884" s="15" t="s">
        <v>36</v>
      </c>
      <c r="O7884" s="15" t="s">
        <v>37</v>
      </c>
      <c r="P7884" s="20" t="s">
        <v>425</v>
      </c>
      <c r="Q7884" s="15" t="s">
        <v>181</v>
      </c>
      <c r="R7884" s="4"/>
      <c r="S7884" s="4"/>
    </row>
    <row r="7885" spans="1:19" ht="21" customHeight="1" x14ac:dyDescent="0.25">
      <c r="A7885" s="14">
        <f>DATE(2012,12,31)-505</f>
        <v>40769</v>
      </c>
      <c r="B7885" s="15" t="s">
        <v>1751</v>
      </c>
      <c r="C7885" s="15" t="s">
        <v>43</v>
      </c>
      <c r="D7885" s="16">
        <v>29</v>
      </c>
      <c r="E7885" s="17">
        <v>8122.53</v>
      </c>
      <c r="F7885" s="16">
        <v>0.05</v>
      </c>
      <c r="G7885" s="15" t="s">
        <v>58</v>
      </c>
      <c r="H7885" s="18">
        <v>-693.23039500000016</v>
      </c>
      <c r="I7885" s="19">
        <v>286.85000000000002</v>
      </c>
      <c r="J7885" s="19">
        <v>61.76</v>
      </c>
      <c r="K7885" s="19" t="s">
        <v>124</v>
      </c>
      <c r="L7885" s="19" t="s">
        <v>160</v>
      </c>
      <c r="M7885" s="15" t="s">
        <v>2281</v>
      </c>
      <c r="N7885" s="15" t="s">
        <v>54</v>
      </c>
      <c r="O7885" s="15" t="s">
        <v>61</v>
      </c>
      <c r="P7885" s="20" t="s">
        <v>711</v>
      </c>
      <c r="Q7885" s="15" t="s">
        <v>63</v>
      </c>
      <c r="R7885" s="4"/>
      <c r="S7885" s="4"/>
    </row>
    <row r="7886" spans="1:19" ht="21" customHeight="1" x14ac:dyDescent="0.25">
      <c r="A7886" s="14">
        <f>DATE(2012,12,31)-1422</f>
        <v>39852</v>
      </c>
      <c r="B7886" s="15" t="s">
        <v>1751</v>
      </c>
      <c r="C7886" s="15" t="s">
        <v>51</v>
      </c>
      <c r="D7886" s="16">
        <v>20</v>
      </c>
      <c r="E7886" s="17">
        <v>2026.01</v>
      </c>
      <c r="F7886" s="16">
        <v>0.1</v>
      </c>
      <c r="G7886" s="15" t="s">
        <v>101</v>
      </c>
      <c r="H7886" s="18">
        <v>580.42999999999995</v>
      </c>
      <c r="I7886" s="19">
        <v>105.98</v>
      </c>
      <c r="J7886" s="19">
        <v>13.99</v>
      </c>
      <c r="K7886" s="19" t="s">
        <v>124</v>
      </c>
      <c r="L7886" s="19" t="s">
        <v>160</v>
      </c>
      <c r="M7886" s="15" t="s">
        <v>2281</v>
      </c>
      <c r="N7886" s="15" t="s">
        <v>54</v>
      </c>
      <c r="O7886" s="15" t="s">
        <v>55</v>
      </c>
      <c r="P7886" s="20" t="s">
        <v>200</v>
      </c>
      <c r="Q7886" s="15" t="s">
        <v>57</v>
      </c>
      <c r="R7886" s="4"/>
      <c r="S7886" s="4"/>
    </row>
    <row r="7887" spans="1:19" ht="21" customHeight="1" x14ac:dyDescent="0.25">
      <c r="A7887" s="14">
        <f>DATE(2012,12,31)-1298</f>
        <v>39976</v>
      </c>
      <c r="B7887" s="15" t="s">
        <v>500</v>
      </c>
      <c r="C7887" s="15" t="s">
        <v>31</v>
      </c>
      <c r="D7887" s="16">
        <v>25</v>
      </c>
      <c r="E7887" s="17">
        <v>2612.89</v>
      </c>
      <c r="F7887" s="16">
        <v>0.04</v>
      </c>
      <c r="G7887" s="15" t="s">
        <v>32</v>
      </c>
      <c r="H7887" s="18">
        <v>490.99</v>
      </c>
      <c r="I7887" s="19">
        <v>105.29</v>
      </c>
      <c r="J7887" s="19">
        <v>10.119999999999999</v>
      </c>
      <c r="K7887" s="19" t="s">
        <v>124</v>
      </c>
      <c r="L7887" s="19" t="s">
        <v>160</v>
      </c>
      <c r="M7887" s="15" t="s">
        <v>2281</v>
      </c>
      <c r="N7887" s="15" t="s">
        <v>54</v>
      </c>
      <c r="O7887" s="15" t="s">
        <v>55</v>
      </c>
      <c r="P7887" s="20" t="s">
        <v>694</v>
      </c>
      <c r="Q7887" s="15" t="s">
        <v>39</v>
      </c>
      <c r="R7887" s="4"/>
      <c r="S7887" s="4"/>
    </row>
    <row r="7888" spans="1:19" ht="21" customHeight="1" x14ac:dyDescent="0.25">
      <c r="A7888" s="14">
        <f>DATE(2012,12,31)-1298</f>
        <v>39976</v>
      </c>
      <c r="B7888" s="15" t="s">
        <v>1041</v>
      </c>
      <c r="C7888" s="15" t="s">
        <v>31</v>
      </c>
      <c r="D7888" s="16">
        <v>47</v>
      </c>
      <c r="E7888" s="17">
        <v>1146.992</v>
      </c>
      <c r="F7888" s="16">
        <v>7.0000000000000007E-2</v>
      </c>
      <c r="G7888" s="15" t="s">
        <v>58</v>
      </c>
      <c r="H7888" s="18">
        <v>-1643.74</v>
      </c>
      <c r="I7888" s="19">
        <v>31.76</v>
      </c>
      <c r="J7888" s="19">
        <v>45.51</v>
      </c>
      <c r="K7888" s="19" t="s">
        <v>124</v>
      </c>
      <c r="L7888" s="19" t="s">
        <v>168</v>
      </c>
      <c r="M7888" s="15" t="s">
        <v>2362</v>
      </c>
      <c r="N7888" s="15" t="s">
        <v>54</v>
      </c>
      <c r="O7888" s="15" t="s">
        <v>61</v>
      </c>
      <c r="P7888" s="20" t="s">
        <v>2093</v>
      </c>
      <c r="Q7888" s="15" t="s">
        <v>63</v>
      </c>
      <c r="R7888" s="4"/>
      <c r="S7888" s="4"/>
    </row>
    <row r="7889" spans="1:19" ht="21" customHeight="1" x14ac:dyDescent="0.25">
      <c r="A7889" s="14">
        <f>DATE(2012,12,31)-1298</f>
        <v>39976</v>
      </c>
      <c r="B7889" s="15" t="s">
        <v>1041</v>
      </c>
      <c r="C7889" s="15" t="s">
        <v>31</v>
      </c>
      <c r="D7889" s="16">
        <v>36</v>
      </c>
      <c r="E7889" s="17">
        <v>4581.41</v>
      </c>
      <c r="F7889" s="16">
        <v>0.04</v>
      </c>
      <c r="G7889" s="15" t="s">
        <v>58</v>
      </c>
      <c r="H7889" s="18">
        <v>-904.73</v>
      </c>
      <c r="I7889" s="19">
        <v>130.97999999999999</v>
      </c>
      <c r="J7889" s="19">
        <v>54.74</v>
      </c>
      <c r="K7889" s="19" t="s">
        <v>124</v>
      </c>
      <c r="L7889" s="19" t="s">
        <v>168</v>
      </c>
      <c r="M7889" s="15" t="s">
        <v>2362</v>
      </c>
      <c r="N7889" s="15" t="s">
        <v>54</v>
      </c>
      <c r="O7889" s="15" t="s">
        <v>134</v>
      </c>
      <c r="P7889" s="20" t="s">
        <v>1126</v>
      </c>
      <c r="Q7889" s="15" t="s">
        <v>63</v>
      </c>
      <c r="R7889" s="4"/>
      <c r="S7889" s="4"/>
    </row>
    <row r="7890" spans="1:19" ht="21" customHeight="1" x14ac:dyDescent="0.25">
      <c r="A7890" s="14">
        <f>DATE(2012,12,31)-1139</f>
        <v>40135</v>
      </c>
      <c r="B7890" s="15" t="s">
        <v>1041</v>
      </c>
      <c r="C7890" s="15" t="s">
        <v>85</v>
      </c>
      <c r="D7890" s="16">
        <v>23</v>
      </c>
      <c r="E7890" s="17">
        <v>42.23</v>
      </c>
      <c r="F7890" s="16">
        <v>0.1</v>
      </c>
      <c r="G7890" s="15" t="s">
        <v>32</v>
      </c>
      <c r="H7890" s="18">
        <v>-15.11</v>
      </c>
      <c r="I7890" s="19">
        <v>1.89</v>
      </c>
      <c r="J7890" s="19">
        <v>0.76</v>
      </c>
      <c r="K7890" s="19" t="s">
        <v>124</v>
      </c>
      <c r="L7890" s="19" t="s">
        <v>164</v>
      </c>
      <c r="M7890" s="15" t="s">
        <v>2360</v>
      </c>
      <c r="N7890" s="15" t="s">
        <v>36</v>
      </c>
      <c r="O7890" s="15" t="s">
        <v>105</v>
      </c>
      <c r="P7890" s="20" t="s">
        <v>1679</v>
      </c>
      <c r="Q7890" s="15" t="s">
        <v>79</v>
      </c>
      <c r="R7890" s="4"/>
      <c r="S7890" s="4"/>
    </row>
    <row r="7891" spans="1:19" ht="21" customHeight="1" x14ac:dyDescent="0.25">
      <c r="A7891" s="14">
        <f>DATE(2012,12,31)-1030</f>
        <v>40244</v>
      </c>
      <c r="B7891" s="15" t="s">
        <v>1041</v>
      </c>
      <c r="C7891" s="15" t="s">
        <v>85</v>
      </c>
      <c r="D7891" s="16">
        <v>20</v>
      </c>
      <c r="E7891" s="17">
        <v>857.95</v>
      </c>
      <c r="F7891" s="16">
        <v>0.08</v>
      </c>
      <c r="G7891" s="15" t="s">
        <v>101</v>
      </c>
      <c r="H7891" s="18">
        <v>51.85</v>
      </c>
      <c r="I7891" s="19">
        <v>43.22</v>
      </c>
      <c r="J7891" s="19">
        <v>4</v>
      </c>
      <c r="K7891" s="19" t="s">
        <v>124</v>
      </c>
      <c r="L7891" s="19" t="s">
        <v>158</v>
      </c>
      <c r="M7891" s="15" t="s">
        <v>158</v>
      </c>
      <c r="N7891" s="15" t="s">
        <v>64</v>
      </c>
      <c r="O7891" s="15" t="s">
        <v>72</v>
      </c>
      <c r="P7891" s="20" t="s">
        <v>174</v>
      </c>
      <c r="Q7891" s="15" t="s">
        <v>83</v>
      </c>
      <c r="R7891" s="4"/>
      <c r="S7891" s="4"/>
    </row>
    <row r="7892" spans="1:19" ht="21" customHeight="1" x14ac:dyDescent="0.25">
      <c r="A7892" s="14">
        <f>DATE(2012,12,31)-1258</f>
        <v>40016</v>
      </c>
      <c r="B7892" s="15" t="s">
        <v>1311</v>
      </c>
      <c r="C7892" s="15" t="s">
        <v>51</v>
      </c>
      <c r="D7892" s="16">
        <v>38</v>
      </c>
      <c r="E7892" s="17">
        <v>4008.7274999999995</v>
      </c>
      <c r="F7892" s="16">
        <v>0</v>
      </c>
      <c r="G7892" s="15" t="s">
        <v>32</v>
      </c>
      <c r="H7892" s="18">
        <v>1219.338</v>
      </c>
      <c r="I7892" s="19">
        <v>115.99</v>
      </c>
      <c r="J7892" s="19">
        <v>5.92</v>
      </c>
      <c r="K7892" s="19" t="s">
        <v>124</v>
      </c>
      <c r="L7892" s="19" t="s">
        <v>164</v>
      </c>
      <c r="M7892" s="15" t="s">
        <v>2360</v>
      </c>
      <c r="N7892" s="15" t="s">
        <v>64</v>
      </c>
      <c r="O7892" s="15" t="s">
        <v>65</v>
      </c>
      <c r="P7892" s="20" t="s">
        <v>224</v>
      </c>
      <c r="Q7892" s="15" t="s">
        <v>83</v>
      </c>
      <c r="R7892" s="4"/>
      <c r="S7892" s="4"/>
    </row>
    <row r="7893" spans="1:19" ht="21" customHeight="1" x14ac:dyDescent="0.25">
      <c r="A7893" s="14">
        <f>DATE(2012,12,31)-494</f>
        <v>40780</v>
      </c>
      <c r="B7893" s="15" t="s">
        <v>1311</v>
      </c>
      <c r="C7893" s="15" t="s">
        <v>51</v>
      </c>
      <c r="D7893" s="16">
        <v>2</v>
      </c>
      <c r="E7893" s="17">
        <v>29.31</v>
      </c>
      <c r="F7893" s="16">
        <v>0</v>
      </c>
      <c r="G7893" s="15" t="s">
        <v>32</v>
      </c>
      <c r="H7893" s="18">
        <v>-12.78</v>
      </c>
      <c r="I7893" s="19">
        <v>11.48</v>
      </c>
      <c r="J7893" s="19">
        <v>5.43</v>
      </c>
      <c r="K7893" s="19" t="s">
        <v>124</v>
      </c>
      <c r="L7893" s="19" t="s">
        <v>164</v>
      </c>
      <c r="M7893" s="15" t="s">
        <v>2360</v>
      </c>
      <c r="N7893" s="15" t="s">
        <v>36</v>
      </c>
      <c r="O7893" s="15" t="s">
        <v>117</v>
      </c>
      <c r="P7893" s="20" t="s">
        <v>1168</v>
      </c>
      <c r="Q7893" s="15" t="s">
        <v>83</v>
      </c>
      <c r="R7893" s="4"/>
      <c r="S7893" s="4"/>
    </row>
    <row r="7894" spans="1:19" ht="21" customHeight="1" x14ac:dyDescent="0.25">
      <c r="A7894" s="14">
        <f>DATE(2012,12,31)-494</f>
        <v>40780</v>
      </c>
      <c r="B7894" s="15" t="s">
        <v>741</v>
      </c>
      <c r="C7894" s="15" t="s">
        <v>51</v>
      </c>
      <c r="D7894" s="16">
        <v>11</v>
      </c>
      <c r="E7894" s="17">
        <v>80.260000000000005</v>
      </c>
      <c r="F7894" s="16">
        <v>0.06</v>
      </c>
      <c r="G7894" s="15" t="s">
        <v>32</v>
      </c>
      <c r="H7894" s="18">
        <v>-22.55</v>
      </c>
      <c r="I7894" s="19">
        <v>6.68</v>
      </c>
      <c r="J7894" s="19">
        <v>5.66</v>
      </c>
      <c r="K7894" s="19" t="s">
        <v>124</v>
      </c>
      <c r="L7894" s="19" t="s">
        <v>319</v>
      </c>
      <c r="M7894" s="15" t="s">
        <v>2343</v>
      </c>
      <c r="N7894" s="15" t="s">
        <v>36</v>
      </c>
      <c r="O7894" s="15" t="s">
        <v>117</v>
      </c>
      <c r="P7894" s="20" t="s">
        <v>2049</v>
      </c>
      <c r="Q7894" s="15" t="s">
        <v>83</v>
      </c>
      <c r="R7894" s="4"/>
      <c r="S7894" s="4"/>
    </row>
    <row r="7895" spans="1:19" ht="21" customHeight="1" x14ac:dyDescent="0.25">
      <c r="A7895" s="14">
        <f>DATE(2012,12,31)-33</f>
        <v>41241</v>
      </c>
      <c r="B7895" s="15" t="s">
        <v>895</v>
      </c>
      <c r="C7895" s="15" t="s">
        <v>43</v>
      </c>
      <c r="D7895" s="16">
        <v>36</v>
      </c>
      <c r="E7895" s="17">
        <v>82.09</v>
      </c>
      <c r="F7895" s="16">
        <v>0.02</v>
      </c>
      <c r="G7895" s="15" t="s">
        <v>32</v>
      </c>
      <c r="H7895" s="18">
        <v>11.44</v>
      </c>
      <c r="I7895" s="19">
        <v>2.21</v>
      </c>
      <c r="J7895" s="19">
        <v>1</v>
      </c>
      <c r="K7895" s="19" t="s">
        <v>44</v>
      </c>
      <c r="L7895" s="19" t="s">
        <v>236</v>
      </c>
      <c r="M7895" s="15" t="s">
        <v>2361</v>
      </c>
      <c r="N7895" s="15" t="s">
        <v>36</v>
      </c>
      <c r="O7895" s="15" t="s">
        <v>77</v>
      </c>
      <c r="P7895" s="20" t="s">
        <v>731</v>
      </c>
      <c r="Q7895" s="15" t="s">
        <v>79</v>
      </c>
      <c r="R7895" s="4"/>
      <c r="S7895" s="4"/>
    </row>
    <row r="7896" spans="1:19" ht="21" customHeight="1" x14ac:dyDescent="0.25">
      <c r="A7896" s="14">
        <f>DATE(2012,12,31)-360</f>
        <v>40914</v>
      </c>
      <c r="B7896" s="15" t="s">
        <v>1237</v>
      </c>
      <c r="C7896" s="15" t="s">
        <v>31</v>
      </c>
      <c r="D7896" s="16">
        <v>46</v>
      </c>
      <c r="E7896" s="17">
        <v>1483.49</v>
      </c>
      <c r="F7896" s="16">
        <v>0.02</v>
      </c>
      <c r="G7896" s="15" t="s">
        <v>32</v>
      </c>
      <c r="H7896" s="18">
        <v>65.819999999999993</v>
      </c>
      <c r="I7896" s="19">
        <v>30.98</v>
      </c>
      <c r="J7896" s="19">
        <v>17.079999999999998</v>
      </c>
      <c r="K7896" s="19" t="s">
        <v>44</v>
      </c>
      <c r="L7896" s="19" t="s">
        <v>52</v>
      </c>
      <c r="M7896" s="15" t="s">
        <v>2351</v>
      </c>
      <c r="N7896" s="15" t="s">
        <v>36</v>
      </c>
      <c r="O7896" s="15" t="s">
        <v>117</v>
      </c>
      <c r="P7896" s="20" t="s">
        <v>1882</v>
      </c>
      <c r="Q7896" s="15" t="s">
        <v>83</v>
      </c>
      <c r="R7896" s="4"/>
      <c r="S7896" s="4"/>
    </row>
    <row r="7897" spans="1:19" ht="21" customHeight="1" x14ac:dyDescent="0.25">
      <c r="A7897" s="14">
        <f>DATE(2012,12,31)-360</f>
        <v>40914</v>
      </c>
      <c r="B7897" s="15" t="s">
        <v>1748</v>
      </c>
      <c r="C7897" s="15" t="s">
        <v>31</v>
      </c>
      <c r="D7897" s="16">
        <v>42</v>
      </c>
      <c r="E7897" s="17">
        <v>14729.36</v>
      </c>
      <c r="F7897" s="16">
        <v>7.0000000000000007E-2</v>
      </c>
      <c r="G7897" s="15" t="s">
        <v>58</v>
      </c>
      <c r="H7897" s="18">
        <v>3277.57</v>
      </c>
      <c r="I7897" s="19">
        <v>348.21</v>
      </c>
      <c r="J7897" s="19">
        <v>40.19</v>
      </c>
      <c r="K7897" s="19" t="s">
        <v>44</v>
      </c>
      <c r="L7897" s="19" t="s">
        <v>45</v>
      </c>
      <c r="M7897" s="15" t="s">
        <v>2356</v>
      </c>
      <c r="N7897" s="15" t="s">
        <v>54</v>
      </c>
      <c r="O7897" s="15" t="s">
        <v>61</v>
      </c>
      <c r="P7897" s="20" t="s">
        <v>1381</v>
      </c>
      <c r="Q7897" s="15" t="s">
        <v>63</v>
      </c>
      <c r="R7897" s="4"/>
      <c r="S7897" s="4"/>
    </row>
    <row r="7898" spans="1:19" ht="21" customHeight="1" x14ac:dyDescent="0.25">
      <c r="A7898" s="14">
        <f>DATE(2012,12,31)-957</f>
        <v>40317</v>
      </c>
      <c r="B7898" s="15" t="s">
        <v>1748</v>
      </c>
      <c r="C7898" s="15" t="s">
        <v>85</v>
      </c>
      <c r="D7898" s="16">
        <v>41</v>
      </c>
      <c r="E7898" s="17">
        <v>4257.2759999999998</v>
      </c>
      <c r="F7898" s="16">
        <v>0.04</v>
      </c>
      <c r="G7898" s="15" t="s">
        <v>32</v>
      </c>
      <c r="H7898" s="18">
        <v>1059.0840000000001</v>
      </c>
      <c r="I7898" s="19">
        <v>125.99</v>
      </c>
      <c r="J7898" s="19">
        <v>2.5</v>
      </c>
      <c r="K7898" s="19" t="s">
        <v>124</v>
      </c>
      <c r="L7898" s="19" t="s">
        <v>164</v>
      </c>
      <c r="M7898" s="15" t="s">
        <v>2368</v>
      </c>
      <c r="N7898" s="15" t="s">
        <v>64</v>
      </c>
      <c r="O7898" s="15" t="s">
        <v>65</v>
      </c>
      <c r="P7898" s="20" t="s">
        <v>566</v>
      </c>
      <c r="Q7898" s="15" t="s">
        <v>83</v>
      </c>
      <c r="R7898" s="4"/>
      <c r="S7898" s="4"/>
    </row>
    <row r="7899" spans="1:19" ht="21" customHeight="1" x14ac:dyDescent="0.25">
      <c r="A7899" s="14">
        <f>DATE(2012,12,31)-516</f>
        <v>40758</v>
      </c>
      <c r="B7899" s="15" t="s">
        <v>270</v>
      </c>
      <c r="C7899" s="15" t="s">
        <v>85</v>
      </c>
      <c r="D7899" s="16">
        <v>41</v>
      </c>
      <c r="E7899" s="17">
        <v>417.53</v>
      </c>
      <c r="F7899" s="16">
        <v>0.02</v>
      </c>
      <c r="G7899" s="15" t="s">
        <v>32</v>
      </c>
      <c r="H7899" s="18">
        <v>-309.06</v>
      </c>
      <c r="I7899" s="19">
        <v>9.98</v>
      </c>
      <c r="J7899" s="19">
        <v>12.52</v>
      </c>
      <c r="K7899" s="19" t="s">
        <v>124</v>
      </c>
      <c r="L7899" s="19" t="s">
        <v>319</v>
      </c>
      <c r="M7899" s="15" t="s">
        <v>2343</v>
      </c>
      <c r="N7899" s="15" t="s">
        <v>54</v>
      </c>
      <c r="O7899" s="15" t="s">
        <v>55</v>
      </c>
      <c r="P7899" s="20" t="s">
        <v>933</v>
      </c>
      <c r="Q7899" s="15" t="s">
        <v>83</v>
      </c>
      <c r="R7899" s="4"/>
      <c r="S7899" s="4"/>
    </row>
    <row r="7900" spans="1:19" ht="21" customHeight="1" x14ac:dyDescent="0.25">
      <c r="A7900" s="14">
        <f>DATE(2012,12,31)-233</f>
        <v>41041</v>
      </c>
      <c r="B7900" s="15" t="s">
        <v>2366</v>
      </c>
      <c r="C7900" s="15" t="s">
        <v>51</v>
      </c>
      <c r="D7900" s="16">
        <v>34</v>
      </c>
      <c r="E7900" s="17">
        <v>1132.32</v>
      </c>
      <c r="F7900" s="16">
        <v>0.1</v>
      </c>
      <c r="G7900" s="15" t="s">
        <v>32</v>
      </c>
      <c r="H7900" s="18">
        <v>77.45</v>
      </c>
      <c r="I7900" s="19">
        <v>36.549999999999997</v>
      </c>
      <c r="J7900" s="19">
        <v>13.89</v>
      </c>
      <c r="K7900" s="19" t="s">
        <v>44</v>
      </c>
      <c r="L7900" s="19" t="s">
        <v>52</v>
      </c>
      <c r="M7900" s="15" t="s">
        <v>2351</v>
      </c>
      <c r="N7900" s="15" t="s">
        <v>36</v>
      </c>
      <c r="O7900" s="15" t="s">
        <v>77</v>
      </c>
      <c r="P7900" s="20" t="s">
        <v>1419</v>
      </c>
      <c r="Q7900" s="15" t="s">
        <v>79</v>
      </c>
      <c r="R7900" s="4"/>
      <c r="S7900" s="4"/>
    </row>
    <row r="7901" spans="1:19" ht="21" customHeight="1" x14ac:dyDescent="0.25">
      <c r="A7901" s="14">
        <f>DATE(2012,12,31)-233</f>
        <v>41041</v>
      </c>
      <c r="B7901" s="15" t="s">
        <v>2366</v>
      </c>
      <c r="C7901" s="15" t="s">
        <v>51</v>
      </c>
      <c r="D7901" s="16">
        <v>8</v>
      </c>
      <c r="E7901" s="17">
        <v>593.64</v>
      </c>
      <c r="F7901" s="16">
        <v>0.02</v>
      </c>
      <c r="G7901" s="15" t="s">
        <v>58</v>
      </c>
      <c r="H7901" s="18">
        <v>65.246849999999995</v>
      </c>
      <c r="I7901" s="19">
        <v>85.29</v>
      </c>
      <c r="J7901" s="19">
        <v>60</v>
      </c>
      <c r="K7901" s="19" t="s">
        <v>44</v>
      </c>
      <c r="L7901" s="19" t="s">
        <v>52</v>
      </c>
      <c r="M7901" s="15" t="s">
        <v>2369</v>
      </c>
      <c r="N7901" s="15" t="s">
        <v>54</v>
      </c>
      <c r="O7901" s="15" t="s">
        <v>61</v>
      </c>
      <c r="P7901" s="20" t="s">
        <v>2107</v>
      </c>
      <c r="Q7901" s="15" t="s">
        <v>181</v>
      </c>
      <c r="R7901" s="4"/>
      <c r="S7901" s="4"/>
    </row>
    <row r="7902" spans="1:19" ht="21" customHeight="1" x14ac:dyDescent="0.25">
      <c r="A7902" s="14">
        <f>DATE(2012,12,31)-233</f>
        <v>41041</v>
      </c>
      <c r="B7902" s="15" t="s">
        <v>635</v>
      </c>
      <c r="C7902" s="15" t="s">
        <v>51</v>
      </c>
      <c r="D7902" s="16">
        <v>45</v>
      </c>
      <c r="E7902" s="17">
        <v>2438.3694999999998</v>
      </c>
      <c r="F7902" s="16">
        <v>0.1</v>
      </c>
      <c r="G7902" s="15" t="s">
        <v>32</v>
      </c>
      <c r="H7902" s="18">
        <v>317.19600000000003</v>
      </c>
      <c r="I7902" s="19">
        <v>65.989999999999995</v>
      </c>
      <c r="J7902" s="19">
        <v>8.99</v>
      </c>
      <c r="K7902" s="19" t="s">
        <v>44</v>
      </c>
      <c r="L7902" s="19" t="s">
        <v>52</v>
      </c>
      <c r="M7902" s="15" t="s">
        <v>2369</v>
      </c>
      <c r="N7902" s="15" t="s">
        <v>64</v>
      </c>
      <c r="O7902" s="15" t="s">
        <v>65</v>
      </c>
      <c r="P7902" s="20" t="s">
        <v>1299</v>
      </c>
      <c r="Q7902" s="15" t="s">
        <v>83</v>
      </c>
      <c r="R7902" s="4"/>
      <c r="S7902" s="4"/>
    </row>
    <row r="7903" spans="1:19" ht="21" customHeight="1" x14ac:dyDescent="0.25">
      <c r="A7903" s="14">
        <f>DATE(2012,12,31)-67</f>
        <v>41207</v>
      </c>
      <c r="B7903" s="15" t="s">
        <v>635</v>
      </c>
      <c r="C7903" s="15" t="s">
        <v>85</v>
      </c>
      <c r="D7903" s="16">
        <v>39</v>
      </c>
      <c r="E7903" s="17">
        <v>206.47</v>
      </c>
      <c r="F7903" s="16">
        <v>0.08</v>
      </c>
      <c r="G7903" s="15" t="s">
        <v>32</v>
      </c>
      <c r="H7903" s="18">
        <v>-107.2</v>
      </c>
      <c r="I7903" s="19">
        <v>5.28</v>
      </c>
      <c r="J7903" s="19">
        <v>5.66</v>
      </c>
      <c r="K7903" s="19" t="s">
        <v>44</v>
      </c>
      <c r="L7903" s="19" t="s">
        <v>52</v>
      </c>
      <c r="M7903" s="15" t="s">
        <v>2369</v>
      </c>
      <c r="N7903" s="15" t="s">
        <v>36</v>
      </c>
      <c r="O7903" s="15" t="s">
        <v>117</v>
      </c>
      <c r="P7903" s="20" t="s">
        <v>916</v>
      </c>
      <c r="Q7903" s="15" t="s">
        <v>83</v>
      </c>
      <c r="R7903" s="4"/>
      <c r="S7903" s="4"/>
    </row>
    <row r="7904" spans="1:19" ht="21" customHeight="1" x14ac:dyDescent="0.25">
      <c r="A7904" s="14">
        <f>DATE(2012,12,31)-1360</f>
        <v>39914</v>
      </c>
      <c r="B7904" s="15" t="s">
        <v>364</v>
      </c>
      <c r="C7904" s="15" t="s">
        <v>51</v>
      </c>
      <c r="D7904" s="16">
        <v>35</v>
      </c>
      <c r="E7904" s="17">
        <v>430.55</v>
      </c>
      <c r="F7904" s="16">
        <v>0</v>
      </c>
      <c r="G7904" s="15" t="s">
        <v>32</v>
      </c>
      <c r="H7904" s="18">
        <v>120.01</v>
      </c>
      <c r="I7904" s="19">
        <v>12.22</v>
      </c>
      <c r="J7904" s="19">
        <v>2.85</v>
      </c>
      <c r="K7904" s="19" t="s">
        <v>44</v>
      </c>
      <c r="L7904" s="19" t="s">
        <v>45</v>
      </c>
      <c r="M7904" s="15" t="s">
        <v>2356</v>
      </c>
      <c r="N7904" s="15" t="s">
        <v>54</v>
      </c>
      <c r="O7904" s="15" t="s">
        <v>55</v>
      </c>
      <c r="P7904" s="20" t="s">
        <v>446</v>
      </c>
      <c r="Q7904" s="15" t="s">
        <v>49</v>
      </c>
      <c r="R7904" s="4"/>
      <c r="S7904" s="4"/>
    </row>
    <row r="7905" spans="1:19" ht="21" customHeight="1" x14ac:dyDescent="0.25">
      <c r="A7905" s="14">
        <f>DATE(2012,12,31)-1147</f>
        <v>40127</v>
      </c>
      <c r="B7905" s="15" t="s">
        <v>364</v>
      </c>
      <c r="C7905" s="15" t="s">
        <v>51</v>
      </c>
      <c r="D7905" s="16">
        <v>7</v>
      </c>
      <c r="E7905" s="17">
        <v>754.92</v>
      </c>
      <c r="F7905" s="16">
        <v>0</v>
      </c>
      <c r="G7905" s="15" t="s">
        <v>32</v>
      </c>
      <c r="H7905" s="18">
        <v>-129.56909999999999</v>
      </c>
      <c r="I7905" s="19">
        <v>99.99</v>
      </c>
      <c r="J7905" s="19">
        <v>19.989999999999998</v>
      </c>
      <c r="K7905" s="19" t="s">
        <v>44</v>
      </c>
      <c r="L7905" s="19" t="s">
        <v>52</v>
      </c>
      <c r="M7905" s="15" t="s">
        <v>2369</v>
      </c>
      <c r="N7905" s="15" t="s">
        <v>64</v>
      </c>
      <c r="O7905" s="15" t="s">
        <v>122</v>
      </c>
      <c r="P7905" s="20" t="s">
        <v>1340</v>
      </c>
      <c r="Q7905" s="15" t="s">
        <v>83</v>
      </c>
      <c r="R7905" s="4"/>
      <c r="S7905" s="4"/>
    </row>
    <row r="7906" spans="1:19" ht="21" customHeight="1" x14ac:dyDescent="0.25">
      <c r="A7906" s="14">
        <f>DATE(2012,12,31)-29</f>
        <v>41245</v>
      </c>
      <c r="B7906" s="15" t="s">
        <v>1379</v>
      </c>
      <c r="C7906" s="15" t="s">
        <v>43</v>
      </c>
      <c r="D7906" s="16">
        <v>36</v>
      </c>
      <c r="E7906" s="17">
        <v>10006.280000000001</v>
      </c>
      <c r="F7906" s="16">
        <v>0.1</v>
      </c>
      <c r="G7906" s="15" t="s">
        <v>58</v>
      </c>
      <c r="H7906" s="18">
        <v>-760.97699999999998</v>
      </c>
      <c r="I7906" s="19">
        <v>286.85000000000002</v>
      </c>
      <c r="J7906" s="19">
        <v>61.76</v>
      </c>
      <c r="K7906" s="19" t="s">
        <v>44</v>
      </c>
      <c r="L7906" s="19" t="s">
        <v>52</v>
      </c>
      <c r="M7906" s="15" t="s">
        <v>2369</v>
      </c>
      <c r="N7906" s="15" t="s">
        <v>54</v>
      </c>
      <c r="O7906" s="15" t="s">
        <v>61</v>
      </c>
      <c r="P7906" s="20" t="s">
        <v>425</v>
      </c>
      <c r="Q7906" s="15" t="s">
        <v>63</v>
      </c>
      <c r="R7906" s="4"/>
      <c r="S7906" s="4"/>
    </row>
    <row r="7907" spans="1:19" ht="21" customHeight="1" x14ac:dyDescent="0.25">
      <c r="A7907" s="14">
        <f>DATE(2012,12,31)-29</f>
        <v>41245</v>
      </c>
      <c r="B7907" s="15" t="s">
        <v>1724</v>
      </c>
      <c r="C7907" s="15" t="s">
        <v>43</v>
      </c>
      <c r="D7907" s="16">
        <v>36</v>
      </c>
      <c r="E7907" s="17">
        <v>407.17</v>
      </c>
      <c r="F7907" s="16">
        <v>0.04</v>
      </c>
      <c r="G7907" s="15" t="s">
        <v>32</v>
      </c>
      <c r="H7907" s="18">
        <v>-12.82</v>
      </c>
      <c r="I7907" s="19">
        <v>11.58</v>
      </c>
      <c r="J7907" s="19">
        <v>6.97</v>
      </c>
      <c r="K7907" s="19" t="s">
        <v>44</v>
      </c>
      <c r="L7907" s="19" t="s">
        <v>52</v>
      </c>
      <c r="M7907" s="15" t="s">
        <v>2369</v>
      </c>
      <c r="N7907" s="15" t="s">
        <v>36</v>
      </c>
      <c r="O7907" s="15" t="s">
        <v>189</v>
      </c>
      <c r="P7907" s="20" t="s">
        <v>1139</v>
      </c>
      <c r="Q7907" s="15" t="s">
        <v>83</v>
      </c>
      <c r="R7907" s="4"/>
      <c r="S7907" s="4"/>
    </row>
    <row r="7908" spans="1:19" ht="21" customHeight="1" x14ac:dyDescent="0.25">
      <c r="A7908" s="14">
        <f>DATE(2012,12,31)-965</f>
        <v>40309</v>
      </c>
      <c r="B7908" s="15" t="s">
        <v>1724</v>
      </c>
      <c r="C7908" s="15" t="s">
        <v>43</v>
      </c>
      <c r="D7908" s="16">
        <v>34</v>
      </c>
      <c r="E7908" s="17">
        <v>479.84</v>
      </c>
      <c r="F7908" s="16">
        <v>0.02</v>
      </c>
      <c r="G7908" s="15" t="s">
        <v>32</v>
      </c>
      <c r="H7908" s="18">
        <v>5.71</v>
      </c>
      <c r="I7908" s="19">
        <v>13.43</v>
      </c>
      <c r="J7908" s="19">
        <v>5.5</v>
      </c>
      <c r="K7908" s="19" t="s">
        <v>44</v>
      </c>
      <c r="L7908" s="19" t="s">
        <v>80</v>
      </c>
      <c r="M7908" s="15" t="s">
        <v>2339</v>
      </c>
      <c r="N7908" s="15" t="s">
        <v>36</v>
      </c>
      <c r="O7908" s="15" t="s">
        <v>37</v>
      </c>
      <c r="P7908" s="20" t="s">
        <v>312</v>
      </c>
      <c r="Q7908" s="15" t="s">
        <v>83</v>
      </c>
      <c r="R7908" s="4"/>
      <c r="S7908" s="4"/>
    </row>
    <row r="7909" spans="1:19" ht="21" customHeight="1" x14ac:dyDescent="0.25">
      <c r="A7909" s="14">
        <f>DATE(2012,12,31)-965</f>
        <v>40309</v>
      </c>
      <c r="B7909" s="15" t="s">
        <v>1724</v>
      </c>
      <c r="C7909" s="15" t="s">
        <v>43</v>
      </c>
      <c r="D7909" s="16">
        <v>16</v>
      </c>
      <c r="E7909" s="17">
        <v>833.92650000000003</v>
      </c>
      <c r="F7909" s="16">
        <v>0.08</v>
      </c>
      <c r="G7909" s="15" t="s">
        <v>32</v>
      </c>
      <c r="H7909" s="18">
        <v>-39.215000000000003</v>
      </c>
      <c r="I7909" s="19">
        <v>65.989999999999995</v>
      </c>
      <c r="J7909" s="19">
        <v>3.99</v>
      </c>
      <c r="K7909" s="19" t="s">
        <v>44</v>
      </c>
      <c r="L7909" s="19" t="s">
        <v>52</v>
      </c>
      <c r="M7909" s="15" t="s">
        <v>2369</v>
      </c>
      <c r="N7909" s="15" t="s">
        <v>64</v>
      </c>
      <c r="O7909" s="15" t="s">
        <v>65</v>
      </c>
      <c r="P7909" s="20" t="s">
        <v>1535</v>
      </c>
      <c r="Q7909" s="15" t="s">
        <v>83</v>
      </c>
      <c r="R7909" s="4"/>
      <c r="S7909" s="4"/>
    </row>
    <row r="7910" spans="1:19" ht="21" customHeight="1" x14ac:dyDescent="0.25">
      <c r="A7910" s="14">
        <f>DATE(2012,12,31)-965</f>
        <v>40309</v>
      </c>
      <c r="B7910" s="15" t="s">
        <v>648</v>
      </c>
      <c r="C7910" s="15" t="s">
        <v>43</v>
      </c>
      <c r="D7910" s="16">
        <v>6</v>
      </c>
      <c r="E7910" s="17">
        <v>182.64</v>
      </c>
      <c r="F7910" s="16">
        <v>0.08</v>
      </c>
      <c r="G7910" s="15" t="s">
        <v>32</v>
      </c>
      <c r="H7910" s="18">
        <v>-99.24</v>
      </c>
      <c r="I7910" s="19">
        <v>30.98</v>
      </c>
      <c r="J7910" s="19">
        <v>6.5</v>
      </c>
      <c r="K7910" s="19" t="s">
        <v>44</v>
      </c>
      <c r="L7910" s="19" t="s">
        <v>45</v>
      </c>
      <c r="M7910" s="15" t="s">
        <v>2356</v>
      </c>
      <c r="N7910" s="15" t="s">
        <v>64</v>
      </c>
      <c r="O7910" s="15" t="s">
        <v>72</v>
      </c>
      <c r="P7910" s="20" t="s">
        <v>345</v>
      </c>
      <c r="Q7910" s="15" t="s">
        <v>83</v>
      </c>
      <c r="R7910" s="4"/>
      <c r="S7910" s="4"/>
    </row>
    <row r="7911" spans="1:19" ht="21" customHeight="1" x14ac:dyDescent="0.25">
      <c r="A7911" s="14">
        <f>DATE(2012,12,31)-965</f>
        <v>40309</v>
      </c>
      <c r="B7911" s="15" t="s">
        <v>648</v>
      </c>
      <c r="C7911" s="15" t="s">
        <v>43</v>
      </c>
      <c r="D7911" s="16">
        <v>21</v>
      </c>
      <c r="E7911" s="17">
        <v>736.17</v>
      </c>
      <c r="F7911" s="16">
        <v>0.01</v>
      </c>
      <c r="G7911" s="15" t="s">
        <v>32</v>
      </c>
      <c r="H7911" s="18">
        <v>232.99</v>
      </c>
      <c r="I7911" s="19">
        <v>35.409999999999997</v>
      </c>
      <c r="J7911" s="19">
        <v>1.99</v>
      </c>
      <c r="K7911" s="19" t="s">
        <v>44</v>
      </c>
      <c r="L7911" s="19" t="s">
        <v>52</v>
      </c>
      <c r="M7911" s="15" t="s">
        <v>2369</v>
      </c>
      <c r="N7911" s="15" t="s">
        <v>64</v>
      </c>
      <c r="O7911" s="15" t="s">
        <v>72</v>
      </c>
      <c r="P7911" s="20" t="s">
        <v>1299</v>
      </c>
      <c r="Q7911" s="15" t="s">
        <v>49</v>
      </c>
      <c r="R7911" s="4"/>
      <c r="S7911" s="4"/>
    </row>
    <row r="7912" spans="1:19" ht="21" customHeight="1" x14ac:dyDescent="0.25">
      <c r="A7912" s="14">
        <f>DATE(2012,12,31)-694</f>
        <v>40580</v>
      </c>
      <c r="B7912" s="15" t="s">
        <v>1700</v>
      </c>
      <c r="C7912" s="15" t="s">
        <v>31</v>
      </c>
      <c r="D7912" s="16">
        <v>25</v>
      </c>
      <c r="E7912" s="17">
        <v>1279.45</v>
      </c>
      <c r="F7912" s="16">
        <v>0.01</v>
      </c>
      <c r="G7912" s="15" t="s">
        <v>32</v>
      </c>
      <c r="H7912" s="18">
        <v>558.25</v>
      </c>
      <c r="I7912" s="19">
        <v>48.04</v>
      </c>
      <c r="J7912" s="19">
        <v>7.23</v>
      </c>
      <c r="K7912" s="19" t="s">
        <v>44</v>
      </c>
      <c r="L7912" s="19" t="s">
        <v>52</v>
      </c>
      <c r="M7912" s="15" t="s">
        <v>2369</v>
      </c>
      <c r="N7912" s="15" t="s">
        <v>36</v>
      </c>
      <c r="O7912" s="15" t="s">
        <v>117</v>
      </c>
      <c r="P7912" s="20" t="s">
        <v>514</v>
      </c>
      <c r="Q7912" s="15" t="s">
        <v>83</v>
      </c>
      <c r="R7912" s="4"/>
      <c r="S7912" s="4"/>
    </row>
    <row r="7913" spans="1:19" ht="21" customHeight="1" x14ac:dyDescent="0.25">
      <c r="A7913" s="14">
        <f>DATE(2012,12,31)-76</f>
        <v>41198</v>
      </c>
      <c r="B7913" s="15" t="s">
        <v>1700</v>
      </c>
      <c r="C7913" s="15" t="s">
        <v>31</v>
      </c>
      <c r="D7913" s="16">
        <v>6</v>
      </c>
      <c r="E7913" s="17">
        <v>34.29</v>
      </c>
      <c r="F7913" s="16">
        <v>0.05</v>
      </c>
      <c r="G7913" s="15" t="s">
        <v>32</v>
      </c>
      <c r="H7913" s="18">
        <v>-6.8194999999999997</v>
      </c>
      <c r="I7913" s="19">
        <v>5.28</v>
      </c>
      <c r="J7913" s="19">
        <v>2.99</v>
      </c>
      <c r="K7913" s="19" t="s">
        <v>44</v>
      </c>
      <c r="L7913" s="19" t="s">
        <v>52</v>
      </c>
      <c r="M7913" s="15" t="s">
        <v>2369</v>
      </c>
      <c r="N7913" s="15" t="s">
        <v>36</v>
      </c>
      <c r="O7913" s="15" t="s">
        <v>170</v>
      </c>
      <c r="P7913" s="20" t="s">
        <v>180</v>
      </c>
      <c r="Q7913" s="15" t="s">
        <v>83</v>
      </c>
      <c r="R7913" s="4"/>
      <c r="S7913" s="4"/>
    </row>
    <row r="7914" spans="1:19" ht="21" customHeight="1" x14ac:dyDescent="0.25">
      <c r="A7914" s="14">
        <f>DATE(2012,12,31)-76</f>
        <v>41198</v>
      </c>
      <c r="B7914" s="15" t="s">
        <v>1700</v>
      </c>
      <c r="C7914" s="15" t="s">
        <v>31</v>
      </c>
      <c r="D7914" s="16">
        <v>29</v>
      </c>
      <c r="E7914" s="17">
        <v>23516.31</v>
      </c>
      <c r="F7914" s="16">
        <v>0.09</v>
      </c>
      <c r="G7914" s="15" t="s">
        <v>32</v>
      </c>
      <c r="H7914" s="18">
        <v>1094.74</v>
      </c>
      <c r="I7914" s="19">
        <v>832.81</v>
      </c>
      <c r="J7914" s="19">
        <v>24.49</v>
      </c>
      <c r="K7914" s="19" t="s">
        <v>44</v>
      </c>
      <c r="L7914" s="19" t="s">
        <v>52</v>
      </c>
      <c r="M7914" s="15" t="s">
        <v>2369</v>
      </c>
      <c r="N7914" s="15" t="s">
        <v>36</v>
      </c>
      <c r="O7914" s="15" t="s">
        <v>47</v>
      </c>
      <c r="P7914" s="20" t="s">
        <v>1194</v>
      </c>
      <c r="Q7914" s="15" t="s">
        <v>57</v>
      </c>
      <c r="R7914" s="4"/>
      <c r="S7914" s="4"/>
    </row>
    <row r="7915" spans="1:19" ht="21" customHeight="1" x14ac:dyDescent="0.25">
      <c r="A7915" s="14">
        <f>DATE(2012,12,31)-76</f>
        <v>41198</v>
      </c>
      <c r="B7915" s="15" t="s">
        <v>614</v>
      </c>
      <c r="C7915" s="15" t="s">
        <v>85</v>
      </c>
      <c r="D7915" s="16">
        <v>33</v>
      </c>
      <c r="E7915" s="17">
        <v>662.21</v>
      </c>
      <c r="F7915" s="16">
        <v>0.01</v>
      </c>
      <c r="G7915" s="15" t="s">
        <v>32</v>
      </c>
      <c r="H7915" s="18">
        <v>256.57</v>
      </c>
      <c r="I7915" s="19">
        <v>18.84</v>
      </c>
      <c r="J7915" s="19">
        <v>3.62</v>
      </c>
      <c r="K7915" s="19" t="s">
        <v>44</v>
      </c>
      <c r="L7915" s="19" t="s">
        <v>52</v>
      </c>
      <c r="M7915" s="15" t="s">
        <v>2369</v>
      </c>
      <c r="N7915" s="15" t="s">
        <v>54</v>
      </c>
      <c r="O7915" s="15" t="s">
        <v>55</v>
      </c>
      <c r="P7915" s="20" t="s">
        <v>1151</v>
      </c>
      <c r="Q7915" s="15" t="s">
        <v>79</v>
      </c>
      <c r="R7915" s="4"/>
      <c r="S7915" s="4"/>
    </row>
    <row r="7916" spans="1:19" ht="21" customHeight="1" x14ac:dyDescent="0.25">
      <c r="A7916" s="14">
        <f>DATE(2012,12,31)-558</f>
        <v>40716</v>
      </c>
      <c r="B7916" s="15" t="s">
        <v>1933</v>
      </c>
      <c r="C7916" s="15" t="s">
        <v>85</v>
      </c>
      <c r="D7916" s="16">
        <v>23</v>
      </c>
      <c r="E7916" s="17">
        <v>524.25</v>
      </c>
      <c r="F7916" s="16">
        <v>0.06</v>
      </c>
      <c r="G7916" s="15" t="s">
        <v>101</v>
      </c>
      <c r="H7916" s="18">
        <v>152.31</v>
      </c>
      <c r="I7916" s="19">
        <v>22.23</v>
      </c>
      <c r="J7916" s="19">
        <v>8.99</v>
      </c>
      <c r="K7916" s="19" t="s">
        <v>44</v>
      </c>
      <c r="L7916" s="19" t="s">
        <v>52</v>
      </c>
      <c r="M7916" s="15" t="s">
        <v>2369</v>
      </c>
      <c r="N7916" s="15" t="s">
        <v>54</v>
      </c>
      <c r="O7916" s="15" t="s">
        <v>55</v>
      </c>
      <c r="P7916" s="20" t="s">
        <v>430</v>
      </c>
      <c r="Q7916" s="15" t="s">
        <v>49</v>
      </c>
      <c r="R7916" s="4"/>
      <c r="S7916" s="4"/>
    </row>
    <row r="7917" spans="1:19" ht="21" customHeight="1" x14ac:dyDescent="0.25">
      <c r="A7917" s="14">
        <f>DATE(2012,12,31)-523</f>
        <v>40751</v>
      </c>
      <c r="B7917" s="15" t="s">
        <v>1933</v>
      </c>
      <c r="C7917" s="15" t="s">
        <v>85</v>
      </c>
      <c r="D7917" s="16">
        <v>37</v>
      </c>
      <c r="E7917" s="17">
        <v>111.39</v>
      </c>
      <c r="F7917" s="16">
        <v>0.02</v>
      </c>
      <c r="G7917" s="15" t="s">
        <v>32</v>
      </c>
      <c r="H7917" s="18">
        <v>20.059999999999999</v>
      </c>
      <c r="I7917" s="19">
        <v>2.88</v>
      </c>
      <c r="J7917" s="19">
        <v>0.7</v>
      </c>
      <c r="K7917" s="19" t="s">
        <v>44</v>
      </c>
      <c r="L7917" s="19" t="s">
        <v>80</v>
      </c>
      <c r="M7917" s="15" t="s">
        <v>2339</v>
      </c>
      <c r="N7917" s="15" t="s">
        <v>36</v>
      </c>
      <c r="O7917" s="15" t="s">
        <v>77</v>
      </c>
      <c r="P7917" s="20" t="s">
        <v>542</v>
      </c>
      <c r="Q7917" s="15" t="s">
        <v>79</v>
      </c>
      <c r="R7917" s="4"/>
      <c r="S7917" s="4"/>
    </row>
    <row r="7918" spans="1:19" ht="21" customHeight="1" x14ac:dyDescent="0.25">
      <c r="A7918" s="14">
        <f>DATE(2012,12,31)-523</f>
        <v>40751</v>
      </c>
      <c r="B7918" s="15" t="s">
        <v>1933</v>
      </c>
      <c r="C7918" s="15" t="s">
        <v>85</v>
      </c>
      <c r="D7918" s="16">
        <v>13</v>
      </c>
      <c r="E7918" s="17">
        <v>1207.02</v>
      </c>
      <c r="F7918" s="16">
        <v>0.03</v>
      </c>
      <c r="G7918" s="15" t="s">
        <v>58</v>
      </c>
      <c r="H7918" s="18">
        <v>235.4</v>
      </c>
      <c r="I7918" s="19">
        <v>90.97</v>
      </c>
      <c r="J7918" s="19">
        <v>14</v>
      </c>
      <c r="K7918" s="19" t="s">
        <v>44</v>
      </c>
      <c r="L7918" s="19" t="s">
        <v>52</v>
      </c>
      <c r="M7918" s="15" t="s">
        <v>2369</v>
      </c>
      <c r="N7918" s="15" t="s">
        <v>64</v>
      </c>
      <c r="O7918" s="15" t="s">
        <v>122</v>
      </c>
      <c r="P7918" s="20" t="s">
        <v>135</v>
      </c>
      <c r="Q7918" s="15" t="s">
        <v>181</v>
      </c>
      <c r="R7918" s="4"/>
      <c r="S7918" s="4"/>
    </row>
    <row r="7919" spans="1:19" ht="21" customHeight="1" x14ac:dyDescent="0.25">
      <c r="A7919" s="14">
        <f>DATE(2012,12,31)-763</f>
        <v>40511</v>
      </c>
      <c r="B7919" s="15" t="s">
        <v>292</v>
      </c>
      <c r="C7919" s="15" t="s">
        <v>85</v>
      </c>
      <c r="D7919" s="16">
        <v>11</v>
      </c>
      <c r="E7919" s="17">
        <v>455.59</v>
      </c>
      <c r="F7919" s="16">
        <v>0.02</v>
      </c>
      <c r="G7919" s="15" t="s">
        <v>32</v>
      </c>
      <c r="H7919" s="18">
        <v>98.02</v>
      </c>
      <c r="I7919" s="19">
        <v>37.93</v>
      </c>
      <c r="J7919" s="19">
        <v>13.99</v>
      </c>
      <c r="K7919" s="19" t="s">
        <v>44</v>
      </c>
      <c r="L7919" s="19" t="s">
        <v>52</v>
      </c>
      <c r="M7919" s="15" t="s">
        <v>2369</v>
      </c>
      <c r="N7919" s="15" t="s">
        <v>54</v>
      </c>
      <c r="O7919" s="15" t="s">
        <v>55</v>
      </c>
      <c r="P7919" s="20" t="s">
        <v>1399</v>
      </c>
      <c r="Q7919" s="15" t="s">
        <v>79</v>
      </c>
      <c r="R7919" s="4"/>
      <c r="S7919" s="4"/>
    </row>
    <row r="7920" spans="1:19" ht="21" customHeight="1" x14ac:dyDescent="0.25">
      <c r="A7920" s="14">
        <f>DATE(2012,12,31)-216</f>
        <v>41058</v>
      </c>
      <c r="B7920" s="15" t="s">
        <v>142</v>
      </c>
      <c r="C7920" s="15" t="s">
        <v>51</v>
      </c>
      <c r="D7920" s="16">
        <v>50</v>
      </c>
      <c r="E7920" s="17">
        <v>78.2</v>
      </c>
      <c r="F7920" s="16">
        <v>0.09</v>
      </c>
      <c r="G7920" s="15" t="s">
        <v>32</v>
      </c>
      <c r="H7920" s="18">
        <v>-4.5599999999999996</v>
      </c>
      <c r="I7920" s="19">
        <v>1.68</v>
      </c>
      <c r="J7920" s="19">
        <v>1</v>
      </c>
      <c r="K7920" s="19" t="s">
        <v>44</v>
      </c>
      <c r="L7920" s="19" t="s">
        <v>52</v>
      </c>
      <c r="M7920" s="15" t="s">
        <v>2369</v>
      </c>
      <c r="N7920" s="15" t="s">
        <v>36</v>
      </c>
      <c r="O7920" s="15" t="s">
        <v>77</v>
      </c>
      <c r="P7920" s="20" t="s">
        <v>1446</v>
      </c>
      <c r="Q7920" s="15" t="s">
        <v>79</v>
      </c>
      <c r="R7920" s="4"/>
      <c r="S7920" s="4"/>
    </row>
    <row r="7921" spans="1:19" ht="21" customHeight="1" x14ac:dyDescent="0.25">
      <c r="A7921" s="14">
        <f>DATE(2012,12,31)-1117</f>
        <v>40157</v>
      </c>
      <c r="B7921" s="15" t="s">
        <v>1364</v>
      </c>
      <c r="C7921" s="15" t="s">
        <v>43</v>
      </c>
      <c r="D7921" s="16">
        <v>42</v>
      </c>
      <c r="E7921" s="17">
        <v>258.19</v>
      </c>
      <c r="F7921" s="16">
        <v>0.1</v>
      </c>
      <c r="G7921" s="15" t="s">
        <v>32</v>
      </c>
      <c r="H7921" s="18">
        <v>-103.27</v>
      </c>
      <c r="I7921" s="19">
        <v>6.48</v>
      </c>
      <c r="J7921" s="19">
        <v>5.9</v>
      </c>
      <c r="K7921" s="19" t="s">
        <v>44</v>
      </c>
      <c r="L7921" s="19" t="s">
        <v>52</v>
      </c>
      <c r="M7921" s="15" t="s">
        <v>2369</v>
      </c>
      <c r="N7921" s="15" t="s">
        <v>36</v>
      </c>
      <c r="O7921" s="15" t="s">
        <v>117</v>
      </c>
      <c r="P7921" s="20" t="s">
        <v>1053</v>
      </c>
      <c r="Q7921" s="15" t="s">
        <v>83</v>
      </c>
      <c r="R7921" s="4"/>
      <c r="S7921" s="4"/>
    </row>
    <row r="7922" spans="1:19" ht="21" customHeight="1" x14ac:dyDescent="0.25">
      <c r="A7922" s="14">
        <f>DATE(2012,12,31)-645</f>
        <v>40629</v>
      </c>
      <c r="B7922" s="15" t="s">
        <v>350</v>
      </c>
      <c r="C7922" s="15" t="s">
        <v>85</v>
      </c>
      <c r="D7922" s="16">
        <v>41</v>
      </c>
      <c r="E7922" s="17">
        <v>136.44999999999999</v>
      </c>
      <c r="F7922" s="16">
        <v>0.1</v>
      </c>
      <c r="G7922" s="15" t="s">
        <v>32</v>
      </c>
      <c r="H7922" s="18">
        <v>-202.078</v>
      </c>
      <c r="I7922" s="19">
        <v>3.36</v>
      </c>
      <c r="J7922" s="19">
        <v>6.27</v>
      </c>
      <c r="K7922" s="19" t="s">
        <v>44</v>
      </c>
      <c r="L7922" s="19" t="s">
        <v>52</v>
      </c>
      <c r="M7922" s="15" t="s">
        <v>2369</v>
      </c>
      <c r="N7922" s="15" t="s">
        <v>36</v>
      </c>
      <c r="O7922" s="15" t="s">
        <v>170</v>
      </c>
      <c r="P7922" s="20" t="s">
        <v>1124</v>
      </c>
      <c r="Q7922" s="15" t="s">
        <v>83</v>
      </c>
      <c r="R7922" s="4"/>
      <c r="S7922" s="4"/>
    </row>
    <row r="7923" spans="1:19" ht="21" customHeight="1" x14ac:dyDescent="0.25">
      <c r="A7923" s="14">
        <f>DATE(2012,12,31)-645</f>
        <v>40629</v>
      </c>
      <c r="B7923" s="15" t="s">
        <v>350</v>
      </c>
      <c r="C7923" s="15" t="s">
        <v>85</v>
      </c>
      <c r="D7923" s="16">
        <v>24</v>
      </c>
      <c r="E7923" s="17">
        <v>121.81</v>
      </c>
      <c r="F7923" s="16">
        <v>0.05</v>
      </c>
      <c r="G7923" s="15" t="s">
        <v>32</v>
      </c>
      <c r="H7923" s="18">
        <v>-50.21</v>
      </c>
      <c r="I7923" s="19">
        <v>4.9800000000000004</v>
      </c>
      <c r="J7923" s="19">
        <v>4.8600000000000003</v>
      </c>
      <c r="K7923" s="19" t="s">
        <v>69</v>
      </c>
      <c r="L7923" s="19" t="s">
        <v>70</v>
      </c>
      <c r="M7923" s="15" t="s">
        <v>2357</v>
      </c>
      <c r="N7923" s="15" t="s">
        <v>36</v>
      </c>
      <c r="O7923" s="15" t="s">
        <v>117</v>
      </c>
      <c r="P7923" s="20" t="s">
        <v>625</v>
      </c>
      <c r="Q7923" s="15" t="s">
        <v>83</v>
      </c>
      <c r="R7923" s="4"/>
      <c r="S7923" s="4"/>
    </row>
    <row r="7924" spans="1:19" ht="21" customHeight="1" x14ac:dyDescent="0.25">
      <c r="A7924" s="14">
        <f>DATE(2012,12,31)-209</f>
        <v>41065</v>
      </c>
      <c r="B7924" s="15" t="s">
        <v>420</v>
      </c>
      <c r="C7924" s="15" t="s">
        <v>51</v>
      </c>
      <c r="D7924" s="16">
        <v>38</v>
      </c>
      <c r="E7924" s="17">
        <v>14753.08</v>
      </c>
      <c r="F7924" s="16">
        <v>0.01</v>
      </c>
      <c r="G7924" s="15" t="s">
        <v>58</v>
      </c>
      <c r="H7924" s="18">
        <v>1085.9100000000001</v>
      </c>
      <c r="I7924" s="19">
        <v>370.98</v>
      </c>
      <c r="J7924" s="19">
        <v>99</v>
      </c>
      <c r="K7924" s="19" t="s">
        <v>44</v>
      </c>
      <c r="L7924" s="19" t="s">
        <v>89</v>
      </c>
      <c r="M7924" s="15" t="s">
        <v>2365</v>
      </c>
      <c r="N7924" s="15" t="s">
        <v>36</v>
      </c>
      <c r="O7924" s="15" t="s">
        <v>37</v>
      </c>
      <c r="P7924" s="20" t="s">
        <v>211</v>
      </c>
      <c r="Q7924" s="15" t="s">
        <v>181</v>
      </c>
      <c r="R7924" s="4"/>
      <c r="S7924" s="4"/>
    </row>
    <row r="7925" spans="1:19" ht="21" customHeight="1" x14ac:dyDescent="0.25">
      <c r="A7925" s="14">
        <f>DATE(2012,12,31)-1350</f>
        <v>39924</v>
      </c>
      <c r="B7925" s="15" t="s">
        <v>288</v>
      </c>
      <c r="C7925" s="15" t="s">
        <v>51</v>
      </c>
      <c r="D7925" s="16">
        <v>1</v>
      </c>
      <c r="E7925" s="17">
        <v>47.04</v>
      </c>
      <c r="F7925" s="16">
        <v>0.06</v>
      </c>
      <c r="G7925" s="15" t="s">
        <v>32</v>
      </c>
      <c r="H7925" s="18">
        <v>-24.63</v>
      </c>
      <c r="I7925" s="19">
        <v>42.98</v>
      </c>
      <c r="J7925" s="19">
        <v>4.62</v>
      </c>
      <c r="K7925" s="19" t="s">
        <v>97</v>
      </c>
      <c r="L7925" s="19" t="s">
        <v>283</v>
      </c>
      <c r="M7925" s="15" t="s">
        <v>2306</v>
      </c>
      <c r="N7925" s="15" t="s">
        <v>36</v>
      </c>
      <c r="O7925" s="15" t="s">
        <v>176</v>
      </c>
      <c r="P7925" s="20" t="s">
        <v>1867</v>
      </c>
      <c r="Q7925" s="15" t="s">
        <v>83</v>
      </c>
      <c r="R7925" s="4"/>
      <c r="S7925" s="4"/>
    </row>
    <row r="7926" spans="1:19" ht="21" customHeight="1" x14ac:dyDescent="0.25">
      <c r="A7926" s="14">
        <f>DATE(2012,12,31)-610</f>
        <v>40664</v>
      </c>
      <c r="B7926" s="15" t="s">
        <v>288</v>
      </c>
      <c r="C7926" s="15" t="s">
        <v>51</v>
      </c>
      <c r="D7926" s="16">
        <v>22</v>
      </c>
      <c r="E7926" s="17">
        <v>1900.47</v>
      </c>
      <c r="F7926" s="16">
        <v>0</v>
      </c>
      <c r="G7926" s="15" t="s">
        <v>58</v>
      </c>
      <c r="H7926" s="18">
        <v>202.73</v>
      </c>
      <c r="I7926" s="19">
        <v>80.97</v>
      </c>
      <c r="J7926" s="19">
        <v>30.06</v>
      </c>
      <c r="K7926" s="19" t="s">
        <v>69</v>
      </c>
      <c r="L7926" s="19" t="s">
        <v>70</v>
      </c>
      <c r="M7926" s="15" t="s">
        <v>2357</v>
      </c>
      <c r="N7926" s="15" t="s">
        <v>64</v>
      </c>
      <c r="O7926" s="15" t="s">
        <v>122</v>
      </c>
      <c r="P7926" s="20" t="s">
        <v>1141</v>
      </c>
      <c r="Q7926" s="15" t="s">
        <v>63</v>
      </c>
      <c r="R7926" s="4"/>
      <c r="S7926" s="4"/>
    </row>
    <row r="7927" spans="1:19" ht="21" customHeight="1" x14ac:dyDescent="0.25">
      <c r="A7927" s="14">
        <f>DATE(2012,12,31)-610</f>
        <v>40664</v>
      </c>
      <c r="B7927" s="15" t="s">
        <v>1876</v>
      </c>
      <c r="C7927" s="15" t="s">
        <v>51</v>
      </c>
      <c r="D7927" s="16">
        <v>33</v>
      </c>
      <c r="E7927" s="17">
        <v>205.52</v>
      </c>
      <c r="F7927" s="16">
        <v>0.09</v>
      </c>
      <c r="G7927" s="15" t="s">
        <v>32</v>
      </c>
      <c r="H7927" s="18">
        <v>-118.55</v>
      </c>
      <c r="I7927" s="19">
        <v>6.48</v>
      </c>
      <c r="J7927" s="19">
        <v>7.03</v>
      </c>
      <c r="K7927" s="19" t="s">
        <v>69</v>
      </c>
      <c r="L7927" s="19" t="s">
        <v>75</v>
      </c>
      <c r="M7927" s="15" t="s">
        <v>76</v>
      </c>
      <c r="N7927" s="15" t="s">
        <v>36</v>
      </c>
      <c r="O7927" s="15" t="s">
        <v>117</v>
      </c>
      <c r="P7927" s="20" t="s">
        <v>1340</v>
      </c>
      <c r="Q7927" s="15" t="s">
        <v>83</v>
      </c>
      <c r="R7927" s="4"/>
      <c r="S7927" s="4"/>
    </row>
    <row r="7928" spans="1:19" ht="21" customHeight="1" x14ac:dyDescent="0.25">
      <c r="A7928" s="14">
        <f>DATE(2012,12,31)-1045</f>
        <v>40229</v>
      </c>
      <c r="B7928" s="15" t="s">
        <v>233</v>
      </c>
      <c r="C7928" s="15" t="s">
        <v>43</v>
      </c>
      <c r="D7928" s="16">
        <v>1</v>
      </c>
      <c r="E7928" s="17">
        <v>10.94</v>
      </c>
      <c r="F7928" s="16">
        <v>0.1</v>
      </c>
      <c r="G7928" s="15" t="s">
        <v>32</v>
      </c>
      <c r="H7928" s="18">
        <v>-5.16</v>
      </c>
      <c r="I7928" s="19">
        <v>9.11</v>
      </c>
      <c r="J7928" s="19">
        <v>2.25</v>
      </c>
      <c r="K7928" s="19" t="s">
        <v>69</v>
      </c>
      <c r="L7928" s="19" t="s">
        <v>75</v>
      </c>
      <c r="M7928" s="15" t="s">
        <v>76</v>
      </c>
      <c r="N7928" s="15" t="s">
        <v>36</v>
      </c>
      <c r="O7928" s="15" t="s">
        <v>77</v>
      </c>
      <c r="P7928" s="20" t="s">
        <v>1999</v>
      </c>
      <c r="Q7928" s="15" t="s">
        <v>79</v>
      </c>
      <c r="R7928" s="4"/>
      <c r="S7928" s="4"/>
    </row>
    <row r="7929" spans="1:19" ht="21" customHeight="1" x14ac:dyDescent="0.25">
      <c r="A7929" s="14">
        <f>DATE(2012,12,31)-748</f>
        <v>40526</v>
      </c>
      <c r="B7929" s="15" t="s">
        <v>1858</v>
      </c>
      <c r="C7929" s="15" t="s">
        <v>31</v>
      </c>
      <c r="D7929" s="16">
        <v>10</v>
      </c>
      <c r="E7929" s="17">
        <v>965.46</v>
      </c>
      <c r="F7929" s="16">
        <v>0.03</v>
      </c>
      <c r="G7929" s="15" t="s">
        <v>58</v>
      </c>
      <c r="H7929" s="18">
        <v>-71.48</v>
      </c>
      <c r="I7929" s="19">
        <v>90.98</v>
      </c>
      <c r="J7929" s="19">
        <v>30</v>
      </c>
      <c r="K7929" s="19" t="s">
        <v>69</v>
      </c>
      <c r="L7929" s="19" t="s">
        <v>215</v>
      </c>
      <c r="M7929" s="15" t="s">
        <v>2355</v>
      </c>
      <c r="N7929" s="15" t="s">
        <v>54</v>
      </c>
      <c r="O7929" s="15" t="s">
        <v>252</v>
      </c>
      <c r="P7929" s="20" t="s">
        <v>150</v>
      </c>
      <c r="Q7929" s="15" t="s">
        <v>181</v>
      </c>
      <c r="R7929" s="4"/>
      <c r="S7929" s="4"/>
    </row>
    <row r="7930" spans="1:19" ht="21" customHeight="1" x14ac:dyDescent="0.25">
      <c r="A7930" s="14">
        <f>DATE(2012,12,31)-521</f>
        <v>40753</v>
      </c>
      <c r="B7930" s="15" t="s">
        <v>1858</v>
      </c>
      <c r="C7930" s="15" t="s">
        <v>85</v>
      </c>
      <c r="D7930" s="16">
        <v>44</v>
      </c>
      <c r="E7930" s="17">
        <v>4326.2700000000004</v>
      </c>
      <c r="F7930" s="16">
        <v>0.09</v>
      </c>
      <c r="G7930" s="15" t="s">
        <v>32</v>
      </c>
      <c r="H7930" s="18">
        <v>1728.2</v>
      </c>
      <c r="I7930" s="19">
        <v>100.98</v>
      </c>
      <c r="J7930" s="19">
        <v>7.18</v>
      </c>
      <c r="K7930" s="19" t="s">
        <v>44</v>
      </c>
      <c r="L7930" s="19" t="s">
        <v>120</v>
      </c>
      <c r="M7930" s="15" t="s">
        <v>2262</v>
      </c>
      <c r="N7930" s="15" t="s">
        <v>64</v>
      </c>
      <c r="O7930" s="15" t="s">
        <v>72</v>
      </c>
      <c r="P7930" s="20" t="s">
        <v>2340</v>
      </c>
      <c r="Q7930" s="15" t="s">
        <v>83</v>
      </c>
      <c r="R7930" s="4"/>
      <c r="S7930" s="4"/>
    </row>
    <row r="7931" spans="1:19" ht="21" customHeight="1" x14ac:dyDescent="0.25">
      <c r="A7931" s="14">
        <f>DATE(2012,12,31)-394</f>
        <v>40880</v>
      </c>
      <c r="B7931" s="15" t="s">
        <v>1858</v>
      </c>
      <c r="C7931" s="15" t="s">
        <v>31</v>
      </c>
      <c r="D7931" s="16">
        <v>34</v>
      </c>
      <c r="E7931" s="17">
        <v>1947.4265</v>
      </c>
      <c r="F7931" s="16">
        <v>0.03</v>
      </c>
      <c r="G7931" s="15" t="s">
        <v>32</v>
      </c>
      <c r="H7931" s="18">
        <v>473.26499999999999</v>
      </c>
      <c r="I7931" s="19">
        <v>65.989999999999995</v>
      </c>
      <c r="J7931" s="19">
        <v>5.92</v>
      </c>
      <c r="K7931" s="19" t="s">
        <v>44</v>
      </c>
      <c r="L7931" s="19" t="s">
        <v>89</v>
      </c>
      <c r="M7931" s="15" t="s">
        <v>2365</v>
      </c>
      <c r="N7931" s="15" t="s">
        <v>64</v>
      </c>
      <c r="O7931" s="15" t="s">
        <v>65</v>
      </c>
      <c r="P7931" s="20" t="s">
        <v>2029</v>
      </c>
      <c r="Q7931" s="15" t="s">
        <v>83</v>
      </c>
      <c r="R7931" s="4"/>
      <c r="S7931" s="4"/>
    </row>
    <row r="7932" spans="1:19" ht="21" customHeight="1" x14ac:dyDescent="0.25">
      <c r="A7932" s="14">
        <f>DATE(2012,12,31)-892</f>
        <v>40382</v>
      </c>
      <c r="B7932" s="15" t="s">
        <v>1656</v>
      </c>
      <c r="C7932" s="15" t="s">
        <v>31</v>
      </c>
      <c r="D7932" s="16">
        <v>10</v>
      </c>
      <c r="E7932" s="17">
        <v>842.19</v>
      </c>
      <c r="F7932" s="16">
        <v>0</v>
      </c>
      <c r="G7932" s="15" t="s">
        <v>32</v>
      </c>
      <c r="H7932" s="18">
        <v>157.44999999999999</v>
      </c>
      <c r="I7932" s="19">
        <v>80.98</v>
      </c>
      <c r="J7932" s="19">
        <v>4.5</v>
      </c>
      <c r="K7932" s="19" t="s">
        <v>44</v>
      </c>
      <c r="L7932" s="19" t="s">
        <v>120</v>
      </c>
      <c r="M7932" s="15" t="s">
        <v>2262</v>
      </c>
      <c r="N7932" s="15" t="s">
        <v>36</v>
      </c>
      <c r="O7932" s="15" t="s">
        <v>176</v>
      </c>
      <c r="P7932" s="20" t="s">
        <v>2153</v>
      </c>
      <c r="Q7932" s="15" t="s">
        <v>83</v>
      </c>
      <c r="R7932" s="4"/>
      <c r="S7932" s="4"/>
    </row>
    <row r="7933" spans="1:19" ht="21" customHeight="1" x14ac:dyDescent="0.25">
      <c r="A7933" s="14">
        <f>DATE(2012,12,31)-401</f>
        <v>40873</v>
      </c>
      <c r="B7933" s="15" t="s">
        <v>820</v>
      </c>
      <c r="C7933" s="15" t="s">
        <v>43</v>
      </c>
      <c r="D7933" s="16">
        <v>16</v>
      </c>
      <c r="E7933" s="17">
        <v>54.32</v>
      </c>
      <c r="F7933" s="16">
        <v>0.09</v>
      </c>
      <c r="G7933" s="15" t="s">
        <v>32</v>
      </c>
      <c r="H7933" s="18">
        <v>16.11</v>
      </c>
      <c r="I7933" s="19">
        <v>3.41</v>
      </c>
      <c r="J7933" s="19">
        <v>0.7</v>
      </c>
      <c r="K7933" s="19" t="s">
        <v>44</v>
      </c>
      <c r="L7933" s="19" t="s">
        <v>89</v>
      </c>
      <c r="M7933" s="15" t="s">
        <v>2365</v>
      </c>
      <c r="N7933" s="15" t="s">
        <v>36</v>
      </c>
      <c r="O7933" s="15" t="s">
        <v>105</v>
      </c>
      <c r="P7933" s="20" t="s">
        <v>1073</v>
      </c>
      <c r="Q7933" s="15" t="s">
        <v>79</v>
      </c>
      <c r="R7933" s="4"/>
      <c r="S7933" s="4"/>
    </row>
    <row r="7934" spans="1:19" ht="21" customHeight="1" x14ac:dyDescent="0.25">
      <c r="A7934" s="14">
        <f>DATE(2012,12,31)-1207</f>
        <v>40067</v>
      </c>
      <c r="B7934" s="15" t="s">
        <v>2172</v>
      </c>
      <c r="C7934" s="15" t="s">
        <v>85</v>
      </c>
      <c r="D7934" s="16">
        <v>36</v>
      </c>
      <c r="E7934" s="17">
        <v>100.68</v>
      </c>
      <c r="F7934" s="16">
        <v>0</v>
      </c>
      <c r="G7934" s="15" t="s">
        <v>32</v>
      </c>
      <c r="H7934" s="18">
        <v>-45.21</v>
      </c>
      <c r="I7934" s="19">
        <v>2.6</v>
      </c>
      <c r="J7934" s="19">
        <v>2.4</v>
      </c>
      <c r="K7934" s="19" t="s">
        <v>44</v>
      </c>
      <c r="L7934" s="19" t="s">
        <v>89</v>
      </c>
      <c r="M7934" s="15" t="s">
        <v>2365</v>
      </c>
      <c r="N7934" s="15" t="s">
        <v>36</v>
      </c>
      <c r="O7934" s="15" t="s">
        <v>77</v>
      </c>
      <c r="P7934" s="20" t="s">
        <v>1309</v>
      </c>
      <c r="Q7934" s="15" t="s">
        <v>79</v>
      </c>
      <c r="R7934" s="4"/>
      <c r="S7934" s="4"/>
    </row>
    <row r="7935" spans="1:19" ht="21" customHeight="1" x14ac:dyDescent="0.25">
      <c r="A7935" s="14">
        <f>DATE(2012,12,31)-462</f>
        <v>40812</v>
      </c>
      <c r="B7935" s="15" t="s">
        <v>504</v>
      </c>
      <c r="C7935" s="15" t="s">
        <v>51</v>
      </c>
      <c r="D7935" s="16">
        <v>22</v>
      </c>
      <c r="E7935" s="17">
        <v>205.88</v>
      </c>
      <c r="F7935" s="16">
        <v>0.08</v>
      </c>
      <c r="G7935" s="15" t="s">
        <v>32</v>
      </c>
      <c r="H7935" s="18">
        <v>20.68</v>
      </c>
      <c r="I7935" s="19">
        <v>9.7799999999999994</v>
      </c>
      <c r="J7935" s="19">
        <v>1.99</v>
      </c>
      <c r="K7935" s="19" t="s">
        <v>44</v>
      </c>
      <c r="L7935" s="19" t="s">
        <v>80</v>
      </c>
      <c r="M7935" s="15" t="s">
        <v>2339</v>
      </c>
      <c r="N7935" s="15" t="s">
        <v>64</v>
      </c>
      <c r="O7935" s="15" t="s">
        <v>72</v>
      </c>
      <c r="P7935" s="20" t="s">
        <v>1194</v>
      </c>
      <c r="Q7935" s="15" t="s">
        <v>49</v>
      </c>
      <c r="R7935" s="4"/>
      <c r="S7935" s="4"/>
    </row>
    <row r="7936" spans="1:19" ht="21" customHeight="1" x14ac:dyDescent="0.25">
      <c r="A7936" s="14">
        <f>DATE(2012,12,31)-136</f>
        <v>41138</v>
      </c>
      <c r="B7936" s="15" t="s">
        <v>504</v>
      </c>
      <c r="C7936" s="15" t="s">
        <v>31</v>
      </c>
      <c r="D7936" s="16">
        <v>10</v>
      </c>
      <c r="E7936" s="17">
        <v>987.54</v>
      </c>
      <c r="F7936" s="16">
        <v>7.0000000000000007E-2</v>
      </c>
      <c r="G7936" s="15" t="s">
        <v>32</v>
      </c>
      <c r="H7936" s="18">
        <v>-396.84</v>
      </c>
      <c r="I7936" s="19">
        <v>101.41</v>
      </c>
      <c r="J7936" s="19">
        <v>35</v>
      </c>
      <c r="K7936" s="19" t="s">
        <v>44</v>
      </c>
      <c r="L7936" s="19" t="s">
        <v>120</v>
      </c>
      <c r="M7936" s="15" t="s">
        <v>2262</v>
      </c>
      <c r="N7936" s="15" t="s">
        <v>36</v>
      </c>
      <c r="O7936" s="15" t="s">
        <v>37</v>
      </c>
      <c r="P7936" s="20" t="s">
        <v>977</v>
      </c>
      <c r="Q7936" s="15" t="s">
        <v>39</v>
      </c>
      <c r="R7936" s="4"/>
      <c r="S7936" s="4"/>
    </row>
    <row r="7937" spans="1:19" ht="21" customHeight="1" x14ac:dyDescent="0.25">
      <c r="A7937" s="14">
        <f>DATE(2012,12,31)-136</f>
        <v>41138</v>
      </c>
      <c r="B7937" s="15" t="s">
        <v>1701</v>
      </c>
      <c r="C7937" s="15" t="s">
        <v>31</v>
      </c>
      <c r="D7937" s="16">
        <v>47</v>
      </c>
      <c r="E7937" s="17">
        <v>228.31</v>
      </c>
      <c r="F7937" s="16">
        <v>0.03</v>
      </c>
      <c r="G7937" s="15" t="s">
        <v>32</v>
      </c>
      <c r="H7937" s="18">
        <v>8.89</v>
      </c>
      <c r="I7937" s="19">
        <v>4.71</v>
      </c>
      <c r="J7937" s="19">
        <v>0.7</v>
      </c>
      <c r="K7937" s="19" t="s">
        <v>33</v>
      </c>
      <c r="L7937" s="19" t="s">
        <v>128</v>
      </c>
      <c r="M7937" s="15" t="s">
        <v>129</v>
      </c>
      <c r="N7937" s="15" t="s">
        <v>36</v>
      </c>
      <c r="O7937" s="15" t="s">
        <v>105</v>
      </c>
      <c r="P7937" s="20" t="s">
        <v>1109</v>
      </c>
      <c r="Q7937" s="15" t="s">
        <v>79</v>
      </c>
      <c r="R7937" s="4"/>
      <c r="S7937" s="4"/>
    </row>
    <row r="7938" spans="1:19" ht="21" customHeight="1" x14ac:dyDescent="0.25">
      <c r="A7938" s="14">
        <f>DATE(2012,12,31)-1062</f>
        <v>40212</v>
      </c>
      <c r="B7938" s="15" t="s">
        <v>1701</v>
      </c>
      <c r="C7938" s="15" t="s">
        <v>51</v>
      </c>
      <c r="D7938" s="16">
        <v>34</v>
      </c>
      <c r="E7938" s="17">
        <v>232.41550000000001</v>
      </c>
      <c r="F7938" s="16">
        <v>0.05</v>
      </c>
      <c r="G7938" s="15" t="s">
        <v>32</v>
      </c>
      <c r="H7938" s="18">
        <v>-110.59400000000001</v>
      </c>
      <c r="I7938" s="19">
        <v>7.99</v>
      </c>
      <c r="J7938" s="19">
        <v>5.03</v>
      </c>
      <c r="K7938" s="19" t="s">
        <v>97</v>
      </c>
      <c r="L7938" s="19" t="s">
        <v>98</v>
      </c>
      <c r="M7938" s="15" t="s">
        <v>2363</v>
      </c>
      <c r="N7938" s="15" t="s">
        <v>64</v>
      </c>
      <c r="O7938" s="15" t="s">
        <v>65</v>
      </c>
      <c r="P7938" s="20" t="s">
        <v>689</v>
      </c>
      <c r="Q7938" s="15" t="s">
        <v>57</v>
      </c>
      <c r="R7938" s="4"/>
      <c r="S7938" s="4"/>
    </row>
    <row r="7939" spans="1:19" ht="21" customHeight="1" x14ac:dyDescent="0.25">
      <c r="A7939" s="14">
        <f>DATE(2012,12,31)-1243</f>
        <v>40031</v>
      </c>
      <c r="B7939" s="15" t="s">
        <v>1701</v>
      </c>
      <c r="C7939" s="15" t="s">
        <v>51</v>
      </c>
      <c r="D7939" s="16">
        <v>48</v>
      </c>
      <c r="E7939" s="17">
        <v>2784.8294999999998</v>
      </c>
      <c r="F7939" s="16">
        <v>0.01</v>
      </c>
      <c r="G7939" s="15" t="s">
        <v>101</v>
      </c>
      <c r="H7939" s="18">
        <v>788.29200000000003</v>
      </c>
      <c r="I7939" s="19">
        <v>65.989999999999995</v>
      </c>
      <c r="J7939" s="19">
        <v>4.2</v>
      </c>
      <c r="K7939" s="19" t="s">
        <v>97</v>
      </c>
      <c r="L7939" s="19" t="s">
        <v>98</v>
      </c>
      <c r="M7939" s="15" t="s">
        <v>2363</v>
      </c>
      <c r="N7939" s="15" t="s">
        <v>64</v>
      </c>
      <c r="O7939" s="15" t="s">
        <v>65</v>
      </c>
      <c r="P7939" s="20" t="s">
        <v>706</v>
      </c>
      <c r="Q7939" s="15" t="s">
        <v>83</v>
      </c>
      <c r="R7939" s="4"/>
      <c r="S7939" s="4"/>
    </row>
    <row r="7940" spans="1:19" ht="21" customHeight="1" x14ac:dyDescent="0.25">
      <c r="A7940" s="14">
        <f>DATE(2012,12,31)-304</f>
        <v>40970</v>
      </c>
      <c r="B7940" s="15" t="s">
        <v>1701</v>
      </c>
      <c r="C7940" s="15" t="s">
        <v>31</v>
      </c>
      <c r="D7940" s="16">
        <v>17</v>
      </c>
      <c r="E7940" s="17">
        <v>1383.9</v>
      </c>
      <c r="F7940" s="16">
        <v>0.05</v>
      </c>
      <c r="G7940" s="15" t="s">
        <v>101</v>
      </c>
      <c r="H7940" s="18">
        <v>311.58</v>
      </c>
      <c r="I7940" s="19">
        <v>83.1</v>
      </c>
      <c r="J7940" s="19">
        <v>6.13</v>
      </c>
      <c r="K7940" s="19" t="s">
        <v>124</v>
      </c>
      <c r="L7940" s="19" t="s">
        <v>160</v>
      </c>
      <c r="M7940" s="15" t="s">
        <v>2281</v>
      </c>
      <c r="N7940" s="15" t="s">
        <v>64</v>
      </c>
      <c r="O7940" s="15" t="s">
        <v>72</v>
      </c>
      <c r="P7940" s="20" t="s">
        <v>1004</v>
      </c>
      <c r="Q7940" s="15" t="s">
        <v>83</v>
      </c>
      <c r="R7940" s="4"/>
      <c r="S7940" s="4"/>
    </row>
    <row r="7941" spans="1:19" ht="21" customHeight="1" x14ac:dyDescent="0.25">
      <c r="A7941" s="14">
        <f>DATE(2012,12,31)-988</f>
        <v>40286</v>
      </c>
      <c r="B7941" s="15" t="s">
        <v>1881</v>
      </c>
      <c r="C7941" s="15" t="s">
        <v>43</v>
      </c>
      <c r="D7941" s="16">
        <v>10</v>
      </c>
      <c r="E7941" s="17">
        <v>315.42</v>
      </c>
      <c r="F7941" s="16">
        <v>0.1</v>
      </c>
      <c r="G7941" s="15" t="s">
        <v>32</v>
      </c>
      <c r="H7941" s="18">
        <v>-41.26</v>
      </c>
      <c r="I7941" s="19">
        <v>30.98</v>
      </c>
      <c r="J7941" s="19">
        <v>17.079999999999998</v>
      </c>
      <c r="K7941" s="19" t="s">
        <v>124</v>
      </c>
      <c r="L7941" s="19" t="s">
        <v>160</v>
      </c>
      <c r="M7941" s="15" t="s">
        <v>2281</v>
      </c>
      <c r="N7941" s="15" t="s">
        <v>36</v>
      </c>
      <c r="O7941" s="15" t="s">
        <v>117</v>
      </c>
      <c r="P7941" s="20" t="s">
        <v>891</v>
      </c>
      <c r="Q7941" s="15" t="s">
        <v>83</v>
      </c>
      <c r="R7941" s="4"/>
      <c r="S7941" s="4"/>
    </row>
    <row r="7942" spans="1:19" ht="21" customHeight="1" x14ac:dyDescent="0.25">
      <c r="A7942" s="14">
        <f>DATE(2012,12,31)-1173</f>
        <v>40101</v>
      </c>
      <c r="B7942" s="15" t="s">
        <v>690</v>
      </c>
      <c r="C7942" s="15" t="s">
        <v>85</v>
      </c>
      <c r="D7942" s="16">
        <v>27</v>
      </c>
      <c r="E7942" s="17">
        <v>157.57</v>
      </c>
      <c r="F7942" s="16">
        <v>0.08</v>
      </c>
      <c r="G7942" s="15" t="s">
        <v>101</v>
      </c>
      <c r="H7942" s="18">
        <v>-57.062999999999995</v>
      </c>
      <c r="I7942" s="19">
        <v>5.74</v>
      </c>
      <c r="J7942" s="19">
        <v>5.01</v>
      </c>
      <c r="K7942" s="19" t="s">
        <v>124</v>
      </c>
      <c r="L7942" s="19" t="s">
        <v>160</v>
      </c>
      <c r="M7942" s="15" t="s">
        <v>2281</v>
      </c>
      <c r="N7942" s="15" t="s">
        <v>36</v>
      </c>
      <c r="O7942" s="15" t="s">
        <v>170</v>
      </c>
      <c r="P7942" s="20" t="s">
        <v>358</v>
      </c>
      <c r="Q7942" s="15" t="s">
        <v>83</v>
      </c>
      <c r="R7942" s="4"/>
      <c r="S7942" s="4"/>
    </row>
    <row r="7943" spans="1:19" ht="21" customHeight="1" x14ac:dyDescent="0.25">
      <c r="A7943" s="14">
        <f>DATE(2012,12,31)-188</f>
        <v>41086</v>
      </c>
      <c r="B7943" s="15" t="s">
        <v>690</v>
      </c>
      <c r="C7943" s="15" t="s">
        <v>85</v>
      </c>
      <c r="D7943" s="16">
        <v>8</v>
      </c>
      <c r="E7943" s="17">
        <v>71.099999999999994</v>
      </c>
      <c r="F7943" s="16">
        <v>0.03</v>
      </c>
      <c r="G7943" s="15" t="s">
        <v>32</v>
      </c>
      <c r="H7943" s="18">
        <v>2.2865000000000002</v>
      </c>
      <c r="I7943" s="19">
        <v>8.69</v>
      </c>
      <c r="J7943" s="19">
        <v>2.99</v>
      </c>
      <c r="K7943" s="19" t="s">
        <v>124</v>
      </c>
      <c r="L7943" s="19" t="s">
        <v>168</v>
      </c>
      <c r="M7943" s="15" t="s">
        <v>2362</v>
      </c>
      <c r="N7943" s="15" t="s">
        <v>36</v>
      </c>
      <c r="O7943" s="15" t="s">
        <v>170</v>
      </c>
      <c r="P7943" s="20" t="s">
        <v>2332</v>
      </c>
      <c r="Q7943" s="15" t="s">
        <v>83</v>
      </c>
      <c r="R7943" s="4"/>
      <c r="S7943" s="4"/>
    </row>
    <row r="7944" spans="1:19" ht="21" customHeight="1" x14ac:dyDescent="0.25">
      <c r="A7944" s="14">
        <f>DATE(2012,12,31)-664</f>
        <v>40610</v>
      </c>
      <c r="B7944" s="15" t="s">
        <v>1037</v>
      </c>
      <c r="C7944" s="15" t="s">
        <v>85</v>
      </c>
      <c r="D7944" s="16">
        <v>17</v>
      </c>
      <c r="E7944" s="17">
        <v>74.25</v>
      </c>
      <c r="F7944" s="16">
        <v>0.01</v>
      </c>
      <c r="G7944" s="15" t="s">
        <v>32</v>
      </c>
      <c r="H7944" s="18">
        <v>-56.166000000000004</v>
      </c>
      <c r="I7944" s="19">
        <v>3.98</v>
      </c>
      <c r="J7944" s="19">
        <v>5.26</v>
      </c>
      <c r="K7944" s="19" t="s">
        <v>124</v>
      </c>
      <c r="L7944" s="19" t="s">
        <v>164</v>
      </c>
      <c r="M7944" s="15" t="s">
        <v>2368</v>
      </c>
      <c r="N7944" s="15" t="s">
        <v>36</v>
      </c>
      <c r="O7944" s="15" t="s">
        <v>170</v>
      </c>
      <c r="P7944" s="20" t="s">
        <v>1630</v>
      </c>
      <c r="Q7944" s="15" t="s">
        <v>83</v>
      </c>
      <c r="R7944" s="4"/>
      <c r="S7944" s="4"/>
    </row>
    <row r="7945" spans="1:19" ht="21" customHeight="1" x14ac:dyDescent="0.25">
      <c r="A7945" s="14">
        <f>DATE(2012,12,31)-664</f>
        <v>40610</v>
      </c>
      <c r="B7945" s="15" t="s">
        <v>1128</v>
      </c>
      <c r="C7945" s="15" t="s">
        <v>85</v>
      </c>
      <c r="D7945" s="16">
        <v>4</v>
      </c>
      <c r="E7945" s="17">
        <v>23.23</v>
      </c>
      <c r="F7945" s="16">
        <v>0.09</v>
      </c>
      <c r="G7945" s="15" t="s">
        <v>32</v>
      </c>
      <c r="H7945" s="18">
        <v>-19.059999999999999</v>
      </c>
      <c r="I7945" s="19">
        <v>4.28</v>
      </c>
      <c r="J7945" s="19">
        <v>6.72</v>
      </c>
      <c r="K7945" s="19" t="s">
        <v>124</v>
      </c>
      <c r="L7945" s="19" t="s">
        <v>319</v>
      </c>
      <c r="M7945" s="15" t="s">
        <v>2343</v>
      </c>
      <c r="N7945" s="15" t="s">
        <v>36</v>
      </c>
      <c r="O7945" s="15" t="s">
        <v>117</v>
      </c>
      <c r="P7945" s="20" t="s">
        <v>757</v>
      </c>
      <c r="Q7945" s="15" t="s">
        <v>83</v>
      </c>
      <c r="R7945" s="4"/>
      <c r="S7945" s="4"/>
    </row>
    <row r="7946" spans="1:19" ht="21" customHeight="1" x14ac:dyDescent="0.25">
      <c r="A7946" s="14">
        <f>DATE(2012,12,31)-53</f>
        <v>41221</v>
      </c>
      <c r="B7946" s="15" t="s">
        <v>1007</v>
      </c>
      <c r="C7946" s="15" t="s">
        <v>31</v>
      </c>
      <c r="D7946" s="16">
        <v>29</v>
      </c>
      <c r="E7946" s="17">
        <v>2185.61</v>
      </c>
      <c r="F7946" s="16">
        <v>0.01</v>
      </c>
      <c r="G7946" s="15" t="s">
        <v>58</v>
      </c>
      <c r="H7946" s="18">
        <v>-2897.2515000000003</v>
      </c>
      <c r="I7946" s="19">
        <v>70.89</v>
      </c>
      <c r="J7946" s="19">
        <v>89.3</v>
      </c>
      <c r="K7946" s="19" t="s">
        <v>124</v>
      </c>
      <c r="L7946" s="19" t="s">
        <v>319</v>
      </c>
      <c r="M7946" s="15" t="s">
        <v>2343</v>
      </c>
      <c r="N7946" s="15" t="s">
        <v>54</v>
      </c>
      <c r="O7946" s="15" t="s">
        <v>61</v>
      </c>
      <c r="P7946" s="20" t="s">
        <v>482</v>
      </c>
      <c r="Q7946" s="15" t="s">
        <v>63</v>
      </c>
      <c r="R7946" s="4"/>
      <c r="S7946" s="4"/>
    </row>
    <row r="7947" spans="1:19" ht="21" customHeight="1" x14ac:dyDescent="0.25">
      <c r="A7947" s="14">
        <f>DATE(2012,12,31)-236</f>
        <v>41038</v>
      </c>
      <c r="B7947" s="15" t="s">
        <v>1007</v>
      </c>
      <c r="C7947" s="15" t="s">
        <v>85</v>
      </c>
      <c r="D7947" s="16">
        <v>28</v>
      </c>
      <c r="E7947" s="17">
        <v>205.43</v>
      </c>
      <c r="F7947" s="16">
        <v>0</v>
      </c>
      <c r="G7947" s="15" t="s">
        <v>101</v>
      </c>
      <c r="H7947" s="18">
        <v>-24.299499999999998</v>
      </c>
      <c r="I7947" s="19">
        <v>6.54</v>
      </c>
      <c r="J7947" s="19">
        <v>5.27</v>
      </c>
      <c r="K7947" s="19" t="s">
        <v>124</v>
      </c>
      <c r="L7947" s="19" t="s">
        <v>319</v>
      </c>
      <c r="M7947" s="15" t="s">
        <v>2343</v>
      </c>
      <c r="N7947" s="15" t="s">
        <v>36</v>
      </c>
      <c r="O7947" s="15" t="s">
        <v>170</v>
      </c>
      <c r="P7947" s="20" t="s">
        <v>843</v>
      </c>
      <c r="Q7947" s="15" t="s">
        <v>83</v>
      </c>
      <c r="R7947" s="4"/>
      <c r="S7947" s="4"/>
    </row>
    <row r="7948" spans="1:19" ht="21" customHeight="1" x14ac:dyDescent="0.25">
      <c r="A7948" s="14">
        <f>DATE(2012,12,31)-236</f>
        <v>41038</v>
      </c>
      <c r="B7948" s="15" t="s">
        <v>1628</v>
      </c>
      <c r="C7948" s="15" t="s">
        <v>85</v>
      </c>
      <c r="D7948" s="16">
        <v>27</v>
      </c>
      <c r="E7948" s="17">
        <v>979.06</v>
      </c>
      <c r="F7948" s="16">
        <v>7.0000000000000007E-2</v>
      </c>
      <c r="G7948" s="15" t="s">
        <v>32</v>
      </c>
      <c r="H7948" s="18">
        <v>-131.9</v>
      </c>
      <c r="I7948" s="19">
        <v>35.770000000000003</v>
      </c>
      <c r="J7948" s="19">
        <v>9.02</v>
      </c>
      <c r="K7948" s="19" t="s">
        <v>44</v>
      </c>
      <c r="L7948" s="19" t="s">
        <v>52</v>
      </c>
      <c r="M7948" s="15" t="s">
        <v>2369</v>
      </c>
      <c r="N7948" s="15" t="s">
        <v>64</v>
      </c>
      <c r="O7948" s="15" t="s">
        <v>72</v>
      </c>
      <c r="P7948" s="20" t="s">
        <v>1240</v>
      </c>
      <c r="Q7948" s="15" t="s">
        <v>83</v>
      </c>
      <c r="R7948" s="4"/>
      <c r="S7948" s="4"/>
    </row>
    <row r="7949" spans="1:19" ht="21" customHeight="1" x14ac:dyDescent="0.25">
      <c r="A7949" s="14">
        <f>DATE(2012,12,31)-579</f>
        <v>40695</v>
      </c>
      <c r="B7949" s="15" t="s">
        <v>396</v>
      </c>
      <c r="C7949" s="15" t="s">
        <v>85</v>
      </c>
      <c r="D7949" s="16">
        <v>50</v>
      </c>
      <c r="E7949" s="17">
        <v>212.12</v>
      </c>
      <c r="F7949" s="16">
        <v>0.01</v>
      </c>
      <c r="G7949" s="15" t="s">
        <v>32</v>
      </c>
      <c r="H7949" s="18">
        <v>-154.62900000000002</v>
      </c>
      <c r="I7949" s="19">
        <v>3.98</v>
      </c>
      <c r="J7949" s="19">
        <v>5.26</v>
      </c>
      <c r="K7949" s="19" t="s">
        <v>44</v>
      </c>
      <c r="L7949" s="19" t="s">
        <v>52</v>
      </c>
      <c r="M7949" s="15" t="s">
        <v>2369</v>
      </c>
      <c r="N7949" s="15" t="s">
        <v>36</v>
      </c>
      <c r="O7949" s="15" t="s">
        <v>170</v>
      </c>
      <c r="P7949" s="20" t="s">
        <v>1772</v>
      </c>
      <c r="Q7949" s="15" t="s">
        <v>83</v>
      </c>
      <c r="R7949" s="4"/>
      <c r="S7949" s="4"/>
    </row>
    <row r="7950" spans="1:19" ht="21" customHeight="1" x14ac:dyDescent="0.25">
      <c r="A7950" s="14">
        <f>DATE(2012,12,31)-579</f>
        <v>40695</v>
      </c>
      <c r="B7950" s="15" t="s">
        <v>256</v>
      </c>
      <c r="C7950" s="15" t="s">
        <v>85</v>
      </c>
      <c r="D7950" s="16">
        <v>25</v>
      </c>
      <c r="E7950" s="17">
        <v>2455.54</v>
      </c>
      <c r="F7950" s="16">
        <v>0.03</v>
      </c>
      <c r="G7950" s="15" t="s">
        <v>32</v>
      </c>
      <c r="H7950" s="18">
        <v>1361.88</v>
      </c>
      <c r="I7950" s="19">
        <v>98.31</v>
      </c>
      <c r="J7950" s="19">
        <v>0.49</v>
      </c>
      <c r="K7950" s="19" t="s">
        <v>44</v>
      </c>
      <c r="L7950" s="19" t="s">
        <v>52</v>
      </c>
      <c r="M7950" s="15" t="s">
        <v>2369</v>
      </c>
      <c r="N7950" s="15" t="s">
        <v>36</v>
      </c>
      <c r="O7950" s="15" t="s">
        <v>114</v>
      </c>
      <c r="P7950" s="20" t="s">
        <v>263</v>
      </c>
      <c r="Q7950" s="15" t="s">
        <v>83</v>
      </c>
      <c r="R7950" s="4"/>
      <c r="S7950" s="4"/>
    </row>
    <row r="7951" spans="1:19" ht="21" customHeight="1" x14ac:dyDescent="0.25">
      <c r="A7951" s="14">
        <f>DATE(2012,12,31)-1127</f>
        <v>40147</v>
      </c>
      <c r="B7951" s="15" t="s">
        <v>1070</v>
      </c>
      <c r="C7951" s="15" t="s">
        <v>31</v>
      </c>
      <c r="D7951" s="16">
        <v>21</v>
      </c>
      <c r="E7951" s="17">
        <v>470.79</v>
      </c>
      <c r="F7951" s="16">
        <v>0.04</v>
      </c>
      <c r="G7951" s="15" t="s">
        <v>32</v>
      </c>
      <c r="H7951" s="18">
        <v>-80.108999999999995</v>
      </c>
      <c r="I7951" s="19">
        <v>22.38</v>
      </c>
      <c r="J7951" s="19">
        <v>15.1</v>
      </c>
      <c r="K7951" s="19" t="s">
        <v>44</v>
      </c>
      <c r="L7951" s="19" t="s">
        <v>52</v>
      </c>
      <c r="M7951" s="15" t="s">
        <v>2369</v>
      </c>
      <c r="N7951" s="15" t="s">
        <v>36</v>
      </c>
      <c r="O7951" s="15" t="s">
        <v>170</v>
      </c>
      <c r="P7951" s="20" t="s">
        <v>652</v>
      </c>
      <c r="Q7951" s="15" t="s">
        <v>83</v>
      </c>
      <c r="R7951" s="4"/>
      <c r="S7951" s="4"/>
    </row>
    <row r="7952" spans="1:19" ht="21" customHeight="1" x14ac:dyDescent="0.25">
      <c r="A7952" s="14">
        <f>DATE(2012,12,31)-1127</f>
        <v>40147</v>
      </c>
      <c r="B7952" s="15" t="s">
        <v>1070</v>
      </c>
      <c r="C7952" s="15" t="s">
        <v>31</v>
      </c>
      <c r="D7952" s="16">
        <v>6</v>
      </c>
      <c r="E7952" s="17">
        <v>36.56</v>
      </c>
      <c r="F7952" s="16">
        <v>7.0000000000000007E-2</v>
      </c>
      <c r="G7952" s="15" t="s">
        <v>32</v>
      </c>
      <c r="H7952" s="18">
        <v>6.22</v>
      </c>
      <c r="I7952" s="19">
        <v>6.3</v>
      </c>
      <c r="J7952" s="19">
        <v>0.5</v>
      </c>
      <c r="K7952" s="19" t="s">
        <v>33</v>
      </c>
      <c r="L7952" s="19" t="s">
        <v>145</v>
      </c>
      <c r="M7952" s="15" t="s">
        <v>146</v>
      </c>
      <c r="N7952" s="15" t="s">
        <v>36</v>
      </c>
      <c r="O7952" s="15" t="s">
        <v>114</v>
      </c>
      <c r="P7952" s="20" t="s">
        <v>234</v>
      </c>
      <c r="Q7952" s="15" t="s">
        <v>83</v>
      </c>
      <c r="R7952" s="4"/>
      <c r="S7952" s="4"/>
    </row>
    <row r="7953" spans="1:19" ht="21" customHeight="1" x14ac:dyDescent="0.25">
      <c r="A7953" s="14">
        <f>DATE(2012,12,31)-1127</f>
        <v>40147</v>
      </c>
      <c r="B7953" s="15" t="s">
        <v>1478</v>
      </c>
      <c r="C7953" s="15" t="s">
        <v>31</v>
      </c>
      <c r="D7953" s="16">
        <v>3</v>
      </c>
      <c r="E7953" s="17">
        <v>55.17</v>
      </c>
      <c r="F7953" s="16">
        <v>0.06</v>
      </c>
      <c r="G7953" s="15" t="s">
        <v>32</v>
      </c>
      <c r="H7953" s="18">
        <v>46.84</v>
      </c>
      <c r="I7953" s="19">
        <v>17.78</v>
      </c>
      <c r="J7953" s="19">
        <v>5.03</v>
      </c>
      <c r="K7953" s="19" t="s">
        <v>44</v>
      </c>
      <c r="L7953" s="19" t="s">
        <v>89</v>
      </c>
      <c r="M7953" s="15" t="s">
        <v>2365</v>
      </c>
      <c r="N7953" s="15" t="s">
        <v>54</v>
      </c>
      <c r="O7953" s="15" t="s">
        <v>55</v>
      </c>
      <c r="P7953" s="20" t="s">
        <v>532</v>
      </c>
      <c r="Q7953" s="15" t="s">
        <v>83</v>
      </c>
      <c r="R7953" s="4"/>
      <c r="S7953" s="4"/>
    </row>
    <row r="7954" spans="1:19" ht="21" customHeight="1" x14ac:dyDescent="0.25">
      <c r="A7954" s="14">
        <f>DATE(2012,12,31)-578</f>
        <v>40696</v>
      </c>
      <c r="B7954" s="15" t="s">
        <v>946</v>
      </c>
      <c r="C7954" s="15" t="s">
        <v>85</v>
      </c>
      <c r="D7954" s="16">
        <v>26</v>
      </c>
      <c r="E7954" s="17">
        <v>173.78</v>
      </c>
      <c r="F7954" s="16">
        <v>0.06</v>
      </c>
      <c r="G7954" s="15" t="s">
        <v>32</v>
      </c>
      <c r="H7954" s="18">
        <v>-96.26</v>
      </c>
      <c r="I7954" s="19">
        <v>6.48</v>
      </c>
      <c r="J7954" s="19">
        <v>7.49</v>
      </c>
      <c r="K7954" s="19" t="s">
        <v>44</v>
      </c>
      <c r="L7954" s="19" t="s">
        <v>89</v>
      </c>
      <c r="M7954" s="15" t="s">
        <v>2365</v>
      </c>
      <c r="N7954" s="15" t="s">
        <v>36</v>
      </c>
      <c r="O7954" s="15" t="s">
        <v>117</v>
      </c>
      <c r="P7954" s="20" t="s">
        <v>1670</v>
      </c>
      <c r="Q7954" s="15" t="s">
        <v>83</v>
      </c>
      <c r="R7954" s="4"/>
      <c r="S7954" s="4"/>
    </row>
    <row r="7955" spans="1:19" ht="21" customHeight="1" x14ac:dyDescent="0.25">
      <c r="A7955" s="14">
        <f>DATE(2012,12,31)-578</f>
        <v>40696</v>
      </c>
      <c r="B7955" s="15" t="s">
        <v>1515</v>
      </c>
      <c r="C7955" s="15" t="s">
        <v>85</v>
      </c>
      <c r="D7955" s="16">
        <v>22</v>
      </c>
      <c r="E7955" s="17">
        <v>41.18</v>
      </c>
      <c r="F7955" s="16">
        <v>7.0000000000000007E-2</v>
      </c>
      <c r="G7955" s="15" t="s">
        <v>32</v>
      </c>
      <c r="H7955" s="18">
        <v>-0.64</v>
      </c>
      <c r="I7955" s="19">
        <v>1.88</v>
      </c>
      <c r="J7955" s="19">
        <v>0.79</v>
      </c>
      <c r="K7955" s="19" t="s">
        <v>44</v>
      </c>
      <c r="L7955" s="19" t="s">
        <v>52</v>
      </c>
      <c r="M7955" s="15" t="s">
        <v>2369</v>
      </c>
      <c r="N7955" s="15" t="s">
        <v>36</v>
      </c>
      <c r="O7955" s="15" t="s">
        <v>105</v>
      </c>
      <c r="P7955" s="20" t="s">
        <v>1545</v>
      </c>
      <c r="Q7955" s="15" t="s">
        <v>79</v>
      </c>
      <c r="R7955" s="4"/>
      <c r="S7955" s="4"/>
    </row>
    <row r="7956" spans="1:19" ht="21" customHeight="1" x14ac:dyDescent="0.25">
      <c r="A7956" s="14">
        <f>DATE(2012,12,31)-427</f>
        <v>40847</v>
      </c>
      <c r="B7956" s="15" t="s">
        <v>1515</v>
      </c>
      <c r="C7956" s="15" t="s">
        <v>85</v>
      </c>
      <c r="D7956" s="16">
        <v>6</v>
      </c>
      <c r="E7956" s="17">
        <v>14.85</v>
      </c>
      <c r="F7956" s="16">
        <v>0.05</v>
      </c>
      <c r="G7956" s="15" t="s">
        <v>101</v>
      </c>
      <c r="H7956" s="18">
        <v>-2.79</v>
      </c>
      <c r="I7956" s="19">
        <v>1.68</v>
      </c>
      <c r="J7956" s="19">
        <v>1.02</v>
      </c>
      <c r="K7956" s="19" t="s">
        <v>33</v>
      </c>
      <c r="L7956" s="19" t="s">
        <v>93</v>
      </c>
      <c r="M7956" s="15" t="s">
        <v>94</v>
      </c>
      <c r="N7956" s="15" t="s">
        <v>36</v>
      </c>
      <c r="O7956" s="15" t="s">
        <v>105</v>
      </c>
      <c r="P7956" s="20" t="s">
        <v>1348</v>
      </c>
      <c r="Q7956" s="15" t="s">
        <v>79</v>
      </c>
      <c r="R7956" s="4"/>
      <c r="S7956" s="4"/>
    </row>
    <row r="7957" spans="1:19" ht="21" customHeight="1" x14ac:dyDescent="0.25">
      <c r="A7957" s="14">
        <f>DATE(2012,12,31)-975</f>
        <v>40299</v>
      </c>
      <c r="B7957" s="15" t="s">
        <v>1373</v>
      </c>
      <c r="C7957" s="15" t="s">
        <v>85</v>
      </c>
      <c r="D7957" s="16">
        <v>29</v>
      </c>
      <c r="E7957" s="17">
        <v>2820.6994999999997</v>
      </c>
      <c r="F7957" s="16">
        <v>0.03</v>
      </c>
      <c r="G7957" s="15" t="s">
        <v>32</v>
      </c>
      <c r="H7957" s="18">
        <v>601.33500000000004</v>
      </c>
      <c r="I7957" s="19">
        <v>110.99</v>
      </c>
      <c r="J7957" s="19">
        <v>8.99</v>
      </c>
      <c r="K7957" s="19" t="s">
        <v>33</v>
      </c>
      <c r="L7957" s="19" t="s">
        <v>145</v>
      </c>
      <c r="M7957" s="15" t="s">
        <v>146</v>
      </c>
      <c r="N7957" s="15" t="s">
        <v>64</v>
      </c>
      <c r="O7957" s="15" t="s">
        <v>65</v>
      </c>
      <c r="P7957" s="20" t="s">
        <v>78</v>
      </c>
      <c r="Q7957" s="15" t="s">
        <v>83</v>
      </c>
      <c r="R7957" s="4"/>
      <c r="S7957" s="4"/>
    </row>
    <row r="7958" spans="1:19" ht="21" customHeight="1" x14ac:dyDescent="0.25">
      <c r="A7958" s="14">
        <f>DATE(2012,12,31)-243</f>
        <v>41031</v>
      </c>
      <c r="B7958" s="15" t="s">
        <v>812</v>
      </c>
      <c r="C7958" s="15" t="s">
        <v>31</v>
      </c>
      <c r="D7958" s="16">
        <v>3</v>
      </c>
      <c r="E7958" s="17">
        <v>18.97</v>
      </c>
      <c r="F7958" s="16">
        <v>0.05</v>
      </c>
      <c r="G7958" s="15" t="s">
        <v>32</v>
      </c>
      <c r="H7958" s="18">
        <v>-7.785499999999999</v>
      </c>
      <c r="I7958" s="19">
        <v>5.34</v>
      </c>
      <c r="J7958" s="19">
        <v>2.99</v>
      </c>
      <c r="K7958" s="19" t="s">
        <v>33</v>
      </c>
      <c r="L7958" s="19" t="s">
        <v>59</v>
      </c>
      <c r="M7958" s="15" t="s">
        <v>2344</v>
      </c>
      <c r="N7958" s="15" t="s">
        <v>36</v>
      </c>
      <c r="O7958" s="15" t="s">
        <v>170</v>
      </c>
      <c r="P7958" s="20" t="s">
        <v>621</v>
      </c>
      <c r="Q7958" s="15" t="s">
        <v>83</v>
      </c>
      <c r="R7958" s="4"/>
      <c r="S7958" s="4"/>
    </row>
    <row r="7959" spans="1:19" ht="21" customHeight="1" x14ac:dyDescent="0.25">
      <c r="A7959" s="14">
        <f>DATE(2012,12,31)-243</f>
        <v>41031</v>
      </c>
      <c r="B7959" s="15" t="s">
        <v>119</v>
      </c>
      <c r="C7959" s="15" t="s">
        <v>31</v>
      </c>
      <c r="D7959" s="16">
        <v>47</v>
      </c>
      <c r="E7959" s="17">
        <v>744.64</v>
      </c>
      <c r="F7959" s="16">
        <v>0</v>
      </c>
      <c r="G7959" s="15" t="s">
        <v>32</v>
      </c>
      <c r="H7959" s="18">
        <v>31.93</v>
      </c>
      <c r="I7959" s="19">
        <v>15.42</v>
      </c>
      <c r="J7959" s="19">
        <v>5.41</v>
      </c>
      <c r="K7959" s="19" t="s">
        <v>33</v>
      </c>
      <c r="L7959" s="19" t="s">
        <v>34</v>
      </c>
      <c r="M7959" s="15" t="s">
        <v>2353</v>
      </c>
      <c r="N7959" s="15" t="s">
        <v>36</v>
      </c>
      <c r="O7959" s="15" t="s">
        <v>37</v>
      </c>
      <c r="P7959" s="20" t="s">
        <v>1686</v>
      </c>
      <c r="Q7959" s="15" t="s">
        <v>83</v>
      </c>
      <c r="R7959" s="4"/>
      <c r="S7959" s="4"/>
    </row>
    <row r="7960" spans="1:19" ht="21" customHeight="1" x14ac:dyDescent="0.25">
      <c r="A7960" s="14">
        <f>DATE(2012,12,31)-649</f>
        <v>40625</v>
      </c>
      <c r="B7960" s="15" t="s">
        <v>1748</v>
      </c>
      <c r="C7960" s="15" t="s">
        <v>85</v>
      </c>
      <c r="D7960" s="16">
        <v>37</v>
      </c>
      <c r="E7960" s="17">
        <v>254.93</v>
      </c>
      <c r="F7960" s="16">
        <v>0.01</v>
      </c>
      <c r="G7960" s="15" t="s">
        <v>32</v>
      </c>
      <c r="H7960" s="18">
        <v>-62.881999999999998</v>
      </c>
      <c r="I7960" s="19">
        <v>6.81</v>
      </c>
      <c r="J7960" s="19">
        <v>5.48</v>
      </c>
      <c r="K7960" s="19" t="s">
        <v>33</v>
      </c>
      <c r="L7960" s="19" t="s">
        <v>145</v>
      </c>
      <c r="M7960" s="15" t="s">
        <v>146</v>
      </c>
      <c r="N7960" s="15" t="s">
        <v>36</v>
      </c>
      <c r="O7960" s="15" t="s">
        <v>170</v>
      </c>
      <c r="P7960" s="20" t="s">
        <v>1135</v>
      </c>
      <c r="Q7960" s="15" t="s">
        <v>83</v>
      </c>
      <c r="R7960" s="4"/>
      <c r="S7960" s="4"/>
    </row>
    <row r="7961" spans="1:19" ht="21" customHeight="1" x14ac:dyDescent="0.25">
      <c r="A7961" s="14">
        <f>DATE(2012,12,31)-411</f>
        <v>40863</v>
      </c>
      <c r="B7961" s="15" t="s">
        <v>1189</v>
      </c>
      <c r="C7961" s="15" t="s">
        <v>43</v>
      </c>
      <c r="D7961" s="16">
        <v>42</v>
      </c>
      <c r="E7961" s="17">
        <v>199.24</v>
      </c>
      <c r="F7961" s="16">
        <v>7.0000000000000007E-2</v>
      </c>
      <c r="G7961" s="15" t="s">
        <v>32</v>
      </c>
      <c r="H7961" s="18">
        <v>-84.26</v>
      </c>
      <c r="I7961" s="19">
        <v>4.9800000000000004</v>
      </c>
      <c r="J7961" s="19">
        <v>4.72</v>
      </c>
      <c r="K7961" s="19" t="s">
        <v>33</v>
      </c>
      <c r="L7961" s="19" t="s">
        <v>34</v>
      </c>
      <c r="M7961" s="15" t="s">
        <v>2353</v>
      </c>
      <c r="N7961" s="15" t="s">
        <v>36</v>
      </c>
      <c r="O7961" s="15" t="s">
        <v>117</v>
      </c>
      <c r="P7961" s="20" t="s">
        <v>301</v>
      </c>
      <c r="Q7961" s="15" t="s">
        <v>83</v>
      </c>
      <c r="R7961" s="4"/>
      <c r="S7961" s="4"/>
    </row>
    <row r="7962" spans="1:19" ht="21" customHeight="1" x14ac:dyDescent="0.25">
      <c r="A7962" s="14">
        <f>DATE(2012,12,31)-411</f>
        <v>40863</v>
      </c>
      <c r="B7962" s="15" t="s">
        <v>2024</v>
      </c>
      <c r="C7962" s="15" t="s">
        <v>43</v>
      </c>
      <c r="D7962" s="16">
        <v>3</v>
      </c>
      <c r="E7962" s="17">
        <v>504.6705</v>
      </c>
      <c r="F7962" s="16">
        <v>0.01</v>
      </c>
      <c r="G7962" s="15" t="s">
        <v>32</v>
      </c>
      <c r="H7962" s="18">
        <v>-800.88800000000003</v>
      </c>
      <c r="I7962" s="19">
        <v>195.99</v>
      </c>
      <c r="J7962" s="19">
        <v>4.2</v>
      </c>
      <c r="K7962" s="19" t="s">
        <v>33</v>
      </c>
      <c r="L7962" s="19" t="s">
        <v>59</v>
      </c>
      <c r="M7962" s="15" t="s">
        <v>2344</v>
      </c>
      <c r="N7962" s="15" t="s">
        <v>64</v>
      </c>
      <c r="O7962" s="15" t="s">
        <v>65</v>
      </c>
      <c r="P7962" s="20" t="s">
        <v>2370</v>
      </c>
      <c r="Q7962" s="15" t="s">
        <v>83</v>
      </c>
      <c r="R7962" s="4"/>
      <c r="S7962" s="4"/>
    </row>
    <row r="7963" spans="1:19" ht="21" customHeight="1" x14ac:dyDescent="0.25">
      <c r="A7963" s="14">
        <f>DATE(2012,12,31)-942</f>
        <v>40332</v>
      </c>
      <c r="B7963" s="15" t="s">
        <v>2188</v>
      </c>
      <c r="C7963" s="15" t="s">
        <v>85</v>
      </c>
      <c r="D7963" s="16">
        <v>19</v>
      </c>
      <c r="E7963" s="17">
        <v>61.02</v>
      </c>
      <c r="F7963" s="16">
        <v>0</v>
      </c>
      <c r="G7963" s="15" t="s">
        <v>32</v>
      </c>
      <c r="H7963" s="18">
        <v>-71.035499999999999</v>
      </c>
      <c r="I7963" s="19">
        <v>2.84</v>
      </c>
      <c r="J7963" s="19">
        <v>5.44</v>
      </c>
      <c r="K7963" s="19" t="s">
        <v>33</v>
      </c>
      <c r="L7963" s="19" t="s">
        <v>34</v>
      </c>
      <c r="M7963" s="15" t="s">
        <v>2353</v>
      </c>
      <c r="N7963" s="15" t="s">
        <v>36</v>
      </c>
      <c r="O7963" s="15" t="s">
        <v>170</v>
      </c>
      <c r="P7963" s="20" t="s">
        <v>1783</v>
      </c>
      <c r="Q7963" s="15" t="s">
        <v>83</v>
      </c>
      <c r="R7963" s="4"/>
      <c r="S7963" s="4"/>
    </row>
    <row r="7964" spans="1:19" ht="21" customHeight="1" x14ac:dyDescent="0.25">
      <c r="A7964" s="14">
        <f>DATE(2012,12,31)-942</f>
        <v>40332</v>
      </c>
      <c r="B7964" s="15" t="s">
        <v>1549</v>
      </c>
      <c r="C7964" s="15" t="s">
        <v>85</v>
      </c>
      <c r="D7964" s="16">
        <v>31</v>
      </c>
      <c r="E7964" s="17">
        <v>878.77</v>
      </c>
      <c r="F7964" s="16">
        <v>0.08</v>
      </c>
      <c r="G7964" s="15" t="s">
        <v>32</v>
      </c>
      <c r="H7964" s="18">
        <v>373.524</v>
      </c>
      <c r="I7964" s="19">
        <v>28.53</v>
      </c>
      <c r="J7964" s="19">
        <v>1.49</v>
      </c>
      <c r="K7964" s="19" t="s">
        <v>33</v>
      </c>
      <c r="L7964" s="19" t="s">
        <v>145</v>
      </c>
      <c r="M7964" s="15" t="s">
        <v>146</v>
      </c>
      <c r="N7964" s="15" t="s">
        <v>36</v>
      </c>
      <c r="O7964" s="15" t="s">
        <v>170</v>
      </c>
      <c r="P7964" s="20" t="s">
        <v>1487</v>
      </c>
      <c r="Q7964" s="15" t="s">
        <v>83</v>
      </c>
      <c r="R7964" s="4"/>
      <c r="S7964" s="4"/>
    </row>
    <row r="7965" spans="1:19" ht="21" customHeight="1" x14ac:dyDescent="0.25">
      <c r="A7965" s="14">
        <f>DATE(2012,12,31)-1049</f>
        <v>40225</v>
      </c>
      <c r="B7965" s="15" t="s">
        <v>1351</v>
      </c>
      <c r="C7965" s="15" t="s">
        <v>31</v>
      </c>
      <c r="D7965" s="16">
        <v>13</v>
      </c>
      <c r="E7965" s="17">
        <v>735.54</v>
      </c>
      <c r="F7965" s="16">
        <v>0</v>
      </c>
      <c r="G7965" s="15" t="s">
        <v>32</v>
      </c>
      <c r="H7965" s="18">
        <v>171.82</v>
      </c>
      <c r="I7965" s="19">
        <v>55.48</v>
      </c>
      <c r="J7965" s="19">
        <v>14.3</v>
      </c>
      <c r="K7965" s="19" t="s">
        <v>33</v>
      </c>
      <c r="L7965" s="19" t="s">
        <v>59</v>
      </c>
      <c r="M7965" s="15" t="s">
        <v>2344</v>
      </c>
      <c r="N7965" s="15" t="s">
        <v>36</v>
      </c>
      <c r="O7965" s="15" t="s">
        <v>117</v>
      </c>
      <c r="P7965" s="20" t="s">
        <v>1411</v>
      </c>
      <c r="Q7965" s="15" t="s">
        <v>83</v>
      </c>
      <c r="R7965" s="4"/>
      <c r="S7965" s="4"/>
    </row>
    <row r="7966" spans="1:19" ht="21" customHeight="1" x14ac:dyDescent="0.25">
      <c r="A7966" s="14">
        <f>DATE(2012,12,31)-119</f>
        <v>41155</v>
      </c>
      <c r="B7966" s="15" t="s">
        <v>1351</v>
      </c>
      <c r="C7966" s="15" t="s">
        <v>31</v>
      </c>
      <c r="D7966" s="16">
        <v>6</v>
      </c>
      <c r="E7966" s="17">
        <v>22.89</v>
      </c>
      <c r="F7966" s="16">
        <v>0.08</v>
      </c>
      <c r="G7966" s="15" t="s">
        <v>32</v>
      </c>
      <c r="H7966" s="18">
        <v>-2.6564999999999999</v>
      </c>
      <c r="I7966" s="19">
        <v>3.8</v>
      </c>
      <c r="J7966" s="19">
        <v>1.49</v>
      </c>
      <c r="K7966" s="19" t="s">
        <v>33</v>
      </c>
      <c r="L7966" s="19" t="s">
        <v>145</v>
      </c>
      <c r="M7966" s="15" t="s">
        <v>146</v>
      </c>
      <c r="N7966" s="15" t="s">
        <v>36</v>
      </c>
      <c r="O7966" s="15" t="s">
        <v>170</v>
      </c>
      <c r="P7966" s="20" t="s">
        <v>454</v>
      </c>
      <c r="Q7966" s="15" t="s">
        <v>83</v>
      </c>
      <c r="R7966" s="4"/>
      <c r="S7966" s="4"/>
    </row>
    <row r="7967" spans="1:19" ht="21" customHeight="1" x14ac:dyDescent="0.25">
      <c r="A7967" s="14">
        <f>DATE(2012,12,31)-119</f>
        <v>41155</v>
      </c>
      <c r="B7967" s="15" t="s">
        <v>2102</v>
      </c>
      <c r="C7967" s="15" t="s">
        <v>31</v>
      </c>
      <c r="D7967" s="16">
        <v>18</v>
      </c>
      <c r="E7967" s="17">
        <v>271.85000000000002</v>
      </c>
      <c r="F7967" s="16">
        <v>0.03</v>
      </c>
      <c r="G7967" s="15" t="s">
        <v>32</v>
      </c>
      <c r="H7967" s="18">
        <v>109.19</v>
      </c>
      <c r="I7967" s="19">
        <v>15.57</v>
      </c>
      <c r="J7967" s="19">
        <v>1.39</v>
      </c>
      <c r="K7967" s="19" t="s">
        <v>97</v>
      </c>
      <c r="L7967" s="19" t="s">
        <v>195</v>
      </c>
      <c r="M7967" s="15" t="s">
        <v>2138</v>
      </c>
      <c r="N7967" s="15" t="s">
        <v>36</v>
      </c>
      <c r="O7967" s="15" t="s">
        <v>189</v>
      </c>
      <c r="P7967" s="20" t="s">
        <v>66</v>
      </c>
      <c r="Q7967" s="15" t="s">
        <v>83</v>
      </c>
      <c r="R7967" s="4"/>
      <c r="S7967" s="4"/>
    </row>
    <row r="7968" spans="1:19" ht="21" customHeight="1" x14ac:dyDescent="0.25">
      <c r="A7968" s="14">
        <f>DATE(2012,12,31)-1315</f>
        <v>39959</v>
      </c>
      <c r="B7968" s="15" t="s">
        <v>386</v>
      </c>
      <c r="C7968" s="15" t="s">
        <v>85</v>
      </c>
      <c r="D7968" s="16">
        <v>9</v>
      </c>
      <c r="E7968" s="17">
        <v>106.05</v>
      </c>
      <c r="F7968" s="16">
        <v>0.02</v>
      </c>
      <c r="G7968" s="15" t="s">
        <v>32</v>
      </c>
      <c r="H7968" s="18">
        <v>-14.52</v>
      </c>
      <c r="I7968" s="19">
        <v>11.33</v>
      </c>
      <c r="J7968" s="19">
        <v>6.12</v>
      </c>
      <c r="K7968" s="19" t="s">
        <v>69</v>
      </c>
      <c r="L7968" s="19" t="s">
        <v>75</v>
      </c>
      <c r="M7968" s="15" t="s">
        <v>76</v>
      </c>
      <c r="N7968" s="15" t="s">
        <v>36</v>
      </c>
      <c r="O7968" s="15" t="s">
        <v>176</v>
      </c>
      <c r="P7968" s="20" t="s">
        <v>1774</v>
      </c>
      <c r="Q7968" s="15" t="s">
        <v>57</v>
      </c>
      <c r="R7968" s="4"/>
      <c r="S7968" s="4"/>
    </row>
    <row r="7969" spans="1:19" ht="21" customHeight="1" x14ac:dyDescent="0.25">
      <c r="A7969" s="14">
        <f>DATE(2012,12,31)-1315</f>
        <v>39959</v>
      </c>
      <c r="B7969" s="15" t="s">
        <v>265</v>
      </c>
      <c r="C7969" s="15" t="s">
        <v>85</v>
      </c>
      <c r="D7969" s="16">
        <v>45</v>
      </c>
      <c r="E7969" s="17">
        <v>698.1</v>
      </c>
      <c r="F7969" s="16">
        <v>0.01</v>
      </c>
      <c r="G7969" s="15" t="s">
        <v>32</v>
      </c>
      <c r="H7969" s="18">
        <v>336.25</v>
      </c>
      <c r="I7969" s="19">
        <v>15.67</v>
      </c>
      <c r="J7969" s="19">
        <v>1.39</v>
      </c>
      <c r="K7969" s="19" t="s">
        <v>69</v>
      </c>
      <c r="L7969" s="19" t="s">
        <v>70</v>
      </c>
      <c r="M7969" s="15" t="s">
        <v>2357</v>
      </c>
      <c r="N7969" s="15" t="s">
        <v>36</v>
      </c>
      <c r="O7969" s="15" t="s">
        <v>189</v>
      </c>
      <c r="P7969" s="20" t="s">
        <v>1095</v>
      </c>
      <c r="Q7969" s="15" t="s">
        <v>83</v>
      </c>
      <c r="R7969" s="4"/>
      <c r="S7969" s="4"/>
    </row>
    <row r="7970" spans="1:19" ht="21" customHeight="1" x14ac:dyDescent="0.25">
      <c r="A7970" s="14">
        <f>DATE(2012,12,31)-1293</f>
        <v>39981</v>
      </c>
      <c r="B7970" s="15" t="s">
        <v>144</v>
      </c>
      <c r="C7970" s="15" t="s">
        <v>85</v>
      </c>
      <c r="D7970" s="16">
        <v>23</v>
      </c>
      <c r="E7970" s="17">
        <v>155.52000000000001</v>
      </c>
      <c r="F7970" s="16">
        <v>0.05</v>
      </c>
      <c r="G7970" s="15" t="s">
        <v>32</v>
      </c>
      <c r="H7970" s="18">
        <v>-133.72999999999999</v>
      </c>
      <c r="I7970" s="19">
        <v>6.48</v>
      </c>
      <c r="J7970" s="19">
        <v>9.68</v>
      </c>
      <c r="K7970" s="19" t="s">
        <v>69</v>
      </c>
      <c r="L7970" s="19" t="s">
        <v>75</v>
      </c>
      <c r="M7970" s="15" t="s">
        <v>76</v>
      </c>
      <c r="N7970" s="15" t="s">
        <v>36</v>
      </c>
      <c r="O7970" s="15" t="s">
        <v>117</v>
      </c>
      <c r="P7970" s="20" t="s">
        <v>1867</v>
      </c>
      <c r="Q7970" s="15" t="s">
        <v>83</v>
      </c>
      <c r="R7970" s="4"/>
      <c r="S7970" s="4"/>
    </row>
    <row r="7971" spans="1:19" ht="21" customHeight="1" x14ac:dyDescent="0.25">
      <c r="A7971" s="14">
        <f>DATE(2012,12,31)-1293</f>
        <v>39981</v>
      </c>
      <c r="B7971" s="15" t="s">
        <v>2128</v>
      </c>
      <c r="C7971" s="15" t="s">
        <v>85</v>
      </c>
      <c r="D7971" s="16">
        <v>16</v>
      </c>
      <c r="E7971" s="17">
        <v>535.54</v>
      </c>
      <c r="F7971" s="16">
        <v>0.04</v>
      </c>
      <c r="G7971" s="15" t="s">
        <v>101</v>
      </c>
      <c r="H7971" s="18">
        <v>60.82</v>
      </c>
      <c r="I7971" s="19">
        <v>33.89</v>
      </c>
      <c r="J7971" s="19">
        <v>5.0999999999999996</v>
      </c>
      <c r="K7971" s="19" t="s">
        <v>69</v>
      </c>
      <c r="L7971" s="19" t="s">
        <v>70</v>
      </c>
      <c r="M7971" s="15" t="s">
        <v>2357</v>
      </c>
      <c r="N7971" s="15" t="s">
        <v>36</v>
      </c>
      <c r="O7971" s="15" t="s">
        <v>37</v>
      </c>
      <c r="P7971" s="20" t="s">
        <v>834</v>
      </c>
      <c r="Q7971" s="15" t="s">
        <v>83</v>
      </c>
      <c r="R7971" s="4"/>
      <c r="S7971" s="4"/>
    </row>
    <row r="7972" spans="1:19" ht="21" customHeight="1" x14ac:dyDescent="0.25">
      <c r="A7972" s="14">
        <f>DATE(2012,12,31)-309</f>
        <v>40965</v>
      </c>
      <c r="B7972" s="15" t="s">
        <v>1065</v>
      </c>
      <c r="C7972" s="15" t="s">
        <v>85</v>
      </c>
      <c r="D7972" s="16">
        <v>18</v>
      </c>
      <c r="E7972" s="17">
        <v>203.57</v>
      </c>
      <c r="F7972" s="16">
        <v>0.01</v>
      </c>
      <c r="G7972" s="15" t="s">
        <v>32</v>
      </c>
      <c r="H7972" s="18">
        <v>-4.84</v>
      </c>
      <c r="I7972" s="19">
        <v>10.98</v>
      </c>
      <c r="J7972" s="19">
        <v>3.99</v>
      </c>
      <c r="K7972" s="19" t="s">
        <v>69</v>
      </c>
      <c r="L7972" s="19" t="s">
        <v>75</v>
      </c>
      <c r="M7972" s="15" t="s">
        <v>76</v>
      </c>
      <c r="N7972" s="15" t="s">
        <v>36</v>
      </c>
      <c r="O7972" s="15" t="s">
        <v>176</v>
      </c>
      <c r="P7972" s="20" t="s">
        <v>193</v>
      </c>
      <c r="Q7972" s="15" t="s">
        <v>83</v>
      </c>
      <c r="R7972" s="4"/>
      <c r="S7972" s="4"/>
    </row>
    <row r="7973" spans="1:19" ht="21" customHeight="1" x14ac:dyDescent="0.25">
      <c r="A7973" s="14">
        <f>DATE(2012,12,31)-1053</f>
        <v>40221</v>
      </c>
      <c r="B7973" s="15" t="s">
        <v>640</v>
      </c>
      <c r="C7973" s="15" t="s">
        <v>85</v>
      </c>
      <c r="D7973" s="16">
        <v>17</v>
      </c>
      <c r="E7973" s="17">
        <v>4621.1000000000004</v>
      </c>
      <c r="F7973" s="16">
        <v>0.09</v>
      </c>
      <c r="G7973" s="15" t="s">
        <v>58</v>
      </c>
      <c r="H7973" s="18">
        <v>-635.65</v>
      </c>
      <c r="I7973" s="19">
        <v>280.98</v>
      </c>
      <c r="J7973" s="19">
        <v>57</v>
      </c>
      <c r="K7973" s="19" t="s">
        <v>69</v>
      </c>
      <c r="L7973" s="19" t="s">
        <v>70</v>
      </c>
      <c r="M7973" s="15" t="s">
        <v>2357</v>
      </c>
      <c r="N7973" s="15" t="s">
        <v>54</v>
      </c>
      <c r="O7973" s="15" t="s">
        <v>252</v>
      </c>
      <c r="P7973" s="20" t="s">
        <v>446</v>
      </c>
      <c r="Q7973" s="15" t="s">
        <v>181</v>
      </c>
      <c r="R7973" s="4"/>
      <c r="S7973" s="4"/>
    </row>
    <row r="7974" spans="1:19" ht="21" customHeight="1" x14ac:dyDescent="0.25">
      <c r="A7974" s="14">
        <f>DATE(2012,12,31)-1053</f>
        <v>40221</v>
      </c>
      <c r="B7974" s="15" t="s">
        <v>640</v>
      </c>
      <c r="C7974" s="15" t="s">
        <v>85</v>
      </c>
      <c r="D7974" s="16">
        <v>42</v>
      </c>
      <c r="E7974" s="17">
        <v>460.2</v>
      </c>
      <c r="F7974" s="16">
        <v>0.01</v>
      </c>
      <c r="G7974" s="15" t="s">
        <v>32</v>
      </c>
      <c r="H7974" s="18">
        <v>-214.39</v>
      </c>
      <c r="I7974" s="19">
        <v>9.99</v>
      </c>
      <c r="J7974" s="19">
        <v>11.59</v>
      </c>
      <c r="K7974" s="19" t="s">
        <v>69</v>
      </c>
      <c r="L7974" s="19" t="s">
        <v>70</v>
      </c>
      <c r="M7974" s="15" t="s">
        <v>2357</v>
      </c>
      <c r="N7974" s="15" t="s">
        <v>36</v>
      </c>
      <c r="O7974" s="15" t="s">
        <v>117</v>
      </c>
      <c r="P7974" s="20" t="s">
        <v>792</v>
      </c>
      <c r="Q7974" s="15" t="s">
        <v>83</v>
      </c>
      <c r="R7974" s="4"/>
      <c r="S7974" s="4"/>
    </row>
    <row r="7975" spans="1:19" ht="21" customHeight="1" x14ac:dyDescent="0.25">
      <c r="A7975" s="14">
        <f>DATE(2012,12,31)-588</f>
        <v>40686</v>
      </c>
      <c r="B7975" s="15" t="s">
        <v>172</v>
      </c>
      <c r="C7975" s="15" t="s">
        <v>85</v>
      </c>
      <c r="D7975" s="16">
        <v>28</v>
      </c>
      <c r="E7975" s="17">
        <v>1360.82</v>
      </c>
      <c r="F7975" s="16">
        <v>0.06</v>
      </c>
      <c r="G7975" s="15" t="s">
        <v>32</v>
      </c>
      <c r="H7975" s="18">
        <v>385.03</v>
      </c>
      <c r="I7975" s="19">
        <v>49.34</v>
      </c>
      <c r="J7975" s="19">
        <v>10.25</v>
      </c>
      <c r="K7975" s="19" t="s">
        <v>69</v>
      </c>
      <c r="L7975" s="19" t="s">
        <v>70</v>
      </c>
      <c r="M7975" s="15" t="s">
        <v>2357</v>
      </c>
      <c r="N7975" s="15" t="s">
        <v>54</v>
      </c>
      <c r="O7975" s="15" t="s">
        <v>55</v>
      </c>
      <c r="P7975" s="20" t="s">
        <v>62</v>
      </c>
      <c r="Q7975" s="15" t="s">
        <v>39</v>
      </c>
      <c r="R7975" s="4"/>
      <c r="S7975" s="4"/>
    </row>
    <row r="7976" spans="1:19" ht="21" customHeight="1" x14ac:dyDescent="0.25">
      <c r="A7976" s="14">
        <f>DATE(2012,12,31)-948</f>
        <v>40326</v>
      </c>
      <c r="B7976" s="15" t="s">
        <v>676</v>
      </c>
      <c r="C7976" s="15" t="s">
        <v>85</v>
      </c>
      <c r="D7976" s="16">
        <v>48</v>
      </c>
      <c r="E7976" s="17">
        <v>2052.83</v>
      </c>
      <c r="F7976" s="16">
        <v>0.02</v>
      </c>
      <c r="G7976" s="15" t="s">
        <v>32</v>
      </c>
      <c r="H7976" s="18">
        <v>395.85</v>
      </c>
      <c r="I7976" s="19">
        <v>40.99</v>
      </c>
      <c r="J7976" s="19">
        <v>8.9700000000000006</v>
      </c>
      <c r="K7976" s="19" t="s">
        <v>69</v>
      </c>
      <c r="L7976" s="19" t="s">
        <v>70</v>
      </c>
      <c r="M7976" s="15" t="s">
        <v>2357</v>
      </c>
      <c r="N7976" s="15" t="s">
        <v>64</v>
      </c>
      <c r="O7976" s="15" t="s">
        <v>122</v>
      </c>
      <c r="P7976" s="20" t="s">
        <v>182</v>
      </c>
      <c r="Q7976" s="15" t="s">
        <v>83</v>
      </c>
      <c r="R7976" s="4"/>
      <c r="S7976" s="4"/>
    </row>
    <row r="7977" spans="1:19" ht="21" customHeight="1" x14ac:dyDescent="0.25">
      <c r="A7977" s="14">
        <f>DATE(2012,12,31)-948</f>
        <v>40326</v>
      </c>
      <c r="B7977" s="15" t="s">
        <v>676</v>
      </c>
      <c r="C7977" s="15" t="s">
        <v>85</v>
      </c>
      <c r="D7977" s="16">
        <v>36</v>
      </c>
      <c r="E7977" s="17">
        <v>620.45000000000005</v>
      </c>
      <c r="F7977" s="16">
        <v>0.09</v>
      </c>
      <c r="G7977" s="15" t="s">
        <v>32</v>
      </c>
      <c r="H7977" s="18">
        <v>171.94</v>
      </c>
      <c r="I7977" s="19">
        <v>17.48</v>
      </c>
      <c r="J7977" s="19">
        <v>1.99</v>
      </c>
      <c r="K7977" s="19" t="s">
        <v>69</v>
      </c>
      <c r="L7977" s="19" t="s">
        <v>70</v>
      </c>
      <c r="M7977" s="15" t="s">
        <v>2357</v>
      </c>
      <c r="N7977" s="15" t="s">
        <v>64</v>
      </c>
      <c r="O7977" s="15" t="s">
        <v>72</v>
      </c>
      <c r="P7977" s="20" t="s">
        <v>1771</v>
      </c>
      <c r="Q7977" s="15" t="s">
        <v>49</v>
      </c>
      <c r="R7977" s="4"/>
      <c r="S7977" s="4"/>
    </row>
    <row r="7978" spans="1:19" ht="21" customHeight="1" x14ac:dyDescent="0.25">
      <c r="A7978" s="14">
        <f>DATE(2012,12,31)-886</f>
        <v>40388</v>
      </c>
      <c r="B7978" s="15" t="s">
        <v>489</v>
      </c>
      <c r="C7978" s="15" t="s">
        <v>51</v>
      </c>
      <c r="D7978" s="16">
        <v>46</v>
      </c>
      <c r="E7978" s="17">
        <v>12719.7</v>
      </c>
      <c r="F7978" s="16">
        <v>0.03</v>
      </c>
      <c r="G7978" s="15" t="s">
        <v>58</v>
      </c>
      <c r="H7978" s="18">
        <v>-545.82000000000005</v>
      </c>
      <c r="I7978" s="19">
        <v>280.98</v>
      </c>
      <c r="J7978" s="19">
        <v>57</v>
      </c>
      <c r="K7978" s="19" t="s">
        <v>69</v>
      </c>
      <c r="L7978" s="19" t="s">
        <v>70</v>
      </c>
      <c r="M7978" s="15" t="s">
        <v>2357</v>
      </c>
      <c r="N7978" s="15" t="s">
        <v>54</v>
      </c>
      <c r="O7978" s="15" t="s">
        <v>252</v>
      </c>
      <c r="P7978" s="20" t="s">
        <v>446</v>
      </c>
      <c r="Q7978" s="15" t="s">
        <v>181</v>
      </c>
      <c r="R7978" s="4"/>
      <c r="S7978" s="4"/>
    </row>
    <row r="7979" spans="1:19" ht="21" customHeight="1" x14ac:dyDescent="0.25">
      <c r="A7979" s="14">
        <f>DATE(2012,12,31)-886</f>
        <v>40388</v>
      </c>
      <c r="B7979" s="15" t="s">
        <v>489</v>
      </c>
      <c r="C7979" s="15" t="s">
        <v>51</v>
      </c>
      <c r="D7979" s="16">
        <v>48</v>
      </c>
      <c r="E7979" s="17">
        <v>109.78</v>
      </c>
      <c r="F7979" s="16">
        <v>0.03</v>
      </c>
      <c r="G7979" s="15" t="s">
        <v>32</v>
      </c>
      <c r="H7979" s="18">
        <v>4.4800000000000004</v>
      </c>
      <c r="I7979" s="19">
        <v>2.2000000000000002</v>
      </c>
      <c r="J7979" s="19">
        <v>1.2</v>
      </c>
      <c r="K7979" s="19" t="s">
        <v>69</v>
      </c>
      <c r="L7979" s="19" t="s">
        <v>70</v>
      </c>
      <c r="M7979" s="15" t="s">
        <v>2357</v>
      </c>
      <c r="N7979" s="15" t="s">
        <v>36</v>
      </c>
      <c r="O7979" s="15" t="s">
        <v>77</v>
      </c>
      <c r="P7979" s="20" t="s">
        <v>2268</v>
      </c>
      <c r="Q7979" s="15" t="s">
        <v>79</v>
      </c>
      <c r="R7979" s="4"/>
      <c r="S7979" s="4"/>
    </row>
    <row r="7980" spans="1:19" ht="21" customHeight="1" x14ac:dyDescent="0.25">
      <c r="A7980" s="14">
        <f>DATE(2012,12,31)-710</f>
        <v>40564</v>
      </c>
      <c r="B7980" s="15" t="s">
        <v>2102</v>
      </c>
      <c r="C7980" s="15" t="s">
        <v>85</v>
      </c>
      <c r="D7980" s="16">
        <v>35</v>
      </c>
      <c r="E7980" s="17">
        <v>422.25</v>
      </c>
      <c r="F7980" s="16">
        <v>0.06</v>
      </c>
      <c r="G7980" s="15" t="s">
        <v>32</v>
      </c>
      <c r="H7980" s="18">
        <v>-116.02</v>
      </c>
      <c r="I7980" s="19">
        <v>11.66</v>
      </c>
      <c r="J7980" s="19">
        <v>7.95</v>
      </c>
      <c r="K7980" s="19" t="s">
        <v>69</v>
      </c>
      <c r="L7980" s="19" t="s">
        <v>70</v>
      </c>
      <c r="M7980" s="15" t="s">
        <v>2357</v>
      </c>
      <c r="N7980" s="15" t="s">
        <v>36</v>
      </c>
      <c r="O7980" s="15" t="s">
        <v>77</v>
      </c>
      <c r="P7980" s="20" t="s">
        <v>893</v>
      </c>
      <c r="Q7980" s="15" t="s">
        <v>49</v>
      </c>
      <c r="R7980" s="4"/>
      <c r="S7980" s="4"/>
    </row>
    <row r="7981" spans="1:19" ht="21" customHeight="1" x14ac:dyDescent="0.25">
      <c r="A7981" s="14">
        <f>DATE(2012,12,31)-1173</f>
        <v>40101</v>
      </c>
      <c r="B7981" s="15" t="s">
        <v>2102</v>
      </c>
      <c r="C7981" s="15" t="s">
        <v>85</v>
      </c>
      <c r="D7981" s="16">
        <v>34</v>
      </c>
      <c r="E7981" s="17">
        <v>167.5</v>
      </c>
      <c r="F7981" s="16">
        <v>0.04</v>
      </c>
      <c r="G7981" s="15" t="s">
        <v>32</v>
      </c>
      <c r="H7981" s="18">
        <v>-84.421499999999995</v>
      </c>
      <c r="I7981" s="19">
        <v>4.9800000000000004</v>
      </c>
      <c r="J7981" s="19">
        <v>4.95</v>
      </c>
      <c r="K7981" s="19" t="s">
        <v>69</v>
      </c>
      <c r="L7981" s="19" t="s">
        <v>70</v>
      </c>
      <c r="M7981" s="15" t="s">
        <v>2357</v>
      </c>
      <c r="N7981" s="15" t="s">
        <v>36</v>
      </c>
      <c r="O7981" s="15" t="s">
        <v>170</v>
      </c>
      <c r="P7981" s="20" t="s">
        <v>916</v>
      </c>
      <c r="Q7981" s="15" t="s">
        <v>83</v>
      </c>
      <c r="R7981" s="4"/>
      <c r="S7981" s="4"/>
    </row>
    <row r="7982" spans="1:19" ht="21" customHeight="1" x14ac:dyDescent="0.25">
      <c r="A7982" s="14">
        <f>DATE(2012,12,31)-895</f>
        <v>40379</v>
      </c>
      <c r="B7982" s="15" t="s">
        <v>2102</v>
      </c>
      <c r="C7982" s="15" t="s">
        <v>51</v>
      </c>
      <c r="D7982" s="16">
        <v>30</v>
      </c>
      <c r="E7982" s="17">
        <v>1775.33</v>
      </c>
      <c r="F7982" s="16">
        <v>0.05</v>
      </c>
      <c r="G7982" s="15" t="s">
        <v>32</v>
      </c>
      <c r="H7982" s="18">
        <v>365.25</v>
      </c>
      <c r="I7982" s="19">
        <v>60.65</v>
      </c>
      <c r="J7982" s="19">
        <v>12.23</v>
      </c>
      <c r="K7982" s="19" t="s">
        <v>69</v>
      </c>
      <c r="L7982" s="19" t="s">
        <v>75</v>
      </c>
      <c r="M7982" s="15" t="s">
        <v>76</v>
      </c>
      <c r="N7982" s="15" t="s">
        <v>54</v>
      </c>
      <c r="O7982" s="15" t="s">
        <v>55</v>
      </c>
      <c r="P7982" s="20" t="s">
        <v>1136</v>
      </c>
      <c r="Q7982" s="15" t="s">
        <v>57</v>
      </c>
      <c r="R7982" s="4"/>
      <c r="S7982" s="4"/>
    </row>
    <row r="7983" spans="1:19" ht="21" customHeight="1" x14ac:dyDescent="0.25">
      <c r="A7983" s="14">
        <f>DATE(2012,12,31)-1456</f>
        <v>39818</v>
      </c>
      <c r="B7983" s="15" t="s">
        <v>1449</v>
      </c>
      <c r="C7983" s="15" t="s">
        <v>85</v>
      </c>
      <c r="D7983" s="16">
        <v>43</v>
      </c>
      <c r="E7983" s="17">
        <v>78.08</v>
      </c>
      <c r="F7983" s="16">
        <v>0.08</v>
      </c>
      <c r="G7983" s="15" t="s">
        <v>32</v>
      </c>
      <c r="H7983" s="18">
        <v>1.74</v>
      </c>
      <c r="I7983" s="19">
        <v>1.81</v>
      </c>
      <c r="J7983" s="19">
        <v>0.75</v>
      </c>
      <c r="K7983" s="19" t="s">
        <v>69</v>
      </c>
      <c r="L7983" s="19" t="s">
        <v>70</v>
      </c>
      <c r="M7983" s="15" t="s">
        <v>2357</v>
      </c>
      <c r="N7983" s="15" t="s">
        <v>54</v>
      </c>
      <c r="O7983" s="15" t="s">
        <v>252</v>
      </c>
      <c r="P7983" s="20" t="s">
        <v>985</v>
      </c>
      <c r="Q7983" s="15" t="s">
        <v>181</v>
      </c>
      <c r="R7983" s="4"/>
      <c r="S7983" s="4"/>
    </row>
    <row r="7984" spans="1:19" ht="21" customHeight="1" x14ac:dyDescent="0.25">
      <c r="A7984" s="14">
        <f>DATE(2012,12,31)-1456</f>
        <v>39818</v>
      </c>
      <c r="B7984" s="15" t="s">
        <v>1449</v>
      </c>
      <c r="C7984" s="15" t="s">
        <v>85</v>
      </c>
      <c r="D7984" s="16">
        <v>29</v>
      </c>
      <c r="E7984" s="17">
        <v>653.54</v>
      </c>
      <c r="F7984" s="16">
        <v>0.06</v>
      </c>
      <c r="G7984" s="15" t="s">
        <v>58</v>
      </c>
      <c r="H7984" s="18">
        <v>-1358.9</v>
      </c>
      <c r="I7984" s="19">
        <v>20.98</v>
      </c>
      <c r="J7984" s="19">
        <v>53.03</v>
      </c>
      <c r="K7984" s="19" t="s">
        <v>69</v>
      </c>
      <c r="L7984" s="19" t="s">
        <v>215</v>
      </c>
      <c r="M7984" s="15" t="s">
        <v>2355</v>
      </c>
      <c r="N7984" s="15" t="s">
        <v>54</v>
      </c>
      <c r="O7984" s="15" t="s">
        <v>252</v>
      </c>
      <c r="P7984" s="20" t="s">
        <v>2272</v>
      </c>
      <c r="Q7984" s="15" t="s">
        <v>181</v>
      </c>
      <c r="R7984" s="4"/>
      <c r="S7984" s="4"/>
    </row>
    <row r="7985" spans="1:19" ht="21" customHeight="1" x14ac:dyDescent="0.25">
      <c r="A7985" s="14">
        <f>DATE(2012,12,31)-1456</f>
        <v>39818</v>
      </c>
      <c r="B7985" s="15" t="s">
        <v>1658</v>
      </c>
      <c r="C7985" s="15" t="s">
        <v>85</v>
      </c>
      <c r="D7985" s="16">
        <v>48</v>
      </c>
      <c r="E7985" s="17">
        <v>12635.75</v>
      </c>
      <c r="F7985" s="16">
        <v>7.0000000000000007E-2</v>
      </c>
      <c r="G7985" s="15" t="s">
        <v>32</v>
      </c>
      <c r="H7985" s="18">
        <v>-335.24</v>
      </c>
      <c r="I7985" s="19">
        <v>279.48</v>
      </c>
      <c r="J7985" s="19">
        <v>35</v>
      </c>
      <c r="K7985" s="19" t="s">
        <v>69</v>
      </c>
      <c r="L7985" s="19" t="s">
        <v>215</v>
      </c>
      <c r="M7985" s="15" t="s">
        <v>2355</v>
      </c>
      <c r="N7985" s="15" t="s">
        <v>54</v>
      </c>
      <c r="O7985" s="15" t="s">
        <v>55</v>
      </c>
      <c r="P7985" s="20" t="s">
        <v>2371</v>
      </c>
      <c r="Q7985" s="15" t="s">
        <v>39</v>
      </c>
      <c r="R7985" s="4"/>
      <c r="S7985" s="4"/>
    </row>
    <row r="7986" spans="1:19" ht="21" customHeight="1" x14ac:dyDescent="0.25">
      <c r="A7986" s="14">
        <f>DATE(2012,12,31)-1456</f>
        <v>39818</v>
      </c>
      <c r="B7986" s="15" t="s">
        <v>1100</v>
      </c>
      <c r="C7986" s="15" t="s">
        <v>85</v>
      </c>
      <c r="D7986" s="16">
        <v>49</v>
      </c>
      <c r="E7986" s="17">
        <v>240.3</v>
      </c>
      <c r="F7986" s="16">
        <v>0.08</v>
      </c>
      <c r="G7986" s="15" t="s">
        <v>32</v>
      </c>
      <c r="H7986" s="18">
        <v>-139.15575000000001</v>
      </c>
      <c r="I7986" s="19">
        <v>4.91</v>
      </c>
      <c r="J7986" s="19">
        <v>5.68</v>
      </c>
      <c r="K7986" s="19" t="s">
        <v>69</v>
      </c>
      <c r="L7986" s="19" t="s">
        <v>215</v>
      </c>
      <c r="M7986" s="15" t="s">
        <v>2355</v>
      </c>
      <c r="N7986" s="15" t="s">
        <v>54</v>
      </c>
      <c r="O7986" s="15" t="s">
        <v>61</v>
      </c>
      <c r="P7986" s="20" t="s">
        <v>811</v>
      </c>
      <c r="Q7986" s="15" t="s">
        <v>63</v>
      </c>
      <c r="R7986" s="4"/>
      <c r="S7986" s="4"/>
    </row>
    <row r="7987" spans="1:19" ht="21" customHeight="1" x14ac:dyDescent="0.25">
      <c r="A7987" s="14">
        <f>DATE(2012,12,31)-1456</f>
        <v>39818</v>
      </c>
      <c r="B7987" s="15" t="s">
        <v>1722</v>
      </c>
      <c r="C7987" s="15" t="s">
        <v>85</v>
      </c>
      <c r="D7987" s="16">
        <v>25</v>
      </c>
      <c r="E7987" s="17">
        <v>2750.107</v>
      </c>
      <c r="F7987" s="16">
        <v>0.04</v>
      </c>
      <c r="G7987" s="15" t="s">
        <v>32</v>
      </c>
      <c r="H7987" s="18">
        <v>667.44900000000007</v>
      </c>
      <c r="I7987" s="19">
        <v>125.99</v>
      </c>
      <c r="J7987" s="19">
        <v>5.26</v>
      </c>
      <c r="K7987" s="19" t="s">
        <v>69</v>
      </c>
      <c r="L7987" s="19" t="s">
        <v>215</v>
      </c>
      <c r="M7987" s="15" t="s">
        <v>2355</v>
      </c>
      <c r="N7987" s="15" t="s">
        <v>64</v>
      </c>
      <c r="O7987" s="15" t="s">
        <v>65</v>
      </c>
      <c r="P7987" s="20" t="s">
        <v>388</v>
      </c>
      <c r="Q7987" s="15" t="s">
        <v>83</v>
      </c>
      <c r="R7987" s="4"/>
      <c r="S7987" s="4"/>
    </row>
    <row r="7988" spans="1:19" ht="21" customHeight="1" x14ac:dyDescent="0.25">
      <c r="A7988" s="14">
        <f>DATE(2012,12,31)-335</f>
        <v>40939</v>
      </c>
      <c r="B7988" s="15" t="s">
        <v>1722</v>
      </c>
      <c r="C7988" s="15" t="s">
        <v>85</v>
      </c>
      <c r="D7988" s="16">
        <v>44</v>
      </c>
      <c r="E7988" s="17">
        <v>299.85000000000002</v>
      </c>
      <c r="F7988" s="16">
        <v>0.03</v>
      </c>
      <c r="G7988" s="15" t="s">
        <v>101</v>
      </c>
      <c r="H7988" s="18">
        <v>-260.8</v>
      </c>
      <c r="I7988" s="19">
        <v>6.48</v>
      </c>
      <c r="J7988" s="19">
        <v>10.050000000000001</v>
      </c>
      <c r="K7988" s="19" t="s">
        <v>69</v>
      </c>
      <c r="L7988" s="19" t="s">
        <v>215</v>
      </c>
      <c r="M7988" s="15" t="s">
        <v>2355</v>
      </c>
      <c r="N7988" s="15" t="s">
        <v>36</v>
      </c>
      <c r="O7988" s="15" t="s">
        <v>117</v>
      </c>
      <c r="P7988" s="20" t="s">
        <v>730</v>
      </c>
      <c r="Q7988" s="15" t="s">
        <v>83</v>
      </c>
      <c r="R7988" s="4"/>
      <c r="S7988" s="4"/>
    </row>
    <row r="7989" spans="1:19" ht="21" customHeight="1" x14ac:dyDescent="0.25">
      <c r="A7989" s="14">
        <f>DATE(2012,12,31)-986</f>
        <v>40288</v>
      </c>
      <c r="B7989" s="15" t="s">
        <v>761</v>
      </c>
      <c r="C7989" s="15" t="s">
        <v>51</v>
      </c>
      <c r="D7989" s="16">
        <v>26</v>
      </c>
      <c r="E7989" s="17">
        <v>561.66</v>
      </c>
      <c r="F7989" s="16">
        <v>7.0000000000000007E-2</v>
      </c>
      <c r="G7989" s="15" t="s">
        <v>32</v>
      </c>
      <c r="H7989" s="18">
        <v>-111.33150000000001</v>
      </c>
      <c r="I7989" s="19">
        <v>22.38</v>
      </c>
      <c r="J7989" s="19">
        <v>15.1</v>
      </c>
      <c r="K7989" s="19" t="s">
        <v>111</v>
      </c>
      <c r="L7989" s="19" t="s">
        <v>407</v>
      </c>
      <c r="M7989" s="15" t="s">
        <v>407</v>
      </c>
      <c r="N7989" s="15" t="s">
        <v>36</v>
      </c>
      <c r="O7989" s="15" t="s">
        <v>170</v>
      </c>
      <c r="P7989" s="20" t="s">
        <v>1533</v>
      </c>
      <c r="Q7989" s="15" t="s">
        <v>83</v>
      </c>
      <c r="R7989" s="4"/>
      <c r="S7989" s="4"/>
    </row>
    <row r="7990" spans="1:19" ht="21" customHeight="1" x14ac:dyDescent="0.25">
      <c r="A7990" s="14">
        <f>DATE(2012,12,31)-986</f>
        <v>40288</v>
      </c>
      <c r="B7990" s="15" t="s">
        <v>1629</v>
      </c>
      <c r="C7990" s="15" t="s">
        <v>51</v>
      </c>
      <c r="D7990" s="16">
        <v>19</v>
      </c>
      <c r="E7990" s="17">
        <v>1851.62</v>
      </c>
      <c r="F7990" s="16">
        <v>0.09</v>
      </c>
      <c r="G7990" s="15" t="s">
        <v>58</v>
      </c>
      <c r="H7990" s="18">
        <v>-220.84</v>
      </c>
      <c r="I7990" s="19">
        <v>100.98</v>
      </c>
      <c r="J7990" s="19">
        <v>35.840000000000003</v>
      </c>
      <c r="K7990" s="19" t="s">
        <v>111</v>
      </c>
      <c r="L7990" s="19" t="s">
        <v>2301</v>
      </c>
      <c r="M7990" s="15" t="s">
        <v>2364</v>
      </c>
      <c r="N7990" s="15" t="s">
        <v>54</v>
      </c>
      <c r="O7990" s="15" t="s">
        <v>134</v>
      </c>
      <c r="P7990" s="20" t="s">
        <v>308</v>
      </c>
      <c r="Q7990" s="15" t="s">
        <v>63</v>
      </c>
      <c r="R7990" s="4"/>
      <c r="S7990" s="4"/>
    </row>
    <row r="7991" spans="1:19" ht="21" customHeight="1" x14ac:dyDescent="0.25">
      <c r="A7991" s="14">
        <f>DATE(2012,12,31)-430</f>
        <v>40844</v>
      </c>
      <c r="B7991" s="15" t="s">
        <v>1629</v>
      </c>
      <c r="C7991" s="15" t="s">
        <v>43</v>
      </c>
      <c r="D7991" s="16">
        <v>11</v>
      </c>
      <c r="E7991" s="17">
        <v>472.12</v>
      </c>
      <c r="F7991" s="16">
        <v>0.03</v>
      </c>
      <c r="G7991" s="15" t="s">
        <v>32</v>
      </c>
      <c r="H7991" s="18">
        <v>56.1</v>
      </c>
      <c r="I7991" s="19">
        <v>40.97</v>
      </c>
      <c r="J7991" s="19">
        <v>1.99</v>
      </c>
      <c r="K7991" s="19" t="s">
        <v>111</v>
      </c>
      <c r="L7991" s="19" t="s">
        <v>407</v>
      </c>
      <c r="M7991" s="15" t="s">
        <v>407</v>
      </c>
      <c r="N7991" s="15" t="s">
        <v>64</v>
      </c>
      <c r="O7991" s="15" t="s">
        <v>72</v>
      </c>
      <c r="P7991" s="20" t="s">
        <v>1216</v>
      </c>
      <c r="Q7991" s="15" t="s">
        <v>49</v>
      </c>
      <c r="R7991" s="4"/>
      <c r="S7991" s="4"/>
    </row>
    <row r="7992" spans="1:19" ht="21" customHeight="1" x14ac:dyDescent="0.25">
      <c r="A7992" s="14">
        <f>DATE(2012,12,31)-811</f>
        <v>40463</v>
      </c>
      <c r="B7992" s="15" t="s">
        <v>782</v>
      </c>
      <c r="C7992" s="15" t="s">
        <v>31</v>
      </c>
      <c r="D7992" s="16">
        <v>22</v>
      </c>
      <c r="E7992" s="17">
        <v>846.35</v>
      </c>
      <c r="F7992" s="16">
        <v>0.04</v>
      </c>
      <c r="G7992" s="15" t="s">
        <v>101</v>
      </c>
      <c r="H7992" s="18">
        <v>341.53</v>
      </c>
      <c r="I7992" s="19">
        <v>37.94</v>
      </c>
      <c r="J7992" s="19">
        <v>5.08</v>
      </c>
      <c r="K7992" s="19" t="s">
        <v>111</v>
      </c>
      <c r="L7992" s="19" t="s">
        <v>2301</v>
      </c>
      <c r="M7992" s="15" t="s">
        <v>2364</v>
      </c>
      <c r="N7992" s="15" t="s">
        <v>36</v>
      </c>
      <c r="O7992" s="15" t="s">
        <v>117</v>
      </c>
      <c r="P7992" s="20" t="s">
        <v>641</v>
      </c>
      <c r="Q7992" s="15" t="s">
        <v>79</v>
      </c>
      <c r="R7992" s="4"/>
      <c r="S7992" s="4"/>
    </row>
    <row r="7993" spans="1:19" ht="21" customHeight="1" x14ac:dyDescent="0.25">
      <c r="A7993" s="14">
        <f>DATE(2012,12,31)-811</f>
        <v>40463</v>
      </c>
      <c r="B7993" s="15" t="s">
        <v>782</v>
      </c>
      <c r="C7993" s="15" t="s">
        <v>31</v>
      </c>
      <c r="D7993" s="16">
        <v>26</v>
      </c>
      <c r="E7993" s="17">
        <v>1976.3945000000001</v>
      </c>
      <c r="F7993" s="16">
        <v>0</v>
      </c>
      <c r="G7993" s="15" t="s">
        <v>32</v>
      </c>
      <c r="H7993" s="18">
        <v>473.35500000000002</v>
      </c>
      <c r="I7993" s="19">
        <v>85.99</v>
      </c>
      <c r="J7993" s="19">
        <v>2.79</v>
      </c>
      <c r="K7993" s="19" t="s">
        <v>111</v>
      </c>
      <c r="L7993" s="19" t="s">
        <v>442</v>
      </c>
      <c r="M7993" s="15" t="s">
        <v>2304</v>
      </c>
      <c r="N7993" s="15" t="s">
        <v>64</v>
      </c>
      <c r="O7993" s="15" t="s">
        <v>65</v>
      </c>
      <c r="P7993" s="20" t="s">
        <v>1566</v>
      </c>
      <c r="Q7993" s="15" t="s">
        <v>83</v>
      </c>
      <c r="R7993" s="4"/>
      <c r="S7993" s="4"/>
    </row>
    <row r="7994" spans="1:19" ht="21" customHeight="1" x14ac:dyDescent="0.25">
      <c r="A7994" s="14">
        <f>DATE(2012,12,31)-1086</f>
        <v>40188</v>
      </c>
      <c r="B7994" s="15" t="s">
        <v>1214</v>
      </c>
      <c r="C7994" s="15" t="s">
        <v>85</v>
      </c>
      <c r="D7994" s="16">
        <v>33</v>
      </c>
      <c r="E7994" s="17">
        <v>158.79</v>
      </c>
      <c r="F7994" s="16">
        <v>0.02</v>
      </c>
      <c r="G7994" s="15" t="s">
        <v>32</v>
      </c>
      <c r="H7994" s="18">
        <v>74.14</v>
      </c>
      <c r="I7994" s="19">
        <v>4.91</v>
      </c>
      <c r="J7994" s="19">
        <v>0.5</v>
      </c>
      <c r="K7994" s="19" t="s">
        <v>44</v>
      </c>
      <c r="L7994" s="19" t="s">
        <v>89</v>
      </c>
      <c r="M7994" s="15" t="s">
        <v>2365</v>
      </c>
      <c r="N7994" s="15" t="s">
        <v>36</v>
      </c>
      <c r="O7994" s="15" t="s">
        <v>114</v>
      </c>
      <c r="P7994" s="20" t="s">
        <v>402</v>
      </c>
      <c r="Q7994" s="15" t="s">
        <v>83</v>
      </c>
      <c r="R7994" s="4"/>
      <c r="S7994" s="4"/>
    </row>
    <row r="7995" spans="1:19" ht="21" customHeight="1" x14ac:dyDescent="0.25">
      <c r="A7995" s="14">
        <f>DATE(2012,12,31)-1086</f>
        <v>40188</v>
      </c>
      <c r="B7995" s="15" t="s">
        <v>1423</v>
      </c>
      <c r="C7995" s="15" t="s">
        <v>85</v>
      </c>
      <c r="D7995" s="16">
        <v>12</v>
      </c>
      <c r="E7995" s="17">
        <v>79.06</v>
      </c>
      <c r="F7995" s="16">
        <v>0.1</v>
      </c>
      <c r="G7995" s="15" t="s">
        <v>32</v>
      </c>
      <c r="H7995" s="18">
        <v>-47</v>
      </c>
      <c r="I7995" s="19">
        <v>6.68</v>
      </c>
      <c r="J7995" s="19">
        <v>6.92</v>
      </c>
      <c r="K7995" s="19" t="s">
        <v>44</v>
      </c>
      <c r="L7995" s="19" t="s">
        <v>89</v>
      </c>
      <c r="M7995" s="15" t="s">
        <v>2365</v>
      </c>
      <c r="N7995" s="15" t="s">
        <v>36</v>
      </c>
      <c r="O7995" s="15" t="s">
        <v>117</v>
      </c>
      <c r="P7995" s="20" t="s">
        <v>611</v>
      </c>
      <c r="Q7995" s="15" t="s">
        <v>83</v>
      </c>
      <c r="R7995" s="4"/>
      <c r="S7995" s="4"/>
    </row>
    <row r="7996" spans="1:19" ht="21" customHeight="1" x14ac:dyDescent="0.25">
      <c r="A7996" s="14">
        <f>DATE(2012,12,31)-829</f>
        <v>40445</v>
      </c>
      <c r="B7996" s="15" t="s">
        <v>1423</v>
      </c>
      <c r="C7996" s="15" t="s">
        <v>51</v>
      </c>
      <c r="D7996" s="16">
        <v>47</v>
      </c>
      <c r="E7996" s="17">
        <v>1060.0605</v>
      </c>
      <c r="F7996" s="16">
        <v>0.1</v>
      </c>
      <c r="G7996" s="15" t="s">
        <v>32</v>
      </c>
      <c r="H7996" s="18">
        <v>-71.026999999999987</v>
      </c>
      <c r="I7996" s="19">
        <v>28.99</v>
      </c>
      <c r="J7996" s="19">
        <v>8.59</v>
      </c>
      <c r="K7996" s="19" t="s">
        <v>44</v>
      </c>
      <c r="L7996" s="19" t="s">
        <v>120</v>
      </c>
      <c r="M7996" s="15" t="s">
        <v>2262</v>
      </c>
      <c r="N7996" s="15" t="s">
        <v>64</v>
      </c>
      <c r="O7996" s="15" t="s">
        <v>65</v>
      </c>
      <c r="P7996" s="20" t="s">
        <v>802</v>
      </c>
      <c r="Q7996" s="15" t="s">
        <v>57</v>
      </c>
      <c r="R7996" s="4"/>
      <c r="S7996" s="4"/>
    </row>
    <row r="7997" spans="1:19" ht="21" customHeight="1" x14ac:dyDescent="0.25">
      <c r="A7997" s="14">
        <f>DATE(2012,12,31)-586</f>
        <v>40688</v>
      </c>
      <c r="B7997" s="15" t="s">
        <v>348</v>
      </c>
      <c r="C7997" s="15" t="s">
        <v>51</v>
      </c>
      <c r="D7997" s="16">
        <v>33</v>
      </c>
      <c r="E7997" s="17">
        <v>140.63</v>
      </c>
      <c r="F7997" s="16">
        <v>0.09</v>
      </c>
      <c r="G7997" s="15" t="s">
        <v>32</v>
      </c>
      <c r="H7997" s="18">
        <v>-111.87</v>
      </c>
      <c r="I7997" s="19">
        <v>4.28</v>
      </c>
      <c r="J7997" s="19">
        <v>5.68</v>
      </c>
      <c r="K7997" s="19" t="s">
        <v>44</v>
      </c>
      <c r="L7997" s="19" t="s">
        <v>89</v>
      </c>
      <c r="M7997" s="15" t="s">
        <v>2365</v>
      </c>
      <c r="N7997" s="15" t="s">
        <v>36</v>
      </c>
      <c r="O7997" s="15" t="s">
        <v>117</v>
      </c>
      <c r="P7997" s="20" t="s">
        <v>1042</v>
      </c>
      <c r="Q7997" s="15" t="s">
        <v>83</v>
      </c>
      <c r="R7997" s="4"/>
      <c r="S7997" s="4"/>
    </row>
    <row r="7998" spans="1:19" ht="21" customHeight="1" x14ac:dyDescent="0.25">
      <c r="A7998" s="14">
        <f>DATE(2012,12,31)-586</f>
        <v>40688</v>
      </c>
      <c r="B7998" s="15" t="s">
        <v>348</v>
      </c>
      <c r="C7998" s="15" t="s">
        <v>51</v>
      </c>
      <c r="D7998" s="16">
        <v>50</v>
      </c>
      <c r="E7998" s="17">
        <v>4872.6675000000005</v>
      </c>
      <c r="F7998" s="16">
        <v>0.09</v>
      </c>
      <c r="G7998" s="15" t="s">
        <v>32</v>
      </c>
      <c r="H7998" s="18">
        <v>851.31</v>
      </c>
      <c r="I7998" s="19">
        <v>125.99</v>
      </c>
      <c r="J7998" s="19">
        <v>8.8000000000000007</v>
      </c>
      <c r="K7998" s="19" t="s">
        <v>44</v>
      </c>
      <c r="L7998" s="19" t="s">
        <v>45</v>
      </c>
      <c r="M7998" s="15" t="s">
        <v>2356</v>
      </c>
      <c r="N7998" s="15" t="s">
        <v>64</v>
      </c>
      <c r="O7998" s="15" t="s">
        <v>65</v>
      </c>
      <c r="P7998" s="20" t="s">
        <v>967</v>
      </c>
      <c r="Q7998" s="15" t="s">
        <v>83</v>
      </c>
      <c r="R7998" s="4"/>
      <c r="S7998" s="4"/>
    </row>
    <row r="7999" spans="1:19" ht="21" customHeight="1" x14ac:dyDescent="0.25">
      <c r="A7999" s="14">
        <f>DATE(2012,12,31)-561</f>
        <v>40713</v>
      </c>
      <c r="B7999" s="15" t="s">
        <v>228</v>
      </c>
      <c r="C7999" s="15" t="s">
        <v>85</v>
      </c>
      <c r="D7999" s="16">
        <v>44</v>
      </c>
      <c r="E7999" s="17">
        <v>442.72</v>
      </c>
      <c r="F7999" s="16">
        <v>7.0000000000000007E-2</v>
      </c>
      <c r="G7999" s="15" t="s">
        <v>32</v>
      </c>
      <c r="H7999" s="18">
        <v>-168.38</v>
      </c>
      <c r="I7999" s="19">
        <v>10.52</v>
      </c>
      <c r="J7999" s="19">
        <v>7.94</v>
      </c>
      <c r="K7999" s="19" t="s">
        <v>44</v>
      </c>
      <c r="L7999" s="19" t="s">
        <v>120</v>
      </c>
      <c r="M7999" s="15" t="s">
        <v>2262</v>
      </c>
      <c r="N7999" s="15" t="s">
        <v>54</v>
      </c>
      <c r="O7999" s="15" t="s">
        <v>55</v>
      </c>
      <c r="P7999" s="20" t="s">
        <v>1803</v>
      </c>
      <c r="Q7999" s="15" t="s">
        <v>49</v>
      </c>
      <c r="R7999" s="4"/>
      <c r="S7999" s="4"/>
    </row>
    <row r="8000" spans="1:19" ht="21" customHeight="1" x14ac:dyDescent="0.25">
      <c r="A8000" s="14">
        <f>DATE(2012,12,31)-561</f>
        <v>40713</v>
      </c>
      <c r="B8000" s="15" t="s">
        <v>228</v>
      </c>
      <c r="C8000" s="15" t="s">
        <v>85</v>
      </c>
      <c r="D8000" s="16">
        <v>6</v>
      </c>
      <c r="E8000" s="17">
        <v>326.89299999999997</v>
      </c>
      <c r="F8000" s="16">
        <v>7.0000000000000007E-2</v>
      </c>
      <c r="G8000" s="15" t="s">
        <v>32</v>
      </c>
      <c r="H8000" s="18">
        <v>-223.21199999999999</v>
      </c>
      <c r="I8000" s="19">
        <v>65.989999999999995</v>
      </c>
      <c r="J8000" s="19">
        <v>5.31</v>
      </c>
      <c r="K8000" s="19" t="s">
        <v>44</v>
      </c>
      <c r="L8000" s="19" t="s">
        <v>120</v>
      </c>
      <c r="M8000" s="15" t="s">
        <v>2262</v>
      </c>
      <c r="N8000" s="15" t="s">
        <v>64</v>
      </c>
      <c r="O8000" s="15" t="s">
        <v>65</v>
      </c>
      <c r="P8000" s="20" t="s">
        <v>1928</v>
      </c>
      <c r="Q8000" s="15" t="s">
        <v>83</v>
      </c>
      <c r="R8000" s="4"/>
      <c r="S8000" s="4"/>
    </row>
    <row r="8001" spans="1:19" ht="21" customHeight="1" x14ac:dyDescent="0.25">
      <c r="A8001" s="14">
        <f>DATE(2012,12,31)-1099</f>
        <v>40175</v>
      </c>
      <c r="B8001" s="15" t="s">
        <v>1308</v>
      </c>
      <c r="C8001" s="15" t="s">
        <v>43</v>
      </c>
      <c r="D8001" s="16">
        <v>9</v>
      </c>
      <c r="E8001" s="17">
        <v>266.27</v>
      </c>
      <c r="F8001" s="16">
        <v>0.02</v>
      </c>
      <c r="G8001" s="15" t="s">
        <v>32</v>
      </c>
      <c r="H8001" s="18">
        <v>-5.7</v>
      </c>
      <c r="I8001" s="19">
        <v>29.89</v>
      </c>
      <c r="J8001" s="19">
        <v>1.99</v>
      </c>
      <c r="K8001" s="19" t="s">
        <v>44</v>
      </c>
      <c r="L8001" s="19" t="s">
        <v>89</v>
      </c>
      <c r="M8001" s="15" t="s">
        <v>2365</v>
      </c>
      <c r="N8001" s="15" t="s">
        <v>64</v>
      </c>
      <c r="O8001" s="15" t="s">
        <v>72</v>
      </c>
      <c r="P8001" s="20" t="s">
        <v>1312</v>
      </c>
      <c r="Q8001" s="15" t="s">
        <v>49</v>
      </c>
      <c r="R8001" s="4"/>
      <c r="S8001" s="4"/>
    </row>
    <row r="8002" spans="1:19" ht="21" customHeight="1" x14ac:dyDescent="0.25">
      <c r="A8002" s="14">
        <f>DATE(2012,12,31)-1099</f>
        <v>40175</v>
      </c>
      <c r="B8002" s="15" t="s">
        <v>1579</v>
      </c>
      <c r="C8002" s="15" t="s">
        <v>43</v>
      </c>
      <c r="D8002" s="16">
        <v>10</v>
      </c>
      <c r="E8002" s="17">
        <v>38.44</v>
      </c>
      <c r="F8002" s="16">
        <v>0.01</v>
      </c>
      <c r="G8002" s="15" t="s">
        <v>101</v>
      </c>
      <c r="H8002" s="18">
        <v>-26.19</v>
      </c>
      <c r="I8002" s="19">
        <v>3.28</v>
      </c>
      <c r="J8002" s="19">
        <v>3.97</v>
      </c>
      <c r="K8002" s="19" t="s">
        <v>44</v>
      </c>
      <c r="L8002" s="19" t="s">
        <v>120</v>
      </c>
      <c r="M8002" s="15" t="s">
        <v>2262</v>
      </c>
      <c r="N8002" s="15" t="s">
        <v>36</v>
      </c>
      <c r="O8002" s="15" t="s">
        <v>77</v>
      </c>
      <c r="P8002" s="20" t="s">
        <v>1220</v>
      </c>
      <c r="Q8002" s="15" t="s">
        <v>79</v>
      </c>
      <c r="R8002" s="4"/>
      <c r="S8002" s="4"/>
    </row>
    <row r="8003" spans="1:19" ht="21" customHeight="1" x14ac:dyDescent="0.25">
      <c r="A8003" s="14">
        <f>DATE(2012,12,31)-438</f>
        <v>40836</v>
      </c>
      <c r="B8003" s="15" t="s">
        <v>1579</v>
      </c>
      <c r="C8003" s="15" t="s">
        <v>31</v>
      </c>
      <c r="D8003" s="16">
        <v>3</v>
      </c>
      <c r="E8003" s="17">
        <v>545.88</v>
      </c>
      <c r="F8003" s="16">
        <v>0.05</v>
      </c>
      <c r="G8003" s="15" t="s">
        <v>58</v>
      </c>
      <c r="H8003" s="18">
        <v>-95.04</v>
      </c>
      <c r="I8003" s="19">
        <v>212.6</v>
      </c>
      <c r="J8003" s="19">
        <v>52.2</v>
      </c>
      <c r="K8003" s="19" t="s">
        <v>44</v>
      </c>
      <c r="L8003" s="19" t="s">
        <v>120</v>
      </c>
      <c r="M8003" s="15" t="s">
        <v>2262</v>
      </c>
      <c r="N8003" s="15" t="s">
        <v>54</v>
      </c>
      <c r="O8003" s="15" t="s">
        <v>61</v>
      </c>
      <c r="P8003" s="20" t="s">
        <v>1390</v>
      </c>
      <c r="Q8003" s="15" t="s">
        <v>63</v>
      </c>
      <c r="R8003" s="4"/>
      <c r="S8003" s="4"/>
    </row>
    <row r="8004" spans="1:19" ht="21" customHeight="1" x14ac:dyDescent="0.25">
      <c r="A8004" s="14">
        <f>DATE(2012,12,31)-1242</f>
        <v>40032</v>
      </c>
      <c r="B8004" s="15" t="s">
        <v>1582</v>
      </c>
      <c r="C8004" s="15" t="s">
        <v>51</v>
      </c>
      <c r="D8004" s="16">
        <v>13</v>
      </c>
      <c r="E8004" s="17">
        <v>515.23</v>
      </c>
      <c r="F8004" s="16">
        <v>0.1</v>
      </c>
      <c r="G8004" s="15" t="s">
        <v>32</v>
      </c>
      <c r="H8004" s="18">
        <v>171.4025</v>
      </c>
      <c r="I8004" s="19">
        <v>41.94</v>
      </c>
      <c r="J8004" s="19">
        <v>2.99</v>
      </c>
      <c r="K8004" s="19" t="s">
        <v>44</v>
      </c>
      <c r="L8004" s="19" t="s">
        <v>120</v>
      </c>
      <c r="M8004" s="15" t="s">
        <v>2262</v>
      </c>
      <c r="N8004" s="15" t="s">
        <v>36</v>
      </c>
      <c r="O8004" s="15" t="s">
        <v>170</v>
      </c>
      <c r="P8004" s="20" t="s">
        <v>1283</v>
      </c>
      <c r="Q8004" s="15" t="s">
        <v>83</v>
      </c>
      <c r="R8004" s="4"/>
      <c r="S8004" s="4"/>
    </row>
    <row r="8005" spans="1:19" ht="21" customHeight="1" x14ac:dyDescent="0.25">
      <c r="A8005" s="14">
        <f>DATE(2012,12,31)-1242</f>
        <v>40032</v>
      </c>
      <c r="B8005" s="15" t="s">
        <v>340</v>
      </c>
      <c r="C8005" s="15" t="s">
        <v>51</v>
      </c>
      <c r="D8005" s="16">
        <v>22</v>
      </c>
      <c r="E8005" s="17">
        <v>41.65</v>
      </c>
      <c r="F8005" s="16">
        <v>0.06</v>
      </c>
      <c r="G8005" s="15" t="s">
        <v>32</v>
      </c>
      <c r="H8005" s="18">
        <v>-13.86</v>
      </c>
      <c r="I8005" s="19">
        <v>1.98</v>
      </c>
      <c r="J8005" s="19">
        <v>0.7</v>
      </c>
      <c r="K8005" s="19" t="s">
        <v>44</v>
      </c>
      <c r="L8005" s="19" t="s">
        <v>89</v>
      </c>
      <c r="M8005" s="15" t="s">
        <v>2365</v>
      </c>
      <c r="N8005" s="15" t="s">
        <v>36</v>
      </c>
      <c r="O8005" s="15" t="s">
        <v>105</v>
      </c>
      <c r="P8005" s="20" t="s">
        <v>2352</v>
      </c>
      <c r="Q8005" s="15" t="s">
        <v>79</v>
      </c>
      <c r="R8005" s="4"/>
      <c r="S8005" s="4"/>
    </row>
    <row r="8006" spans="1:19" ht="21" customHeight="1" x14ac:dyDescent="0.25">
      <c r="A8006" s="14">
        <f>DATE(2012,12,31)-1379</f>
        <v>39895</v>
      </c>
      <c r="B8006" s="15" t="s">
        <v>340</v>
      </c>
      <c r="C8006" s="15" t="s">
        <v>85</v>
      </c>
      <c r="D8006" s="16">
        <v>25</v>
      </c>
      <c r="E8006" s="17">
        <v>106.04</v>
      </c>
      <c r="F8006" s="16">
        <v>0.09</v>
      </c>
      <c r="G8006" s="15" t="s">
        <v>32</v>
      </c>
      <c r="H8006" s="18">
        <v>16.898</v>
      </c>
      <c r="I8006" s="19">
        <v>4.55</v>
      </c>
      <c r="J8006" s="19">
        <v>1.49</v>
      </c>
      <c r="K8006" s="19" t="s">
        <v>44</v>
      </c>
      <c r="L8006" s="19" t="s">
        <v>120</v>
      </c>
      <c r="M8006" s="15" t="s">
        <v>2262</v>
      </c>
      <c r="N8006" s="15" t="s">
        <v>36</v>
      </c>
      <c r="O8006" s="15" t="s">
        <v>170</v>
      </c>
      <c r="P8006" s="20" t="s">
        <v>1989</v>
      </c>
      <c r="Q8006" s="15" t="s">
        <v>83</v>
      </c>
      <c r="R8006" s="4"/>
      <c r="S8006" s="4"/>
    </row>
    <row r="8007" spans="1:19" ht="21" customHeight="1" x14ac:dyDescent="0.25">
      <c r="A8007" s="14">
        <f>DATE(2012,12,31)-1379</f>
        <v>39895</v>
      </c>
      <c r="B8007" s="15" t="s">
        <v>42</v>
      </c>
      <c r="C8007" s="15" t="s">
        <v>85</v>
      </c>
      <c r="D8007" s="16">
        <v>45</v>
      </c>
      <c r="E8007" s="17">
        <v>452.93</v>
      </c>
      <c r="F8007" s="16">
        <v>7.0000000000000007E-2</v>
      </c>
      <c r="G8007" s="15" t="s">
        <v>101</v>
      </c>
      <c r="H8007" s="18">
        <v>20.14</v>
      </c>
      <c r="I8007" s="19">
        <v>9.7799999999999994</v>
      </c>
      <c r="J8007" s="19">
        <v>5.76</v>
      </c>
      <c r="K8007" s="19" t="s">
        <v>44</v>
      </c>
      <c r="L8007" s="19" t="s">
        <v>89</v>
      </c>
      <c r="M8007" s="15" t="s">
        <v>2365</v>
      </c>
      <c r="N8007" s="15" t="s">
        <v>36</v>
      </c>
      <c r="O8007" s="15" t="s">
        <v>189</v>
      </c>
      <c r="P8007" s="20" t="s">
        <v>1220</v>
      </c>
      <c r="Q8007" s="15" t="s">
        <v>83</v>
      </c>
      <c r="R8007" s="4"/>
      <c r="S8007" s="4"/>
    </row>
    <row r="8008" spans="1:19" ht="21" customHeight="1" x14ac:dyDescent="0.25">
      <c r="A8008" s="14">
        <f>DATE(2012,12,31)-1137</f>
        <v>40137</v>
      </c>
      <c r="B8008" s="15" t="s">
        <v>42</v>
      </c>
      <c r="C8008" s="15" t="s">
        <v>43</v>
      </c>
      <c r="D8008" s="16">
        <v>1</v>
      </c>
      <c r="E8008" s="17">
        <v>90.88</v>
      </c>
      <c r="F8008" s="16">
        <v>0.1</v>
      </c>
      <c r="G8008" s="15" t="s">
        <v>32</v>
      </c>
      <c r="H8008" s="18">
        <v>-259.63</v>
      </c>
      <c r="I8008" s="19">
        <v>100.98</v>
      </c>
      <c r="J8008" s="19">
        <v>7.18</v>
      </c>
      <c r="K8008" s="19" t="s">
        <v>44</v>
      </c>
      <c r="L8008" s="19" t="s">
        <v>89</v>
      </c>
      <c r="M8008" s="15" t="s">
        <v>2365</v>
      </c>
      <c r="N8008" s="15" t="s">
        <v>64</v>
      </c>
      <c r="O8008" s="15" t="s">
        <v>72</v>
      </c>
      <c r="P8008" s="20" t="s">
        <v>2372</v>
      </c>
      <c r="Q8008" s="15" t="s">
        <v>83</v>
      </c>
      <c r="R8008" s="4"/>
      <c r="S8008" s="4"/>
    </row>
    <row r="8009" spans="1:19" ht="21" customHeight="1" x14ac:dyDescent="0.25">
      <c r="A8009" s="14">
        <f>DATE(2012,12,31)-1137</f>
        <v>40137</v>
      </c>
      <c r="B8009" s="15" t="s">
        <v>774</v>
      </c>
      <c r="C8009" s="15" t="s">
        <v>43</v>
      </c>
      <c r="D8009" s="16">
        <v>34</v>
      </c>
      <c r="E8009" s="17">
        <v>6236.4754999999996</v>
      </c>
      <c r="F8009" s="16">
        <v>0.03</v>
      </c>
      <c r="G8009" s="15" t="s">
        <v>32</v>
      </c>
      <c r="H8009" s="18">
        <v>1928.664</v>
      </c>
      <c r="I8009" s="19">
        <v>205.99</v>
      </c>
      <c r="J8009" s="19">
        <v>3</v>
      </c>
      <c r="K8009" s="19" t="s">
        <v>44</v>
      </c>
      <c r="L8009" s="19" t="s">
        <v>45</v>
      </c>
      <c r="M8009" s="15" t="s">
        <v>2373</v>
      </c>
      <c r="N8009" s="15" t="s">
        <v>64</v>
      </c>
      <c r="O8009" s="15" t="s">
        <v>65</v>
      </c>
      <c r="P8009" s="20" t="s">
        <v>1502</v>
      </c>
      <c r="Q8009" s="15" t="s">
        <v>83</v>
      </c>
      <c r="R8009" s="4"/>
      <c r="S8009" s="4"/>
    </row>
    <row r="8010" spans="1:19" ht="21" customHeight="1" x14ac:dyDescent="0.25">
      <c r="A8010" s="14">
        <f>DATE(2012,12,31)-1267</f>
        <v>40007</v>
      </c>
      <c r="B8010" s="15" t="s">
        <v>1204</v>
      </c>
      <c r="C8010" s="15" t="s">
        <v>31</v>
      </c>
      <c r="D8010" s="16">
        <v>34</v>
      </c>
      <c r="E8010" s="17">
        <v>223.499</v>
      </c>
      <c r="F8010" s="16">
        <v>0.06</v>
      </c>
      <c r="G8010" s="15" t="s">
        <v>32</v>
      </c>
      <c r="H8010" s="18">
        <v>-122.13300000000001</v>
      </c>
      <c r="I8010" s="19">
        <v>7.99</v>
      </c>
      <c r="J8010" s="19">
        <v>5.03</v>
      </c>
      <c r="K8010" s="19" t="s">
        <v>44</v>
      </c>
      <c r="L8010" s="19" t="s">
        <v>89</v>
      </c>
      <c r="M8010" s="15" t="s">
        <v>2365</v>
      </c>
      <c r="N8010" s="15" t="s">
        <v>64</v>
      </c>
      <c r="O8010" s="15" t="s">
        <v>65</v>
      </c>
      <c r="P8010" s="20" t="s">
        <v>1570</v>
      </c>
      <c r="Q8010" s="15" t="s">
        <v>57</v>
      </c>
      <c r="R8010" s="4"/>
      <c r="S8010" s="4"/>
    </row>
    <row r="8011" spans="1:19" ht="21" customHeight="1" x14ac:dyDescent="0.25">
      <c r="A8011" s="14">
        <f>DATE(2012,12,31)-1378</f>
        <v>39896</v>
      </c>
      <c r="B8011" s="15" t="s">
        <v>340</v>
      </c>
      <c r="C8011" s="15" t="s">
        <v>85</v>
      </c>
      <c r="D8011" s="16">
        <v>6</v>
      </c>
      <c r="E8011" s="17">
        <v>101.52</v>
      </c>
      <c r="F8011" s="16">
        <v>0.02</v>
      </c>
      <c r="G8011" s="15" t="s">
        <v>32</v>
      </c>
      <c r="H8011" s="18">
        <v>-16.37</v>
      </c>
      <c r="I8011" s="19">
        <v>15.42</v>
      </c>
      <c r="J8011" s="19">
        <v>5.41</v>
      </c>
      <c r="K8011" s="19" t="s">
        <v>44</v>
      </c>
      <c r="L8011" s="19" t="s">
        <v>120</v>
      </c>
      <c r="M8011" s="15" t="s">
        <v>2262</v>
      </c>
      <c r="N8011" s="15" t="s">
        <v>36</v>
      </c>
      <c r="O8011" s="15" t="s">
        <v>37</v>
      </c>
      <c r="P8011" s="20" t="s">
        <v>1317</v>
      </c>
      <c r="Q8011" s="15" t="s">
        <v>83</v>
      </c>
      <c r="R8011" s="4"/>
      <c r="S8011" s="4"/>
    </row>
    <row r="8012" spans="1:19" ht="21" customHeight="1" x14ac:dyDescent="0.25">
      <c r="A8012" s="14">
        <f>DATE(2012,12,31)-892</f>
        <v>40382</v>
      </c>
      <c r="B8012" s="15" t="s">
        <v>1282</v>
      </c>
      <c r="C8012" s="15" t="s">
        <v>31</v>
      </c>
      <c r="D8012" s="16">
        <v>12</v>
      </c>
      <c r="E8012" s="17">
        <v>1171.232</v>
      </c>
      <c r="F8012" s="16">
        <v>0.04</v>
      </c>
      <c r="G8012" s="15" t="s">
        <v>101</v>
      </c>
      <c r="H8012" s="18">
        <v>-43.252000000000002</v>
      </c>
      <c r="I8012" s="19">
        <v>115.99</v>
      </c>
      <c r="J8012" s="19">
        <v>2.5</v>
      </c>
      <c r="K8012" s="19" t="s">
        <v>44</v>
      </c>
      <c r="L8012" s="19" t="s">
        <v>89</v>
      </c>
      <c r="M8012" s="15" t="s">
        <v>2365</v>
      </c>
      <c r="N8012" s="15" t="s">
        <v>64</v>
      </c>
      <c r="O8012" s="15" t="s">
        <v>65</v>
      </c>
      <c r="P8012" s="20" t="s">
        <v>2045</v>
      </c>
      <c r="Q8012" s="15" t="s">
        <v>83</v>
      </c>
      <c r="R8012" s="4"/>
      <c r="S8012" s="4"/>
    </row>
    <row r="8013" spans="1:19" ht="21" customHeight="1" x14ac:dyDescent="0.25">
      <c r="A8013" s="14">
        <f>DATE(2012,12,31)-597</f>
        <v>40677</v>
      </c>
      <c r="B8013" s="15" t="s">
        <v>1282</v>
      </c>
      <c r="C8013" s="15" t="s">
        <v>85</v>
      </c>
      <c r="D8013" s="16">
        <v>24</v>
      </c>
      <c r="E8013" s="17">
        <v>178.92</v>
      </c>
      <c r="F8013" s="16">
        <v>0.09</v>
      </c>
      <c r="G8013" s="15" t="s">
        <v>32</v>
      </c>
      <c r="H8013" s="18">
        <v>-56.108499999999999</v>
      </c>
      <c r="I8013" s="19">
        <v>7.68</v>
      </c>
      <c r="J8013" s="19">
        <v>6.16</v>
      </c>
      <c r="K8013" s="19" t="s">
        <v>44</v>
      </c>
      <c r="L8013" s="19" t="s">
        <v>45</v>
      </c>
      <c r="M8013" s="15" t="s">
        <v>2373</v>
      </c>
      <c r="N8013" s="15" t="s">
        <v>36</v>
      </c>
      <c r="O8013" s="15" t="s">
        <v>170</v>
      </c>
      <c r="P8013" s="20" t="s">
        <v>1466</v>
      </c>
      <c r="Q8013" s="15" t="s">
        <v>83</v>
      </c>
      <c r="R8013" s="4"/>
      <c r="S8013" s="4"/>
    </row>
    <row r="8014" spans="1:19" ht="21" customHeight="1" x14ac:dyDescent="0.25">
      <c r="A8014" s="14">
        <f>DATE(2012,12,31)-546</f>
        <v>40728</v>
      </c>
      <c r="B8014" s="15" t="s">
        <v>1282</v>
      </c>
      <c r="C8014" s="15" t="s">
        <v>43</v>
      </c>
      <c r="D8014" s="16">
        <v>39</v>
      </c>
      <c r="E8014" s="17">
        <v>315.88</v>
      </c>
      <c r="F8014" s="16">
        <v>0.09</v>
      </c>
      <c r="G8014" s="15" t="s">
        <v>32</v>
      </c>
      <c r="H8014" s="18">
        <v>-60.4</v>
      </c>
      <c r="I8014" s="19">
        <v>8.4600000000000009</v>
      </c>
      <c r="J8014" s="19">
        <v>3.62</v>
      </c>
      <c r="K8014" s="19" t="s">
        <v>44</v>
      </c>
      <c r="L8014" s="19" t="s">
        <v>89</v>
      </c>
      <c r="M8014" s="15" t="s">
        <v>2365</v>
      </c>
      <c r="N8014" s="15" t="s">
        <v>64</v>
      </c>
      <c r="O8014" s="15" t="s">
        <v>72</v>
      </c>
      <c r="P8014" s="20" t="s">
        <v>1902</v>
      </c>
      <c r="Q8014" s="15" t="s">
        <v>49</v>
      </c>
      <c r="R8014" s="4"/>
      <c r="S8014" s="4"/>
    </row>
    <row r="8015" spans="1:19" ht="21" customHeight="1" x14ac:dyDescent="0.25">
      <c r="A8015" s="14">
        <f>DATE(2012,12,31)-546</f>
        <v>40728</v>
      </c>
      <c r="B8015" s="15" t="s">
        <v>1282</v>
      </c>
      <c r="C8015" s="15" t="s">
        <v>43</v>
      </c>
      <c r="D8015" s="16">
        <v>8</v>
      </c>
      <c r="E8015" s="17">
        <v>258.11</v>
      </c>
      <c r="F8015" s="16">
        <v>0.06</v>
      </c>
      <c r="G8015" s="15" t="s">
        <v>32</v>
      </c>
      <c r="H8015" s="18">
        <v>-113.6</v>
      </c>
      <c r="I8015" s="19">
        <v>30.98</v>
      </c>
      <c r="J8015" s="19">
        <v>6.5</v>
      </c>
      <c r="K8015" s="19" t="s">
        <v>44</v>
      </c>
      <c r="L8015" s="19" t="s">
        <v>89</v>
      </c>
      <c r="M8015" s="15" t="s">
        <v>2365</v>
      </c>
      <c r="N8015" s="15" t="s">
        <v>64</v>
      </c>
      <c r="O8015" s="15" t="s">
        <v>72</v>
      </c>
      <c r="P8015" s="20" t="s">
        <v>941</v>
      </c>
      <c r="Q8015" s="15" t="s">
        <v>83</v>
      </c>
      <c r="R8015" s="4"/>
      <c r="S8015" s="4"/>
    </row>
    <row r="8016" spans="1:19" ht="21" customHeight="1" x14ac:dyDescent="0.25">
      <c r="A8016" s="14">
        <f>DATE(2012,12,31)-819</f>
        <v>40455</v>
      </c>
      <c r="B8016" s="15" t="s">
        <v>1282</v>
      </c>
      <c r="C8016" s="15" t="s">
        <v>31</v>
      </c>
      <c r="D8016" s="16">
        <v>32</v>
      </c>
      <c r="E8016" s="17">
        <v>167.07</v>
      </c>
      <c r="F8016" s="16">
        <v>0.04</v>
      </c>
      <c r="G8016" s="15" t="s">
        <v>32</v>
      </c>
      <c r="H8016" s="18">
        <v>-93.230499999999992</v>
      </c>
      <c r="I8016" s="19">
        <v>4.91</v>
      </c>
      <c r="J8016" s="19">
        <v>5.68</v>
      </c>
      <c r="K8016" s="19" t="s">
        <v>44</v>
      </c>
      <c r="L8016" s="19" t="s">
        <v>45</v>
      </c>
      <c r="M8016" s="15" t="s">
        <v>2373</v>
      </c>
      <c r="N8016" s="15" t="s">
        <v>36</v>
      </c>
      <c r="O8016" s="15" t="s">
        <v>170</v>
      </c>
      <c r="P8016" s="20" t="s">
        <v>1661</v>
      </c>
      <c r="Q8016" s="15" t="s">
        <v>83</v>
      </c>
      <c r="R8016" s="4"/>
      <c r="S8016" s="4"/>
    </row>
    <row r="8017" spans="1:19" ht="21" customHeight="1" x14ac:dyDescent="0.25">
      <c r="A8017" s="14">
        <f>DATE(2012,12,31)-819</f>
        <v>40455</v>
      </c>
      <c r="B8017" s="15" t="s">
        <v>1311</v>
      </c>
      <c r="C8017" s="15" t="s">
        <v>31</v>
      </c>
      <c r="D8017" s="16">
        <v>34</v>
      </c>
      <c r="E8017" s="17">
        <v>554.88</v>
      </c>
      <c r="F8017" s="16">
        <v>0.06</v>
      </c>
      <c r="G8017" s="15" t="s">
        <v>32</v>
      </c>
      <c r="H8017" s="18">
        <v>-145.32550000000001</v>
      </c>
      <c r="I8017" s="19">
        <v>15.99</v>
      </c>
      <c r="J8017" s="19">
        <v>13.18</v>
      </c>
      <c r="K8017" s="19" t="s">
        <v>124</v>
      </c>
      <c r="L8017" s="19" t="s">
        <v>125</v>
      </c>
      <c r="M8017" s="15" t="s">
        <v>2358</v>
      </c>
      <c r="N8017" s="15" t="s">
        <v>36</v>
      </c>
      <c r="O8017" s="15" t="s">
        <v>170</v>
      </c>
      <c r="P8017" s="20" t="s">
        <v>200</v>
      </c>
      <c r="Q8017" s="15" t="s">
        <v>83</v>
      </c>
      <c r="R8017" s="4"/>
      <c r="S8017" s="4"/>
    </row>
    <row r="8018" spans="1:19" ht="21" customHeight="1" x14ac:dyDescent="0.25">
      <c r="A8018" s="14">
        <f>DATE(2012,12,31)-819</f>
        <v>40455</v>
      </c>
      <c r="B8018" s="15" t="s">
        <v>1721</v>
      </c>
      <c r="C8018" s="15" t="s">
        <v>31</v>
      </c>
      <c r="D8018" s="16">
        <v>48</v>
      </c>
      <c r="E8018" s="17">
        <v>309.64999999999998</v>
      </c>
      <c r="F8018" s="16">
        <v>0.04</v>
      </c>
      <c r="G8018" s="15" t="s">
        <v>32</v>
      </c>
      <c r="H8018" s="18">
        <v>-79.81</v>
      </c>
      <c r="I8018" s="19">
        <v>6.54</v>
      </c>
      <c r="J8018" s="19">
        <v>5.27</v>
      </c>
      <c r="K8018" s="19" t="s">
        <v>124</v>
      </c>
      <c r="L8018" s="19" t="s">
        <v>160</v>
      </c>
      <c r="M8018" s="15" t="s">
        <v>2281</v>
      </c>
      <c r="N8018" s="15" t="s">
        <v>36</v>
      </c>
      <c r="O8018" s="15" t="s">
        <v>170</v>
      </c>
      <c r="P8018" s="20" t="s">
        <v>893</v>
      </c>
      <c r="Q8018" s="15" t="s">
        <v>83</v>
      </c>
      <c r="R8018" s="4"/>
      <c r="S8018" s="4"/>
    </row>
    <row r="8019" spans="1:19" ht="21" customHeight="1" x14ac:dyDescent="0.25">
      <c r="A8019" s="14">
        <f>DATE(2012,12,31)-819</f>
        <v>40455</v>
      </c>
      <c r="B8019" s="15" t="s">
        <v>1721</v>
      </c>
      <c r="C8019" s="15" t="s">
        <v>31</v>
      </c>
      <c r="D8019" s="16">
        <v>24</v>
      </c>
      <c r="E8019" s="17">
        <v>152.37</v>
      </c>
      <c r="F8019" s="16">
        <v>0.09</v>
      </c>
      <c r="G8019" s="15" t="s">
        <v>32</v>
      </c>
      <c r="H8019" s="18">
        <v>-76.53</v>
      </c>
      <c r="I8019" s="19">
        <v>6.48</v>
      </c>
      <c r="J8019" s="19">
        <v>6.6</v>
      </c>
      <c r="K8019" s="19" t="s">
        <v>44</v>
      </c>
      <c r="L8019" s="19" t="s">
        <v>52</v>
      </c>
      <c r="M8019" s="15" t="s">
        <v>2369</v>
      </c>
      <c r="N8019" s="15" t="s">
        <v>36</v>
      </c>
      <c r="O8019" s="15" t="s">
        <v>117</v>
      </c>
      <c r="P8019" s="20" t="s">
        <v>440</v>
      </c>
      <c r="Q8019" s="15" t="s">
        <v>83</v>
      </c>
      <c r="R8019" s="4"/>
      <c r="S8019" s="4"/>
    </row>
    <row r="8020" spans="1:19" ht="21" customHeight="1" x14ac:dyDescent="0.25">
      <c r="A8020" s="14">
        <f>DATE(2012,12,31)-1386</f>
        <v>39888</v>
      </c>
      <c r="B8020" s="15" t="s">
        <v>1066</v>
      </c>
      <c r="C8020" s="15" t="s">
        <v>51</v>
      </c>
      <c r="D8020" s="16">
        <v>20</v>
      </c>
      <c r="E8020" s="17">
        <v>1351.43</v>
      </c>
      <c r="F8020" s="16">
        <v>0.08</v>
      </c>
      <c r="G8020" s="15" t="s">
        <v>58</v>
      </c>
      <c r="H8020" s="18">
        <v>-550.42999999999995</v>
      </c>
      <c r="I8020" s="19">
        <v>68.81</v>
      </c>
      <c r="J8020" s="19">
        <v>60</v>
      </c>
      <c r="K8020" s="19" t="s">
        <v>44</v>
      </c>
      <c r="L8020" s="19" t="s">
        <v>52</v>
      </c>
      <c r="M8020" s="15" t="s">
        <v>2369</v>
      </c>
      <c r="N8020" s="15" t="s">
        <v>36</v>
      </c>
      <c r="O8020" s="15" t="s">
        <v>176</v>
      </c>
      <c r="P8020" s="20" t="s">
        <v>691</v>
      </c>
      <c r="Q8020" s="15" t="s">
        <v>181</v>
      </c>
      <c r="R8020" s="4"/>
      <c r="S8020" s="4"/>
    </row>
    <row r="8021" spans="1:19" ht="21" customHeight="1" x14ac:dyDescent="0.25">
      <c r="A8021" s="14">
        <f>DATE(2012,12,31)-1386</f>
        <v>39888</v>
      </c>
      <c r="B8021" s="15" t="s">
        <v>1329</v>
      </c>
      <c r="C8021" s="15" t="s">
        <v>51</v>
      </c>
      <c r="D8021" s="16">
        <v>17</v>
      </c>
      <c r="E8021" s="17">
        <v>357.91</v>
      </c>
      <c r="F8021" s="16">
        <v>0.04</v>
      </c>
      <c r="G8021" s="15" t="s">
        <v>32</v>
      </c>
      <c r="H8021" s="18">
        <v>-52.12</v>
      </c>
      <c r="I8021" s="19">
        <v>21.38</v>
      </c>
      <c r="J8021" s="19">
        <v>8.99</v>
      </c>
      <c r="K8021" s="19" t="s">
        <v>33</v>
      </c>
      <c r="L8021" s="19" t="s">
        <v>93</v>
      </c>
      <c r="M8021" s="15" t="s">
        <v>94</v>
      </c>
      <c r="N8021" s="15" t="s">
        <v>36</v>
      </c>
      <c r="O8021" s="15" t="s">
        <v>77</v>
      </c>
      <c r="P8021" s="20" t="s">
        <v>902</v>
      </c>
      <c r="Q8021" s="15" t="s">
        <v>49</v>
      </c>
      <c r="R8021" s="4"/>
      <c r="S8021" s="4"/>
    </row>
    <row r="8022" spans="1:19" ht="21" customHeight="1" x14ac:dyDescent="0.25">
      <c r="A8022" s="14">
        <f>DATE(2012,12,31)-827</f>
        <v>40447</v>
      </c>
      <c r="B8022" s="15" t="s">
        <v>1329</v>
      </c>
      <c r="C8022" s="15" t="s">
        <v>51</v>
      </c>
      <c r="D8022" s="16">
        <v>50</v>
      </c>
      <c r="E8022" s="17">
        <v>745.48</v>
      </c>
      <c r="F8022" s="16">
        <v>0.02</v>
      </c>
      <c r="G8022" s="15" t="s">
        <v>32</v>
      </c>
      <c r="H8022" s="18">
        <v>119.12</v>
      </c>
      <c r="I8022" s="19">
        <v>14.56</v>
      </c>
      <c r="J8022" s="19">
        <v>3.5</v>
      </c>
      <c r="K8022" s="19" t="s">
        <v>33</v>
      </c>
      <c r="L8022" s="19" t="s">
        <v>128</v>
      </c>
      <c r="M8022" s="15" t="s">
        <v>129</v>
      </c>
      <c r="N8022" s="15" t="s">
        <v>36</v>
      </c>
      <c r="O8022" s="15" t="s">
        <v>176</v>
      </c>
      <c r="P8022" s="20" t="s">
        <v>1394</v>
      </c>
      <c r="Q8022" s="15" t="s">
        <v>83</v>
      </c>
      <c r="R8022" s="4"/>
      <c r="S8022" s="4"/>
    </row>
    <row r="8023" spans="1:19" ht="21" customHeight="1" x14ac:dyDescent="0.25">
      <c r="A8023" s="14">
        <f>DATE(2012,12,31)-827</f>
        <v>40447</v>
      </c>
      <c r="B8023" s="15" t="s">
        <v>630</v>
      </c>
      <c r="C8023" s="15" t="s">
        <v>51</v>
      </c>
      <c r="D8023" s="16">
        <v>45</v>
      </c>
      <c r="E8023" s="17">
        <v>3086.5115000000001</v>
      </c>
      <c r="F8023" s="16">
        <v>0.08</v>
      </c>
      <c r="G8023" s="15" t="s">
        <v>32</v>
      </c>
      <c r="H8023" s="18">
        <v>1560.96</v>
      </c>
      <c r="I8023" s="19">
        <v>85.99</v>
      </c>
      <c r="J8023" s="19">
        <v>2.5</v>
      </c>
      <c r="K8023" s="19" t="s">
        <v>33</v>
      </c>
      <c r="L8023" s="19" t="s">
        <v>93</v>
      </c>
      <c r="M8023" s="15" t="s">
        <v>94</v>
      </c>
      <c r="N8023" s="15" t="s">
        <v>64</v>
      </c>
      <c r="O8023" s="15" t="s">
        <v>65</v>
      </c>
      <c r="P8023" s="20" t="s">
        <v>786</v>
      </c>
      <c r="Q8023" s="15" t="s">
        <v>83</v>
      </c>
      <c r="R8023" s="4"/>
      <c r="S8023" s="4"/>
    </row>
    <row r="8024" spans="1:19" ht="21" customHeight="1" x14ac:dyDescent="0.25">
      <c r="A8024" s="14">
        <f>DATE(2012,12,31)-820</f>
        <v>40454</v>
      </c>
      <c r="B8024" s="15" t="s">
        <v>630</v>
      </c>
      <c r="C8024" s="15" t="s">
        <v>85</v>
      </c>
      <c r="D8024" s="16">
        <v>36</v>
      </c>
      <c r="E8024" s="17">
        <v>63.53</v>
      </c>
      <c r="F8024" s="16">
        <v>0.1</v>
      </c>
      <c r="G8024" s="15" t="s">
        <v>32</v>
      </c>
      <c r="H8024" s="18">
        <v>-2.5099999999999998</v>
      </c>
      <c r="I8024" s="19">
        <v>1.88</v>
      </c>
      <c r="J8024" s="19">
        <v>0.79</v>
      </c>
      <c r="K8024" s="19" t="s">
        <v>97</v>
      </c>
      <c r="L8024" s="19" t="s">
        <v>98</v>
      </c>
      <c r="M8024" s="15" t="s">
        <v>2363</v>
      </c>
      <c r="N8024" s="15" t="s">
        <v>36</v>
      </c>
      <c r="O8024" s="15" t="s">
        <v>105</v>
      </c>
      <c r="P8024" s="20" t="s">
        <v>878</v>
      </c>
      <c r="Q8024" s="15" t="s">
        <v>79</v>
      </c>
      <c r="R8024" s="4"/>
      <c r="S8024" s="4"/>
    </row>
    <row r="8025" spans="1:19" ht="21" customHeight="1" x14ac:dyDescent="0.25">
      <c r="A8025" s="14">
        <f>DATE(2012,12,31)-657</f>
        <v>40617</v>
      </c>
      <c r="B8025" s="15" t="s">
        <v>398</v>
      </c>
      <c r="C8025" s="15" t="s">
        <v>51</v>
      </c>
      <c r="D8025" s="16">
        <v>37</v>
      </c>
      <c r="E8025" s="17">
        <v>132.12</v>
      </c>
      <c r="F8025" s="16">
        <v>7.0000000000000007E-2</v>
      </c>
      <c r="G8025" s="15" t="s">
        <v>32</v>
      </c>
      <c r="H8025" s="18">
        <v>54.78</v>
      </c>
      <c r="I8025" s="19">
        <v>3.75</v>
      </c>
      <c r="J8025" s="19">
        <v>0.5</v>
      </c>
      <c r="K8025" s="19" t="s">
        <v>97</v>
      </c>
      <c r="L8025" s="19" t="s">
        <v>195</v>
      </c>
      <c r="M8025" s="15" t="s">
        <v>2374</v>
      </c>
      <c r="N8025" s="15" t="s">
        <v>36</v>
      </c>
      <c r="O8025" s="15" t="s">
        <v>114</v>
      </c>
      <c r="P8025" s="20" t="s">
        <v>1604</v>
      </c>
      <c r="Q8025" s="15" t="s">
        <v>83</v>
      </c>
      <c r="R8025" s="4"/>
      <c r="S8025" s="4"/>
    </row>
    <row r="8026" spans="1:19" ht="21" customHeight="1" x14ac:dyDescent="0.25">
      <c r="A8026" s="14">
        <f>DATE(2012,12,31)-1245</f>
        <v>40029</v>
      </c>
      <c r="B8026" s="15" t="s">
        <v>1414</v>
      </c>
      <c r="C8026" s="15" t="s">
        <v>43</v>
      </c>
      <c r="D8026" s="16">
        <v>44</v>
      </c>
      <c r="E8026" s="17">
        <v>357.48</v>
      </c>
      <c r="F8026" s="16">
        <v>0.01</v>
      </c>
      <c r="G8026" s="15" t="s">
        <v>32</v>
      </c>
      <c r="H8026" s="18">
        <v>160.02000000000001</v>
      </c>
      <c r="I8026" s="19">
        <v>7.64</v>
      </c>
      <c r="J8026" s="19">
        <v>1.39</v>
      </c>
      <c r="K8026" s="19" t="s">
        <v>97</v>
      </c>
      <c r="L8026" s="19" t="s">
        <v>132</v>
      </c>
      <c r="M8026" s="15" t="s">
        <v>2294</v>
      </c>
      <c r="N8026" s="15" t="s">
        <v>36</v>
      </c>
      <c r="O8026" s="15" t="s">
        <v>189</v>
      </c>
      <c r="P8026" s="20" t="s">
        <v>1530</v>
      </c>
      <c r="Q8026" s="15" t="s">
        <v>83</v>
      </c>
      <c r="R8026" s="4"/>
      <c r="S8026" s="4"/>
    </row>
    <row r="8027" spans="1:19" ht="21" customHeight="1" x14ac:dyDescent="0.25">
      <c r="A8027" s="14">
        <f>DATE(2012,12,31)-1417</f>
        <v>39857</v>
      </c>
      <c r="B8027" s="15" t="s">
        <v>1414</v>
      </c>
      <c r="C8027" s="15" t="s">
        <v>85</v>
      </c>
      <c r="D8027" s="16">
        <v>48</v>
      </c>
      <c r="E8027" s="17">
        <v>332.55</v>
      </c>
      <c r="F8027" s="16">
        <v>0.1</v>
      </c>
      <c r="G8027" s="15" t="s">
        <v>32</v>
      </c>
      <c r="H8027" s="18">
        <v>-66.87</v>
      </c>
      <c r="I8027" s="19">
        <v>7.28</v>
      </c>
      <c r="J8027" s="19">
        <v>5.47</v>
      </c>
      <c r="K8027" s="19" t="s">
        <v>97</v>
      </c>
      <c r="L8027" s="19" t="s">
        <v>195</v>
      </c>
      <c r="M8027" s="15" t="s">
        <v>2374</v>
      </c>
      <c r="N8027" s="15" t="s">
        <v>36</v>
      </c>
      <c r="O8027" s="15" t="s">
        <v>117</v>
      </c>
      <c r="P8027" s="20" t="s">
        <v>536</v>
      </c>
      <c r="Q8027" s="15" t="s">
        <v>83</v>
      </c>
      <c r="R8027" s="4"/>
      <c r="S8027" s="4"/>
    </row>
    <row r="8028" spans="1:19" ht="21" customHeight="1" x14ac:dyDescent="0.25">
      <c r="A8028" s="14">
        <f>DATE(2012,12,31)-1284</f>
        <v>39990</v>
      </c>
      <c r="B8028" s="15" t="s">
        <v>361</v>
      </c>
      <c r="C8028" s="15" t="s">
        <v>85</v>
      </c>
      <c r="D8028" s="16">
        <v>10</v>
      </c>
      <c r="E8028" s="17">
        <v>155.44999999999999</v>
      </c>
      <c r="F8028" s="16">
        <v>0.03</v>
      </c>
      <c r="G8028" s="15" t="s">
        <v>32</v>
      </c>
      <c r="H8028" s="18">
        <v>-19.676500000000001</v>
      </c>
      <c r="I8028" s="19">
        <v>15.01</v>
      </c>
      <c r="J8028" s="19">
        <v>8.4</v>
      </c>
      <c r="K8028" s="19" t="s">
        <v>97</v>
      </c>
      <c r="L8028" s="19" t="s">
        <v>132</v>
      </c>
      <c r="M8028" s="15" t="s">
        <v>2294</v>
      </c>
      <c r="N8028" s="15" t="s">
        <v>36</v>
      </c>
      <c r="O8028" s="15" t="s">
        <v>170</v>
      </c>
      <c r="P8028" s="20" t="s">
        <v>1953</v>
      </c>
      <c r="Q8028" s="15" t="s">
        <v>83</v>
      </c>
      <c r="R8028" s="4"/>
      <c r="S8028" s="4"/>
    </row>
    <row r="8029" spans="1:19" ht="21" customHeight="1" x14ac:dyDescent="0.25">
      <c r="A8029" s="14">
        <f>DATE(2012,12,31)-1409</f>
        <v>39865</v>
      </c>
      <c r="B8029" s="15" t="s">
        <v>361</v>
      </c>
      <c r="C8029" s="15" t="s">
        <v>31</v>
      </c>
      <c r="D8029" s="16">
        <v>39</v>
      </c>
      <c r="E8029" s="17">
        <v>199.39</v>
      </c>
      <c r="F8029" s="16">
        <v>0.1</v>
      </c>
      <c r="G8029" s="15" t="s">
        <v>101</v>
      </c>
      <c r="H8029" s="18">
        <v>101.13</v>
      </c>
      <c r="I8029" s="19">
        <v>4.91</v>
      </c>
      <c r="J8029" s="19">
        <v>0.5</v>
      </c>
      <c r="K8029" s="19" t="s">
        <v>97</v>
      </c>
      <c r="L8029" s="19" t="s">
        <v>98</v>
      </c>
      <c r="M8029" s="15" t="s">
        <v>2363</v>
      </c>
      <c r="N8029" s="15" t="s">
        <v>36</v>
      </c>
      <c r="O8029" s="15" t="s">
        <v>114</v>
      </c>
      <c r="P8029" s="20" t="s">
        <v>1376</v>
      </c>
      <c r="Q8029" s="15" t="s">
        <v>83</v>
      </c>
      <c r="R8029" s="4"/>
      <c r="S8029" s="4"/>
    </row>
    <row r="8030" spans="1:19" ht="21" customHeight="1" x14ac:dyDescent="0.25">
      <c r="A8030" s="14">
        <f>DATE(2012,12,31)-1409</f>
        <v>39865</v>
      </c>
      <c r="B8030" s="15" t="s">
        <v>313</v>
      </c>
      <c r="C8030" s="15" t="s">
        <v>31</v>
      </c>
      <c r="D8030" s="16">
        <v>11</v>
      </c>
      <c r="E8030" s="17">
        <v>2770.35</v>
      </c>
      <c r="F8030" s="16">
        <v>0.09</v>
      </c>
      <c r="G8030" s="15" t="s">
        <v>58</v>
      </c>
      <c r="H8030" s="18">
        <v>-202.58100000000002</v>
      </c>
      <c r="I8030" s="19">
        <v>259.70999999999998</v>
      </c>
      <c r="J8030" s="19">
        <v>66.67</v>
      </c>
      <c r="K8030" s="19" t="s">
        <v>124</v>
      </c>
      <c r="L8030" s="19" t="s">
        <v>160</v>
      </c>
      <c r="M8030" s="15" t="s">
        <v>2281</v>
      </c>
      <c r="N8030" s="15" t="s">
        <v>54</v>
      </c>
      <c r="O8030" s="15" t="s">
        <v>61</v>
      </c>
      <c r="P8030" s="20" t="s">
        <v>825</v>
      </c>
      <c r="Q8030" s="15" t="s">
        <v>63</v>
      </c>
      <c r="R8030" s="4"/>
      <c r="S8030" s="4"/>
    </row>
    <row r="8031" spans="1:19" ht="21" customHeight="1" x14ac:dyDescent="0.25">
      <c r="A8031" s="14">
        <f>DATE(2012,12,31)-387</f>
        <v>40887</v>
      </c>
      <c r="B8031" s="15" t="s">
        <v>313</v>
      </c>
      <c r="C8031" s="15" t="s">
        <v>43</v>
      </c>
      <c r="D8031" s="16">
        <v>6</v>
      </c>
      <c r="E8031" s="17">
        <v>48.05</v>
      </c>
      <c r="F8031" s="16">
        <v>0.01</v>
      </c>
      <c r="G8031" s="15" t="s">
        <v>32</v>
      </c>
      <c r="H8031" s="18">
        <v>-11.34</v>
      </c>
      <c r="I8031" s="19">
        <v>6.68</v>
      </c>
      <c r="J8031" s="19">
        <v>5.2</v>
      </c>
      <c r="K8031" s="19" t="s">
        <v>124</v>
      </c>
      <c r="L8031" s="19" t="s">
        <v>493</v>
      </c>
      <c r="M8031" s="15" t="s">
        <v>2367</v>
      </c>
      <c r="N8031" s="15" t="s">
        <v>36</v>
      </c>
      <c r="O8031" s="15" t="s">
        <v>117</v>
      </c>
      <c r="P8031" s="20" t="s">
        <v>1326</v>
      </c>
      <c r="Q8031" s="15" t="s">
        <v>83</v>
      </c>
      <c r="R8031" s="4"/>
      <c r="S8031" s="4"/>
    </row>
    <row r="8032" spans="1:19" ht="21" customHeight="1" x14ac:dyDescent="0.25">
      <c r="A8032" s="14">
        <f>DATE(2012,12,31)-1182</f>
        <v>40092</v>
      </c>
      <c r="B8032" s="15" t="s">
        <v>1866</v>
      </c>
      <c r="C8032" s="15" t="s">
        <v>85</v>
      </c>
      <c r="D8032" s="16">
        <v>32</v>
      </c>
      <c r="E8032" s="17">
        <v>98.46</v>
      </c>
      <c r="F8032" s="16">
        <v>0.01</v>
      </c>
      <c r="G8032" s="15" t="s">
        <v>32</v>
      </c>
      <c r="H8032" s="18">
        <v>41.54</v>
      </c>
      <c r="I8032" s="19">
        <v>2.89</v>
      </c>
      <c r="J8032" s="19">
        <v>0.5</v>
      </c>
      <c r="K8032" s="19" t="s">
        <v>124</v>
      </c>
      <c r="L8032" s="19" t="s">
        <v>160</v>
      </c>
      <c r="M8032" s="15" t="s">
        <v>2281</v>
      </c>
      <c r="N8032" s="15" t="s">
        <v>36</v>
      </c>
      <c r="O8032" s="15" t="s">
        <v>114</v>
      </c>
      <c r="P8032" s="20" t="s">
        <v>615</v>
      </c>
      <c r="Q8032" s="15" t="s">
        <v>83</v>
      </c>
      <c r="R8032" s="4"/>
      <c r="S8032" s="4"/>
    </row>
    <row r="8033" spans="1:19" ht="21" customHeight="1" x14ac:dyDescent="0.25">
      <c r="A8033" s="14">
        <f>DATE(2012,12,31)-1182</f>
        <v>40092</v>
      </c>
      <c r="B8033" s="15" t="s">
        <v>1840</v>
      </c>
      <c r="C8033" s="15" t="s">
        <v>85</v>
      </c>
      <c r="D8033" s="16">
        <v>11</v>
      </c>
      <c r="E8033" s="17">
        <v>569.63599999999997</v>
      </c>
      <c r="F8033" s="16">
        <v>0</v>
      </c>
      <c r="G8033" s="15" t="s">
        <v>32</v>
      </c>
      <c r="H8033" s="18">
        <v>-173.25</v>
      </c>
      <c r="I8033" s="19">
        <v>55.99</v>
      </c>
      <c r="J8033" s="19">
        <v>5</v>
      </c>
      <c r="K8033" s="19" t="s">
        <v>124</v>
      </c>
      <c r="L8033" s="19" t="s">
        <v>160</v>
      </c>
      <c r="M8033" s="15" t="s">
        <v>2281</v>
      </c>
      <c r="N8033" s="15" t="s">
        <v>64</v>
      </c>
      <c r="O8033" s="15" t="s">
        <v>65</v>
      </c>
      <c r="P8033" s="20" t="s">
        <v>1469</v>
      </c>
      <c r="Q8033" s="15" t="s">
        <v>49</v>
      </c>
      <c r="R8033" s="4"/>
      <c r="S8033" s="4"/>
    </row>
    <row r="8034" spans="1:19" ht="21" customHeight="1" x14ac:dyDescent="0.25">
      <c r="A8034" s="14">
        <f>DATE(2012,12,31)-104</f>
        <v>41170</v>
      </c>
      <c r="B8034" s="15" t="s">
        <v>1840</v>
      </c>
      <c r="C8034" s="15" t="s">
        <v>85</v>
      </c>
      <c r="D8034" s="16">
        <v>13</v>
      </c>
      <c r="E8034" s="17">
        <v>76.38</v>
      </c>
      <c r="F8034" s="16">
        <v>0.03</v>
      </c>
      <c r="G8034" s="15" t="s">
        <v>101</v>
      </c>
      <c r="H8034" s="18">
        <v>-29.693000000000001</v>
      </c>
      <c r="I8034" s="19">
        <v>4.82</v>
      </c>
      <c r="J8034" s="19">
        <v>5.24</v>
      </c>
      <c r="K8034" s="19" t="s">
        <v>124</v>
      </c>
      <c r="L8034" s="19" t="s">
        <v>160</v>
      </c>
      <c r="M8034" s="15" t="s">
        <v>2281</v>
      </c>
      <c r="N8034" s="15" t="s">
        <v>36</v>
      </c>
      <c r="O8034" s="15" t="s">
        <v>170</v>
      </c>
      <c r="P8034" s="20" t="s">
        <v>1255</v>
      </c>
      <c r="Q8034" s="15" t="s">
        <v>83</v>
      </c>
      <c r="R8034" s="4"/>
      <c r="S8034" s="4"/>
    </row>
    <row r="8035" spans="1:19" ht="21" customHeight="1" x14ac:dyDescent="0.25">
      <c r="A8035" s="14">
        <f>DATE(2012,12,31)-104</f>
        <v>41170</v>
      </c>
      <c r="B8035" s="15" t="s">
        <v>1660</v>
      </c>
      <c r="C8035" s="15" t="s">
        <v>85</v>
      </c>
      <c r="D8035" s="16">
        <v>29</v>
      </c>
      <c r="E8035" s="17">
        <v>2948.63</v>
      </c>
      <c r="F8035" s="16">
        <v>0.05</v>
      </c>
      <c r="G8035" s="15" t="s">
        <v>32</v>
      </c>
      <c r="H8035" s="18">
        <v>888.62</v>
      </c>
      <c r="I8035" s="19">
        <v>100.97</v>
      </c>
      <c r="J8035" s="19">
        <v>7.18</v>
      </c>
      <c r="K8035" s="19" t="s">
        <v>124</v>
      </c>
      <c r="L8035" s="19" t="s">
        <v>160</v>
      </c>
      <c r="M8035" s="15" t="s">
        <v>2281</v>
      </c>
      <c r="N8035" s="15" t="s">
        <v>64</v>
      </c>
      <c r="O8035" s="15" t="s">
        <v>72</v>
      </c>
      <c r="P8035" s="20" t="s">
        <v>1581</v>
      </c>
      <c r="Q8035" s="15" t="s">
        <v>83</v>
      </c>
      <c r="R8035" s="4"/>
      <c r="S8035" s="4"/>
    </row>
    <row r="8036" spans="1:19" ht="21" customHeight="1" x14ac:dyDescent="0.25">
      <c r="A8036" s="14">
        <f>DATE(2012,12,31)-104</f>
        <v>41170</v>
      </c>
      <c r="B8036" s="15" t="s">
        <v>1660</v>
      </c>
      <c r="C8036" s="15" t="s">
        <v>85</v>
      </c>
      <c r="D8036" s="16">
        <v>4</v>
      </c>
      <c r="E8036" s="17">
        <v>18.329999999999998</v>
      </c>
      <c r="F8036" s="16">
        <v>0.09</v>
      </c>
      <c r="G8036" s="15" t="s">
        <v>32</v>
      </c>
      <c r="H8036" s="18">
        <v>-7.08</v>
      </c>
      <c r="I8036" s="19">
        <v>3.98</v>
      </c>
      <c r="J8036" s="19">
        <v>2.97</v>
      </c>
      <c r="K8036" s="19" t="s">
        <v>124</v>
      </c>
      <c r="L8036" s="19" t="s">
        <v>160</v>
      </c>
      <c r="M8036" s="15" t="s">
        <v>2281</v>
      </c>
      <c r="N8036" s="15" t="s">
        <v>36</v>
      </c>
      <c r="O8036" s="15" t="s">
        <v>117</v>
      </c>
      <c r="P8036" s="20" t="s">
        <v>917</v>
      </c>
      <c r="Q8036" s="15" t="s">
        <v>79</v>
      </c>
      <c r="R8036" s="4"/>
      <c r="S8036" s="4"/>
    </row>
    <row r="8037" spans="1:19" ht="21" customHeight="1" x14ac:dyDescent="0.25">
      <c r="A8037" s="14">
        <f>DATE(2012,12,31)-1045</f>
        <v>40229</v>
      </c>
      <c r="B8037" s="15" t="s">
        <v>1023</v>
      </c>
      <c r="C8037" s="15" t="s">
        <v>85</v>
      </c>
      <c r="D8037" s="16">
        <v>40</v>
      </c>
      <c r="E8037" s="17">
        <v>1370.49</v>
      </c>
      <c r="F8037" s="16">
        <v>0.08</v>
      </c>
      <c r="G8037" s="15" t="s">
        <v>32</v>
      </c>
      <c r="H8037" s="18">
        <v>-244.63</v>
      </c>
      <c r="I8037" s="19">
        <v>33.979999999999997</v>
      </c>
      <c r="J8037" s="19">
        <v>19.989999999999998</v>
      </c>
      <c r="K8037" s="19" t="s">
        <v>124</v>
      </c>
      <c r="L8037" s="19" t="s">
        <v>160</v>
      </c>
      <c r="M8037" s="15" t="s">
        <v>2281</v>
      </c>
      <c r="N8037" s="15" t="s">
        <v>54</v>
      </c>
      <c r="O8037" s="15" t="s">
        <v>55</v>
      </c>
      <c r="P8037" s="20" t="s">
        <v>1686</v>
      </c>
      <c r="Q8037" s="15" t="s">
        <v>83</v>
      </c>
      <c r="R8037" s="4"/>
      <c r="S8037" s="4"/>
    </row>
    <row r="8038" spans="1:19" ht="21" customHeight="1" x14ac:dyDescent="0.25">
      <c r="A8038" s="14">
        <f>DATE(2012,12,31)-1227</f>
        <v>40047</v>
      </c>
      <c r="B8038" s="15" t="s">
        <v>1023</v>
      </c>
      <c r="C8038" s="15" t="s">
        <v>51</v>
      </c>
      <c r="D8038" s="16">
        <v>23</v>
      </c>
      <c r="E8038" s="17">
        <v>1256.29</v>
      </c>
      <c r="F8038" s="16">
        <v>0.04</v>
      </c>
      <c r="G8038" s="15" t="s">
        <v>32</v>
      </c>
      <c r="H8038" s="18">
        <v>517.03</v>
      </c>
      <c r="I8038" s="19">
        <v>55.48</v>
      </c>
      <c r="J8038" s="19">
        <v>6.79</v>
      </c>
      <c r="K8038" s="19" t="s">
        <v>124</v>
      </c>
      <c r="L8038" s="19" t="s">
        <v>160</v>
      </c>
      <c r="M8038" s="15" t="s">
        <v>2281</v>
      </c>
      <c r="N8038" s="15" t="s">
        <v>36</v>
      </c>
      <c r="O8038" s="15" t="s">
        <v>117</v>
      </c>
      <c r="P8038" s="20" t="s">
        <v>1920</v>
      </c>
      <c r="Q8038" s="15" t="s">
        <v>83</v>
      </c>
      <c r="R8038" s="4"/>
      <c r="S8038" s="4"/>
    </row>
    <row r="8039" spans="1:19" ht="21" customHeight="1" x14ac:dyDescent="0.25">
      <c r="A8039" s="14">
        <f>DATE(2012,12,31)-928</f>
        <v>40346</v>
      </c>
      <c r="B8039" s="15" t="s">
        <v>1041</v>
      </c>
      <c r="C8039" s="15" t="s">
        <v>43</v>
      </c>
      <c r="D8039" s="16">
        <v>38</v>
      </c>
      <c r="E8039" s="17">
        <v>592.54</v>
      </c>
      <c r="F8039" s="16">
        <v>7.0000000000000007E-2</v>
      </c>
      <c r="G8039" s="15" t="s">
        <v>32</v>
      </c>
      <c r="H8039" s="18">
        <v>282.11</v>
      </c>
      <c r="I8039" s="19">
        <v>15.67</v>
      </c>
      <c r="J8039" s="19">
        <v>1.39</v>
      </c>
      <c r="K8039" s="19" t="s">
        <v>124</v>
      </c>
      <c r="L8039" s="19" t="s">
        <v>160</v>
      </c>
      <c r="M8039" s="15" t="s">
        <v>2281</v>
      </c>
      <c r="N8039" s="15" t="s">
        <v>36</v>
      </c>
      <c r="O8039" s="15" t="s">
        <v>189</v>
      </c>
      <c r="P8039" s="20" t="s">
        <v>66</v>
      </c>
      <c r="Q8039" s="15" t="s">
        <v>83</v>
      </c>
      <c r="R8039" s="4"/>
      <c r="S8039" s="4"/>
    </row>
    <row r="8040" spans="1:19" ht="21" customHeight="1" x14ac:dyDescent="0.25">
      <c r="A8040" s="14">
        <f>DATE(2012,12,31)-94</f>
        <v>41180</v>
      </c>
      <c r="B8040" s="15" t="s">
        <v>279</v>
      </c>
      <c r="C8040" s="15" t="s">
        <v>51</v>
      </c>
      <c r="D8040" s="16">
        <v>27</v>
      </c>
      <c r="E8040" s="17">
        <v>1823.04</v>
      </c>
      <c r="F8040" s="16">
        <v>0.09</v>
      </c>
      <c r="G8040" s="15" t="s">
        <v>58</v>
      </c>
      <c r="H8040" s="18">
        <v>-190.78</v>
      </c>
      <c r="I8040" s="19">
        <v>70.98</v>
      </c>
      <c r="J8040" s="19">
        <v>26.74</v>
      </c>
      <c r="K8040" s="19" t="s">
        <v>124</v>
      </c>
      <c r="L8040" s="19" t="s">
        <v>160</v>
      </c>
      <c r="M8040" s="15" t="s">
        <v>2281</v>
      </c>
      <c r="N8040" s="15" t="s">
        <v>54</v>
      </c>
      <c r="O8040" s="15" t="s">
        <v>134</v>
      </c>
      <c r="P8040" s="20" t="s">
        <v>730</v>
      </c>
      <c r="Q8040" s="15" t="s">
        <v>63</v>
      </c>
      <c r="R8040" s="4"/>
      <c r="S8040" s="4"/>
    </row>
    <row r="8041" spans="1:19" ht="21" customHeight="1" x14ac:dyDescent="0.25">
      <c r="A8041" s="14">
        <f>DATE(2012,12,31)-94</f>
        <v>41180</v>
      </c>
      <c r="B8041" s="15" t="s">
        <v>1908</v>
      </c>
      <c r="C8041" s="15" t="s">
        <v>51</v>
      </c>
      <c r="D8041" s="16">
        <v>15</v>
      </c>
      <c r="E8041" s="17">
        <v>675.23</v>
      </c>
      <c r="F8041" s="16">
        <v>0.1</v>
      </c>
      <c r="G8041" s="15" t="s">
        <v>32</v>
      </c>
      <c r="H8041" s="18">
        <v>204.08</v>
      </c>
      <c r="I8041" s="19">
        <v>48.04</v>
      </c>
      <c r="J8041" s="19">
        <v>7.23</v>
      </c>
      <c r="K8041" s="19" t="s">
        <v>124</v>
      </c>
      <c r="L8041" s="19" t="s">
        <v>164</v>
      </c>
      <c r="M8041" s="15" t="s">
        <v>2368</v>
      </c>
      <c r="N8041" s="15" t="s">
        <v>36</v>
      </c>
      <c r="O8041" s="15" t="s">
        <v>117</v>
      </c>
      <c r="P8041" s="20" t="s">
        <v>1997</v>
      </c>
      <c r="Q8041" s="15" t="s">
        <v>83</v>
      </c>
      <c r="R8041" s="4"/>
      <c r="S8041" s="4"/>
    </row>
    <row r="8042" spans="1:19" ht="21" customHeight="1" x14ac:dyDescent="0.25">
      <c r="A8042" s="14">
        <f>DATE(2012,12,31)-538</f>
        <v>40736</v>
      </c>
      <c r="B8042" s="15" t="s">
        <v>1386</v>
      </c>
      <c r="C8042" s="15" t="s">
        <v>85</v>
      </c>
      <c r="D8042" s="16">
        <v>30</v>
      </c>
      <c r="E8042" s="17">
        <v>139.08000000000001</v>
      </c>
      <c r="F8042" s="16">
        <v>0.1</v>
      </c>
      <c r="G8042" s="15" t="s">
        <v>32</v>
      </c>
      <c r="H8042" s="18">
        <v>-120.04</v>
      </c>
      <c r="I8042" s="19">
        <v>4.9800000000000004</v>
      </c>
      <c r="J8042" s="19">
        <v>4.62</v>
      </c>
      <c r="K8042" s="19" t="s">
        <v>124</v>
      </c>
      <c r="L8042" s="19" t="s">
        <v>164</v>
      </c>
      <c r="M8042" s="15" t="s">
        <v>2368</v>
      </c>
      <c r="N8042" s="15" t="s">
        <v>64</v>
      </c>
      <c r="O8042" s="15" t="s">
        <v>72</v>
      </c>
      <c r="P8042" s="20" t="s">
        <v>1201</v>
      </c>
      <c r="Q8042" s="15" t="s">
        <v>49</v>
      </c>
      <c r="R8042" s="4"/>
      <c r="S8042" s="4"/>
    </row>
    <row r="8043" spans="1:19" ht="21" customHeight="1" x14ac:dyDescent="0.25">
      <c r="A8043" s="14">
        <f>DATE(2012,12,31)-538</f>
        <v>40736</v>
      </c>
      <c r="B8043" s="15" t="s">
        <v>616</v>
      </c>
      <c r="C8043" s="15" t="s">
        <v>85</v>
      </c>
      <c r="D8043" s="16">
        <v>9</v>
      </c>
      <c r="E8043" s="17">
        <v>75.28</v>
      </c>
      <c r="F8043" s="16">
        <v>0</v>
      </c>
      <c r="G8043" s="15" t="s">
        <v>32</v>
      </c>
      <c r="H8043" s="18">
        <v>-17.22</v>
      </c>
      <c r="I8043" s="19">
        <v>7.64</v>
      </c>
      <c r="J8043" s="19">
        <v>5.83</v>
      </c>
      <c r="K8043" s="19" t="s">
        <v>124</v>
      </c>
      <c r="L8043" s="19" t="s">
        <v>319</v>
      </c>
      <c r="M8043" s="15" t="s">
        <v>2375</v>
      </c>
      <c r="N8043" s="15" t="s">
        <v>36</v>
      </c>
      <c r="O8043" s="15" t="s">
        <v>117</v>
      </c>
      <c r="P8043" s="20" t="s">
        <v>385</v>
      </c>
      <c r="Q8043" s="15" t="s">
        <v>79</v>
      </c>
      <c r="R8043" s="4"/>
      <c r="S8043" s="4"/>
    </row>
    <row r="8044" spans="1:19" ht="21" customHeight="1" x14ac:dyDescent="0.25">
      <c r="A8044" s="14">
        <f>DATE(2012,12,31)-161</f>
        <v>41113</v>
      </c>
      <c r="B8044" s="15" t="s">
        <v>616</v>
      </c>
      <c r="C8044" s="15" t="s">
        <v>85</v>
      </c>
      <c r="D8044" s="16">
        <v>20</v>
      </c>
      <c r="E8044" s="17">
        <v>466.36</v>
      </c>
      <c r="F8044" s="16">
        <v>7.0000000000000007E-2</v>
      </c>
      <c r="G8044" s="15" t="s">
        <v>58</v>
      </c>
      <c r="H8044" s="18">
        <v>-192.7</v>
      </c>
      <c r="I8044" s="19">
        <v>23.99</v>
      </c>
      <c r="J8044" s="19">
        <v>15.68</v>
      </c>
      <c r="K8044" s="19" t="s">
        <v>124</v>
      </c>
      <c r="L8044" s="19" t="s">
        <v>164</v>
      </c>
      <c r="M8044" s="15" t="s">
        <v>2368</v>
      </c>
      <c r="N8044" s="15" t="s">
        <v>54</v>
      </c>
      <c r="O8044" s="15" t="s">
        <v>55</v>
      </c>
      <c r="P8044" s="20" t="s">
        <v>1346</v>
      </c>
      <c r="Q8044" s="15" t="s">
        <v>181</v>
      </c>
      <c r="R8044" s="4"/>
      <c r="S8044" s="4"/>
    </row>
    <row r="8045" spans="1:19" ht="21" customHeight="1" x14ac:dyDescent="0.25">
      <c r="A8045" s="14">
        <f>DATE(2012,12,31)-50</f>
        <v>41224</v>
      </c>
      <c r="B8045" s="15" t="s">
        <v>233</v>
      </c>
      <c r="C8045" s="15" t="s">
        <v>85</v>
      </c>
      <c r="D8045" s="16">
        <v>32</v>
      </c>
      <c r="E8045" s="17">
        <v>1882.12</v>
      </c>
      <c r="F8045" s="16">
        <v>0.05</v>
      </c>
      <c r="G8045" s="15" t="s">
        <v>32</v>
      </c>
      <c r="H8045" s="18">
        <v>584.14549999999997</v>
      </c>
      <c r="I8045" s="19">
        <v>59.78</v>
      </c>
      <c r="J8045" s="19">
        <v>10.29</v>
      </c>
      <c r="K8045" s="19" t="s">
        <v>124</v>
      </c>
      <c r="L8045" s="19" t="s">
        <v>168</v>
      </c>
      <c r="M8045" s="15" t="s">
        <v>2362</v>
      </c>
      <c r="N8045" s="15" t="s">
        <v>36</v>
      </c>
      <c r="O8045" s="15" t="s">
        <v>170</v>
      </c>
      <c r="P8045" s="20" t="s">
        <v>1284</v>
      </c>
      <c r="Q8045" s="15" t="s">
        <v>83</v>
      </c>
      <c r="R8045" s="4"/>
      <c r="S8045" s="4"/>
    </row>
    <row r="8046" spans="1:19" ht="21" customHeight="1" x14ac:dyDescent="0.25">
      <c r="A8046" s="14">
        <f>DATE(2012,12,31)-50</f>
        <v>41224</v>
      </c>
      <c r="B8046" s="15" t="s">
        <v>233</v>
      </c>
      <c r="C8046" s="15" t="s">
        <v>85</v>
      </c>
      <c r="D8046" s="16">
        <v>44</v>
      </c>
      <c r="E8046" s="17">
        <v>186.94</v>
      </c>
      <c r="F8046" s="16">
        <v>0.05</v>
      </c>
      <c r="G8046" s="15" t="s">
        <v>32</v>
      </c>
      <c r="H8046" s="18">
        <v>85.81</v>
      </c>
      <c r="I8046" s="19">
        <v>4.13</v>
      </c>
      <c r="J8046" s="19">
        <v>0.5</v>
      </c>
      <c r="K8046" s="19" t="s">
        <v>124</v>
      </c>
      <c r="L8046" s="19" t="s">
        <v>319</v>
      </c>
      <c r="M8046" s="15" t="s">
        <v>2375</v>
      </c>
      <c r="N8046" s="15" t="s">
        <v>36</v>
      </c>
      <c r="O8046" s="15" t="s">
        <v>114</v>
      </c>
      <c r="P8046" s="20" t="s">
        <v>479</v>
      </c>
      <c r="Q8046" s="15" t="s">
        <v>83</v>
      </c>
      <c r="R8046" s="4"/>
      <c r="S8046" s="4"/>
    </row>
    <row r="8047" spans="1:19" ht="21" customHeight="1" x14ac:dyDescent="0.25">
      <c r="A8047" s="14">
        <f>DATE(2012,12,31)-50</f>
        <v>41224</v>
      </c>
      <c r="B8047" s="15" t="s">
        <v>233</v>
      </c>
      <c r="C8047" s="15" t="s">
        <v>85</v>
      </c>
      <c r="D8047" s="16">
        <v>12</v>
      </c>
      <c r="E8047" s="17">
        <v>407.2</v>
      </c>
      <c r="F8047" s="16">
        <v>0.01</v>
      </c>
      <c r="G8047" s="15" t="s">
        <v>32</v>
      </c>
      <c r="H8047" s="18">
        <v>-8.42</v>
      </c>
      <c r="I8047" s="19">
        <v>30.98</v>
      </c>
      <c r="J8047" s="19">
        <v>17.079999999999998</v>
      </c>
      <c r="K8047" s="19" t="s">
        <v>124</v>
      </c>
      <c r="L8047" s="19" t="s">
        <v>168</v>
      </c>
      <c r="M8047" s="15" t="s">
        <v>2362</v>
      </c>
      <c r="N8047" s="15" t="s">
        <v>36</v>
      </c>
      <c r="O8047" s="15" t="s">
        <v>117</v>
      </c>
      <c r="P8047" s="20" t="s">
        <v>182</v>
      </c>
      <c r="Q8047" s="15" t="s">
        <v>83</v>
      </c>
      <c r="R8047" s="4"/>
      <c r="S8047" s="4"/>
    </row>
    <row r="8048" spans="1:19" ht="21" customHeight="1" x14ac:dyDescent="0.25">
      <c r="A8048" s="14">
        <f>DATE(2012,12,31)-228</f>
        <v>41046</v>
      </c>
      <c r="B8048" s="15" t="s">
        <v>233</v>
      </c>
      <c r="C8048" s="15" t="s">
        <v>31</v>
      </c>
      <c r="D8048" s="16">
        <v>43</v>
      </c>
      <c r="E8048" s="17">
        <v>130.36000000000001</v>
      </c>
      <c r="F8048" s="16">
        <v>0.02</v>
      </c>
      <c r="G8048" s="15" t="s">
        <v>32</v>
      </c>
      <c r="H8048" s="18">
        <v>58.52</v>
      </c>
      <c r="I8048" s="19">
        <v>2.88</v>
      </c>
      <c r="J8048" s="19">
        <v>0.5</v>
      </c>
      <c r="K8048" s="19" t="s">
        <v>124</v>
      </c>
      <c r="L8048" s="19" t="s">
        <v>168</v>
      </c>
      <c r="M8048" s="15" t="s">
        <v>2362</v>
      </c>
      <c r="N8048" s="15" t="s">
        <v>36</v>
      </c>
      <c r="O8048" s="15" t="s">
        <v>114</v>
      </c>
      <c r="P8048" s="20" t="s">
        <v>745</v>
      </c>
      <c r="Q8048" s="15" t="s">
        <v>83</v>
      </c>
      <c r="R8048" s="4"/>
      <c r="S8048" s="4"/>
    </row>
    <row r="8049" spans="1:19" ht="21" customHeight="1" x14ac:dyDescent="0.25">
      <c r="A8049" s="14">
        <f>DATE(2012,12,31)-1093</f>
        <v>40181</v>
      </c>
      <c r="B8049" s="15" t="s">
        <v>1003</v>
      </c>
      <c r="C8049" s="15" t="s">
        <v>43</v>
      </c>
      <c r="D8049" s="16">
        <v>37</v>
      </c>
      <c r="E8049" s="17">
        <v>294.48</v>
      </c>
      <c r="F8049" s="16">
        <v>0.08</v>
      </c>
      <c r="G8049" s="15" t="s">
        <v>32</v>
      </c>
      <c r="H8049" s="18">
        <v>-64.239999999999995</v>
      </c>
      <c r="I8049" s="19">
        <v>8.4600000000000009</v>
      </c>
      <c r="J8049" s="19">
        <v>3.62</v>
      </c>
      <c r="K8049" s="19" t="s">
        <v>124</v>
      </c>
      <c r="L8049" s="19" t="s">
        <v>158</v>
      </c>
      <c r="M8049" s="15" t="s">
        <v>158</v>
      </c>
      <c r="N8049" s="15" t="s">
        <v>64</v>
      </c>
      <c r="O8049" s="15" t="s">
        <v>72</v>
      </c>
      <c r="P8049" s="20" t="s">
        <v>363</v>
      </c>
      <c r="Q8049" s="15" t="s">
        <v>49</v>
      </c>
      <c r="R8049" s="4"/>
      <c r="S8049" s="4"/>
    </row>
    <row r="8050" spans="1:19" ht="21" customHeight="1" x14ac:dyDescent="0.25">
      <c r="A8050" s="14">
        <f>DATE(2012,12,31)-694</f>
        <v>40580</v>
      </c>
      <c r="B8050" s="15" t="s">
        <v>1003</v>
      </c>
      <c r="C8050" s="15" t="s">
        <v>51</v>
      </c>
      <c r="D8050" s="16">
        <v>12</v>
      </c>
      <c r="E8050" s="17">
        <v>351.12</v>
      </c>
      <c r="F8050" s="16">
        <v>0.09</v>
      </c>
      <c r="G8050" s="15" t="s">
        <v>101</v>
      </c>
      <c r="H8050" s="18">
        <v>202.63</v>
      </c>
      <c r="I8050" s="19">
        <v>30.93</v>
      </c>
      <c r="J8050" s="19">
        <v>3.92</v>
      </c>
      <c r="K8050" s="19" t="s">
        <v>44</v>
      </c>
      <c r="L8050" s="19" t="s">
        <v>52</v>
      </c>
      <c r="M8050" s="15" t="s">
        <v>2369</v>
      </c>
      <c r="N8050" s="15" t="s">
        <v>54</v>
      </c>
      <c r="O8050" s="15" t="s">
        <v>55</v>
      </c>
      <c r="P8050" s="20" t="s">
        <v>948</v>
      </c>
      <c r="Q8050" s="15" t="s">
        <v>49</v>
      </c>
      <c r="R8050" s="4"/>
      <c r="S8050" s="4"/>
    </row>
    <row r="8051" spans="1:19" ht="21" customHeight="1" x14ac:dyDescent="0.25">
      <c r="A8051" s="14">
        <f>DATE(2012,12,31)-253</f>
        <v>41021</v>
      </c>
      <c r="B8051" s="15" t="s">
        <v>394</v>
      </c>
      <c r="C8051" s="15" t="s">
        <v>31</v>
      </c>
      <c r="D8051" s="16">
        <v>35</v>
      </c>
      <c r="E8051" s="17">
        <v>5740.6239999999998</v>
      </c>
      <c r="F8051" s="16">
        <v>0.09</v>
      </c>
      <c r="G8051" s="15" t="s">
        <v>58</v>
      </c>
      <c r="H8051" s="18">
        <v>-526.47809500000005</v>
      </c>
      <c r="I8051" s="19">
        <v>217.85</v>
      </c>
      <c r="J8051" s="19">
        <v>29.1</v>
      </c>
      <c r="K8051" s="19" t="s">
        <v>44</v>
      </c>
      <c r="L8051" s="19" t="s">
        <v>52</v>
      </c>
      <c r="M8051" s="15" t="s">
        <v>2369</v>
      </c>
      <c r="N8051" s="15" t="s">
        <v>54</v>
      </c>
      <c r="O8051" s="15" t="s">
        <v>61</v>
      </c>
      <c r="P8051" s="20" t="s">
        <v>972</v>
      </c>
      <c r="Q8051" s="15" t="s">
        <v>63</v>
      </c>
      <c r="R8051" s="4"/>
      <c r="S8051" s="4"/>
    </row>
    <row r="8052" spans="1:19" ht="21" customHeight="1" x14ac:dyDescent="0.25">
      <c r="A8052" s="14">
        <f>DATE(2012,12,31)-253</f>
        <v>41021</v>
      </c>
      <c r="B8052" s="15" t="s">
        <v>394</v>
      </c>
      <c r="C8052" s="15" t="s">
        <v>31</v>
      </c>
      <c r="D8052" s="16">
        <v>49</v>
      </c>
      <c r="E8052" s="17">
        <v>570.42999999999995</v>
      </c>
      <c r="F8052" s="16">
        <v>7.0000000000000007E-2</v>
      </c>
      <c r="G8052" s="15" t="s">
        <v>32</v>
      </c>
      <c r="H8052" s="18">
        <v>78.89</v>
      </c>
      <c r="I8052" s="19">
        <v>11.48</v>
      </c>
      <c r="J8052" s="19">
        <v>5.43</v>
      </c>
      <c r="K8052" s="19" t="s">
        <v>44</v>
      </c>
      <c r="L8052" s="19" t="s">
        <v>52</v>
      </c>
      <c r="M8052" s="15" t="s">
        <v>2369</v>
      </c>
      <c r="N8052" s="15" t="s">
        <v>36</v>
      </c>
      <c r="O8052" s="15" t="s">
        <v>117</v>
      </c>
      <c r="P8052" s="20" t="s">
        <v>2066</v>
      </c>
      <c r="Q8052" s="15" t="s">
        <v>83</v>
      </c>
      <c r="R8052" s="4"/>
      <c r="S8052" s="4"/>
    </row>
    <row r="8053" spans="1:19" ht="21" customHeight="1" x14ac:dyDescent="0.25">
      <c r="A8053" s="14">
        <f>DATE(2012,12,31)-253</f>
        <v>41021</v>
      </c>
      <c r="B8053" s="15" t="s">
        <v>2176</v>
      </c>
      <c r="C8053" s="15" t="s">
        <v>31</v>
      </c>
      <c r="D8053" s="16">
        <v>49</v>
      </c>
      <c r="E8053" s="17">
        <v>100.08</v>
      </c>
      <c r="F8053" s="16">
        <v>0.08</v>
      </c>
      <c r="G8053" s="15" t="s">
        <v>32</v>
      </c>
      <c r="H8053" s="18">
        <v>-85.58</v>
      </c>
      <c r="I8053" s="19">
        <v>2.08</v>
      </c>
      <c r="J8053" s="19">
        <v>2.56</v>
      </c>
      <c r="K8053" s="19" t="s">
        <v>124</v>
      </c>
      <c r="L8053" s="19" t="s">
        <v>319</v>
      </c>
      <c r="M8053" s="15" t="s">
        <v>2375</v>
      </c>
      <c r="N8053" s="15" t="s">
        <v>36</v>
      </c>
      <c r="O8053" s="15" t="s">
        <v>47</v>
      </c>
      <c r="P8053" s="20" t="s">
        <v>2272</v>
      </c>
      <c r="Q8053" s="15" t="s">
        <v>49</v>
      </c>
      <c r="R8053" s="4"/>
      <c r="S8053" s="4"/>
    </row>
    <row r="8054" spans="1:19" ht="21" customHeight="1" x14ac:dyDescent="0.25">
      <c r="A8054" s="14">
        <f>DATE(2012,12,31)-894</f>
        <v>40380</v>
      </c>
      <c r="B8054" s="15" t="s">
        <v>1926</v>
      </c>
      <c r="C8054" s="15" t="s">
        <v>85</v>
      </c>
      <c r="D8054" s="16">
        <v>24</v>
      </c>
      <c r="E8054" s="17">
        <v>2239.52</v>
      </c>
      <c r="F8054" s="16">
        <v>0.04</v>
      </c>
      <c r="G8054" s="15" t="s">
        <v>32</v>
      </c>
      <c r="H8054" s="18">
        <v>330.5</v>
      </c>
      <c r="I8054" s="19">
        <v>95.46</v>
      </c>
      <c r="J8054" s="19">
        <v>18.13</v>
      </c>
      <c r="K8054" s="19" t="s">
        <v>124</v>
      </c>
      <c r="L8054" s="19" t="s">
        <v>164</v>
      </c>
      <c r="M8054" s="15" t="s">
        <v>2368</v>
      </c>
      <c r="N8054" s="15" t="s">
        <v>54</v>
      </c>
      <c r="O8054" s="15" t="s">
        <v>55</v>
      </c>
      <c r="P8054" s="20" t="s">
        <v>1666</v>
      </c>
      <c r="Q8054" s="15" t="s">
        <v>39</v>
      </c>
      <c r="R8054" s="4"/>
      <c r="S8054" s="4"/>
    </row>
    <row r="8055" spans="1:19" ht="21" customHeight="1" x14ac:dyDescent="0.25">
      <c r="A8055" s="14">
        <f>DATE(2012,12,31)-1319</f>
        <v>39955</v>
      </c>
      <c r="B8055" s="15" t="s">
        <v>606</v>
      </c>
      <c r="C8055" s="15" t="s">
        <v>43</v>
      </c>
      <c r="D8055" s="16">
        <v>45</v>
      </c>
      <c r="E8055" s="17">
        <v>1206.1500000000001</v>
      </c>
      <c r="F8055" s="16">
        <v>0.03</v>
      </c>
      <c r="G8055" s="15" t="s">
        <v>32</v>
      </c>
      <c r="H8055" s="18">
        <v>304.2</v>
      </c>
      <c r="I8055" s="19">
        <v>25.98</v>
      </c>
      <c r="J8055" s="19">
        <v>4.08</v>
      </c>
      <c r="K8055" s="19" t="s">
        <v>44</v>
      </c>
      <c r="L8055" s="19" t="s">
        <v>52</v>
      </c>
      <c r="M8055" s="15" t="s">
        <v>2369</v>
      </c>
      <c r="N8055" s="15" t="s">
        <v>36</v>
      </c>
      <c r="O8055" s="15" t="s">
        <v>77</v>
      </c>
      <c r="P8055" s="20" t="s">
        <v>1717</v>
      </c>
      <c r="Q8055" s="15" t="s">
        <v>49</v>
      </c>
      <c r="R8055" s="4"/>
      <c r="S8055" s="4"/>
    </row>
    <row r="8056" spans="1:19" ht="21" customHeight="1" x14ac:dyDescent="0.25">
      <c r="A8056" s="14">
        <f>DATE(2012,12,31)-1319</f>
        <v>39955</v>
      </c>
      <c r="B8056" s="15" t="s">
        <v>318</v>
      </c>
      <c r="C8056" s="15" t="s">
        <v>43</v>
      </c>
      <c r="D8056" s="16">
        <v>44</v>
      </c>
      <c r="E8056" s="17">
        <v>941.99</v>
      </c>
      <c r="F8056" s="16">
        <v>0.1</v>
      </c>
      <c r="G8056" s="15" t="s">
        <v>58</v>
      </c>
      <c r="H8056" s="18">
        <v>-2111.36</v>
      </c>
      <c r="I8056" s="19">
        <v>20.98</v>
      </c>
      <c r="J8056" s="19">
        <v>53.03</v>
      </c>
      <c r="K8056" s="19" t="s">
        <v>44</v>
      </c>
      <c r="L8056" s="19" t="s">
        <v>52</v>
      </c>
      <c r="M8056" s="15" t="s">
        <v>2369</v>
      </c>
      <c r="N8056" s="15" t="s">
        <v>36</v>
      </c>
      <c r="O8056" s="15" t="s">
        <v>37</v>
      </c>
      <c r="P8056" s="20" t="s">
        <v>1606</v>
      </c>
      <c r="Q8056" s="15" t="s">
        <v>181</v>
      </c>
      <c r="R8056" s="4"/>
      <c r="S8056" s="4"/>
    </row>
    <row r="8057" spans="1:19" ht="21" customHeight="1" x14ac:dyDescent="0.25">
      <c r="A8057" s="14">
        <f>DATE(2012,12,31)-876</f>
        <v>40398</v>
      </c>
      <c r="B8057" s="15" t="s">
        <v>185</v>
      </c>
      <c r="C8057" s="15" t="s">
        <v>85</v>
      </c>
      <c r="D8057" s="16">
        <v>41</v>
      </c>
      <c r="E8057" s="17">
        <v>1803.12</v>
      </c>
      <c r="F8057" s="16">
        <v>0</v>
      </c>
      <c r="G8057" s="15" t="s">
        <v>32</v>
      </c>
      <c r="H8057" s="18">
        <v>544.92999999999995</v>
      </c>
      <c r="I8057" s="19">
        <v>40.98</v>
      </c>
      <c r="J8057" s="19">
        <v>5.33</v>
      </c>
      <c r="K8057" s="19" t="s">
        <v>44</v>
      </c>
      <c r="L8057" s="19" t="s">
        <v>52</v>
      </c>
      <c r="M8057" s="15" t="s">
        <v>2369</v>
      </c>
      <c r="N8057" s="15" t="s">
        <v>36</v>
      </c>
      <c r="O8057" s="15" t="s">
        <v>176</v>
      </c>
      <c r="P8057" s="20" t="s">
        <v>1304</v>
      </c>
      <c r="Q8057" s="15" t="s">
        <v>83</v>
      </c>
      <c r="R8057" s="4"/>
      <c r="S8057" s="4"/>
    </row>
    <row r="8058" spans="1:19" ht="21" customHeight="1" x14ac:dyDescent="0.25">
      <c r="A8058" s="14">
        <f>DATE(2012,12,31)-54</f>
        <v>41220</v>
      </c>
      <c r="B8058" s="15" t="s">
        <v>327</v>
      </c>
      <c r="C8058" s="15" t="s">
        <v>43</v>
      </c>
      <c r="D8058" s="16">
        <v>6</v>
      </c>
      <c r="E8058" s="17">
        <v>22.78</v>
      </c>
      <c r="F8058" s="16">
        <v>0.01</v>
      </c>
      <c r="G8058" s="15" t="s">
        <v>32</v>
      </c>
      <c r="H8058" s="18">
        <v>3.96</v>
      </c>
      <c r="I8058" s="19">
        <v>3.75</v>
      </c>
      <c r="J8058" s="19">
        <v>0.5</v>
      </c>
      <c r="K8058" s="19" t="s">
        <v>44</v>
      </c>
      <c r="L8058" s="19" t="s">
        <v>52</v>
      </c>
      <c r="M8058" s="15" t="s">
        <v>2369</v>
      </c>
      <c r="N8058" s="15" t="s">
        <v>36</v>
      </c>
      <c r="O8058" s="15" t="s">
        <v>114</v>
      </c>
      <c r="P8058" s="20" t="s">
        <v>400</v>
      </c>
      <c r="Q8058" s="15" t="s">
        <v>83</v>
      </c>
      <c r="R8058" s="4"/>
      <c r="S8058" s="4"/>
    </row>
    <row r="8059" spans="1:19" ht="21" customHeight="1" x14ac:dyDescent="0.25">
      <c r="A8059" s="14">
        <f>DATE(2012,12,31)-360</f>
        <v>40914</v>
      </c>
      <c r="B8059" s="15" t="s">
        <v>327</v>
      </c>
      <c r="C8059" s="15" t="s">
        <v>85</v>
      </c>
      <c r="D8059" s="16">
        <v>10</v>
      </c>
      <c r="E8059" s="17">
        <v>86</v>
      </c>
      <c r="F8059" s="16">
        <v>0.05</v>
      </c>
      <c r="G8059" s="15" t="s">
        <v>32</v>
      </c>
      <c r="H8059" s="18">
        <v>-66.91</v>
      </c>
      <c r="I8059" s="19">
        <v>7.77</v>
      </c>
      <c r="J8059" s="19">
        <v>9.23</v>
      </c>
      <c r="K8059" s="19" t="s">
        <v>44</v>
      </c>
      <c r="L8059" s="19" t="s">
        <v>236</v>
      </c>
      <c r="M8059" s="15" t="s">
        <v>2361</v>
      </c>
      <c r="N8059" s="15" t="s">
        <v>36</v>
      </c>
      <c r="O8059" s="15" t="s">
        <v>176</v>
      </c>
      <c r="P8059" s="20" t="s">
        <v>1293</v>
      </c>
      <c r="Q8059" s="15" t="s">
        <v>83</v>
      </c>
      <c r="R8059" s="4"/>
      <c r="S8059" s="4"/>
    </row>
    <row r="8060" spans="1:19" ht="21" customHeight="1" x14ac:dyDescent="0.25">
      <c r="A8060" s="14">
        <f>DATE(2012,12,31)-360</f>
        <v>40914</v>
      </c>
      <c r="B8060" s="15" t="s">
        <v>767</v>
      </c>
      <c r="C8060" s="15" t="s">
        <v>85</v>
      </c>
      <c r="D8060" s="16">
        <v>13</v>
      </c>
      <c r="E8060" s="17">
        <v>4805.3599999999997</v>
      </c>
      <c r="F8060" s="16">
        <v>0.04</v>
      </c>
      <c r="G8060" s="15" t="s">
        <v>32</v>
      </c>
      <c r="H8060" s="18">
        <v>1127.31</v>
      </c>
      <c r="I8060" s="19">
        <v>363.25</v>
      </c>
      <c r="J8060" s="19">
        <v>19.989999999999998</v>
      </c>
      <c r="K8060" s="19" t="s">
        <v>44</v>
      </c>
      <c r="L8060" s="19" t="s">
        <v>80</v>
      </c>
      <c r="M8060" s="15" t="s">
        <v>2339</v>
      </c>
      <c r="N8060" s="15" t="s">
        <v>36</v>
      </c>
      <c r="O8060" s="15" t="s">
        <v>176</v>
      </c>
      <c r="P8060" s="20" t="s">
        <v>1307</v>
      </c>
      <c r="Q8060" s="15" t="s">
        <v>83</v>
      </c>
      <c r="R8060" s="4"/>
      <c r="S8060" s="4"/>
    </row>
    <row r="8061" spans="1:19" ht="21" customHeight="1" x14ac:dyDescent="0.25">
      <c r="A8061" s="14">
        <f>DATE(2012,12,31)-51</f>
        <v>41223</v>
      </c>
      <c r="B8061" s="15" t="s">
        <v>1808</v>
      </c>
      <c r="C8061" s="15" t="s">
        <v>31</v>
      </c>
      <c r="D8061" s="16">
        <v>47</v>
      </c>
      <c r="E8061" s="17">
        <v>1857.88</v>
      </c>
      <c r="F8061" s="16">
        <v>0.09</v>
      </c>
      <c r="G8061" s="15" t="s">
        <v>32</v>
      </c>
      <c r="H8061" s="18">
        <v>752.96</v>
      </c>
      <c r="I8061" s="19">
        <v>40.98</v>
      </c>
      <c r="J8061" s="19">
        <v>1.99</v>
      </c>
      <c r="K8061" s="19" t="s">
        <v>44</v>
      </c>
      <c r="L8061" s="19" t="s">
        <v>52</v>
      </c>
      <c r="M8061" s="15" t="s">
        <v>2369</v>
      </c>
      <c r="N8061" s="15" t="s">
        <v>64</v>
      </c>
      <c r="O8061" s="15" t="s">
        <v>72</v>
      </c>
      <c r="P8061" s="20" t="s">
        <v>115</v>
      </c>
      <c r="Q8061" s="15" t="s">
        <v>49</v>
      </c>
      <c r="R8061" s="4"/>
      <c r="S8061" s="4"/>
    </row>
    <row r="8062" spans="1:19" ht="21" customHeight="1" x14ac:dyDescent="0.25">
      <c r="A8062" s="14">
        <f>DATE(2012,12,31)-51</f>
        <v>41223</v>
      </c>
      <c r="B8062" s="15" t="s">
        <v>1808</v>
      </c>
      <c r="C8062" s="15" t="s">
        <v>31</v>
      </c>
      <c r="D8062" s="16">
        <v>36</v>
      </c>
      <c r="E8062" s="17">
        <v>2160.83</v>
      </c>
      <c r="F8062" s="16">
        <v>0.08</v>
      </c>
      <c r="G8062" s="15" t="s">
        <v>32</v>
      </c>
      <c r="H8062" s="18">
        <v>485.02</v>
      </c>
      <c r="I8062" s="19">
        <v>60.98</v>
      </c>
      <c r="J8062" s="19">
        <v>19.989999999999998</v>
      </c>
      <c r="K8062" s="19" t="s">
        <v>44</v>
      </c>
      <c r="L8062" s="19" t="s">
        <v>52</v>
      </c>
      <c r="M8062" s="15" t="s">
        <v>2369</v>
      </c>
      <c r="N8062" s="15" t="s">
        <v>36</v>
      </c>
      <c r="O8062" s="15" t="s">
        <v>189</v>
      </c>
      <c r="P8062" s="20" t="s">
        <v>975</v>
      </c>
      <c r="Q8062" s="15" t="s">
        <v>83</v>
      </c>
      <c r="R8062" s="4"/>
      <c r="S8062" s="4"/>
    </row>
    <row r="8063" spans="1:19" ht="21" customHeight="1" x14ac:dyDescent="0.25">
      <c r="A8063" s="14">
        <f>DATE(2012,12,31)-51</f>
        <v>41223</v>
      </c>
      <c r="B8063" s="15" t="s">
        <v>823</v>
      </c>
      <c r="C8063" s="15" t="s">
        <v>31</v>
      </c>
      <c r="D8063" s="16">
        <v>20</v>
      </c>
      <c r="E8063" s="17">
        <v>43.94</v>
      </c>
      <c r="F8063" s="16">
        <v>0.09</v>
      </c>
      <c r="G8063" s="15" t="s">
        <v>32</v>
      </c>
      <c r="H8063" s="18">
        <v>-72.23</v>
      </c>
      <c r="I8063" s="19">
        <v>2.08</v>
      </c>
      <c r="J8063" s="19">
        <v>5.33</v>
      </c>
      <c r="K8063" s="19" t="s">
        <v>44</v>
      </c>
      <c r="L8063" s="19" t="s">
        <v>236</v>
      </c>
      <c r="M8063" s="15" t="s">
        <v>2361</v>
      </c>
      <c r="N8063" s="15" t="s">
        <v>54</v>
      </c>
      <c r="O8063" s="15" t="s">
        <v>55</v>
      </c>
      <c r="P8063" s="20" t="s">
        <v>1305</v>
      </c>
      <c r="Q8063" s="15" t="s">
        <v>83</v>
      </c>
      <c r="R8063" s="4"/>
      <c r="S8063" s="4"/>
    </row>
    <row r="8064" spans="1:19" ht="21" customHeight="1" x14ac:dyDescent="0.25">
      <c r="A8064" s="14">
        <f>DATE(2012,12,31)-415</f>
        <v>40859</v>
      </c>
      <c r="B8064" s="15" t="s">
        <v>823</v>
      </c>
      <c r="C8064" s="15" t="s">
        <v>85</v>
      </c>
      <c r="D8064" s="16">
        <v>38</v>
      </c>
      <c r="E8064" s="17">
        <v>1806.43</v>
      </c>
      <c r="F8064" s="16">
        <v>0.04</v>
      </c>
      <c r="G8064" s="15" t="s">
        <v>32</v>
      </c>
      <c r="H8064" s="18">
        <v>134.85</v>
      </c>
      <c r="I8064" s="19">
        <v>47.98</v>
      </c>
      <c r="J8064" s="19">
        <v>3.61</v>
      </c>
      <c r="K8064" s="19" t="s">
        <v>44</v>
      </c>
      <c r="L8064" s="19" t="s">
        <v>52</v>
      </c>
      <c r="M8064" s="15" t="s">
        <v>2369</v>
      </c>
      <c r="N8064" s="15" t="s">
        <v>64</v>
      </c>
      <c r="O8064" s="15" t="s">
        <v>72</v>
      </c>
      <c r="P8064" s="20" t="s">
        <v>2047</v>
      </c>
      <c r="Q8064" s="15" t="s">
        <v>49</v>
      </c>
      <c r="R8064" s="4"/>
      <c r="S8064" s="4"/>
    </row>
    <row r="8065" spans="1:19" ht="21" customHeight="1" x14ac:dyDescent="0.25">
      <c r="A8065" s="14">
        <f>DATE(2012,12,31)-1202</f>
        <v>40072</v>
      </c>
      <c r="B8065" s="15" t="s">
        <v>823</v>
      </c>
      <c r="C8065" s="15" t="s">
        <v>51</v>
      </c>
      <c r="D8065" s="16">
        <v>26</v>
      </c>
      <c r="E8065" s="17">
        <v>110.14</v>
      </c>
      <c r="F8065" s="16">
        <v>0.05</v>
      </c>
      <c r="G8065" s="15" t="s">
        <v>32</v>
      </c>
      <c r="H8065" s="18">
        <v>-89.216999999999999</v>
      </c>
      <c r="I8065" s="19">
        <v>4.24</v>
      </c>
      <c r="J8065" s="19">
        <v>5.41</v>
      </c>
      <c r="K8065" s="19" t="s">
        <v>44</v>
      </c>
      <c r="L8065" s="19" t="s">
        <v>52</v>
      </c>
      <c r="M8065" s="15" t="s">
        <v>2369</v>
      </c>
      <c r="N8065" s="15" t="s">
        <v>36</v>
      </c>
      <c r="O8065" s="15" t="s">
        <v>170</v>
      </c>
      <c r="P8065" s="20" t="s">
        <v>1047</v>
      </c>
      <c r="Q8065" s="15" t="s">
        <v>83</v>
      </c>
      <c r="R8065" s="4"/>
      <c r="S8065" s="4"/>
    </row>
    <row r="8066" spans="1:19" ht="21" customHeight="1" x14ac:dyDescent="0.25">
      <c r="A8066" s="14">
        <f>DATE(2012,12,31)-1202</f>
        <v>40072</v>
      </c>
      <c r="B8066" s="15" t="s">
        <v>794</v>
      </c>
      <c r="C8066" s="15" t="s">
        <v>51</v>
      </c>
      <c r="D8066" s="16">
        <v>27</v>
      </c>
      <c r="E8066" s="17">
        <v>453.89</v>
      </c>
      <c r="F8066" s="16">
        <v>0.1</v>
      </c>
      <c r="G8066" s="15" t="s">
        <v>32</v>
      </c>
      <c r="H8066" s="18">
        <v>-75.06</v>
      </c>
      <c r="I8066" s="19">
        <v>16.98</v>
      </c>
      <c r="J8066" s="19">
        <v>12.39</v>
      </c>
      <c r="K8066" s="19" t="s">
        <v>44</v>
      </c>
      <c r="L8066" s="19" t="s">
        <v>52</v>
      </c>
      <c r="M8066" s="15" t="s">
        <v>2369</v>
      </c>
      <c r="N8066" s="15" t="s">
        <v>36</v>
      </c>
      <c r="O8066" s="15" t="s">
        <v>189</v>
      </c>
      <c r="P8066" s="20" t="s">
        <v>1238</v>
      </c>
      <c r="Q8066" s="15" t="s">
        <v>83</v>
      </c>
      <c r="R8066" s="4"/>
      <c r="S8066" s="4"/>
    </row>
    <row r="8067" spans="1:19" ht="21" customHeight="1" x14ac:dyDescent="0.25">
      <c r="A8067" s="14">
        <f>DATE(2012,12,31)-538</f>
        <v>40736</v>
      </c>
      <c r="B8067" s="15" t="s">
        <v>500</v>
      </c>
      <c r="C8067" s="15" t="s">
        <v>43</v>
      </c>
      <c r="D8067" s="16">
        <v>38</v>
      </c>
      <c r="E8067" s="17">
        <v>275.11</v>
      </c>
      <c r="F8067" s="16">
        <v>0.06</v>
      </c>
      <c r="G8067" s="15" t="s">
        <v>32</v>
      </c>
      <c r="H8067" s="18">
        <v>17.149999999999999</v>
      </c>
      <c r="I8067" s="19">
        <v>7.59</v>
      </c>
      <c r="J8067" s="19">
        <v>4</v>
      </c>
      <c r="K8067" s="19" t="s">
        <v>44</v>
      </c>
      <c r="L8067" s="19" t="s">
        <v>52</v>
      </c>
      <c r="M8067" s="15" t="s">
        <v>2369</v>
      </c>
      <c r="N8067" s="15" t="s">
        <v>54</v>
      </c>
      <c r="O8067" s="15" t="s">
        <v>55</v>
      </c>
      <c r="P8067" s="20" t="s">
        <v>1482</v>
      </c>
      <c r="Q8067" s="15" t="s">
        <v>79</v>
      </c>
      <c r="R8067" s="4"/>
      <c r="S8067" s="4"/>
    </row>
    <row r="8068" spans="1:19" ht="21" customHeight="1" x14ac:dyDescent="0.25">
      <c r="A8068" s="14">
        <f>DATE(2012,12,31)-538</f>
        <v>40736</v>
      </c>
      <c r="B8068" s="15" t="s">
        <v>386</v>
      </c>
      <c r="C8068" s="15" t="s">
        <v>43</v>
      </c>
      <c r="D8068" s="16">
        <v>34</v>
      </c>
      <c r="E8068" s="17">
        <v>102.34</v>
      </c>
      <c r="F8068" s="16">
        <v>0.01</v>
      </c>
      <c r="G8068" s="15" t="s">
        <v>32</v>
      </c>
      <c r="H8068" s="18">
        <v>-30.39</v>
      </c>
      <c r="I8068" s="19">
        <v>2.98</v>
      </c>
      <c r="J8068" s="19">
        <v>2.0299999999999998</v>
      </c>
      <c r="K8068" s="19" t="s">
        <v>44</v>
      </c>
      <c r="L8068" s="19" t="s">
        <v>52</v>
      </c>
      <c r="M8068" s="15" t="s">
        <v>2369</v>
      </c>
      <c r="N8068" s="15" t="s">
        <v>36</v>
      </c>
      <c r="O8068" s="15" t="s">
        <v>77</v>
      </c>
      <c r="P8068" s="20" t="s">
        <v>967</v>
      </c>
      <c r="Q8068" s="15" t="s">
        <v>79</v>
      </c>
      <c r="R8068" s="4"/>
      <c r="S8068" s="4"/>
    </row>
    <row r="8069" spans="1:19" ht="21" customHeight="1" x14ac:dyDescent="0.25">
      <c r="A8069" s="14">
        <f>DATE(2012,12,31)-976</f>
        <v>40298</v>
      </c>
      <c r="B8069" s="15" t="s">
        <v>2119</v>
      </c>
      <c r="C8069" s="15" t="s">
        <v>51</v>
      </c>
      <c r="D8069" s="16">
        <v>17</v>
      </c>
      <c r="E8069" s="17">
        <v>517.98</v>
      </c>
      <c r="F8069" s="16">
        <v>0.05</v>
      </c>
      <c r="G8069" s="15" t="s">
        <v>32</v>
      </c>
      <c r="H8069" s="18">
        <v>-85.32</v>
      </c>
      <c r="I8069" s="19">
        <v>30.53</v>
      </c>
      <c r="J8069" s="19">
        <v>19.989999999999998</v>
      </c>
      <c r="K8069" s="19" t="s">
        <v>44</v>
      </c>
      <c r="L8069" s="19" t="s">
        <v>80</v>
      </c>
      <c r="M8069" s="15" t="s">
        <v>2339</v>
      </c>
      <c r="N8069" s="15" t="s">
        <v>36</v>
      </c>
      <c r="O8069" s="15" t="s">
        <v>114</v>
      </c>
      <c r="P8069" s="20" t="s">
        <v>1236</v>
      </c>
      <c r="Q8069" s="15" t="s">
        <v>83</v>
      </c>
      <c r="R8069" s="4"/>
      <c r="S8069" s="4"/>
    </row>
    <row r="8070" spans="1:19" ht="21" customHeight="1" x14ac:dyDescent="0.25">
      <c r="A8070" s="14">
        <f>DATE(2012,12,31)-264</f>
        <v>41010</v>
      </c>
      <c r="B8070" s="15" t="s">
        <v>2119</v>
      </c>
      <c r="C8070" s="15" t="s">
        <v>85</v>
      </c>
      <c r="D8070" s="16">
        <v>34</v>
      </c>
      <c r="E8070" s="17">
        <v>3373.7094999999999</v>
      </c>
      <c r="F8070" s="16">
        <v>0.01</v>
      </c>
      <c r="G8070" s="15" t="s">
        <v>32</v>
      </c>
      <c r="H8070" s="18">
        <v>861.72299999999996</v>
      </c>
      <c r="I8070" s="19">
        <v>110.99</v>
      </c>
      <c r="J8070" s="19">
        <v>8.99</v>
      </c>
      <c r="K8070" s="19" t="s">
        <v>44</v>
      </c>
      <c r="L8070" s="19" t="s">
        <v>52</v>
      </c>
      <c r="M8070" s="15" t="s">
        <v>2369</v>
      </c>
      <c r="N8070" s="15" t="s">
        <v>64</v>
      </c>
      <c r="O8070" s="15" t="s">
        <v>65</v>
      </c>
      <c r="P8070" s="20" t="s">
        <v>891</v>
      </c>
      <c r="Q8070" s="15" t="s">
        <v>83</v>
      </c>
      <c r="R8070" s="4"/>
      <c r="S8070" s="4"/>
    </row>
    <row r="8071" spans="1:19" ht="21" customHeight="1" x14ac:dyDescent="0.25">
      <c r="A8071" s="14">
        <f>DATE(2012,12,31)-1254</f>
        <v>40020</v>
      </c>
      <c r="B8071" s="15" t="s">
        <v>104</v>
      </c>
      <c r="C8071" s="15" t="s">
        <v>31</v>
      </c>
      <c r="D8071" s="16">
        <v>16</v>
      </c>
      <c r="E8071" s="17">
        <v>88.84</v>
      </c>
      <c r="F8071" s="16">
        <v>0.02</v>
      </c>
      <c r="G8071" s="15" t="s">
        <v>32</v>
      </c>
      <c r="H8071" s="18">
        <v>-46.92</v>
      </c>
      <c r="I8071" s="19">
        <v>4.9800000000000004</v>
      </c>
      <c r="J8071" s="19">
        <v>6.07</v>
      </c>
      <c r="K8071" s="19" t="s">
        <v>44</v>
      </c>
      <c r="L8071" s="19" t="s">
        <v>52</v>
      </c>
      <c r="M8071" s="15" t="s">
        <v>2369</v>
      </c>
      <c r="N8071" s="15" t="s">
        <v>36</v>
      </c>
      <c r="O8071" s="15" t="s">
        <v>117</v>
      </c>
      <c r="P8071" s="20" t="s">
        <v>139</v>
      </c>
      <c r="Q8071" s="15" t="s">
        <v>83</v>
      </c>
      <c r="R8071" s="4"/>
      <c r="S8071" s="4"/>
    </row>
    <row r="8072" spans="1:19" ht="21" customHeight="1" x14ac:dyDescent="0.25">
      <c r="A8072" s="14">
        <f>DATE(2012,12,31)-107</f>
        <v>41167</v>
      </c>
      <c r="B8072" s="15" t="s">
        <v>104</v>
      </c>
      <c r="C8072" s="15" t="s">
        <v>51</v>
      </c>
      <c r="D8072" s="16">
        <v>20</v>
      </c>
      <c r="E8072" s="17">
        <v>3050.81</v>
      </c>
      <c r="F8072" s="16">
        <v>0.01</v>
      </c>
      <c r="G8072" s="15" t="s">
        <v>58</v>
      </c>
      <c r="H8072" s="18">
        <v>-124.04</v>
      </c>
      <c r="I8072" s="19">
        <v>140.97999999999999</v>
      </c>
      <c r="J8072" s="19">
        <v>36.090000000000003</v>
      </c>
      <c r="K8072" s="19" t="s">
        <v>44</v>
      </c>
      <c r="L8072" s="19" t="s">
        <v>52</v>
      </c>
      <c r="M8072" s="15" t="s">
        <v>2369</v>
      </c>
      <c r="N8072" s="15" t="s">
        <v>54</v>
      </c>
      <c r="O8072" s="15" t="s">
        <v>134</v>
      </c>
      <c r="P8072" s="20" t="s">
        <v>188</v>
      </c>
      <c r="Q8072" s="15" t="s">
        <v>63</v>
      </c>
      <c r="R8072" s="4"/>
      <c r="S8072" s="4"/>
    </row>
    <row r="8073" spans="1:19" ht="21" customHeight="1" x14ac:dyDescent="0.25">
      <c r="A8073" s="14">
        <f>DATE(2012,12,31)-488</f>
        <v>40786</v>
      </c>
      <c r="B8073" s="15" t="s">
        <v>1320</v>
      </c>
      <c r="C8073" s="15" t="s">
        <v>51</v>
      </c>
      <c r="D8073" s="16">
        <v>25</v>
      </c>
      <c r="E8073" s="17">
        <v>12343.07</v>
      </c>
      <c r="F8073" s="16">
        <v>0.02</v>
      </c>
      <c r="G8073" s="15" t="s">
        <v>58</v>
      </c>
      <c r="H8073" s="18">
        <v>3972.72</v>
      </c>
      <c r="I8073" s="19">
        <v>500.97</v>
      </c>
      <c r="J8073" s="19">
        <v>69.3</v>
      </c>
      <c r="K8073" s="19" t="s">
        <v>44</v>
      </c>
      <c r="L8073" s="19" t="s">
        <v>52</v>
      </c>
      <c r="M8073" s="15" t="s">
        <v>2369</v>
      </c>
      <c r="N8073" s="15" t="s">
        <v>64</v>
      </c>
      <c r="O8073" s="15" t="s">
        <v>122</v>
      </c>
      <c r="P8073" s="20" t="s">
        <v>1975</v>
      </c>
      <c r="Q8073" s="15" t="s">
        <v>181</v>
      </c>
      <c r="R8073" s="4"/>
      <c r="S8073" s="4"/>
    </row>
    <row r="8074" spans="1:19" ht="21" customHeight="1" x14ac:dyDescent="0.25">
      <c r="A8074" s="14">
        <f>DATE(2012,12,31)-1278</f>
        <v>39996</v>
      </c>
      <c r="B8074" s="15" t="s">
        <v>616</v>
      </c>
      <c r="C8074" s="15" t="s">
        <v>85</v>
      </c>
      <c r="D8074" s="16">
        <v>24</v>
      </c>
      <c r="E8074" s="17">
        <v>2453.3000000000002</v>
      </c>
      <c r="F8074" s="16">
        <v>0.05</v>
      </c>
      <c r="G8074" s="15" t="s">
        <v>58</v>
      </c>
      <c r="H8074" s="18">
        <v>-111.4</v>
      </c>
      <c r="I8074" s="19">
        <v>100.98</v>
      </c>
      <c r="J8074" s="19">
        <v>35.840000000000003</v>
      </c>
      <c r="K8074" s="19" t="s">
        <v>44</v>
      </c>
      <c r="L8074" s="19" t="s">
        <v>80</v>
      </c>
      <c r="M8074" s="15" t="s">
        <v>2339</v>
      </c>
      <c r="N8074" s="15" t="s">
        <v>54</v>
      </c>
      <c r="O8074" s="15" t="s">
        <v>134</v>
      </c>
      <c r="P8074" s="20" t="s">
        <v>1335</v>
      </c>
      <c r="Q8074" s="15" t="s">
        <v>63</v>
      </c>
      <c r="R8074" s="4"/>
      <c r="S8074" s="4"/>
    </row>
    <row r="8075" spans="1:19" ht="21" customHeight="1" x14ac:dyDescent="0.25">
      <c r="A8075" s="14">
        <f>DATE(2012,12,31)-1278</f>
        <v>39996</v>
      </c>
      <c r="B8075" s="15" t="s">
        <v>616</v>
      </c>
      <c r="C8075" s="15" t="s">
        <v>85</v>
      </c>
      <c r="D8075" s="16">
        <v>29</v>
      </c>
      <c r="E8075" s="17">
        <v>147.02000000000001</v>
      </c>
      <c r="F8075" s="16">
        <v>0.02</v>
      </c>
      <c r="G8075" s="15" t="s">
        <v>32</v>
      </c>
      <c r="H8075" s="18">
        <v>-77.03</v>
      </c>
      <c r="I8075" s="19">
        <v>4.9800000000000004</v>
      </c>
      <c r="J8075" s="19">
        <v>5.49</v>
      </c>
      <c r="K8075" s="19" t="s">
        <v>44</v>
      </c>
      <c r="L8075" s="19" t="s">
        <v>52</v>
      </c>
      <c r="M8075" s="15" t="s">
        <v>2369</v>
      </c>
      <c r="N8075" s="15" t="s">
        <v>36</v>
      </c>
      <c r="O8075" s="15" t="s">
        <v>117</v>
      </c>
      <c r="P8075" s="20" t="s">
        <v>653</v>
      </c>
      <c r="Q8075" s="15" t="s">
        <v>83</v>
      </c>
      <c r="R8075" s="4"/>
      <c r="S8075" s="4"/>
    </row>
    <row r="8076" spans="1:19" ht="21" customHeight="1" x14ac:dyDescent="0.25">
      <c r="A8076" s="14">
        <f>DATE(2012,12,31)-1418</f>
        <v>39856</v>
      </c>
      <c r="B8076" s="15" t="s">
        <v>616</v>
      </c>
      <c r="C8076" s="15" t="s">
        <v>85</v>
      </c>
      <c r="D8076" s="16">
        <v>17</v>
      </c>
      <c r="E8076" s="17">
        <v>127.45</v>
      </c>
      <c r="F8076" s="16">
        <v>0.06</v>
      </c>
      <c r="G8076" s="15" t="s">
        <v>32</v>
      </c>
      <c r="H8076" s="18">
        <v>-42.170500000000004</v>
      </c>
      <c r="I8076" s="19">
        <v>7.1</v>
      </c>
      <c r="J8076" s="19">
        <v>6.05</v>
      </c>
      <c r="K8076" s="19" t="s">
        <v>44</v>
      </c>
      <c r="L8076" s="19" t="s">
        <v>52</v>
      </c>
      <c r="M8076" s="15" t="s">
        <v>2369</v>
      </c>
      <c r="N8076" s="15" t="s">
        <v>36</v>
      </c>
      <c r="O8076" s="15" t="s">
        <v>170</v>
      </c>
      <c r="P8076" s="20" t="s">
        <v>1867</v>
      </c>
      <c r="Q8076" s="15" t="s">
        <v>83</v>
      </c>
      <c r="R8076" s="4"/>
      <c r="S8076" s="4"/>
    </row>
    <row r="8077" spans="1:19" ht="21" customHeight="1" x14ac:dyDescent="0.25">
      <c r="A8077" s="14">
        <f>DATE(2012,12,31)-1418</f>
        <v>39856</v>
      </c>
      <c r="B8077" s="15" t="s">
        <v>2133</v>
      </c>
      <c r="C8077" s="15" t="s">
        <v>85</v>
      </c>
      <c r="D8077" s="16">
        <v>31</v>
      </c>
      <c r="E8077" s="17">
        <v>92.18</v>
      </c>
      <c r="F8077" s="16">
        <v>0.02</v>
      </c>
      <c r="G8077" s="15" t="s">
        <v>32</v>
      </c>
      <c r="H8077" s="18">
        <v>5.7</v>
      </c>
      <c r="I8077" s="19">
        <v>2.78</v>
      </c>
      <c r="J8077" s="19">
        <v>0.97</v>
      </c>
      <c r="K8077" s="19" t="s">
        <v>44</v>
      </c>
      <c r="L8077" s="19" t="s">
        <v>236</v>
      </c>
      <c r="M8077" s="15" t="s">
        <v>2361</v>
      </c>
      <c r="N8077" s="15" t="s">
        <v>36</v>
      </c>
      <c r="O8077" s="15" t="s">
        <v>77</v>
      </c>
      <c r="P8077" s="20" t="s">
        <v>2195</v>
      </c>
      <c r="Q8077" s="15" t="s">
        <v>79</v>
      </c>
      <c r="R8077" s="4"/>
      <c r="S8077" s="4"/>
    </row>
    <row r="8078" spans="1:19" ht="21" customHeight="1" x14ac:dyDescent="0.25">
      <c r="A8078" s="14">
        <f>DATE(2012,12,31)-975</f>
        <v>40299</v>
      </c>
      <c r="B8078" s="15" t="s">
        <v>1282</v>
      </c>
      <c r="C8078" s="15" t="s">
        <v>51</v>
      </c>
      <c r="D8078" s="16">
        <v>18</v>
      </c>
      <c r="E8078" s="17">
        <v>314.95999999999998</v>
      </c>
      <c r="F8078" s="16">
        <v>0.1</v>
      </c>
      <c r="G8078" s="15" t="s">
        <v>32</v>
      </c>
      <c r="H8078" s="18">
        <v>153.47999999999999</v>
      </c>
      <c r="I8078" s="19">
        <v>18.649999999999999</v>
      </c>
      <c r="J8078" s="19">
        <v>3.77</v>
      </c>
      <c r="K8078" s="19" t="s">
        <v>69</v>
      </c>
      <c r="L8078" s="19" t="s">
        <v>70</v>
      </c>
      <c r="M8078" s="15" t="s">
        <v>2357</v>
      </c>
      <c r="N8078" s="15" t="s">
        <v>54</v>
      </c>
      <c r="O8078" s="15" t="s">
        <v>55</v>
      </c>
      <c r="P8078" s="20" t="s">
        <v>385</v>
      </c>
      <c r="Q8078" s="15" t="s">
        <v>49</v>
      </c>
      <c r="R8078" s="4"/>
      <c r="S8078" s="4"/>
    </row>
    <row r="8079" spans="1:19" ht="21" customHeight="1" x14ac:dyDescent="0.25">
      <c r="A8079" s="14">
        <f>DATE(2012,12,31)-67</f>
        <v>41207</v>
      </c>
      <c r="B8079" s="15" t="s">
        <v>1370</v>
      </c>
      <c r="C8079" s="15" t="s">
        <v>85</v>
      </c>
      <c r="D8079" s="16">
        <v>40</v>
      </c>
      <c r="E8079" s="17">
        <v>120.15</v>
      </c>
      <c r="F8079" s="16">
        <v>0</v>
      </c>
      <c r="G8079" s="15" t="s">
        <v>32</v>
      </c>
      <c r="H8079" s="18">
        <v>11.322000000000001</v>
      </c>
      <c r="I8079" s="19">
        <v>2.88</v>
      </c>
      <c r="J8079" s="19">
        <v>1.49</v>
      </c>
      <c r="K8079" s="19" t="s">
        <v>33</v>
      </c>
      <c r="L8079" s="19" t="s">
        <v>128</v>
      </c>
      <c r="M8079" s="15" t="s">
        <v>129</v>
      </c>
      <c r="N8079" s="15" t="s">
        <v>36</v>
      </c>
      <c r="O8079" s="15" t="s">
        <v>170</v>
      </c>
      <c r="P8079" s="20" t="s">
        <v>100</v>
      </c>
      <c r="Q8079" s="15" t="s">
        <v>83</v>
      </c>
      <c r="R8079" s="4"/>
      <c r="S8079" s="4"/>
    </row>
    <row r="8080" spans="1:19" ht="21" customHeight="1" x14ac:dyDescent="0.25">
      <c r="A8080" s="14">
        <f>DATE(2012,12,31)-999</f>
        <v>40275</v>
      </c>
      <c r="B8080" s="15" t="s">
        <v>746</v>
      </c>
      <c r="C8080" s="15" t="s">
        <v>31</v>
      </c>
      <c r="D8080" s="16">
        <v>39</v>
      </c>
      <c r="E8080" s="17">
        <v>723.3075</v>
      </c>
      <c r="F8080" s="16">
        <v>0.01</v>
      </c>
      <c r="G8080" s="15" t="s">
        <v>32</v>
      </c>
      <c r="H8080" s="18">
        <v>216.702</v>
      </c>
      <c r="I8080" s="19">
        <v>20.99</v>
      </c>
      <c r="J8080" s="19">
        <v>0.99</v>
      </c>
      <c r="K8080" s="19" t="s">
        <v>69</v>
      </c>
      <c r="L8080" s="19" t="s">
        <v>75</v>
      </c>
      <c r="M8080" s="15" t="s">
        <v>76</v>
      </c>
      <c r="N8080" s="15" t="s">
        <v>64</v>
      </c>
      <c r="O8080" s="15" t="s">
        <v>65</v>
      </c>
      <c r="P8080" s="20" t="s">
        <v>2317</v>
      </c>
      <c r="Q8080" s="15" t="s">
        <v>79</v>
      </c>
      <c r="R8080" s="4"/>
      <c r="S8080" s="4"/>
    </row>
    <row r="8081" spans="1:19" ht="21" customHeight="1" x14ac:dyDescent="0.25">
      <c r="A8081" s="14">
        <f>DATE(2012,12,31)-1404</f>
        <v>39870</v>
      </c>
      <c r="B8081" s="15" t="s">
        <v>746</v>
      </c>
      <c r="C8081" s="15" t="s">
        <v>85</v>
      </c>
      <c r="D8081" s="16">
        <v>15</v>
      </c>
      <c r="E8081" s="17">
        <v>803.04</v>
      </c>
      <c r="F8081" s="16">
        <v>0.08</v>
      </c>
      <c r="G8081" s="15" t="s">
        <v>32</v>
      </c>
      <c r="H8081" s="18">
        <v>282.32</v>
      </c>
      <c r="I8081" s="19">
        <v>55.48</v>
      </c>
      <c r="J8081" s="19">
        <v>6.79</v>
      </c>
      <c r="K8081" s="19" t="s">
        <v>69</v>
      </c>
      <c r="L8081" s="19" t="s">
        <v>70</v>
      </c>
      <c r="M8081" s="15" t="s">
        <v>2357</v>
      </c>
      <c r="N8081" s="15" t="s">
        <v>36</v>
      </c>
      <c r="O8081" s="15" t="s">
        <v>117</v>
      </c>
      <c r="P8081" s="20" t="s">
        <v>1124</v>
      </c>
      <c r="Q8081" s="15" t="s">
        <v>83</v>
      </c>
      <c r="R8081" s="4"/>
      <c r="S8081" s="4"/>
    </row>
    <row r="8082" spans="1:19" ht="21" customHeight="1" x14ac:dyDescent="0.25">
      <c r="A8082" s="14">
        <f>DATE(2012,12,31)-745</f>
        <v>40529</v>
      </c>
      <c r="B8082" s="15" t="s">
        <v>746</v>
      </c>
      <c r="C8082" s="15" t="s">
        <v>85</v>
      </c>
      <c r="D8082" s="16">
        <v>17</v>
      </c>
      <c r="E8082" s="17">
        <v>934.94050000000004</v>
      </c>
      <c r="F8082" s="16">
        <v>0.08</v>
      </c>
      <c r="G8082" s="15" t="s">
        <v>32</v>
      </c>
      <c r="H8082" s="18">
        <v>47.096999999999994</v>
      </c>
      <c r="I8082" s="19">
        <v>65.989999999999995</v>
      </c>
      <c r="J8082" s="19">
        <v>5.92</v>
      </c>
      <c r="K8082" s="19" t="s">
        <v>69</v>
      </c>
      <c r="L8082" s="19" t="s">
        <v>215</v>
      </c>
      <c r="M8082" s="15" t="s">
        <v>2355</v>
      </c>
      <c r="N8082" s="15" t="s">
        <v>64</v>
      </c>
      <c r="O8082" s="15" t="s">
        <v>65</v>
      </c>
      <c r="P8082" s="20" t="s">
        <v>48</v>
      </c>
      <c r="Q8082" s="15" t="s">
        <v>83</v>
      </c>
      <c r="R8082" s="4"/>
      <c r="S8082" s="4"/>
    </row>
    <row r="8083" spans="1:19" ht="21" customHeight="1" x14ac:dyDescent="0.25">
      <c r="A8083" s="14">
        <f>DATE(2012,12,31)-272</f>
        <v>41002</v>
      </c>
      <c r="B8083" s="15" t="s">
        <v>1023</v>
      </c>
      <c r="C8083" s="15" t="s">
        <v>31</v>
      </c>
      <c r="D8083" s="16">
        <v>47</v>
      </c>
      <c r="E8083" s="17">
        <v>13382.01</v>
      </c>
      <c r="F8083" s="16">
        <v>0.09</v>
      </c>
      <c r="G8083" s="15" t="s">
        <v>58</v>
      </c>
      <c r="H8083" s="18">
        <v>2852.94</v>
      </c>
      <c r="I8083" s="19">
        <v>306.14</v>
      </c>
      <c r="J8083" s="19">
        <v>26.53</v>
      </c>
      <c r="K8083" s="19" t="s">
        <v>44</v>
      </c>
      <c r="L8083" s="19" t="s">
        <v>89</v>
      </c>
      <c r="M8083" s="15" t="s">
        <v>2365</v>
      </c>
      <c r="N8083" s="15" t="s">
        <v>64</v>
      </c>
      <c r="O8083" s="15" t="s">
        <v>122</v>
      </c>
      <c r="P8083" s="20" t="s">
        <v>2162</v>
      </c>
      <c r="Q8083" s="15" t="s">
        <v>181</v>
      </c>
      <c r="R8083" s="4"/>
      <c r="S8083" s="4"/>
    </row>
    <row r="8084" spans="1:19" ht="21" customHeight="1" x14ac:dyDescent="0.25">
      <c r="A8084" s="14">
        <f>DATE(2012,12,31)-866</f>
        <v>40408</v>
      </c>
      <c r="B8084" s="15" t="s">
        <v>1142</v>
      </c>
      <c r="C8084" s="15" t="s">
        <v>85</v>
      </c>
      <c r="D8084" s="16">
        <v>8</v>
      </c>
      <c r="E8084" s="17">
        <v>45.24</v>
      </c>
      <c r="F8084" s="16">
        <v>0.01</v>
      </c>
      <c r="G8084" s="15" t="s">
        <v>32</v>
      </c>
      <c r="H8084" s="18">
        <v>-42.12</v>
      </c>
      <c r="I8084" s="19">
        <v>4.9800000000000004</v>
      </c>
      <c r="J8084" s="19">
        <v>4.62</v>
      </c>
      <c r="K8084" s="19" t="s">
        <v>44</v>
      </c>
      <c r="L8084" s="19" t="s">
        <v>45</v>
      </c>
      <c r="M8084" s="15" t="s">
        <v>2373</v>
      </c>
      <c r="N8084" s="15" t="s">
        <v>64</v>
      </c>
      <c r="O8084" s="15" t="s">
        <v>72</v>
      </c>
      <c r="P8084" s="20" t="s">
        <v>2277</v>
      </c>
      <c r="Q8084" s="15" t="s">
        <v>49</v>
      </c>
      <c r="R8084" s="4"/>
      <c r="S8084" s="4"/>
    </row>
    <row r="8085" spans="1:19" ht="21" customHeight="1" x14ac:dyDescent="0.25">
      <c r="A8085" s="14">
        <f>DATE(2012,12,31)-866</f>
        <v>40408</v>
      </c>
      <c r="B8085" s="15" t="s">
        <v>1142</v>
      </c>
      <c r="C8085" s="15" t="s">
        <v>85</v>
      </c>
      <c r="D8085" s="16">
        <v>7</v>
      </c>
      <c r="E8085" s="17">
        <v>148.05000000000001</v>
      </c>
      <c r="F8085" s="16">
        <v>0.08</v>
      </c>
      <c r="G8085" s="15" t="s">
        <v>32</v>
      </c>
      <c r="H8085" s="18">
        <v>-45.94</v>
      </c>
      <c r="I8085" s="19">
        <v>21.38</v>
      </c>
      <c r="J8085" s="19">
        <v>8.99</v>
      </c>
      <c r="K8085" s="19" t="s">
        <v>44</v>
      </c>
      <c r="L8085" s="19" t="s">
        <v>89</v>
      </c>
      <c r="M8085" s="15" t="s">
        <v>2365</v>
      </c>
      <c r="N8085" s="15" t="s">
        <v>36</v>
      </c>
      <c r="O8085" s="15" t="s">
        <v>77</v>
      </c>
      <c r="P8085" s="20" t="s">
        <v>180</v>
      </c>
      <c r="Q8085" s="15" t="s">
        <v>49</v>
      </c>
      <c r="R8085" s="4"/>
      <c r="S8085" s="4"/>
    </row>
    <row r="8086" spans="1:19" ht="21" customHeight="1" x14ac:dyDescent="0.25">
      <c r="A8086" s="14">
        <f>DATE(2012,12,31)-692</f>
        <v>40582</v>
      </c>
      <c r="B8086" s="15" t="s">
        <v>1412</v>
      </c>
      <c r="C8086" s="15" t="s">
        <v>85</v>
      </c>
      <c r="D8086" s="16">
        <v>50</v>
      </c>
      <c r="E8086" s="17">
        <v>343.26</v>
      </c>
      <c r="F8086" s="16">
        <v>0.04</v>
      </c>
      <c r="G8086" s="15" t="s">
        <v>32</v>
      </c>
      <c r="H8086" s="18">
        <v>-287.27999999999997</v>
      </c>
      <c r="I8086" s="19">
        <v>6.84</v>
      </c>
      <c r="J8086" s="19">
        <v>8.3699999999999992</v>
      </c>
      <c r="K8086" s="19" t="s">
        <v>44</v>
      </c>
      <c r="L8086" s="19" t="s">
        <v>89</v>
      </c>
      <c r="M8086" s="15" t="s">
        <v>2365</v>
      </c>
      <c r="N8086" s="15" t="s">
        <v>36</v>
      </c>
      <c r="O8086" s="15" t="s">
        <v>47</v>
      </c>
      <c r="P8086" s="20" t="s">
        <v>588</v>
      </c>
      <c r="Q8086" s="15" t="s">
        <v>49</v>
      </c>
      <c r="R8086" s="4"/>
      <c r="S8086" s="4"/>
    </row>
    <row r="8087" spans="1:19" ht="21" customHeight="1" x14ac:dyDescent="0.25">
      <c r="A8087" s="14">
        <f>DATE(2012,12,31)-1402</f>
        <v>39872</v>
      </c>
      <c r="B8087" s="15" t="s">
        <v>932</v>
      </c>
      <c r="C8087" s="15" t="s">
        <v>85</v>
      </c>
      <c r="D8087" s="16">
        <v>46</v>
      </c>
      <c r="E8087" s="17">
        <v>1419.83</v>
      </c>
      <c r="F8087" s="16">
        <v>7.0000000000000007E-2</v>
      </c>
      <c r="G8087" s="15" t="s">
        <v>101</v>
      </c>
      <c r="H8087" s="18">
        <v>385.8</v>
      </c>
      <c r="I8087" s="19">
        <v>30.98</v>
      </c>
      <c r="J8087" s="19">
        <v>8.74</v>
      </c>
      <c r="K8087" s="19" t="s">
        <v>124</v>
      </c>
      <c r="L8087" s="19" t="s">
        <v>160</v>
      </c>
      <c r="M8087" s="15" t="s">
        <v>2281</v>
      </c>
      <c r="N8087" s="15" t="s">
        <v>36</v>
      </c>
      <c r="O8087" s="15" t="s">
        <v>117</v>
      </c>
      <c r="P8087" s="20" t="s">
        <v>982</v>
      </c>
      <c r="Q8087" s="15" t="s">
        <v>83</v>
      </c>
      <c r="R8087" s="4"/>
      <c r="S8087" s="4"/>
    </row>
    <row r="8088" spans="1:19" ht="21" customHeight="1" x14ac:dyDescent="0.25">
      <c r="A8088" s="14">
        <f>DATE(2012,12,31)-367</f>
        <v>40907</v>
      </c>
      <c r="B8088" s="15" t="s">
        <v>823</v>
      </c>
      <c r="C8088" s="15" t="s">
        <v>85</v>
      </c>
      <c r="D8088" s="16">
        <v>40</v>
      </c>
      <c r="E8088" s="17">
        <v>239.86</v>
      </c>
      <c r="F8088" s="16">
        <v>0.04</v>
      </c>
      <c r="G8088" s="15" t="s">
        <v>32</v>
      </c>
      <c r="H8088" s="18">
        <v>-32.06</v>
      </c>
      <c r="I8088" s="19">
        <v>5.81</v>
      </c>
      <c r="J8088" s="19">
        <v>3.37</v>
      </c>
      <c r="K8088" s="19" t="s">
        <v>44</v>
      </c>
      <c r="L8088" s="19" t="s">
        <v>52</v>
      </c>
      <c r="M8088" s="15" t="s">
        <v>2369</v>
      </c>
      <c r="N8088" s="15" t="s">
        <v>36</v>
      </c>
      <c r="O8088" s="15" t="s">
        <v>105</v>
      </c>
      <c r="P8088" s="20" t="s">
        <v>1365</v>
      </c>
      <c r="Q8088" s="15" t="s">
        <v>79</v>
      </c>
      <c r="R8088" s="4"/>
      <c r="S8088" s="4"/>
    </row>
    <row r="8089" spans="1:19" ht="21" customHeight="1" x14ac:dyDescent="0.25">
      <c r="A8089" s="14">
        <f>DATE(2012,12,31)-367</f>
        <v>40907</v>
      </c>
      <c r="B8089" s="15" t="s">
        <v>823</v>
      </c>
      <c r="C8089" s="15" t="s">
        <v>85</v>
      </c>
      <c r="D8089" s="16">
        <v>48</v>
      </c>
      <c r="E8089" s="17">
        <v>1269.79</v>
      </c>
      <c r="F8089" s="16">
        <v>0.08</v>
      </c>
      <c r="G8089" s="15" t="s">
        <v>101</v>
      </c>
      <c r="H8089" s="18">
        <v>-65.33</v>
      </c>
      <c r="I8089" s="19">
        <v>26.31</v>
      </c>
      <c r="J8089" s="19">
        <v>5.89</v>
      </c>
      <c r="K8089" s="19" t="s">
        <v>33</v>
      </c>
      <c r="L8089" s="19" t="s">
        <v>145</v>
      </c>
      <c r="M8089" s="15" t="s">
        <v>146</v>
      </c>
      <c r="N8089" s="15" t="s">
        <v>64</v>
      </c>
      <c r="O8089" s="15" t="s">
        <v>72</v>
      </c>
      <c r="P8089" s="20" t="s">
        <v>177</v>
      </c>
      <c r="Q8089" s="15" t="s">
        <v>83</v>
      </c>
      <c r="R8089" s="4"/>
      <c r="S8089" s="4"/>
    </row>
    <row r="8090" spans="1:19" ht="21" customHeight="1" x14ac:dyDescent="0.25">
      <c r="A8090" s="14">
        <f>DATE(2012,12,31)-821</f>
        <v>40453</v>
      </c>
      <c r="B8090" s="15" t="s">
        <v>1028</v>
      </c>
      <c r="C8090" s="15" t="s">
        <v>51</v>
      </c>
      <c r="D8090" s="16">
        <v>6</v>
      </c>
      <c r="E8090" s="17">
        <v>192.99</v>
      </c>
      <c r="F8090" s="16">
        <v>7.0000000000000007E-2</v>
      </c>
      <c r="G8090" s="15" t="s">
        <v>101</v>
      </c>
      <c r="H8090" s="18">
        <v>-123.37</v>
      </c>
      <c r="I8090" s="19">
        <v>30.97</v>
      </c>
      <c r="J8090" s="19">
        <v>4</v>
      </c>
      <c r="K8090" s="19" t="s">
        <v>111</v>
      </c>
      <c r="L8090" s="19" t="s">
        <v>442</v>
      </c>
      <c r="M8090" s="15" t="s">
        <v>2376</v>
      </c>
      <c r="N8090" s="15" t="s">
        <v>64</v>
      </c>
      <c r="O8090" s="15" t="s">
        <v>72</v>
      </c>
      <c r="P8090" s="20" t="s">
        <v>507</v>
      </c>
      <c r="Q8090" s="15" t="s">
        <v>83</v>
      </c>
      <c r="R8090" s="4"/>
      <c r="S8090" s="4"/>
    </row>
    <row r="8091" spans="1:19" ht="21" customHeight="1" x14ac:dyDescent="0.25">
      <c r="A8091" s="14">
        <f>DATE(2012,12,31)-821</f>
        <v>40453</v>
      </c>
      <c r="B8091" s="15" t="s">
        <v>1028</v>
      </c>
      <c r="C8091" s="15" t="s">
        <v>51</v>
      </c>
      <c r="D8091" s="16">
        <v>20</v>
      </c>
      <c r="E8091" s="17">
        <v>11829.4</v>
      </c>
      <c r="F8091" s="16">
        <v>7.0000000000000007E-2</v>
      </c>
      <c r="G8091" s="15" t="s">
        <v>32</v>
      </c>
      <c r="H8091" s="18">
        <v>3899.72</v>
      </c>
      <c r="I8091" s="19">
        <v>599.99</v>
      </c>
      <c r="J8091" s="19">
        <v>24.49</v>
      </c>
      <c r="K8091" s="19" t="s">
        <v>44</v>
      </c>
      <c r="L8091" s="19" t="s">
        <v>52</v>
      </c>
      <c r="M8091" s="15" t="s">
        <v>2369</v>
      </c>
      <c r="N8091" s="15" t="s">
        <v>64</v>
      </c>
      <c r="O8091" s="15" t="s">
        <v>460</v>
      </c>
      <c r="P8091" s="20" t="s">
        <v>1251</v>
      </c>
      <c r="Q8091" s="15" t="s">
        <v>39</v>
      </c>
      <c r="R8091" s="4"/>
      <c r="S8091" s="4"/>
    </row>
    <row r="8092" spans="1:19" ht="21" customHeight="1" x14ac:dyDescent="0.25">
      <c r="A8092" s="14">
        <f>DATE(2012,12,31)-794</f>
        <v>40480</v>
      </c>
      <c r="B8092" s="15" t="s">
        <v>1028</v>
      </c>
      <c r="C8092" s="15" t="s">
        <v>51</v>
      </c>
      <c r="D8092" s="16">
        <v>14</v>
      </c>
      <c r="E8092" s="17">
        <v>199.93</v>
      </c>
      <c r="F8092" s="16">
        <v>0.1</v>
      </c>
      <c r="G8092" s="15" t="s">
        <v>32</v>
      </c>
      <c r="H8092" s="18">
        <v>-105.33</v>
      </c>
      <c r="I8092" s="19">
        <v>14.81</v>
      </c>
      <c r="J8092" s="19">
        <v>13.32</v>
      </c>
      <c r="K8092" s="19" t="s">
        <v>33</v>
      </c>
      <c r="L8092" s="19" t="s">
        <v>145</v>
      </c>
      <c r="M8092" s="15" t="s">
        <v>146</v>
      </c>
      <c r="N8092" s="15" t="s">
        <v>36</v>
      </c>
      <c r="O8092" s="15" t="s">
        <v>176</v>
      </c>
      <c r="P8092" s="20" t="s">
        <v>858</v>
      </c>
      <c r="Q8092" s="15" t="s">
        <v>83</v>
      </c>
      <c r="R8092" s="4"/>
      <c r="S8092" s="4"/>
    </row>
    <row r="8093" spans="1:19" ht="21" customHeight="1" x14ac:dyDescent="0.25">
      <c r="A8093" s="14">
        <f>DATE(2012,12,31)-286</f>
        <v>40988</v>
      </c>
      <c r="B8093" s="15" t="s">
        <v>2188</v>
      </c>
      <c r="C8093" s="15" t="s">
        <v>51</v>
      </c>
      <c r="D8093" s="16">
        <v>6</v>
      </c>
      <c r="E8093" s="17">
        <v>256.60000000000002</v>
      </c>
      <c r="F8093" s="16">
        <v>0</v>
      </c>
      <c r="G8093" s="15" t="s">
        <v>32</v>
      </c>
      <c r="H8093" s="18">
        <v>-106.76</v>
      </c>
      <c r="I8093" s="19">
        <v>39.979999999999997</v>
      </c>
      <c r="J8093" s="19">
        <v>7.12</v>
      </c>
      <c r="K8093" s="19" t="s">
        <v>69</v>
      </c>
      <c r="L8093" s="19" t="s">
        <v>75</v>
      </c>
      <c r="M8093" s="15" t="s">
        <v>76</v>
      </c>
      <c r="N8093" s="15" t="s">
        <v>64</v>
      </c>
      <c r="O8093" s="15" t="s">
        <v>72</v>
      </c>
      <c r="P8093" s="20" t="s">
        <v>338</v>
      </c>
      <c r="Q8093" s="15" t="s">
        <v>83</v>
      </c>
      <c r="R8093" s="4"/>
      <c r="S8093" s="4"/>
    </row>
    <row r="8094" spans="1:19" ht="21" customHeight="1" x14ac:dyDescent="0.25">
      <c r="A8094" s="14">
        <f>DATE(2012,12,31)-1088</f>
        <v>40186</v>
      </c>
      <c r="B8094" s="15" t="s">
        <v>937</v>
      </c>
      <c r="C8094" s="15" t="s">
        <v>85</v>
      </c>
      <c r="D8094" s="16">
        <v>42</v>
      </c>
      <c r="E8094" s="17">
        <v>287.75</v>
      </c>
      <c r="F8094" s="16">
        <v>0.02</v>
      </c>
      <c r="G8094" s="15" t="s">
        <v>32</v>
      </c>
      <c r="H8094" s="18">
        <v>-136.02000000000001</v>
      </c>
      <c r="I8094" s="19">
        <v>6.68</v>
      </c>
      <c r="J8094" s="19">
        <v>7.3</v>
      </c>
      <c r="K8094" s="19" t="s">
        <v>44</v>
      </c>
      <c r="L8094" s="19" t="s">
        <v>89</v>
      </c>
      <c r="M8094" s="15" t="s">
        <v>2365</v>
      </c>
      <c r="N8094" s="15" t="s">
        <v>36</v>
      </c>
      <c r="O8094" s="15" t="s">
        <v>117</v>
      </c>
      <c r="P8094" s="20" t="s">
        <v>415</v>
      </c>
      <c r="Q8094" s="15" t="s">
        <v>83</v>
      </c>
      <c r="R8094" s="4"/>
      <c r="S8094" s="4"/>
    </row>
    <row r="8095" spans="1:19" ht="21" customHeight="1" x14ac:dyDescent="0.25">
      <c r="A8095" s="14">
        <f>DATE(2012,12,31)-727</f>
        <v>40547</v>
      </c>
      <c r="B8095" s="15" t="s">
        <v>937</v>
      </c>
      <c r="C8095" s="15" t="s">
        <v>51</v>
      </c>
      <c r="D8095" s="16">
        <v>26</v>
      </c>
      <c r="E8095" s="17">
        <v>61.4</v>
      </c>
      <c r="F8095" s="16">
        <v>0.04</v>
      </c>
      <c r="G8095" s="15" t="s">
        <v>32</v>
      </c>
      <c r="H8095" s="18">
        <v>-92.11</v>
      </c>
      <c r="I8095" s="19">
        <v>2.08</v>
      </c>
      <c r="J8095" s="19">
        <v>5.33</v>
      </c>
      <c r="K8095" s="19" t="s">
        <v>44</v>
      </c>
      <c r="L8095" s="19" t="s">
        <v>120</v>
      </c>
      <c r="M8095" s="15" t="s">
        <v>2262</v>
      </c>
      <c r="N8095" s="15" t="s">
        <v>54</v>
      </c>
      <c r="O8095" s="15" t="s">
        <v>55</v>
      </c>
      <c r="P8095" s="20" t="s">
        <v>1242</v>
      </c>
      <c r="Q8095" s="15" t="s">
        <v>83</v>
      </c>
      <c r="R8095" s="4"/>
      <c r="S8095" s="4"/>
    </row>
    <row r="8096" spans="1:19" ht="21" customHeight="1" x14ac:dyDescent="0.25">
      <c r="A8096" s="14">
        <f>DATE(2012,12,31)-431</f>
        <v>40843</v>
      </c>
      <c r="B8096" s="15" t="s">
        <v>2309</v>
      </c>
      <c r="C8096" s="15" t="s">
        <v>85</v>
      </c>
      <c r="D8096" s="16">
        <v>26</v>
      </c>
      <c r="E8096" s="17">
        <v>208.6</v>
      </c>
      <c r="F8096" s="16">
        <v>0</v>
      </c>
      <c r="G8096" s="15" t="s">
        <v>32</v>
      </c>
      <c r="H8096" s="18">
        <v>-56.45</v>
      </c>
      <c r="I8096" s="19">
        <v>7.38</v>
      </c>
      <c r="J8096" s="19">
        <v>5.21</v>
      </c>
      <c r="K8096" s="19" t="s">
        <v>33</v>
      </c>
      <c r="L8096" s="19" t="s">
        <v>93</v>
      </c>
      <c r="M8096" s="15" t="s">
        <v>94</v>
      </c>
      <c r="N8096" s="15" t="s">
        <v>54</v>
      </c>
      <c r="O8096" s="15" t="s">
        <v>55</v>
      </c>
      <c r="P8096" s="20" t="s">
        <v>951</v>
      </c>
      <c r="Q8096" s="15" t="s">
        <v>83</v>
      </c>
      <c r="R8096" s="4"/>
      <c r="S8096" s="4"/>
    </row>
    <row r="8097" spans="1:19" ht="21" customHeight="1" x14ac:dyDescent="0.25">
      <c r="A8097" s="14">
        <f>DATE(2012,12,31)-134</f>
        <v>41140</v>
      </c>
      <c r="B8097" s="15" t="s">
        <v>2309</v>
      </c>
      <c r="C8097" s="15" t="s">
        <v>85</v>
      </c>
      <c r="D8097" s="16">
        <v>3</v>
      </c>
      <c r="E8097" s="17">
        <v>21.55</v>
      </c>
      <c r="F8097" s="16">
        <v>0.09</v>
      </c>
      <c r="G8097" s="15" t="s">
        <v>32</v>
      </c>
      <c r="H8097" s="18">
        <v>-2.87</v>
      </c>
      <c r="I8097" s="19">
        <v>7.31</v>
      </c>
      <c r="J8097" s="19">
        <v>0.49</v>
      </c>
      <c r="K8097" s="19" t="s">
        <v>33</v>
      </c>
      <c r="L8097" s="19" t="s">
        <v>93</v>
      </c>
      <c r="M8097" s="15" t="s">
        <v>94</v>
      </c>
      <c r="N8097" s="15" t="s">
        <v>36</v>
      </c>
      <c r="O8097" s="15" t="s">
        <v>114</v>
      </c>
      <c r="P8097" s="20" t="s">
        <v>1972</v>
      </c>
      <c r="Q8097" s="15" t="s">
        <v>83</v>
      </c>
      <c r="R8097" s="4"/>
      <c r="S8097" s="4"/>
    </row>
    <row r="8098" spans="1:19" ht="21" customHeight="1" x14ac:dyDescent="0.25">
      <c r="A8098" s="14">
        <f>DATE(2012,12,31)-134</f>
        <v>41140</v>
      </c>
      <c r="B8098" s="15" t="s">
        <v>817</v>
      </c>
      <c r="C8098" s="15" t="s">
        <v>85</v>
      </c>
      <c r="D8098" s="16">
        <v>36</v>
      </c>
      <c r="E8098" s="17">
        <v>266.16000000000003</v>
      </c>
      <c r="F8098" s="16">
        <v>0.03</v>
      </c>
      <c r="G8098" s="15" t="s">
        <v>32</v>
      </c>
      <c r="H8098" s="18">
        <v>90.91</v>
      </c>
      <c r="I8098" s="19">
        <v>7.28</v>
      </c>
      <c r="J8098" s="19">
        <v>1.77</v>
      </c>
      <c r="K8098" s="19" t="s">
        <v>44</v>
      </c>
      <c r="L8098" s="19" t="s">
        <v>89</v>
      </c>
      <c r="M8098" s="15" t="s">
        <v>2365</v>
      </c>
      <c r="N8098" s="15" t="s">
        <v>36</v>
      </c>
      <c r="O8098" s="15" t="s">
        <v>117</v>
      </c>
      <c r="P8098" s="20" t="s">
        <v>936</v>
      </c>
      <c r="Q8098" s="15" t="s">
        <v>79</v>
      </c>
      <c r="R8098" s="4"/>
      <c r="S8098" s="4"/>
    </row>
    <row r="8099" spans="1:19" ht="21" customHeight="1" x14ac:dyDescent="0.25">
      <c r="A8099" s="14">
        <f>DATE(2012,12,31)-662</f>
        <v>40612</v>
      </c>
      <c r="B8099" s="15" t="s">
        <v>50</v>
      </c>
      <c r="C8099" s="15" t="s">
        <v>85</v>
      </c>
      <c r="D8099" s="16">
        <v>27</v>
      </c>
      <c r="E8099" s="17">
        <v>154.62</v>
      </c>
      <c r="F8099" s="16">
        <v>0.04</v>
      </c>
      <c r="G8099" s="15" t="s">
        <v>32</v>
      </c>
      <c r="H8099" s="18">
        <v>-118.59949999999999</v>
      </c>
      <c r="I8099" s="19">
        <v>5.53</v>
      </c>
      <c r="J8099" s="19">
        <v>6.98</v>
      </c>
      <c r="K8099" s="19" t="s">
        <v>44</v>
      </c>
      <c r="L8099" s="19" t="s">
        <v>52</v>
      </c>
      <c r="M8099" s="15" t="s">
        <v>2369</v>
      </c>
      <c r="N8099" s="15" t="s">
        <v>36</v>
      </c>
      <c r="O8099" s="15" t="s">
        <v>170</v>
      </c>
      <c r="P8099" s="20" t="s">
        <v>811</v>
      </c>
      <c r="Q8099" s="15" t="s">
        <v>83</v>
      </c>
      <c r="R8099" s="4"/>
      <c r="S8099" s="4"/>
    </row>
    <row r="8100" spans="1:19" ht="21" customHeight="1" x14ac:dyDescent="0.25">
      <c r="A8100" s="14">
        <f>DATE(2012,12,31)-662</f>
        <v>40612</v>
      </c>
      <c r="B8100" s="15" t="s">
        <v>779</v>
      </c>
      <c r="C8100" s="15" t="s">
        <v>85</v>
      </c>
      <c r="D8100" s="16">
        <v>31</v>
      </c>
      <c r="E8100" s="17">
        <v>1638.2</v>
      </c>
      <c r="F8100" s="16">
        <v>0.1</v>
      </c>
      <c r="G8100" s="15" t="s">
        <v>32</v>
      </c>
      <c r="H8100" s="18">
        <v>471.22</v>
      </c>
      <c r="I8100" s="19">
        <v>55.98</v>
      </c>
      <c r="J8100" s="19">
        <v>13.88</v>
      </c>
      <c r="K8100" s="19" t="s">
        <v>44</v>
      </c>
      <c r="L8100" s="19" t="s">
        <v>80</v>
      </c>
      <c r="M8100" s="15" t="s">
        <v>2339</v>
      </c>
      <c r="N8100" s="15" t="s">
        <v>36</v>
      </c>
      <c r="O8100" s="15" t="s">
        <v>117</v>
      </c>
      <c r="P8100" s="20" t="s">
        <v>1506</v>
      </c>
      <c r="Q8100" s="15" t="s">
        <v>83</v>
      </c>
      <c r="R8100" s="4"/>
      <c r="S8100" s="4"/>
    </row>
    <row r="8101" spans="1:19" ht="21" customHeight="1" x14ac:dyDescent="0.25">
      <c r="A8101" s="14">
        <f>DATE(2012,12,31)-334</f>
        <v>40940</v>
      </c>
      <c r="B8101" s="15" t="s">
        <v>728</v>
      </c>
      <c r="C8101" s="15" t="s">
        <v>51</v>
      </c>
      <c r="D8101" s="16">
        <v>48</v>
      </c>
      <c r="E8101" s="17">
        <v>362.71</v>
      </c>
      <c r="F8101" s="16">
        <v>7.0000000000000007E-2</v>
      </c>
      <c r="G8101" s="15" t="s">
        <v>32</v>
      </c>
      <c r="H8101" s="18">
        <v>-88.952500000000001</v>
      </c>
      <c r="I8101" s="19">
        <v>7.68</v>
      </c>
      <c r="J8101" s="19">
        <v>6.16</v>
      </c>
      <c r="K8101" s="19" t="s">
        <v>33</v>
      </c>
      <c r="L8101" s="19" t="s">
        <v>145</v>
      </c>
      <c r="M8101" s="15" t="s">
        <v>146</v>
      </c>
      <c r="N8101" s="15" t="s">
        <v>36</v>
      </c>
      <c r="O8101" s="15" t="s">
        <v>170</v>
      </c>
      <c r="P8101" s="20" t="s">
        <v>1039</v>
      </c>
      <c r="Q8101" s="15" t="s">
        <v>83</v>
      </c>
      <c r="R8101" s="4"/>
      <c r="S8101" s="4"/>
    </row>
    <row r="8102" spans="1:19" ht="21" customHeight="1" x14ac:dyDescent="0.25">
      <c r="A8102" s="14">
        <f>DATE(2012,12,31)-334</f>
        <v>40940</v>
      </c>
      <c r="B8102" s="15" t="s">
        <v>435</v>
      </c>
      <c r="C8102" s="15" t="s">
        <v>51</v>
      </c>
      <c r="D8102" s="16">
        <v>12</v>
      </c>
      <c r="E8102" s="17">
        <v>2077.1875</v>
      </c>
      <c r="F8102" s="16">
        <v>0.05</v>
      </c>
      <c r="G8102" s="15" t="s">
        <v>101</v>
      </c>
      <c r="H8102" s="18">
        <v>-38.070999999999998</v>
      </c>
      <c r="I8102" s="19">
        <v>200.99</v>
      </c>
      <c r="J8102" s="19">
        <v>4.2</v>
      </c>
      <c r="K8102" s="19" t="s">
        <v>33</v>
      </c>
      <c r="L8102" s="19" t="s">
        <v>59</v>
      </c>
      <c r="M8102" s="15" t="s">
        <v>2344</v>
      </c>
      <c r="N8102" s="15" t="s">
        <v>64</v>
      </c>
      <c r="O8102" s="15" t="s">
        <v>65</v>
      </c>
      <c r="P8102" s="20" t="s">
        <v>1603</v>
      </c>
      <c r="Q8102" s="15" t="s">
        <v>83</v>
      </c>
      <c r="R8102" s="4"/>
      <c r="S8102" s="4"/>
    </row>
    <row r="8103" spans="1:19" ht="21" customHeight="1" x14ac:dyDescent="0.25">
      <c r="A8103" s="14">
        <f>DATE(2012,12,31)-1374</f>
        <v>39900</v>
      </c>
      <c r="B8103" s="15" t="s">
        <v>1444</v>
      </c>
      <c r="C8103" s="15" t="s">
        <v>85</v>
      </c>
      <c r="D8103" s="16">
        <v>6</v>
      </c>
      <c r="E8103" s="17">
        <v>171.77</v>
      </c>
      <c r="F8103" s="16">
        <v>0.01</v>
      </c>
      <c r="G8103" s="15" t="s">
        <v>58</v>
      </c>
      <c r="H8103" s="18">
        <v>-59.88</v>
      </c>
      <c r="I8103" s="19">
        <v>25.98</v>
      </c>
      <c r="J8103" s="19">
        <v>14.36</v>
      </c>
      <c r="K8103" s="19" t="s">
        <v>33</v>
      </c>
      <c r="L8103" s="19" t="s">
        <v>145</v>
      </c>
      <c r="M8103" s="15" t="s">
        <v>146</v>
      </c>
      <c r="N8103" s="15" t="s">
        <v>54</v>
      </c>
      <c r="O8103" s="15" t="s">
        <v>252</v>
      </c>
      <c r="P8103" s="20" t="s">
        <v>440</v>
      </c>
      <c r="Q8103" s="15" t="s">
        <v>181</v>
      </c>
      <c r="R8103" s="4"/>
      <c r="S8103" s="4"/>
    </row>
    <row r="8104" spans="1:19" ht="21" customHeight="1" x14ac:dyDescent="0.25">
      <c r="A8104" s="14">
        <f>DATE(2012,12,31)-680</f>
        <v>40594</v>
      </c>
      <c r="B8104" s="15" t="s">
        <v>1444</v>
      </c>
      <c r="C8104" s="15" t="s">
        <v>85</v>
      </c>
      <c r="D8104" s="16">
        <v>42</v>
      </c>
      <c r="E8104" s="17">
        <v>134.86000000000001</v>
      </c>
      <c r="F8104" s="16">
        <v>0.04</v>
      </c>
      <c r="G8104" s="15" t="s">
        <v>32</v>
      </c>
      <c r="H8104" s="18">
        <v>-62.84</v>
      </c>
      <c r="I8104" s="19">
        <v>3.14</v>
      </c>
      <c r="J8104" s="19">
        <v>1.92</v>
      </c>
      <c r="K8104" s="19" t="s">
        <v>33</v>
      </c>
      <c r="L8104" s="19" t="s">
        <v>59</v>
      </c>
      <c r="M8104" s="15" t="s">
        <v>2344</v>
      </c>
      <c r="N8104" s="15" t="s">
        <v>36</v>
      </c>
      <c r="O8104" s="15" t="s">
        <v>47</v>
      </c>
      <c r="P8104" s="20" t="s">
        <v>569</v>
      </c>
      <c r="Q8104" s="15" t="s">
        <v>79</v>
      </c>
      <c r="R8104" s="4"/>
      <c r="S8104" s="4"/>
    </row>
    <row r="8105" spans="1:19" ht="21" customHeight="1" x14ac:dyDescent="0.25">
      <c r="A8105" s="14">
        <f>DATE(2012,12,31)-1111</f>
        <v>40163</v>
      </c>
      <c r="B8105" s="15" t="s">
        <v>1658</v>
      </c>
      <c r="C8105" s="15" t="s">
        <v>31</v>
      </c>
      <c r="D8105" s="16">
        <v>29</v>
      </c>
      <c r="E8105" s="17">
        <v>778.38</v>
      </c>
      <c r="F8105" s="16">
        <v>0.01</v>
      </c>
      <c r="G8105" s="15" t="s">
        <v>32</v>
      </c>
      <c r="H8105" s="18">
        <v>257.32</v>
      </c>
      <c r="I8105" s="19">
        <v>26.38</v>
      </c>
      <c r="J8105" s="19">
        <v>5.86</v>
      </c>
      <c r="K8105" s="19" t="s">
        <v>69</v>
      </c>
      <c r="L8105" s="19" t="s">
        <v>75</v>
      </c>
      <c r="M8105" s="15" t="s">
        <v>76</v>
      </c>
      <c r="N8105" s="15" t="s">
        <v>36</v>
      </c>
      <c r="O8105" s="15" t="s">
        <v>117</v>
      </c>
      <c r="P8105" s="20" t="s">
        <v>913</v>
      </c>
      <c r="Q8105" s="15" t="s">
        <v>83</v>
      </c>
      <c r="R8105" s="4"/>
      <c r="S8105" s="4"/>
    </row>
    <row r="8106" spans="1:19" ht="21" customHeight="1" x14ac:dyDescent="0.25">
      <c r="A8106" s="14">
        <f>DATE(2012,12,31)-229</f>
        <v>41045</v>
      </c>
      <c r="B8106" s="15" t="s">
        <v>1658</v>
      </c>
      <c r="C8106" s="15" t="s">
        <v>85</v>
      </c>
      <c r="D8106" s="16">
        <v>33</v>
      </c>
      <c r="E8106" s="17">
        <v>203.49</v>
      </c>
      <c r="F8106" s="16">
        <v>0</v>
      </c>
      <c r="G8106" s="15" t="s">
        <v>101</v>
      </c>
      <c r="H8106" s="18">
        <v>46.21</v>
      </c>
      <c r="I8106" s="19">
        <v>5.84</v>
      </c>
      <c r="J8106" s="19">
        <v>1.2</v>
      </c>
      <c r="K8106" s="19" t="s">
        <v>69</v>
      </c>
      <c r="L8106" s="19" t="s">
        <v>70</v>
      </c>
      <c r="M8106" s="15" t="s">
        <v>2357</v>
      </c>
      <c r="N8106" s="15" t="s">
        <v>54</v>
      </c>
      <c r="O8106" s="15" t="s">
        <v>55</v>
      </c>
      <c r="P8106" s="20" t="s">
        <v>1430</v>
      </c>
      <c r="Q8106" s="15" t="s">
        <v>57</v>
      </c>
      <c r="R8106" s="4"/>
      <c r="S8106" s="4"/>
    </row>
    <row r="8107" spans="1:19" ht="21" customHeight="1" x14ac:dyDescent="0.25">
      <c r="A8107" s="14">
        <f>DATE(2012,12,31)-1323</f>
        <v>39951</v>
      </c>
      <c r="B8107" s="15" t="s">
        <v>1648</v>
      </c>
      <c r="C8107" s="15" t="s">
        <v>51</v>
      </c>
      <c r="D8107" s="16">
        <v>41</v>
      </c>
      <c r="E8107" s="17">
        <v>470.74</v>
      </c>
      <c r="F8107" s="16">
        <v>0.04</v>
      </c>
      <c r="G8107" s="15" t="s">
        <v>32</v>
      </c>
      <c r="H8107" s="18">
        <v>24.09</v>
      </c>
      <c r="I8107" s="19">
        <v>10.98</v>
      </c>
      <c r="J8107" s="19">
        <v>3.99</v>
      </c>
      <c r="K8107" s="19" t="s">
        <v>69</v>
      </c>
      <c r="L8107" s="19" t="s">
        <v>215</v>
      </c>
      <c r="M8107" s="15" t="s">
        <v>2355</v>
      </c>
      <c r="N8107" s="15" t="s">
        <v>36</v>
      </c>
      <c r="O8107" s="15" t="s">
        <v>176</v>
      </c>
      <c r="P8107" s="20" t="s">
        <v>1764</v>
      </c>
      <c r="Q8107" s="15" t="s">
        <v>83</v>
      </c>
      <c r="R8107" s="4"/>
      <c r="S8107" s="4"/>
    </row>
    <row r="8108" spans="1:19" ht="21" customHeight="1" x14ac:dyDescent="0.25">
      <c r="A8108" s="14">
        <f>DATE(2012,12,31)-969</f>
        <v>40305</v>
      </c>
      <c r="B8108" s="15" t="s">
        <v>1648</v>
      </c>
      <c r="C8108" s="15" t="s">
        <v>85</v>
      </c>
      <c r="D8108" s="16">
        <v>24</v>
      </c>
      <c r="E8108" s="17">
        <v>60.36</v>
      </c>
      <c r="F8108" s="16">
        <v>0.03</v>
      </c>
      <c r="G8108" s="15" t="s">
        <v>32</v>
      </c>
      <c r="H8108" s="18">
        <v>-119.62299999999999</v>
      </c>
      <c r="I8108" s="19">
        <v>2.16</v>
      </c>
      <c r="J8108" s="19">
        <v>6.05</v>
      </c>
      <c r="K8108" s="19" t="s">
        <v>69</v>
      </c>
      <c r="L8108" s="19" t="s">
        <v>215</v>
      </c>
      <c r="M8108" s="15" t="s">
        <v>2355</v>
      </c>
      <c r="N8108" s="15" t="s">
        <v>36</v>
      </c>
      <c r="O8108" s="15" t="s">
        <v>170</v>
      </c>
      <c r="P8108" s="20" t="s">
        <v>806</v>
      </c>
      <c r="Q8108" s="15" t="s">
        <v>83</v>
      </c>
      <c r="R8108" s="4"/>
      <c r="S8108" s="4"/>
    </row>
    <row r="8109" spans="1:19" ht="21" customHeight="1" x14ac:dyDescent="0.25">
      <c r="A8109" s="14">
        <f>DATE(2012,12,31)-1189</f>
        <v>40085</v>
      </c>
      <c r="B8109" s="15" t="s">
        <v>1881</v>
      </c>
      <c r="C8109" s="15" t="s">
        <v>51</v>
      </c>
      <c r="D8109" s="16">
        <v>33</v>
      </c>
      <c r="E8109" s="17">
        <v>211.48</v>
      </c>
      <c r="F8109" s="16">
        <v>0.1</v>
      </c>
      <c r="G8109" s="15" t="s">
        <v>32</v>
      </c>
      <c r="H8109" s="18">
        <v>18.147500000000001</v>
      </c>
      <c r="I8109" s="19">
        <v>6.75</v>
      </c>
      <c r="J8109" s="19">
        <v>2.99</v>
      </c>
      <c r="K8109" s="19" t="s">
        <v>44</v>
      </c>
      <c r="L8109" s="19" t="s">
        <v>89</v>
      </c>
      <c r="M8109" s="15" t="s">
        <v>2365</v>
      </c>
      <c r="N8109" s="15" t="s">
        <v>36</v>
      </c>
      <c r="O8109" s="15" t="s">
        <v>170</v>
      </c>
      <c r="P8109" s="20" t="s">
        <v>1616</v>
      </c>
      <c r="Q8109" s="15" t="s">
        <v>83</v>
      </c>
      <c r="R8109" s="4"/>
      <c r="S8109" s="4"/>
    </row>
    <row r="8110" spans="1:19" ht="21" customHeight="1" x14ac:dyDescent="0.25">
      <c r="A8110" s="14">
        <f>DATE(2012,12,31)-1189</f>
        <v>40085</v>
      </c>
      <c r="B8110" s="15" t="s">
        <v>1342</v>
      </c>
      <c r="C8110" s="15" t="s">
        <v>51</v>
      </c>
      <c r="D8110" s="16">
        <v>38</v>
      </c>
      <c r="E8110" s="17">
        <v>5601.1</v>
      </c>
      <c r="F8110" s="16">
        <v>0.02</v>
      </c>
      <c r="G8110" s="15" t="s">
        <v>101</v>
      </c>
      <c r="H8110" s="18">
        <v>1515.7</v>
      </c>
      <c r="I8110" s="19">
        <v>142.86000000000001</v>
      </c>
      <c r="J8110" s="19">
        <v>19.989999999999998</v>
      </c>
      <c r="K8110" s="19" t="s">
        <v>44</v>
      </c>
      <c r="L8110" s="19" t="s">
        <v>45</v>
      </c>
      <c r="M8110" s="15" t="s">
        <v>2373</v>
      </c>
      <c r="N8110" s="15" t="s">
        <v>36</v>
      </c>
      <c r="O8110" s="15" t="s">
        <v>37</v>
      </c>
      <c r="P8110" s="20" t="s">
        <v>1482</v>
      </c>
      <c r="Q8110" s="15" t="s">
        <v>83</v>
      </c>
      <c r="R8110" s="4"/>
      <c r="S8110" s="4"/>
    </row>
    <row r="8111" spans="1:19" ht="21" customHeight="1" x14ac:dyDescent="0.25">
      <c r="A8111" s="14">
        <f>DATE(2012,12,31)-483</f>
        <v>40791</v>
      </c>
      <c r="B8111" s="15" t="s">
        <v>2194</v>
      </c>
      <c r="C8111" s="15" t="s">
        <v>85</v>
      </c>
      <c r="D8111" s="16">
        <v>3</v>
      </c>
      <c r="E8111" s="17">
        <v>39.49</v>
      </c>
      <c r="F8111" s="16">
        <v>0.1</v>
      </c>
      <c r="G8111" s="15" t="s">
        <v>32</v>
      </c>
      <c r="H8111" s="18">
        <v>-12.99</v>
      </c>
      <c r="I8111" s="19">
        <v>11.58</v>
      </c>
      <c r="J8111" s="19">
        <v>5.72</v>
      </c>
      <c r="K8111" s="19" t="s">
        <v>44</v>
      </c>
      <c r="L8111" s="19" t="s">
        <v>89</v>
      </c>
      <c r="M8111" s="15" t="s">
        <v>2365</v>
      </c>
      <c r="N8111" s="15" t="s">
        <v>36</v>
      </c>
      <c r="O8111" s="15" t="s">
        <v>189</v>
      </c>
      <c r="P8111" s="20" t="s">
        <v>1135</v>
      </c>
      <c r="Q8111" s="15" t="s">
        <v>83</v>
      </c>
      <c r="R8111" s="4"/>
      <c r="S8111" s="4"/>
    </row>
    <row r="8112" spans="1:19" ht="21" customHeight="1" x14ac:dyDescent="0.25">
      <c r="A8112" s="14">
        <f>DATE(2012,12,31)-85</f>
        <v>41189</v>
      </c>
      <c r="B8112" s="15" t="s">
        <v>1342</v>
      </c>
      <c r="C8112" s="15" t="s">
        <v>43</v>
      </c>
      <c r="D8112" s="16">
        <v>5</v>
      </c>
      <c r="E8112" s="17">
        <v>36.43</v>
      </c>
      <c r="F8112" s="16">
        <v>0.04</v>
      </c>
      <c r="G8112" s="15" t="s">
        <v>32</v>
      </c>
      <c r="H8112" s="18">
        <v>-22.04</v>
      </c>
      <c r="I8112" s="19">
        <v>5.98</v>
      </c>
      <c r="J8112" s="19">
        <v>7.15</v>
      </c>
      <c r="K8112" s="19" t="s">
        <v>44</v>
      </c>
      <c r="L8112" s="19" t="s">
        <v>89</v>
      </c>
      <c r="M8112" s="15" t="s">
        <v>2365</v>
      </c>
      <c r="N8112" s="15" t="s">
        <v>36</v>
      </c>
      <c r="O8112" s="15" t="s">
        <v>117</v>
      </c>
      <c r="P8112" s="20" t="s">
        <v>1405</v>
      </c>
      <c r="Q8112" s="15" t="s">
        <v>83</v>
      </c>
      <c r="R8112" s="4"/>
      <c r="S8112" s="4"/>
    </row>
    <row r="8113" spans="1:19" ht="21" customHeight="1" x14ac:dyDescent="0.25">
      <c r="A8113" s="14">
        <f>DATE(2012,12,31)-1410</f>
        <v>39864</v>
      </c>
      <c r="B8113" s="15" t="s">
        <v>92</v>
      </c>
      <c r="C8113" s="15" t="s">
        <v>51</v>
      </c>
      <c r="D8113" s="16">
        <v>24</v>
      </c>
      <c r="E8113" s="17">
        <v>479.13</v>
      </c>
      <c r="F8113" s="16">
        <v>0.05</v>
      </c>
      <c r="G8113" s="15" t="s">
        <v>101</v>
      </c>
      <c r="H8113" s="18">
        <v>166.92</v>
      </c>
      <c r="I8113" s="19">
        <v>19.23</v>
      </c>
      <c r="J8113" s="19">
        <v>6.15</v>
      </c>
      <c r="K8113" s="19" t="s">
        <v>44</v>
      </c>
      <c r="L8113" s="19" t="s">
        <v>89</v>
      </c>
      <c r="M8113" s="15" t="s">
        <v>2365</v>
      </c>
      <c r="N8113" s="15" t="s">
        <v>54</v>
      </c>
      <c r="O8113" s="15" t="s">
        <v>55</v>
      </c>
      <c r="P8113" s="20" t="s">
        <v>139</v>
      </c>
      <c r="Q8113" s="15" t="s">
        <v>49</v>
      </c>
      <c r="R8113" s="4"/>
      <c r="S8113" s="4"/>
    </row>
    <row r="8114" spans="1:19" ht="21" customHeight="1" x14ac:dyDescent="0.25">
      <c r="A8114" s="14">
        <f>DATE(2012,12,31)-25</f>
        <v>41249</v>
      </c>
      <c r="B8114" s="15" t="s">
        <v>92</v>
      </c>
      <c r="C8114" s="15" t="s">
        <v>85</v>
      </c>
      <c r="D8114" s="16">
        <v>38</v>
      </c>
      <c r="E8114" s="17">
        <v>144.03</v>
      </c>
      <c r="F8114" s="16">
        <v>0.03</v>
      </c>
      <c r="G8114" s="15" t="s">
        <v>32</v>
      </c>
      <c r="H8114" s="18">
        <v>-139.518</v>
      </c>
      <c r="I8114" s="19">
        <v>3.58</v>
      </c>
      <c r="J8114" s="19">
        <v>5.47</v>
      </c>
      <c r="K8114" s="19" t="s">
        <v>44</v>
      </c>
      <c r="L8114" s="19" t="s">
        <v>89</v>
      </c>
      <c r="M8114" s="15" t="s">
        <v>2365</v>
      </c>
      <c r="N8114" s="15" t="s">
        <v>36</v>
      </c>
      <c r="O8114" s="15" t="s">
        <v>170</v>
      </c>
      <c r="P8114" s="20" t="s">
        <v>948</v>
      </c>
      <c r="Q8114" s="15" t="s">
        <v>83</v>
      </c>
      <c r="R8114" s="4"/>
      <c r="S8114" s="4"/>
    </row>
    <row r="8115" spans="1:19" ht="21" customHeight="1" x14ac:dyDescent="0.25">
      <c r="A8115" s="14">
        <f>DATE(2012,12,31)-846</f>
        <v>40428</v>
      </c>
      <c r="B8115" s="15" t="s">
        <v>403</v>
      </c>
      <c r="C8115" s="15" t="s">
        <v>85</v>
      </c>
      <c r="D8115" s="16">
        <v>36</v>
      </c>
      <c r="E8115" s="17">
        <v>146.71</v>
      </c>
      <c r="F8115" s="16">
        <v>0.01</v>
      </c>
      <c r="G8115" s="15" t="s">
        <v>32</v>
      </c>
      <c r="H8115" s="18">
        <v>38.630000000000003</v>
      </c>
      <c r="I8115" s="19">
        <v>4</v>
      </c>
      <c r="J8115" s="19">
        <v>1.3</v>
      </c>
      <c r="K8115" s="19" t="s">
        <v>124</v>
      </c>
      <c r="L8115" s="19" t="s">
        <v>160</v>
      </c>
      <c r="M8115" s="15" t="s">
        <v>2281</v>
      </c>
      <c r="N8115" s="15" t="s">
        <v>36</v>
      </c>
      <c r="O8115" s="15" t="s">
        <v>117</v>
      </c>
      <c r="P8115" s="20" t="s">
        <v>1182</v>
      </c>
      <c r="Q8115" s="15" t="s">
        <v>79</v>
      </c>
      <c r="R8115" s="4"/>
      <c r="S8115" s="4"/>
    </row>
    <row r="8116" spans="1:19" ht="21" customHeight="1" x14ac:dyDescent="0.25">
      <c r="A8116" s="14">
        <f>DATE(2012,12,31)-846</f>
        <v>40428</v>
      </c>
      <c r="B8116" s="15" t="s">
        <v>850</v>
      </c>
      <c r="C8116" s="15" t="s">
        <v>85</v>
      </c>
      <c r="D8116" s="16">
        <v>36</v>
      </c>
      <c r="E8116" s="17">
        <v>475.92</v>
      </c>
      <c r="F8116" s="16">
        <v>0.05</v>
      </c>
      <c r="G8116" s="15" t="s">
        <v>32</v>
      </c>
      <c r="H8116" s="18">
        <v>-95.3</v>
      </c>
      <c r="I8116" s="19">
        <v>12.88</v>
      </c>
      <c r="J8116" s="19">
        <v>4.59</v>
      </c>
      <c r="K8116" s="19" t="s">
        <v>124</v>
      </c>
      <c r="L8116" s="19" t="s">
        <v>493</v>
      </c>
      <c r="M8116" s="15" t="s">
        <v>2367</v>
      </c>
      <c r="N8116" s="15" t="s">
        <v>36</v>
      </c>
      <c r="O8116" s="15" t="s">
        <v>47</v>
      </c>
      <c r="P8116" s="20" t="s">
        <v>464</v>
      </c>
      <c r="Q8116" s="15" t="s">
        <v>79</v>
      </c>
      <c r="R8116" s="4"/>
      <c r="S8116" s="4"/>
    </row>
    <row r="8117" spans="1:19" ht="21" customHeight="1" x14ac:dyDescent="0.25">
      <c r="A8117" s="14">
        <f>DATE(2012,12,31)-465</f>
        <v>40809</v>
      </c>
      <c r="B8117" s="15" t="s">
        <v>1458</v>
      </c>
      <c r="C8117" s="15" t="s">
        <v>43</v>
      </c>
      <c r="D8117" s="16">
        <v>8</v>
      </c>
      <c r="E8117" s="17">
        <v>1058.82</v>
      </c>
      <c r="F8117" s="16">
        <v>0.02</v>
      </c>
      <c r="G8117" s="15" t="s">
        <v>32</v>
      </c>
      <c r="H8117" s="18">
        <v>211.73</v>
      </c>
      <c r="I8117" s="19">
        <v>131.12</v>
      </c>
      <c r="J8117" s="19">
        <v>0.99</v>
      </c>
      <c r="K8117" s="19" t="s">
        <v>124</v>
      </c>
      <c r="L8117" s="19" t="s">
        <v>160</v>
      </c>
      <c r="M8117" s="15" t="s">
        <v>2281</v>
      </c>
      <c r="N8117" s="15" t="s">
        <v>36</v>
      </c>
      <c r="O8117" s="15" t="s">
        <v>176</v>
      </c>
      <c r="P8117" s="20" t="s">
        <v>209</v>
      </c>
      <c r="Q8117" s="15" t="s">
        <v>83</v>
      </c>
      <c r="R8117" s="4"/>
      <c r="S8117" s="4"/>
    </row>
    <row r="8118" spans="1:19" ht="21" customHeight="1" x14ac:dyDescent="0.25">
      <c r="A8118" s="14">
        <f>DATE(2012,12,31)-465</f>
        <v>40809</v>
      </c>
      <c r="B8118" s="15" t="s">
        <v>1458</v>
      </c>
      <c r="C8118" s="15" t="s">
        <v>43</v>
      </c>
      <c r="D8118" s="16">
        <v>14</v>
      </c>
      <c r="E8118" s="17">
        <v>92.07</v>
      </c>
      <c r="F8118" s="16">
        <v>0.09</v>
      </c>
      <c r="G8118" s="15" t="s">
        <v>32</v>
      </c>
      <c r="H8118" s="18">
        <v>-64.5</v>
      </c>
      <c r="I8118" s="19">
        <v>6.48</v>
      </c>
      <c r="J8118" s="19">
        <v>7.86</v>
      </c>
      <c r="K8118" s="19" t="s">
        <v>124</v>
      </c>
      <c r="L8118" s="19" t="s">
        <v>160</v>
      </c>
      <c r="M8118" s="15" t="s">
        <v>2281</v>
      </c>
      <c r="N8118" s="15" t="s">
        <v>36</v>
      </c>
      <c r="O8118" s="15" t="s">
        <v>117</v>
      </c>
      <c r="P8118" s="20" t="s">
        <v>1286</v>
      </c>
      <c r="Q8118" s="15" t="s">
        <v>83</v>
      </c>
      <c r="R8118" s="4"/>
      <c r="S8118" s="4"/>
    </row>
    <row r="8119" spans="1:19" ht="21" customHeight="1" x14ac:dyDescent="0.25">
      <c r="A8119" s="14">
        <f>DATE(2012,12,31)-925</f>
        <v>40349</v>
      </c>
      <c r="B8119" s="15" t="s">
        <v>2237</v>
      </c>
      <c r="C8119" s="15" t="s">
        <v>51</v>
      </c>
      <c r="D8119" s="16">
        <v>31</v>
      </c>
      <c r="E8119" s="17">
        <v>244.9</v>
      </c>
      <c r="F8119" s="16">
        <v>0.08</v>
      </c>
      <c r="G8119" s="15" t="s">
        <v>32</v>
      </c>
      <c r="H8119" s="18">
        <v>-61.14</v>
      </c>
      <c r="I8119" s="19">
        <v>8.4600000000000009</v>
      </c>
      <c r="J8119" s="19">
        <v>3.62</v>
      </c>
      <c r="K8119" s="19" t="s">
        <v>124</v>
      </c>
      <c r="L8119" s="19" t="s">
        <v>164</v>
      </c>
      <c r="M8119" s="15" t="s">
        <v>2368</v>
      </c>
      <c r="N8119" s="15" t="s">
        <v>64</v>
      </c>
      <c r="O8119" s="15" t="s">
        <v>72</v>
      </c>
      <c r="P8119" s="20" t="s">
        <v>924</v>
      </c>
      <c r="Q8119" s="15" t="s">
        <v>49</v>
      </c>
      <c r="R8119" s="4"/>
      <c r="S8119" s="4"/>
    </row>
    <row r="8120" spans="1:19" ht="21" customHeight="1" x14ac:dyDescent="0.25">
      <c r="A8120" s="14">
        <f>DATE(2012,12,31)-1437</f>
        <v>39837</v>
      </c>
      <c r="B8120" s="15" t="s">
        <v>2237</v>
      </c>
      <c r="C8120" s="15" t="s">
        <v>85</v>
      </c>
      <c r="D8120" s="16">
        <v>23</v>
      </c>
      <c r="E8120" s="17">
        <v>294.68</v>
      </c>
      <c r="F8120" s="16">
        <v>0.01</v>
      </c>
      <c r="G8120" s="15" t="s">
        <v>32</v>
      </c>
      <c r="H8120" s="18">
        <v>-23.35</v>
      </c>
      <c r="I8120" s="19">
        <v>11.7</v>
      </c>
      <c r="J8120" s="19">
        <v>6.96</v>
      </c>
      <c r="K8120" s="19" t="s">
        <v>124</v>
      </c>
      <c r="L8120" s="19" t="s">
        <v>164</v>
      </c>
      <c r="M8120" s="15" t="s">
        <v>2368</v>
      </c>
      <c r="N8120" s="15" t="s">
        <v>36</v>
      </c>
      <c r="O8120" s="15" t="s">
        <v>176</v>
      </c>
      <c r="P8120" s="20" t="s">
        <v>597</v>
      </c>
      <c r="Q8120" s="15" t="s">
        <v>57</v>
      </c>
      <c r="R8120" s="4"/>
      <c r="S8120" s="4"/>
    </row>
    <row r="8121" spans="1:19" ht="21" customHeight="1" x14ac:dyDescent="0.25">
      <c r="A8121" s="14">
        <f>DATE(2012,12,31)-112</f>
        <v>41162</v>
      </c>
      <c r="B8121" s="15" t="s">
        <v>961</v>
      </c>
      <c r="C8121" s="15" t="s">
        <v>51</v>
      </c>
      <c r="D8121" s="16">
        <v>37</v>
      </c>
      <c r="E8121" s="17">
        <v>3512.9</v>
      </c>
      <c r="F8121" s="16">
        <v>0.08</v>
      </c>
      <c r="G8121" s="15" t="s">
        <v>32</v>
      </c>
      <c r="H8121" s="18">
        <v>2093.6999999999998</v>
      </c>
      <c r="I8121" s="19">
        <v>99.23</v>
      </c>
      <c r="J8121" s="19">
        <v>8.99</v>
      </c>
      <c r="K8121" s="19" t="s">
        <v>44</v>
      </c>
      <c r="L8121" s="19" t="s">
        <v>52</v>
      </c>
      <c r="M8121" s="15" t="s">
        <v>2369</v>
      </c>
      <c r="N8121" s="15" t="s">
        <v>54</v>
      </c>
      <c r="O8121" s="15" t="s">
        <v>55</v>
      </c>
      <c r="P8121" s="20" t="s">
        <v>638</v>
      </c>
      <c r="Q8121" s="15" t="s">
        <v>49</v>
      </c>
      <c r="R8121" s="4"/>
      <c r="S8121" s="4"/>
    </row>
    <row r="8122" spans="1:19" ht="21" customHeight="1" x14ac:dyDescent="0.25">
      <c r="A8122" s="14">
        <f>DATE(2012,12,31)-112</f>
        <v>41162</v>
      </c>
      <c r="B8122" s="15" t="s">
        <v>116</v>
      </c>
      <c r="C8122" s="15" t="s">
        <v>51</v>
      </c>
      <c r="D8122" s="16">
        <v>4</v>
      </c>
      <c r="E8122" s="17">
        <v>281.5455</v>
      </c>
      <c r="F8122" s="16">
        <v>0.1</v>
      </c>
      <c r="G8122" s="15" t="s">
        <v>32</v>
      </c>
      <c r="H8122" s="18">
        <v>-434.55500000000001</v>
      </c>
      <c r="I8122" s="19">
        <v>85.99</v>
      </c>
      <c r="J8122" s="19">
        <v>0.99</v>
      </c>
      <c r="K8122" s="19" t="s">
        <v>44</v>
      </c>
      <c r="L8122" s="19" t="s">
        <v>52</v>
      </c>
      <c r="M8122" s="15" t="s">
        <v>2369</v>
      </c>
      <c r="N8122" s="15" t="s">
        <v>64</v>
      </c>
      <c r="O8122" s="15" t="s">
        <v>65</v>
      </c>
      <c r="P8122" s="20" t="s">
        <v>1468</v>
      </c>
      <c r="Q8122" s="15" t="s">
        <v>79</v>
      </c>
      <c r="R8122" s="4"/>
      <c r="S8122" s="4"/>
    </row>
    <row r="8123" spans="1:19" ht="21" customHeight="1" x14ac:dyDescent="0.25">
      <c r="A8123" s="14">
        <f>DATE(2012,12,31)-1360</f>
        <v>39914</v>
      </c>
      <c r="B8123" s="15" t="s">
        <v>814</v>
      </c>
      <c r="C8123" s="15" t="s">
        <v>85</v>
      </c>
      <c r="D8123" s="16">
        <v>44</v>
      </c>
      <c r="E8123" s="17">
        <v>1317.34</v>
      </c>
      <c r="F8123" s="16">
        <v>0.03</v>
      </c>
      <c r="G8123" s="15" t="s">
        <v>32</v>
      </c>
      <c r="H8123" s="18">
        <v>555.93399999999997</v>
      </c>
      <c r="I8123" s="19">
        <v>30.56</v>
      </c>
      <c r="J8123" s="19">
        <v>2.99</v>
      </c>
      <c r="K8123" s="19" t="s">
        <v>44</v>
      </c>
      <c r="L8123" s="19" t="s">
        <v>52</v>
      </c>
      <c r="M8123" s="15" t="s">
        <v>2369</v>
      </c>
      <c r="N8123" s="15" t="s">
        <v>36</v>
      </c>
      <c r="O8123" s="15" t="s">
        <v>170</v>
      </c>
      <c r="P8123" s="20" t="s">
        <v>1862</v>
      </c>
      <c r="Q8123" s="15" t="s">
        <v>83</v>
      </c>
      <c r="R8123" s="4"/>
      <c r="S8123" s="4"/>
    </row>
    <row r="8124" spans="1:19" ht="21" customHeight="1" x14ac:dyDescent="0.25">
      <c r="A8124" s="14">
        <f>DATE(2012,12,31)-955</f>
        <v>40319</v>
      </c>
      <c r="B8124" s="15" t="s">
        <v>1100</v>
      </c>
      <c r="C8124" s="15" t="s">
        <v>43</v>
      </c>
      <c r="D8124" s="16">
        <v>35</v>
      </c>
      <c r="E8124" s="17">
        <v>2173.2600000000002</v>
      </c>
      <c r="F8124" s="16">
        <v>0</v>
      </c>
      <c r="G8124" s="15" t="s">
        <v>58</v>
      </c>
      <c r="H8124" s="18">
        <v>-465.66</v>
      </c>
      <c r="I8124" s="19">
        <v>58.14</v>
      </c>
      <c r="J8124" s="19">
        <v>36.61</v>
      </c>
      <c r="K8124" s="19" t="s">
        <v>33</v>
      </c>
      <c r="L8124" s="19" t="s">
        <v>34</v>
      </c>
      <c r="M8124" s="15" t="s">
        <v>2377</v>
      </c>
      <c r="N8124" s="15" t="s">
        <v>54</v>
      </c>
      <c r="O8124" s="15" t="s">
        <v>134</v>
      </c>
      <c r="P8124" s="20" t="s">
        <v>858</v>
      </c>
      <c r="Q8124" s="15" t="s">
        <v>63</v>
      </c>
      <c r="R8124" s="4"/>
      <c r="S8124" s="4"/>
    </row>
    <row r="8125" spans="1:19" ht="21" customHeight="1" x14ac:dyDescent="0.25">
      <c r="A8125" s="14">
        <f>DATE(2012,12,31)-955</f>
        <v>40319</v>
      </c>
      <c r="B8125" s="15" t="s">
        <v>704</v>
      </c>
      <c r="C8125" s="15" t="s">
        <v>43</v>
      </c>
      <c r="D8125" s="16">
        <v>20</v>
      </c>
      <c r="E8125" s="17">
        <v>623.29</v>
      </c>
      <c r="F8125" s="16">
        <v>0</v>
      </c>
      <c r="G8125" s="15" t="s">
        <v>32</v>
      </c>
      <c r="H8125" s="18">
        <v>57.44</v>
      </c>
      <c r="I8125" s="19">
        <v>29.99</v>
      </c>
      <c r="J8125" s="19">
        <v>5.5</v>
      </c>
      <c r="K8125" s="19" t="s">
        <v>69</v>
      </c>
      <c r="L8125" s="19" t="s">
        <v>70</v>
      </c>
      <c r="M8125" s="15" t="s">
        <v>2357</v>
      </c>
      <c r="N8125" s="15" t="s">
        <v>64</v>
      </c>
      <c r="O8125" s="15" t="s">
        <v>72</v>
      </c>
      <c r="P8125" s="20" t="s">
        <v>154</v>
      </c>
      <c r="Q8125" s="15" t="s">
        <v>83</v>
      </c>
      <c r="R8125" s="4"/>
      <c r="S8125" s="4"/>
    </row>
    <row r="8126" spans="1:19" ht="21" customHeight="1" x14ac:dyDescent="0.25">
      <c r="A8126" s="14">
        <f>DATE(2012,12,31)-955</f>
        <v>40319</v>
      </c>
      <c r="B8126" s="15" t="s">
        <v>1078</v>
      </c>
      <c r="C8126" s="15" t="s">
        <v>43</v>
      </c>
      <c r="D8126" s="16">
        <v>2</v>
      </c>
      <c r="E8126" s="17">
        <v>40.340000000000003</v>
      </c>
      <c r="F8126" s="16">
        <v>0.03</v>
      </c>
      <c r="G8126" s="15" t="s">
        <v>32</v>
      </c>
      <c r="H8126" s="18">
        <v>-23.62</v>
      </c>
      <c r="I8126" s="19">
        <v>16.16</v>
      </c>
      <c r="J8126" s="19">
        <v>7.74</v>
      </c>
      <c r="K8126" s="19" t="s">
        <v>111</v>
      </c>
      <c r="L8126" s="19" t="s">
        <v>407</v>
      </c>
      <c r="M8126" s="15" t="s">
        <v>407</v>
      </c>
      <c r="N8126" s="15" t="s">
        <v>54</v>
      </c>
      <c r="O8126" s="15" t="s">
        <v>55</v>
      </c>
      <c r="P8126" s="20" t="s">
        <v>656</v>
      </c>
      <c r="Q8126" s="15" t="s">
        <v>83</v>
      </c>
      <c r="R8126" s="4"/>
      <c r="S8126" s="4"/>
    </row>
    <row r="8127" spans="1:19" ht="21" customHeight="1" x14ac:dyDescent="0.25">
      <c r="A8127" s="14">
        <f>DATE(2012,12,31)-1407</f>
        <v>39867</v>
      </c>
      <c r="B8127" s="15" t="s">
        <v>1078</v>
      </c>
      <c r="C8127" s="15" t="s">
        <v>85</v>
      </c>
      <c r="D8127" s="16">
        <v>22</v>
      </c>
      <c r="E8127" s="17">
        <v>834.81</v>
      </c>
      <c r="F8127" s="16">
        <v>0.03</v>
      </c>
      <c r="G8127" s="15" t="s">
        <v>32</v>
      </c>
      <c r="H8127" s="18">
        <v>1.98</v>
      </c>
      <c r="I8127" s="19">
        <v>37.76</v>
      </c>
      <c r="J8127" s="19">
        <v>12.9</v>
      </c>
      <c r="K8127" s="19" t="s">
        <v>44</v>
      </c>
      <c r="L8127" s="19" t="s">
        <v>89</v>
      </c>
      <c r="M8127" s="15" t="s">
        <v>2365</v>
      </c>
      <c r="N8127" s="15" t="s">
        <v>36</v>
      </c>
      <c r="O8127" s="15" t="s">
        <v>37</v>
      </c>
      <c r="P8127" s="20" t="s">
        <v>1602</v>
      </c>
      <c r="Q8127" s="15" t="s">
        <v>83</v>
      </c>
      <c r="R8127" s="4"/>
      <c r="S8127" s="4"/>
    </row>
    <row r="8128" spans="1:19" ht="21" customHeight="1" x14ac:dyDescent="0.25">
      <c r="A8128" s="14">
        <f>DATE(2012,12,31)-1313</f>
        <v>39961</v>
      </c>
      <c r="B8128" s="15" t="s">
        <v>92</v>
      </c>
      <c r="C8128" s="15" t="s">
        <v>31</v>
      </c>
      <c r="D8128" s="16">
        <v>18</v>
      </c>
      <c r="E8128" s="17">
        <v>106.45</v>
      </c>
      <c r="F8128" s="16">
        <v>0.03</v>
      </c>
      <c r="G8128" s="15" t="s">
        <v>32</v>
      </c>
      <c r="H8128" s="18">
        <v>-5.08</v>
      </c>
      <c r="I8128" s="19">
        <v>5.85</v>
      </c>
      <c r="J8128" s="19">
        <v>2.27</v>
      </c>
      <c r="K8128" s="19" t="s">
        <v>44</v>
      </c>
      <c r="L8128" s="19" t="s">
        <v>89</v>
      </c>
      <c r="M8128" s="15" t="s">
        <v>2365</v>
      </c>
      <c r="N8128" s="15" t="s">
        <v>36</v>
      </c>
      <c r="O8128" s="15" t="s">
        <v>77</v>
      </c>
      <c r="P8128" s="20" t="s">
        <v>1486</v>
      </c>
      <c r="Q8128" s="15" t="s">
        <v>79</v>
      </c>
      <c r="R8128" s="4"/>
      <c r="S8128" s="4"/>
    </row>
    <row r="8129" spans="1:19" ht="21" customHeight="1" x14ac:dyDescent="0.25">
      <c r="A8129" s="14">
        <f>DATE(2012,12,31)-1297</f>
        <v>39977</v>
      </c>
      <c r="B8129" s="15" t="s">
        <v>92</v>
      </c>
      <c r="C8129" s="15" t="s">
        <v>51</v>
      </c>
      <c r="D8129" s="16">
        <v>9</v>
      </c>
      <c r="E8129" s="17">
        <v>1608.87</v>
      </c>
      <c r="F8129" s="16">
        <v>7.0000000000000007E-2</v>
      </c>
      <c r="G8129" s="15" t="s">
        <v>32</v>
      </c>
      <c r="H8129" s="18">
        <v>346.98</v>
      </c>
      <c r="I8129" s="19">
        <v>177.98</v>
      </c>
      <c r="J8129" s="19">
        <v>0.99</v>
      </c>
      <c r="K8129" s="19" t="s">
        <v>124</v>
      </c>
      <c r="L8129" s="19" t="s">
        <v>160</v>
      </c>
      <c r="M8129" s="15" t="s">
        <v>2281</v>
      </c>
      <c r="N8129" s="15" t="s">
        <v>36</v>
      </c>
      <c r="O8129" s="15" t="s">
        <v>176</v>
      </c>
      <c r="P8129" s="20" t="s">
        <v>1127</v>
      </c>
      <c r="Q8129" s="15" t="s">
        <v>83</v>
      </c>
      <c r="R8129" s="4"/>
      <c r="S8129" s="4"/>
    </row>
    <row r="8130" spans="1:19" ht="21" customHeight="1" x14ac:dyDescent="0.25">
      <c r="A8130" s="14">
        <f>DATE(2012,12,31)-1297</f>
        <v>39977</v>
      </c>
      <c r="B8130" s="15" t="s">
        <v>1804</v>
      </c>
      <c r="C8130" s="15" t="s">
        <v>51</v>
      </c>
      <c r="D8130" s="16">
        <v>11</v>
      </c>
      <c r="E8130" s="17">
        <v>37.64</v>
      </c>
      <c r="F8130" s="16">
        <v>0.01</v>
      </c>
      <c r="G8130" s="15" t="s">
        <v>101</v>
      </c>
      <c r="H8130" s="18">
        <v>7.5225</v>
      </c>
      <c r="I8130" s="19">
        <v>2.08</v>
      </c>
      <c r="J8130" s="19">
        <v>1.49</v>
      </c>
      <c r="K8130" s="19" t="s">
        <v>97</v>
      </c>
      <c r="L8130" s="19" t="s">
        <v>132</v>
      </c>
      <c r="M8130" s="15" t="s">
        <v>2294</v>
      </c>
      <c r="N8130" s="15" t="s">
        <v>36</v>
      </c>
      <c r="O8130" s="15" t="s">
        <v>170</v>
      </c>
      <c r="P8130" s="20" t="s">
        <v>1201</v>
      </c>
      <c r="Q8130" s="15" t="s">
        <v>83</v>
      </c>
      <c r="R8130" s="4"/>
      <c r="S8130" s="4"/>
    </row>
    <row r="8131" spans="1:19" ht="21" customHeight="1" x14ac:dyDescent="0.25">
      <c r="A8131" s="14">
        <f>DATE(2012,12,31)-723</f>
        <v>40551</v>
      </c>
      <c r="B8131" s="15" t="s">
        <v>1804</v>
      </c>
      <c r="C8131" s="15" t="s">
        <v>85</v>
      </c>
      <c r="D8131" s="16">
        <v>36</v>
      </c>
      <c r="E8131" s="17">
        <v>1936.3</v>
      </c>
      <c r="F8131" s="16">
        <v>0.03</v>
      </c>
      <c r="G8131" s="15" t="s">
        <v>32</v>
      </c>
      <c r="H8131" s="18">
        <v>278.12</v>
      </c>
      <c r="I8131" s="19">
        <v>50.98</v>
      </c>
      <c r="J8131" s="19">
        <v>13.66</v>
      </c>
      <c r="K8131" s="19" t="s">
        <v>44</v>
      </c>
      <c r="L8131" s="19" t="s">
        <v>52</v>
      </c>
      <c r="M8131" s="15" t="s">
        <v>2369</v>
      </c>
      <c r="N8131" s="15" t="s">
        <v>36</v>
      </c>
      <c r="O8131" s="15" t="s">
        <v>176</v>
      </c>
      <c r="P8131" s="20" t="s">
        <v>740</v>
      </c>
      <c r="Q8131" s="15" t="s">
        <v>83</v>
      </c>
      <c r="R8131" s="4"/>
      <c r="S8131" s="4"/>
    </row>
    <row r="8132" spans="1:19" ht="21" customHeight="1" x14ac:dyDescent="0.25">
      <c r="A8132" s="14">
        <f>DATE(2012,12,31)-640</f>
        <v>40634</v>
      </c>
      <c r="B8132" s="15" t="s">
        <v>2136</v>
      </c>
      <c r="C8132" s="15" t="s">
        <v>51</v>
      </c>
      <c r="D8132" s="16">
        <v>40</v>
      </c>
      <c r="E8132" s="17">
        <v>1718.87</v>
      </c>
      <c r="F8132" s="16">
        <v>0.02</v>
      </c>
      <c r="G8132" s="15" t="s">
        <v>32</v>
      </c>
      <c r="H8132" s="18">
        <v>754.1</v>
      </c>
      <c r="I8132" s="19">
        <v>40.98</v>
      </c>
      <c r="J8132" s="19">
        <v>1.99</v>
      </c>
      <c r="K8132" s="19" t="s">
        <v>44</v>
      </c>
      <c r="L8132" s="19" t="s">
        <v>52</v>
      </c>
      <c r="M8132" s="15" t="s">
        <v>2369</v>
      </c>
      <c r="N8132" s="15" t="s">
        <v>64</v>
      </c>
      <c r="O8132" s="15" t="s">
        <v>72</v>
      </c>
      <c r="P8132" s="20" t="s">
        <v>1431</v>
      </c>
      <c r="Q8132" s="15" t="s">
        <v>49</v>
      </c>
      <c r="R8132" s="4"/>
      <c r="S8132" s="4"/>
    </row>
    <row r="8133" spans="1:19" ht="21" customHeight="1" x14ac:dyDescent="0.25">
      <c r="A8133" s="14">
        <f>DATE(2012,12,31)-1452</f>
        <v>39822</v>
      </c>
      <c r="B8133" s="15" t="s">
        <v>944</v>
      </c>
      <c r="C8133" s="15" t="s">
        <v>43</v>
      </c>
      <c r="D8133" s="16">
        <v>39</v>
      </c>
      <c r="E8133" s="17">
        <v>121.87</v>
      </c>
      <c r="F8133" s="16">
        <v>7.0000000000000007E-2</v>
      </c>
      <c r="G8133" s="15" t="s">
        <v>32</v>
      </c>
      <c r="H8133" s="18">
        <v>11.32</v>
      </c>
      <c r="I8133" s="19">
        <v>3.29</v>
      </c>
      <c r="J8133" s="19">
        <v>1.35</v>
      </c>
      <c r="K8133" s="19" t="s">
        <v>44</v>
      </c>
      <c r="L8133" s="19" t="s">
        <v>52</v>
      </c>
      <c r="M8133" s="15" t="s">
        <v>2369</v>
      </c>
      <c r="N8133" s="15" t="s">
        <v>36</v>
      </c>
      <c r="O8133" s="15" t="s">
        <v>105</v>
      </c>
      <c r="P8133" s="20" t="s">
        <v>148</v>
      </c>
      <c r="Q8133" s="15" t="s">
        <v>79</v>
      </c>
      <c r="R8133" s="4"/>
      <c r="S8133" s="4"/>
    </row>
    <row r="8134" spans="1:19" ht="21" customHeight="1" x14ac:dyDescent="0.25">
      <c r="A8134" s="14">
        <f>DATE(2012,12,31)-175</f>
        <v>41099</v>
      </c>
      <c r="B8134" s="15" t="s">
        <v>30</v>
      </c>
      <c r="C8134" s="15" t="s">
        <v>51</v>
      </c>
      <c r="D8134" s="16">
        <v>4</v>
      </c>
      <c r="E8134" s="17">
        <v>14.23</v>
      </c>
      <c r="F8134" s="16">
        <v>0</v>
      </c>
      <c r="G8134" s="15" t="s">
        <v>32</v>
      </c>
      <c r="H8134" s="18">
        <v>-4.43</v>
      </c>
      <c r="I8134" s="19">
        <v>2.08</v>
      </c>
      <c r="J8134" s="19">
        <v>5.33</v>
      </c>
      <c r="K8134" s="19" t="s">
        <v>44</v>
      </c>
      <c r="L8134" s="19" t="s">
        <v>52</v>
      </c>
      <c r="M8134" s="15" t="s">
        <v>2369</v>
      </c>
      <c r="N8134" s="15" t="s">
        <v>54</v>
      </c>
      <c r="O8134" s="15" t="s">
        <v>55</v>
      </c>
      <c r="P8134" s="20" t="s">
        <v>1667</v>
      </c>
      <c r="Q8134" s="15" t="s">
        <v>83</v>
      </c>
      <c r="R8134" s="4"/>
      <c r="S8134" s="4"/>
    </row>
    <row r="8135" spans="1:19" ht="21" customHeight="1" x14ac:dyDescent="0.25">
      <c r="A8135" s="14">
        <f>DATE(2012,12,31)-175</f>
        <v>41099</v>
      </c>
      <c r="B8135" s="15" t="s">
        <v>1282</v>
      </c>
      <c r="C8135" s="15" t="s">
        <v>51</v>
      </c>
      <c r="D8135" s="16">
        <v>39</v>
      </c>
      <c r="E8135" s="17">
        <v>272.07</v>
      </c>
      <c r="F8135" s="16">
        <v>0.02</v>
      </c>
      <c r="G8135" s="15" t="s">
        <v>32</v>
      </c>
      <c r="H8135" s="18">
        <v>-206.46</v>
      </c>
      <c r="I8135" s="19">
        <v>6.48</v>
      </c>
      <c r="J8135" s="19">
        <v>9.5399999999999991</v>
      </c>
      <c r="K8135" s="19" t="s">
        <v>33</v>
      </c>
      <c r="L8135" s="19" t="s">
        <v>93</v>
      </c>
      <c r="M8135" s="15" t="s">
        <v>94</v>
      </c>
      <c r="N8135" s="15" t="s">
        <v>36</v>
      </c>
      <c r="O8135" s="15" t="s">
        <v>117</v>
      </c>
      <c r="P8135" s="20" t="s">
        <v>1038</v>
      </c>
      <c r="Q8135" s="15" t="s">
        <v>83</v>
      </c>
      <c r="R8135" s="4"/>
      <c r="S8135" s="4"/>
    </row>
    <row r="8136" spans="1:19" ht="21" customHeight="1" x14ac:dyDescent="0.25">
      <c r="A8136" s="14">
        <f>DATE(2012,12,31)-175</f>
        <v>41099</v>
      </c>
      <c r="B8136" s="15" t="s">
        <v>595</v>
      </c>
      <c r="C8136" s="15" t="s">
        <v>51</v>
      </c>
      <c r="D8136" s="16">
        <v>5</v>
      </c>
      <c r="E8136" s="17">
        <v>325.43</v>
      </c>
      <c r="F8136" s="16">
        <v>0.09</v>
      </c>
      <c r="G8136" s="15" t="s">
        <v>101</v>
      </c>
      <c r="H8136" s="18">
        <v>-76.11</v>
      </c>
      <c r="I8136" s="19">
        <v>64.98</v>
      </c>
      <c r="J8136" s="19">
        <v>6.88</v>
      </c>
      <c r="K8136" s="19" t="s">
        <v>33</v>
      </c>
      <c r="L8136" s="19" t="s">
        <v>145</v>
      </c>
      <c r="M8136" s="15" t="s">
        <v>146</v>
      </c>
      <c r="N8136" s="15" t="s">
        <v>36</v>
      </c>
      <c r="O8136" s="15" t="s">
        <v>37</v>
      </c>
      <c r="P8136" s="20" t="s">
        <v>1312</v>
      </c>
      <c r="Q8136" s="15" t="s">
        <v>83</v>
      </c>
      <c r="R8136" s="4"/>
      <c r="S8136" s="4"/>
    </row>
    <row r="8137" spans="1:19" ht="21" customHeight="1" x14ac:dyDescent="0.25">
      <c r="A8137" s="14">
        <f>DATE(2012,12,31)-123</f>
        <v>41151</v>
      </c>
      <c r="B8137" s="15" t="s">
        <v>527</v>
      </c>
      <c r="C8137" s="15" t="s">
        <v>51</v>
      </c>
      <c r="D8137" s="16">
        <v>46</v>
      </c>
      <c r="E8137" s="17">
        <v>320.57</v>
      </c>
      <c r="F8137" s="16">
        <v>0.1</v>
      </c>
      <c r="G8137" s="15" t="s">
        <v>32</v>
      </c>
      <c r="H8137" s="18">
        <v>-114.19499999999999</v>
      </c>
      <c r="I8137" s="19">
        <v>7.1</v>
      </c>
      <c r="J8137" s="19">
        <v>6.05</v>
      </c>
      <c r="K8137" s="19" t="s">
        <v>33</v>
      </c>
      <c r="L8137" s="19" t="s">
        <v>128</v>
      </c>
      <c r="M8137" s="15" t="s">
        <v>129</v>
      </c>
      <c r="N8137" s="15" t="s">
        <v>36</v>
      </c>
      <c r="O8137" s="15" t="s">
        <v>170</v>
      </c>
      <c r="P8137" s="20" t="s">
        <v>475</v>
      </c>
      <c r="Q8137" s="15" t="s">
        <v>83</v>
      </c>
      <c r="R8137" s="4"/>
      <c r="S8137" s="4"/>
    </row>
    <row r="8138" spans="1:19" ht="21" customHeight="1" x14ac:dyDescent="0.25">
      <c r="A8138" s="14">
        <f>DATE(2012,12,31)-123</f>
        <v>41151</v>
      </c>
      <c r="B8138" s="15" t="s">
        <v>1030</v>
      </c>
      <c r="C8138" s="15" t="s">
        <v>51</v>
      </c>
      <c r="D8138" s="16">
        <v>16</v>
      </c>
      <c r="E8138" s="17">
        <v>2013.8</v>
      </c>
      <c r="F8138" s="16">
        <v>0.01</v>
      </c>
      <c r="G8138" s="15" t="s">
        <v>58</v>
      </c>
      <c r="H8138" s="18">
        <v>-98.431799999999996</v>
      </c>
      <c r="I8138" s="19">
        <v>119.99</v>
      </c>
      <c r="J8138" s="19">
        <v>56.14</v>
      </c>
      <c r="K8138" s="19" t="s">
        <v>33</v>
      </c>
      <c r="L8138" s="19" t="s">
        <v>145</v>
      </c>
      <c r="M8138" s="15" t="s">
        <v>146</v>
      </c>
      <c r="N8138" s="15" t="s">
        <v>64</v>
      </c>
      <c r="O8138" s="15" t="s">
        <v>122</v>
      </c>
      <c r="P8138" s="20" t="s">
        <v>1453</v>
      </c>
      <c r="Q8138" s="15" t="s">
        <v>63</v>
      </c>
      <c r="R8138" s="4"/>
      <c r="S8138" s="4"/>
    </row>
    <row r="8139" spans="1:19" ht="21" customHeight="1" x14ac:dyDescent="0.25">
      <c r="A8139" s="14">
        <f>DATE(2012,12,31)-965</f>
        <v>40309</v>
      </c>
      <c r="B8139" s="15" t="s">
        <v>1030</v>
      </c>
      <c r="C8139" s="15" t="s">
        <v>85</v>
      </c>
      <c r="D8139" s="16">
        <v>5</v>
      </c>
      <c r="E8139" s="17">
        <v>2168.0500000000002</v>
      </c>
      <c r="F8139" s="16">
        <v>0</v>
      </c>
      <c r="G8139" s="15" t="s">
        <v>32</v>
      </c>
      <c r="H8139" s="18">
        <v>416.01549999999997</v>
      </c>
      <c r="I8139" s="19">
        <v>420.98</v>
      </c>
      <c r="J8139" s="19">
        <v>19.989999999999998</v>
      </c>
      <c r="K8139" s="19" t="s">
        <v>33</v>
      </c>
      <c r="L8139" s="19" t="s">
        <v>128</v>
      </c>
      <c r="M8139" s="15" t="s">
        <v>129</v>
      </c>
      <c r="N8139" s="15" t="s">
        <v>36</v>
      </c>
      <c r="O8139" s="15" t="s">
        <v>170</v>
      </c>
      <c r="P8139" s="20" t="s">
        <v>1019</v>
      </c>
      <c r="Q8139" s="15" t="s">
        <v>83</v>
      </c>
      <c r="R8139" s="4"/>
      <c r="S8139" s="4"/>
    </row>
    <row r="8140" spans="1:19" ht="21" customHeight="1" x14ac:dyDescent="0.25">
      <c r="A8140" s="14">
        <f>DATE(2012,12,31)-965</f>
        <v>40309</v>
      </c>
      <c r="B8140" s="15" t="s">
        <v>450</v>
      </c>
      <c r="C8140" s="15" t="s">
        <v>85</v>
      </c>
      <c r="D8140" s="16">
        <v>44</v>
      </c>
      <c r="E8140" s="17">
        <v>303.07</v>
      </c>
      <c r="F8140" s="16">
        <v>0.02</v>
      </c>
      <c r="G8140" s="15" t="s">
        <v>32</v>
      </c>
      <c r="H8140" s="18">
        <v>-238.45</v>
      </c>
      <c r="I8140" s="19">
        <v>6.48</v>
      </c>
      <c r="J8140" s="19">
        <v>9.68</v>
      </c>
      <c r="K8140" s="19" t="s">
        <v>33</v>
      </c>
      <c r="L8140" s="19" t="s">
        <v>128</v>
      </c>
      <c r="M8140" s="15" t="s">
        <v>129</v>
      </c>
      <c r="N8140" s="15" t="s">
        <v>36</v>
      </c>
      <c r="O8140" s="15" t="s">
        <v>117</v>
      </c>
      <c r="P8140" s="20" t="s">
        <v>977</v>
      </c>
      <c r="Q8140" s="15" t="s">
        <v>83</v>
      </c>
      <c r="R8140" s="4"/>
      <c r="S8140" s="4"/>
    </row>
    <row r="8141" spans="1:19" ht="21" customHeight="1" x14ac:dyDescent="0.25">
      <c r="A8141" s="14">
        <f>DATE(2012,12,31)-965</f>
        <v>40309</v>
      </c>
      <c r="B8141" s="15" t="s">
        <v>282</v>
      </c>
      <c r="C8141" s="15" t="s">
        <v>85</v>
      </c>
      <c r="D8141" s="16">
        <v>48</v>
      </c>
      <c r="E8141" s="17">
        <v>1661.8</v>
      </c>
      <c r="F8141" s="16">
        <v>7.0000000000000007E-2</v>
      </c>
      <c r="G8141" s="15" t="s">
        <v>32</v>
      </c>
      <c r="H8141" s="18">
        <v>202.68</v>
      </c>
      <c r="I8141" s="19">
        <v>36.549999999999997</v>
      </c>
      <c r="J8141" s="19">
        <v>13.89</v>
      </c>
      <c r="K8141" s="19" t="s">
        <v>33</v>
      </c>
      <c r="L8141" s="19" t="s">
        <v>145</v>
      </c>
      <c r="M8141" s="15" t="s">
        <v>146</v>
      </c>
      <c r="N8141" s="15" t="s">
        <v>36</v>
      </c>
      <c r="O8141" s="15" t="s">
        <v>77</v>
      </c>
      <c r="P8141" s="20" t="s">
        <v>603</v>
      </c>
      <c r="Q8141" s="15" t="s">
        <v>79</v>
      </c>
      <c r="R8141" s="4"/>
      <c r="S8141" s="4"/>
    </row>
    <row r="8142" spans="1:19" ht="21" customHeight="1" x14ac:dyDescent="0.25">
      <c r="A8142" s="14">
        <f>DATE(2012,12,31)-639</f>
        <v>40635</v>
      </c>
      <c r="B8142" s="15" t="s">
        <v>1766</v>
      </c>
      <c r="C8142" s="15" t="s">
        <v>31</v>
      </c>
      <c r="D8142" s="16">
        <v>48</v>
      </c>
      <c r="E8142" s="17">
        <v>184.1</v>
      </c>
      <c r="F8142" s="16">
        <v>0.04</v>
      </c>
      <c r="G8142" s="15" t="s">
        <v>32</v>
      </c>
      <c r="H8142" s="18">
        <v>43.2</v>
      </c>
      <c r="I8142" s="19">
        <v>3.98</v>
      </c>
      <c r="J8142" s="19">
        <v>0.7</v>
      </c>
      <c r="K8142" s="19" t="s">
        <v>33</v>
      </c>
      <c r="L8142" s="19" t="s">
        <v>93</v>
      </c>
      <c r="M8142" s="15" t="s">
        <v>94</v>
      </c>
      <c r="N8142" s="15" t="s">
        <v>36</v>
      </c>
      <c r="O8142" s="15" t="s">
        <v>77</v>
      </c>
      <c r="P8142" s="20" t="s">
        <v>1187</v>
      </c>
      <c r="Q8142" s="15" t="s">
        <v>79</v>
      </c>
      <c r="R8142" s="4"/>
      <c r="S8142" s="4"/>
    </row>
    <row r="8143" spans="1:19" ht="21" customHeight="1" x14ac:dyDescent="0.25">
      <c r="A8143" s="14">
        <f>DATE(2012,12,31)-639</f>
        <v>40635</v>
      </c>
      <c r="B8143" s="15" t="s">
        <v>1949</v>
      </c>
      <c r="C8143" s="15" t="s">
        <v>31</v>
      </c>
      <c r="D8143" s="16">
        <v>16</v>
      </c>
      <c r="E8143" s="17">
        <v>38.200000000000003</v>
      </c>
      <c r="F8143" s="16">
        <v>7.0000000000000007E-2</v>
      </c>
      <c r="G8143" s="15" t="s">
        <v>101</v>
      </c>
      <c r="H8143" s="18">
        <v>4.34</v>
      </c>
      <c r="I8143" s="19">
        <v>2.21</v>
      </c>
      <c r="J8143" s="19">
        <v>1</v>
      </c>
      <c r="K8143" s="19" t="s">
        <v>33</v>
      </c>
      <c r="L8143" s="19" t="s">
        <v>34</v>
      </c>
      <c r="M8143" s="15" t="s">
        <v>2377</v>
      </c>
      <c r="N8143" s="15" t="s">
        <v>36</v>
      </c>
      <c r="O8143" s="15" t="s">
        <v>77</v>
      </c>
      <c r="P8143" s="20" t="s">
        <v>297</v>
      </c>
      <c r="Q8143" s="15" t="s">
        <v>79</v>
      </c>
      <c r="R8143" s="4"/>
      <c r="S8143" s="4"/>
    </row>
    <row r="8144" spans="1:19" ht="21" customHeight="1" x14ac:dyDescent="0.25">
      <c r="A8144" s="14">
        <f>DATE(2012,12,31)-605</f>
        <v>40669</v>
      </c>
      <c r="B8144" s="15" t="s">
        <v>823</v>
      </c>
      <c r="C8144" s="15" t="s">
        <v>51</v>
      </c>
      <c r="D8144" s="16">
        <v>29</v>
      </c>
      <c r="E8144" s="17">
        <v>1669.88</v>
      </c>
      <c r="F8144" s="16">
        <v>0.02</v>
      </c>
      <c r="G8144" s="15" t="s">
        <v>32</v>
      </c>
      <c r="H8144" s="18">
        <v>548.91999999999996</v>
      </c>
      <c r="I8144" s="19">
        <v>55.48</v>
      </c>
      <c r="J8144" s="19">
        <v>14.3</v>
      </c>
      <c r="K8144" s="19" t="s">
        <v>33</v>
      </c>
      <c r="L8144" s="19" t="s">
        <v>145</v>
      </c>
      <c r="M8144" s="15" t="s">
        <v>146</v>
      </c>
      <c r="N8144" s="15" t="s">
        <v>36</v>
      </c>
      <c r="O8144" s="15" t="s">
        <v>117</v>
      </c>
      <c r="P8144" s="20" t="s">
        <v>958</v>
      </c>
      <c r="Q8144" s="15" t="s">
        <v>83</v>
      </c>
      <c r="R8144" s="4"/>
      <c r="S8144" s="4"/>
    </row>
    <row r="8145" spans="1:19" ht="21" customHeight="1" x14ac:dyDescent="0.25">
      <c r="A8145" s="14">
        <f>DATE(2012,12,31)-549</f>
        <v>40725</v>
      </c>
      <c r="B8145" s="15" t="s">
        <v>823</v>
      </c>
      <c r="C8145" s="15" t="s">
        <v>51</v>
      </c>
      <c r="D8145" s="16">
        <v>11</v>
      </c>
      <c r="E8145" s="17">
        <v>2020.58</v>
      </c>
      <c r="F8145" s="16">
        <v>0.01</v>
      </c>
      <c r="G8145" s="15" t="s">
        <v>58</v>
      </c>
      <c r="H8145" s="18">
        <v>-45.02</v>
      </c>
      <c r="I8145" s="19">
        <v>180.98</v>
      </c>
      <c r="J8145" s="19">
        <v>30</v>
      </c>
      <c r="K8145" s="19" t="s">
        <v>33</v>
      </c>
      <c r="L8145" s="19" t="s">
        <v>34</v>
      </c>
      <c r="M8145" s="15" t="s">
        <v>2377</v>
      </c>
      <c r="N8145" s="15" t="s">
        <v>54</v>
      </c>
      <c r="O8145" s="15" t="s">
        <v>252</v>
      </c>
      <c r="P8145" s="20" t="s">
        <v>1538</v>
      </c>
      <c r="Q8145" s="15" t="s">
        <v>181</v>
      </c>
      <c r="R8145" s="4"/>
      <c r="S8145" s="4"/>
    </row>
    <row r="8146" spans="1:19" ht="21" customHeight="1" x14ac:dyDescent="0.25">
      <c r="A8146" s="14">
        <f>DATE(2012,12,31)-549</f>
        <v>40725</v>
      </c>
      <c r="B8146" s="15" t="s">
        <v>688</v>
      </c>
      <c r="C8146" s="15" t="s">
        <v>51</v>
      </c>
      <c r="D8146" s="16">
        <v>30</v>
      </c>
      <c r="E8146" s="17">
        <v>1533.46</v>
      </c>
      <c r="F8146" s="16">
        <v>0</v>
      </c>
      <c r="G8146" s="15" t="s">
        <v>32</v>
      </c>
      <c r="H8146" s="18">
        <v>730.44</v>
      </c>
      <c r="I8146" s="19">
        <v>48.04</v>
      </c>
      <c r="J8146" s="19">
        <v>5.79</v>
      </c>
      <c r="K8146" s="19" t="s">
        <v>33</v>
      </c>
      <c r="L8146" s="19" t="s">
        <v>145</v>
      </c>
      <c r="M8146" s="15" t="s">
        <v>146</v>
      </c>
      <c r="N8146" s="15" t="s">
        <v>36</v>
      </c>
      <c r="O8146" s="15" t="s">
        <v>117</v>
      </c>
      <c r="P8146" s="20" t="s">
        <v>1036</v>
      </c>
      <c r="Q8146" s="15" t="s">
        <v>83</v>
      </c>
      <c r="R8146" s="4"/>
      <c r="S8146" s="4"/>
    </row>
    <row r="8147" spans="1:19" ht="21" customHeight="1" x14ac:dyDescent="0.25">
      <c r="A8147" s="14">
        <f>DATE(2012,12,31)-549</f>
        <v>40725</v>
      </c>
      <c r="B8147" s="15" t="s">
        <v>688</v>
      </c>
      <c r="C8147" s="15" t="s">
        <v>51</v>
      </c>
      <c r="D8147" s="16">
        <v>20</v>
      </c>
      <c r="E8147" s="17">
        <v>5989.0480000000007</v>
      </c>
      <c r="F8147" s="16">
        <v>0.09</v>
      </c>
      <c r="G8147" s="15" t="s">
        <v>58</v>
      </c>
      <c r="H8147" s="18">
        <v>541.01</v>
      </c>
      <c r="I8147" s="19">
        <v>400.98</v>
      </c>
      <c r="J8147" s="19">
        <v>42.52</v>
      </c>
      <c r="K8147" s="19" t="s">
        <v>33</v>
      </c>
      <c r="L8147" s="19" t="s">
        <v>59</v>
      </c>
      <c r="M8147" s="15" t="s">
        <v>2344</v>
      </c>
      <c r="N8147" s="15" t="s">
        <v>54</v>
      </c>
      <c r="O8147" s="15" t="s">
        <v>61</v>
      </c>
      <c r="P8147" s="20" t="s">
        <v>912</v>
      </c>
      <c r="Q8147" s="15" t="s">
        <v>63</v>
      </c>
      <c r="R8147" s="4"/>
      <c r="S8147" s="4"/>
    </row>
    <row r="8148" spans="1:19" ht="21" customHeight="1" x14ac:dyDescent="0.25">
      <c r="A8148" s="14">
        <f>DATE(2012,12,31)-1393</f>
        <v>39881</v>
      </c>
      <c r="B8148" s="15" t="s">
        <v>489</v>
      </c>
      <c r="C8148" s="15" t="s">
        <v>51</v>
      </c>
      <c r="D8148" s="16">
        <v>42</v>
      </c>
      <c r="E8148" s="17">
        <v>843.53</v>
      </c>
      <c r="F8148" s="16">
        <v>0.04</v>
      </c>
      <c r="G8148" s="15" t="s">
        <v>32</v>
      </c>
      <c r="H8148" s="18">
        <v>268.32</v>
      </c>
      <c r="I8148" s="19">
        <v>19.23</v>
      </c>
      <c r="J8148" s="19">
        <v>6.15</v>
      </c>
      <c r="K8148" s="19" t="s">
        <v>33</v>
      </c>
      <c r="L8148" s="19" t="s">
        <v>145</v>
      </c>
      <c r="M8148" s="15" t="s">
        <v>146</v>
      </c>
      <c r="N8148" s="15" t="s">
        <v>54</v>
      </c>
      <c r="O8148" s="15" t="s">
        <v>55</v>
      </c>
      <c r="P8148" s="20" t="s">
        <v>385</v>
      </c>
      <c r="Q8148" s="15" t="s">
        <v>49</v>
      </c>
      <c r="R8148" s="4"/>
      <c r="S8148" s="4"/>
    </row>
    <row r="8149" spans="1:19" ht="21" customHeight="1" x14ac:dyDescent="0.25">
      <c r="A8149" s="14">
        <f>DATE(2012,12,31)-238</f>
        <v>41036</v>
      </c>
      <c r="B8149" s="15" t="s">
        <v>136</v>
      </c>
      <c r="C8149" s="15" t="s">
        <v>31</v>
      </c>
      <c r="D8149" s="16">
        <v>11</v>
      </c>
      <c r="E8149" s="17">
        <v>273.44</v>
      </c>
      <c r="F8149" s="16">
        <v>0.01</v>
      </c>
      <c r="G8149" s="15" t="s">
        <v>32</v>
      </c>
      <c r="H8149" s="18">
        <v>-35.615499999999997</v>
      </c>
      <c r="I8149" s="19">
        <v>22.38</v>
      </c>
      <c r="J8149" s="19">
        <v>15.1</v>
      </c>
      <c r="K8149" s="19" t="s">
        <v>33</v>
      </c>
      <c r="L8149" s="19" t="s">
        <v>59</v>
      </c>
      <c r="M8149" s="15" t="s">
        <v>2344</v>
      </c>
      <c r="N8149" s="15" t="s">
        <v>36</v>
      </c>
      <c r="O8149" s="15" t="s">
        <v>170</v>
      </c>
      <c r="P8149" s="20" t="s">
        <v>227</v>
      </c>
      <c r="Q8149" s="15" t="s">
        <v>83</v>
      </c>
      <c r="R8149" s="4"/>
      <c r="S8149" s="4"/>
    </row>
    <row r="8150" spans="1:19" ht="21" customHeight="1" x14ac:dyDescent="0.25">
      <c r="A8150" s="14">
        <f>DATE(2012,12,31)-572</f>
        <v>40702</v>
      </c>
      <c r="B8150" s="15" t="s">
        <v>185</v>
      </c>
      <c r="C8150" s="15" t="s">
        <v>51</v>
      </c>
      <c r="D8150" s="16">
        <v>24</v>
      </c>
      <c r="E8150" s="17">
        <v>1811.55</v>
      </c>
      <c r="F8150" s="16">
        <v>0.09</v>
      </c>
      <c r="G8150" s="15" t="s">
        <v>32</v>
      </c>
      <c r="H8150" s="18">
        <v>512.69000000000005</v>
      </c>
      <c r="I8150" s="19">
        <v>81.319999999999993</v>
      </c>
      <c r="J8150" s="19">
        <v>0.99</v>
      </c>
      <c r="K8150" s="19" t="s">
        <v>33</v>
      </c>
      <c r="L8150" s="19" t="s">
        <v>59</v>
      </c>
      <c r="M8150" s="15" t="s">
        <v>2344</v>
      </c>
      <c r="N8150" s="15" t="s">
        <v>36</v>
      </c>
      <c r="O8150" s="15" t="s">
        <v>176</v>
      </c>
      <c r="P8150" s="20" t="s">
        <v>1406</v>
      </c>
      <c r="Q8150" s="15" t="s">
        <v>83</v>
      </c>
      <c r="R8150" s="4"/>
      <c r="S8150" s="4"/>
    </row>
    <row r="8151" spans="1:19" ht="21" customHeight="1" x14ac:dyDescent="0.25">
      <c r="A8151" s="14">
        <f>DATE(2012,12,31)-572</f>
        <v>40702</v>
      </c>
      <c r="B8151" s="15" t="s">
        <v>185</v>
      </c>
      <c r="C8151" s="15" t="s">
        <v>51</v>
      </c>
      <c r="D8151" s="16">
        <v>13</v>
      </c>
      <c r="E8151" s="17">
        <v>49.08</v>
      </c>
      <c r="F8151" s="16">
        <v>0.06</v>
      </c>
      <c r="G8151" s="15" t="s">
        <v>32</v>
      </c>
      <c r="H8151" s="18">
        <v>-0.31</v>
      </c>
      <c r="I8151" s="19">
        <v>3.71</v>
      </c>
      <c r="J8151" s="19">
        <v>1.93</v>
      </c>
      <c r="K8151" s="19" t="s">
        <v>33</v>
      </c>
      <c r="L8151" s="19" t="s">
        <v>145</v>
      </c>
      <c r="M8151" s="15" t="s">
        <v>146</v>
      </c>
      <c r="N8151" s="15" t="s">
        <v>36</v>
      </c>
      <c r="O8151" s="15" t="s">
        <v>117</v>
      </c>
      <c r="P8151" s="20" t="s">
        <v>213</v>
      </c>
      <c r="Q8151" s="15" t="s">
        <v>79</v>
      </c>
      <c r="R8151" s="4"/>
      <c r="S8151" s="4"/>
    </row>
    <row r="8152" spans="1:19" ht="21" customHeight="1" x14ac:dyDescent="0.25">
      <c r="A8152" s="14">
        <f>DATE(2012,12,31)-572</f>
        <v>40702</v>
      </c>
      <c r="B8152" s="15" t="s">
        <v>131</v>
      </c>
      <c r="C8152" s="15" t="s">
        <v>51</v>
      </c>
      <c r="D8152" s="16">
        <v>36</v>
      </c>
      <c r="E8152" s="17">
        <v>236.19</v>
      </c>
      <c r="F8152" s="16">
        <v>0.06</v>
      </c>
      <c r="G8152" s="15" t="s">
        <v>32</v>
      </c>
      <c r="H8152" s="18">
        <v>-76.92</v>
      </c>
      <c r="I8152" s="19">
        <v>6.48</v>
      </c>
      <c r="J8152" s="19">
        <v>5.94</v>
      </c>
      <c r="K8152" s="19" t="s">
        <v>33</v>
      </c>
      <c r="L8152" s="19" t="s">
        <v>34</v>
      </c>
      <c r="M8152" s="15" t="s">
        <v>2377</v>
      </c>
      <c r="N8152" s="15" t="s">
        <v>36</v>
      </c>
      <c r="O8152" s="15" t="s">
        <v>117</v>
      </c>
      <c r="P8152" s="20" t="s">
        <v>1381</v>
      </c>
      <c r="Q8152" s="15" t="s">
        <v>83</v>
      </c>
      <c r="R8152" s="4"/>
      <c r="S8152" s="4"/>
    </row>
    <row r="8153" spans="1:19" ht="21" customHeight="1" x14ac:dyDescent="0.25">
      <c r="A8153" s="14">
        <f>DATE(2012,12,31)-572</f>
        <v>40702</v>
      </c>
      <c r="B8153" s="15" t="s">
        <v>282</v>
      </c>
      <c r="C8153" s="15" t="s">
        <v>51</v>
      </c>
      <c r="D8153" s="16">
        <v>45</v>
      </c>
      <c r="E8153" s="17">
        <v>854.14</v>
      </c>
      <c r="F8153" s="16">
        <v>0.01</v>
      </c>
      <c r="G8153" s="15" t="s">
        <v>32</v>
      </c>
      <c r="H8153" s="18">
        <v>94</v>
      </c>
      <c r="I8153" s="19">
        <v>18.97</v>
      </c>
      <c r="J8153" s="19">
        <v>9.0299999999999994</v>
      </c>
      <c r="K8153" s="19" t="s">
        <v>69</v>
      </c>
      <c r="L8153" s="19" t="s">
        <v>70</v>
      </c>
      <c r="M8153" s="15" t="s">
        <v>2357</v>
      </c>
      <c r="N8153" s="15" t="s">
        <v>36</v>
      </c>
      <c r="O8153" s="15" t="s">
        <v>117</v>
      </c>
      <c r="P8153" s="20" t="s">
        <v>1299</v>
      </c>
      <c r="Q8153" s="15" t="s">
        <v>83</v>
      </c>
      <c r="R8153" s="4"/>
      <c r="S8153" s="4"/>
    </row>
    <row r="8154" spans="1:19" ht="21" customHeight="1" x14ac:dyDescent="0.25">
      <c r="A8154" s="14">
        <f>DATE(2012,12,31)-572</f>
        <v>40702</v>
      </c>
      <c r="B8154" s="15" t="s">
        <v>282</v>
      </c>
      <c r="C8154" s="15" t="s">
        <v>51</v>
      </c>
      <c r="D8154" s="16">
        <v>5</v>
      </c>
      <c r="E8154" s="17">
        <v>159.5</v>
      </c>
      <c r="F8154" s="16">
        <v>0.09</v>
      </c>
      <c r="G8154" s="15" t="s">
        <v>32</v>
      </c>
      <c r="H8154" s="18">
        <v>-57.98</v>
      </c>
      <c r="I8154" s="19">
        <v>31.98</v>
      </c>
      <c r="J8154" s="19">
        <v>6.72</v>
      </c>
      <c r="K8154" s="19" t="s">
        <v>69</v>
      </c>
      <c r="L8154" s="19" t="s">
        <v>70</v>
      </c>
      <c r="M8154" s="15" t="s">
        <v>2357</v>
      </c>
      <c r="N8154" s="15" t="s">
        <v>36</v>
      </c>
      <c r="O8154" s="15" t="s">
        <v>37</v>
      </c>
      <c r="P8154" s="20" t="s">
        <v>894</v>
      </c>
      <c r="Q8154" s="15" t="s">
        <v>83</v>
      </c>
      <c r="R8154" s="4"/>
      <c r="S8154" s="4"/>
    </row>
    <row r="8155" spans="1:19" ht="21" customHeight="1" x14ac:dyDescent="0.25">
      <c r="A8155" s="14">
        <f>DATE(2012,12,31)-569</f>
        <v>40705</v>
      </c>
      <c r="B8155" s="15" t="s">
        <v>282</v>
      </c>
      <c r="C8155" s="15" t="s">
        <v>43</v>
      </c>
      <c r="D8155" s="16">
        <v>20</v>
      </c>
      <c r="E8155" s="17">
        <v>137.97</v>
      </c>
      <c r="F8155" s="16">
        <v>0.06</v>
      </c>
      <c r="G8155" s="15" t="s">
        <v>32</v>
      </c>
      <c r="H8155" s="18">
        <v>-123.94</v>
      </c>
      <c r="I8155" s="19">
        <v>6.48</v>
      </c>
      <c r="J8155" s="19">
        <v>10.050000000000001</v>
      </c>
      <c r="K8155" s="19" t="s">
        <v>69</v>
      </c>
      <c r="L8155" s="19" t="s">
        <v>75</v>
      </c>
      <c r="M8155" s="15" t="s">
        <v>76</v>
      </c>
      <c r="N8155" s="15" t="s">
        <v>36</v>
      </c>
      <c r="O8155" s="15" t="s">
        <v>117</v>
      </c>
      <c r="P8155" s="20" t="s">
        <v>2196</v>
      </c>
      <c r="Q8155" s="15" t="s">
        <v>83</v>
      </c>
      <c r="R8155" s="4"/>
      <c r="S8155" s="4"/>
    </row>
    <row r="8156" spans="1:19" ht="21" customHeight="1" x14ac:dyDescent="0.25">
      <c r="A8156" s="14">
        <f>DATE(2012,12,31)-686</f>
        <v>40588</v>
      </c>
      <c r="B8156" s="15" t="s">
        <v>2213</v>
      </c>
      <c r="C8156" s="15" t="s">
        <v>31</v>
      </c>
      <c r="D8156" s="16">
        <v>17</v>
      </c>
      <c r="E8156" s="17">
        <v>1529.0139999999999</v>
      </c>
      <c r="F8156" s="16">
        <v>7.0000000000000007E-2</v>
      </c>
      <c r="G8156" s="15" t="s">
        <v>32</v>
      </c>
      <c r="H8156" s="18">
        <v>14.013</v>
      </c>
      <c r="I8156" s="19">
        <v>110.99</v>
      </c>
      <c r="J8156" s="19">
        <v>8.99</v>
      </c>
      <c r="K8156" s="19" t="s">
        <v>69</v>
      </c>
      <c r="L8156" s="19" t="s">
        <v>75</v>
      </c>
      <c r="M8156" s="15" t="s">
        <v>76</v>
      </c>
      <c r="N8156" s="15" t="s">
        <v>64</v>
      </c>
      <c r="O8156" s="15" t="s">
        <v>65</v>
      </c>
      <c r="P8156" s="20" t="s">
        <v>1427</v>
      </c>
      <c r="Q8156" s="15" t="s">
        <v>83</v>
      </c>
      <c r="R8156" s="4"/>
      <c r="S8156" s="4"/>
    </row>
    <row r="8157" spans="1:19" ht="21" customHeight="1" x14ac:dyDescent="0.25">
      <c r="A8157" s="14">
        <f>DATE(2012,12,31)-1053</f>
        <v>40221</v>
      </c>
      <c r="B8157" s="15" t="s">
        <v>1758</v>
      </c>
      <c r="C8157" s="15" t="s">
        <v>85</v>
      </c>
      <c r="D8157" s="16">
        <v>23</v>
      </c>
      <c r="E8157" s="17">
        <v>5186.3100000000004</v>
      </c>
      <c r="F8157" s="16">
        <v>0.03</v>
      </c>
      <c r="G8157" s="15" t="s">
        <v>58</v>
      </c>
      <c r="H8157" s="18">
        <v>1009.38</v>
      </c>
      <c r="I8157" s="19">
        <v>226.67</v>
      </c>
      <c r="J8157" s="19">
        <v>28.16</v>
      </c>
      <c r="K8157" s="19" t="s">
        <v>69</v>
      </c>
      <c r="L8157" s="19" t="s">
        <v>75</v>
      </c>
      <c r="M8157" s="15" t="s">
        <v>76</v>
      </c>
      <c r="N8157" s="15" t="s">
        <v>54</v>
      </c>
      <c r="O8157" s="15" t="s">
        <v>252</v>
      </c>
      <c r="P8157" s="20" t="s">
        <v>793</v>
      </c>
      <c r="Q8157" s="15" t="s">
        <v>181</v>
      </c>
      <c r="R8157" s="4"/>
      <c r="S8157" s="4"/>
    </row>
    <row r="8158" spans="1:19" ht="21" customHeight="1" x14ac:dyDescent="0.25">
      <c r="A8158" s="14">
        <f>DATE(2012,12,31)-796</f>
        <v>40478</v>
      </c>
      <c r="B8158" s="15" t="s">
        <v>1070</v>
      </c>
      <c r="C8158" s="15" t="s">
        <v>85</v>
      </c>
      <c r="D8158" s="16">
        <v>14</v>
      </c>
      <c r="E8158" s="17">
        <v>700.95</v>
      </c>
      <c r="F8158" s="16">
        <v>0</v>
      </c>
      <c r="G8158" s="15" t="s">
        <v>32</v>
      </c>
      <c r="H8158" s="18">
        <v>233.8</v>
      </c>
      <c r="I8158" s="19">
        <v>46.89</v>
      </c>
      <c r="J8158" s="19">
        <v>5.0999999999999996</v>
      </c>
      <c r="K8158" s="19" t="s">
        <v>69</v>
      </c>
      <c r="L8158" s="19" t="s">
        <v>75</v>
      </c>
      <c r="M8158" s="15" t="s">
        <v>76</v>
      </c>
      <c r="N8158" s="15" t="s">
        <v>36</v>
      </c>
      <c r="O8158" s="15" t="s">
        <v>176</v>
      </c>
      <c r="P8158" s="20" t="s">
        <v>2192</v>
      </c>
      <c r="Q8158" s="15" t="s">
        <v>57</v>
      </c>
      <c r="R8158" s="4"/>
      <c r="S8158" s="4"/>
    </row>
    <row r="8159" spans="1:19" ht="21" customHeight="1" x14ac:dyDescent="0.25">
      <c r="A8159" s="14">
        <f>DATE(2012,12,31)-796</f>
        <v>40478</v>
      </c>
      <c r="B8159" s="15" t="s">
        <v>1070</v>
      </c>
      <c r="C8159" s="15" t="s">
        <v>85</v>
      </c>
      <c r="D8159" s="16">
        <v>41</v>
      </c>
      <c r="E8159" s="17">
        <v>159.74</v>
      </c>
      <c r="F8159" s="16">
        <v>0.08</v>
      </c>
      <c r="G8159" s="15" t="s">
        <v>101</v>
      </c>
      <c r="H8159" s="18">
        <v>-9.14</v>
      </c>
      <c r="I8159" s="19">
        <v>3.69</v>
      </c>
      <c r="J8159" s="19">
        <v>2.5</v>
      </c>
      <c r="K8159" s="19" t="s">
        <v>69</v>
      </c>
      <c r="L8159" s="19" t="s">
        <v>70</v>
      </c>
      <c r="M8159" s="15" t="s">
        <v>2357</v>
      </c>
      <c r="N8159" s="15" t="s">
        <v>36</v>
      </c>
      <c r="O8159" s="15" t="s">
        <v>189</v>
      </c>
      <c r="P8159" s="20" t="s">
        <v>1285</v>
      </c>
      <c r="Q8159" s="15" t="s">
        <v>83</v>
      </c>
      <c r="R8159" s="4"/>
      <c r="S8159" s="4"/>
    </row>
    <row r="8160" spans="1:19" ht="21" customHeight="1" x14ac:dyDescent="0.25">
      <c r="A8160" s="14">
        <f>DATE(2012,12,31)-49</f>
        <v>41225</v>
      </c>
      <c r="B8160" s="15" t="s">
        <v>398</v>
      </c>
      <c r="C8160" s="15" t="s">
        <v>85</v>
      </c>
      <c r="D8160" s="16">
        <v>49</v>
      </c>
      <c r="E8160" s="17">
        <v>103.03</v>
      </c>
      <c r="F8160" s="16">
        <v>7.0000000000000007E-2</v>
      </c>
      <c r="G8160" s="15" t="s">
        <v>32</v>
      </c>
      <c r="H8160" s="18">
        <v>-82.63</v>
      </c>
      <c r="I8160" s="19">
        <v>2.08</v>
      </c>
      <c r="J8160" s="19">
        <v>2.56</v>
      </c>
      <c r="K8160" s="19" t="s">
        <v>69</v>
      </c>
      <c r="L8160" s="19" t="s">
        <v>75</v>
      </c>
      <c r="M8160" s="15" t="s">
        <v>76</v>
      </c>
      <c r="N8160" s="15" t="s">
        <v>36</v>
      </c>
      <c r="O8160" s="15" t="s">
        <v>47</v>
      </c>
      <c r="P8160" s="20" t="s">
        <v>1098</v>
      </c>
      <c r="Q8160" s="15" t="s">
        <v>49</v>
      </c>
      <c r="R8160" s="4"/>
      <c r="S8160" s="4"/>
    </row>
    <row r="8161" spans="1:19" ht="21" customHeight="1" x14ac:dyDescent="0.25">
      <c r="A8161" s="14">
        <f>DATE(2012,12,31)-496</f>
        <v>40778</v>
      </c>
      <c r="B8161" s="15" t="s">
        <v>2191</v>
      </c>
      <c r="C8161" s="15" t="s">
        <v>43</v>
      </c>
      <c r="D8161" s="16">
        <v>45</v>
      </c>
      <c r="E8161" s="17">
        <v>4680.8900000000003</v>
      </c>
      <c r="F8161" s="16">
        <v>7.0000000000000007E-2</v>
      </c>
      <c r="G8161" s="15" t="s">
        <v>32</v>
      </c>
      <c r="H8161" s="18">
        <v>693.01</v>
      </c>
      <c r="I8161" s="19">
        <v>105.29</v>
      </c>
      <c r="J8161" s="19">
        <v>10.119999999999999</v>
      </c>
      <c r="K8161" s="19" t="s">
        <v>69</v>
      </c>
      <c r="L8161" s="19" t="s">
        <v>70</v>
      </c>
      <c r="M8161" s="15" t="s">
        <v>2357</v>
      </c>
      <c r="N8161" s="15" t="s">
        <v>54</v>
      </c>
      <c r="O8161" s="15" t="s">
        <v>55</v>
      </c>
      <c r="P8161" s="20" t="s">
        <v>507</v>
      </c>
      <c r="Q8161" s="15" t="s">
        <v>39</v>
      </c>
      <c r="R8161" s="4"/>
      <c r="S8161" s="4"/>
    </row>
    <row r="8162" spans="1:19" ht="21" customHeight="1" x14ac:dyDescent="0.25">
      <c r="A8162" s="14">
        <f>DATE(2012,12,31)-496</f>
        <v>40778</v>
      </c>
      <c r="B8162" s="15" t="s">
        <v>1512</v>
      </c>
      <c r="C8162" s="15" t="s">
        <v>43</v>
      </c>
      <c r="D8162" s="16">
        <v>42</v>
      </c>
      <c r="E8162" s="17">
        <v>2414.9944999999998</v>
      </c>
      <c r="F8162" s="16">
        <v>0.01</v>
      </c>
      <c r="G8162" s="15" t="s">
        <v>101</v>
      </c>
      <c r="H8162" s="18">
        <v>624.70799999999997</v>
      </c>
      <c r="I8162" s="19">
        <v>65.989999999999995</v>
      </c>
      <c r="J8162" s="19">
        <v>4.99</v>
      </c>
      <c r="K8162" s="19" t="s">
        <v>69</v>
      </c>
      <c r="L8162" s="19" t="s">
        <v>70</v>
      </c>
      <c r="M8162" s="15" t="s">
        <v>2357</v>
      </c>
      <c r="N8162" s="15" t="s">
        <v>64</v>
      </c>
      <c r="O8162" s="15" t="s">
        <v>65</v>
      </c>
      <c r="P8162" s="20" t="s">
        <v>866</v>
      </c>
      <c r="Q8162" s="15" t="s">
        <v>83</v>
      </c>
      <c r="R8162" s="4"/>
      <c r="S8162" s="4"/>
    </row>
    <row r="8163" spans="1:19" ht="21" customHeight="1" x14ac:dyDescent="0.25">
      <c r="A8163" s="14">
        <f>DATE(2012,12,31)-480</f>
        <v>40794</v>
      </c>
      <c r="B8163" s="15" t="s">
        <v>1509</v>
      </c>
      <c r="C8163" s="15" t="s">
        <v>85</v>
      </c>
      <c r="D8163" s="16">
        <v>29</v>
      </c>
      <c r="E8163" s="17">
        <v>2018.45</v>
      </c>
      <c r="F8163" s="16">
        <v>0.08</v>
      </c>
      <c r="G8163" s="15" t="s">
        <v>32</v>
      </c>
      <c r="H8163" s="18">
        <v>-812.25</v>
      </c>
      <c r="I8163" s="19">
        <v>70.709999999999994</v>
      </c>
      <c r="J8163" s="19">
        <v>37.58</v>
      </c>
      <c r="K8163" s="19" t="s">
        <v>69</v>
      </c>
      <c r="L8163" s="19" t="s">
        <v>70</v>
      </c>
      <c r="M8163" s="15" t="s">
        <v>2357</v>
      </c>
      <c r="N8163" s="15" t="s">
        <v>54</v>
      </c>
      <c r="O8163" s="15" t="s">
        <v>55</v>
      </c>
      <c r="P8163" s="20" t="s">
        <v>858</v>
      </c>
      <c r="Q8163" s="15" t="s">
        <v>79</v>
      </c>
      <c r="R8163" s="4"/>
      <c r="S8163" s="4"/>
    </row>
    <row r="8164" spans="1:19" ht="21" customHeight="1" x14ac:dyDescent="0.25">
      <c r="A8164" s="14">
        <f>DATE(2012,12,31)-855</f>
        <v>40419</v>
      </c>
      <c r="B8164" s="15" t="s">
        <v>1509</v>
      </c>
      <c r="C8164" s="15" t="s">
        <v>51</v>
      </c>
      <c r="D8164" s="16">
        <v>41</v>
      </c>
      <c r="E8164" s="17">
        <v>812.21</v>
      </c>
      <c r="F8164" s="16">
        <v>0.06</v>
      </c>
      <c r="G8164" s="15" t="s">
        <v>101</v>
      </c>
      <c r="H8164" s="18">
        <v>-128.02000000000001</v>
      </c>
      <c r="I8164" s="19">
        <v>20.28</v>
      </c>
      <c r="J8164" s="19">
        <v>14.39</v>
      </c>
      <c r="K8164" s="19" t="s">
        <v>69</v>
      </c>
      <c r="L8164" s="19" t="s">
        <v>215</v>
      </c>
      <c r="M8164" s="15" t="s">
        <v>2355</v>
      </c>
      <c r="N8164" s="15" t="s">
        <v>54</v>
      </c>
      <c r="O8164" s="15" t="s">
        <v>55</v>
      </c>
      <c r="P8164" s="20" t="s">
        <v>684</v>
      </c>
      <c r="Q8164" s="15" t="s">
        <v>83</v>
      </c>
      <c r="R8164" s="4"/>
      <c r="S8164" s="4"/>
    </row>
    <row r="8165" spans="1:19" ht="21" customHeight="1" x14ac:dyDescent="0.25">
      <c r="A8165" s="14">
        <f>DATE(2012,12,31)-497</f>
        <v>40777</v>
      </c>
      <c r="B8165" s="15" t="s">
        <v>1509</v>
      </c>
      <c r="C8165" s="15" t="s">
        <v>85</v>
      </c>
      <c r="D8165" s="16">
        <v>50</v>
      </c>
      <c r="E8165" s="17">
        <v>13608.83</v>
      </c>
      <c r="F8165" s="16">
        <v>0.1</v>
      </c>
      <c r="G8165" s="15" t="s">
        <v>58</v>
      </c>
      <c r="H8165" s="18">
        <v>1342.93</v>
      </c>
      <c r="I8165" s="19">
        <v>300.98</v>
      </c>
      <c r="J8165" s="19">
        <v>64.73</v>
      </c>
      <c r="K8165" s="19" t="s">
        <v>69</v>
      </c>
      <c r="L8165" s="19" t="s">
        <v>215</v>
      </c>
      <c r="M8165" s="15" t="s">
        <v>2355</v>
      </c>
      <c r="N8165" s="15" t="s">
        <v>54</v>
      </c>
      <c r="O8165" s="15" t="s">
        <v>252</v>
      </c>
      <c r="P8165" s="20" t="s">
        <v>727</v>
      </c>
      <c r="Q8165" s="15" t="s">
        <v>181</v>
      </c>
      <c r="R8165" s="4"/>
      <c r="S8165" s="4"/>
    </row>
    <row r="8166" spans="1:19" ht="21" customHeight="1" x14ac:dyDescent="0.25">
      <c r="A8166" s="14">
        <f>DATE(2012,12,31)-497</f>
        <v>40777</v>
      </c>
      <c r="B8166" s="15" t="s">
        <v>1726</v>
      </c>
      <c r="C8166" s="15" t="s">
        <v>85</v>
      </c>
      <c r="D8166" s="16">
        <v>25</v>
      </c>
      <c r="E8166" s="17">
        <v>89.32</v>
      </c>
      <c r="F8166" s="16">
        <v>0.01</v>
      </c>
      <c r="G8166" s="15" t="s">
        <v>32</v>
      </c>
      <c r="H8166" s="18">
        <v>33.46</v>
      </c>
      <c r="I8166" s="19">
        <v>3.41</v>
      </c>
      <c r="J8166" s="19">
        <v>0.7</v>
      </c>
      <c r="K8166" s="19" t="s">
        <v>69</v>
      </c>
      <c r="L8166" s="19" t="s">
        <v>215</v>
      </c>
      <c r="M8166" s="15" t="s">
        <v>2355</v>
      </c>
      <c r="N8166" s="15" t="s">
        <v>36</v>
      </c>
      <c r="O8166" s="15" t="s">
        <v>105</v>
      </c>
      <c r="P8166" s="20" t="s">
        <v>913</v>
      </c>
      <c r="Q8166" s="15" t="s">
        <v>79</v>
      </c>
      <c r="R8166" s="4"/>
      <c r="S8166" s="4"/>
    </row>
    <row r="8167" spans="1:19" ht="21" customHeight="1" x14ac:dyDescent="0.25">
      <c r="A8167" s="14">
        <f>DATE(2012,12,31)-1082</f>
        <v>40192</v>
      </c>
      <c r="B8167" s="15" t="s">
        <v>1726</v>
      </c>
      <c r="C8167" s="15" t="s">
        <v>85</v>
      </c>
      <c r="D8167" s="16">
        <v>49</v>
      </c>
      <c r="E8167" s="17">
        <v>5332.42</v>
      </c>
      <c r="F8167" s="16">
        <v>0.06</v>
      </c>
      <c r="G8167" s="15" t="s">
        <v>58</v>
      </c>
      <c r="H8167" s="18">
        <v>-219.2</v>
      </c>
      <c r="I8167" s="19">
        <v>113.98</v>
      </c>
      <c r="J8167" s="19">
        <v>30</v>
      </c>
      <c r="K8167" s="19" t="s">
        <v>69</v>
      </c>
      <c r="L8167" s="19" t="s">
        <v>75</v>
      </c>
      <c r="M8167" s="15" t="s">
        <v>76</v>
      </c>
      <c r="N8167" s="15" t="s">
        <v>54</v>
      </c>
      <c r="O8167" s="15" t="s">
        <v>252</v>
      </c>
      <c r="P8167" s="20" t="s">
        <v>1542</v>
      </c>
      <c r="Q8167" s="15" t="s">
        <v>181</v>
      </c>
      <c r="R8167" s="4"/>
      <c r="S8167" s="4"/>
    </row>
    <row r="8168" spans="1:19" ht="21" customHeight="1" x14ac:dyDescent="0.25">
      <c r="A8168" s="14">
        <f>DATE(2012,12,31)-1082</f>
        <v>40192</v>
      </c>
      <c r="B8168" s="15" t="s">
        <v>1386</v>
      </c>
      <c r="C8168" s="15" t="s">
        <v>85</v>
      </c>
      <c r="D8168" s="16">
        <v>19</v>
      </c>
      <c r="E8168" s="17">
        <v>2328.62</v>
      </c>
      <c r="F8168" s="16">
        <v>0</v>
      </c>
      <c r="G8168" s="15" t="s">
        <v>58</v>
      </c>
      <c r="H8168" s="18">
        <v>45.54</v>
      </c>
      <c r="I8168" s="19">
        <v>120.98</v>
      </c>
      <c r="J8168" s="19">
        <v>30</v>
      </c>
      <c r="K8168" s="19" t="s">
        <v>69</v>
      </c>
      <c r="L8168" s="19" t="s">
        <v>215</v>
      </c>
      <c r="M8168" s="15" t="s">
        <v>2355</v>
      </c>
      <c r="N8168" s="15" t="s">
        <v>54</v>
      </c>
      <c r="O8168" s="15" t="s">
        <v>252</v>
      </c>
      <c r="P8168" s="20" t="s">
        <v>466</v>
      </c>
      <c r="Q8168" s="15" t="s">
        <v>181</v>
      </c>
      <c r="R8168" s="4"/>
      <c r="S8168" s="4"/>
    </row>
    <row r="8169" spans="1:19" ht="21" customHeight="1" x14ac:dyDescent="0.25">
      <c r="A8169" s="14">
        <f>DATE(2012,12,31)-367</f>
        <v>40907</v>
      </c>
      <c r="B8169" s="15" t="s">
        <v>1386</v>
      </c>
      <c r="C8169" s="15" t="s">
        <v>51</v>
      </c>
      <c r="D8169" s="16">
        <v>23</v>
      </c>
      <c r="E8169" s="17">
        <v>6641.14</v>
      </c>
      <c r="F8169" s="16">
        <v>0.05</v>
      </c>
      <c r="G8169" s="15" t="s">
        <v>58</v>
      </c>
      <c r="H8169" s="18">
        <v>673.77</v>
      </c>
      <c r="I8169" s="19">
        <v>300.98</v>
      </c>
      <c r="J8169" s="19">
        <v>64.73</v>
      </c>
      <c r="K8169" s="19" t="s">
        <v>69</v>
      </c>
      <c r="L8169" s="19" t="s">
        <v>75</v>
      </c>
      <c r="M8169" s="15" t="s">
        <v>76</v>
      </c>
      <c r="N8169" s="15" t="s">
        <v>54</v>
      </c>
      <c r="O8169" s="15" t="s">
        <v>252</v>
      </c>
      <c r="P8169" s="20" t="s">
        <v>1803</v>
      </c>
      <c r="Q8169" s="15" t="s">
        <v>181</v>
      </c>
      <c r="R8169" s="4"/>
      <c r="S8169" s="4"/>
    </row>
    <row r="8170" spans="1:19" ht="21" customHeight="1" x14ac:dyDescent="0.25">
      <c r="A8170" s="14">
        <f>DATE(2012,12,31)-367</f>
        <v>40907</v>
      </c>
      <c r="B8170" s="15" t="s">
        <v>1386</v>
      </c>
      <c r="C8170" s="15" t="s">
        <v>51</v>
      </c>
      <c r="D8170" s="16">
        <v>21</v>
      </c>
      <c r="E8170" s="17">
        <v>10469.030000000001</v>
      </c>
      <c r="F8170" s="16">
        <v>7.0000000000000007E-2</v>
      </c>
      <c r="G8170" s="15" t="s">
        <v>58</v>
      </c>
      <c r="H8170" s="18">
        <v>2608.7199999999998</v>
      </c>
      <c r="I8170" s="19">
        <v>500.98</v>
      </c>
      <c r="J8170" s="19">
        <v>26</v>
      </c>
      <c r="K8170" s="19" t="s">
        <v>111</v>
      </c>
      <c r="L8170" s="19" t="s">
        <v>2301</v>
      </c>
      <c r="M8170" s="15" t="s">
        <v>2364</v>
      </c>
      <c r="N8170" s="15" t="s">
        <v>54</v>
      </c>
      <c r="O8170" s="15" t="s">
        <v>252</v>
      </c>
      <c r="P8170" s="20" t="s">
        <v>150</v>
      </c>
      <c r="Q8170" s="15" t="s">
        <v>181</v>
      </c>
      <c r="R8170" s="4"/>
      <c r="S8170" s="4"/>
    </row>
    <row r="8171" spans="1:19" ht="21" customHeight="1" x14ac:dyDescent="0.25">
      <c r="A8171" s="14">
        <f>DATE(2012,12,31)-367</f>
        <v>40907</v>
      </c>
      <c r="B8171" s="15" t="s">
        <v>1480</v>
      </c>
      <c r="C8171" s="15" t="s">
        <v>51</v>
      </c>
      <c r="D8171" s="16">
        <v>18</v>
      </c>
      <c r="E8171" s="17">
        <v>835.55</v>
      </c>
      <c r="F8171" s="16">
        <v>0.04</v>
      </c>
      <c r="G8171" s="15" t="s">
        <v>32</v>
      </c>
      <c r="H8171" s="18">
        <v>171.59</v>
      </c>
      <c r="I8171" s="19">
        <v>45.19</v>
      </c>
      <c r="J8171" s="19">
        <v>1.99</v>
      </c>
      <c r="K8171" s="19" t="s">
        <v>111</v>
      </c>
      <c r="L8171" s="19" t="s">
        <v>2301</v>
      </c>
      <c r="M8171" s="15" t="s">
        <v>2364</v>
      </c>
      <c r="N8171" s="15" t="s">
        <v>64</v>
      </c>
      <c r="O8171" s="15" t="s">
        <v>72</v>
      </c>
      <c r="P8171" s="20" t="s">
        <v>981</v>
      </c>
      <c r="Q8171" s="15" t="s">
        <v>49</v>
      </c>
      <c r="R8171" s="4"/>
      <c r="S8171" s="4"/>
    </row>
    <row r="8172" spans="1:19" ht="21" customHeight="1" x14ac:dyDescent="0.25">
      <c r="A8172" s="14">
        <f>DATE(2012,12,31)-1378</f>
        <v>39896</v>
      </c>
      <c r="B8172" s="15" t="s">
        <v>1480</v>
      </c>
      <c r="C8172" s="15" t="s">
        <v>85</v>
      </c>
      <c r="D8172" s="16">
        <v>23</v>
      </c>
      <c r="E8172" s="17">
        <v>2527.7919999999999</v>
      </c>
      <c r="F8172" s="16">
        <v>0.09</v>
      </c>
      <c r="G8172" s="15" t="s">
        <v>58</v>
      </c>
      <c r="H8172" s="18">
        <v>-335.31712500000003</v>
      </c>
      <c r="I8172" s="19">
        <v>138.75</v>
      </c>
      <c r="J8172" s="19">
        <v>52.42</v>
      </c>
      <c r="K8172" s="19" t="s">
        <v>44</v>
      </c>
      <c r="L8172" s="19" t="s">
        <v>89</v>
      </c>
      <c r="M8172" s="15" t="s">
        <v>2365</v>
      </c>
      <c r="N8172" s="15" t="s">
        <v>54</v>
      </c>
      <c r="O8172" s="15" t="s">
        <v>61</v>
      </c>
      <c r="P8172" s="20" t="s">
        <v>211</v>
      </c>
      <c r="Q8172" s="15" t="s">
        <v>63</v>
      </c>
      <c r="R8172" s="4"/>
      <c r="S8172" s="4"/>
    </row>
    <row r="8173" spans="1:19" ht="21" customHeight="1" x14ac:dyDescent="0.25">
      <c r="A8173" s="14">
        <f>DATE(2012,12,31)-758</f>
        <v>40516</v>
      </c>
      <c r="B8173" s="15" t="s">
        <v>1327</v>
      </c>
      <c r="C8173" s="15" t="s">
        <v>51</v>
      </c>
      <c r="D8173" s="16">
        <v>5</v>
      </c>
      <c r="E8173" s="17">
        <v>39.44</v>
      </c>
      <c r="F8173" s="16">
        <v>0</v>
      </c>
      <c r="G8173" s="15" t="s">
        <v>32</v>
      </c>
      <c r="H8173" s="18">
        <v>-0.94299999999999995</v>
      </c>
      <c r="I8173" s="19">
        <v>6.75</v>
      </c>
      <c r="J8173" s="19">
        <v>2.99</v>
      </c>
      <c r="K8173" s="19" t="s">
        <v>44</v>
      </c>
      <c r="L8173" s="19" t="s">
        <v>89</v>
      </c>
      <c r="M8173" s="15" t="s">
        <v>2365</v>
      </c>
      <c r="N8173" s="15" t="s">
        <v>36</v>
      </c>
      <c r="O8173" s="15" t="s">
        <v>170</v>
      </c>
      <c r="P8173" s="20" t="s">
        <v>402</v>
      </c>
      <c r="Q8173" s="15" t="s">
        <v>83</v>
      </c>
      <c r="R8173" s="4"/>
      <c r="S8173" s="4"/>
    </row>
    <row r="8174" spans="1:19" ht="21" customHeight="1" x14ac:dyDescent="0.25">
      <c r="A8174" s="14">
        <f>DATE(2012,12,31)-758</f>
        <v>40516</v>
      </c>
      <c r="B8174" s="15" t="s">
        <v>1217</v>
      </c>
      <c r="C8174" s="15" t="s">
        <v>51</v>
      </c>
      <c r="D8174" s="16">
        <v>3</v>
      </c>
      <c r="E8174" s="17">
        <v>11.01</v>
      </c>
      <c r="F8174" s="16">
        <v>0.09</v>
      </c>
      <c r="G8174" s="15" t="s">
        <v>32</v>
      </c>
      <c r="H8174" s="18">
        <v>-1.42</v>
      </c>
      <c r="I8174" s="19">
        <v>2.08</v>
      </c>
      <c r="J8174" s="19">
        <v>5.33</v>
      </c>
      <c r="K8174" s="19" t="s">
        <v>44</v>
      </c>
      <c r="L8174" s="19" t="s">
        <v>45</v>
      </c>
      <c r="M8174" s="15" t="s">
        <v>2373</v>
      </c>
      <c r="N8174" s="15" t="s">
        <v>54</v>
      </c>
      <c r="O8174" s="15" t="s">
        <v>55</v>
      </c>
      <c r="P8174" s="20" t="s">
        <v>1543</v>
      </c>
      <c r="Q8174" s="15" t="s">
        <v>83</v>
      </c>
      <c r="R8174" s="4"/>
      <c r="S8174" s="4"/>
    </row>
    <row r="8175" spans="1:19" ht="21" customHeight="1" x14ac:dyDescent="0.25">
      <c r="A8175" s="14">
        <f>DATE(2012,12,31)-1010</f>
        <v>40264</v>
      </c>
      <c r="B8175" s="15" t="s">
        <v>1217</v>
      </c>
      <c r="C8175" s="15" t="s">
        <v>85</v>
      </c>
      <c r="D8175" s="16">
        <v>43</v>
      </c>
      <c r="E8175" s="17">
        <v>1338.12</v>
      </c>
      <c r="F8175" s="16">
        <v>0.04</v>
      </c>
      <c r="G8175" s="15" t="s">
        <v>32</v>
      </c>
      <c r="H8175" s="18">
        <v>519.70000000000005</v>
      </c>
      <c r="I8175" s="19">
        <v>31.78</v>
      </c>
      <c r="J8175" s="19">
        <v>1.99</v>
      </c>
      <c r="K8175" s="19" t="s">
        <v>44</v>
      </c>
      <c r="L8175" s="19" t="s">
        <v>45</v>
      </c>
      <c r="M8175" s="15" t="s">
        <v>2373</v>
      </c>
      <c r="N8175" s="15" t="s">
        <v>64</v>
      </c>
      <c r="O8175" s="15" t="s">
        <v>72</v>
      </c>
      <c r="P8175" s="20" t="s">
        <v>1984</v>
      </c>
      <c r="Q8175" s="15" t="s">
        <v>49</v>
      </c>
      <c r="R8175" s="4"/>
      <c r="S8175" s="4"/>
    </row>
    <row r="8176" spans="1:19" ht="21" customHeight="1" x14ac:dyDescent="0.25">
      <c r="A8176" s="14">
        <f>DATE(2012,12,31)-203</f>
        <v>41071</v>
      </c>
      <c r="B8176" s="15" t="s">
        <v>1217</v>
      </c>
      <c r="C8176" s="15" t="s">
        <v>85</v>
      </c>
      <c r="D8176" s="16">
        <v>7</v>
      </c>
      <c r="E8176" s="17">
        <v>883.23</v>
      </c>
      <c r="F8176" s="16">
        <v>0.09</v>
      </c>
      <c r="G8176" s="15" t="s">
        <v>58</v>
      </c>
      <c r="H8176" s="18">
        <v>-404.36</v>
      </c>
      <c r="I8176" s="19">
        <v>120.98</v>
      </c>
      <c r="J8176" s="19">
        <v>58.64</v>
      </c>
      <c r="K8176" s="19" t="s">
        <v>44</v>
      </c>
      <c r="L8176" s="19" t="s">
        <v>89</v>
      </c>
      <c r="M8176" s="15" t="s">
        <v>2365</v>
      </c>
      <c r="N8176" s="15" t="s">
        <v>54</v>
      </c>
      <c r="O8176" s="15" t="s">
        <v>134</v>
      </c>
      <c r="P8176" s="20" t="s">
        <v>1001</v>
      </c>
      <c r="Q8176" s="15" t="s">
        <v>63</v>
      </c>
      <c r="R8176" s="4"/>
      <c r="S8176" s="4"/>
    </row>
    <row r="8177" spans="1:19" ht="21" customHeight="1" x14ac:dyDescent="0.25">
      <c r="A8177" s="14">
        <f>DATE(2012,12,31)-203</f>
        <v>41071</v>
      </c>
      <c r="B8177" s="15" t="s">
        <v>292</v>
      </c>
      <c r="C8177" s="15" t="s">
        <v>85</v>
      </c>
      <c r="D8177" s="16">
        <v>41</v>
      </c>
      <c r="E8177" s="17">
        <v>917.25</v>
      </c>
      <c r="F8177" s="16">
        <v>0.01</v>
      </c>
      <c r="G8177" s="15" t="s">
        <v>32</v>
      </c>
      <c r="H8177" s="18">
        <v>-103.75</v>
      </c>
      <c r="I8177" s="19">
        <v>20.97</v>
      </c>
      <c r="J8177" s="19">
        <v>6.5</v>
      </c>
      <c r="K8177" s="19" t="s">
        <v>44</v>
      </c>
      <c r="L8177" s="19" t="s">
        <v>45</v>
      </c>
      <c r="M8177" s="15" t="s">
        <v>2373</v>
      </c>
      <c r="N8177" s="15" t="s">
        <v>64</v>
      </c>
      <c r="O8177" s="15" t="s">
        <v>72</v>
      </c>
      <c r="P8177" s="20" t="s">
        <v>1187</v>
      </c>
      <c r="Q8177" s="15" t="s">
        <v>83</v>
      </c>
      <c r="R8177" s="4"/>
      <c r="S8177" s="4"/>
    </row>
    <row r="8178" spans="1:19" ht="21" customHeight="1" x14ac:dyDescent="0.25">
      <c r="A8178" s="14">
        <f>DATE(2012,12,31)-203</f>
        <v>41071</v>
      </c>
      <c r="B8178" s="15" t="s">
        <v>254</v>
      </c>
      <c r="C8178" s="15" t="s">
        <v>85</v>
      </c>
      <c r="D8178" s="16">
        <v>46</v>
      </c>
      <c r="E8178" s="17">
        <v>760.80099999999993</v>
      </c>
      <c r="F8178" s="16">
        <v>0.1</v>
      </c>
      <c r="G8178" s="15" t="s">
        <v>32</v>
      </c>
      <c r="H8178" s="18">
        <v>348.58799999999997</v>
      </c>
      <c r="I8178" s="19">
        <v>20.99</v>
      </c>
      <c r="J8178" s="19">
        <v>0.99</v>
      </c>
      <c r="K8178" s="19" t="s">
        <v>44</v>
      </c>
      <c r="L8178" s="19" t="s">
        <v>89</v>
      </c>
      <c r="M8178" s="15" t="s">
        <v>2365</v>
      </c>
      <c r="N8178" s="15" t="s">
        <v>64</v>
      </c>
      <c r="O8178" s="15" t="s">
        <v>65</v>
      </c>
      <c r="P8178" s="20" t="s">
        <v>893</v>
      </c>
      <c r="Q8178" s="15" t="s">
        <v>79</v>
      </c>
      <c r="R8178" s="4"/>
      <c r="S8178" s="4"/>
    </row>
    <row r="8179" spans="1:19" ht="21" customHeight="1" x14ac:dyDescent="0.25">
      <c r="A8179" s="14">
        <f>DATE(2012,12,31)-799</f>
        <v>40475</v>
      </c>
      <c r="B8179" s="15" t="s">
        <v>1812</v>
      </c>
      <c r="C8179" s="15" t="s">
        <v>51</v>
      </c>
      <c r="D8179" s="16">
        <v>2</v>
      </c>
      <c r="E8179" s="17">
        <v>21.01</v>
      </c>
      <c r="F8179" s="16">
        <v>0.03</v>
      </c>
      <c r="G8179" s="15" t="s">
        <v>32</v>
      </c>
      <c r="H8179" s="18">
        <v>-13.13</v>
      </c>
      <c r="I8179" s="19">
        <v>6.48</v>
      </c>
      <c r="J8179" s="19">
        <v>8.19</v>
      </c>
      <c r="K8179" s="19" t="s">
        <v>44</v>
      </c>
      <c r="L8179" s="19" t="s">
        <v>120</v>
      </c>
      <c r="M8179" s="15" t="s">
        <v>2262</v>
      </c>
      <c r="N8179" s="15" t="s">
        <v>36</v>
      </c>
      <c r="O8179" s="15" t="s">
        <v>117</v>
      </c>
      <c r="P8179" s="20" t="s">
        <v>1791</v>
      </c>
      <c r="Q8179" s="15" t="s">
        <v>83</v>
      </c>
      <c r="R8179" s="4"/>
      <c r="S8179" s="4"/>
    </row>
    <row r="8180" spans="1:19" ht="21" customHeight="1" x14ac:dyDescent="0.25">
      <c r="A8180" s="14">
        <f>DATE(2012,12,31)-1373</f>
        <v>39901</v>
      </c>
      <c r="B8180" s="15" t="s">
        <v>1812</v>
      </c>
      <c r="C8180" s="15" t="s">
        <v>43</v>
      </c>
      <c r="D8180" s="16">
        <v>18</v>
      </c>
      <c r="E8180" s="17">
        <v>215.93</v>
      </c>
      <c r="F8180" s="16">
        <v>0.08</v>
      </c>
      <c r="G8180" s="15" t="s">
        <v>32</v>
      </c>
      <c r="H8180" s="18">
        <v>-41.87</v>
      </c>
      <c r="I8180" s="19">
        <v>11.97</v>
      </c>
      <c r="J8180" s="19">
        <v>5.81</v>
      </c>
      <c r="K8180" s="19" t="s">
        <v>44</v>
      </c>
      <c r="L8180" s="19" t="s">
        <v>89</v>
      </c>
      <c r="M8180" s="15" t="s">
        <v>2365</v>
      </c>
      <c r="N8180" s="15" t="s">
        <v>36</v>
      </c>
      <c r="O8180" s="15" t="s">
        <v>77</v>
      </c>
      <c r="P8180" s="20" t="s">
        <v>1375</v>
      </c>
      <c r="Q8180" s="15" t="s">
        <v>49</v>
      </c>
      <c r="R8180" s="4"/>
      <c r="S8180" s="4"/>
    </row>
    <row r="8181" spans="1:19" ht="21" customHeight="1" x14ac:dyDescent="0.25">
      <c r="A8181" s="14">
        <f>DATE(2012,12,31)-422</f>
        <v>40852</v>
      </c>
      <c r="B8181" s="15" t="s">
        <v>1812</v>
      </c>
      <c r="C8181" s="15" t="s">
        <v>51</v>
      </c>
      <c r="D8181" s="16">
        <v>14</v>
      </c>
      <c r="E8181" s="17">
        <v>3023.73</v>
      </c>
      <c r="F8181" s="16">
        <v>0.09</v>
      </c>
      <c r="G8181" s="15" t="s">
        <v>58</v>
      </c>
      <c r="H8181" s="18">
        <v>-1068.0098</v>
      </c>
      <c r="I8181" s="19">
        <v>218.75</v>
      </c>
      <c r="J8181" s="19">
        <v>69.64</v>
      </c>
      <c r="K8181" s="19" t="s">
        <v>44</v>
      </c>
      <c r="L8181" s="19" t="s">
        <v>120</v>
      </c>
      <c r="M8181" s="15" t="s">
        <v>2262</v>
      </c>
      <c r="N8181" s="15" t="s">
        <v>54</v>
      </c>
      <c r="O8181" s="15" t="s">
        <v>61</v>
      </c>
      <c r="P8181" s="20" t="s">
        <v>1221</v>
      </c>
      <c r="Q8181" s="15" t="s">
        <v>63</v>
      </c>
      <c r="R8181" s="4"/>
      <c r="S8181" s="4"/>
    </row>
    <row r="8182" spans="1:19" ht="21" customHeight="1" x14ac:dyDescent="0.25">
      <c r="A8182" s="14">
        <f>DATE(2012,12,31)-1167</f>
        <v>40107</v>
      </c>
      <c r="B8182" s="15" t="s">
        <v>1812</v>
      </c>
      <c r="C8182" s="15" t="s">
        <v>31</v>
      </c>
      <c r="D8182" s="16">
        <v>50</v>
      </c>
      <c r="E8182" s="17">
        <v>876.64</v>
      </c>
      <c r="F8182" s="16">
        <v>0</v>
      </c>
      <c r="G8182" s="15" t="s">
        <v>32</v>
      </c>
      <c r="H8182" s="18">
        <v>-126.684</v>
      </c>
      <c r="I8182" s="19">
        <v>15.99</v>
      </c>
      <c r="J8182" s="19">
        <v>13.18</v>
      </c>
      <c r="K8182" s="19" t="s">
        <v>44</v>
      </c>
      <c r="L8182" s="19" t="s">
        <v>45</v>
      </c>
      <c r="M8182" s="15" t="s">
        <v>2373</v>
      </c>
      <c r="N8182" s="15" t="s">
        <v>36</v>
      </c>
      <c r="O8182" s="15" t="s">
        <v>170</v>
      </c>
      <c r="P8182" s="20" t="s">
        <v>127</v>
      </c>
      <c r="Q8182" s="15" t="s">
        <v>83</v>
      </c>
      <c r="R8182" s="4"/>
      <c r="S8182" s="4"/>
    </row>
    <row r="8183" spans="1:19" ht="21" customHeight="1" x14ac:dyDescent="0.25">
      <c r="A8183" s="14">
        <f>DATE(2012,12,31)-1030</f>
        <v>40244</v>
      </c>
      <c r="B8183" s="15" t="s">
        <v>1812</v>
      </c>
      <c r="C8183" s="15" t="s">
        <v>43</v>
      </c>
      <c r="D8183" s="16">
        <v>43</v>
      </c>
      <c r="E8183" s="17">
        <v>2378.8200000000002</v>
      </c>
      <c r="F8183" s="16">
        <v>0.02</v>
      </c>
      <c r="G8183" s="15" t="s">
        <v>32</v>
      </c>
      <c r="H8183" s="18">
        <v>597.15899999999999</v>
      </c>
      <c r="I8183" s="19">
        <v>52.4</v>
      </c>
      <c r="J8183" s="19">
        <v>16.11</v>
      </c>
      <c r="K8183" s="19" t="s">
        <v>44</v>
      </c>
      <c r="L8183" s="19" t="s">
        <v>89</v>
      </c>
      <c r="M8183" s="15" t="s">
        <v>2365</v>
      </c>
      <c r="N8183" s="15" t="s">
        <v>36</v>
      </c>
      <c r="O8183" s="15" t="s">
        <v>170</v>
      </c>
      <c r="P8183" s="20" t="s">
        <v>419</v>
      </c>
      <c r="Q8183" s="15" t="s">
        <v>83</v>
      </c>
      <c r="R8183" s="4"/>
      <c r="S8183" s="4"/>
    </row>
    <row r="8184" spans="1:19" ht="21" customHeight="1" x14ac:dyDescent="0.25">
      <c r="A8184" s="14">
        <f>DATE(2012,12,31)-1030</f>
        <v>40244</v>
      </c>
      <c r="B8184" s="15" t="s">
        <v>2102</v>
      </c>
      <c r="C8184" s="15" t="s">
        <v>43</v>
      </c>
      <c r="D8184" s="16">
        <v>6</v>
      </c>
      <c r="E8184" s="17">
        <v>202.62</v>
      </c>
      <c r="F8184" s="16">
        <v>0.02</v>
      </c>
      <c r="G8184" s="15" t="s">
        <v>101</v>
      </c>
      <c r="H8184" s="18">
        <v>13.87</v>
      </c>
      <c r="I8184" s="19">
        <v>30.98</v>
      </c>
      <c r="J8184" s="19">
        <v>8.74</v>
      </c>
      <c r="K8184" s="19" t="s">
        <v>44</v>
      </c>
      <c r="L8184" s="19" t="s">
        <v>89</v>
      </c>
      <c r="M8184" s="15" t="s">
        <v>2365</v>
      </c>
      <c r="N8184" s="15" t="s">
        <v>36</v>
      </c>
      <c r="O8184" s="15" t="s">
        <v>117</v>
      </c>
      <c r="P8184" s="20" t="s">
        <v>200</v>
      </c>
      <c r="Q8184" s="15" t="s">
        <v>83</v>
      </c>
      <c r="R8184" s="4"/>
      <c r="S8184" s="4"/>
    </row>
    <row r="8185" spans="1:19" ht="21" customHeight="1" x14ac:dyDescent="0.25">
      <c r="A8185" s="14">
        <f>DATE(2012,12,31)-81</f>
        <v>41193</v>
      </c>
      <c r="B8185" s="15" t="s">
        <v>898</v>
      </c>
      <c r="C8185" s="15" t="s">
        <v>85</v>
      </c>
      <c r="D8185" s="16">
        <v>45</v>
      </c>
      <c r="E8185" s="17">
        <v>4042.96</v>
      </c>
      <c r="F8185" s="16">
        <v>0.05</v>
      </c>
      <c r="G8185" s="15" t="s">
        <v>58</v>
      </c>
      <c r="H8185" s="18">
        <v>-699.72</v>
      </c>
      <c r="I8185" s="19">
        <v>89.99</v>
      </c>
      <c r="J8185" s="19">
        <v>42</v>
      </c>
      <c r="K8185" s="19" t="s">
        <v>44</v>
      </c>
      <c r="L8185" s="19" t="s">
        <v>45</v>
      </c>
      <c r="M8185" s="15" t="s">
        <v>2373</v>
      </c>
      <c r="N8185" s="15" t="s">
        <v>54</v>
      </c>
      <c r="O8185" s="15" t="s">
        <v>252</v>
      </c>
      <c r="P8185" s="20" t="s">
        <v>811</v>
      </c>
      <c r="Q8185" s="15" t="s">
        <v>181</v>
      </c>
      <c r="R8185" s="4"/>
      <c r="S8185" s="4"/>
    </row>
    <row r="8186" spans="1:19" ht="21" customHeight="1" x14ac:dyDescent="0.25">
      <c r="A8186" s="14">
        <f>DATE(2012,12,31)-956</f>
        <v>40318</v>
      </c>
      <c r="B8186" s="15" t="s">
        <v>288</v>
      </c>
      <c r="C8186" s="15" t="s">
        <v>43</v>
      </c>
      <c r="D8186" s="16">
        <v>20</v>
      </c>
      <c r="E8186" s="17">
        <v>148.31</v>
      </c>
      <c r="F8186" s="16">
        <v>0.03</v>
      </c>
      <c r="G8186" s="15" t="s">
        <v>32</v>
      </c>
      <c r="H8186" s="18">
        <v>37.33</v>
      </c>
      <c r="I8186" s="19">
        <v>7.04</v>
      </c>
      <c r="J8186" s="19">
        <v>2.17</v>
      </c>
      <c r="K8186" s="19" t="s">
        <v>44</v>
      </c>
      <c r="L8186" s="19" t="s">
        <v>45</v>
      </c>
      <c r="M8186" s="15" t="s">
        <v>2373</v>
      </c>
      <c r="N8186" s="15" t="s">
        <v>36</v>
      </c>
      <c r="O8186" s="15" t="s">
        <v>117</v>
      </c>
      <c r="P8186" s="20" t="s">
        <v>1655</v>
      </c>
      <c r="Q8186" s="15" t="s">
        <v>79</v>
      </c>
      <c r="R8186" s="4"/>
      <c r="S8186" s="4"/>
    </row>
    <row r="8187" spans="1:19" ht="21" customHeight="1" x14ac:dyDescent="0.25">
      <c r="A8187" s="14">
        <f>DATE(2012,12,31)-956</f>
        <v>40318</v>
      </c>
      <c r="B8187" s="15" t="s">
        <v>1854</v>
      </c>
      <c r="C8187" s="15" t="s">
        <v>43</v>
      </c>
      <c r="D8187" s="16">
        <v>39</v>
      </c>
      <c r="E8187" s="17">
        <v>335.35</v>
      </c>
      <c r="F8187" s="16">
        <v>0.05</v>
      </c>
      <c r="G8187" s="15" t="s">
        <v>32</v>
      </c>
      <c r="H8187" s="18">
        <v>-134.97</v>
      </c>
      <c r="I8187" s="19">
        <v>8.74</v>
      </c>
      <c r="J8187" s="19">
        <v>8.2899999999999991</v>
      </c>
      <c r="K8187" s="19" t="s">
        <v>44</v>
      </c>
      <c r="L8187" s="19" t="s">
        <v>89</v>
      </c>
      <c r="M8187" s="15" t="s">
        <v>2365</v>
      </c>
      <c r="N8187" s="15" t="s">
        <v>36</v>
      </c>
      <c r="O8187" s="15" t="s">
        <v>189</v>
      </c>
      <c r="P8187" s="20" t="s">
        <v>1451</v>
      </c>
      <c r="Q8187" s="15" t="s">
        <v>83</v>
      </c>
      <c r="R8187" s="4"/>
      <c r="S8187" s="4"/>
    </row>
    <row r="8188" spans="1:19" ht="21" customHeight="1" x14ac:dyDescent="0.25">
      <c r="A8188" s="14">
        <f>DATE(2012,12,31)-1274</f>
        <v>40000</v>
      </c>
      <c r="B8188" s="15" t="s">
        <v>1854</v>
      </c>
      <c r="C8188" s="15" t="s">
        <v>85</v>
      </c>
      <c r="D8188" s="16">
        <v>20</v>
      </c>
      <c r="E8188" s="17">
        <v>525.78</v>
      </c>
      <c r="F8188" s="16">
        <v>0.03</v>
      </c>
      <c r="G8188" s="15" t="s">
        <v>32</v>
      </c>
      <c r="H8188" s="18">
        <v>180.64</v>
      </c>
      <c r="I8188" s="19">
        <v>26.48</v>
      </c>
      <c r="J8188" s="19">
        <v>6.93</v>
      </c>
      <c r="K8188" s="19" t="s">
        <v>44</v>
      </c>
      <c r="L8188" s="19" t="s">
        <v>120</v>
      </c>
      <c r="M8188" s="15" t="s">
        <v>2262</v>
      </c>
      <c r="N8188" s="15" t="s">
        <v>54</v>
      </c>
      <c r="O8188" s="15" t="s">
        <v>55</v>
      </c>
      <c r="P8188" s="20" t="s">
        <v>1871</v>
      </c>
      <c r="Q8188" s="15" t="s">
        <v>83</v>
      </c>
      <c r="R8188" s="4"/>
      <c r="S8188" s="4"/>
    </row>
    <row r="8189" spans="1:19" ht="21" customHeight="1" x14ac:dyDescent="0.25">
      <c r="A8189" s="14">
        <f>DATE(2012,12,31)-394</f>
        <v>40880</v>
      </c>
      <c r="B8189" s="15" t="s">
        <v>1321</v>
      </c>
      <c r="C8189" s="15" t="s">
        <v>31</v>
      </c>
      <c r="D8189" s="16">
        <v>7</v>
      </c>
      <c r="E8189" s="17">
        <v>15.61</v>
      </c>
      <c r="F8189" s="16">
        <v>0.03</v>
      </c>
      <c r="G8189" s="15" t="s">
        <v>32</v>
      </c>
      <c r="H8189" s="18">
        <v>-5.1864999999999997</v>
      </c>
      <c r="I8189" s="19">
        <v>2.08</v>
      </c>
      <c r="J8189" s="19">
        <v>1.49</v>
      </c>
      <c r="K8189" s="19" t="s">
        <v>44</v>
      </c>
      <c r="L8189" s="19" t="s">
        <v>120</v>
      </c>
      <c r="M8189" s="15" t="s">
        <v>2262</v>
      </c>
      <c r="N8189" s="15" t="s">
        <v>36</v>
      </c>
      <c r="O8189" s="15" t="s">
        <v>170</v>
      </c>
      <c r="P8189" s="20" t="s">
        <v>48</v>
      </c>
      <c r="Q8189" s="15" t="s">
        <v>83</v>
      </c>
      <c r="R8189" s="4"/>
      <c r="S8189" s="4"/>
    </row>
    <row r="8190" spans="1:19" ht="21" customHeight="1" x14ac:dyDescent="0.25">
      <c r="A8190" s="14">
        <f>DATE(2012,12,31)-394</f>
        <v>40880</v>
      </c>
      <c r="B8190" s="15" t="s">
        <v>817</v>
      </c>
      <c r="C8190" s="15" t="s">
        <v>31</v>
      </c>
      <c r="D8190" s="16">
        <v>18</v>
      </c>
      <c r="E8190" s="17">
        <v>47.11</v>
      </c>
      <c r="F8190" s="16">
        <v>0</v>
      </c>
      <c r="G8190" s="15" t="s">
        <v>32</v>
      </c>
      <c r="H8190" s="18">
        <v>-95.42</v>
      </c>
      <c r="I8190" s="19">
        <v>2.1800000000000002</v>
      </c>
      <c r="J8190" s="19">
        <v>7.09</v>
      </c>
      <c r="K8190" s="19" t="s">
        <v>44</v>
      </c>
      <c r="L8190" s="19" t="s">
        <v>89</v>
      </c>
      <c r="M8190" s="15" t="s">
        <v>2365</v>
      </c>
      <c r="N8190" s="15" t="s">
        <v>36</v>
      </c>
      <c r="O8190" s="15" t="s">
        <v>117</v>
      </c>
      <c r="P8190" s="20" t="s">
        <v>430</v>
      </c>
      <c r="Q8190" s="15" t="s">
        <v>79</v>
      </c>
      <c r="R8190" s="4"/>
      <c r="S8190" s="4"/>
    </row>
    <row r="8191" spans="1:19" ht="21" customHeight="1" x14ac:dyDescent="0.25">
      <c r="A8191" s="14">
        <f>DATE(2012,12,31)-1440</f>
        <v>39834</v>
      </c>
      <c r="B8191" s="15" t="s">
        <v>817</v>
      </c>
      <c r="C8191" s="15" t="s">
        <v>31</v>
      </c>
      <c r="D8191" s="16">
        <v>4</v>
      </c>
      <c r="E8191" s="17">
        <v>33.44</v>
      </c>
      <c r="F8191" s="16">
        <v>0.1</v>
      </c>
      <c r="G8191" s="15" t="s">
        <v>32</v>
      </c>
      <c r="H8191" s="18">
        <v>-6.88</v>
      </c>
      <c r="I8191" s="19">
        <v>8.01</v>
      </c>
      <c r="J8191" s="19">
        <v>2.87</v>
      </c>
      <c r="K8191" s="19" t="s">
        <v>44</v>
      </c>
      <c r="L8191" s="19" t="s">
        <v>120</v>
      </c>
      <c r="M8191" s="15" t="s">
        <v>2262</v>
      </c>
      <c r="N8191" s="15" t="s">
        <v>36</v>
      </c>
      <c r="O8191" s="15" t="s">
        <v>117</v>
      </c>
      <c r="P8191" s="20" t="s">
        <v>2095</v>
      </c>
      <c r="Q8191" s="15" t="s">
        <v>79</v>
      </c>
      <c r="R8191" s="4"/>
      <c r="S8191" s="4"/>
    </row>
    <row r="8192" spans="1:19" ht="21" customHeight="1" x14ac:dyDescent="0.25">
      <c r="A8192" s="14">
        <f>DATE(2012,12,31)-1443</f>
        <v>39831</v>
      </c>
      <c r="B8192" s="15" t="s">
        <v>1163</v>
      </c>
      <c r="C8192" s="15" t="s">
        <v>85</v>
      </c>
      <c r="D8192" s="16">
        <v>12</v>
      </c>
      <c r="E8192" s="17">
        <v>141.9</v>
      </c>
      <c r="F8192" s="16">
        <v>0.02</v>
      </c>
      <c r="G8192" s="15" t="s">
        <v>32</v>
      </c>
      <c r="H8192" s="18">
        <v>1.46</v>
      </c>
      <c r="I8192" s="19">
        <v>11.58</v>
      </c>
      <c r="J8192" s="19">
        <v>5.72</v>
      </c>
      <c r="K8192" s="19" t="s">
        <v>124</v>
      </c>
      <c r="L8192" s="19" t="s">
        <v>164</v>
      </c>
      <c r="M8192" s="15" t="s">
        <v>2368</v>
      </c>
      <c r="N8192" s="15" t="s">
        <v>36</v>
      </c>
      <c r="O8192" s="15" t="s">
        <v>189</v>
      </c>
      <c r="P8192" s="20" t="s">
        <v>1158</v>
      </c>
      <c r="Q8192" s="15" t="s">
        <v>83</v>
      </c>
      <c r="R8192" s="4"/>
      <c r="S8192" s="4"/>
    </row>
    <row r="8193" spans="1:19" ht="21" customHeight="1" x14ac:dyDescent="0.25">
      <c r="A8193" s="14">
        <f>DATE(2012,12,31)-1443</f>
        <v>39831</v>
      </c>
      <c r="B8193" s="15" t="s">
        <v>785</v>
      </c>
      <c r="C8193" s="15" t="s">
        <v>85</v>
      </c>
      <c r="D8193" s="16">
        <v>29</v>
      </c>
      <c r="E8193" s="17">
        <v>1379.1</v>
      </c>
      <c r="F8193" s="16">
        <v>0.06</v>
      </c>
      <c r="G8193" s="15" t="s">
        <v>32</v>
      </c>
      <c r="H8193" s="18">
        <v>573.79999999999995</v>
      </c>
      <c r="I8193" s="19">
        <v>48.91</v>
      </c>
      <c r="J8193" s="19">
        <v>5.81</v>
      </c>
      <c r="K8193" s="19" t="s">
        <v>33</v>
      </c>
      <c r="L8193" s="19" t="s">
        <v>93</v>
      </c>
      <c r="M8193" s="15" t="s">
        <v>94</v>
      </c>
      <c r="N8193" s="15" t="s">
        <v>36</v>
      </c>
      <c r="O8193" s="15" t="s">
        <v>117</v>
      </c>
      <c r="P8193" s="20" t="s">
        <v>1231</v>
      </c>
      <c r="Q8193" s="15" t="s">
        <v>83</v>
      </c>
      <c r="R8193" s="4"/>
      <c r="S8193" s="4"/>
    </row>
    <row r="8194" spans="1:19" ht="21" customHeight="1" x14ac:dyDescent="0.25">
      <c r="A8194" s="14">
        <f>DATE(2012,12,31)-1443</f>
        <v>39831</v>
      </c>
      <c r="B8194" s="15" t="s">
        <v>342</v>
      </c>
      <c r="C8194" s="15" t="s">
        <v>85</v>
      </c>
      <c r="D8194" s="16">
        <v>17</v>
      </c>
      <c r="E8194" s="17">
        <v>278.76</v>
      </c>
      <c r="F8194" s="16">
        <v>0.02</v>
      </c>
      <c r="G8194" s="15" t="s">
        <v>32</v>
      </c>
      <c r="H8194" s="18">
        <v>-210.09</v>
      </c>
      <c r="I8194" s="19">
        <v>15.51</v>
      </c>
      <c r="J8194" s="19">
        <v>17.78</v>
      </c>
      <c r="K8194" s="19" t="s">
        <v>33</v>
      </c>
      <c r="L8194" s="19" t="s">
        <v>93</v>
      </c>
      <c r="M8194" s="15" t="s">
        <v>94</v>
      </c>
      <c r="N8194" s="15" t="s">
        <v>36</v>
      </c>
      <c r="O8194" s="15" t="s">
        <v>37</v>
      </c>
      <c r="P8194" s="20" t="s">
        <v>1015</v>
      </c>
      <c r="Q8194" s="15" t="s">
        <v>83</v>
      </c>
      <c r="R8194" s="4"/>
      <c r="S8194" s="4"/>
    </row>
    <row r="8195" spans="1:19" ht="21" customHeight="1" x14ac:dyDescent="0.25">
      <c r="A8195" s="14">
        <f>DATE(2012,12,31)-1443</f>
        <v>39831</v>
      </c>
      <c r="B8195" s="15" t="s">
        <v>342</v>
      </c>
      <c r="C8195" s="15" t="s">
        <v>85</v>
      </c>
      <c r="D8195" s="16">
        <v>25</v>
      </c>
      <c r="E8195" s="17">
        <v>8875.17</v>
      </c>
      <c r="F8195" s="16">
        <v>0.05</v>
      </c>
      <c r="G8195" s="15" t="s">
        <v>58</v>
      </c>
      <c r="H8195" s="18">
        <v>2372.08</v>
      </c>
      <c r="I8195" s="19">
        <v>350.99</v>
      </c>
      <c r="J8195" s="19">
        <v>39</v>
      </c>
      <c r="K8195" s="19" t="s">
        <v>33</v>
      </c>
      <c r="L8195" s="19" t="s">
        <v>93</v>
      </c>
      <c r="M8195" s="15" t="s">
        <v>94</v>
      </c>
      <c r="N8195" s="15" t="s">
        <v>54</v>
      </c>
      <c r="O8195" s="15" t="s">
        <v>252</v>
      </c>
      <c r="P8195" s="20" t="s">
        <v>2370</v>
      </c>
      <c r="Q8195" s="15" t="s">
        <v>181</v>
      </c>
      <c r="R8195" s="4"/>
      <c r="S8195" s="4"/>
    </row>
    <row r="8196" spans="1:19" ht="21" customHeight="1" x14ac:dyDescent="0.25">
      <c r="A8196" s="14">
        <f>DATE(2012,12,31)-1443</f>
        <v>39831</v>
      </c>
      <c r="B8196" s="15" t="s">
        <v>1531</v>
      </c>
      <c r="C8196" s="15" t="s">
        <v>85</v>
      </c>
      <c r="D8196" s="16">
        <v>20</v>
      </c>
      <c r="E8196" s="17">
        <v>331.21</v>
      </c>
      <c r="F8196" s="16">
        <v>0.04</v>
      </c>
      <c r="G8196" s="15" t="s">
        <v>101</v>
      </c>
      <c r="H8196" s="18">
        <v>-67.381500000000003</v>
      </c>
      <c r="I8196" s="19">
        <v>15.99</v>
      </c>
      <c r="J8196" s="19">
        <v>9.4</v>
      </c>
      <c r="K8196" s="19" t="s">
        <v>33</v>
      </c>
      <c r="L8196" s="19" t="s">
        <v>93</v>
      </c>
      <c r="M8196" s="15" t="s">
        <v>94</v>
      </c>
      <c r="N8196" s="15" t="s">
        <v>64</v>
      </c>
      <c r="O8196" s="15" t="s">
        <v>122</v>
      </c>
      <c r="P8196" s="20" t="s">
        <v>521</v>
      </c>
      <c r="Q8196" s="15" t="s">
        <v>83</v>
      </c>
      <c r="R8196" s="4"/>
      <c r="S8196" s="4"/>
    </row>
    <row r="8197" spans="1:19" ht="21" customHeight="1" x14ac:dyDescent="0.25">
      <c r="A8197" s="14">
        <f>DATE(2012,12,31)-1064</f>
        <v>40210</v>
      </c>
      <c r="B8197" s="15" t="s">
        <v>1531</v>
      </c>
      <c r="C8197" s="15" t="s">
        <v>31</v>
      </c>
      <c r="D8197" s="16">
        <v>31</v>
      </c>
      <c r="E8197" s="17">
        <v>983.78</v>
      </c>
      <c r="F8197" s="16">
        <v>0.04</v>
      </c>
      <c r="G8197" s="15" t="s">
        <v>32</v>
      </c>
      <c r="H8197" s="18">
        <v>43.72</v>
      </c>
      <c r="I8197" s="19">
        <v>30.98</v>
      </c>
      <c r="J8197" s="19">
        <v>6.5</v>
      </c>
      <c r="K8197" s="19" t="s">
        <v>33</v>
      </c>
      <c r="L8197" s="19" t="s">
        <v>128</v>
      </c>
      <c r="M8197" s="15" t="s">
        <v>129</v>
      </c>
      <c r="N8197" s="15" t="s">
        <v>64</v>
      </c>
      <c r="O8197" s="15" t="s">
        <v>72</v>
      </c>
      <c r="P8197" s="20" t="s">
        <v>712</v>
      </c>
      <c r="Q8197" s="15" t="s">
        <v>83</v>
      </c>
      <c r="R8197" s="4"/>
      <c r="S8197" s="4"/>
    </row>
    <row r="8198" spans="1:19" ht="21" customHeight="1" x14ac:dyDescent="0.25">
      <c r="A8198" s="14">
        <f>DATE(2012,12,31)-879</f>
        <v>40395</v>
      </c>
      <c r="B8198" s="15" t="s">
        <v>1147</v>
      </c>
      <c r="C8198" s="15" t="s">
        <v>31</v>
      </c>
      <c r="D8198" s="16">
        <v>26</v>
      </c>
      <c r="E8198" s="17">
        <v>195.51</v>
      </c>
      <c r="F8198" s="16">
        <v>0.03</v>
      </c>
      <c r="G8198" s="15" t="s">
        <v>32</v>
      </c>
      <c r="H8198" s="18">
        <v>-105.71950000000001</v>
      </c>
      <c r="I8198" s="19">
        <v>7.3</v>
      </c>
      <c r="J8198" s="19">
        <v>7.72</v>
      </c>
      <c r="K8198" s="19" t="s">
        <v>33</v>
      </c>
      <c r="L8198" s="19" t="s">
        <v>93</v>
      </c>
      <c r="M8198" s="15" t="s">
        <v>94</v>
      </c>
      <c r="N8198" s="15" t="s">
        <v>36</v>
      </c>
      <c r="O8198" s="15" t="s">
        <v>170</v>
      </c>
      <c r="P8198" s="20" t="s">
        <v>1015</v>
      </c>
      <c r="Q8198" s="15" t="s">
        <v>83</v>
      </c>
      <c r="R8198" s="4"/>
      <c r="S8198" s="4"/>
    </row>
    <row r="8199" spans="1:19" ht="21" customHeight="1" x14ac:dyDescent="0.25">
      <c r="A8199" s="14">
        <f>DATE(2012,12,31)-879</f>
        <v>40395</v>
      </c>
      <c r="B8199" s="15" t="s">
        <v>1147</v>
      </c>
      <c r="C8199" s="15" t="s">
        <v>31</v>
      </c>
      <c r="D8199" s="16">
        <v>38</v>
      </c>
      <c r="E8199" s="17">
        <v>377.13</v>
      </c>
      <c r="F8199" s="16">
        <v>0.02</v>
      </c>
      <c r="G8199" s="15" t="s">
        <v>32</v>
      </c>
      <c r="H8199" s="18">
        <v>-10.29</v>
      </c>
      <c r="I8199" s="19">
        <v>9.77</v>
      </c>
      <c r="J8199" s="19">
        <v>6.02</v>
      </c>
      <c r="K8199" s="19" t="s">
        <v>33</v>
      </c>
      <c r="L8199" s="19" t="s">
        <v>128</v>
      </c>
      <c r="M8199" s="15" t="s">
        <v>129</v>
      </c>
      <c r="N8199" s="15" t="s">
        <v>54</v>
      </c>
      <c r="O8199" s="15" t="s">
        <v>55</v>
      </c>
      <c r="P8199" s="20" t="s">
        <v>577</v>
      </c>
      <c r="Q8199" s="15" t="s">
        <v>57</v>
      </c>
      <c r="R8199" s="4"/>
      <c r="S8199" s="4"/>
    </row>
    <row r="8200" spans="1:19" ht="21" customHeight="1" x14ac:dyDescent="0.25">
      <c r="A8200" s="14">
        <f>DATE(2012,12,31)-1356</f>
        <v>39918</v>
      </c>
      <c r="B8200" s="15" t="s">
        <v>1147</v>
      </c>
      <c r="C8200" s="15" t="s">
        <v>85</v>
      </c>
      <c r="D8200" s="16">
        <v>41</v>
      </c>
      <c r="E8200" s="17">
        <v>998.05</v>
      </c>
      <c r="F8200" s="16">
        <v>0.01</v>
      </c>
      <c r="G8200" s="15" t="s">
        <v>32</v>
      </c>
      <c r="H8200" s="18">
        <v>391.14</v>
      </c>
      <c r="I8200" s="19">
        <v>22.98</v>
      </c>
      <c r="J8200" s="19">
        <v>1.99</v>
      </c>
      <c r="K8200" s="19" t="s">
        <v>97</v>
      </c>
      <c r="L8200" s="19" t="s">
        <v>132</v>
      </c>
      <c r="M8200" s="15" t="s">
        <v>2294</v>
      </c>
      <c r="N8200" s="15" t="s">
        <v>64</v>
      </c>
      <c r="O8200" s="15" t="s">
        <v>72</v>
      </c>
      <c r="P8200" s="20" t="s">
        <v>877</v>
      </c>
      <c r="Q8200" s="15" t="s">
        <v>49</v>
      </c>
      <c r="R8200" s="4"/>
      <c r="S8200" s="4"/>
    </row>
    <row r="8201" spans="1:19" ht="21" customHeight="1" x14ac:dyDescent="0.25">
      <c r="A8201" s="14">
        <f>DATE(2012,12,31)-1356</f>
        <v>39918</v>
      </c>
      <c r="B8201" s="15" t="s">
        <v>2102</v>
      </c>
      <c r="C8201" s="15" t="s">
        <v>85</v>
      </c>
      <c r="D8201" s="16">
        <v>20</v>
      </c>
      <c r="E8201" s="17">
        <v>4353.0200000000004</v>
      </c>
      <c r="F8201" s="16">
        <v>0.1</v>
      </c>
      <c r="G8201" s="15" t="s">
        <v>58</v>
      </c>
      <c r="H8201" s="18">
        <v>661.77</v>
      </c>
      <c r="I8201" s="19">
        <v>226.67</v>
      </c>
      <c r="J8201" s="19">
        <v>28.16</v>
      </c>
      <c r="K8201" s="19" t="s">
        <v>97</v>
      </c>
      <c r="L8201" s="19" t="s">
        <v>98</v>
      </c>
      <c r="M8201" s="15" t="s">
        <v>2363</v>
      </c>
      <c r="N8201" s="15" t="s">
        <v>54</v>
      </c>
      <c r="O8201" s="15" t="s">
        <v>252</v>
      </c>
      <c r="P8201" s="20" t="s">
        <v>278</v>
      </c>
      <c r="Q8201" s="15" t="s">
        <v>181</v>
      </c>
      <c r="R8201" s="4"/>
      <c r="S8201" s="4"/>
    </row>
    <row r="8202" spans="1:19" ht="21" customHeight="1" x14ac:dyDescent="0.25">
      <c r="A8202" s="14">
        <f>DATE(2012,12,31)-1038</f>
        <v>40236</v>
      </c>
      <c r="B8202" s="15" t="s">
        <v>2184</v>
      </c>
      <c r="C8202" s="15" t="s">
        <v>31</v>
      </c>
      <c r="D8202" s="16">
        <v>24</v>
      </c>
      <c r="E8202" s="17">
        <v>307.49</v>
      </c>
      <c r="F8202" s="16">
        <v>0.01</v>
      </c>
      <c r="G8202" s="15" t="s">
        <v>32</v>
      </c>
      <c r="H8202" s="18">
        <v>61.51</v>
      </c>
      <c r="I8202" s="19">
        <v>12.2</v>
      </c>
      <c r="J8202" s="19">
        <v>6.02</v>
      </c>
      <c r="K8202" s="19" t="s">
        <v>97</v>
      </c>
      <c r="L8202" s="19" t="s">
        <v>98</v>
      </c>
      <c r="M8202" s="15" t="s">
        <v>2363</v>
      </c>
      <c r="N8202" s="15" t="s">
        <v>54</v>
      </c>
      <c r="O8202" s="15" t="s">
        <v>55</v>
      </c>
      <c r="P8202" s="20" t="s">
        <v>1453</v>
      </c>
      <c r="Q8202" s="15" t="s">
        <v>49</v>
      </c>
      <c r="R8202" s="4"/>
      <c r="S8202" s="4"/>
    </row>
    <row r="8203" spans="1:19" ht="21" customHeight="1" x14ac:dyDescent="0.25">
      <c r="A8203" s="14">
        <f>DATE(2012,12,31)-938</f>
        <v>40336</v>
      </c>
      <c r="B8203" s="15" t="s">
        <v>2184</v>
      </c>
      <c r="C8203" s="15" t="s">
        <v>31</v>
      </c>
      <c r="D8203" s="16">
        <v>3</v>
      </c>
      <c r="E8203" s="17">
        <v>23.93</v>
      </c>
      <c r="F8203" s="16">
        <v>0.1</v>
      </c>
      <c r="G8203" s="15" t="s">
        <v>32</v>
      </c>
      <c r="H8203" s="18">
        <v>-6.39</v>
      </c>
      <c r="I8203" s="19">
        <v>8.34</v>
      </c>
      <c r="J8203" s="19">
        <v>0.96</v>
      </c>
      <c r="K8203" s="19" t="s">
        <v>97</v>
      </c>
      <c r="L8203" s="19" t="s">
        <v>195</v>
      </c>
      <c r="M8203" s="15" t="s">
        <v>2374</v>
      </c>
      <c r="N8203" s="15" t="s">
        <v>54</v>
      </c>
      <c r="O8203" s="15" t="s">
        <v>55</v>
      </c>
      <c r="P8203" s="20" t="s">
        <v>858</v>
      </c>
      <c r="Q8203" s="15" t="s">
        <v>79</v>
      </c>
      <c r="R8203" s="4"/>
      <c r="S8203" s="4"/>
    </row>
    <row r="8204" spans="1:19" ht="21" customHeight="1" x14ac:dyDescent="0.25">
      <c r="A8204" s="14">
        <f>DATE(2012,12,31)-938</f>
        <v>40336</v>
      </c>
      <c r="B8204" s="15" t="s">
        <v>1040</v>
      </c>
      <c r="C8204" s="15" t="s">
        <v>31</v>
      </c>
      <c r="D8204" s="16">
        <v>14</v>
      </c>
      <c r="E8204" s="17">
        <v>2027.55</v>
      </c>
      <c r="F8204" s="16">
        <v>0.04</v>
      </c>
      <c r="G8204" s="15" t="s">
        <v>32</v>
      </c>
      <c r="H8204" s="18">
        <v>537.4</v>
      </c>
      <c r="I8204" s="19">
        <v>140.99</v>
      </c>
      <c r="J8204" s="19">
        <v>13.99</v>
      </c>
      <c r="K8204" s="19" t="s">
        <v>97</v>
      </c>
      <c r="L8204" s="19" t="s">
        <v>98</v>
      </c>
      <c r="M8204" s="15" t="s">
        <v>2363</v>
      </c>
      <c r="N8204" s="15" t="s">
        <v>64</v>
      </c>
      <c r="O8204" s="15" t="s">
        <v>122</v>
      </c>
      <c r="P8204" s="20" t="s">
        <v>421</v>
      </c>
      <c r="Q8204" s="15" t="s">
        <v>57</v>
      </c>
      <c r="R8204" s="4"/>
      <c r="S8204" s="4"/>
    </row>
    <row r="8205" spans="1:19" ht="21" customHeight="1" x14ac:dyDescent="0.25">
      <c r="A8205" s="14">
        <f>DATE(2012,12,31)-232</f>
        <v>41042</v>
      </c>
      <c r="B8205" s="15" t="s">
        <v>817</v>
      </c>
      <c r="C8205" s="15" t="s">
        <v>85</v>
      </c>
      <c r="D8205" s="16">
        <v>27</v>
      </c>
      <c r="E8205" s="17">
        <v>5307.5</v>
      </c>
      <c r="F8205" s="16">
        <v>0.09</v>
      </c>
      <c r="G8205" s="15" t="s">
        <v>58</v>
      </c>
      <c r="H8205" s="18">
        <v>1116.67</v>
      </c>
      <c r="I8205" s="19">
        <v>200.98</v>
      </c>
      <c r="J8205" s="19">
        <v>23.76</v>
      </c>
      <c r="K8205" s="19" t="s">
        <v>124</v>
      </c>
      <c r="L8205" s="19" t="s">
        <v>160</v>
      </c>
      <c r="M8205" s="15" t="s">
        <v>2281</v>
      </c>
      <c r="N8205" s="15" t="s">
        <v>54</v>
      </c>
      <c r="O8205" s="15" t="s">
        <v>252</v>
      </c>
      <c r="P8205" s="20" t="s">
        <v>280</v>
      </c>
      <c r="Q8205" s="15" t="s">
        <v>181</v>
      </c>
      <c r="R8205" s="4"/>
      <c r="S8205" s="4"/>
    </row>
    <row r="8206" spans="1:19" ht="21" customHeight="1" x14ac:dyDescent="0.25">
      <c r="A8206" s="14">
        <f>DATE(2012,12,31)-982</f>
        <v>40292</v>
      </c>
      <c r="B8206" s="15" t="s">
        <v>817</v>
      </c>
      <c r="C8206" s="15" t="s">
        <v>85</v>
      </c>
      <c r="D8206" s="16">
        <v>35</v>
      </c>
      <c r="E8206" s="17">
        <v>6130.9</v>
      </c>
      <c r="F8206" s="16">
        <v>0.03</v>
      </c>
      <c r="G8206" s="15" t="s">
        <v>58</v>
      </c>
      <c r="H8206" s="18">
        <v>583.15</v>
      </c>
      <c r="I8206" s="19">
        <v>170.98</v>
      </c>
      <c r="J8206" s="19">
        <v>35.89</v>
      </c>
      <c r="K8206" s="19" t="s">
        <v>124</v>
      </c>
      <c r="L8206" s="19" t="s">
        <v>493</v>
      </c>
      <c r="M8206" s="15" t="s">
        <v>2367</v>
      </c>
      <c r="N8206" s="15" t="s">
        <v>54</v>
      </c>
      <c r="O8206" s="15" t="s">
        <v>134</v>
      </c>
      <c r="P8206" s="20" t="s">
        <v>393</v>
      </c>
      <c r="Q8206" s="15" t="s">
        <v>63</v>
      </c>
      <c r="R8206" s="4"/>
      <c r="S8206" s="4"/>
    </row>
    <row r="8207" spans="1:19" ht="21" customHeight="1" x14ac:dyDescent="0.25">
      <c r="A8207" s="14">
        <f>DATE(2012,12,31)-982</f>
        <v>40292</v>
      </c>
      <c r="B8207" s="15" t="s">
        <v>817</v>
      </c>
      <c r="C8207" s="15" t="s">
        <v>85</v>
      </c>
      <c r="D8207" s="16">
        <v>10</v>
      </c>
      <c r="E8207" s="17">
        <v>193.20500000000001</v>
      </c>
      <c r="F8207" s="16">
        <v>0</v>
      </c>
      <c r="G8207" s="15" t="s">
        <v>32</v>
      </c>
      <c r="H8207" s="18">
        <v>-52.239000000000004</v>
      </c>
      <c r="I8207" s="19">
        <v>20.99</v>
      </c>
      <c r="J8207" s="19">
        <v>4.8099999999999996</v>
      </c>
      <c r="K8207" s="19" t="s">
        <v>124</v>
      </c>
      <c r="L8207" s="19" t="s">
        <v>160</v>
      </c>
      <c r="M8207" s="15" t="s">
        <v>2281</v>
      </c>
      <c r="N8207" s="15" t="s">
        <v>64</v>
      </c>
      <c r="O8207" s="15" t="s">
        <v>65</v>
      </c>
      <c r="P8207" s="20" t="s">
        <v>1101</v>
      </c>
      <c r="Q8207" s="15" t="s">
        <v>57</v>
      </c>
      <c r="R8207" s="4"/>
      <c r="S8207" s="4"/>
    </row>
    <row r="8208" spans="1:19" ht="21" customHeight="1" x14ac:dyDescent="0.25">
      <c r="A8208" s="14">
        <f>DATE(2012,12,31)-792</f>
        <v>40482</v>
      </c>
      <c r="B8208" s="15" t="s">
        <v>529</v>
      </c>
      <c r="C8208" s="15" t="s">
        <v>85</v>
      </c>
      <c r="D8208" s="16">
        <v>38</v>
      </c>
      <c r="E8208" s="17">
        <v>69.260000000000005</v>
      </c>
      <c r="F8208" s="16">
        <v>7.0000000000000007E-2</v>
      </c>
      <c r="G8208" s="15" t="s">
        <v>32</v>
      </c>
      <c r="H8208" s="18">
        <v>-113.86</v>
      </c>
      <c r="I8208" s="19">
        <v>1.74</v>
      </c>
      <c r="J8208" s="19">
        <v>4.08</v>
      </c>
      <c r="K8208" s="19" t="s">
        <v>124</v>
      </c>
      <c r="L8208" s="19" t="s">
        <v>160</v>
      </c>
      <c r="M8208" s="15" t="s">
        <v>2281</v>
      </c>
      <c r="N8208" s="15" t="s">
        <v>54</v>
      </c>
      <c r="O8208" s="15" t="s">
        <v>55</v>
      </c>
      <c r="P8208" s="20" t="s">
        <v>118</v>
      </c>
      <c r="Q8208" s="15" t="s">
        <v>49</v>
      </c>
      <c r="R8208" s="4"/>
      <c r="S8208" s="4"/>
    </row>
    <row r="8209" spans="1:19" ht="21" customHeight="1" x14ac:dyDescent="0.25">
      <c r="A8209" s="14">
        <f>DATE(2012,12,31)-141</f>
        <v>41133</v>
      </c>
      <c r="B8209" s="15" t="s">
        <v>616</v>
      </c>
      <c r="C8209" s="15" t="s">
        <v>31</v>
      </c>
      <c r="D8209" s="16">
        <v>36</v>
      </c>
      <c r="E8209" s="17">
        <v>161.56</v>
      </c>
      <c r="F8209" s="16">
        <v>0</v>
      </c>
      <c r="G8209" s="15" t="s">
        <v>32</v>
      </c>
      <c r="H8209" s="18">
        <v>59.67</v>
      </c>
      <c r="I8209" s="19">
        <v>4.13</v>
      </c>
      <c r="J8209" s="19">
        <v>0.99</v>
      </c>
      <c r="K8209" s="19" t="s">
        <v>124</v>
      </c>
      <c r="L8209" s="19" t="s">
        <v>160</v>
      </c>
      <c r="M8209" s="15" t="s">
        <v>2281</v>
      </c>
      <c r="N8209" s="15" t="s">
        <v>36</v>
      </c>
      <c r="O8209" s="15" t="s">
        <v>114</v>
      </c>
      <c r="P8209" s="20" t="s">
        <v>467</v>
      </c>
      <c r="Q8209" s="15" t="s">
        <v>83</v>
      </c>
      <c r="R8209" s="4"/>
      <c r="S8209" s="4"/>
    </row>
    <row r="8210" spans="1:19" ht="21" customHeight="1" x14ac:dyDescent="0.25">
      <c r="A8210" s="14">
        <f>DATE(2012,12,31)-651</f>
        <v>40623</v>
      </c>
      <c r="B8210" s="15" t="s">
        <v>1898</v>
      </c>
      <c r="C8210" s="15" t="s">
        <v>31</v>
      </c>
      <c r="D8210" s="16">
        <v>29</v>
      </c>
      <c r="E8210" s="17">
        <v>87.68</v>
      </c>
      <c r="F8210" s="16">
        <v>0.03</v>
      </c>
      <c r="G8210" s="15" t="s">
        <v>32</v>
      </c>
      <c r="H8210" s="18">
        <v>23.14</v>
      </c>
      <c r="I8210" s="19">
        <v>2.88</v>
      </c>
      <c r="J8210" s="19">
        <v>0.99</v>
      </c>
      <c r="K8210" s="19" t="s">
        <v>124</v>
      </c>
      <c r="L8210" s="19" t="s">
        <v>160</v>
      </c>
      <c r="M8210" s="15" t="s">
        <v>2281</v>
      </c>
      <c r="N8210" s="15" t="s">
        <v>36</v>
      </c>
      <c r="O8210" s="15" t="s">
        <v>114</v>
      </c>
      <c r="P8210" s="20" t="s">
        <v>425</v>
      </c>
      <c r="Q8210" s="15" t="s">
        <v>83</v>
      </c>
      <c r="R8210" s="4"/>
      <c r="S8210" s="4"/>
    </row>
    <row r="8211" spans="1:19" ht="21" customHeight="1" x14ac:dyDescent="0.25">
      <c r="A8211" s="14">
        <f>DATE(2012,12,31)-651</f>
        <v>40623</v>
      </c>
      <c r="B8211" s="15" t="s">
        <v>911</v>
      </c>
      <c r="C8211" s="15" t="s">
        <v>31</v>
      </c>
      <c r="D8211" s="16">
        <v>46</v>
      </c>
      <c r="E8211" s="17">
        <v>3732.25</v>
      </c>
      <c r="F8211" s="16">
        <v>0.1</v>
      </c>
      <c r="G8211" s="15" t="s">
        <v>58</v>
      </c>
      <c r="H8211" s="18">
        <v>-1255.8600000000001</v>
      </c>
      <c r="I8211" s="19">
        <v>85.29</v>
      </c>
      <c r="J8211" s="19">
        <v>60</v>
      </c>
      <c r="K8211" s="19" t="s">
        <v>124</v>
      </c>
      <c r="L8211" s="19" t="s">
        <v>160</v>
      </c>
      <c r="M8211" s="15" t="s">
        <v>2281</v>
      </c>
      <c r="N8211" s="15" t="s">
        <v>54</v>
      </c>
      <c r="O8211" s="15" t="s">
        <v>61</v>
      </c>
      <c r="P8211" s="20" t="s">
        <v>479</v>
      </c>
      <c r="Q8211" s="15" t="s">
        <v>181</v>
      </c>
      <c r="R8211" s="4"/>
      <c r="S8211" s="4"/>
    </row>
    <row r="8212" spans="1:19" ht="21" customHeight="1" x14ac:dyDescent="0.25">
      <c r="A8212" s="14">
        <f>DATE(2012,12,31)-965</f>
        <v>40309</v>
      </c>
      <c r="B8212" s="15" t="s">
        <v>1583</v>
      </c>
      <c r="C8212" s="15" t="s">
        <v>85</v>
      </c>
      <c r="D8212" s="16">
        <v>23</v>
      </c>
      <c r="E8212" s="17">
        <v>144.55000000000001</v>
      </c>
      <c r="F8212" s="16">
        <v>7.0000000000000007E-2</v>
      </c>
      <c r="G8212" s="15" t="s">
        <v>32</v>
      </c>
      <c r="H8212" s="18">
        <v>-60.17</v>
      </c>
      <c r="I8212" s="19">
        <v>6.48</v>
      </c>
      <c r="J8212" s="19">
        <v>5.94</v>
      </c>
      <c r="K8212" s="19" t="s">
        <v>124</v>
      </c>
      <c r="L8212" s="19" t="s">
        <v>160</v>
      </c>
      <c r="M8212" s="15" t="s">
        <v>2281</v>
      </c>
      <c r="N8212" s="15" t="s">
        <v>36</v>
      </c>
      <c r="O8212" s="15" t="s">
        <v>117</v>
      </c>
      <c r="P8212" s="20" t="s">
        <v>1797</v>
      </c>
      <c r="Q8212" s="15" t="s">
        <v>83</v>
      </c>
      <c r="R8212" s="4"/>
      <c r="S8212" s="4"/>
    </row>
    <row r="8213" spans="1:19" ht="21" customHeight="1" x14ac:dyDescent="0.25">
      <c r="A8213" s="14">
        <f>DATE(2012,12,31)-1362</f>
        <v>39912</v>
      </c>
      <c r="B8213" s="15" t="s">
        <v>1583</v>
      </c>
      <c r="C8213" s="15" t="s">
        <v>31</v>
      </c>
      <c r="D8213" s="16">
        <v>46</v>
      </c>
      <c r="E8213" s="17">
        <v>99.94</v>
      </c>
      <c r="F8213" s="16">
        <v>7.0000000000000007E-2</v>
      </c>
      <c r="G8213" s="15" t="s">
        <v>32</v>
      </c>
      <c r="H8213" s="18">
        <v>-55.84</v>
      </c>
      <c r="I8213" s="19">
        <v>2.12</v>
      </c>
      <c r="J8213" s="19">
        <v>1.99</v>
      </c>
      <c r="K8213" s="19" t="s">
        <v>124</v>
      </c>
      <c r="L8213" s="19" t="s">
        <v>160</v>
      </c>
      <c r="M8213" s="15" t="s">
        <v>2281</v>
      </c>
      <c r="N8213" s="15" t="s">
        <v>64</v>
      </c>
      <c r="O8213" s="15" t="s">
        <v>72</v>
      </c>
      <c r="P8213" s="20" t="s">
        <v>464</v>
      </c>
      <c r="Q8213" s="15" t="s">
        <v>49</v>
      </c>
      <c r="R8213" s="4"/>
      <c r="S8213" s="4"/>
    </row>
    <row r="8214" spans="1:19" ht="21" customHeight="1" x14ac:dyDescent="0.25">
      <c r="A8214" s="14">
        <f>DATE(2012,12,31)-1362</f>
        <v>39912</v>
      </c>
      <c r="B8214" s="15" t="s">
        <v>827</v>
      </c>
      <c r="C8214" s="15" t="s">
        <v>31</v>
      </c>
      <c r="D8214" s="16">
        <v>11</v>
      </c>
      <c r="E8214" s="17">
        <v>18.7</v>
      </c>
      <c r="F8214" s="16">
        <v>7.0000000000000007E-2</v>
      </c>
      <c r="G8214" s="15" t="s">
        <v>32</v>
      </c>
      <c r="H8214" s="18">
        <v>-3.36</v>
      </c>
      <c r="I8214" s="19">
        <v>1.76</v>
      </c>
      <c r="J8214" s="19">
        <v>0.7</v>
      </c>
      <c r="K8214" s="19" t="s">
        <v>124</v>
      </c>
      <c r="L8214" s="19" t="s">
        <v>125</v>
      </c>
      <c r="M8214" s="15" t="s">
        <v>2358</v>
      </c>
      <c r="N8214" s="15" t="s">
        <v>36</v>
      </c>
      <c r="O8214" s="15" t="s">
        <v>77</v>
      </c>
      <c r="P8214" s="20" t="s">
        <v>848</v>
      </c>
      <c r="Q8214" s="15" t="s">
        <v>79</v>
      </c>
      <c r="R8214" s="4"/>
      <c r="S8214" s="4"/>
    </row>
    <row r="8215" spans="1:19" ht="21" customHeight="1" x14ac:dyDescent="0.25">
      <c r="A8215" s="14">
        <f>DATE(2012,12,31)-304</f>
        <v>40970</v>
      </c>
      <c r="B8215" s="15" t="s">
        <v>2215</v>
      </c>
      <c r="C8215" s="15" t="s">
        <v>51</v>
      </c>
      <c r="D8215" s="16">
        <v>27</v>
      </c>
      <c r="E8215" s="17">
        <v>14300.26</v>
      </c>
      <c r="F8215" s="16">
        <v>0.01</v>
      </c>
      <c r="G8215" s="15" t="s">
        <v>32</v>
      </c>
      <c r="H8215" s="18">
        <v>6279.18</v>
      </c>
      <c r="I8215" s="19">
        <v>499.99</v>
      </c>
      <c r="J8215" s="19">
        <v>24.49</v>
      </c>
      <c r="K8215" s="19" t="s">
        <v>124</v>
      </c>
      <c r="L8215" s="19" t="s">
        <v>164</v>
      </c>
      <c r="M8215" s="15" t="s">
        <v>2368</v>
      </c>
      <c r="N8215" s="15" t="s">
        <v>64</v>
      </c>
      <c r="O8215" s="15" t="s">
        <v>460</v>
      </c>
      <c r="P8215" s="20" t="s">
        <v>1816</v>
      </c>
      <c r="Q8215" s="15" t="s">
        <v>39</v>
      </c>
      <c r="R8215" s="4"/>
      <c r="S8215" s="4"/>
    </row>
    <row r="8216" spans="1:19" ht="21" customHeight="1" x14ac:dyDescent="0.25">
      <c r="A8216" s="14">
        <f>DATE(2012,12,31)-304</f>
        <v>40970</v>
      </c>
      <c r="B8216" s="15" t="s">
        <v>2215</v>
      </c>
      <c r="C8216" s="15" t="s">
        <v>51</v>
      </c>
      <c r="D8216" s="16">
        <v>3</v>
      </c>
      <c r="E8216" s="17">
        <v>62.88</v>
      </c>
      <c r="F8216" s="16">
        <v>0.09</v>
      </c>
      <c r="G8216" s="15" t="s">
        <v>32</v>
      </c>
      <c r="H8216" s="18">
        <v>-25.96</v>
      </c>
      <c r="I8216" s="19">
        <v>21.98</v>
      </c>
      <c r="J8216" s="19">
        <v>2.87</v>
      </c>
      <c r="K8216" s="19" t="s">
        <v>124</v>
      </c>
      <c r="L8216" s="19" t="s">
        <v>164</v>
      </c>
      <c r="M8216" s="15" t="s">
        <v>2368</v>
      </c>
      <c r="N8216" s="15" t="s">
        <v>36</v>
      </c>
      <c r="O8216" s="15" t="s">
        <v>77</v>
      </c>
      <c r="P8216" s="20" t="s">
        <v>581</v>
      </c>
      <c r="Q8216" s="15" t="s">
        <v>49</v>
      </c>
      <c r="R8216" s="4"/>
      <c r="S8216" s="4"/>
    </row>
    <row r="8217" spans="1:19" ht="21" customHeight="1" x14ac:dyDescent="0.25">
      <c r="A8217" s="14">
        <f>DATE(2012,12,31)-462</f>
        <v>40812</v>
      </c>
      <c r="B8217" s="15" t="s">
        <v>602</v>
      </c>
      <c r="C8217" s="15" t="s">
        <v>43</v>
      </c>
      <c r="D8217" s="16">
        <v>48</v>
      </c>
      <c r="E8217" s="17">
        <v>410.15</v>
      </c>
      <c r="F8217" s="16">
        <v>0.01</v>
      </c>
      <c r="G8217" s="15" t="s">
        <v>32</v>
      </c>
      <c r="H8217" s="18">
        <v>102.58</v>
      </c>
      <c r="I8217" s="19">
        <v>8.01</v>
      </c>
      <c r="J8217" s="19">
        <v>2.87</v>
      </c>
      <c r="K8217" s="19" t="s">
        <v>124</v>
      </c>
      <c r="L8217" s="19" t="s">
        <v>164</v>
      </c>
      <c r="M8217" s="15" t="s">
        <v>2368</v>
      </c>
      <c r="N8217" s="15" t="s">
        <v>36</v>
      </c>
      <c r="O8217" s="15" t="s">
        <v>117</v>
      </c>
      <c r="P8217" s="20" t="s">
        <v>1248</v>
      </c>
      <c r="Q8217" s="15" t="s">
        <v>79</v>
      </c>
      <c r="R8217" s="4"/>
      <c r="S8217" s="4"/>
    </row>
    <row r="8218" spans="1:19" ht="21" customHeight="1" x14ac:dyDescent="0.25">
      <c r="A8218" s="14">
        <f>DATE(2012,12,31)-462</f>
        <v>40812</v>
      </c>
      <c r="B8218" s="15" t="s">
        <v>854</v>
      </c>
      <c r="C8218" s="15" t="s">
        <v>43</v>
      </c>
      <c r="D8218" s="16">
        <v>28</v>
      </c>
      <c r="E8218" s="17">
        <v>135.72</v>
      </c>
      <c r="F8218" s="16">
        <v>0.09</v>
      </c>
      <c r="G8218" s="15" t="s">
        <v>32</v>
      </c>
      <c r="H8218" s="18">
        <v>-67.790000000000006</v>
      </c>
      <c r="I8218" s="19">
        <v>4.9800000000000004</v>
      </c>
      <c r="J8218" s="19">
        <v>5.0199999999999996</v>
      </c>
      <c r="K8218" s="19" t="s">
        <v>124</v>
      </c>
      <c r="L8218" s="19" t="s">
        <v>319</v>
      </c>
      <c r="M8218" s="15" t="s">
        <v>2375</v>
      </c>
      <c r="N8218" s="15" t="s">
        <v>36</v>
      </c>
      <c r="O8218" s="15" t="s">
        <v>117</v>
      </c>
      <c r="P8218" s="20" t="s">
        <v>1907</v>
      </c>
      <c r="Q8218" s="15" t="s">
        <v>83</v>
      </c>
      <c r="R8218" s="4"/>
      <c r="S8218" s="4"/>
    </row>
    <row r="8219" spans="1:19" ht="21" customHeight="1" x14ac:dyDescent="0.25">
      <c r="A8219" s="14">
        <f>DATE(2012,12,31)-15</f>
        <v>41259</v>
      </c>
      <c r="B8219" s="15" t="s">
        <v>854</v>
      </c>
      <c r="C8219" s="15" t="s">
        <v>85</v>
      </c>
      <c r="D8219" s="16">
        <v>50</v>
      </c>
      <c r="E8219" s="17">
        <v>1558.9424999999999</v>
      </c>
      <c r="F8219" s="16">
        <v>0.02</v>
      </c>
      <c r="G8219" s="15" t="s">
        <v>32</v>
      </c>
      <c r="H8219" s="18">
        <v>548.44200000000001</v>
      </c>
      <c r="I8219" s="19">
        <v>35.99</v>
      </c>
      <c r="J8219" s="19">
        <v>1.1000000000000001</v>
      </c>
      <c r="K8219" s="19" t="s">
        <v>124</v>
      </c>
      <c r="L8219" s="19" t="s">
        <v>168</v>
      </c>
      <c r="M8219" s="15" t="s">
        <v>2378</v>
      </c>
      <c r="N8219" s="15" t="s">
        <v>64</v>
      </c>
      <c r="O8219" s="15" t="s">
        <v>65</v>
      </c>
      <c r="P8219" s="20" t="s">
        <v>1044</v>
      </c>
      <c r="Q8219" s="15" t="s">
        <v>83</v>
      </c>
      <c r="R8219" s="4"/>
      <c r="S8219" s="4"/>
    </row>
    <row r="8220" spans="1:19" ht="21" customHeight="1" x14ac:dyDescent="0.25">
      <c r="A8220" s="14">
        <f>DATE(2012,12,31)-329</f>
        <v>40945</v>
      </c>
      <c r="B8220" s="15" t="s">
        <v>645</v>
      </c>
      <c r="C8220" s="15" t="s">
        <v>31</v>
      </c>
      <c r="D8220" s="16">
        <v>13</v>
      </c>
      <c r="E8220" s="17">
        <v>75.89</v>
      </c>
      <c r="F8220" s="16">
        <v>0.09</v>
      </c>
      <c r="G8220" s="15" t="s">
        <v>32</v>
      </c>
      <c r="H8220" s="18">
        <v>-31.01</v>
      </c>
      <c r="I8220" s="19">
        <v>5.98</v>
      </c>
      <c r="J8220" s="19">
        <v>5.15</v>
      </c>
      <c r="K8220" s="19" t="s">
        <v>124</v>
      </c>
      <c r="L8220" s="19" t="s">
        <v>164</v>
      </c>
      <c r="M8220" s="15" t="s">
        <v>2368</v>
      </c>
      <c r="N8220" s="15" t="s">
        <v>36</v>
      </c>
      <c r="O8220" s="15" t="s">
        <v>117</v>
      </c>
      <c r="P8220" s="20" t="s">
        <v>639</v>
      </c>
      <c r="Q8220" s="15" t="s">
        <v>83</v>
      </c>
      <c r="R8220" s="4"/>
      <c r="S8220" s="4"/>
    </row>
    <row r="8221" spans="1:19" ht="21" customHeight="1" x14ac:dyDescent="0.25">
      <c r="A8221" s="14">
        <f>DATE(2012,12,31)-700</f>
        <v>40574</v>
      </c>
      <c r="B8221" s="15" t="s">
        <v>2224</v>
      </c>
      <c r="C8221" s="15" t="s">
        <v>51</v>
      </c>
      <c r="D8221" s="16">
        <v>28</v>
      </c>
      <c r="E8221" s="17">
        <v>1262.75</v>
      </c>
      <c r="F8221" s="16">
        <v>7.0000000000000007E-2</v>
      </c>
      <c r="G8221" s="15" t="s">
        <v>32</v>
      </c>
      <c r="H8221" s="18">
        <v>422.23</v>
      </c>
      <c r="I8221" s="19">
        <v>46.89</v>
      </c>
      <c r="J8221" s="19">
        <v>5.0999999999999996</v>
      </c>
      <c r="K8221" s="19" t="s">
        <v>124</v>
      </c>
      <c r="L8221" s="19" t="s">
        <v>164</v>
      </c>
      <c r="M8221" s="15" t="s">
        <v>2368</v>
      </c>
      <c r="N8221" s="15" t="s">
        <v>36</v>
      </c>
      <c r="O8221" s="15" t="s">
        <v>176</v>
      </c>
      <c r="P8221" s="20" t="s">
        <v>977</v>
      </c>
      <c r="Q8221" s="15" t="s">
        <v>57</v>
      </c>
      <c r="R8221" s="4"/>
      <c r="S8221" s="4"/>
    </row>
    <row r="8222" spans="1:19" ht="21" customHeight="1" x14ac:dyDescent="0.25">
      <c r="A8222" s="14">
        <f>DATE(2012,12,31)-824</f>
        <v>40450</v>
      </c>
      <c r="B8222" s="15" t="s">
        <v>2224</v>
      </c>
      <c r="C8222" s="15" t="s">
        <v>85</v>
      </c>
      <c r="D8222" s="16">
        <v>39</v>
      </c>
      <c r="E8222" s="17">
        <v>3451.85</v>
      </c>
      <c r="F8222" s="16">
        <v>0.05</v>
      </c>
      <c r="G8222" s="15" t="s">
        <v>58</v>
      </c>
      <c r="H8222" s="18">
        <v>1264.75</v>
      </c>
      <c r="I8222" s="19">
        <v>90.97</v>
      </c>
      <c r="J8222" s="19">
        <v>14</v>
      </c>
      <c r="K8222" s="19" t="s">
        <v>124</v>
      </c>
      <c r="L8222" s="19" t="s">
        <v>164</v>
      </c>
      <c r="M8222" s="15" t="s">
        <v>2379</v>
      </c>
      <c r="N8222" s="15" t="s">
        <v>64</v>
      </c>
      <c r="O8222" s="15" t="s">
        <v>122</v>
      </c>
      <c r="P8222" s="20" t="s">
        <v>662</v>
      </c>
      <c r="Q8222" s="15" t="s">
        <v>181</v>
      </c>
      <c r="R8222" s="4"/>
      <c r="S8222" s="4"/>
    </row>
    <row r="8223" spans="1:19" ht="21" customHeight="1" x14ac:dyDescent="0.25">
      <c r="A8223" s="14">
        <f>DATE(2012,12,31)-409</f>
        <v>40865</v>
      </c>
      <c r="B8223" s="15" t="s">
        <v>2224</v>
      </c>
      <c r="C8223" s="15" t="s">
        <v>85</v>
      </c>
      <c r="D8223" s="16">
        <v>19</v>
      </c>
      <c r="E8223" s="17">
        <v>614.91</v>
      </c>
      <c r="F8223" s="16">
        <v>0.02</v>
      </c>
      <c r="G8223" s="15" t="s">
        <v>101</v>
      </c>
      <c r="H8223" s="18">
        <v>-7.02</v>
      </c>
      <c r="I8223" s="19">
        <v>30.98</v>
      </c>
      <c r="J8223" s="19">
        <v>17.079999999999998</v>
      </c>
      <c r="K8223" s="19" t="s">
        <v>124</v>
      </c>
      <c r="L8223" s="19" t="s">
        <v>164</v>
      </c>
      <c r="M8223" s="15" t="s">
        <v>2379</v>
      </c>
      <c r="N8223" s="15" t="s">
        <v>36</v>
      </c>
      <c r="O8223" s="15" t="s">
        <v>117</v>
      </c>
      <c r="P8223" s="20" t="s">
        <v>1434</v>
      </c>
      <c r="Q8223" s="15" t="s">
        <v>83</v>
      </c>
      <c r="R8223" s="4"/>
      <c r="S8223" s="4"/>
    </row>
    <row r="8224" spans="1:19" ht="21" customHeight="1" x14ac:dyDescent="0.25">
      <c r="A8224" s="14">
        <f>DATE(2012,12,31)-219</f>
        <v>41055</v>
      </c>
      <c r="B8224" s="15" t="s">
        <v>2224</v>
      </c>
      <c r="C8224" s="15" t="s">
        <v>85</v>
      </c>
      <c r="D8224" s="16">
        <v>32</v>
      </c>
      <c r="E8224" s="17">
        <v>254.46</v>
      </c>
      <c r="F8224" s="16">
        <v>0.09</v>
      </c>
      <c r="G8224" s="15" t="s">
        <v>32</v>
      </c>
      <c r="H8224" s="18">
        <v>23.5</v>
      </c>
      <c r="I8224" s="19">
        <v>8.5</v>
      </c>
      <c r="J8224" s="19">
        <v>1.99</v>
      </c>
      <c r="K8224" s="19" t="s">
        <v>124</v>
      </c>
      <c r="L8224" s="19" t="s">
        <v>164</v>
      </c>
      <c r="M8224" s="15" t="s">
        <v>2379</v>
      </c>
      <c r="N8224" s="15" t="s">
        <v>64</v>
      </c>
      <c r="O8224" s="15" t="s">
        <v>72</v>
      </c>
      <c r="P8224" s="20" t="s">
        <v>1254</v>
      </c>
      <c r="Q8224" s="15" t="s">
        <v>49</v>
      </c>
      <c r="R8224" s="4"/>
      <c r="S8224" s="4"/>
    </row>
    <row r="8225" spans="1:19" ht="21" customHeight="1" x14ac:dyDescent="0.25">
      <c r="A8225" s="14">
        <f>DATE(2012,12,31)-219</f>
        <v>41055</v>
      </c>
      <c r="B8225" s="15" t="s">
        <v>2224</v>
      </c>
      <c r="C8225" s="15" t="s">
        <v>85</v>
      </c>
      <c r="D8225" s="16">
        <v>32</v>
      </c>
      <c r="E8225" s="17">
        <v>278.19</v>
      </c>
      <c r="F8225" s="16">
        <v>0.02</v>
      </c>
      <c r="G8225" s="15" t="s">
        <v>32</v>
      </c>
      <c r="H8225" s="18">
        <v>149.38999999999999</v>
      </c>
      <c r="I8225" s="19">
        <v>8.34</v>
      </c>
      <c r="J8225" s="19">
        <v>0.96</v>
      </c>
      <c r="K8225" s="19" t="s">
        <v>124</v>
      </c>
      <c r="L8225" s="19" t="s">
        <v>164</v>
      </c>
      <c r="M8225" s="15" t="s">
        <v>2379</v>
      </c>
      <c r="N8225" s="15" t="s">
        <v>54</v>
      </c>
      <c r="O8225" s="15" t="s">
        <v>55</v>
      </c>
      <c r="P8225" s="20" t="s">
        <v>324</v>
      </c>
      <c r="Q8225" s="15" t="s">
        <v>79</v>
      </c>
      <c r="R8225" s="4"/>
      <c r="S8225" s="4"/>
    </row>
    <row r="8226" spans="1:19" ht="21" customHeight="1" x14ac:dyDescent="0.25">
      <c r="A8226" s="14">
        <f>DATE(2012,12,31)-219</f>
        <v>41055</v>
      </c>
      <c r="B8226" s="15" t="s">
        <v>1396</v>
      </c>
      <c r="C8226" s="15" t="s">
        <v>85</v>
      </c>
      <c r="D8226" s="16">
        <v>32</v>
      </c>
      <c r="E8226" s="17">
        <v>1662.33</v>
      </c>
      <c r="F8226" s="16">
        <v>0.02</v>
      </c>
      <c r="G8226" s="15" t="s">
        <v>32</v>
      </c>
      <c r="H8226" s="18">
        <v>783.84</v>
      </c>
      <c r="I8226" s="19">
        <v>48.91</v>
      </c>
      <c r="J8226" s="19">
        <v>5.81</v>
      </c>
      <c r="K8226" s="19" t="s">
        <v>124</v>
      </c>
      <c r="L8226" s="19" t="s">
        <v>158</v>
      </c>
      <c r="M8226" s="15" t="s">
        <v>158</v>
      </c>
      <c r="N8226" s="15" t="s">
        <v>36</v>
      </c>
      <c r="O8226" s="15" t="s">
        <v>117</v>
      </c>
      <c r="P8226" s="20" t="s">
        <v>706</v>
      </c>
      <c r="Q8226" s="15" t="s">
        <v>83</v>
      </c>
      <c r="R8226" s="4"/>
      <c r="S8226" s="4"/>
    </row>
    <row r="8227" spans="1:19" ht="21" customHeight="1" x14ac:dyDescent="0.25">
      <c r="A8227" s="14">
        <f>DATE(2012,12,31)-530</f>
        <v>40744</v>
      </c>
      <c r="B8227" s="15" t="s">
        <v>794</v>
      </c>
      <c r="C8227" s="15" t="s">
        <v>85</v>
      </c>
      <c r="D8227" s="16">
        <v>6</v>
      </c>
      <c r="E8227" s="17">
        <v>20.190000000000001</v>
      </c>
      <c r="F8227" s="16">
        <v>0.02</v>
      </c>
      <c r="G8227" s="15" t="s">
        <v>32</v>
      </c>
      <c r="H8227" s="18">
        <v>1.25</v>
      </c>
      <c r="I8227" s="19">
        <v>3.08</v>
      </c>
      <c r="J8227" s="19">
        <v>0.99</v>
      </c>
      <c r="K8227" s="19" t="s">
        <v>124</v>
      </c>
      <c r="L8227" s="19" t="s">
        <v>168</v>
      </c>
      <c r="M8227" s="15" t="s">
        <v>2378</v>
      </c>
      <c r="N8227" s="15" t="s">
        <v>36</v>
      </c>
      <c r="O8227" s="15" t="s">
        <v>114</v>
      </c>
      <c r="P8227" s="20" t="s">
        <v>274</v>
      </c>
      <c r="Q8227" s="15" t="s">
        <v>83</v>
      </c>
      <c r="R8227" s="4"/>
      <c r="S8227" s="4"/>
    </row>
    <row r="8228" spans="1:19" ht="21" customHeight="1" x14ac:dyDescent="0.25">
      <c r="A8228" s="14">
        <f>DATE(2012,12,31)-687</f>
        <v>40587</v>
      </c>
      <c r="B8228" s="15" t="s">
        <v>794</v>
      </c>
      <c r="C8228" s="15" t="s">
        <v>85</v>
      </c>
      <c r="D8228" s="16">
        <v>30</v>
      </c>
      <c r="E8228" s="17">
        <v>140.24</v>
      </c>
      <c r="F8228" s="16">
        <v>0.05</v>
      </c>
      <c r="G8228" s="15" t="s">
        <v>32</v>
      </c>
      <c r="H8228" s="18">
        <v>32.869500000000002</v>
      </c>
      <c r="I8228" s="19">
        <v>4.55</v>
      </c>
      <c r="J8228" s="19">
        <v>1.49</v>
      </c>
      <c r="K8228" s="19" t="s">
        <v>44</v>
      </c>
      <c r="L8228" s="19" t="s">
        <v>52</v>
      </c>
      <c r="M8228" s="15" t="s">
        <v>2369</v>
      </c>
      <c r="N8228" s="15" t="s">
        <v>36</v>
      </c>
      <c r="O8228" s="15" t="s">
        <v>170</v>
      </c>
      <c r="P8228" s="20" t="s">
        <v>1171</v>
      </c>
      <c r="Q8228" s="15" t="s">
        <v>83</v>
      </c>
      <c r="R8228" s="4"/>
      <c r="S8228" s="4"/>
    </row>
    <row r="8229" spans="1:19" ht="21" customHeight="1" x14ac:dyDescent="0.25">
      <c r="A8229" s="14">
        <f>DATE(2012,12,31)-703</f>
        <v>40571</v>
      </c>
      <c r="B8229" s="15" t="s">
        <v>572</v>
      </c>
      <c r="C8229" s="15" t="s">
        <v>43</v>
      </c>
      <c r="D8229" s="16">
        <v>10</v>
      </c>
      <c r="E8229" s="17">
        <v>266.94</v>
      </c>
      <c r="F8229" s="16">
        <v>0.09</v>
      </c>
      <c r="G8229" s="15" t="s">
        <v>32</v>
      </c>
      <c r="H8229" s="18">
        <v>19.2</v>
      </c>
      <c r="I8229" s="19">
        <v>28.48</v>
      </c>
      <c r="J8229" s="19">
        <v>1.99</v>
      </c>
      <c r="K8229" s="19" t="s">
        <v>44</v>
      </c>
      <c r="L8229" s="19" t="s">
        <v>45</v>
      </c>
      <c r="M8229" s="15" t="s">
        <v>2373</v>
      </c>
      <c r="N8229" s="15" t="s">
        <v>64</v>
      </c>
      <c r="O8229" s="15" t="s">
        <v>72</v>
      </c>
      <c r="P8229" s="20" t="s">
        <v>551</v>
      </c>
      <c r="Q8229" s="15" t="s">
        <v>49</v>
      </c>
      <c r="R8229" s="4"/>
      <c r="S8229" s="4"/>
    </row>
    <row r="8230" spans="1:19" ht="21" customHeight="1" x14ac:dyDescent="0.25">
      <c r="A8230" s="14">
        <f>DATE(2012,12,31)-703</f>
        <v>40571</v>
      </c>
      <c r="B8230" s="15" t="s">
        <v>572</v>
      </c>
      <c r="C8230" s="15" t="s">
        <v>43</v>
      </c>
      <c r="D8230" s="16">
        <v>26</v>
      </c>
      <c r="E8230" s="17">
        <v>113.85</v>
      </c>
      <c r="F8230" s="16">
        <v>0.06</v>
      </c>
      <c r="G8230" s="15" t="s">
        <v>32</v>
      </c>
      <c r="H8230" s="18">
        <v>-93.93</v>
      </c>
      <c r="I8230" s="19">
        <v>4.1399999999999997</v>
      </c>
      <c r="J8230" s="19">
        <v>6.6</v>
      </c>
      <c r="K8230" s="19" t="s">
        <v>44</v>
      </c>
      <c r="L8230" s="19" t="s">
        <v>52</v>
      </c>
      <c r="M8230" s="15" t="s">
        <v>2369</v>
      </c>
      <c r="N8230" s="15" t="s">
        <v>54</v>
      </c>
      <c r="O8230" s="15" t="s">
        <v>55</v>
      </c>
      <c r="P8230" s="20" t="s">
        <v>1655</v>
      </c>
      <c r="Q8230" s="15" t="s">
        <v>83</v>
      </c>
      <c r="R8230" s="4"/>
      <c r="S8230" s="4"/>
    </row>
    <row r="8231" spans="1:19" ht="21" customHeight="1" x14ac:dyDescent="0.25">
      <c r="A8231" s="14">
        <f>DATE(2012,12,31)-1316</f>
        <v>39958</v>
      </c>
      <c r="B8231" s="15" t="s">
        <v>1821</v>
      </c>
      <c r="C8231" s="15" t="s">
        <v>43</v>
      </c>
      <c r="D8231" s="16">
        <v>12</v>
      </c>
      <c r="E8231" s="17">
        <v>78.94</v>
      </c>
      <c r="F8231" s="16">
        <v>0.03</v>
      </c>
      <c r="G8231" s="15" t="s">
        <v>101</v>
      </c>
      <c r="H8231" s="18">
        <v>-51.704000000000001</v>
      </c>
      <c r="I8231" s="19">
        <v>5.44</v>
      </c>
      <c r="J8231" s="19">
        <v>7.46</v>
      </c>
      <c r="K8231" s="19" t="s">
        <v>124</v>
      </c>
      <c r="L8231" s="19" t="s">
        <v>319</v>
      </c>
      <c r="M8231" s="15" t="s">
        <v>2375</v>
      </c>
      <c r="N8231" s="15" t="s">
        <v>36</v>
      </c>
      <c r="O8231" s="15" t="s">
        <v>170</v>
      </c>
      <c r="P8231" s="20" t="s">
        <v>1384</v>
      </c>
      <c r="Q8231" s="15" t="s">
        <v>83</v>
      </c>
      <c r="R8231" s="4"/>
      <c r="S8231" s="4"/>
    </row>
    <row r="8232" spans="1:19" ht="21" customHeight="1" x14ac:dyDescent="0.25">
      <c r="A8232" s="14">
        <f>DATE(2012,12,31)-1316</f>
        <v>39958</v>
      </c>
      <c r="B8232" s="15" t="s">
        <v>564</v>
      </c>
      <c r="C8232" s="15" t="s">
        <v>43</v>
      </c>
      <c r="D8232" s="16">
        <v>22</v>
      </c>
      <c r="E8232" s="17">
        <v>576.89</v>
      </c>
      <c r="F8232" s="16">
        <v>0.08</v>
      </c>
      <c r="G8232" s="15" t="s">
        <v>32</v>
      </c>
      <c r="H8232" s="18">
        <v>175.03</v>
      </c>
      <c r="I8232" s="19">
        <v>26.38</v>
      </c>
      <c r="J8232" s="19">
        <v>5.58</v>
      </c>
      <c r="K8232" s="19" t="s">
        <v>44</v>
      </c>
      <c r="L8232" s="19" t="s">
        <v>52</v>
      </c>
      <c r="M8232" s="15" t="s">
        <v>2380</v>
      </c>
      <c r="N8232" s="15" t="s">
        <v>36</v>
      </c>
      <c r="O8232" s="15" t="s">
        <v>117</v>
      </c>
      <c r="P8232" s="20" t="s">
        <v>890</v>
      </c>
      <c r="Q8232" s="15" t="s">
        <v>83</v>
      </c>
      <c r="R8232" s="4"/>
      <c r="S8232" s="4"/>
    </row>
    <row r="8233" spans="1:19" ht="21" customHeight="1" x14ac:dyDescent="0.25">
      <c r="A8233" s="14">
        <f>DATE(2012,12,31)-1316</f>
        <v>39958</v>
      </c>
      <c r="B8233" s="15" t="s">
        <v>564</v>
      </c>
      <c r="C8233" s="15" t="s">
        <v>43</v>
      </c>
      <c r="D8233" s="16">
        <v>2</v>
      </c>
      <c r="E8233" s="17">
        <v>35.665999999999997</v>
      </c>
      <c r="F8233" s="16">
        <v>0.06</v>
      </c>
      <c r="G8233" s="15" t="s">
        <v>32</v>
      </c>
      <c r="H8233" s="18">
        <v>-112.18899999999999</v>
      </c>
      <c r="I8233" s="19">
        <v>20.99</v>
      </c>
      <c r="J8233" s="19">
        <v>2.5</v>
      </c>
      <c r="K8233" s="19" t="s">
        <v>44</v>
      </c>
      <c r="L8233" s="19" t="s">
        <v>52</v>
      </c>
      <c r="M8233" s="15" t="s">
        <v>2380</v>
      </c>
      <c r="N8233" s="15" t="s">
        <v>64</v>
      </c>
      <c r="O8233" s="15" t="s">
        <v>65</v>
      </c>
      <c r="P8233" s="20" t="s">
        <v>1974</v>
      </c>
      <c r="Q8233" s="15" t="s">
        <v>79</v>
      </c>
      <c r="R8233" s="4"/>
      <c r="S8233" s="4"/>
    </row>
    <row r="8234" spans="1:19" ht="21" customHeight="1" x14ac:dyDescent="0.25">
      <c r="A8234" s="14">
        <f>DATE(2012,12,31)-1316</f>
        <v>39958</v>
      </c>
      <c r="B8234" s="15" t="s">
        <v>1450</v>
      </c>
      <c r="C8234" s="15" t="s">
        <v>43</v>
      </c>
      <c r="D8234" s="16">
        <v>38</v>
      </c>
      <c r="E8234" s="17">
        <v>4191.5625</v>
      </c>
      <c r="F8234" s="16">
        <v>0</v>
      </c>
      <c r="G8234" s="15" t="s">
        <v>32</v>
      </c>
      <c r="H8234" s="18">
        <v>1286.5319999999999</v>
      </c>
      <c r="I8234" s="19">
        <v>125.99</v>
      </c>
      <c r="J8234" s="19">
        <v>2.5</v>
      </c>
      <c r="K8234" s="19" t="s">
        <v>44</v>
      </c>
      <c r="L8234" s="19" t="s">
        <v>52</v>
      </c>
      <c r="M8234" s="15" t="s">
        <v>2380</v>
      </c>
      <c r="N8234" s="15" t="s">
        <v>64</v>
      </c>
      <c r="O8234" s="15" t="s">
        <v>65</v>
      </c>
      <c r="P8234" s="20" t="s">
        <v>1277</v>
      </c>
      <c r="Q8234" s="15" t="s">
        <v>83</v>
      </c>
      <c r="R8234" s="4"/>
      <c r="S8234" s="4"/>
    </row>
    <row r="8235" spans="1:19" ht="21" customHeight="1" x14ac:dyDescent="0.25">
      <c r="A8235" s="14">
        <f>DATE(2012,12,31)-872</f>
        <v>40402</v>
      </c>
      <c r="B8235" s="15" t="s">
        <v>92</v>
      </c>
      <c r="C8235" s="15" t="s">
        <v>31</v>
      </c>
      <c r="D8235" s="16">
        <v>37</v>
      </c>
      <c r="E8235" s="17">
        <v>589.63</v>
      </c>
      <c r="F8235" s="16">
        <v>0.03</v>
      </c>
      <c r="G8235" s="15" t="s">
        <v>32</v>
      </c>
      <c r="H8235" s="18">
        <v>70.8</v>
      </c>
      <c r="I8235" s="19">
        <v>14.98</v>
      </c>
      <c r="J8235" s="19">
        <v>8.99</v>
      </c>
      <c r="K8235" s="19" t="s">
        <v>44</v>
      </c>
      <c r="L8235" s="19" t="s">
        <v>52</v>
      </c>
      <c r="M8235" s="15" t="s">
        <v>2380</v>
      </c>
      <c r="N8235" s="15" t="s">
        <v>54</v>
      </c>
      <c r="O8235" s="15" t="s">
        <v>55</v>
      </c>
      <c r="P8235" s="20" t="s">
        <v>1742</v>
      </c>
      <c r="Q8235" s="15" t="s">
        <v>49</v>
      </c>
      <c r="R8235" s="4"/>
      <c r="S8235" s="4"/>
    </row>
    <row r="8236" spans="1:19" ht="21" customHeight="1" x14ac:dyDescent="0.25">
      <c r="A8236" s="14">
        <f>DATE(2012,12,31)-309</f>
        <v>40965</v>
      </c>
      <c r="B8236" s="15" t="s">
        <v>92</v>
      </c>
      <c r="C8236" s="15" t="s">
        <v>31</v>
      </c>
      <c r="D8236" s="16">
        <v>38</v>
      </c>
      <c r="E8236" s="17">
        <v>425.91</v>
      </c>
      <c r="F8236" s="16">
        <v>0.02</v>
      </c>
      <c r="G8236" s="15" t="s">
        <v>32</v>
      </c>
      <c r="H8236" s="18">
        <v>55.06</v>
      </c>
      <c r="I8236" s="19">
        <v>11.19</v>
      </c>
      <c r="J8236" s="19">
        <v>5.03</v>
      </c>
      <c r="K8236" s="19" t="s">
        <v>44</v>
      </c>
      <c r="L8236" s="19" t="s">
        <v>52</v>
      </c>
      <c r="M8236" s="15" t="s">
        <v>2380</v>
      </c>
      <c r="N8236" s="15" t="s">
        <v>36</v>
      </c>
      <c r="O8236" s="15" t="s">
        <v>117</v>
      </c>
      <c r="P8236" s="20" t="s">
        <v>654</v>
      </c>
      <c r="Q8236" s="15" t="s">
        <v>83</v>
      </c>
      <c r="R8236" s="4"/>
      <c r="S8236" s="4"/>
    </row>
    <row r="8237" spans="1:19" ht="21" customHeight="1" x14ac:dyDescent="0.25">
      <c r="A8237" s="14">
        <f>DATE(2012,12,31)-309</f>
        <v>40965</v>
      </c>
      <c r="B8237" s="15" t="s">
        <v>1410</v>
      </c>
      <c r="C8237" s="15" t="s">
        <v>31</v>
      </c>
      <c r="D8237" s="16">
        <v>4</v>
      </c>
      <c r="E8237" s="17">
        <v>21.84</v>
      </c>
      <c r="F8237" s="16">
        <v>0.02</v>
      </c>
      <c r="G8237" s="15" t="s">
        <v>32</v>
      </c>
      <c r="H8237" s="18">
        <v>-25.31</v>
      </c>
      <c r="I8237" s="19">
        <v>4.7699999999999996</v>
      </c>
      <c r="J8237" s="19">
        <v>2.39</v>
      </c>
      <c r="K8237" s="19" t="s">
        <v>44</v>
      </c>
      <c r="L8237" s="19" t="s">
        <v>52</v>
      </c>
      <c r="M8237" s="15" t="s">
        <v>2380</v>
      </c>
      <c r="N8237" s="15" t="s">
        <v>64</v>
      </c>
      <c r="O8237" s="15" t="s">
        <v>72</v>
      </c>
      <c r="P8237" s="20" t="s">
        <v>935</v>
      </c>
      <c r="Q8237" s="15" t="s">
        <v>49</v>
      </c>
      <c r="R8237" s="4"/>
      <c r="S8237" s="4"/>
    </row>
    <row r="8238" spans="1:19" ht="21" customHeight="1" x14ac:dyDescent="0.25">
      <c r="A8238" s="14">
        <f>DATE(2012,12,31)-1418</f>
        <v>39856</v>
      </c>
      <c r="B8238" s="15" t="s">
        <v>1308</v>
      </c>
      <c r="C8238" s="15" t="s">
        <v>51</v>
      </c>
      <c r="D8238" s="16">
        <v>13</v>
      </c>
      <c r="E8238" s="17">
        <v>197.61</v>
      </c>
      <c r="F8238" s="16">
        <v>0.08</v>
      </c>
      <c r="G8238" s="15" t="s">
        <v>101</v>
      </c>
      <c r="H8238" s="18">
        <v>3.4595000000000002</v>
      </c>
      <c r="I8238" s="19">
        <v>14.27</v>
      </c>
      <c r="J8238" s="19">
        <v>7.27</v>
      </c>
      <c r="K8238" s="19" t="s">
        <v>44</v>
      </c>
      <c r="L8238" s="19" t="s">
        <v>52</v>
      </c>
      <c r="M8238" s="15" t="s">
        <v>2380</v>
      </c>
      <c r="N8238" s="15" t="s">
        <v>36</v>
      </c>
      <c r="O8238" s="15" t="s">
        <v>170</v>
      </c>
      <c r="P8238" s="20" t="s">
        <v>926</v>
      </c>
      <c r="Q8238" s="15" t="s">
        <v>83</v>
      </c>
      <c r="R8238" s="4"/>
      <c r="S8238" s="4"/>
    </row>
    <row r="8239" spans="1:19" ht="21" customHeight="1" x14ac:dyDescent="0.25">
      <c r="A8239" s="14">
        <f>DATE(2012,12,31)-1418</f>
        <v>39856</v>
      </c>
      <c r="B8239" s="15" t="s">
        <v>1199</v>
      </c>
      <c r="C8239" s="15" t="s">
        <v>51</v>
      </c>
      <c r="D8239" s="16">
        <v>22</v>
      </c>
      <c r="E8239" s="17">
        <v>68.92</v>
      </c>
      <c r="F8239" s="16">
        <v>0.04</v>
      </c>
      <c r="G8239" s="15" t="s">
        <v>32</v>
      </c>
      <c r="H8239" s="18">
        <v>2.63</v>
      </c>
      <c r="I8239" s="19">
        <v>2.98</v>
      </c>
      <c r="J8239" s="19">
        <v>1.58</v>
      </c>
      <c r="K8239" s="19" t="s">
        <v>44</v>
      </c>
      <c r="L8239" s="19" t="s">
        <v>236</v>
      </c>
      <c r="M8239" s="15" t="s">
        <v>2361</v>
      </c>
      <c r="N8239" s="15" t="s">
        <v>36</v>
      </c>
      <c r="O8239" s="15" t="s">
        <v>105</v>
      </c>
      <c r="P8239" s="20" t="s">
        <v>1153</v>
      </c>
      <c r="Q8239" s="15" t="s">
        <v>79</v>
      </c>
      <c r="R8239" s="4"/>
      <c r="S8239" s="4"/>
    </row>
    <row r="8240" spans="1:19" ht="21" customHeight="1" x14ac:dyDescent="0.25">
      <c r="A8240" s="14">
        <f>DATE(2012,12,31)-1418</f>
        <v>39856</v>
      </c>
      <c r="B8240" s="15" t="s">
        <v>1199</v>
      </c>
      <c r="C8240" s="15" t="s">
        <v>51</v>
      </c>
      <c r="D8240" s="16">
        <v>38</v>
      </c>
      <c r="E8240" s="17">
        <v>3594.7434999999996</v>
      </c>
      <c r="F8240" s="16">
        <v>0.05</v>
      </c>
      <c r="G8240" s="15" t="s">
        <v>32</v>
      </c>
      <c r="H8240" s="18">
        <v>1016.973</v>
      </c>
      <c r="I8240" s="19">
        <v>115.99</v>
      </c>
      <c r="J8240" s="19">
        <v>2.5</v>
      </c>
      <c r="K8240" s="19" t="s">
        <v>44</v>
      </c>
      <c r="L8240" s="19" t="s">
        <v>52</v>
      </c>
      <c r="M8240" s="15" t="s">
        <v>2380</v>
      </c>
      <c r="N8240" s="15" t="s">
        <v>64</v>
      </c>
      <c r="O8240" s="15" t="s">
        <v>65</v>
      </c>
      <c r="P8240" s="20" t="s">
        <v>2340</v>
      </c>
      <c r="Q8240" s="15" t="s">
        <v>83</v>
      </c>
      <c r="R8240" s="4"/>
      <c r="S8240" s="4"/>
    </row>
    <row r="8241" spans="1:19" ht="21" customHeight="1" x14ac:dyDescent="0.25">
      <c r="A8241" s="14">
        <f>DATE(2012,12,31)-451</f>
        <v>40823</v>
      </c>
      <c r="B8241" s="15" t="s">
        <v>1580</v>
      </c>
      <c r="C8241" s="15" t="s">
        <v>31</v>
      </c>
      <c r="D8241" s="16">
        <v>21</v>
      </c>
      <c r="E8241" s="17">
        <v>68.53</v>
      </c>
      <c r="F8241" s="16">
        <v>0.09</v>
      </c>
      <c r="G8241" s="15" t="s">
        <v>32</v>
      </c>
      <c r="H8241" s="18">
        <v>-59.97</v>
      </c>
      <c r="I8241" s="19">
        <v>3.28</v>
      </c>
      <c r="J8241" s="19">
        <v>3.97</v>
      </c>
      <c r="K8241" s="19" t="s">
        <v>44</v>
      </c>
      <c r="L8241" s="19" t="s">
        <v>236</v>
      </c>
      <c r="M8241" s="15" t="s">
        <v>2381</v>
      </c>
      <c r="N8241" s="15" t="s">
        <v>36</v>
      </c>
      <c r="O8241" s="15" t="s">
        <v>77</v>
      </c>
      <c r="P8241" s="20" t="s">
        <v>1221</v>
      </c>
      <c r="Q8241" s="15" t="s">
        <v>79</v>
      </c>
      <c r="R8241" s="4"/>
      <c r="S8241" s="4"/>
    </row>
    <row r="8242" spans="1:19" ht="21" customHeight="1" x14ac:dyDescent="0.25">
      <c r="A8242" s="14">
        <f>DATE(2012,12,31)-451</f>
        <v>40823</v>
      </c>
      <c r="B8242" s="15" t="s">
        <v>1295</v>
      </c>
      <c r="C8242" s="15" t="s">
        <v>31</v>
      </c>
      <c r="D8242" s="16">
        <v>39</v>
      </c>
      <c r="E8242" s="17">
        <v>4215.83</v>
      </c>
      <c r="F8242" s="16">
        <v>0.02</v>
      </c>
      <c r="G8242" s="15" t="s">
        <v>32</v>
      </c>
      <c r="H8242" s="18">
        <v>972.18900000000008</v>
      </c>
      <c r="I8242" s="19">
        <v>125.99</v>
      </c>
      <c r="J8242" s="19">
        <v>8.99</v>
      </c>
      <c r="K8242" s="19" t="s">
        <v>44</v>
      </c>
      <c r="L8242" s="19" t="s">
        <v>52</v>
      </c>
      <c r="M8242" s="15" t="s">
        <v>2380</v>
      </c>
      <c r="N8242" s="15" t="s">
        <v>64</v>
      </c>
      <c r="O8242" s="15" t="s">
        <v>65</v>
      </c>
      <c r="P8242" s="20" t="s">
        <v>660</v>
      </c>
      <c r="Q8242" s="15" t="s">
        <v>83</v>
      </c>
      <c r="R8242" s="4"/>
      <c r="S8242" s="4"/>
    </row>
    <row r="8243" spans="1:19" ht="21" customHeight="1" x14ac:dyDescent="0.25">
      <c r="A8243" s="14">
        <f>DATE(2012,12,31)-702</f>
        <v>40572</v>
      </c>
      <c r="B8243" s="15" t="s">
        <v>1295</v>
      </c>
      <c r="C8243" s="15" t="s">
        <v>85</v>
      </c>
      <c r="D8243" s="16">
        <v>12</v>
      </c>
      <c r="E8243" s="17">
        <v>849.51</v>
      </c>
      <c r="F8243" s="16">
        <v>0.05</v>
      </c>
      <c r="G8243" s="15" t="s">
        <v>32</v>
      </c>
      <c r="H8243" s="18">
        <v>163.1</v>
      </c>
      <c r="I8243" s="19">
        <v>70.97</v>
      </c>
      <c r="J8243" s="19">
        <v>3.5</v>
      </c>
      <c r="K8243" s="19" t="s">
        <v>44</v>
      </c>
      <c r="L8243" s="19" t="s">
        <v>52</v>
      </c>
      <c r="M8243" s="15" t="s">
        <v>2380</v>
      </c>
      <c r="N8243" s="15" t="s">
        <v>36</v>
      </c>
      <c r="O8243" s="15" t="s">
        <v>176</v>
      </c>
      <c r="P8243" s="20" t="s">
        <v>295</v>
      </c>
      <c r="Q8243" s="15" t="s">
        <v>83</v>
      </c>
      <c r="R8243" s="4"/>
      <c r="S8243" s="4"/>
    </row>
    <row r="8244" spans="1:19" ht="21" customHeight="1" x14ac:dyDescent="0.25">
      <c r="A8244" s="14">
        <f>DATE(2012,12,31)-702</f>
        <v>40572</v>
      </c>
      <c r="B8244" s="15" t="s">
        <v>884</v>
      </c>
      <c r="C8244" s="15" t="s">
        <v>85</v>
      </c>
      <c r="D8244" s="16">
        <v>38</v>
      </c>
      <c r="E8244" s="17">
        <v>189.49</v>
      </c>
      <c r="F8244" s="16">
        <v>0.09</v>
      </c>
      <c r="G8244" s="15" t="s">
        <v>32</v>
      </c>
      <c r="H8244" s="18">
        <v>-13.708</v>
      </c>
      <c r="I8244" s="19">
        <v>5.34</v>
      </c>
      <c r="J8244" s="19">
        <v>2.99</v>
      </c>
      <c r="K8244" s="19" t="s">
        <v>44</v>
      </c>
      <c r="L8244" s="19" t="s">
        <v>52</v>
      </c>
      <c r="M8244" s="15" t="s">
        <v>2380</v>
      </c>
      <c r="N8244" s="15" t="s">
        <v>36</v>
      </c>
      <c r="O8244" s="15" t="s">
        <v>170</v>
      </c>
      <c r="P8244" s="20" t="s">
        <v>1118</v>
      </c>
      <c r="Q8244" s="15" t="s">
        <v>83</v>
      </c>
      <c r="R8244" s="4"/>
      <c r="S8244" s="4"/>
    </row>
    <row r="8245" spans="1:19" ht="21" customHeight="1" x14ac:dyDescent="0.25">
      <c r="A8245" s="14">
        <f>DATE(2012,12,31)-1413</f>
        <v>39861</v>
      </c>
      <c r="B8245" s="15" t="s">
        <v>884</v>
      </c>
      <c r="C8245" s="15" t="s">
        <v>51</v>
      </c>
      <c r="D8245" s="16">
        <v>44</v>
      </c>
      <c r="E8245" s="17">
        <v>242.46</v>
      </c>
      <c r="F8245" s="16">
        <v>0.02</v>
      </c>
      <c r="G8245" s="15" t="s">
        <v>32</v>
      </c>
      <c r="H8245" s="18">
        <v>9.2989999999999995</v>
      </c>
      <c r="I8245" s="19">
        <v>5.34</v>
      </c>
      <c r="J8245" s="19">
        <v>2.99</v>
      </c>
      <c r="K8245" s="19" t="s">
        <v>44</v>
      </c>
      <c r="L8245" s="19" t="s">
        <v>80</v>
      </c>
      <c r="M8245" s="15" t="s">
        <v>2339</v>
      </c>
      <c r="N8245" s="15" t="s">
        <v>36</v>
      </c>
      <c r="O8245" s="15" t="s">
        <v>170</v>
      </c>
      <c r="P8245" s="20" t="s">
        <v>715</v>
      </c>
      <c r="Q8245" s="15" t="s">
        <v>83</v>
      </c>
      <c r="R8245" s="4"/>
      <c r="S8245" s="4"/>
    </row>
    <row r="8246" spans="1:19" ht="21" customHeight="1" x14ac:dyDescent="0.25">
      <c r="A8246" s="14">
        <f>DATE(2012,12,31)-1413</f>
        <v>39861</v>
      </c>
      <c r="B8246" s="15" t="s">
        <v>311</v>
      </c>
      <c r="C8246" s="15" t="s">
        <v>51</v>
      </c>
      <c r="D8246" s="16">
        <v>10</v>
      </c>
      <c r="E8246" s="17">
        <v>607.77</v>
      </c>
      <c r="F8246" s="16">
        <v>0.04</v>
      </c>
      <c r="G8246" s="15" t="s">
        <v>32</v>
      </c>
      <c r="H8246" s="18">
        <v>232</v>
      </c>
      <c r="I8246" s="19">
        <v>62.18</v>
      </c>
      <c r="J8246" s="19">
        <v>10.84</v>
      </c>
      <c r="K8246" s="19" t="s">
        <v>44</v>
      </c>
      <c r="L8246" s="19" t="s">
        <v>52</v>
      </c>
      <c r="M8246" s="15" t="s">
        <v>2380</v>
      </c>
      <c r="N8246" s="15" t="s">
        <v>54</v>
      </c>
      <c r="O8246" s="15" t="s">
        <v>55</v>
      </c>
      <c r="P8246" s="20" t="s">
        <v>639</v>
      </c>
      <c r="Q8246" s="15" t="s">
        <v>57</v>
      </c>
      <c r="R8246" s="4"/>
      <c r="S8246" s="4"/>
    </row>
    <row r="8247" spans="1:19" ht="21" customHeight="1" x14ac:dyDescent="0.25">
      <c r="A8247" s="14">
        <f>DATE(2012,12,31)-1413</f>
        <v>39861</v>
      </c>
      <c r="B8247" s="15" t="s">
        <v>311</v>
      </c>
      <c r="C8247" s="15" t="s">
        <v>51</v>
      </c>
      <c r="D8247" s="16">
        <v>22</v>
      </c>
      <c r="E8247" s="17">
        <v>954.57</v>
      </c>
      <c r="F8247" s="16">
        <v>0.03</v>
      </c>
      <c r="G8247" s="15" t="s">
        <v>32</v>
      </c>
      <c r="H8247" s="18">
        <v>-380.9</v>
      </c>
      <c r="I8247" s="19">
        <v>41.47</v>
      </c>
      <c r="J8247" s="19">
        <v>34.200000000000003</v>
      </c>
      <c r="K8247" s="19" t="s">
        <v>44</v>
      </c>
      <c r="L8247" s="19" t="s">
        <v>52</v>
      </c>
      <c r="M8247" s="15" t="s">
        <v>2380</v>
      </c>
      <c r="N8247" s="15" t="s">
        <v>54</v>
      </c>
      <c r="O8247" s="15" t="s">
        <v>55</v>
      </c>
      <c r="P8247" s="20" t="s">
        <v>2168</v>
      </c>
      <c r="Q8247" s="15" t="s">
        <v>79</v>
      </c>
      <c r="R8247" s="4"/>
      <c r="S8247" s="4"/>
    </row>
    <row r="8248" spans="1:19" ht="21" customHeight="1" x14ac:dyDescent="0.25">
      <c r="A8248" s="14">
        <f>DATE(2012,12,31)-1413</f>
        <v>39861</v>
      </c>
      <c r="B8248" s="15" t="s">
        <v>233</v>
      </c>
      <c r="C8248" s="15" t="s">
        <v>51</v>
      </c>
      <c r="D8248" s="16">
        <v>5</v>
      </c>
      <c r="E8248" s="17">
        <v>8767.6200000000008</v>
      </c>
      <c r="F8248" s="16">
        <v>0.04</v>
      </c>
      <c r="G8248" s="15" t="s">
        <v>32</v>
      </c>
      <c r="H8248" s="18">
        <v>-1510.8855000000001</v>
      </c>
      <c r="I8248" s="19">
        <v>1938.02</v>
      </c>
      <c r="J8248" s="19">
        <v>13.99</v>
      </c>
      <c r="K8248" s="19" t="s">
        <v>44</v>
      </c>
      <c r="L8248" s="19" t="s">
        <v>236</v>
      </c>
      <c r="M8248" s="15" t="s">
        <v>2381</v>
      </c>
      <c r="N8248" s="15" t="s">
        <v>64</v>
      </c>
      <c r="O8248" s="15" t="s">
        <v>122</v>
      </c>
      <c r="P8248" s="20" t="s">
        <v>501</v>
      </c>
      <c r="Q8248" s="15" t="s">
        <v>57</v>
      </c>
      <c r="R8248" s="4"/>
      <c r="S8248" s="4"/>
    </row>
    <row r="8249" spans="1:19" ht="21" customHeight="1" x14ac:dyDescent="0.25">
      <c r="A8249" s="14">
        <f>DATE(2012,12,31)-476</f>
        <v>40798</v>
      </c>
      <c r="B8249" s="15" t="s">
        <v>1086</v>
      </c>
      <c r="C8249" s="15" t="s">
        <v>85</v>
      </c>
      <c r="D8249" s="16">
        <v>39</v>
      </c>
      <c r="E8249" s="17">
        <v>105.07</v>
      </c>
      <c r="F8249" s="16">
        <v>0.08</v>
      </c>
      <c r="G8249" s="15" t="s">
        <v>32</v>
      </c>
      <c r="H8249" s="18">
        <v>9.11</v>
      </c>
      <c r="I8249" s="19">
        <v>2.88</v>
      </c>
      <c r="J8249" s="19">
        <v>0.7</v>
      </c>
      <c r="K8249" s="19" t="s">
        <v>44</v>
      </c>
      <c r="L8249" s="19" t="s">
        <v>236</v>
      </c>
      <c r="M8249" s="15" t="s">
        <v>2381</v>
      </c>
      <c r="N8249" s="15" t="s">
        <v>36</v>
      </c>
      <c r="O8249" s="15" t="s">
        <v>77</v>
      </c>
      <c r="P8249" s="20" t="s">
        <v>155</v>
      </c>
      <c r="Q8249" s="15" t="s">
        <v>79</v>
      </c>
      <c r="R8249" s="4"/>
      <c r="S8249" s="4"/>
    </row>
    <row r="8250" spans="1:19" ht="21" customHeight="1" x14ac:dyDescent="0.25">
      <c r="A8250" s="14">
        <f>DATE(2012,12,31)-742</f>
        <v>40532</v>
      </c>
      <c r="B8250" s="15" t="s">
        <v>1343</v>
      </c>
      <c r="C8250" s="15" t="s">
        <v>51</v>
      </c>
      <c r="D8250" s="16">
        <v>27</v>
      </c>
      <c r="E8250" s="17">
        <v>2896.99</v>
      </c>
      <c r="F8250" s="16">
        <v>0.01</v>
      </c>
      <c r="G8250" s="15" t="s">
        <v>58</v>
      </c>
      <c r="H8250" s="18">
        <v>36.94</v>
      </c>
      <c r="I8250" s="19">
        <v>100.98</v>
      </c>
      <c r="J8250" s="19">
        <v>35.840000000000003</v>
      </c>
      <c r="K8250" s="19" t="s">
        <v>44</v>
      </c>
      <c r="L8250" s="19" t="s">
        <v>52</v>
      </c>
      <c r="M8250" s="15" t="s">
        <v>2380</v>
      </c>
      <c r="N8250" s="15" t="s">
        <v>54</v>
      </c>
      <c r="O8250" s="15" t="s">
        <v>134</v>
      </c>
      <c r="P8250" s="20" t="s">
        <v>1451</v>
      </c>
      <c r="Q8250" s="15" t="s">
        <v>63</v>
      </c>
      <c r="R8250" s="4"/>
      <c r="S8250" s="4"/>
    </row>
    <row r="8251" spans="1:19" ht="21" customHeight="1" x14ac:dyDescent="0.25">
      <c r="A8251" s="14">
        <f>DATE(2012,12,31)-1095</f>
        <v>40179</v>
      </c>
      <c r="B8251" s="15" t="s">
        <v>705</v>
      </c>
      <c r="C8251" s="15" t="s">
        <v>85</v>
      </c>
      <c r="D8251" s="16">
        <v>6</v>
      </c>
      <c r="E8251" s="17">
        <v>1193.0999999999999</v>
      </c>
      <c r="F8251" s="16">
        <v>0.09</v>
      </c>
      <c r="G8251" s="15" t="s">
        <v>101</v>
      </c>
      <c r="H8251" s="18">
        <v>-139.4958</v>
      </c>
      <c r="I8251" s="19">
        <v>204.1</v>
      </c>
      <c r="J8251" s="19">
        <v>13.99</v>
      </c>
      <c r="K8251" s="19" t="s">
        <v>44</v>
      </c>
      <c r="L8251" s="19" t="s">
        <v>52</v>
      </c>
      <c r="M8251" s="15" t="s">
        <v>2380</v>
      </c>
      <c r="N8251" s="15" t="s">
        <v>64</v>
      </c>
      <c r="O8251" s="15" t="s">
        <v>122</v>
      </c>
      <c r="P8251" s="20" t="s">
        <v>843</v>
      </c>
      <c r="Q8251" s="15" t="s">
        <v>57</v>
      </c>
      <c r="R8251" s="4"/>
      <c r="S8251" s="4"/>
    </row>
    <row r="8252" spans="1:19" ht="21" customHeight="1" x14ac:dyDescent="0.25">
      <c r="A8252" s="14">
        <f>DATE(2012,12,31)-388</f>
        <v>40886</v>
      </c>
      <c r="B8252" s="15" t="s">
        <v>637</v>
      </c>
      <c r="C8252" s="15" t="s">
        <v>85</v>
      </c>
      <c r="D8252" s="16">
        <v>4</v>
      </c>
      <c r="E8252" s="17">
        <v>170.45</v>
      </c>
      <c r="F8252" s="16">
        <v>0.09</v>
      </c>
      <c r="G8252" s="15" t="s">
        <v>32</v>
      </c>
      <c r="H8252" s="18">
        <v>-30.27</v>
      </c>
      <c r="I8252" s="19">
        <v>42.98</v>
      </c>
      <c r="J8252" s="19">
        <v>4.62</v>
      </c>
      <c r="K8252" s="19" t="s">
        <v>44</v>
      </c>
      <c r="L8252" s="19" t="s">
        <v>52</v>
      </c>
      <c r="M8252" s="15" t="s">
        <v>2380</v>
      </c>
      <c r="N8252" s="15" t="s">
        <v>36</v>
      </c>
      <c r="O8252" s="15" t="s">
        <v>176</v>
      </c>
      <c r="P8252" s="20" t="s">
        <v>1867</v>
      </c>
      <c r="Q8252" s="15" t="s">
        <v>83</v>
      </c>
      <c r="R8252" s="4"/>
      <c r="S8252" s="4"/>
    </row>
    <row r="8253" spans="1:19" ht="21" customHeight="1" x14ac:dyDescent="0.25">
      <c r="A8253" s="14">
        <f>DATE(2012,12,31)-388</f>
        <v>40886</v>
      </c>
      <c r="B8253" s="15" t="s">
        <v>1444</v>
      </c>
      <c r="C8253" s="15" t="s">
        <v>85</v>
      </c>
      <c r="D8253" s="16">
        <v>28</v>
      </c>
      <c r="E8253" s="17">
        <v>350.42</v>
      </c>
      <c r="F8253" s="16">
        <v>0.03</v>
      </c>
      <c r="G8253" s="15" t="s">
        <v>32</v>
      </c>
      <c r="H8253" s="18">
        <v>-37.299999999999997</v>
      </c>
      <c r="I8253" s="19">
        <v>11.97</v>
      </c>
      <c r="J8253" s="19">
        <v>5.81</v>
      </c>
      <c r="K8253" s="19" t="s">
        <v>44</v>
      </c>
      <c r="L8253" s="19" t="s">
        <v>52</v>
      </c>
      <c r="M8253" s="15" t="s">
        <v>2380</v>
      </c>
      <c r="N8253" s="15" t="s">
        <v>36</v>
      </c>
      <c r="O8253" s="15" t="s">
        <v>77</v>
      </c>
      <c r="P8253" s="20" t="s">
        <v>928</v>
      </c>
      <c r="Q8253" s="15" t="s">
        <v>49</v>
      </c>
      <c r="R8253" s="4"/>
      <c r="S8253" s="4"/>
    </row>
    <row r="8254" spans="1:19" ht="21" customHeight="1" x14ac:dyDescent="0.25">
      <c r="A8254" s="14">
        <f>DATE(2012,12,31)-114</f>
        <v>41160</v>
      </c>
      <c r="B8254" s="15" t="s">
        <v>1444</v>
      </c>
      <c r="C8254" s="15" t="s">
        <v>85</v>
      </c>
      <c r="D8254" s="16">
        <v>7</v>
      </c>
      <c r="E8254" s="17">
        <v>83.81</v>
      </c>
      <c r="F8254" s="16">
        <v>0.09</v>
      </c>
      <c r="G8254" s="15" t="s">
        <v>32</v>
      </c>
      <c r="H8254" s="18">
        <v>21.92</v>
      </c>
      <c r="I8254" s="19">
        <v>12.53</v>
      </c>
      <c r="J8254" s="19">
        <v>0.5</v>
      </c>
      <c r="K8254" s="19" t="s">
        <v>44</v>
      </c>
      <c r="L8254" s="19" t="s">
        <v>52</v>
      </c>
      <c r="M8254" s="15" t="s">
        <v>2380</v>
      </c>
      <c r="N8254" s="15" t="s">
        <v>36</v>
      </c>
      <c r="O8254" s="15" t="s">
        <v>114</v>
      </c>
      <c r="P8254" s="20" t="s">
        <v>890</v>
      </c>
      <c r="Q8254" s="15" t="s">
        <v>83</v>
      </c>
      <c r="R8254" s="4"/>
      <c r="S8254" s="4"/>
    </row>
    <row r="8255" spans="1:19" ht="21" customHeight="1" x14ac:dyDescent="0.25">
      <c r="A8255" s="14">
        <f>DATE(2012,12,31)-114</f>
        <v>41160</v>
      </c>
      <c r="B8255" s="15" t="s">
        <v>1444</v>
      </c>
      <c r="C8255" s="15" t="s">
        <v>85</v>
      </c>
      <c r="D8255" s="16">
        <v>36</v>
      </c>
      <c r="E8255" s="17">
        <v>218.81</v>
      </c>
      <c r="F8255" s="16">
        <v>0.03</v>
      </c>
      <c r="G8255" s="15" t="s">
        <v>32</v>
      </c>
      <c r="H8255" s="18">
        <v>7.45</v>
      </c>
      <c r="I8255" s="19">
        <v>5.85</v>
      </c>
      <c r="J8255" s="19">
        <v>2.27</v>
      </c>
      <c r="K8255" s="19" t="s">
        <v>44</v>
      </c>
      <c r="L8255" s="19" t="s">
        <v>52</v>
      </c>
      <c r="M8255" s="15" t="s">
        <v>2380</v>
      </c>
      <c r="N8255" s="15" t="s">
        <v>36</v>
      </c>
      <c r="O8255" s="15" t="s">
        <v>77</v>
      </c>
      <c r="P8255" s="20" t="s">
        <v>662</v>
      </c>
      <c r="Q8255" s="15" t="s">
        <v>79</v>
      </c>
      <c r="R8255" s="4"/>
      <c r="S8255" s="4"/>
    </row>
    <row r="8256" spans="1:19" ht="21" customHeight="1" x14ac:dyDescent="0.25">
      <c r="A8256" s="14">
        <f>DATE(2012,12,31)-306</f>
        <v>40968</v>
      </c>
      <c r="B8256" s="15" t="s">
        <v>1129</v>
      </c>
      <c r="C8256" s="15" t="s">
        <v>85</v>
      </c>
      <c r="D8256" s="16">
        <v>8</v>
      </c>
      <c r="E8256" s="17">
        <v>250.29</v>
      </c>
      <c r="F8256" s="16">
        <v>0.1</v>
      </c>
      <c r="G8256" s="15" t="s">
        <v>32</v>
      </c>
      <c r="H8256" s="18">
        <v>-9.3149999999999942</v>
      </c>
      <c r="I8256" s="19">
        <v>31.74</v>
      </c>
      <c r="J8256" s="19">
        <v>12.62</v>
      </c>
      <c r="K8256" s="19" t="s">
        <v>44</v>
      </c>
      <c r="L8256" s="19" t="s">
        <v>52</v>
      </c>
      <c r="M8256" s="15" t="s">
        <v>2380</v>
      </c>
      <c r="N8256" s="15" t="s">
        <v>36</v>
      </c>
      <c r="O8256" s="15" t="s">
        <v>170</v>
      </c>
      <c r="P8256" s="20" t="s">
        <v>262</v>
      </c>
      <c r="Q8256" s="15" t="s">
        <v>83</v>
      </c>
      <c r="R8256" s="4"/>
      <c r="S8256" s="4"/>
    </row>
    <row r="8257" spans="1:19" ht="21" customHeight="1" x14ac:dyDescent="0.25">
      <c r="A8257" s="14">
        <f>DATE(2012,12,31)-306</f>
        <v>40968</v>
      </c>
      <c r="B8257" s="15" t="s">
        <v>1946</v>
      </c>
      <c r="C8257" s="15" t="s">
        <v>85</v>
      </c>
      <c r="D8257" s="16">
        <v>7</v>
      </c>
      <c r="E8257" s="17">
        <v>251.59</v>
      </c>
      <c r="F8257" s="16">
        <v>0.09</v>
      </c>
      <c r="G8257" s="15" t="s">
        <v>32</v>
      </c>
      <c r="H8257" s="18">
        <v>39.229999999999997</v>
      </c>
      <c r="I8257" s="19">
        <v>37.94</v>
      </c>
      <c r="J8257" s="19">
        <v>5.08</v>
      </c>
      <c r="K8257" s="19" t="s">
        <v>44</v>
      </c>
      <c r="L8257" s="19" t="s">
        <v>52</v>
      </c>
      <c r="M8257" s="15" t="s">
        <v>2380</v>
      </c>
      <c r="N8257" s="15" t="s">
        <v>36</v>
      </c>
      <c r="O8257" s="15" t="s">
        <v>117</v>
      </c>
      <c r="P8257" s="20" t="s">
        <v>1581</v>
      </c>
      <c r="Q8257" s="15" t="s">
        <v>79</v>
      </c>
      <c r="R8257" s="4"/>
      <c r="S8257" s="4"/>
    </row>
    <row r="8258" spans="1:19" ht="21" customHeight="1" x14ac:dyDescent="0.25">
      <c r="A8258" s="14">
        <f>DATE(2012,12,31)-306</f>
        <v>40968</v>
      </c>
      <c r="B8258" s="15" t="s">
        <v>1058</v>
      </c>
      <c r="C8258" s="15" t="s">
        <v>85</v>
      </c>
      <c r="D8258" s="16">
        <v>25</v>
      </c>
      <c r="E8258" s="17">
        <v>151.75</v>
      </c>
      <c r="F8258" s="16">
        <v>0.04</v>
      </c>
      <c r="G8258" s="15" t="s">
        <v>32</v>
      </c>
      <c r="H8258" s="18">
        <v>-66.239999999999995</v>
      </c>
      <c r="I8258" s="19">
        <v>5.8</v>
      </c>
      <c r="J8258" s="19">
        <v>5.59</v>
      </c>
      <c r="K8258" s="19" t="s">
        <v>44</v>
      </c>
      <c r="L8258" s="19" t="s">
        <v>52</v>
      </c>
      <c r="M8258" s="15" t="s">
        <v>2380</v>
      </c>
      <c r="N8258" s="15" t="s">
        <v>36</v>
      </c>
      <c r="O8258" s="15" t="s">
        <v>170</v>
      </c>
      <c r="P8258" s="20" t="s">
        <v>382</v>
      </c>
      <c r="Q8258" s="15" t="s">
        <v>83</v>
      </c>
      <c r="R8258" s="4"/>
      <c r="S8258" s="4"/>
    </row>
    <row r="8259" spans="1:19" ht="21" customHeight="1" x14ac:dyDescent="0.25">
      <c r="A8259" s="14">
        <f>DATE(2012,12,31)-427</f>
        <v>40847</v>
      </c>
      <c r="B8259" s="15" t="s">
        <v>1058</v>
      </c>
      <c r="C8259" s="15" t="s">
        <v>85</v>
      </c>
      <c r="D8259" s="16">
        <v>11</v>
      </c>
      <c r="E8259" s="17">
        <v>54.59</v>
      </c>
      <c r="F8259" s="16">
        <v>0</v>
      </c>
      <c r="G8259" s="15" t="s">
        <v>32</v>
      </c>
      <c r="H8259" s="18">
        <v>-47.18</v>
      </c>
      <c r="I8259" s="19">
        <v>4.13</v>
      </c>
      <c r="J8259" s="19">
        <v>6.89</v>
      </c>
      <c r="K8259" s="19" t="s">
        <v>44</v>
      </c>
      <c r="L8259" s="19" t="s">
        <v>52</v>
      </c>
      <c r="M8259" s="15" t="s">
        <v>2380</v>
      </c>
      <c r="N8259" s="15" t="s">
        <v>36</v>
      </c>
      <c r="O8259" s="15" t="s">
        <v>114</v>
      </c>
      <c r="P8259" s="20" t="s">
        <v>1673</v>
      </c>
      <c r="Q8259" s="15" t="s">
        <v>83</v>
      </c>
      <c r="R8259" s="4"/>
      <c r="S8259" s="4"/>
    </row>
    <row r="8260" spans="1:19" ht="21" customHeight="1" x14ac:dyDescent="0.25">
      <c r="A8260" s="14">
        <f>DATE(2012,12,31)-427</f>
        <v>40847</v>
      </c>
      <c r="B8260" s="15" t="s">
        <v>1483</v>
      </c>
      <c r="C8260" s="15" t="s">
        <v>85</v>
      </c>
      <c r="D8260" s="16">
        <v>35</v>
      </c>
      <c r="E8260" s="17">
        <v>597.04</v>
      </c>
      <c r="F8260" s="16">
        <v>0.05</v>
      </c>
      <c r="G8260" s="15" t="s">
        <v>32</v>
      </c>
      <c r="H8260" s="18">
        <v>-157.41999999999999</v>
      </c>
      <c r="I8260" s="19">
        <v>16.739999999999998</v>
      </c>
      <c r="J8260" s="19">
        <v>7.04</v>
      </c>
      <c r="K8260" s="19" t="s">
        <v>44</v>
      </c>
      <c r="L8260" s="19" t="s">
        <v>52</v>
      </c>
      <c r="M8260" s="15" t="s">
        <v>2380</v>
      </c>
      <c r="N8260" s="15" t="s">
        <v>36</v>
      </c>
      <c r="O8260" s="15" t="s">
        <v>37</v>
      </c>
      <c r="P8260" s="20" t="s">
        <v>707</v>
      </c>
      <c r="Q8260" s="15" t="s">
        <v>83</v>
      </c>
      <c r="R8260" s="4"/>
      <c r="S8260" s="4"/>
    </row>
    <row r="8261" spans="1:19" ht="21" customHeight="1" x14ac:dyDescent="0.25">
      <c r="A8261" s="14">
        <f>DATE(2012,12,31)-1323</f>
        <v>39951</v>
      </c>
      <c r="B8261" s="15" t="s">
        <v>1483</v>
      </c>
      <c r="C8261" s="15" t="s">
        <v>85</v>
      </c>
      <c r="D8261" s="16">
        <v>3</v>
      </c>
      <c r="E8261" s="17">
        <v>10.119999999999999</v>
      </c>
      <c r="F8261" s="16">
        <v>0.09</v>
      </c>
      <c r="G8261" s="15" t="s">
        <v>32</v>
      </c>
      <c r="H8261" s="18">
        <v>-4.07</v>
      </c>
      <c r="I8261" s="19">
        <v>2.98</v>
      </c>
      <c r="J8261" s="19">
        <v>1.58</v>
      </c>
      <c r="K8261" s="19" t="s">
        <v>33</v>
      </c>
      <c r="L8261" s="19" t="s">
        <v>145</v>
      </c>
      <c r="M8261" s="15" t="s">
        <v>146</v>
      </c>
      <c r="N8261" s="15" t="s">
        <v>36</v>
      </c>
      <c r="O8261" s="15" t="s">
        <v>105</v>
      </c>
      <c r="P8261" s="20" t="s">
        <v>2382</v>
      </c>
      <c r="Q8261" s="15" t="s">
        <v>79</v>
      </c>
      <c r="R8261" s="4"/>
      <c r="S8261" s="4"/>
    </row>
    <row r="8262" spans="1:19" ht="21" customHeight="1" x14ac:dyDescent="0.25">
      <c r="A8262" s="14">
        <f>DATE(2012,12,31)-1323</f>
        <v>39951</v>
      </c>
      <c r="B8262" s="15" t="s">
        <v>1483</v>
      </c>
      <c r="C8262" s="15" t="s">
        <v>85</v>
      </c>
      <c r="D8262" s="16">
        <v>42</v>
      </c>
      <c r="E8262" s="17">
        <v>9502.7360000000008</v>
      </c>
      <c r="F8262" s="16">
        <v>0.02</v>
      </c>
      <c r="G8262" s="15" t="s">
        <v>58</v>
      </c>
      <c r="H8262" s="18">
        <v>-945.55799999999988</v>
      </c>
      <c r="I8262" s="19">
        <v>280.98</v>
      </c>
      <c r="J8262" s="19">
        <v>81.98</v>
      </c>
      <c r="K8262" s="19" t="s">
        <v>33</v>
      </c>
      <c r="L8262" s="19" t="s">
        <v>59</v>
      </c>
      <c r="M8262" s="15" t="s">
        <v>2344</v>
      </c>
      <c r="N8262" s="15" t="s">
        <v>54</v>
      </c>
      <c r="O8262" s="15" t="s">
        <v>61</v>
      </c>
      <c r="P8262" s="20" t="s">
        <v>445</v>
      </c>
      <c r="Q8262" s="15" t="s">
        <v>63</v>
      </c>
      <c r="R8262" s="4"/>
      <c r="S8262" s="4"/>
    </row>
    <row r="8263" spans="1:19" ht="21" customHeight="1" x14ac:dyDescent="0.25">
      <c r="A8263" s="14">
        <f>DATE(2012,12,31)-1456</f>
        <v>39818</v>
      </c>
      <c r="B8263" s="15" t="s">
        <v>1483</v>
      </c>
      <c r="C8263" s="15" t="s">
        <v>51</v>
      </c>
      <c r="D8263" s="16">
        <v>23</v>
      </c>
      <c r="E8263" s="17">
        <v>725.43</v>
      </c>
      <c r="F8263" s="16">
        <v>0</v>
      </c>
      <c r="G8263" s="15" t="s">
        <v>32</v>
      </c>
      <c r="H8263" s="18">
        <v>245.97</v>
      </c>
      <c r="I8263" s="19">
        <v>30.98</v>
      </c>
      <c r="J8263" s="19">
        <v>5.76</v>
      </c>
      <c r="K8263" s="19" t="s">
        <v>69</v>
      </c>
      <c r="L8263" s="19" t="s">
        <v>70</v>
      </c>
      <c r="M8263" s="15" t="s">
        <v>2357</v>
      </c>
      <c r="N8263" s="15" t="s">
        <v>36</v>
      </c>
      <c r="O8263" s="15" t="s">
        <v>117</v>
      </c>
      <c r="P8263" s="20" t="s">
        <v>1835</v>
      </c>
      <c r="Q8263" s="15" t="s">
        <v>83</v>
      </c>
      <c r="R8263" s="4"/>
      <c r="S8263" s="4"/>
    </row>
    <row r="8264" spans="1:19" ht="21" customHeight="1" x14ac:dyDescent="0.25">
      <c r="A8264" s="14">
        <f>DATE(2012,12,31)-864</f>
        <v>40410</v>
      </c>
      <c r="B8264" s="15" t="s">
        <v>903</v>
      </c>
      <c r="C8264" s="15" t="s">
        <v>51</v>
      </c>
      <c r="D8264" s="16">
        <v>3</v>
      </c>
      <c r="E8264" s="17">
        <v>336.84</v>
      </c>
      <c r="F8264" s="16">
        <v>0.08</v>
      </c>
      <c r="G8264" s="15" t="s">
        <v>58</v>
      </c>
      <c r="H8264" s="18">
        <v>-160.46</v>
      </c>
      <c r="I8264" s="19">
        <v>100.98</v>
      </c>
      <c r="J8264" s="19">
        <v>35.840000000000003</v>
      </c>
      <c r="K8264" s="19" t="s">
        <v>69</v>
      </c>
      <c r="L8264" s="19" t="s">
        <v>215</v>
      </c>
      <c r="M8264" s="15" t="s">
        <v>2355</v>
      </c>
      <c r="N8264" s="15" t="s">
        <v>54</v>
      </c>
      <c r="O8264" s="15" t="s">
        <v>134</v>
      </c>
      <c r="P8264" s="20" t="s">
        <v>719</v>
      </c>
      <c r="Q8264" s="15" t="s">
        <v>63</v>
      </c>
      <c r="R8264" s="4"/>
      <c r="S8264" s="4"/>
    </row>
    <row r="8265" spans="1:19" ht="21" customHeight="1" x14ac:dyDescent="0.25">
      <c r="A8265" s="14">
        <f>DATE(2012,12,31)-864</f>
        <v>40410</v>
      </c>
      <c r="B8265" s="15" t="s">
        <v>1776</v>
      </c>
      <c r="C8265" s="15" t="s">
        <v>51</v>
      </c>
      <c r="D8265" s="16">
        <v>30</v>
      </c>
      <c r="E8265" s="17">
        <v>397.17</v>
      </c>
      <c r="F8265" s="16">
        <v>0.1</v>
      </c>
      <c r="G8265" s="15" t="s">
        <v>101</v>
      </c>
      <c r="H8265" s="18">
        <v>7.69</v>
      </c>
      <c r="I8265" s="19">
        <v>14.34</v>
      </c>
      <c r="J8265" s="19">
        <v>5</v>
      </c>
      <c r="K8265" s="19" t="s">
        <v>69</v>
      </c>
      <c r="L8265" s="19" t="s">
        <v>215</v>
      </c>
      <c r="M8265" s="15" t="s">
        <v>2355</v>
      </c>
      <c r="N8265" s="15" t="s">
        <v>54</v>
      </c>
      <c r="O8265" s="15" t="s">
        <v>55</v>
      </c>
      <c r="P8265" s="20" t="s">
        <v>2303</v>
      </c>
      <c r="Q8265" s="15" t="s">
        <v>49</v>
      </c>
      <c r="R8265" s="4"/>
      <c r="S8265" s="4"/>
    </row>
    <row r="8266" spans="1:19" ht="21" customHeight="1" x14ac:dyDescent="0.25">
      <c r="A8266" s="14">
        <f>DATE(2012,12,31)-155</f>
        <v>41119</v>
      </c>
      <c r="B8266" s="15" t="s">
        <v>1776</v>
      </c>
      <c r="C8266" s="15" t="s">
        <v>31</v>
      </c>
      <c r="D8266" s="16">
        <v>32</v>
      </c>
      <c r="E8266" s="17">
        <v>5686.25</v>
      </c>
      <c r="F8266" s="16">
        <v>0.04</v>
      </c>
      <c r="G8266" s="15" t="s">
        <v>32</v>
      </c>
      <c r="H8266" s="18">
        <v>2109.21</v>
      </c>
      <c r="I8266" s="19">
        <v>177.98</v>
      </c>
      <c r="J8266" s="19">
        <v>0.99</v>
      </c>
      <c r="K8266" s="19" t="s">
        <v>44</v>
      </c>
      <c r="L8266" s="19" t="s">
        <v>120</v>
      </c>
      <c r="M8266" s="15" t="s">
        <v>2262</v>
      </c>
      <c r="N8266" s="15" t="s">
        <v>36</v>
      </c>
      <c r="O8266" s="15" t="s">
        <v>176</v>
      </c>
      <c r="P8266" s="20" t="s">
        <v>1328</v>
      </c>
      <c r="Q8266" s="15" t="s">
        <v>83</v>
      </c>
      <c r="R8266" s="4"/>
      <c r="S8266" s="4"/>
    </row>
    <row r="8267" spans="1:19" ht="21" customHeight="1" x14ac:dyDescent="0.25">
      <c r="A8267" s="14">
        <f>DATE(2012,12,31)-155</f>
        <v>41119</v>
      </c>
      <c r="B8267" s="15" t="s">
        <v>404</v>
      </c>
      <c r="C8267" s="15" t="s">
        <v>31</v>
      </c>
      <c r="D8267" s="16">
        <v>16</v>
      </c>
      <c r="E8267" s="17">
        <v>797.24</v>
      </c>
      <c r="F8267" s="16">
        <v>0.04</v>
      </c>
      <c r="G8267" s="15" t="s">
        <v>58</v>
      </c>
      <c r="H8267" s="18">
        <v>11.46</v>
      </c>
      <c r="I8267" s="19">
        <v>50.98</v>
      </c>
      <c r="J8267" s="19">
        <v>14.19</v>
      </c>
      <c r="K8267" s="19" t="s">
        <v>33</v>
      </c>
      <c r="L8267" s="19" t="s">
        <v>59</v>
      </c>
      <c r="M8267" s="15" t="s">
        <v>2344</v>
      </c>
      <c r="N8267" s="15" t="s">
        <v>54</v>
      </c>
      <c r="O8267" s="15" t="s">
        <v>252</v>
      </c>
      <c r="P8267" s="20" t="s">
        <v>1224</v>
      </c>
      <c r="Q8267" s="15" t="s">
        <v>181</v>
      </c>
      <c r="R8267" s="4"/>
      <c r="S8267" s="4"/>
    </row>
    <row r="8268" spans="1:19" ht="21" customHeight="1" x14ac:dyDescent="0.25">
      <c r="A8268" s="14">
        <f>DATE(2012,12,31)-1199</f>
        <v>40075</v>
      </c>
      <c r="B8268" s="15" t="s">
        <v>404</v>
      </c>
      <c r="C8268" s="15" t="s">
        <v>51</v>
      </c>
      <c r="D8268" s="16">
        <v>11</v>
      </c>
      <c r="E8268" s="17">
        <v>455.88</v>
      </c>
      <c r="F8268" s="16">
        <v>0.03</v>
      </c>
      <c r="G8268" s="15" t="s">
        <v>101</v>
      </c>
      <c r="H8268" s="18">
        <v>9.1500000000000057</v>
      </c>
      <c r="I8268" s="19">
        <v>40.97</v>
      </c>
      <c r="J8268" s="19">
        <v>8.99</v>
      </c>
      <c r="K8268" s="19" t="s">
        <v>33</v>
      </c>
      <c r="L8268" s="19" t="s">
        <v>145</v>
      </c>
      <c r="M8268" s="15" t="s">
        <v>146</v>
      </c>
      <c r="N8268" s="15" t="s">
        <v>36</v>
      </c>
      <c r="O8268" s="15" t="s">
        <v>77</v>
      </c>
      <c r="P8268" s="20" t="s">
        <v>1818</v>
      </c>
      <c r="Q8268" s="15" t="s">
        <v>49</v>
      </c>
      <c r="R8268" s="4"/>
      <c r="S8268" s="4"/>
    </row>
    <row r="8269" spans="1:19" ht="21" customHeight="1" x14ac:dyDescent="0.25">
      <c r="A8269" s="14">
        <f>DATE(2012,12,31)-1085</f>
        <v>40189</v>
      </c>
      <c r="B8269" s="15" t="s">
        <v>404</v>
      </c>
      <c r="C8269" s="15" t="s">
        <v>51</v>
      </c>
      <c r="D8269" s="16">
        <v>48</v>
      </c>
      <c r="E8269" s="17">
        <v>25312</v>
      </c>
      <c r="F8269" s="16">
        <v>0.01</v>
      </c>
      <c r="G8269" s="15" t="s">
        <v>58</v>
      </c>
      <c r="H8269" s="18">
        <v>8788.81</v>
      </c>
      <c r="I8269" s="19">
        <v>517.48</v>
      </c>
      <c r="J8269" s="19">
        <v>16.63</v>
      </c>
      <c r="K8269" s="19" t="s">
        <v>69</v>
      </c>
      <c r="L8269" s="19" t="s">
        <v>70</v>
      </c>
      <c r="M8269" s="15" t="s">
        <v>2357</v>
      </c>
      <c r="N8269" s="15" t="s">
        <v>64</v>
      </c>
      <c r="O8269" s="15" t="s">
        <v>122</v>
      </c>
      <c r="P8269" s="20" t="s">
        <v>816</v>
      </c>
      <c r="Q8269" s="15" t="s">
        <v>63</v>
      </c>
      <c r="R8269" s="4"/>
      <c r="S8269" s="4"/>
    </row>
    <row r="8270" spans="1:19" ht="21" customHeight="1" x14ac:dyDescent="0.25">
      <c r="A8270" s="14">
        <f>DATE(2012,12,31)-1085</f>
        <v>40189</v>
      </c>
      <c r="B8270" s="15" t="s">
        <v>779</v>
      </c>
      <c r="C8270" s="15" t="s">
        <v>51</v>
      </c>
      <c r="D8270" s="16">
        <v>14</v>
      </c>
      <c r="E8270" s="17">
        <v>2138.63</v>
      </c>
      <c r="F8270" s="16">
        <v>0.01</v>
      </c>
      <c r="G8270" s="15" t="s">
        <v>32</v>
      </c>
      <c r="H8270" s="18">
        <v>453.03</v>
      </c>
      <c r="I8270" s="19">
        <v>142.86000000000001</v>
      </c>
      <c r="J8270" s="19">
        <v>19.989999999999998</v>
      </c>
      <c r="K8270" s="19" t="s">
        <v>69</v>
      </c>
      <c r="L8270" s="19" t="s">
        <v>70</v>
      </c>
      <c r="M8270" s="15" t="s">
        <v>2357</v>
      </c>
      <c r="N8270" s="15" t="s">
        <v>36</v>
      </c>
      <c r="O8270" s="15" t="s">
        <v>37</v>
      </c>
      <c r="P8270" s="20" t="s">
        <v>1663</v>
      </c>
      <c r="Q8270" s="15" t="s">
        <v>83</v>
      </c>
      <c r="R8270" s="4"/>
      <c r="S8270" s="4"/>
    </row>
    <row r="8271" spans="1:19" ht="21" customHeight="1" x14ac:dyDescent="0.25">
      <c r="A8271" s="14">
        <f>DATE(2012,12,31)-1085</f>
        <v>40189</v>
      </c>
      <c r="B8271" s="15" t="s">
        <v>779</v>
      </c>
      <c r="C8271" s="15" t="s">
        <v>51</v>
      </c>
      <c r="D8271" s="16">
        <v>5</v>
      </c>
      <c r="E8271" s="17">
        <v>647.27</v>
      </c>
      <c r="F8271" s="16">
        <v>0.08</v>
      </c>
      <c r="G8271" s="15" t="s">
        <v>58</v>
      </c>
      <c r="H8271" s="18">
        <v>-404.77</v>
      </c>
      <c r="I8271" s="19">
        <v>122.99</v>
      </c>
      <c r="J8271" s="19">
        <v>70.2</v>
      </c>
      <c r="K8271" s="19" t="s">
        <v>69</v>
      </c>
      <c r="L8271" s="19" t="s">
        <v>215</v>
      </c>
      <c r="M8271" s="15" t="s">
        <v>2355</v>
      </c>
      <c r="N8271" s="15" t="s">
        <v>54</v>
      </c>
      <c r="O8271" s="15" t="s">
        <v>252</v>
      </c>
      <c r="P8271" s="20" t="s">
        <v>1553</v>
      </c>
      <c r="Q8271" s="15" t="s">
        <v>181</v>
      </c>
      <c r="R8271" s="4"/>
      <c r="S8271" s="4"/>
    </row>
    <row r="8272" spans="1:19" ht="21" customHeight="1" x14ac:dyDescent="0.25">
      <c r="A8272" s="14">
        <f>DATE(2012,12,31)-1085</f>
        <v>40189</v>
      </c>
      <c r="B8272" s="15" t="s">
        <v>104</v>
      </c>
      <c r="C8272" s="15" t="s">
        <v>51</v>
      </c>
      <c r="D8272" s="16">
        <v>47</v>
      </c>
      <c r="E8272" s="17">
        <v>1597.02</v>
      </c>
      <c r="F8272" s="16">
        <v>0.01</v>
      </c>
      <c r="G8272" s="15" t="s">
        <v>32</v>
      </c>
      <c r="H8272" s="18">
        <v>749.03</v>
      </c>
      <c r="I8272" s="19">
        <v>31.78</v>
      </c>
      <c r="J8272" s="19">
        <v>1.99</v>
      </c>
      <c r="K8272" s="19" t="s">
        <v>44</v>
      </c>
      <c r="L8272" s="19" t="s">
        <v>89</v>
      </c>
      <c r="M8272" s="15" t="s">
        <v>2365</v>
      </c>
      <c r="N8272" s="15" t="s">
        <v>64</v>
      </c>
      <c r="O8272" s="15" t="s">
        <v>72</v>
      </c>
      <c r="P8272" s="20" t="s">
        <v>339</v>
      </c>
      <c r="Q8272" s="15" t="s">
        <v>49</v>
      </c>
      <c r="R8272" s="4"/>
      <c r="S8272" s="4"/>
    </row>
    <row r="8273" spans="1:19" ht="21" customHeight="1" x14ac:dyDescent="0.25">
      <c r="A8273" s="14">
        <f>DATE(2012,12,31)-616</f>
        <v>40658</v>
      </c>
      <c r="B8273" s="15" t="s">
        <v>104</v>
      </c>
      <c r="C8273" s="15" t="s">
        <v>43</v>
      </c>
      <c r="D8273" s="16">
        <v>40</v>
      </c>
      <c r="E8273" s="17">
        <v>630.38</v>
      </c>
      <c r="F8273" s="16">
        <v>0.02</v>
      </c>
      <c r="G8273" s="15" t="s">
        <v>101</v>
      </c>
      <c r="H8273" s="18">
        <v>-186.77</v>
      </c>
      <c r="I8273" s="19">
        <v>14.81</v>
      </c>
      <c r="J8273" s="19">
        <v>13.32</v>
      </c>
      <c r="K8273" s="19" t="s">
        <v>44</v>
      </c>
      <c r="L8273" s="19" t="s">
        <v>89</v>
      </c>
      <c r="M8273" s="15" t="s">
        <v>2365</v>
      </c>
      <c r="N8273" s="15" t="s">
        <v>36</v>
      </c>
      <c r="O8273" s="15" t="s">
        <v>176</v>
      </c>
      <c r="P8273" s="20" t="s">
        <v>388</v>
      </c>
      <c r="Q8273" s="15" t="s">
        <v>83</v>
      </c>
      <c r="R8273" s="4"/>
      <c r="S8273" s="4"/>
    </row>
    <row r="8274" spans="1:19" ht="21" customHeight="1" x14ac:dyDescent="0.25">
      <c r="A8274" s="14">
        <f>DATE(2012,12,31)-616</f>
        <v>40658</v>
      </c>
      <c r="B8274" s="15" t="s">
        <v>448</v>
      </c>
      <c r="C8274" s="15" t="s">
        <v>43</v>
      </c>
      <c r="D8274" s="16">
        <v>23</v>
      </c>
      <c r="E8274" s="17">
        <v>144.03</v>
      </c>
      <c r="F8274" s="16">
        <v>0.02</v>
      </c>
      <c r="G8274" s="15" t="s">
        <v>32</v>
      </c>
      <c r="H8274" s="18">
        <v>-37.04</v>
      </c>
      <c r="I8274" s="19">
        <v>5.98</v>
      </c>
      <c r="J8274" s="19">
        <v>5.2</v>
      </c>
      <c r="K8274" s="19" t="s">
        <v>44</v>
      </c>
      <c r="L8274" s="19" t="s">
        <v>80</v>
      </c>
      <c r="M8274" s="15" t="s">
        <v>2339</v>
      </c>
      <c r="N8274" s="15" t="s">
        <v>36</v>
      </c>
      <c r="O8274" s="15" t="s">
        <v>117</v>
      </c>
      <c r="P8274" s="20" t="s">
        <v>388</v>
      </c>
      <c r="Q8274" s="15" t="s">
        <v>83</v>
      </c>
      <c r="R8274" s="4"/>
      <c r="S8274" s="4"/>
    </row>
    <row r="8275" spans="1:19" ht="21" customHeight="1" x14ac:dyDescent="0.25">
      <c r="A8275" s="14">
        <f>DATE(2012,12,31)-1118</f>
        <v>40156</v>
      </c>
      <c r="B8275" s="15" t="s">
        <v>448</v>
      </c>
      <c r="C8275" s="15" t="s">
        <v>85</v>
      </c>
      <c r="D8275" s="16">
        <v>13</v>
      </c>
      <c r="E8275" s="17">
        <v>1582.47</v>
      </c>
      <c r="F8275" s="16">
        <v>0.05</v>
      </c>
      <c r="G8275" s="15" t="s">
        <v>58</v>
      </c>
      <c r="H8275" s="18">
        <v>-205.02420000000001</v>
      </c>
      <c r="I8275" s="19">
        <v>119.99</v>
      </c>
      <c r="J8275" s="19">
        <v>56.14</v>
      </c>
      <c r="K8275" s="19" t="s">
        <v>44</v>
      </c>
      <c r="L8275" s="19" t="s">
        <v>120</v>
      </c>
      <c r="M8275" s="15" t="s">
        <v>2262</v>
      </c>
      <c r="N8275" s="15" t="s">
        <v>64</v>
      </c>
      <c r="O8275" s="15" t="s">
        <v>122</v>
      </c>
      <c r="P8275" s="20" t="s">
        <v>1827</v>
      </c>
      <c r="Q8275" s="15" t="s">
        <v>63</v>
      </c>
      <c r="R8275" s="4"/>
      <c r="S8275" s="4"/>
    </row>
    <row r="8276" spans="1:19" ht="21" customHeight="1" x14ac:dyDescent="0.25">
      <c r="A8276" s="14">
        <f>DATE(2012,12,31)-27</f>
        <v>41247</v>
      </c>
      <c r="B8276" s="15" t="s">
        <v>448</v>
      </c>
      <c r="C8276" s="15" t="s">
        <v>85</v>
      </c>
      <c r="D8276" s="16">
        <v>35</v>
      </c>
      <c r="E8276" s="17">
        <v>128.12</v>
      </c>
      <c r="F8276" s="16">
        <v>0.08</v>
      </c>
      <c r="G8276" s="15" t="s">
        <v>32</v>
      </c>
      <c r="H8276" s="18">
        <v>-135.59649999999999</v>
      </c>
      <c r="I8276" s="19">
        <v>3.81</v>
      </c>
      <c r="J8276" s="19">
        <v>5.44</v>
      </c>
      <c r="K8276" s="19" t="s">
        <v>44</v>
      </c>
      <c r="L8276" s="19" t="s">
        <v>120</v>
      </c>
      <c r="M8276" s="15" t="s">
        <v>2262</v>
      </c>
      <c r="N8276" s="15" t="s">
        <v>36</v>
      </c>
      <c r="O8276" s="15" t="s">
        <v>170</v>
      </c>
      <c r="P8276" s="20" t="s">
        <v>1526</v>
      </c>
      <c r="Q8276" s="15" t="s">
        <v>83</v>
      </c>
      <c r="R8276" s="4"/>
      <c r="S8276" s="4"/>
    </row>
    <row r="8277" spans="1:19" ht="21" customHeight="1" x14ac:dyDescent="0.25">
      <c r="A8277" s="14">
        <f>DATE(2012,12,31)-27</f>
        <v>41247</v>
      </c>
      <c r="B8277" s="15" t="s">
        <v>448</v>
      </c>
      <c r="C8277" s="15" t="s">
        <v>85</v>
      </c>
      <c r="D8277" s="16">
        <v>25</v>
      </c>
      <c r="E8277" s="17">
        <v>165.62</v>
      </c>
      <c r="F8277" s="16">
        <v>0.03</v>
      </c>
      <c r="G8277" s="15" t="s">
        <v>32</v>
      </c>
      <c r="H8277" s="18">
        <v>-64.72</v>
      </c>
      <c r="I8277" s="19">
        <v>6.24</v>
      </c>
      <c r="J8277" s="19">
        <v>5.22</v>
      </c>
      <c r="K8277" s="19" t="s">
        <v>124</v>
      </c>
      <c r="L8277" s="19" t="s">
        <v>164</v>
      </c>
      <c r="M8277" s="15" t="s">
        <v>2379</v>
      </c>
      <c r="N8277" s="15" t="s">
        <v>54</v>
      </c>
      <c r="O8277" s="15" t="s">
        <v>55</v>
      </c>
      <c r="P8277" s="20" t="s">
        <v>1644</v>
      </c>
      <c r="Q8277" s="15" t="s">
        <v>83</v>
      </c>
      <c r="R8277" s="4"/>
      <c r="S8277" s="4"/>
    </row>
    <row r="8278" spans="1:19" ht="21" customHeight="1" x14ac:dyDescent="0.25">
      <c r="A8278" s="14">
        <f>DATE(2012,12,31)-27</f>
        <v>41247</v>
      </c>
      <c r="B8278" s="15" t="s">
        <v>1210</v>
      </c>
      <c r="C8278" s="15" t="s">
        <v>85</v>
      </c>
      <c r="D8278" s="16">
        <v>41</v>
      </c>
      <c r="E8278" s="17">
        <v>214.23</v>
      </c>
      <c r="F8278" s="16">
        <v>0.01</v>
      </c>
      <c r="G8278" s="15" t="s">
        <v>32</v>
      </c>
      <c r="H8278" s="18">
        <v>-165.42</v>
      </c>
      <c r="I8278" s="19">
        <v>4.8600000000000003</v>
      </c>
      <c r="J8278" s="19">
        <v>7.1</v>
      </c>
      <c r="K8278" s="19" t="s">
        <v>33</v>
      </c>
      <c r="L8278" s="19" t="s">
        <v>93</v>
      </c>
      <c r="M8278" s="15" t="s">
        <v>94</v>
      </c>
      <c r="N8278" s="15" t="s">
        <v>54</v>
      </c>
      <c r="O8278" s="15" t="s">
        <v>55</v>
      </c>
      <c r="P8278" s="20" t="s">
        <v>95</v>
      </c>
      <c r="Q8278" s="15" t="s">
        <v>83</v>
      </c>
      <c r="R8278" s="4"/>
      <c r="S8278" s="4"/>
    </row>
    <row r="8279" spans="1:19" ht="21" customHeight="1" x14ac:dyDescent="0.25">
      <c r="A8279" s="14">
        <f>DATE(2012,12,31)-27</f>
        <v>41247</v>
      </c>
      <c r="B8279" s="15" t="s">
        <v>1342</v>
      </c>
      <c r="C8279" s="15" t="s">
        <v>85</v>
      </c>
      <c r="D8279" s="16">
        <v>41</v>
      </c>
      <c r="E8279" s="17">
        <v>214.19</v>
      </c>
      <c r="F8279" s="16">
        <v>0.05</v>
      </c>
      <c r="G8279" s="15" t="s">
        <v>32</v>
      </c>
      <c r="H8279" s="18">
        <v>-66.06</v>
      </c>
      <c r="I8279" s="19">
        <v>4.9800000000000004</v>
      </c>
      <c r="J8279" s="19">
        <v>4.7</v>
      </c>
      <c r="K8279" s="19" t="s">
        <v>33</v>
      </c>
      <c r="L8279" s="19" t="s">
        <v>93</v>
      </c>
      <c r="M8279" s="15" t="s">
        <v>94</v>
      </c>
      <c r="N8279" s="15" t="s">
        <v>36</v>
      </c>
      <c r="O8279" s="15" t="s">
        <v>117</v>
      </c>
      <c r="P8279" s="20" t="s">
        <v>440</v>
      </c>
      <c r="Q8279" s="15" t="s">
        <v>83</v>
      </c>
      <c r="R8279" s="4"/>
      <c r="S8279" s="4"/>
    </row>
    <row r="8280" spans="1:19" ht="21" customHeight="1" x14ac:dyDescent="0.25">
      <c r="A8280" s="14">
        <f>DATE(2012,12,31)-124</f>
        <v>41150</v>
      </c>
      <c r="B8280" s="15" t="s">
        <v>1368</v>
      </c>
      <c r="C8280" s="15" t="s">
        <v>51</v>
      </c>
      <c r="D8280" s="16">
        <v>45</v>
      </c>
      <c r="E8280" s="17">
        <v>1008.34</v>
      </c>
      <c r="F8280" s="16">
        <v>0.09</v>
      </c>
      <c r="G8280" s="15" t="s">
        <v>32</v>
      </c>
      <c r="H8280" s="18">
        <v>218.65</v>
      </c>
      <c r="I8280" s="19">
        <v>23.99</v>
      </c>
      <c r="J8280" s="19">
        <v>6.3</v>
      </c>
      <c r="K8280" s="19" t="s">
        <v>33</v>
      </c>
      <c r="L8280" s="19" t="s">
        <v>128</v>
      </c>
      <c r="M8280" s="15" t="s">
        <v>129</v>
      </c>
      <c r="N8280" s="15" t="s">
        <v>64</v>
      </c>
      <c r="O8280" s="15" t="s">
        <v>122</v>
      </c>
      <c r="P8280" s="20" t="s">
        <v>859</v>
      </c>
      <c r="Q8280" s="15" t="s">
        <v>57</v>
      </c>
      <c r="R8280" s="4"/>
      <c r="S8280" s="4"/>
    </row>
    <row r="8281" spans="1:19" ht="21" customHeight="1" x14ac:dyDescent="0.25">
      <c r="A8281" s="14">
        <f>DATE(2012,12,31)-1339</f>
        <v>39935</v>
      </c>
      <c r="B8281" s="15" t="s">
        <v>1484</v>
      </c>
      <c r="C8281" s="15" t="s">
        <v>51</v>
      </c>
      <c r="D8281" s="16">
        <v>24</v>
      </c>
      <c r="E8281" s="17">
        <v>158.91</v>
      </c>
      <c r="F8281" s="16">
        <v>0.06</v>
      </c>
      <c r="G8281" s="15" t="s">
        <v>32</v>
      </c>
      <c r="H8281" s="18">
        <v>-38.57</v>
      </c>
      <c r="I8281" s="19">
        <v>6.68</v>
      </c>
      <c r="J8281" s="19">
        <v>5.2</v>
      </c>
      <c r="K8281" s="19" t="s">
        <v>97</v>
      </c>
      <c r="L8281" s="19" t="s">
        <v>195</v>
      </c>
      <c r="M8281" s="15" t="s">
        <v>2374</v>
      </c>
      <c r="N8281" s="15" t="s">
        <v>36</v>
      </c>
      <c r="O8281" s="15" t="s">
        <v>117</v>
      </c>
      <c r="P8281" s="20" t="s">
        <v>1670</v>
      </c>
      <c r="Q8281" s="15" t="s">
        <v>83</v>
      </c>
      <c r="R8281" s="4"/>
      <c r="S8281" s="4"/>
    </row>
    <row r="8282" spans="1:19" ht="21" customHeight="1" x14ac:dyDescent="0.25">
      <c r="A8282" s="14">
        <f>DATE(2012,12,31)-1120</f>
        <v>40154</v>
      </c>
      <c r="B8282" s="15" t="s">
        <v>1484</v>
      </c>
      <c r="C8282" s="15" t="s">
        <v>85</v>
      </c>
      <c r="D8282" s="16">
        <v>1</v>
      </c>
      <c r="E8282" s="17">
        <v>534.29999999999995</v>
      </c>
      <c r="F8282" s="16">
        <v>0.05</v>
      </c>
      <c r="G8282" s="15" t="s">
        <v>58</v>
      </c>
      <c r="H8282" s="18">
        <v>-1220.9144999999999</v>
      </c>
      <c r="I8282" s="19">
        <v>535.64</v>
      </c>
      <c r="J8282" s="19">
        <v>14.7</v>
      </c>
      <c r="K8282" s="19" t="s">
        <v>124</v>
      </c>
      <c r="L8282" s="19" t="s">
        <v>493</v>
      </c>
      <c r="M8282" s="15" t="s">
        <v>2367</v>
      </c>
      <c r="N8282" s="15" t="s">
        <v>64</v>
      </c>
      <c r="O8282" s="15" t="s">
        <v>122</v>
      </c>
      <c r="P8282" s="20" t="s">
        <v>467</v>
      </c>
      <c r="Q8282" s="15" t="s">
        <v>181</v>
      </c>
      <c r="R8282" s="4"/>
      <c r="S8282" s="4"/>
    </row>
    <row r="8283" spans="1:19" ht="21" customHeight="1" x14ac:dyDescent="0.25">
      <c r="A8283" s="14">
        <f>DATE(2012,12,31)-919</f>
        <v>40355</v>
      </c>
      <c r="B8283" s="15" t="s">
        <v>1206</v>
      </c>
      <c r="C8283" s="15" t="s">
        <v>85</v>
      </c>
      <c r="D8283" s="16">
        <v>19</v>
      </c>
      <c r="E8283" s="17">
        <v>39.42</v>
      </c>
      <c r="F8283" s="16">
        <v>0.08</v>
      </c>
      <c r="G8283" s="15" t="s">
        <v>32</v>
      </c>
      <c r="H8283" s="18">
        <v>-29.02</v>
      </c>
      <c r="I8283" s="19">
        <v>2.12</v>
      </c>
      <c r="J8283" s="19">
        <v>1.99</v>
      </c>
      <c r="K8283" s="19" t="s">
        <v>124</v>
      </c>
      <c r="L8283" s="19" t="s">
        <v>164</v>
      </c>
      <c r="M8283" s="15" t="s">
        <v>2379</v>
      </c>
      <c r="N8283" s="15" t="s">
        <v>64</v>
      </c>
      <c r="O8283" s="15" t="s">
        <v>72</v>
      </c>
      <c r="P8283" s="20" t="s">
        <v>1896</v>
      </c>
      <c r="Q8283" s="15" t="s">
        <v>49</v>
      </c>
      <c r="R8283" s="4"/>
      <c r="S8283" s="4"/>
    </row>
    <row r="8284" spans="1:19" ht="21" customHeight="1" x14ac:dyDescent="0.25">
      <c r="A8284" s="14">
        <f>DATE(2012,12,31)-919</f>
        <v>40355</v>
      </c>
      <c r="B8284" s="15" t="s">
        <v>1206</v>
      </c>
      <c r="C8284" s="15" t="s">
        <v>85</v>
      </c>
      <c r="D8284" s="16">
        <v>45</v>
      </c>
      <c r="E8284" s="17">
        <v>1305.31</v>
      </c>
      <c r="F8284" s="16">
        <v>0.03</v>
      </c>
      <c r="G8284" s="15" t="s">
        <v>32</v>
      </c>
      <c r="H8284" s="18">
        <v>589.20000000000005</v>
      </c>
      <c r="I8284" s="19">
        <v>28.48</v>
      </c>
      <c r="J8284" s="19">
        <v>1.99</v>
      </c>
      <c r="K8284" s="19" t="s">
        <v>124</v>
      </c>
      <c r="L8284" s="19" t="s">
        <v>168</v>
      </c>
      <c r="M8284" s="15" t="s">
        <v>2378</v>
      </c>
      <c r="N8284" s="15" t="s">
        <v>64</v>
      </c>
      <c r="O8284" s="15" t="s">
        <v>72</v>
      </c>
      <c r="P8284" s="20" t="s">
        <v>793</v>
      </c>
      <c r="Q8284" s="15" t="s">
        <v>49</v>
      </c>
      <c r="R8284" s="4"/>
      <c r="S8284" s="4"/>
    </row>
    <row r="8285" spans="1:19" ht="21" customHeight="1" x14ac:dyDescent="0.25">
      <c r="A8285" s="14">
        <f>DATE(2012,12,31)-772</f>
        <v>40502</v>
      </c>
      <c r="B8285" s="15" t="s">
        <v>444</v>
      </c>
      <c r="C8285" s="15" t="s">
        <v>85</v>
      </c>
      <c r="D8285" s="16">
        <v>34</v>
      </c>
      <c r="E8285" s="17">
        <v>398.76</v>
      </c>
      <c r="F8285" s="16">
        <v>7.0000000000000007E-2</v>
      </c>
      <c r="G8285" s="15" t="s">
        <v>32</v>
      </c>
      <c r="H8285" s="18">
        <v>0.82</v>
      </c>
      <c r="I8285" s="19">
        <v>11.58</v>
      </c>
      <c r="J8285" s="19">
        <v>6.97</v>
      </c>
      <c r="K8285" s="19" t="s">
        <v>44</v>
      </c>
      <c r="L8285" s="19" t="s">
        <v>52</v>
      </c>
      <c r="M8285" s="15" t="s">
        <v>2380</v>
      </c>
      <c r="N8285" s="15" t="s">
        <v>36</v>
      </c>
      <c r="O8285" s="15" t="s">
        <v>189</v>
      </c>
      <c r="P8285" s="20" t="s">
        <v>1344</v>
      </c>
      <c r="Q8285" s="15" t="s">
        <v>83</v>
      </c>
      <c r="R8285" s="4"/>
      <c r="S8285" s="4"/>
    </row>
    <row r="8286" spans="1:19" ht="21" customHeight="1" x14ac:dyDescent="0.25">
      <c r="A8286" s="14">
        <f>DATE(2012,12,31)-253</f>
        <v>41021</v>
      </c>
      <c r="B8286" s="15" t="s">
        <v>444</v>
      </c>
      <c r="C8286" s="15" t="s">
        <v>85</v>
      </c>
      <c r="D8286" s="16">
        <v>20</v>
      </c>
      <c r="E8286" s="17">
        <v>963.3</v>
      </c>
      <c r="F8286" s="16">
        <v>0.06</v>
      </c>
      <c r="G8286" s="15" t="s">
        <v>101</v>
      </c>
      <c r="H8286" s="18">
        <v>367.12</v>
      </c>
      <c r="I8286" s="19">
        <v>48.04</v>
      </c>
      <c r="J8286" s="19">
        <v>7.23</v>
      </c>
      <c r="K8286" s="19" t="s">
        <v>44</v>
      </c>
      <c r="L8286" s="19" t="s">
        <v>52</v>
      </c>
      <c r="M8286" s="15" t="s">
        <v>2380</v>
      </c>
      <c r="N8286" s="15" t="s">
        <v>36</v>
      </c>
      <c r="O8286" s="15" t="s">
        <v>117</v>
      </c>
      <c r="P8286" s="20" t="s">
        <v>902</v>
      </c>
      <c r="Q8286" s="15" t="s">
        <v>83</v>
      </c>
      <c r="R8286" s="4"/>
      <c r="S8286" s="4"/>
    </row>
    <row r="8287" spans="1:19" ht="21" customHeight="1" x14ac:dyDescent="0.25">
      <c r="A8287" s="14">
        <f>DATE(2012,12,31)-1143</f>
        <v>40131</v>
      </c>
      <c r="B8287" s="15" t="s">
        <v>444</v>
      </c>
      <c r="C8287" s="15" t="s">
        <v>85</v>
      </c>
      <c r="D8287" s="16">
        <v>41</v>
      </c>
      <c r="E8287" s="17">
        <v>5930.34</v>
      </c>
      <c r="F8287" s="16">
        <v>7.0000000000000007E-2</v>
      </c>
      <c r="G8287" s="15" t="s">
        <v>32</v>
      </c>
      <c r="H8287" s="18">
        <v>427.68</v>
      </c>
      <c r="I8287" s="19">
        <v>152.47999999999999</v>
      </c>
      <c r="J8287" s="19">
        <v>6.5</v>
      </c>
      <c r="K8287" s="19" t="s">
        <v>44</v>
      </c>
      <c r="L8287" s="19" t="s">
        <v>52</v>
      </c>
      <c r="M8287" s="15" t="s">
        <v>2380</v>
      </c>
      <c r="N8287" s="15" t="s">
        <v>64</v>
      </c>
      <c r="O8287" s="15" t="s">
        <v>72</v>
      </c>
      <c r="P8287" s="20" t="s">
        <v>1006</v>
      </c>
      <c r="Q8287" s="15" t="s">
        <v>83</v>
      </c>
      <c r="R8287" s="4"/>
      <c r="S8287" s="4"/>
    </row>
    <row r="8288" spans="1:19" ht="21" customHeight="1" x14ac:dyDescent="0.25">
      <c r="A8288" s="14">
        <f>DATE(2012,12,31)-228</f>
        <v>41046</v>
      </c>
      <c r="B8288" s="15" t="s">
        <v>785</v>
      </c>
      <c r="C8288" s="15" t="s">
        <v>85</v>
      </c>
      <c r="D8288" s="16">
        <v>24</v>
      </c>
      <c r="E8288" s="17">
        <v>2094.12</v>
      </c>
      <c r="F8288" s="16">
        <v>0</v>
      </c>
      <c r="G8288" s="15" t="s">
        <v>32</v>
      </c>
      <c r="H8288" s="18">
        <v>717.12</v>
      </c>
      <c r="I8288" s="19">
        <v>83.1</v>
      </c>
      <c r="J8288" s="19">
        <v>6.13</v>
      </c>
      <c r="K8288" s="19" t="s">
        <v>44</v>
      </c>
      <c r="L8288" s="19" t="s">
        <v>52</v>
      </c>
      <c r="M8288" s="15" t="s">
        <v>2380</v>
      </c>
      <c r="N8288" s="15" t="s">
        <v>64</v>
      </c>
      <c r="O8288" s="15" t="s">
        <v>72</v>
      </c>
      <c r="P8288" s="20" t="s">
        <v>1269</v>
      </c>
      <c r="Q8288" s="15" t="s">
        <v>83</v>
      </c>
      <c r="R8288" s="4"/>
      <c r="S8288" s="4"/>
    </row>
    <row r="8289" spans="1:19" ht="21" customHeight="1" x14ac:dyDescent="0.25">
      <c r="A8289" s="14">
        <f>DATE(2012,12,31)-228</f>
        <v>41046</v>
      </c>
      <c r="B8289" s="15" t="s">
        <v>785</v>
      </c>
      <c r="C8289" s="15" t="s">
        <v>85</v>
      </c>
      <c r="D8289" s="16">
        <v>46</v>
      </c>
      <c r="E8289" s="17">
        <v>1714.02</v>
      </c>
      <c r="F8289" s="16">
        <v>0.04</v>
      </c>
      <c r="G8289" s="15" t="s">
        <v>32</v>
      </c>
      <c r="H8289" s="18">
        <v>741.27</v>
      </c>
      <c r="I8289" s="19">
        <v>37.94</v>
      </c>
      <c r="J8289" s="19">
        <v>5.08</v>
      </c>
      <c r="K8289" s="19" t="s">
        <v>69</v>
      </c>
      <c r="L8289" s="19" t="s">
        <v>70</v>
      </c>
      <c r="M8289" s="15" t="s">
        <v>2357</v>
      </c>
      <c r="N8289" s="15" t="s">
        <v>36</v>
      </c>
      <c r="O8289" s="15" t="s">
        <v>117</v>
      </c>
      <c r="P8289" s="20" t="s">
        <v>1598</v>
      </c>
      <c r="Q8289" s="15" t="s">
        <v>79</v>
      </c>
      <c r="R8289" s="4"/>
      <c r="S8289" s="4"/>
    </row>
    <row r="8290" spans="1:19" ht="21" customHeight="1" x14ac:dyDescent="0.25">
      <c r="A8290" s="14">
        <f>DATE(2012,12,31)-844</f>
        <v>40430</v>
      </c>
      <c r="B8290" s="15" t="s">
        <v>398</v>
      </c>
      <c r="C8290" s="15" t="s">
        <v>51</v>
      </c>
      <c r="D8290" s="16">
        <v>36</v>
      </c>
      <c r="E8290" s="17">
        <v>3602.12</v>
      </c>
      <c r="F8290" s="16">
        <v>0.05</v>
      </c>
      <c r="G8290" s="15" t="s">
        <v>58</v>
      </c>
      <c r="H8290" s="18">
        <v>-728.18</v>
      </c>
      <c r="I8290" s="19">
        <v>100.98</v>
      </c>
      <c r="J8290" s="19">
        <v>45</v>
      </c>
      <c r="K8290" s="19" t="s">
        <v>69</v>
      </c>
      <c r="L8290" s="19" t="s">
        <v>215</v>
      </c>
      <c r="M8290" s="15" t="s">
        <v>2355</v>
      </c>
      <c r="N8290" s="15" t="s">
        <v>54</v>
      </c>
      <c r="O8290" s="15" t="s">
        <v>252</v>
      </c>
      <c r="P8290" s="20" t="s">
        <v>1818</v>
      </c>
      <c r="Q8290" s="15" t="s">
        <v>181</v>
      </c>
      <c r="R8290" s="4"/>
      <c r="S8290" s="4"/>
    </row>
    <row r="8291" spans="1:19" ht="21" customHeight="1" x14ac:dyDescent="0.25">
      <c r="A8291" s="14">
        <f>DATE(2012,12,31)-844</f>
        <v>40430</v>
      </c>
      <c r="B8291" s="15" t="s">
        <v>119</v>
      </c>
      <c r="C8291" s="15" t="s">
        <v>51</v>
      </c>
      <c r="D8291" s="16">
        <v>43</v>
      </c>
      <c r="E8291" s="17">
        <v>1174.94</v>
      </c>
      <c r="F8291" s="16">
        <v>0.02</v>
      </c>
      <c r="G8291" s="15" t="s">
        <v>32</v>
      </c>
      <c r="H8291" s="18">
        <v>-125.79</v>
      </c>
      <c r="I8291" s="19">
        <v>27.42</v>
      </c>
      <c r="J8291" s="19">
        <v>19.46</v>
      </c>
      <c r="K8291" s="19" t="s">
        <v>44</v>
      </c>
      <c r="L8291" s="19" t="s">
        <v>120</v>
      </c>
      <c r="M8291" s="15" t="s">
        <v>2262</v>
      </c>
      <c r="N8291" s="15" t="s">
        <v>54</v>
      </c>
      <c r="O8291" s="15" t="s">
        <v>55</v>
      </c>
      <c r="P8291" s="20" t="s">
        <v>368</v>
      </c>
      <c r="Q8291" s="15" t="s">
        <v>83</v>
      </c>
      <c r="R8291" s="4"/>
      <c r="S8291" s="4"/>
    </row>
    <row r="8292" spans="1:19" ht="21" customHeight="1" x14ac:dyDescent="0.25">
      <c r="A8292" s="14">
        <f>DATE(2012,12,31)-358</f>
        <v>40916</v>
      </c>
      <c r="B8292" s="15" t="s">
        <v>721</v>
      </c>
      <c r="C8292" s="15" t="s">
        <v>31</v>
      </c>
      <c r="D8292" s="16">
        <v>30</v>
      </c>
      <c r="E8292" s="17">
        <v>182.92</v>
      </c>
      <c r="F8292" s="16">
        <v>0.06</v>
      </c>
      <c r="G8292" s="15" t="s">
        <v>32</v>
      </c>
      <c r="H8292" s="18">
        <v>-1367.72</v>
      </c>
      <c r="I8292" s="19">
        <v>4.4800000000000004</v>
      </c>
      <c r="J8292" s="19">
        <v>49</v>
      </c>
      <c r="K8292" s="19" t="s">
        <v>44</v>
      </c>
      <c r="L8292" s="19" t="s">
        <v>52</v>
      </c>
      <c r="M8292" s="15" t="s">
        <v>2380</v>
      </c>
      <c r="N8292" s="15" t="s">
        <v>36</v>
      </c>
      <c r="O8292" s="15" t="s">
        <v>176</v>
      </c>
      <c r="P8292" s="20" t="s">
        <v>713</v>
      </c>
      <c r="Q8292" s="15" t="s">
        <v>39</v>
      </c>
      <c r="R8292" s="4"/>
      <c r="S8292" s="4"/>
    </row>
    <row r="8293" spans="1:19" ht="21" customHeight="1" x14ac:dyDescent="0.25">
      <c r="A8293" s="14">
        <f>DATE(2012,12,31)-1426</f>
        <v>39848</v>
      </c>
      <c r="B8293" s="15" t="s">
        <v>903</v>
      </c>
      <c r="C8293" s="15" t="s">
        <v>85</v>
      </c>
      <c r="D8293" s="16">
        <v>40</v>
      </c>
      <c r="E8293" s="17">
        <v>69.66</v>
      </c>
      <c r="F8293" s="16">
        <v>7.0000000000000007E-2</v>
      </c>
      <c r="G8293" s="15" t="s">
        <v>32</v>
      </c>
      <c r="H8293" s="18">
        <v>-51.42</v>
      </c>
      <c r="I8293" s="19">
        <v>1.7</v>
      </c>
      <c r="J8293" s="19">
        <v>1.99</v>
      </c>
      <c r="K8293" s="19" t="s">
        <v>44</v>
      </c>
      <c r="L8293" s="19" t="s">
        <v>52</v>
      </c>
      <c r="M8293" s="15" t="s">
        <v>2380</v>
      </c>
      <c r="N8293" s="15" t="s">
        <v>64</v>
      </c>
      <c r="O8293" s="15" t="s">
        <v>72</v>
      </c>
      <c r="P8293" s="20" t="s">
        <v>440</v>
      </c>
      <c r="Q8293" s="15" t="s">
        <v>49</v>
      </c>
      <c r="R8293" s="4"/>
      <c r="S8293" s="4"/>
    </row>
    <row r="8294" spans="1:19" ht="21" customHeight="1" x14ac:dyDescent="0.25">
      <c r="A8294" s="14">
        <f>DATE(2012,12,31)-282</f>
        <v>40992</v>
      </c>
      <c r="B8294" s="15" t="s">
        <v>903</v>
      </c>
      <c r="C8294" s="15" t="s">
        <v>51</v>
      </c>
      <c r="D8294" s="16">
        <v>8</v>
      </c>
      <c r="E8294" s="17">
        <v>32.31</v>
      </c>
      <c r="F8294" s="16">
        <v>0.09</v>
      </c>
      <c r="G8294" s="15" t="s">
        <v>32</v>
      </c>
      <c r="H8294" s="18">
        <v>-33.591500000000003</v>
      </c>
      <c r="I8294" s="19">
        <v>3.58</v>
      </c>
      <c r="J8294" s="19">
        <v>5.47</v>
      </c>
      <c r="K8294" s="19" t="s">
        <v>33</v>
      </c>
      <c r="L8294" s="19" t="s">
        <v>128</v>
      </c>
      <c r="M8294" s="15" t="s">
        <v>129</v>
      </c>
      <c r="N8294" s="15" t="s">
        <v>36</v>
      </c>
      <c r="O8294" s="15" t="s">
        <v>170</v>
      </c>
      <c r="P8294" s="20" t="s">
        <v>277</v>
      </c>
      <c r="Q8294" s="15" t="s">
        <v>83</v>
      </c>
      <c r="R8294" s="4"/>
      <c r="S8294" s="4"/>
    </row>
    <row r="8295" spans="1:19" ht="21" customHeight="1" x14ac:dyDescent="0.25">
      <c r="A8295" s="14">
        <f>DATE(2012,12,31)-282</f>
        <v>40992</v>
      </c>
      <c r="B8295" s="15" t="s">
        <v>1074</v>
      </c>
      <c r="C8295" s="15" t="s">
        <v>51</v>
      </c>
      <c r="D8295" s="16">
        <v>6</v>
      </c>
      <c r="E8295" s="17">
        <v>57.9</v>
      </c>
      <c r="F8295" s="16">
        <v>0.03</v>
      </c>
      <c r="G8295" s="15" t="s">
        <v>32</v>
      </c>
      <c r="H8295" s="18">
        <v>-48.138999999999996</v>
      </c>
      <c r="I8295" s="19">
        <v>7.38</v>
      </c>
      <c r="J8295" s="19">
        <v>11.51</v>
      </c>
      <c r="K8295" s="19" t="s">
        <v>33</v>
      </c>
      <c r="L8295" s="19" t="s">
        <v>34</v>
      </c>
      <c r="M8295" s="15" t="s">
        <v>2377</v>
      </c>
      <c r="N8295" s="15" t="s">
        <v>36</v>
      </c>
      <c r="O8295" s="15" t="s">
        <v>170</v>
      </c>
      <c r="P8295" s="20" t="s">
        <v>2192</v>
      </c>
      <c r="Q8295" s="15" t="s">
        <v>83</v>
      </c>
      <c r="R8295" s="4"/>
      <c r="S8295" s="4"/>
    </row>
    <row r="8296" spans="1:19" ht="21" customHeight="1" x14ac:dyDescent="0.25">
      <c r="A8296" s="14">
        <f>DATE(2012,12,31)-282</f>
        <v>40992</v>
      </c>
      <c r="B8296" s="15" t="s">
        <v>1074</v>
      </c>
      <c r="C8296" s="15" t="s">
        <v>51</v>
      </c>
      <c r="D8296" s="16">
        <v>46</v>
      </c>
      <c r="E8296" s="17">
        <v>562.95000000000005</v>
      </c>
      <c r="F8296" s="16">
        <v>0.06</v>
      </c>
      <c r="G8296" s="15" t="s">
        <v>32</v>
      </c>
      <c r="H8296" s="18">
        <v>147.12</v>
      </c>
      <c r="I8296" s="19">
        <v>12.22</v>
      </c>
      <c r="J8296" s="19">
        <v>2.85</v>
      </c>
      <c r="K8296" s="19" t="s">
        <v>33</v>
      </c>
      <c r="L8296" s="19" t="s">
        <v>145</v>
      </c>
      <c r="M8296" s="15" t="s">
        <v>146</v>
      </c>
      <c r="N8296" s="15" t="s">
        <v>54</v>
      </c>
      <c r="O8296" s="15" t="s">
        <v>55</v>
      </c>
      <c r="P8296" s="20" t="s">
        <v>1117</v>
      </c>
      <c r="Q8296" s="15" t="s">
        <v>49</v>
      </c>
      <c r="R8296" s="4"/>
      <c r="S8296" s="4"/>
    </row>
    <row r="8297" spans="1:19" ht="21" customHeight="1" x14ac:dyDescent="0.25">
      <c r="A8297" s="14">
        <f>DATE(2012,12,31)-282</f>
        <v>40992</v>
      </c>
      <c r="B8297" s="15" t="s">
        <v>761</v>
      </c>
      <c r="C8297" s="15" t="s">
        <v>51</v>
      </c>
      <c r="D8297" s="16">
        <v>31</v>
      </c>
      <c r="E8297" s="17">
        <v>12470.31</v>
      </c>
      <c r="F8297" s="16">
        <v>0.04</v>
      </c>
      <c r="G8297" s="15" t="s">
        <v>32</v>
      </c>
      <c r="H8297" s="18">
        <v>5528.5020000000004</v>
      </c>
      <c r="I8297" s="19">
        <v>387.99</v>
      </c>
      <c r="J8297" s="19">
        <v>19.989999999999998</v>
      </c>
      <c r="K8297" s="19" t="s">
        <v>33</v>
      </c>
      <c r="L8297" s="19" t="s">
        <v>59</v>
      </c>
      <c r="M8297" s="15" t="s">
        <v>2344</v>
      </c>
      <c r="N8297" s="15" t="s">
        <v>36</v>
      </c>
      <c r="O8297" s="15" t="s">
        <v>170</v>
      </c>
      <c r="P8297" s="20" t="s">
        <v>938</v>
      </c>
      <c r="Q8297" s="15" t="s">
        <v>83</v>
      </c>
      <c r="R8297" s="4"/>
      <c r="S8297" s="4"/>
    </row>
    <row r="8298" spans="1:19" ht="21" customHeight="1" x14ac:dyDescent="0.25">
      <c r="A8298" s="14">
        <f>DATE(2012,12,31)-61</f>
        <v>41213</v>
      </c>
      <c r="B8298" s="15" t="s">
        <v>1528</v>
      </c>
      <c r="C8298" s="15" t="s">
        <v>43</v>
      </c>
      <c r="D8298" s="16">
        <v>25</v>
      </c>
      <c r="E8298" s="17">
        <v>170.4</v>
      </c>
      <c r="F8298" s="16">
        <v>0.02</v>
      </c>
      <c r="G8298" s="15" t="s">
        <v>32</v>
      </c>
      <c r="H8298" s="18">
        <v>-153.75</v>
      </c>
      <c r="I8298" s="19">
        <v>6.48</v>
      </c>
      <c r="J8298" s="19">
        <v>10.050000000000001</v>
      </c>
      <c r="K8298" s="19" t="s">
        <v>33</v>
      </c>
      <c r="L8298" s="19" t="s">
        <v>93</v>
      </c>
      <c r="M8298" s="15" t="s">
        <v>94</v>
      </c>
      <c r="N8298" s="15" t="s">
        <v>36</v>
      </c>
      <c r="O8298" s="15" t="s">
        <v>117</v>
      </c>
      <c r="P8298" s="20" t="s">
        <v>2156</v>
      </c>
      <c r="Q8298" s="15" t="s">
        <v>83</v>
      </c>
      <c r="R8298" s="4"/>
      <c r="S8298" s="4"/>
    </row>
    <row r="8299" spans="1:19" ht="21" customHeight="1" x14ac:dyDescent="0.25">
      <c r="A8299" s="14">
        <f>DATE(2012,12,31)-780</f>
        <v>40494</v>
      </c>
      <c r="B8299" s="15" t="s">
        <v>1528</v>
      </c>
      <c r="C8299" s="15" t="s">
        <v>43</v>
      </c>
      <c r="D8299" s="16">
        <v>15</v>
      </c>
      <c r="E8299" s="17">
        <v>171.57</v>
      </c>
      <c r="F8299" s="16">
        <v>0.04</v>
      </c>
      <c r="G8299" s="15" t="s">
        <v>32</v>
      </c>
      <c r="H8299" s="18">
        <v>12.5</v>
      </c>
      <c r="I8299" s="19">
        <v>11.34</v>
      </c>
      <c r="J8299" s="19">
        <v>5.01</v>
      </c>
      <c r="K8299" s="19" t="s">
        <v>33</v>
      </c>
      <c r="L8299" s="19" t="s">
        <v>145</v>
      </c>
      <c r="M8299" s="15" t="s">
        <v>146</v>
      </c>
      <c r="N8299" s="15" t="s">
        <v>36</v>
      </c>
      <c r="O8299" s="15" t="s">
        <v>117</v>
      </c>
      <c r="P8299" s="20" t="s">
        <v>1019</v>
      </c>
      <c r="Q8299" s="15" t="s">
        <v>83</v>
      </c>
      <c r="R8299" s="4"/>
      <c r="S8299" s="4"/>
    </row>
    <row r="8300" spans="1:19" ht="21" customHeight="1" x14ac:dyDescent="0.25">
      <c r="A8300" s="14">
        <f>DATE(2012,12,31)-780</f>
        <v>40494</v>
      </c>
      <c r="B8300" s="15" t="s">
        <v>1528</v>
      </c>
      <c r="C8300" s="15" t="s">
        <v>43</v>
      </c>
      <c r="D8300" s="16">
        <v>42</v>
      </c>
      <c r="E8300" s="17">
        <v>2170.3049999999998</v>
      </c>
      <c r="F8300" s="16">
        <v>0.1</v>
      </c>
      <c r="G8300" s="15" t="s">
        <v>32</v>
      </c>
      <c r="H8300" s="18">
        <v>264.32100000000003</v>
      </c>
      <c r="I8300" s="19">
        <v>65.989999999999995</v>
      </c>
      <c r="J8300" s="19">
        <v>8.99</v>
      </c>
      <c r="K8300" s="19" t="s">
        <v>33</v>
      </c>
      <c r="L8300" s="19" t="s">
        <v>59</v>
      </c>
      <c r="M8300" s="15" t="s">
        <v>2344</v>
      </c>
      <c r="N8300" s="15" t="s">
        <v>64</v>
      </c>
      <c r="O8300" s="15" t="s">
        <v>65</v>
      </c>
      <c r="P8300" s="20" t="s">
        <v>819</v>
      </c>
      <c r="Q8300" s="15" t="s">
        <v>83</v>
      </c>
      <c r="R8300" s="4"/>
      <c r="S8300" s="4"/>
    </row>
    <row r="8301" spans="1:19" ht="21" customHeight="1" x14ac:dyDescent="0.25">
      <c r="A8301" s="14">
        <f>DATE(2012,12,31)-412</f>
        <v>40862</v>
      </c>
      <c r="B8301" s="15" t="s">
        <v>1528</v>
      </c>
      <c r="C8301" s="15" t="s">
        <v>85</v>
      </c>
      <c r="D8301" s="16">
        <v>40</v>
      </c>
      <c r="E8301" s="17">
        <v>718.6</v>
      </c>
      <c r="F8301" s="16">
        <v>0.08</v>
      </c>
      <c r="G8301" s="15" t="s">
        <v>32</v>
      </c>
      <c r="H8301" s="18">
        <v>-81.489999999999995</v>
      </c>
      <c r="I8301" s="19">
        <v>17.98</v>
      </c>
      <c r="J8301" s="19">
        <v>4</v>
      </c>
      <c r="K8301" s="19" t="s">
        <v>33</v>
      </c>
      <c r="L8301" s="19" t="s">
        <v>145</v>
      </c>
      <c r="M8301" s="15" t="s">
        <v>146</v>
      </c>
      <c r="N8301" s="15" t="s">
        <v>64</v>
      </c>
      <c r="O8301" s="15" t="s">
        <v>72</v>
      </c>
      <c r="P8301" s="20" t="s">
        <v>421</v>
      </c>
      <c r="Q8301" s="15" t="s">
        <v>83</v>
      </c>
      <c r="R8301" s="4"/>
      <c r="S8301" s="4"/>
    </row>
    <row r="8302" spans="1:19" ht="21" customHeight="1" x14ac:dyDescent="0.25">
      <c r="A8302" s="14">
        <f>DATE(2012,12,31)-1112</f>
        <v>40162</v>
      </c>
      <c r="B8302" s="15" t="s">
        <v>856</v>
      </c>
      <c r="C8302" s="15" t="s">
        <v>43</v>
      </c>
      <c r="D8302" s="16">
        <v>27</v>
      </c>
      <c r="E8302" s="17">
        <v>43.46</v>
      </c>
      <c r="F8302" s="16">
        <v>0</v>
      </c>
      <c r="G8302" s="15" t="s">
        <v>32</v>
      </c>
      <c r="H8302" s="18">
        <v>6.81</v>
      </c>
      <c r="I8302" s="19">
        <v>1.48</v>
      </c>
      <c r="J8302" s="19">
        <v>0.7</v>
      </c>
      <c r="K8302" s="19" t="s">
        <v>33</v>
      </c>
      <c r="L8302" s="19" t="s">
        <v>145</v>
      </c>
      <c r="M8302" s="15" t="s">
        <v>146</v>
      </c>
      <c r="N8302" s="15" t="s">
        <v>36</v>
      </c>
      <c r="O8302" s="15" t="s">
        <v>105</v>
      </c>
      <c r="P8302" s="20" t="s">
        <v>638</v>
      </c>
      <c r="Q8302" s="15" t="s">
        <v>79</v>
      </c>
      <c r="R8302" s="4"/>
      <c r="S8302" s="4"/>
    </row>
    <row r="8303" spans="1:19" ht="21" customHeight="1" x14ac:dyDescent="0.25">
      <c r="A8303" s="14">
        <f>DATE(2012,12,31)-1112</f>
        <v>40162</v>
      </c>
      <c r="B8303" s="15" t="s">
        <v>856</v>
      </c>
      <c r="C8303" s="15" t="s">
        <v>43</v>
      </c>
      <c r="D8303" s="16">
        <v>5</v>
      </c>
      <c r="E8303" s="17">
        <v>927.98749999999995</v>
      </c>
      <c r="F8303" s="16">
        <v>0</v>
      </c>
      <c r="G8303" s="15" t="s">
        <v>32</v>
      </c>
      <c r="H8303" s="18">
        <v>-615.91199999999992</v>
      </c>
      <c r="I8303" s="19">
        <v>205.99</v>
      </c>
      <c r="J8303" s="19">
        <v>8.99</v>
      </c>
      <c r="K8303" s="19" t="s">
        <v>33</v>
      </c>
      <c r="L8303" s="19" t="s">
        <v>59</v>
      </c>
      <c r="M8303" s="15" t="s">
        <v>2344</v>
      </c>
      <c r="N8303" s="15" t="s">
        <v>64</v>
      </c>
      <c r="O8303" s="15" t="s">
        <v>65</v>
      </c>
      <c r="P8303" s="20" t="s">
        <v>874</v>
      </c>
      <c r="Q8303" s="15" t="s">
        <v>83</v>
      </c>
      <c r="R8303" s="4"/>
      <c r="S8303" s="4"/>
    </row>
    <row r="8304" spans="1:19" ht="21" customHeight="1" x14ac:dyDescent="0.25">
      <c r="A8304" s="14">
        <f>DATE(2012,12,31)-168</f>
        <v>41106</v>
      </c>
      <c r="B8304" s="15" t="s">
        <v>768</v>
      </c>
      <c r="C8304" s="15" t="s">
        <v>43</v>
      </c>
      <c r="D8304" s="16">
        <v>34</v>
      </c>
      <c r="E8304" s="17">
        <v>94.56</v>
      </c>
      <c r="F8304" s="16">
        <v>0</v>
      </c>
      <c r="G8304" s="15" t="s">
        <v>32</v>
      </c>
      <c r="H8304" s="18">
        <v>37.729999999999997</v>
      </c>
      <c r="I8304" s="19">
        <v>2.61</v>
      </c>
      <c r="J8304" s="19">
        <v>0.5</v>
      </c>
      <c r="K8304" s="19" t="s">
        <v>33</v>
      </c>
      <c r="L8304" s="19" t="s">
        <v>59</v>
      </c>
      <c r="M8304" s="15" t="s">
        <v>2344</v>
      </c>
      <c r="N8304" s="15" t="s">
        <v>36</v>
      </c>
      <c r="O8304" s="15" t="s">
        <v>114</v>
      </c>
      <c r="P8304" s="20" t="s">
        <v>1542</v>
      </c>
      <c r="Q8304" s="15" t="s">
        <v>83</v>
      </c>
      <c r="R8304" s="4"/>
      <c r="S8304" s="4"/>
    </row>
    <row r="8305" spans="1:19" ht="21" customHeight="1" x14ac:dyDescent="0.25">
      <c r="A8305" s="14">
        <f>DATE(2012,12,31)-836</f>
        <v>40438</v>
      </c>
      <c r="B8305" s="15" t="s">
        <v>1834</v>
      </c>
      <c r="C8305" s="15" t="s">
        <v>85</v>
      </c>
      <c r="D8305" s="16">
        <v>30</v>
      </c>
      <c r="E8305" s="17">
        <v>397.17</v>
      </c>
      <c r="F8305" s="16">
        <v>0.1</v>
      </c>
      <c r="G8305" s="15" t="s">
        <v>101</v>
      </c>
      <c r="H8305" s="18">
        <v>7.69</v>
      </c>
      <c r="I8305" s="19">
        <v>14.34</v>
      </c>
      <c r="J8305" s="19">
        <v>5</v>
      </c>
      <c r="K8305" s="19" t="s">
        <v>33</v>
      </c>
      <c r="L8305" s="19" t="s">
        <v>59</v>
      </c>
      <c r="M8305" s="15" t="s">
        <v>2344</v>
      </c>
      <c r="N8305" s="15" t="s">
        <v>54</v>
      </c>
      <c r="O8305" s="15" t="s">
        <v>55</v>
      </c>
      <c r="P8305" s="20" t="s">
        <v>835</v>
      </c>
      <c r="Q8305" s="15" t="s">
        <v>49</v>
      </c>
      <c r="R8305" s="4"/>
      <c r="S8305" s="4"/>
    </row>
    <row r="8306" spans="1:19" ht="21" customHeight="1" x14ac:dyDescent="0.25">
      <c r="A8306" s="14">
        <f>DATE(2012,12,31)-948</f>
        <v>40326</v>
      </c>
      <c r="B8306" s="15" t="s">
        <v>1834</v>
      </c>
      <c r="C8306" s="15" t="s">
        <v>85</v>
      </c>
      <c r="D8306" s="16">
        <v>3</v>
      </c>
      <c r="E8306" s="17">
        <v>336.84</v>
      </c>
      <c r="F8306" s="16">
        <v>0.08</v>
      </c>
      <c r="G8306" s="15" t="s">
        <v>58</v>
      </c>
      <c r="H8306" s="18">
        <v>-160.46</v>
      </c>
      <c r="I8306" s="19">
        <v>100.98</v>
      </c>
      <c r="J8306" s="19">
        <v>35.840000000000003</v>
      </c>
      <c r="K8306" s="19" t="s">
        <v>33</v>
      </c>
      <c r="L8306" s="19" t="s">
        <v>59</v>
      </c>
      <c r="M8306" s="15" t="s">
        <v>2344</v>
      </c>
      <c r="N8306" s="15" t="s">
        <v>54</v>
      </c>
      <c r="O8306" s="15" t="s">
        <v>134</v>
      </c>
      <c r="P8306" s="20" t="s">
        <v>341</v>
      </c>
      <c r="Q8306" s="15" t="s">
        <v>63</v>
      </c>
      <c r="R8306" s="4"/>
      <c r="S8306" s="4"/>
    </row>
    <row r="8307" spans="1:19" ht="21" customHeight="1" x14ac:dyDescent="0.25">
      <c r="A8307" s="14">
        <f>DATE(2012,12,31)-948</f>
        <v>40326</v>
      </c>
      <c r="B8307" s="15" t="s">
        <v>1834</v>
      </c>
      <c r="C8307" s="15" t="s">
        <v>85</v>
      </c>
      <c r="D8307" s="16">
        <v>7</v>
      </c>
      <c r="E8307" s="17">
        <v>1120.27</v>
      </c>
      <c r="F8307" s="16">
        <v>0</v>
      </c>
      <c r="G8307" s="15" t="s">
        <v>32</v>
      </c>
      <c r="H8307" s="18">
        <v>16.809999999999999</v>
      </c>
      <c r="I8307" s="19">
        <v>150.97999999999999</v>
      </c>
      <c r="J8307" s="19">
        <v>13.99</v>
      </c>
      <c r="K8307" s="19" t="s">
        <v>33</v>
      </c>
      <c r="L8307" s="19" t="s">
        <v>34</v>
      </c>
      <c r="M8307" s="15" t="s">
        <v>2377</v>
      </c>
      <c r="N8307" s="15" t="s">
        <v>64</v>
      </c>
      <c r="O8307" s="15" t="s">
        <v>122</v>
      </c>
      <c r="P8307" s="20" t="s">
        <v>2282</v>
      </c>
      <c r="Q8307" s="15" t="s">
        <v>57</v>
      </c>
      <c r="R8307" s="4"/>
      <c r="S8307" s="4"/>
    </row>
    <row r="8308" spans="1:19" ht="21" customHeight="1" x14ac:dyDescent="0.25">
      <c r="A8308" s="14">
        <f>DATE(2012,12,31)-100</f>
        <v>41174</v>
      </c>
      <c r="B8308" s="15" t="s">
        <v>1834</v>
      </c>
      <c r="C8308" s="15" t="s">
        <v>51</v>
      </c>
      <c r="D8308" s="16">
        <v>45</v>
      </c>
      <c r="E8308" s="17">
        <v>712.04</v>
      </c>
      <c r="F8308" s="16">
        <v>7.0000000000000007E-2</v>
      </c>
      <c r="G8308" s="15" t="s">
        <v>32</v>
      </c>
      <c r="H8308" s="18">
        <v>-110.925</v>
      </c>
      <c r="I8308" s="19">
        <v>15.99</v>
      </c>
      <c r="J8308" s="19">
        <v>9.4</v>
      </c>
      <c r="K8308" s="19" t="s">
        <v>33</v>
      </c>
      <c r="L8308" s="19" t="s">
        <v>59</v>
      </c>
      <c r="M8308" s="15" t="s">
        <v>2344</v>
      </c>
      <c r="N8308" s="15" t="s">
        <v>64</v>
      </c>
      <c r="O8308" s="15" t="s">
        <v>122</v>
      </c>
      <c r="P8308" s="20" t="s">
        <v>1563</v>
      </c>
      <c r="Q8308" s="15" t="s">
        <v>83</v>
      </c>
      <c r="R8308" s="4"/>
      <c r="S8308" s="4"/>
    </row>
    <row r="8309" spans="1:19" ht="21" customHeight="1" x14ac:dyDescent="0.25">
      <c r="A8309" s="14">
        <f>DATE(2012,12,31)-299</f>
        <v>40975</v>
      </c>
      <c r="B8309" s="15" t="s">
        <v>1798</v>
      </c>
      <c r="C8309" s="15" t="s">
        <v>31</v>
      </c>
      <c r="D8309" s="16">
        <v>25</v>
      </c>
      <c r="E8309" s="17">
        <v>167.23</v>
      </c>
      <c r="F8309" s="16">
        <v>0.05</v>
      </c>
      <c r="G8309" s="15" t="s">
        <v>32</v>
      </c>
      <c r="H8309" s="18">
        <v>-43.17</v>
      </c>
      <c r="I8309" s="19">
        <v>6.68</v>
      </c>
      <c r="J8309" s="19">
        <v>5.41</v>
      </c>
      <c r="K8309" s="19" t="s">
        <v>69</v>
      </c>
      <c r="L8309" s="19" t="s">
        <v>70</v>
      </c>
      <c r="M8309" s="15" t="s">
        <v>2357</v>
      </c>
      <c r="N8309" s="15" t="s">
        <v>36</v>
      </c>
      <c r="O8309" s="15" t="s">
        <v>117</v>
      </c>
      <c r="P8309" s="20" t="s">
        <v>1205</v>
      </c>
      <c r="Q8309" s="15" t="s">
        <v>83</v>
      </c>
      <c r="R8309" s="4"/>
      <c r="S8309" s="4"/>
    </row>
    <row r="8310" spans="1:19" ht="21" customHeight="1" x14ac:dyDescent="0.25">
      <c r="A8310" s="14">
        <f>DATE(2012,12,31)-264</f>
        <v>41010</v>
      </c>
      <c r="B8310" s="15" t="s">
        <v>925</v>
      </c>
      <c r="C8310" s="15" t="s">
        <v>85</v>
      </c>
      <c r="D8310" s="16">
        <v>25</v>
      </c>
      <c r="E8310" s="17">
        <v>1610.26</v>
      </c>
      <c r="F8310" s="16">
        <v>0.06</v>
      </c>
      <c r="G8310" s="15" t="s">
        <v>32</v>
      </c>
      <c r="H8310" s="18">
        <v>122.42</v>
      </c>
      <c r="I8310" s="19">
        <v>64.98</v>
      </c>
      <c r="J8310" s="19">
        <v>6.88</v>
      </c>
      <c r="K8310" s="19" t="s">
        <v>69</v>
      </c>
      <c r="L8310" s="19" t="s">
        <v>70</v>
      </c>
      <c r="M8310" s="15" t="s">
        <v>2357</v>
      </c>
      <c r="N8310" s="15" t="s">
        <v>36</v>
      </c>
      <c r="O8310" s="15" t="s">
        <v>37</v>
      </c>
      <c r="P8310" s="20" t="s">
        <v>1307</v>
      </c>
      <c r="Q8310" s="15" t="s">
        <v>83</v>
      </c>
      <c r="R8310" s="4"/>
      <c r="S8310" s="4"/>
    </row>
    <row r="8311" spans="1:19" ht="21" customHeight="1" x14ac:dyDescent="0.25">
      <c r="A8311" s="14">
        <f>DATE(2012,12,31)-1179</f>
        <v>40095</v>
      </c>
      <c r="B8311" s="15" t="s">
        <v>1479</v>
      </c>
      <c r="C8311" s="15" t="s">
        <v>43</v>
      </c>
      <c r="D8311" s="16">
        <v>34</v>
      </c>
      <c r="E8311" s="17">
        <v>3361.84</v>
      </c>
      <c r="F8311" s="16">
        <v>0.08</v>
      </c>
      <c r="G8311" s="15" t="s">
        <v>58</v>
      </c>
      <c r="H8311" s="18">
        <v>1211.76</v>
      </c>
      <c r="I8311" s="19">
        <v>100.97</v>
      </c>
      <c r="J8311" s="19">
        <v>14</v>
      </c>
      <c r="K8311" s="19" t="s">
        <v>69</v>
      </c>
      <c r="L8311" s="19" t="s">
        <v>70</v>
      </c>
      <c r="M8311" s="15" t="s">
        <v>2357</v>
      </c>
      <c r="N8311" s="15" t="s">
        <v>64</v>
      </c>
      <c r="O8311" s="15" t="s">
        <v>122</v>
      </c>
      <c r="P8311" s="20" t="s">
        <v>556</v>
      </c>
      <c r="Q8311" s="15" t="s">
        <v>181</v>
      </c>
      <c r="R8311" s="4"/>
      <c r="S8311" s="4"/>
    </row>
    <row r="8312" spans="1:19" ht="21" customHeight="1" x14ac:dyDescent="0.25">
      <c r="A8312" s="14">
        <f>DATE(2012,12,31)-1179</f>
        <v>40095</v>
      </c>
      <c r="B8312" s="15" t="s">
        <v>116</v>
      </c>
      <c r="C8312" s="15" t="s">
        <v>43</v>
      </c>
      <c r="D8312" s="16">
        <v>29</v>
      </c>
      <c r="E8312" s="17">
        <v>195.82</v>
      </c>
      <c r="F8312" s="16">
        <v>7.0000000000000007E-2</v>
      </c>
      <c r="G8312" s="15" t="s">
        <v>32</v>
      </c>
      <c r="H8312" s="18">
        <v>-91.7</v>
      </c>
      <c r="I8312" s="19">
        <v>6.48</v>
      </c>
      <c r="J8312" s="19">
        <v>7.07</v>
      </c>
      <c r="K8312" s="19" t="s">
        <v>69</v>
      </c>
      <c r="L8312" s="19" t="s">
        <v>70</v>
      </c>
      <c r="M8312" s="15" t="s">
        <v>2357</v>
      </c>
      <c r="N8312" s="15" t="s">
        <v>36</v>
      </c>
      <c r="O8312" s="15" t="s">
        <v>117</v>
      </c>
      <c r="P8312" s="20" t="s">
        <v>660</v>
      </c>
      <c r="Q8312" s="15" t="s">
        <v>83</v>
      </c>
      <c r="R8312" s="4"/>
      <c r="S8312" s="4"/>
    </row>
    <row r="8313" spans="1:19" ht="21" customHeight="1" x14ac:dyDescent="0.25">
      <c r="A8313" s="14">
        <f>DATE(2012,12,31)-1052</f>
        <v>40222</v>
      </c>
      <c r="B8313" s="15" t="s">
        <v>116</v>
      </c>
      <c r="C8313" s="15" t="s">
        <v>43</v>
      </c>
      <c r="D8313" s="16">
        <v>35</v>
      </c>
      <c r="E8313" s="17">
        <v>225.4</v>
      </c>
      <c r="F8313" s="16">
        <v>0.08</v>
      </c>
      <c r="G8313" s="15" t="s">
        <v>32</v>
      </c>
      <c r="H8313" s="18">
        <v>-165.48</v>
      </c>
      <c r="I8313" s="19">
        <v>6.48</v>
      </c>
      <c r="J8313" s="19">
        <v>8.4</v>
      </c>
      <c r="K8313" s="19" t="s">
        <v>69</v>
      </c>
      <c r="L8313" s="19" t="s">
        <v>75</v>
      </c>
      <c r="M8313" s="15" t="s">
        <v>76</v>
      </c>
      <c r="N8313" s="15" t="s">
        <v>36</v>
      </c>
      <c r="O8313" s="15" t="s">
        <v>117</v>
      </c>
      <c r="P8313" s="20" t="s">
        <v>382</v>
      </c>
      <c r="Q8313" s="15" t="s">
        <v>83</v>
      </c>
      <c r="R8313" s="4"/>
      <c r="S8313" s="4"/>
    </row>
    <row r="8314" spans="1:19" ht="21" customHeight="1" x14ac:dyDescent="0.25">
      <c r="A8314" s="14">
        <f>DATE(2012,12,31)-1052</f>
        <v>40222</v>
      </c>
      <c r="B8314" s="15" t="s">
        <v>1952</v>
      </c>
      <c r="C8314" s="15" t="s">
        <v>43</v>
      </c>
      <c r="D8314" s="16">
        <v>12</v>
      </c>
      <c r="E8314" s="17">
        <v>76.040000000000006</v>
      </c>
      <c r="F8314" s="16">
        <v>0.04</v>
      </c>
      <c r="G8314" s="15" t="s">
        <v>32</v>
      </c>
      <c r="H8314" s="18">
        <v>-47.55</v>
      </c>
      <c r="I8314" s="19">
        <v>5.98</v>
      </c>
      <c r="J8314" s="19">
        <v>7.15</v>
      </c>
      <c r="K8314" s="19" t="s">
        <v>69</v>
      </c>
      <c r="L8314" s="19" t="s">
        <v>70</v>
      </c>
      <c r="M8314" s="15" t="s">
        <v>2357</v>
      </c>
      <c r="N8314" s="15" t="s">
        <v>36</v>
      </c>
      <c r="O8314" s="15" t="s">
        <v>117</v>
      </c>
      <c r="P8314" s="20" t="s">
        <v>977</v>
      </c>
      <c r="Q8314" s="15" t="s">
        <v>83</v>
      </c>
      <c r="R8314" s="4"/>
      <c r="S8314" s="4"/>
    </row>
    <row r="8315" spans="1:19" ht="21" customHeight="1" x14ac:dyDescent="0.25">
      <c r="A8315" s="14">
        <f>DATE(2012,12,31)-956</f>
        <v>40318</v>
      </c>
      <c r="B8315" s="15" t="s">
        <v>1945</v>
      </c>
      <c r="C8315" s="15" t="s">
        <v>85</v>
      </c>
      <c r="D8315" s="16">
        <v>36</v>
      </c>
      <c r="E8315" s="17">
        <v>283.20999999999998</v>
      </c>
      <c r="F8315" s="16">
        <v>0.08</v>
      </c>
      <c r="G8315" s="15" t="s">
        <v>32</v>
      </c>
      <c r="H8315" s="18">
        <v>-196.0635</v>
      </c>
      <c r="I8315" s="19">
        <v>8.0399999999999991</v>
      </c>
      <c r="J8315" s="19">
        <v>8.94</v>
      </c>
      <c r="K8315" s="19" t="s">
        <v>69</v>
      </c>
      <c r="L8315" s="19" t="s">
        <v>70</v>
      </c>
      <c r="M8315" s="15" t="s">
        <v>2357</v>
      </c>
      <c r="N8315" s="15" t="s">
        <v>36</v>
      </c>
      <c r="O8315" s="15" t="s">
        <v>170</v>
      </c>
      <c r="P8315" s="20" t="s">
        <v>891</v>
      </c>
      <c r="Q8315" s="15" t="s">
        <v>83</v>
      </c>
      <c r="R8315" s="4"/>
      <c r="S8315" s="4"/>
    </row>
    <row r="8316" spans="1:19" ht="21" customHeight="1" x14ac:dyDescent="0.25">
      <c r="A8316" s="14">
        <f>DATE(2012,12,31)-956</f>
        <v>40318</v>
      </c>
      <c r="B8316" s="15" t="s">
        <v>1751</v>
      </c>
      <c r="C8316" s="15" t="s">
        <v>85</v>
      </c>
      <c r="D8316" s="16">
        <v>18</v>
      </c>
      <c r="E8316" s="17">
        <v>45.8</v>
      </c>
      <c r="F8316" s="16">
        <v>0.04</v>
      </c>
      <c r="G8316" s="15" t="s">
        <v>32</v>
      </c>
      <c r="H8316" s="18">
        <v>-52.92</v>
      </c>
      <c r="I8316" s="19">
        <v>2.23</v>
      </c>
      <c r="J8316" s="19">
        <v>4.57</v>
      </c>
      <c r="K8316" s="19" t="s">
        <v>69</v>
      </c>
      <c r="L8316" s="19" t="s">
        <v>70</v>
      </c>
      <c r="M8316" s="15" t="s">
        <v>2357</v>
      </c>
      <c r="N8316" s="15" t="s">
        <v>54</v>
      </c>
      <c r="O8316" s="15" t="s">
        <v>55</v>
      </c>
      <c r="P8316" s="20" t="s">
        <v>473</v>
      </c>
      <c r="Q8316" s="15" t="s">
        <v>49</v>
      </c>
      <c r="R8316" s="4"/>
      <c r="S8316" s="4"/>
    </row>
    <row r="8317" spans="1:19" ht="21" customHeight="1" x14ac:dyDescent="0.25">
      <c r="A8317" s="14">
        <f>DATE(2012,12,31)-704</f>
        <v>40570</v>
      </c>
      <c r="B8317" s="15" t="s">
        <v>824</v>
      </c>
      <c r="C8317" s="15" t="s">
        <v>85</v>
      </c>
      <c r="D8317" s="16">
        <v>17</v>
      </c>
      <c r="E8317" s="17">
        <v>312.03500000000003</v>
      </c>
      <c r="F8317" s="16">
        <v>0.05</v>
      </c>
      <c r="G8317" s="15" t="s">
        <v>32</v>
      </c>
      <c r="H8317" s="18">
        <v>-55.935000000000002</v>
      </c>
      <c r="I8317" s="19">
        <v>20.99</v>
      </c>
      <c r="J8317" s="19">
        <v>0.99</v>
      </c>
      <c r="K8317" s="19" t="s">
        <v>69</v>
      </c>
      <c r="L8317" s="19" t="s">
        <v>75</v>
      </c>
      <c r="M8317" s="15" t="s">
        <v>76</v>
      </c>
      <c r="N8317" s="15" t="s">
        <v>64</v>
      </c>
      <c r="O8317" s="15" t="s">
        <v>65</v>
      </c>
      <c r="P8317" s="20" t="s">
        <v>1095</v>
      </c>
      <c r="Q8317" s="15" t="s">
        <v>49</v>
      </c>
      <c r="R8317" s="4"/>
      <c r="S8317" s="4"/>
    </row>
    <row r="8318" spans="1:19" ht="21" customHeight="1" x14ac:dyDescent="0.25">
      <c r="A8318" s="14">
        <f>DATE(2012,12,31)-196</f>
        <v>41078</v>
      </c>
      <c r="B8318" s="15" t="s">
        <v>824</v>
      </c>
      <c r="C8318" s="15" t="s">
        <v>85</v>
      </c>
      <c r="D8318" s="16">
        <v>15</v>
      </c>
      <c r="E8318" s="17">
        <v>17.77</v>
      </c>
      <c r="F8318" s="16">
        <v>0.05</v>
      </c>
      <c r="G8318" s="15" t="s">
        <v>32</v>
      </c>
      <c r="H8318" s="18">
        <v>-37.67</v>
      </c>
      <c r="I8318" s="19">
        <v>0.99</v>
      </c>
      <c r="J8318" s="19">
        <v>2.96</v>
      </c>
      <c r="K8318" s="19" t="s">
        <v>69</v>
      </c>
      <c r="L8318" s="19" t="s">
        <v>75</v>
      </c>
      <c r="M8318" s="15" t="s">
        <v>76</v>
      </c>
      <c r="N8318" s="15" t="s">
        <v>64</v>
      </c>
      <c r="O8318" s="15" t="s">
        <v>72</v>
      </c>
      <c r="P8318" s="20" t="s">
        <v>902</v>
      </c>
      <c r="Q8318" s="15" t="s">
        <v>49</v>
      </c>
      <c r="R8318" s="4"/>
      <c r="S8318" s="4"/>
    </row>
    <row r="8319" spans="1:19" ht="21" customHeight="1" x14ac:dyDescent="0.25">
      <c r="A8319" s="14">
        <f>DATE(2012,12,31)-1299</f>
        <v>39975</v>
      </c>
      <c r="B8319" s="15" t="s">
        <v>578</v>
      </c>
      <c r="C8319" s="15" t="s">
        <v>85</v>
      </c>
      <c r="D8319" s="16">
        <v>23</v>
      </c>
      <c r="E8319" s="17">
        <v>224.34</v>
      </c>
      <c r="F8319" s="16">
        <v>0.02</v>
      </c>
      <c r="G8319" s="15" t="s">
        <v>101</v>
      </c>
      <c r="H8319" s="18">
        <v>-11.948500000000001</v>
      </c>
      <c r="I8319" s="19">
        <v>8.6</v>
      </c>
      <c r="J8319" s="19">
        <v>6.19</v>
      </c>
      <c r="K8319" s="19" t="s">
        <v>69</v>
      </c>
      <c r="L8319" s="19" t="s">
        <v>70</v>
      </c>
      <c r="M8319" s="15" t="s">
        <v>2357</v>
      </c>
      <c r="N8319" s="15" t="s">
        <v>36</v>
      </c>
      <c r="O8319" s="15" t="s">
        <v>170</v>
      </c>
      <c r="P8319" s="20" t="s">
        <v>2226</v>
      </c>
      <c r="Q8319" s="15" t="s">
        <v>83</v>
      </c>
      <c r="R8319" s="4"/>
      <c r="S8319" s="4"/>
    </row>
    <row r="8320" spans="1:19" ht="21" customHeight="1" x14ac:dyDescent="0.25">
      <c r="A8320" s="14">
        <f>DATE(2012,12,31)-79</f>
        <v>41195</v>
      </c>
      <c r="B8320" s="15" t="s">
        <v>578</v>
      </c>
      <c r="C8320" s="15" t="s">
        <v>43</v>
      </c>
      <c r="D8320" s="16">
        <v>37</v>
      </c>
      <c r="E8320" s="17">
        <v>191.36</v>
      </c>
      <c r="F8320" s="16">
        <v>0.05</v>
      </c>
      <c r="G8320" s="15" t="s">
        <v>32</v>
      </c>
      <c r="H8320" s="18">
        <v>-82.086999999999989</v>
      </c>
      <c r="I8320" s="19">
        <v>4.91</v>
      </c>
      <c r="J8320" s="19">
        <v>4.97</v>
      </c>
      <c r="K8320" s="19" t="s">
        <v>69</v>
      </c>
      <c r="L8320" s="19" t="s">
        <v>70</v>
      </c>
      <c r="M8320" s="15" t="s">
        <v>2357</v>
      </c>
      <c r="N8320" s="15" t="s">
        <v>36</v>
      </c>
      <c r="O8320" s="15" t="s">
        <v>170</v>
      </c>
      <c r="P8320" s="20" t="s">
        <v>1279</v>
      </c>
      <c r="Q8320" s="15" t="s">
        <v>83</v>
      </c>
      <c r="R8320" s="4"/>
      <c r="S8320" s="4"/>
    </row>
    <row r="8321" spans="1:19" ht="21" customHeight="1" x14ac:dyDescent="0.25">
      <c r="A8321" s="14">
        <f>DATE(2012,12,31)-733</f>
        <v>40541</v>
      </c>
      <c r="B8321" s="15" t="s">
        <v>1664</v>
      </c>
      <c r="C8321" s="15" t="s">
        <v>85</v>
      </c>
      <c r="D8321" s="16">
        <v>50</v>
      </c>
      <c r="E8321" s="17">
        <v>9059.9</v>
      </c>
      <c r="F8321" s="16">
        <v>7.0000000000000007E-2</v>
      </c>
      <c r="G8321" s="15" t="s">
        <v>58</v>
      </c>
      <c r="H8321" s="18">
        <v>778.01</v>
      </c>
      <c r="I8321" s="19">
        <v>180.98</v>
      </c>
      <c r="J8321" s="19">
        <v>55.24</v>
      </c>
      <c r="K8321" s="19" t="s">
        <v>69</v>
      </c>
      <c r="L8321" s="19" t="s">
        <v>70</v>
      </c>
      <c r="M8321" s="15" t="s">
        <v>2357</v>
      </c>
      <c r="N8321" s="15" t="s">
        <v>36</v>
      </c>
      <c r="O8321" s="15" t="s">
        <v>176</v>
      </c>
      <c r="P8321" s="20" t="s">
        <v>314</v>
      </c>
      <c r="Q8321" s="15" t="s">
        <v>181</v>
      </c>
      <c r="R8321" s="4"/>
      <c r="S8321" s="4"/>
    </row>
    <row r="8322" spans="1:19" ht="21" customHeight="1" x14ac:dyDescent="0.25">
      <c r="A8322" s="14">
        <f>DATE(2012,12,31)-733</f>
        <v>40541</v>
      </c>
      <c r="B8322" s="15" t="s">
        <v>908</v>
      </c>
      <c r="C8322" s="15" t="s">
        <v>85</v>
      </c>
      <c r="D8322" s="16">
        <v>41</v>
      </c>
      <c r="E8322" s="17">
        <v>368.17</v>
      </c>
      <c r="F8322" s="16">
        <v>0</v>
      </c>
      <c r="G8322" s="15" t="s">
        <v>101</v>
      </c>
      <c r="H8322" s="18">
        <v>-15.12</v>
      </c>
      <c r="I8322" s="19">
        <v>8.32</v>
      </c>
      <c r="J8322" s="19">
        <v>2.38</v>
      </c>
      <c r="K8322" s="19" t="s">
        <v>69</v>
      </c>
      <c r="L8322" s="19" t="s">
        <v>70</v>
      </c>
      <c r="M8322" s="15" t="s">
        <v>2357</v>
      </c>
      <c r="N8322" s="15" t="s">
        <v>64</v>
      </c>
      <c r="O8322" s="15" t="s">
        <v>72</v>
      </c>
      <c r="P8322" s="20" t="s">
        <v>1852</v>
      </c>
      <c r="Q8322" s="15" t="s">
        <v>49</v>
      </c>
      <c r="R8322" s="4"/>
      <c r="S8322" s="4"/>
    </row>
    <row r="8323" spans="1:19" ht="21" customHeight="1" x14ac:dyDescent="0.25">
      <c r="A8323" s="14">
        <f>DATE(2012,12,31)-733</f>
        <v>40541</v>
      </c>
      <c r="B8323" s="15" t="s">
        <v>2176</v>
      </c>
      <c r="C8323" s="15" t="s">
        <v>85</v>
      </c>
      <c r="D8323" s="16">
        <v>3</v>
      </c>
      <c r="E8323" s="17">
        <v>14.46</v>
      </c>
      <c r="F8323" s="16">
        <v>0.06</v>
      </c>
      <c r="G8323" s="15" t="s">
        <v>32</v>
      </c>
      <c r="H8323" s="18">
        <v>-5.26</v>
      </c>
      <c r="I8323" s="19">
        <v>4.2</v>
      </c>
      <c r="J8323" s="19">
        <v>2.2599999999999998</v>
      </c>
      <c r="K8323" s="19" t="s">
        <v>69</v>
      </c>
      <c r="L8323" s="19" t="s">
        <v>75</v>
      </c>
      <c r="M8323" s="15" t="s">
        <v>76</v>
      </c>
      <c r="N8323" s="15" t="s">
        <v>36</v>
      </c>
      <c r="O8323" s="15" t="s">
        <v>117</v>
      </c>
      <c r="P8323" s="20" t="s">
        <v>297</v>
      </c>
      <c r="Q8323" s="15" t="s">
        <v>79</v>
      </c>
      <c r="R8323" s="4"/>
      <c r="S8323" s="4"/>
    </row>
    <row r="8324" spans="1:19" ht="21" customHeight="1" x14ac:dyDescent="0.25">
      <c r="A8324" s="14">
        <f>DATE(2012,12,31)-733</f>
        <v>40541</v>
      </c>
      <c r="B8324" s="15" t="s">
        <v>2176</v>
      </c>
      <c r="C8324" s="15" t="s">
        <v>85</v>
      </c>
      <c r="D8324" s="16">
        <v>25</v>
      </c>
      <c r="E8324" s="17">
        <v>168.39</v>
      </c>
      <c r="F8324" s="16">
        <v>0.03</v>
      </c>
      <c r="G8324" s="15" t="s">
        <v>32</v>
      </c>
      <c r="H8324" s="18">
        <v>-144.88999999999999</v>
      </c>
      <c r="I8324" s="19">
        <v>6.48</v>
      </c>
      <c r="J8324" s="19">
        <v>9.68</v>
      </c>
      <c r="K8324" s="19" t="s">
        <v>69</v>
      </c>
      <c r="L8324" s="19" t="s">
        <v>70</v>
      </c>
      <c r="M8324" s="15" t="s">
        <v>2383</v>
      </c>
      <c r="N8324" s="15" t="s">
        <v>36</v>
      </c>
      <c r="O8324" s="15" t="s">
        <v>117</v>
      </c>
      <c r="P8324" s="20" t="s">
        <v>1646</v>
      </c>
      <c r="Q8324" s="15" t="s">
        <v>83</v>
      </c>
      <c r="R8324" s="4"/>
      <c r="S8324" s="4"/>
    </row>
    <row r="8325" spans="1:19" ht="21" customHeight="1" x14ac:dyDescent="0.25">
      <c r="A8325" s="14">
        <f>DATE(2012,12,31)-21</f>
        <v>41253</v>
      </c>
      <c r="B8325" s="15" t="s">
        <v>2176</v>
      </c>
      <c r="C8325" s="15" t="s">
        <v>85</v>
      </c>
      <c r="D8325" s="16">
        <v>12</v>
      </c>
      <c r="E8325" s="17">
        <v>505.2</v>
      </c>
      <c r="F8325" s="16">
        <v>0.05</v>
      </c>
      <c r="G8325" s="15" t="s">
        <v>32</v>
      </c>
      <c r="H8325" s="18">
        <v>78.98</v>
      </c>
      <c r="I8325" s="19">
        <v>40.98</v>
      </c>
      <c r="J8325" s="19">
        <v>5.33</v>
      </c>
      <c r="K8325" s="19" t="s">
        <v>69</v>
      </c>
      <c r="L8325" s="19" t="s">
        <v>215</v>
      </c>
      <c r="M8325" s="15" t="s">
        <v>2355</v>
      </c>
      <c r="N8325" s="15" t="s">
        <v>36</v>
      </c>
      <c r="O8325" s="15" t="s">
        <v>176</v>
      </c>
      <c r="P8325" s="20" t="s">
        <v>1073</v>
      </c>
      <c r="Q8325" s="15" t="s">
        <v>83</v>
      </c>
      <c r="R8325" s="4"/>
      <c r="S8325" s="4"/>
    </row>
    <row r="8326" spans="1:19" ht="21" customHeight="1" x14ac:dyDescent="0.25">
      <c r="A8326" s="14">
        <f>DATE(2012,12,31)-21</f>
        <v>41253</v>
      </c>
      <c r="B8326" s="15" t="s">
        <v>2176</v>
      </c>
      <c r="C8326" s="15" t="s">
        <v>85</v>
      </c>
      <c r="D8326" s="16">
        <v>46</v>
      </c>
      <c r="E8326" s="17">
        <v>562.91</v>
      </c>
      <c r="F8326" s="16">
        <v>0.1</v>
      </c>
      <c r="G8326" s="15" t="s">
        <v>32</v>
      </c>
      <c r="H8326" s="18">
        <v>-560.29</v>
      </c>
      <c r="I8326" s="19">
        <v>12.99</v>
      </c>
      <c r="J8326" s="19">
        <v>14.37</v>
      </c>
      <c r="K8326" s="19" t="s">
        <v>69</v>
      </c>
      <c r="L8326" s="19" t="s">
        <v>215</v>
      </c>
      <c r="M8326" s="15" t="s">
        <v>2355</v>
      </c>
      <c r="N8326" s="15" t="s">
        <v>54</v>
      </c>
      <c r="O8326" s="15" t="s">
        <v>55</v>
      </c>
      <c r="P8326" s="20" t="s">
        <v>1649</v>
      </c>
      <c r="Q8326" s="15" t="s">
        <v>39</v>
      </c>
      <c r="R8326" s="4"/>
      <c r="S8326" s="4"/>
    </row>
    <row r="8327" spans="1:19" ht="21" customHeight="1" x14ac:dyDescent="0.25">
      <c r="A8327" s="14">
        <f>DATE(2012,12,31)-664</f>
        <v>40610</v>
      </c>
      <c r="B8327" s="15" t="s">
        <v>1178</v>
      </c>
      <c r="C8327" s="15" t="s">
        <v>31</v>
      </c>
      <c r="D8327" s="16">
        <v>41</v>
      </c>
      <c r="E8327" s="17">
        <v>243.37</v>
      </c>
      <c r="F8327" s="16">
        <v>0.01</v>
      </c>
      <c r="G8327" s="15" t="s">
        <v>32</v>
      </c>
      <c r="H8327" s="18">
        <v>-106.42100000000001</v>
      </c>
      <c r="I8327" s="19">
        <v>5.8</v>
      </c>
      <c r="J8327" s="19">
        <v>5.59</v>
      </c>
      <c r="K8327" s="19" t="s">
        <v>69</v>
      </c>
      <c r="L8327" s="19" t="s">
        <v>215</v>
      </c>
      <c r="M8327" s="15" t="s">
        <v>2355</v>
      </c>
      <c r="N8327" s="15" t="s">
        <v>36</v>
      </c>
      <c r="O8327" s="15" t="s">
        <v>170</v>
      </c>
      <c r="P8327" s="20" t="s">
        <v>200</v>
      </c>
      <c r="Q8327" s="15" t="s">
        <v>83</v>
      </c>
      <c r="R8327" s="4"/>
      <c r="S8327" s="4"/>
    </row>
    <row r="8328" spans="1:19" ht="21" customHeight="1" x14ac:dyDescent="0.25">
      <c r="A8328" s="14">
        <f>DATE(2012,12,31)-930</f>
        <v>40344</v>
      </c>
      <c r="B8328" s="15" t="s">
        <v>1709</v>
      </c>
      <c r="C8328" s="15" t="s">
        <v>85</v>
      </c>
      <c r="D8328" s="16">
        <v>25</v>
      </c>
      <c r="E8328" s="17">
        <v>67.58</v>
      </c>
      <c r="F8328" s="16">
        <v>0.09</v>
      </c>
      <c r="G8328" s="15" t="s">
        <v>101</v>
      </c>
      <c r="H8328" s="18">
        <v>16.8</v>
      </c>
      <c r="I8328" s="19">
        <v>2.62</v>
      </c>
      <c r="J8328" s="19">
        <v>0.8</v>
      </c>
      <c r="K8328" s="19" t="s">
        <v>69</v>
      </c>
      <c r="L8328" s="19" t="s">
        <v>215</v>
      </c>
      <c r="M8328" s="15" t="s">
        <v>2355</v>
      </c>
      <c r="N8328" s="15" t="s">
        <v>36</v>
      </c>
      <c r="O8328" s="15" t="s">
        <v>105</v>
      </c>
      <c r="P8328" s="20" t="s">
        <v>628</v>
      </c>
      <c r="Q8328" s="15" t="s">
        <v>79</v>
      </c>
      <c r="R8328" s="4"/>
      <c r="S8328" s="4"/>
    </row>
    <row r="8329" spans="1:19" ht="21" customHeight="1" x14ac:dyDescent="0.25">
      <c r="A8329" s="14">
        <f>DATE(2012,12,31)-749</f>
        <v>40525</v>
      </c>
      <c r="B8329" s="15" t="s">
        <v>1078</v>
      </c>
      <c r="C8329" s="15" t="s">
        <v>85</v>
      </c>
      <c r="D8329" s="16">
        <v>26</v>
      </c>
      <c r="E8329" s="17">
        <v>9225.65</v>
      </c>
      <c r="F8329" s="16">
        <v>0.03</v>
      </c>
      <c r="G8329" s="15" t="s">
        <v>58</v>
      </c>
      <c r="H8329" s="18">
        <v>1656.4621499999998</v>
      </c>
      <c r="I8329" s="19">
        <v>349.45</v>
      </c>
      <c r="J8329" s="19">
        <v>60</v>
      </c>
      <c r="K8329" s="19" t="s">
        <v>69</v>
      </c>
      <c r="L8329" s="19" t="s">
        <v>75</v>
      </c>
      <c r="M8329" s="15" t="s">
        <v>76</v>
      </c>
      <c r="N8329" s="15" t="s">
        <v>54</v>
      </c>
      <c r="O8329" s="15" t="s">
        <v>61</v>
      </c>
      <c r="P8329" s="20" t="s">
        <v>1425</v>
      </c>
      <c r="Q8329" s="15" t="s">
        <v>181</v>
      </c>
      <c r="R8329" s="4"/>
      <c r="S8329" s="4"/>
    </row>
    <row r="8330" spans="1:19" ht="21" customHeight="1" x14ac:dyDescent="0.25">
      <c r="A8330" s="14">
        <f>DATE(2012,12,31)-1352</f>
        <v>39922</v>
      </c>
      <c r="B8330" s="15" t="s">
        <v>1078</v>
      </c>
      <c r="C8330" s="15" t="s">
        <v>43</v>
      </c>
      <c r="D8330" s="16">
        <v>36</v>
      </c>
      <c r="E8330" s="17">
        <v>18092.66</v>
      </c>
      <c r="F8330" s="16">
        <v>0.09</v>
      </c>
      <c r="G8330" s="15" t="s">
        <v>32</v>
      </c>
      <c r="H8330" s="18">
        <v>7917.7584999999999</v>
      </c>
      <c r="I8330" s="19">
        <v>525.98</v>
      </c>
      <c r="J8330" s="19">
        <v>19.989999999999998</v>
      </c>
      <c r="K8330" s="19" t="s">
        <v>69</v>
      </c>
      <c r="L8330" s="19" t="s">
        <v>215</v>
      </c>
      <c r="M8330" s="15" t="s">
        <v>2355</v>
      </c>
      <c r="N8330" s="15" t="s">
        <v>36</v>
      </c>
      <c r="O8330" s="15" t="s">
        <v>170</v>
      </c>
      <c r="P8330" s="20" t="s">
        <v>692</v>
      </c>
      <c r="Q8330" s="15" t="s">
        <v>83</v>
      </c>
      <c r="R8330" s="4"/>
      <c r="S8330" s="4"/>
    </row>
    <row r="8331" spans="1:19" ht="21" customHeight="1" x14ac:dyDescent="0.25">
      <c r="A8331" s="14">
        <f>DATE(2012,12,31)-906</f>
        <v>40368</v>
      </c>
      <c r="B8331" s="15" t="s">
        <v>1700</v>
      </c>
      <c r="C8331" s="15" t="s">
        <v>31</v>
      </c>
      <c r="D8331" s="16">
        <v>34</v>
      </c>
      <c r="E8331" s="17">
        <v>223.59</v>
      </c>
      <c r="F8331" s="16">
        <v>0.04</v>
      </c>
      <c r="G8331" s="15" t="s">
        <v>32</v>
      </c>
      <c r="H8331" s="18">
        <v>-66.05</v>
      </c>
      <c r="I8331" s="19">
        <v>6.48</v>
      </c>
      <c r="J8331" s="19">
        <v>5.74</v>
      </c>
      <c r="K8331" s="19" t="s">
        <v>69</v>
      </c>
      <c r="L8331" s="19" t="s">
        <v>215</v>
      </c>
      <c r="M8331" s="15" t="s">
        <v>2355</v>
      </c>
      <c r="N8331" s="15" t="s">
        <v>36</v>
      </c>
      <c r="O8331" s="15" t="s">
        <v>117</v>
      </c>
      <c r="P8331" s="20" t="s">
        <v>1503</v>
      </c>
      <c r="Q8331" s="15" t="s">
        <v>83</v>
      </c>
      <c r="R8331" s="4"/>
      <c r="S8331" s="4"/>
    </row>
    <row r="8332" spans="1:19" ht="21" customHeight="1" x14ac:dyDescent="0.25">
      <c r="A8332" s="14">
        <f>DATE(2012,12,31)-1393</f>
        <v>39881</v>
      </c>
      <c r="B8332" s="15" t="s">
        <v>2252</v>
      </c>
      <c r="C8332" s="15" t="s">
        <v>31</v>
      </c>
      <c r="D8332" s="16">
        <v>35</v>
      </c>
      <c r="E8332" s="17">
        <v>285.01</v>
      </c>
      <c r="F8332" s="16">
        <v>0.01</v>
      </c>
      <c r="G8332" s="15" t="s">
        <v>101</v>
      </c>
      <c r="H8332" s="18">
        <v>124.82</v>
      </c>
      <c r="I8332" s="19">
        <v>7.64</v>
      </c>
      <c r="J8332" s="19">
        <v>1.39</v>
      </c>
      <c r="K8332" s="19" t="s">
        <v>111</v>
      </c>
      <c r="L8332" s="19" t="s">
        <v>2301</v>
      </c>
      <c r="M8332" s="15" t="s">
        <v>2364</v>
      </c>
      <c r="N8332" s="15" t="s">
        <v>36</v>
      </c>
      <c r="O8332" s="15" t="s">
        <v>189</v>
      </c>
      <c r="P8332" s="20" t="s">
        <v>1165</v>
      </c>
      <c r="Q8332" s="15" t="s">
        <v>83</v>
      </c>
      <c r="R8332" s="4"/>
      <c r="S8332" s="4"/>
    </row>
    <row r="8333" spans="1:19" ht="21" customHeight="1" x14ac:dyDescent="0.25">
      <c r="A8333" s="14">
        <f>DATE(2012,12,31)-1393</f>
        <v>39881</v>
      </c>
      <c r="B8333" s="15" t="s">
        <v>2252</v>
      </c>
      <c r="C8333" s="15" t="s">
        <v>31</v>
      </c>
      <c r="D8333" s="16">
        <v>33</v>
      </c>
      <c r="E8333" s="17">
        <v>12215.43</v>
      </c>
      <c r="F8333" s="16">
        <v>7.0000000000000007E-2</v>
      </c>
      <c r="G8333" s="15" t="s">
        <v>58</v>
      </c>
      <c r="H8333" s="18">
        <v>5255.45</v>
      </c>
      <c r="I8333" s="19">
        <v>400.97</v>
      </c>
      <c r="J8333" s="19">
        <v>48.26</v>
      </c>
      <c r="K8333" s="19" t="s">
        <v>111</v>
      </c>
      <c r="L8333" s="19" t="s">
        <v>407</v>
      </c>
      <c r="M8333" s="15" t="s">
        <v>407</v>
      </c>
      <c r="N8333" s="15" t="s">
        <v>64</v>
      </c>
      <c r="O8333" s="15" t="s">
        <v>122</v>
      </c>
      <c r="P8333" s="20" t="s">
        <v>1464</v>
      </c>
      <c r="Q8333" s="15" t="s">
        <v>63</v>
      </c>
      <c r="R8333" s="4"/>
      <c r="S8333" s="4"/>
    </row>
    <row r="8334" spans="1:19" ht="21" customHeight="1" x14ac:dyDescent="0.25">
      <c r="A8334" s="14">
        <f>DATE(2012,12,31)-750</f>
        <v>40524</v>
      </c>
      <c r="B8334" s="15" t="s">
        <v>1147</v>
      </c>
      <c r="C8334" s="15" t="s">
        <v>51</v>
      </c>
      <c r="D8334" s="16">
        <v>19</v>
      </c>
      <c r="E8334" s="17">
        <v>917.31</v>
      </c>
      <c r="F8334" s="16">
        <v>0.05</v>
      </c>
      <c r="G8334" s="15" t="s">
        <v>101</v>
      </c>
      <c r="H8334" s="18">
        <v>-139.86000000000001</v>
      </c>
      <c r="I8334" s="19">
        <v>49.99</v>
      </c>
      <c r="J8334" s="19">
        <v>19.989999999999998</v>
      </c>
      <c r="K8334" s="19" t="s">
        <v>111</v>
      </c>
      <c r="L8334" s="19" t="s">
        <v>2301</v>
      </c>
      <c r="M8334" s="15" t="s">
        <v>2384</v>
      </c>
      <c r="N8334" s="15" t="s">
        <v>64</v>
      </c>
      <c r="O8334" s="15" t="s">
        <v>72</v>
      </c>
      <c r="P8334" s="20" t="s">
        <v>587</v>
      </c>
      <c r="Q8334" s="15" t="s">
        <v>83</v>
      </c>
      <c r="R8334" s="4"/>
      <c r="S8334" s="4"/>
    </row>
    <row r="8335" spans="1:19" ht="21" customHeight="1" x14ac:dyDescent="0.25">
      <c r="A8335" s="14">
        <f>DATE(2012,12,31)-1324</f>
        <v>39950</v>
      </c>
      <c r="B8335" s="15" t="s">
        <v>2176</v>
      </c>
      <c r="C8335" s="15" t="s">
        <v>31</v>
      </c>
      <c r="D8335" s="16">
        <v>30</v>
      </c>
      <c r="E8335" s="17">
        <v>3575.23</v>
      </c>
      <c r="F8335" s="16">
        <v>0.04</v>
      </c>
      <c r="G8335" s="15" t="s">
        <v>58</v>
      </c>
      <c r="H8335" s="18">
        <v>87.879999999999953</v>
      </c>
      <c r="I8335" s="19">
        <v>113.98</v>
      </c>
      <c r="J8335" s="19">
        <v>30</v>
      </c>
      <c r="K8335" s="19" t="s">
        <v>111</v>
      </c>
      <c r="L8335" s="19" t="s">
        <v>442</v>
      </c>
      <c r="M8335" s="15" t="s">
        <v>2376</v>
      </c>
      <c r="N8335" s="15" t="s">
        <v>54</v>
      </c>
      <c r="O8335" s="15" t="s">
        <v>252</v>
      </c>
      <c r="P8335" s="20" t="s">
        <v>277</v>
      </c>
      <c r="Q8335" s="15" t="s">
        <v>181</v>
      </c>
      <c r="R8335" s="4"/>
      <c r="S8335" s="4"/>
    </row>
    <row r="8336" spans="1:19" ht="21" customHeight="1" x14ac:dyDescent="0.25">
      <c r="A8336" s="14">
        <f>DATE(2012,12,31)-1045</f>
        <v>40229</v>
      </c>
      <c r="B8336" s="15" t="s">
        <v>1438</v>
      </c>
      <c r="C8336" s="15" t="s">
        <v>85</v>
      </c>
      <c r="D8336" s="16">
        <v>21</v>
      </c>
      <c r="E8336" s="17">
        <v>6776.92</v>
      </c>
      <c r="F8336" s="16">
        <v>0</v>
      </c>
      <c r="G8336" s="15" t="s">
        <v>58</v>
      </c>
      <c r="H8336" s="18">
        <v>1395.02</v>
      </c>
      <c r="I8336" s="19">
        <v>306.14</v>
      </c>
      <c r="J8336" s="19">
        <v>26.53</v>
      </c>
      <c r="K8336" s="19" t="s">
        <v>44</v>
      </c>
      <c r="L8336" s="19" t="s">
        <v>45</v>
      </c>
      <c r="M8336" s="15" t="s">
        <v>2385</v>
      </c>
      <c r="N8336" s="15" t="s">
        <v>64</v>
      </c>
      <c r="O8336" s="15" t="s">
        <v>122</v>
      </c>
      <c r="P8336" s="20" t="s">
        <v>440</v>
      </c>
      <c r="Q8336" s="15" t="s">
        <v>181</v>
      </c>
      <c r="R8336" s="4"/>
      <c r="S8336" s="4"/>
    </row>
    <row r="8337" spans="1:19" ht="21" customHeight="1" x14ac:dyDescent="0.25">
      <c r="A8337" s="14">
        <f>DATE(2012,12,31)-19</f>
        <v>41255</v>
      </c>
      <c r="B8337" s="15" t="s">
        <v>1438</v>
      </c>
      <c r="C8337" s="15" t="s">
        <v>43</v>
      </c>
      <c r="D8337" s="16">
        <v>18</v>
      </c>
      <c r="E8337" s="17">
        <v>1837.94</v>
      </c>
      <c r="F8337" s="16">
        <v>0.02</v>
      </c>
      <c r="G8337" s="15" t="s">
        <v>32</v>
      </c>
      <c r="H8337" s="18">
        <v>1249.43</v>
      </c>
      <c r="I8337" s="19">
        <v>99.23</v>
      </c>
      <c r="J8337" s="19">
        <v>8.99</v>
      </c>
      <c r="K8337" s="19" t="s">
        <v>44</v>
      </c>
      <c r="L8337" s="19" t="s">
        <v>120</v>
      </c>
      <c r="M8337" s="15" t="s">
        <v>2262</v>
      </c>
      <c r="N8337" s="15" t="s">
        <v>54</v>
      </c>
      <c r="O8337" s="15" t="s">
        <v>55</v>
      </c>
      <c r="P8337" s="20" t="s">
        <v>123</v>
      </c>
      <c r="Q8337" s="15" t="s">
        <v>49</v>
      </c>
      <c r="R8337" s="4"/>
      <c r="S8337" s="4"/>
    </row>
    <row r="8338" spans="1:19" ht="21" customHeight="1" x14ac:dyDescent="0.25">
      <c r="A8338" s="14">
        <f>DATE(2012,12,31)-19</f>
        <v>41255</v>
      </c>
      <c r="B8338" s="15" t="s">
        <v>736</v>
      </c>
      <c r="C8338" s="15" t="s">
        <v>43</v>
      </c>
      <c r="D8338" s="16">
        <v>24</v>
      </c>
      <c r="E8338" s="17">
        <v>4408.2700000000004</v>
      </c>
      <c r="F8338" s="16">
        <v>0.04</v>
      </c>
      <c r="G8338" s="15" t="s">
        <v>58</v>
      </c>
      <c r="H8338" s="18">
        <v>329.28</v>
      </c>
      <c r="I8338" s="19">
        <v>180.98</v>
      </c>
      <c r="J8338" s="19">
        <v>30</v>
      </c>
      <c r="K8338" s="19" t="s">
        <v>44</v>
      </c>
      <c r="L8338" s="19" t="s">
        <v>89</v>
      </c>
      <c r="M8338" s="15" t="s">
        <v>2365</v>
      </c>
      <c r="N8338" s="15" t="s">
        <v>54</v>
      </c>
      <c r="O8338" s="15" t="s">
        <v>252</v>
      </c>
      <c r="P8338" s="20" t="s">
        <v>324</v>
      </c>
      <c r="Q8338" s="15" t="s">
        <v>181</v>
      </c>
      <c r="R8338" s="4"/>
      <c r="S8338" s="4"/>
    </row>
    <row r="8339" spans="1:19" ht="21" customHeight="1" x14ac:dyDescent="0.25">
      <c r="A8339" s="14">
        <f>DATE(2012,12,31)-19</f>
        <v>41255</v>
      </c>
      <c r="B8339" s="15" t="s">
        <v>1537</v>
      </c>
      <c r="C8339" s="15" t="s">
        <v>43</v>
      </c>
      <c r="D8339" s="16">
        <v>28</v>
      </c>
      <c r="E8339" s="17">
        <v>24391.16</v>
      </c>
      <c r="F8339" s="16">
        <v>0.04</v>
      </c>
      <c r="G8339" s="15" t="s">
        <v>58</v>
      </c>
      <c r="H8339" s="18">
        <v>-9611.91</v>
      </c>
      <c r="I8339" s="19">
        <v>880.98</v>
      </c>
      <c r="J8339" s="19">
        <v>44.55</v>
      </c>
      <c r="K8339" s="19" t="s">
        <v>44</v>
      </c>
      <c r="L8339" s="19" t="s">
        <v>120</v>
      </c>
      <c r="M8339" s="15" t="s">
        <v>2262</v>
      </c>
      <c r="N8339" s="15" t="s">
        <v>54</v>
      </c>
      <c r="O8339" s="15" t="s">
        <v>134</v>
      </c>
      <c r="P8339" s="20" t="s">
        <v>268</v>
      </c>
      <c r="Q8339" s="15" t="s">
        <v>63</v>
      </c>
      <c r="R8339" s="4"/>
      <c r="S8339" s="4"/>
    </row>
    <row r="8340" spans="1:19" ht="21" customHeight="1" x14ac:dyDescent="0.25">
      <c r="A8340" s="14">
        <f>DATE(2012,12,31)-19</f>
        <v>41255</v>
      </c>
      <c r="B8340" s="15" t="s">
        <v>1828</v>
      </c>
      <c r="C8340" s="15" t="s">
        <v>43</v>
      </c>
      <c r="D8340" s="16">
        <v>43</v>
      </c>
      <c r="E8340" s="17">
        <v>262.13</v>
      </c>
      <c r="F8340" s="16">
        <v>0</v>
      </c>
      <c r="G8340" s="15" t="s">
        <v>101</v>
      </c>
      <c r="H8340" s="18">
        <v>-60.91</v>
      </c>
      <c r="I8340" s="19">
        <v>5.58</v>
      </c>
      <c r="J8340" s="19">
        <v>5.3</v>
      </c>
      <c r="K8340" s="19" t="s">
        <v>44</v>
      </c>
      <c r="L8340" s="19" t="s">
        <v>89</v>
      </c>
      <c r="M8340" s="15" t="s">
        <v>2365</v>
      </c>
      <c r="N8340" s="15" t="s">
        <v>36</v>
      </c>
      <c r="O8340" s="15" t="s">
        <v>189</v>
      </c>
      <c r="P8340" s="20" t="s">
        <v>727</v>
      </c>
      <c r="Q8340" s="15" t="s">
        <v>83</v>
      </c>
      <c r="R8340" s="4"/>
      <c r="S8340" s="4"/>
    </row>
    <row r="8341" spans="1:19" ht="21" customHeight="1" x14ac:dyDescent="0.25">
      <c r="A8341" s="14">
        <f>DATE(2012,12,31)-19</f>
        <v>41255</v>
      </c>
      <c r="B8341" s="15" t="s">
        <v>1668</v>
      </c>
      <c r="C8341" s="15" t="s">
        <v>43</v>
      </c>
      <c r="D8341" s="16">
        <v>24</v>
      </c>
      <c r="E8341" s="17">
        <v>173.12</v>
      </c>
      <c r="F8341" s="16">
        <v>0.1</v>
      </c>
      <c r="G8341" s="15" t="s">
        <v>32</v>
      </c>
      <c r="H8341" s="18">
        <v>-166.41</v>
      </c>
      <c r="I8341" s="19">
        <v>7.28</v>
      </c>
      <c r="J8341" s="19">
        <v>11.15</v>
      </c>
      <c r="K8341" s="19" t="s">
        <v>44</v>
      </c>
      <c r="L8341" s="19" t="s">
        <v>89</v>
      </c>
      <c r="M8341" s="15" t="s">
        <v>2365</v>
      </c>
      <c r="N8341" s="15" t="s">
        <v>36</v>
      </c>
      <c r="O8341" s="15" t="s">
        <v>117</v>
      </c>
      <c r="P8341" s="20" t="s">
        <v>1615</v>
      </c>
      <c r="Q8341" s="15" t="s">
        <v>83</v>
      </c>
      <c r="R8341" s="4"/>
      <c r="S8341" s="4"/>
    </row>
    <row r="8342" spans="1:19" ht="21" customHeight="1" x14ac:dyDescent="0.25">
      <c r="A8342" s="14">
        <f>DATE(2012,12,31)-865</f>
        <v>40409</v>
      </c>
      <c r="B8342" s="15" t="s">
        <v>1668</v>
      </c>
      <c r="C8342" s="15" t="s">
        <v>31</v>
      </c>
      <c r="D8342" s="16">
        <v>36</v>
      </c>
      <c r="E8342" s="17">
        <v>77.430000000000007</v>
      </c>
      <c r="F8342" s="16">
        <v>0.01</v>
      </c>
      <c r="G8342" s="15" t="s">
        <v>32</v>
      </c>
      <c r="H8342" s="18">
        <v>-60.07</v>
      </c>
      <c r="I8342" s="19">
        <v>2.08</v>
      </c>
      <c r="J8342" s="19">
        <v>2.56</v>
      </c>
      <c r="K8342" s="19" t="s">
        <v>44</v>
      </c>
      <c r="L8342" s="19" t="s">
        <v>120</v>
      </c>
      <c r="M8342" s="15" t="s">
        <v>2262</v>
      </c>
      <c r="N8342" s="15" t="s">
        <v>36</v>
      </c>
      <c r="O8342" s="15" t="s">
        <v>47</v>
      </c>
      <c r="P8342" s="20" t="s">
        <v>2386</v>
      </c>
      <c r="Q8342" s="15" t="s">
        <v>49</v>
      </c>
      <c r="R8342" s="4"/>
      <c r="S8342" s="4"/>
    </row>
    <row r="8343" spans="1:19" ht="21" customHeight="1" x14ac:dyDescent="0.25">
      <c r="A8343" s="14">
        <f>DATE(2012,12,31)-664</f>
        <v>40610</v>
      </c>
      <c r="B8343" s="15" t="s">
        <v>369</v>
      </c>
      <c r="C8343" s="15" t="s">
        <v>43</v>
      </c>
      <c r="D8343" s="16">
        <v>12</v>
      </c>
      <c r="E8343" s="17">
        <v>138.66999999999999</v>
      </c>
      <c r="F8343" s="16">
        <v>0.08</v>
      </c>
      <c r="G8343" s="15" t="s">
        <v>32</v>
      </c>
      <c r="H8343" s="18">
        <v>-9.7174999999999994</v>
      </c>
      <c r="I8343" s="19">
        <v>11.7</v>
      </c>
      <c r="J8343" s="19">
        <v>5.63</v>
      </c>
      <c r="K8343" s="19" t="s">
        <v>44</v>
      </c>
      <c r="L8343" s="19" t="s">
        <v>120</v>
      </c>
      <c r="M8343" s="15" t="s">
        <v>2262</v>
      </c>
      <c r="N8343" s="15" t="s">
        <v>36</v>
      </c>
      <c r="O8343" s="15" t="s">
        <v>170</v>
      </c>
      <c r="P8343" s="20" t="s">
        <v>729</v>
      </c>
      <c r="Q8343" s="15" t="s">
        <v>83</v>
      </c>
      <c r="R8343" s="4"/>
      <c r="S8343" s="4"/>
    </row>
    <row r="8344" spans="1:19" ht="21" customHeight="1" x14ac:dyDescent="0.25">
      <c r="A8344" s="14">
        <f>DATE(2012,12,31)-664</f>
        <v>40610</v>
      </c>
      <c r="B8344" s="15" t="s">
        <v>369</v>
      </c>
      <c r="C8344" s="15" t="s">
        <v>43</v>
      </c>
      <c r="D8344" s="16">
        <v>16</v>
      </c>
      <c r="E8344" s="17">
        <v>506.84</v>
      </c>
      <c r="F8344" s="16">
        <v>0.02</v>
      </c>
      <c r="G8344" s="15" t="s">
        <v>32</v>
      </c>
      <c r="H8344" s="18">
        <v>-38.32</v>
      </c>
      <c r="I8344" s="19">
        <v>30.98</v>
      </c>
      <c r="J8344" s="19">
        <v>6.5</v>
      </c>
      <c r="K8344" s="19" t="s">
        <v>44</v>
      </c>
      <c r="L8344" s="19" t="s">
        <v>120</v>
      </c>
      <c r="M8344" s="15" t="s">
        <v>2262</v>
      </c>
      <c r="N8344" s="15" t="s">
        <v>64</v>
      </c>
      <c r="O8344" s="15" t="s">
        <v>72</v>
      </c>
      <c r="P8344" s="20" t="s">
        <v>603</v>
      </c>
      <c r="Q8344" s="15" t="s">
        <v>83</v>
      </c>
      <c r="R8344" s="4"/>
      <c r="S8344" s="4"/>
    </row>
    <row r="8345" spans="1:19" ht="21" customHeight="1" x14ac:dyDescent="0.25">
      <c r="A8345" s="14">
        <f>DATE(2012,12,31)-558</f>
        <v>40716</v>
      </c>
      <c r="B8345" s="15" t="s">
        <v>1593</v>
      </c>
      <c r="C8345" s="15" t="s">
        <v>85</v>
      </c>
      <c r="D8345" s="16">
        <v>46</v>
      </c>
      <c r="E8345" s="17">
        <v>9261.24</v>
      </c>
      <c r="F8345" s="16">
        <v>0</v>
      </c>
      <c r="G8345" s="15" t="s">
        <v>32</v>
      </c>
      <c r="H8345" s="18">
        <v>1646.43</v>
      </c>
      <c r="I8345" s="19">
        <v>193.17</v>
      </c>
      <c r="J8345" s="19">
        <v>19.989999999999998</v>
      </c>
      <c r="K8345" s="19" t="s">
        <v>44</v>
      </c>
      <c r="L8345" s="19" t="s">
        <v>45</v>
      </c>
      <c r="M8345" s="15" t="s">
        <v>2385</v>
      </c>
      <c r="N8345" s="15" t="s">
        <v>36</v>
      </c>
      <c r="O8345" s="15" t="s">
        <v>37</v>
      </c>
      <c r="P8345" s="20" t="s">
        <v>995</v>
      </c>
      <c r="Q8345" s="15" t="s">
        <v>83</v>
      </c>
      <c r="R8345" s="4"/>
      <c r="S8345" s="4"/>
    </row>
    <row r="8346" spans="1:19" ht="21" customHeight="1" x14ac:dyDescent="0.25">
      <c r="A8346" s="14">
        <f>DATE(2012,12,31)-558</f>
        <v>40716</v>
      </c>
      <c r="B8346" s="15" t="s">
        <v>1593</v>
      </c>
      <c r="C8346" s="15" t="s">
        <v>85</v>
      </c>
      <c r="D8346" s="16">
        <v>2</v>
      </c>
      <c r="E8346" s="17">
        <v>28.98</v>
      </c>
      <c r="F8346" s="16">
        <v>0.06</v>
      </c>
      <c r="G8346" s="15" t="s">
        <v>32</v>
      </c>
      <c r="H8346" s="18">
        <v>-18.39</v>
      </c>
      <c r="I8346" s="19">
        <v>12.64</v>
      </c>
      <c r="J8346" s="19">
        <v>4.9800000000000004</v>
      </c>
      <c r="K8346" s="19" t="s">
        <v>44</v>
      </c>
      <c r="L8346" s="19" t="s">
        <v>89</v>
      </c>
      <c r="M8346" s="15" t="s">
        <v>2365</v>
      </c>
      <c r="N8346" s="15" t="s">
        <v>54</v>
      </c>
      <c r="O8346" s="15" t="s">
        <v>55</v>
      </c>
      <c r="P8346" s="20" t="s">
        <v>1249</v>
      </c>
      <c r="Q8346" s="15" t="s">
        <v>49</v>
      </c>
      <c r="R8346" s="4"/>
      <c r="S8346" s="4"/>
    </row>
    <row r="8347" spans="1:19" ht="21" customHeight="1" x14ac:dyDescent="0.25">
      <c r="A8347" s="14">
        <f>DATE(2012,12,31)-747</f>
        <v>40527</v>
      </c>
      <c r="B8347" s="15" t="s">
        <v>1943</v>
      </c>
      <c r="C8347" s="15" t="s">
        <v>43</v>
      </c>
      <c r="D8347" s="16">
        <v>14</v>
      </c>
      <c r="E8347" s="17">
        <v>51.56</v>
      </c>
      <c r="F8347" s="16">
        <v>0.09</v>
      </c>
      <c r="G8347" s="15" t="s">
        <v>32</v>
      </c>
      <c r="H8347" s="18">
        <v>-1.06</v>
      </c>
      <c r="I8347" s="19">
        <v>3.71</v>
      </c>
      <c r="J8347" s="19">
        <v>1.93</v>
      </c>
      <c r="K8347" s="19" t="s">
        <v>44</v>
      </c>
      <c r="L8347" s="19" t="s">
        <v>89</v>
      </c>
      <c r="M8347" s="15" t="s">
        <v>2365</v>
      </c>
      <c r="N8347" s="15" t="s">
        <v>36</v>
      </c>
      <c r="O8347" s="15" t="s">
        <v>117</v>
      </c>
      <c r="P8347" s="20" t="s">
        <v>1811</v>
      </c>
      <c r="Q8347" s="15" t="s">
        <v>79</v>
      </c>
      <c r="R8347" s="4"/>
      <c r="S8347" s="4"/>
    </row>
    <row r="8348" spans="1:19" ht="21" customHeight="1" x14ac:dyDescent="0.25">
      <c r="A8348" s="14">
        <f>DATE(2012,12,31)-1105</f>
        <v>40169</v>
      </c>
      <c r="B8348" s="15" t="s">
        <v>1830</v>
      </c>
      <c r="C8348" s="15" t="s">
        <v>31</v>
      </c>
      <c r="D8348" s="16">
        <v>42</v>
      </c>
      <c r="E8348" s="17">
        <v>200.1</v>
      </c>
      <c r="F8348" s="16">
        <v>0.04</v>
      </c>
      <c r="G8348" s="15" t="s">
        <v>32</v>
      </c>
      <c r="H8348" s="18">
        <v>3.02</v>
      </c>
      <c r="I8348" s="19">
        <v>4.71</v>
      </c>
      <c r="J8348" s="19">
        <v>0.7</v>
      </c>
      <c r="K8348" s="19" t="s">
        <v>44</v>
      </c>
      <c r="L8348" s="19" t="s">
        <v>89</v>
      </c>
      <c r="M8348" s="15" t="s">
        <v>2365</v>
      </c>
      <c r="N8348" s="15" t="s">
        <v>36</v>
      </c>
      <c r="O8348" s="15" t="s">
        <v>105</v>
      </c>
      <c r="P8348" s="20" t="s">
        <v>2345</v>
      </c>
      <c r="Q8348" s="15" t="s">
        <v>79</v>
      </c>
      <c r="R8348" s="4"/>
      <c r="S8348" s="4"/>
    </row>
    <row r="8349" spans="1:19" ht="21" customHeight="1" x14ac:dyDescent="0.25">
      <c r="A8349" s="14">
        <f>DATE(2012,12,31)-1105</f>
        <v>40169</v>
      </c>
      <c r="B8349" s="15" t="s">
        <v>1007</v>
      </c>
      <c r="C8349" s="15" t="s">
        <v>31</v>
      </c>
      <c r="D8349" s="16">
        <v>28</v>
      </c>
      <c r="E8349" s="17">
        <v>120.54</v>
      </c>
      <c r="F8349" s="16">
        <v>0.06</v>
      </c>
      <c r="G8349" s="15" t="s">
        <v>32</v>
      </c>
      <c r="H8349" s="18">
        <v>6.52</v>
      </c>
      <c r="I8349" s="19">
        <v>4.2</v>
      </c>
      <c r="J8349" s="19">
        <v>2.2599999999999998</v>
      </c>
      <c r="K8349" s="19" t="s">
        <v>44</v>
      </c>
      <c r="L8349" s="19" t="s">
        <v>45</v>
      </c>
      <c r="M8349" s="15" t="s">
        <v>2385</v>
      </c>
      <c r="N8349" s="15" t="s">
        <v>36</v>
      </c>
      <c r="O8349" s="15" t="s">
        <v>117</v>
      </c>
      <c r="P8349" s="20" t="s">
        <v>413</v>
      </c>
      <c r="Q8349" s="15" t="s">
        <v>79</v>
      </c>
      <c r="R8349" s="4"/>
      <c r="S8349" s="4"/>
    </row>
    <row r="8350" spans="1:19" ht="21" customHeight="1" x14ac:dyDescent="0.25">
      <c r="A8350" s="14">
        <f>DATE(2012,12,31)-217</f>
        <v>41057</v>
      </c>
      <c r="B8350" s="15" t="s">
        <v>1589</v>
      </c>
      <c r="C8350" s="15" t="s">
        <v>51</v>
      </c>
      <c r="D8350" s="16">
        <v>6</v>
      </c>
      <c r="E8350" s="17">
        <v>112.4</v>
      </c>
      <c r="F8350" s="16">
        <v>0.1</v>
      </c>
      <c r="G8350" s="15" t="s">
        <v>32</v>
      </c>
      <c r="H8350" s="18">
        <v>-46.745099999999994</v>
      </c>
      <c r="I8350" s="19">
        <v>17.98</v>
      </c>
      <c r="J8350" s="19">
        <v>8.51</v>
      </c>
      <c r="K8350" s="19" t="s">
        <v>44</v>
      </c>
      <c r="L8350" s="19" t="s">
        <v>89</v>
      </c>
      <c r="M8350" s="15" t="s">
        <v>2365</v>
      </c>
      <c r="N8350" s="15" t="s">
        <v>64</v>
      </c>
      <c r="O8350" s="15" t="s">
        <v>122</v>
      </c>
      <c r="P8350" s="20" t="s">
        <v>2003</v>
      </c>
      <c r="Q8350" s="15" t="s">
        <v>57</v>
      </c>
      <c r="R8350" s="4"/>
      <c r="S8350" s="4"/>
    </row>
    <row r="8351" spans="1:19" ht="21" customHeight="1" x14ac:dyDescent="0.25">
      <c r="A8351" s="14">
        <f>DATE(2012,12,31)-217</f>
        <v>41057</v>
      </c>
      <c r="B8351" s="15" t="s">
        <v>296</v>
      </c>
      <c r="C8351" s="15" t="s">
        <v>51</v>
      </c>
      <c r="D8351" s="16">
        <v>23</v>
      </c>
      <c r="E8351" s="17">
        <v>249.64</v>
      </c>
      <c r="F8351" s="16">
        <v>0.08</v>
      </c>
      <c r="G8351" s="15" t="s">
        <v>32</v>
      </c>
      <c r="H8351" s="18">
        <v>-91.65</v>
      </c>
      <c r="I8351" s="19">
        <v>10.9</v>
      </c>
      <c r="J8351" s="19">
        <v>7.46</v>
      </c>
      <c r="K8351" s="19" t="s">
        <v>44</v>
      </c>
      <c r="L8351" s="19" t="s">
        <v>45</v>
      </c>
      <c r="M8351" s="15" t="s">
        <v>2385</v>
      </c>
      <c r="N8351" s="15" t="s">
        <v>36</v>
      </c>
      <c r="O8351" s="15" t="s">
        <v>37</v>
      </c>
      <c r="P8351" s="20" t="s">
        <v>1420</v>
      </c>
      <c r="Q8351" s="15" t="s">
        <v>83</v>
      </c>
      <c r="R8351" s="4"/>
      <c r="S8351" s="4"/>
    </row>
    <row r="8352" spans="1:19" ht="21" customHeight="1" x14ac:dyDescent="0.25">
      <c r="A8352" s="14">
        <f>DATE(2012,12,31)-1393</f>
        <v>39881</v>
      </c>
      <c r="B8352" s="15" t="s">
        <v>296</v>
      </c>
      <c r="C8352" s="15" t="s">
        <v>43</v>
      </c>
      <c r="D8352" s="16">
        <v>33</v>
      </c>
      <c r="E8352" s="17">
        <v>987.3175</v>
      </c>
      <c r="F8352" s="16">
        <v>0.04</v>
      </c>
      <c r="G8352" s="15" t="s">
        <v>101</v>
      </c>
      <c r="H8352" s="18">
        <v>368.55899999999997</v>
      </c>
      <c r="I8352" s="19">
        <v>35.99</v>
      </c>
      <c r="J8352" s="19">
        <v>3.3</v>
      </c>
      <c r="K8352" s="19" t="s">
        <v>44</v>
      </c>
      <c r="L8352" s="19" t="s">
        <v>45</v>
      </c>
      <c r="M8352" s="15" t="s">
        <v>2385</v>
      </c>
      <c r="N8352" s="15" t="s">
        <v>64</v>
      </c>
      <c r="O8352" s="15" t="s">
        <v>65</v>
      </c>
      <c r="P8352" s="20" t="s">
        <v>876</v>
      </c>
      <c r="Q8352" s="15" t="s">
        <v>49</v>
      </c>
      <c r="R8352" s="4"/>
      <c r="S8352" s="4"/>
    </row>
    <row r="8353" spans="1:19" ht="21" customHeight="1" x14ac:dyDescent="0.25">
      <c r="A8353" s="14">
        <f>DATE(2012,12,31)-261</f>
        <v>41013</v>
      </c>
      <c r="B8353" s="15" t="s">
        <v>296</v>
      </c>
      <c r="C8353" s="15" t="s">
        <v>51</v>
      </c>
      <c r="D8353" s="16">
        <v>19</v>
      </c>
      <c r="E8353" s="17">
        <v>159.24</v>
      </c>
      <c r="F8353" s="16">
        <v>0.09</v>
      </c>
      <c r="G8353" s="15" t="s">
        <v>32</v>
      </c>
      <c r="H8353" s="18">
        <v>8.3000000000000007</v>
      </c>
      <c r="I8353" s="19">
        <v>8.5</v>
      </c>
      <c r="J8353" s="19">
        <v>1.99</v>
      </c>
      <c r="K8353" s="19" t="s">
        <v>44</v>
      </c>
      <c r="L8353" s="19" t="s">
        <v>89</v>
      </c>
      <c r="M8353" s="15" t="s">
        <v>2365</v>
      </c>
      <c r="N8353" s="15" t="s">
        <v>64</v>
      </c>
      <c r="O8353" s="15" t="s">
        <v>72</v>
      </c>
      <c r="P8353" s="20" t="s">
        <v>2251</v>
      </c>
      <c r="Q8353" s="15" t="s">
        <v>49</v>
      </c>
      <c r="R8353" s="4"/>
      <c r="S8353" s="4"/>
    </row>
    <row r="8354" spans="1:19" ht="21" customHeight="1" x14ac:dyDescent="0.25">
      <c r="A8354" s="14">
        <f>DATE(2012,12,31)-261</f>
        <v>41013</v>
      </c>
      <c r="B8354" s="15" t="s">
        <v>296</v>
      </c>
      <c r="C8354" s="15" t="s">
        <v>51</v>
      </c>
      <c r="D8354" s="16">
        <v>6</v>
      </c>
      <c r="E8354" s="17">
        <v>48.77</v>
      </c>
      <c r="F8354" s="16">
        <v>0</v>
      </c>
      <c r="G8354" s="15" t="s">
        <v>32</v>
      </c>
      <c r="H8354" s="18">
        <v>5.95</v>
      </c>
      <c r="I8354" s="19">
        <v>7.4</v>
      </c>
      <c r="J8354" s="19">
        <v>1.71</v>
      </c>
      <c r="K8354" s="19" t="s">
        <v>44</v>
      </c>
      <c r="L8354" s="19" t="s">
        <v>89</v>
      </c>
      <c r="M8354" s="15" t="s">
        <v>2365</v>
      </c>
      <c r="N8354" s="15" t="s">
        <v>36</v>
      </c>
      <c r="O8354" s="15" t="s">
        <v>117</v>
      </c>
      <c r="P8354" s="20" t="s">
        <v>1803</v>
      </c>
      <c r="Q8354" s="15" t="s">
        <v>79</v>
      </c>
      <c r="R8354" s="4"/>
      <c r="S8354" s="4"/>
    </row>
    <row r="8355" spans="1:19" ht="21" customHeight="1" x14ac:dyDescent="0.25">
      <c r="A8355" s="14">
        <f>DATE(2012,12,31)-261</f>
        <v>41013</v>
      </c>
      <c r="B8355" s="15" t="s">
        <v>1701</v>
      </c>
      <c r="C8355" s="15" t="s">
        <v>51</v>
      </c>
      <c r="D8355" s="16">
        <v>5</v>
      </c>
      <c r="E8355" s="17">
        <v>26.5</v>
      </c>
      <c r="F8355" s="16">
        <v>0.01</v>
      </c>
      <c r="G8355" s="15" t="s">
        <v>101</v>
      </c>
      <c r="H8355" s="18">
        <v>2.61</v>
      </c>
      <c r="I8355" s="19">
        <v>4.26</v>
      </c>
      <c r="J8355" s="19">
        <v>1.2</v>
      </c>
      <c r="K8355" s="19" t="s">
        <v>44</v>
      </c>
      <c r="L8355" s="19" t="s">
        <v>89</v>
      </c>
      <c r="M8355" s="15" t="s">
        <v>2365</v>
      </c>
      <c r="N8355" s="15" t="s">
        <v>36</v>
      </c>
      <c r="O8355" s="15" t="s">
        <v>77</v>
      </c>
      <c r="P8355" s="20" t="s">
        <v>588</v>
      </c>
      <c r="Q8355" s="15" t="s">
        <v>79</v>
      </c>
      <c r="R8355" s="4"/>
      <c r="S8355" s="4"/>
    </row>
    <row r="8356" spans="1:19" ht="21" customHeight="1" x14ac:dyDescent="0.25">
      <c r="A8356" s="14">
        <f>DATE(2012,12,31)-956</f>
        <v>40318</v>
      </c>
      <c r="B8356" s="15" t="s">
        <v>1701</v>
      </c>
      <c r="C8356" s="15" t="s">
        <v>51</v>
      </c>
      <c r="D8356" s="16">
        <v>32</v>
      </c>
      <c r="E8356" s="17">
        <v>284.92</v>
      </c>
      <c r="F8356" s="16">
        <v>0.03</v>
      </c>
      <c r="G8356" s="15" t="s">
        <v>32</v>
      </c>
      <c r="H8356" s="18">
        <v>81.290000000000006</v>
      </c>
      <c r="I8356" s="19">
        <v>9.11</v>
      </c>
      <c r="J8356" s="19">
        <v>2.15</v>
      </c>
      <c r="K8356" s="19" t="s">
        <v>44</v>
      </c>
      <c r="L8356" s="19" t="s">
        <v>45</v>
      </c>
      <c r="M8356" s="15" t="s">
        <v>2385</v>
      </c>
      <c r="N8356" s="15" t="s">
        <v>36</v>
      </c>
      <c r="O8356" s="15" t="s">
        <v>117</v>
      </c>
      <c r="P8356" s="20" t="s">
        <v>1696</v>
      </c>
      <c r="Q8356" s="15" t="s">
        <v>79</v>
      </c>
      <c r="R8356" s="4"/>
      <c r="S8356" s="4"/>
    </row>
    <row r="8357" spans="1:19" ht="21" customHeight="1" x14ac:dyDescent="0.25">
      <c r="A8357" s="14">
        <f>DATE(2012,12,31)-148</f>
        <v>41126</v>
      </c>
      <c r="B8357" s="15" t="s">
        <v>2127</v>
      </c>
      <c r="C8357" s="15" t="s">
        <v>31</v>
      </c>
      <c r="D8357" s="16">
        <v>11</v>
      </c>
      <c r="E8357" s="17">
        <v>1255.48</v>
      </c>
      <c r="F8357" s="16">
        <v>0.06</v>
      </c>
      <c r="G8357" s="15" t="s">
        <v>58</v>
      </c>
      <c r="H8357" s="18">
        <v>-292.6506</v>
      </c>
      <c r="I8357" s="19">
        <v>115.99</v>
      </c>
      <c r="J8357" s="19">
        <v>56.14</v>
      </c>
      <c r="K8357" s="19" t="s">
        <v>44</v>
      </c>
      <c r="L8357" s="19" t="s">
        <v>120</v>
      </c>
      <c r="M8357" s="15" t="s">
        <v>2262</v>
      </c>
      <c r="N8357" s="15" t="s">
        <v>64</v>
      </c>
      <c r="O8357" s="15" t="s">
        <v>122</v>
      </c>
      <c r="P8357" s="20" t="s">
        <v>1006</v>
      </c>
      <c r="Q8357" s="15" t="s">
        <v>181</v>
      </c>
      <c r="R8357" s="4"/>
      <c r="S8357" s="4"/>
    </row>
    <row r="8358" spans="1:19" ht="21" customHeight="1" x14ac:dyDescent="0.25">
      <c r="A8358" s="14">
        <f>DATE(2012,12,31)-148</f>
        <v>41126</v>
      </c>
      <c r="B8358" s="15" t="s">
        <v>183</v>
      </c>
      <c r="C8358" s="15" t="s">
        <v>31</v>
      </c>
      <c r="D8358" s="16">
        <v>46</v>
      </c>
      <c r="E8358" s="17">
        <v>411.56</v>
      </c>
      <c r="F8358" s="16">
        <v>0.09</v>
      </c>
      <c r="G8358" s="15" t="s">
        <v>101</v>
      </c>
      <c r="H8358" s="18">
        <v>-188.02</v>
      </c>
      <c r="I8358" s="19">
        <v>9.3800000000000008</v>
      </c>
      <c r="J8358" s="19">
        <v>7.28</v>
      </c>
      <c r="K8358" s="19" t="s">
        <v>44</v>
      </c>
      <c r="L8358" s="19" t="s">
        <v>45</v>
      </c>
      <c r="M8358" s="15" t="s">
        <v>2385</v>
      </c>
      <c r="N8358" s="15" t="s">
        <v>36</v>
      </c>
      <c r="O8358" s="15" t="s">
        <v>37</v>
      </c>
      <c r="P8358" s="20" t="s">
        <v>915</v>
      </c>
      <c r="Q8358" s="15" t="s">
        <v>83</v>
      </c>
      <c r="R8358" s="4"/>
      <c r="S8358" s="4"/>
    </row>
    <row r="8359" spans="1:19" ht="21" customHeight="1" x14ac:dyDescent="0.25">
      <c r="A8359" s="14">
        <f>DATE(2012,12,31)-379</f>
        <v>40895</v>
      </c>
      <c r="B8359" s="15" t="s">
        <v>704</v>
      </c>
      <c r="C8359" s="15" t="s">
        <v>43</v>
      </c>
      <c r="D8359" s="16">
        <v>1</v>
      </c>
      <c r="E8359" s="17">
        <v>10.59</v>
      </c>
      <c r="F8359" s="16">
        <v>0.1</v>
      </c>
      <c r="G8359" s="15" t="s">
        <v>32</v>
      </c>
      <c r="H8359" s="18">
        <v>-4.3099999999999996</v>
      </c>
      <c r="I8359" s="19">
        <v>9.11</v>
      </c>
      <c r="J8359" s="19">
        <v>2.15</v>
      </c>
      <c r="K8359" s="19" t="s">
        <v>44</v>
      </c>
      <c r="L8359" s="19" t="s">
        <v>89</v>
      </c>
      <c r="M8359" s="15" t="s">
        <v>2365</v>
      </c>
      <c r="N8359" s="15" t="s">
        <v>36</v>
      </c>
      <c r="O8359" s="15" t="s">
        <v>117</v>
      </c>
      <c r="P8359" s="20" t="s">
        <v>1031</v>
      </c>
      <c r="Q8359" s="15" t="s">
        <v>79</v>
      </c>
      <c r="R8359" s="4"/>
      <c r="S8359" s="4"/>
    </row>
    <row r="8360" spans="1:19" ht="21" customHeight="1" x14ac:dyDescent="0.25">
      <c r="A8360" s="14">
        <f>DATE(2012,12,31)-1099</f>
        <v>40175</v>
      </c>
      <c r="B8360" s="15" t="s">
        <v>552</v>
      </c>
      <c r="C8360" s="15" t="s">
        <v>51</v>
      </c>
      <c r="D8360" s="16">
        <v>7</v>
      </c>
      <c r="E8360" s="17">
        <v>235.98</v>
      </c>
      <c r="F8360" s="16">
        <v>0.02</v>
      </c>
      <c r="G8360" s="15" t="s">
        <v>32</v>
      </c>
      <c r="H8360" s="18">
        <v>-32.28</v>
      </c>
      <c r="I8360" s="19">
        <v>30.98</v>
      </c>
      <c r="J8360" s="19">
        <v>17.079999999999998</v>
      </c>
      <c r="K8360" s="19" t="s">
        <v>44</v>
      </c>
      <c r="L8360" s="19" t="s">
        <v>45</v>
      </c>
      <c r="M8360" s="15" t="s">
        <v>2385</v>
      </c>
      <c r="N8360" s="15" t="s">
        <v>36</v>
      </c>
      <c r="O8360" s="15" t="s">
        <v>117</v>
      </c>
      <c r="P8360" s="20" t="s">
        <v>1081</v>
      </c>
      <c r="Q8360" s="15" t="s">
        <v>83</v>
      </c>
      <c r="R8360" s="4"/>
      <c r="S8360" s="4"/>
    </row>
    <row r="8361" spans="1:19" ht="21" customHeight="1" x14ac:dyDescent="0.25">
      <c r="A8361" s="14">
        <f>DATE(2012,12,31)-852</f>
        <v>40422</v>
      </c>
      <c r="B8361" s="15" t="s">
        <v>1924</v>
      </c>
      <c r="C8361" s="15" t="s">
        <v>85</v>
      </c>
      <c r="D8361" s="16">
        <v>42</v>
      </c>
      <c r="E8361" s="17">
        <v>130.96</v>
      </c>
      <c r="F8361" s="16">
        <v>0.05</v>
      </c>
      <c r="G8361" s="15" t="s">
        <v>32</v>
      </c>
      <c r="H8361" s="18">
        <v>-66.739999999999995</v>
      </c>
      <c r="I8361" s="19">
        <v>3.14</v>
      </c>
      <c r="J8361" s="19">
        <v>1.92</v>
      </c>
      <c r="K8361" s="19" t="s">
        <v>44</v>
      </c>
      <c r="L8361" s="19" t="s">
        <v>45</v>
      </c>
      <c r="M8361" s="15" t="s">
        <v>2385</v>
      </c>
      <c r="N8361" s="15" t="s">
        <v>36</v>
      </c>
      <c r="O8361" s="15" t="s">
        <v>47</v>
      </c>
      <c r="P8361" s="20" t="s">
        <v>1559</v>
      </c>
      <c r="Q8361" s="15" t="s">
        <v>79</v>
      </c>
      <c r="R8361" s="4"/>
      <c r="S8361" s="4"/>
    </row>
    <row r="8362" spans="1:19" ht="21" customHeight="1" x14ac:dyDescent="0.25">
      <c r="A8362" s="14">
        <f>DATE(2012,12,31)-1422</f>
        <v>39852</v>
      </c>
      <c r="B8362" s="15" t="s">
        <v>742</v>
      </c>
      <c r="C8362" s="15" t="s">
        <v>85</v>
      </c>
      <c r="D8362" s="16">
        <v>47</v>
      </c>
      <c r="E8362" s="17">
        <v>714.46</v>
      </c>
      <c r="F8362" s="16">
        <v>7.0000000000000007E-2</v>
      </c>
      <c r="G8362" s="15" t="s">
        <v>32</v>
      </c>
      <c r="H8362" s="18">
        <v>-268.64999999999998</v>
      </c>
      <c r="I8362" s="19">
        <v>15.98</v>
      </c>
      <c r="J8362" s="19">
        <v>8.99</v>
      </c>
      <c r="K8362" s="19" t="s">
        <v>124</v>
      </c>
      <c r="L8362" s="19" t="s">
        <v>160</v>
      </c>
      <c r="M8362" s="15" t="s">
        <v>2281</v>
      </c>
      <c r="N8362" s="15" t="s">
        <v>64</v>
      </c>
      <c r="O8362" s="15" t="s">
        <v>72</v>
      </c>
      <c r="P8362" s="20" t="s">
        <v>1272</v>
      </c>
      <c r="Q8362" s="15" t="s">
        <v>49</v>
      </c>
      <c r="R8362" s="4"/>
      <c r="S8362" s="4"/>
    </row>
    <row r="8363" spans="1:19" ht="21" customHeight="1" x14ac:dyDescent="0.25">
      <c r="A8363" s="14">
        <f>DATE(2012,12,31)-936</f>
        <v>40338</v>
      </c>
      <c r="B8363" s="15" t="s">
        <v>742</v>
      </c>
      <c r="C8363" s="15" t="s">
        <v>85</v>
      </c>
      <c r="D8363" s="16">
        <v>43</v>
      </c>
      <c r="E8363" s="17">
        <v>679.65</v>
      </c>
      <c r="F8363" s="16">
        <v>0</v>
      </c>
      <c r="G8363" s="15" t="s">
        <v>32</v>
      </c>
      <c r="H8363" s="18">
        <v>31.203500000000002</v>
      </c>
      <c r="I8363" s="19">
        <v>15.01</v>
      </c>
      <c r="J8363" s="19">
        <v>8.4</v>
      </c>
      <c r="K8363" s="19" t="s">
        <v>124</v>
      </c>
      <c r="L8363" s="19" t="s">
        <v>164</v>
      </c>
      <c r="M8363" s="15" t="s">
        <v>2379</v>
      </c>
      <c r="N8363" s="15" t="s">
        <v>36</v>
      </c>
      <c r="O8363" s="15" t="s">
        <v>170</v>
      </c>
      <c r="P8363" s="20" t="s">
        <v>1937</v>
      </c>
      <c r="Q8363" s="15" t="s">
        <v>83</v>
      </c>
      <c r="R8363" s="4"/>
      <c r="S8363" s="4"/>
    </row>
    <row r="8364" spans="1:19" ht="21" customHeight="1" x14ac:dyDescent="0.25">
      <c r="A8364" s="14">
        <f>DATE(2012,12,31)-355</f>
        <v>40919</v>
      </c>
      <c r="B8364" s="15" t="s">
        <v>251</v>
      </c>
      <c r="C8364" s="15" t="s">
        <v>51</v>
      </c>
      <c r="D8364" s="16">
        <v>42</v>
      </c>
      <c r="E8364" s="17">
        <v>437.73</v>
      </c>
      <c r="F8364" s="16">
        <v>0.01</v>
      </c>
      <c r="G8364" s="15" t="s">
        <v>32</v>
      </c>
      <c r="H8364" s="18">
        <v>205.7</v>
      </c>
      <c r="I8364" s="19">
        <v>9.9</v>
      </c>
      <c r="J8364" s="19">
        <v>1.39</v>
      </c>
      <c r="K8364" s="19" t="s">
        <v>33</v>
      </c>
      <c r="L8364" s="19" t="s">
        <v>128</v>
      </c>
      <c r="M8364" s="15" t="s">
        <v>129</v>
      </c>
      <c r="N8364" s="15" t="s">
        <v>36</v>
      </c>
      <c r="O8364" s="15" t="s">
        <v>189</v>
      </c>
      <c r="P8364" s="20" t="s">
        <v>1263</v>
      </c>
      <c r="Q8364" s="15" t="s">
        <v>83</v>
      </c>
      <c r="R8364" s="4"/>
      <c r="S8364" s="4"/>
    </row>
    <row r="8365" spans="1:19" ht="21" customHeight="1" x14ac:dyDescent="0.25">
      <c r="A8365" s="14">
        <f>DATE(2012,12,31)-355</f>
        <v>40919</v>
      </c>
      <c r="B8365" s="15" t="s">
        <v>364</v>
      </c>
      <c r="C8365" s="15" t="s">
        <v>51</v>
      </c>
      <c r="D8365" s="16">
        <v>16</v>
      </c>
      <c r="E8365" s="17">
        <v>275.01</v>
      </c>
      <c r="F8365" s="16">
        <v>0</v>
      </c>
      <c r="G8365" s="15" t="s">
        <v>32</v>
      </c>
      <c r="H8365" s="18">
        <v>-87.11</v>
      </c>
      <c r="I8365" s="19">
        <v>15.7</v>
      </c>
      <c r="J8365" s="19">
        <v>11.25</v>
      </c>
      <c r="K8365" s="19" t="s">
        <v>33</v>
      </c>
      <c r="L8365" s="19" t="s">
        <v>128</v>
      </c>
      <c r="M8365" s="15" t="s">
        <v>129</v>
      </c>
      <c r="N8365" s="15" t="s">
        <v>36</v>
      </c>
      <c r="O8365" s="15" t="s">
        <v>37</v>
      </c>
      <c r="P8365" s="20" t="s">
        <v>521</v>
      </c>
      <c r="Q8365" s="15" t="s">
        <v>83</v>
      </c>
      <c r="R8365" s="4"/>
      <c r="S8365" s="4"/>
    </row>
    <row r="8366" spans="1:19" ht="21" customHeight="1" x14ac:dyDescent="0.25">
      <c r="A8366" s="14">
        <f>DATE(2012,12,31)-580</f>
        <v>40694</v>
      </c>
      <c r="B8366" s="15" t="s">
        <v>245</v>
      </c>
      <c r="C8366" s="15" t="s">
        <v>85</v>
      </c>
      <c r="D8366" s="16">
        <v>26</v>
      </c>
      <c r="E8366" s="17">
        <v>437.77</v>
      </c>
      <c r="F8366" s="16">
        <v>0.01</v>
      </c>
      <c r="G8366" s="15" t="s">
        <v>101</v>
      </c>
      <c r="H8366" s="18">
        <v>-125.8</v>
      </c>
      <c r="I8366" s="19">
        <v>15.98</v>
      </c>
      <c r="J8366" s="19">
        <v>8.99</v>
      </c>
      <c r="K8366" s="19" t="s">
        <v>33</v>
      </c>
      <c r="L8366" s="19" t="s">
        <v>128</v>
      </c>
      <c r="M8366" s="15" t="s">
        <v>129</v>
      </c>
      <c r="N8366" s="15" t="s">
        <v>64</v>
      </c>
      <c r="O8366" s="15" t="s">
        <v>72</v>
      </c>
      <c r="P8366" s="20" t="s">
        <v>1405</v>
      </c>
      <c r="Q8366" s="15" t="s">
        <v>49</v>
      </c>
      <c r="R8366" s="4"/>
      <c r="S8366" s="4"/>
    </row>
    <row r="8367" spans="1:19" ht="21" customHeight="1" x14ac:dyDescent="0.25">
      <c r="A8367" s="14">
        <f>DATE(2012,12,31)-580</f>
        <v>40694</v>
      </c>
      <c r="B8367" s="15" t="s">
        <v>1402</v>
      </c>
      <c r="C8367" s="15" t="s">
        <v>85</v>
      </c>
      <c r="D8367" s="16">
        <v>45</v>
      </c>
      <c r="E8367" s="17">
        <v>514.86</v>
      </c>
      <c r="F8367" s="16">
        <v>0.08</v>
      </c>
      <c r="G8367" s="15" t="s">
        <v>32</v>
      </c>
      <c r="H8367" s="18">
        <v>-10.84</v>
      </c>
      <c r="I8367" s="19">
        <v>12.28</v>
      </c>
      <c r="J8367" s="19">
        <v>6.47</v>
      </c>
      <c r="K8367" s="19" t="s">
        <v>33</v>
      </c>
      <c r="L8367" s="19" t="s">
        <v>93</v>
      </c>
      <c r="M8367" s="15" t="s">
        <v>94</v>
      </c>
      <c r="N8367" s="15" t="s">
        <v>36</v>
      </c>
      <c r="O8367" s="15" t="s">
        <v>117</v>
      </c>
      <c r="P8367" s="20" t="s">
        <v>1406</v>
      </c>
      <c r="Q8367" s="15" t="s">
        <v>83</v>
      </c>
      <c r="R8367" s="4"/>
      <c r="S8367" s="4"/>
    </row>
    <row r="8368" spans="1:19" ht="21" customHeight="1" x14ac:dyDescent="0.25">
      <c r="A8368" s="14">
        <f>DATE(2012,12,31)-580</f>
        <v>40694</v>
      </c>
      <c r="B8368" s="15" t="s">
        <v>1402</v>
      </c>
      <c r="C8368" s="15" t="s">
        <v>85</v>
      </c>
      <c r="D8368" s="16">
        <v>12</v>
      </c>
      <c r="E8368" s="17">
        <v>356.27</v>
      </c>
      <c r="F8368" s="16">
        <v>0.1</v>
      </c>
      <c r="G8368" s="15" t="s">
        <v>101</v>
      </c>
      <c r="H8368" s="18">
        <v>84.53</v>
      </c>
      <c r="I8368" s="19">
        <v>30.98</v>
      </c>
      <c r="J8368" s="19">
        <v>5.09</v>
      </c>
      <c r="K8368" s="19" t="s">
        <v>97</v>
      </c>
      <c r="L8368" s="19" t="s">
        <v>195</v>
      </c>
      <c r="M8368" s="15" t="s">
        <v>2374</v>
      </c>
      <c r="N8368" s="15" t="s">
        <v>36</v>
      </c>
      <c r="O8368" s="15" t="s">
        <v>117</v>
      </c>
      <c r="P8368" s="20" t="s">
        <v>1543</v>
      </c>
      <c r="Q8368" s="15" t="s">
        <v>83</v>
      </c>
      <c r="R8368" s="4"/>
      <c r="S8368" s="4"/>
    </row>
    <row r="8369" spans="1:19" ht="21" customHeight="1" x14ac:dyDescent="0.25">
      <c r="A8369" s="14">
        <f>DATE(2012,12,31)-412</f>
        <v>40862</v>
      </c>
      <c r="B8369" s="15" t="s">
        <v>1402</v>
      </c>
      <c r="C8369" s="15" t="s">
        <v>31</v>
      </c>
      <c r="D8369" s="16">
        <v>29</v>
      </c>
      <c r="E8369" s="17">
        <v>11039.75</v>
      </c>
      <c r="F8369" s="16">
        <v>0.06</v>
      </c>
      <c r="G8369" s="15" t="s">
        <v>58</v>
      </c>
      <c r="H8369" s="18">
        <v>2148.9699999999998</v>
      </c>
      <c r="I8369" s="19">
        <v>400.97</v>
      </c>
      <c r="J8369" s="19">
        <v>14.7</v>
      </c>
      <c r="K8369" s="19" t="s">
        <v>97</v>
      </c>
      <c r="L8369" s="19" t="s">
        <v>98</v>
      </c>
      <c r="M8369" s="15" t="s">
        <v>2363</v>
      </c>
      <c r="N8369" s="15" t="s">
        <v>64</v>
      </c>
      <c r="O8369" s="15" t="s">
        <v>122</v>
      </c>
      <c r="P8369" s="20" t="s">
        <v>668</v>
      </c>
      <c r="Q8369" s="15" t="s">
        <v>181</v>
      </c>
      <c r="R8369" s="4"/>
      <c r="S8369" s="4"/>
    </row>
    <row r="8370" spans="1:19" ht="21" customHeight="1" x14ac:dyDescent="0.25">
      <c r="A8370" s="14">
        <f>DATE(2012,12,31)-412</f>
        <v>40862</v>
      </c>
      <c r="B8370" s="15" t="s">
        <v>1402</v>
      </c>
      <c r="C8370" s="15" t="s">
        <v>31</v>
      </c>
      <c r="D8370" s="16">
        <v>30</v>
      </c>
      <c r="E8370" s="17">
        <v>4982.9440000000004</v>
      </c>
      <c r="F8370" s="16">
        <v>7.0000000000000007E-2</v>
      </c>
      <c r="G8370" s="15" t="s">
        <v>58</v>
      </c>
      <c r="H8370" s="18">
        <v>693.69</v>
      </c>
      <c r="I8370" s="19">
        <v>217.85</v>
      </c>
      <c r="J8370" s="19">
        <v>29.1</v>
      </c>
      <c r="K8370" s="19" t="s">
        <v>97</v>
      </c>
      <c r="L8370" s="19" t="s">
        <v>98</v>
      </c>
      <c r="M8370" s="15" t="s">
        <v>2363</v>
      </c>
      <c r="N8370" s="15" t="s">
        <v>54</v>
      </c>
      <c r="O8370" s="15" t="s">
        <v>61</v>
      </c>
      <c r="P8370" s="20" t="s">
        <v>849</v>
      </c>
      <c r="Q8370" s="15" t="s">
        <v>63</v>
      </c>
      <c r="R8370" s="4"/>
      <c r="S8370" s="4"/>
    </row>
    <row r="8371" spans="1:19" ht="21" customHeight="1" x14ac:dyDescent="0.25">
      <c r="A8371" s="14">
        <f>DATE(2012,12,31)-261</f>
        <v>41013</v>
      </c>
      <c r="B8371" s="15" t="s">
        <v>1402</v>
      </c>
      <c r="C8371" s="15" t="s">
        <v>51</v>
      </c>
      <c r="D8371" s="16">
        <v>5</v>
      </c>
      <c r="E8371" s="17">
        <v>26.5</v>
      </c>
      <c r="F8371" s="16">
        <v>0.01</v>
      </c>
      <c r="G8371" s="15" t="s">
        <v>101</v>
      </c>
      <c r="H8371" s="18">
        <v>2.61</v>
      </c>
      <c r="I8371" s="19">
        <v>4.26</v>
      </c>
      <c r="J8371" s="19">
        <v>1.2</v>
      </c>
      <c r="K8371" s="19" t="s">
        <v>97</v>
      </c>
      <c r="L8371" s="19" t="s">
        <v>98</v>
      </c>
      <c r="M8371" s="15" t="s">
        <v>2363</v>
      </c>
      <c r="N8371" s="15" t="s">
        <v>36</v>
      </c>
      <c r="O8371" s="15" t="s">
        <v>77</v>
      </c>
      <c r="P8371" s="20" t="s">
        <v>1324</v>
      </c>
      <c r="Q8371" s="15" t="s">
        <v>79</v>
      </c>
      <c r="R8371" s="4"/>
      <c r="S8371" s="4"/>
    </row>
    <row r="8372" spans="1:19" ht="21" customHeight="1" x14ac:dyDescent="0.25">
      <c r="A8372" s="14">
        <f>DATE(2012,12,31)-956</f>
        <v>40318</v>
      </c>
      <c r="B8372" s="15" t="s">
        <v>659</v>
      </c>
      <c r="C8372" s="15" t="s">
        <v>51</v>
      </c>
      <c r="D8372" s="16">
        <v>32</v>
      </c>
      <c r="E8372" s="17">
        <v>284.92</v>
      </c>
      <c r="F8372" s="16">
        <v>0.03</v>
      </c>
      <c r="G8372" s="15" t="s">
        <v>32</v>
      </c>
      <c r="H8372" s="18">
        <v>81.290000000000006</v>
      </c>
      <c r="I8372" s="19">
        <v>9.11</v>
      </c>
      <c r="J8372" s="19">
        <v>2.15</v>
      </c>
      <c r="K8372" s="19" t="s">
        <v>97</v>
      </c>
      <c r="L8372" s="19" t="s">
        <v>98</v>
      </c>
      <c r="M8372" s="15" t="s">
        <v>2363</v>
      </c>
      <c r="N8372" s="15" t="s">
        <v>36</v>
      </c>
      <c r="O8372" s="15" t="s">
        <v>117</v>
      </c>
      <c r="P8372" s="20" t="s">
        <v>48</v>
      </c>
      <c r="Q8372" s="15" t="s">
        <v>79</v>
      </c>
      <c r="R8372" s="4"/>
      <c r="S8372" s="4"/>
    </row>
    <row r="8373" spans="1:19" ht="21" customHeight="1" x14ac:dyDescent="0.25">
      <c r="A8373" s="14">
        <f>DATE(2012,12,31)-148</f>
        <v>41126</v>
      </c>
      <c r="B8373" s="15" t="s">
        <v>854</v>
      </c>
      <c r="C8373" s="15" t="s">
        <v>31</v>
      </c>
      <c r="D8373" s="16">
        <v>11</v>
      </c>
      <c r="E8373" s="17">
        <v>1255.48</v>
      </c>
      <c r="F8373" s="16">
        <v>0.06</v>
      </c>
      <c r="G8373" s="15" t="s">
        <v>58</v>
      </c>
      <c r="H8373" s="18">
        <v>-292.6506</v>
      </c>
      <c r="I8373" s="19">
        <v>115.99</v>
      </c>
      <c r="J8373" s="19">
        <v>56.14</v>
      </c>
      <c r="K8373" s="19" t="s">
        <v>97</v>
      </c>
      <c r="L8373" s="19" t="s">
        <v>283</v>
      </c>
      <c r="M8373" s="15" t="s">
        <v>2306</v>
      </c>
      <c r="N8373" s="15" t="s">
        <v>64</v>
      </c>
      <c r="O8373" s="15" t="s">
        <v>122</v>
      </c>
      <c r="P8373" s="20" t="s">
        <v>323</v>
      </c>
      <c r="Q8373" s="15" t="s">
        <v>181</v>
      </c>
      <c r="R8373" s="4"/>
      <c r="S8373" s="4"/>
    </row>
    <row r="8374" spans="1:19" ht="21" customHeight="1" x14ac:dyDescent="0.25">
      <c r="A8374" s="14">
        <f>DATE(2012,12,31)-148</f>
        <v>41126</v>
      </c>
      <c r="B8374" s="15" t="s">
        <v>854</v>
      </c>
      <c r="C8374" s="15" t="s">
        <v>31</v>
      </c>
      <c r="D8374" s="16">
        <v>46</v>
      </c>
      <c r="E8374" s="17">
        <v>411.56</v>
      </c>
      <c r="F8374" s="16">
        <v>0.09</v>
      </c>
      <c r="G8374" s="15" t="s">
        <v>101</v>
      </c>
      <c r="H8374" s="18">
        <v>-188.02</v>
      </c>
      <c r="I8374" s="19">
        <v>9.3800000000000008</v>
      </c>
      <c r="J8374" s="19">
        <v>7.28</v>
      </c>
      <c r="K8374" s="19" t="s">
        <v>97</v>
      </c>
      <c r="L8374" s="19" t="s">
        <v>195</v>
      </c>
      <c r="M8374" s="15" t="s">
        <v>2374</v>
      </c>
      <c r="N8374" s="15" t="s">
        <v>36</v>
      </c>
      <c r="O8374" s="15" t="s">
        <v>37</v>
      </c>
      <c r="P8374" s="20" t="s">
        <v>706</v>
      </c>
      <c r="Q8374" s="15" t="s">
        <v>83</v>
      </c>
      <c r="R8374" s="4"/>
      <c r="S8374" s="4"/>
    </row>
    <row r="8375" spans="1:19" ht="21" customHeight="1" x14ac:dyDescent="0.25">
      <c r="A8375" s="14">
        <f>DATE(2012,12,31)-379</f>
        <v>40895</v>
      </c>
      <c r="B8375" s="15" t="s">
        <v>892</v>
      </c>
      <c r="C8375" s="15" t="s">
        <v>43</v>
      </c>
      <c r="D8375" s="16">
        <v>1</v>
      </c>
      <c r="E8375" s="17">
        <v>10.59</v>
      </c>
      <c r="F8375" s="16">
        <v>0.1</v>
      </c>
      <c r="G8375" s="15" t="s">
        <v>32</v>
      </c>
      <c r="H8375" s="18">
        <v>-4.3099999999999996</v>
      </c>
      <c r="I8375" s="19">
        <v>9.11</v>
      </c>
      <c r="J8375" s="19">
        <v>2.15</v>
      </c>
      <c r="K8375" s="19" t="s">
        <v>97</v>
      </c>
      <c r="L8375" s="19" t="s">
        <v>98</v>
      </c>
      <c r="M8375" s="15" t="s">
        <v>2387</v>
      </c>
      <c r="N8375" s="15" t="s">
        <v>36</v>
      </c>
      <c r="O8375" s="15" t="s">
        <v>117</v>
      </c>
      <c r="P8375" s="20" t="s">
        <v>197</v>
      </c>
      <c r="Q8375" s="15" t="s">
        <v>79</v>
      </c>
      <c r="R8375" s="4"/>
      <c r="S8375" s="4"/>
    </row>
    <row r="8376" spans="1:19" ht="21" customHeight="1" x14ac:dyDescent="0.25">
      <c r="A8376" s="14">
        <f>DATE(2012,12,31)-1099</f>
        <v>40175</v>
      </c>
      <c r="B8376" s="15" t="s">
        <v>892</v>
      </c>
      <c r="C8376" s="15" t="s">
        <v>51</v>
      </c>
      <c r="D8376" s="16">
        <v>7</v>
      </c>
      <c r="E8376" s="17">
        <v>235.98</v>
      </c>
      <c r="F8376" s="16">
        <v>0.02</v>
      </c>
      <c r="G8376" s="15" t="s">
        <v>32</v>
      </c>
      <c r="H8376" s="18">
        <v>-32.28</v>
      </c>
      <c r="I8376" s="19">
        <v>30.98</v>
      </c>
      <c r="J8376" s="19">
        <v>17.079999999999998</v>
      </c>
      <c r="K8376" s="19" t="s">
        <v>97</v>
      </c>
      <c r="L8376" s="19" t="s">
        <v>98</v>
      </c>
      <c r="M8376" s="15" t="s">
        <v>2387</v>
      </c>
      <c r="N8376" s="15" t="s">
        <v>36</v>
      </c>
      <c r="O8376" s="15" t="s">
        <v>117</v>
      </c>
      <c r="P8376" s="20" t="s">
        <v>166</v>
      </c>
      <c r="Q8376" s="15" t="s">
        <v>83</v>
      </c>
      <c r="R8376" s="4"/>
      <c r="S8376" s="4"/>
    </row>
    <row r="8377" spans="1:19" ht="21" customHeight="1" x14ac:dyDescent="0.25">
      <c r="A8377" s="14">
        <f>DATE(2012,12,31)-852</f>
        <v>40422</v>
      </c>
      <c r="B8377" s="15" t="s">
        <v>746</v>
      </c>
      <c r="C8377" s="15" t="s">
        <v>85</v>
      </c>
      <c r="D8377" s="16">
        <v>42</v>
      </c>
      <c r="E8377" s="17">
        <v>130.96</v>
      </c>
      <c r="F8377" s="16">
        <v>0.05</v>
      </c>
      <c r="G8377" s="15" t="s">
        <v>32</v>
      </c>
      <c r="H8377" s="18">
        <v>-66.739999999999995</v>
      </c>
      <c r="I8377" s="19">
        <v>3.14</v>
      </c>
      <c r="J8377" s="19">
        <v>1.92</v>
      </c>
      <c r="K8377" s="19" t="s">
        <v>97</v>
      </c>
      <c r="L8377" s="19" t="s">
        <v>195</v>
      </c>
      <c r="M8377" s="15" t="s">
        <v>2388</v>
      </c>
      <c r="N8377" s="15" t="s">
        <v>36</v>
      </c>
      <c r="O8377" s="15" t="s">
        <v>47</v>
      </c>
      <c r="P8377" s="20" t="s">
        <v>1375</v>
      </c>
      <c r="Q8377" s="15" t="s">
        <v>79</v>
      </c>
      <c r="R8377" s="4"/>
      <c r="S8377" s="4"/>
    </row>
    <row r="8378" spans="1:19" ht="21" customHeight="1" x14ac:dyDescent="0.25">
      <c r="A8378" s="14">
        <f>DATE(2012,12,31)-1422</f>
        <v>39852</v>
      </c>
      <c r="B8378" s="15" t="s">
        <v>506</v>
      </c>
      <c r="C8378" s="15" t="s">
        <v>85</v>
      </c>
      <c r="D8378" s="16">
        <v>47</v>
      </c>
      <c r="E8378" s="17">
        <v>714.46</v>
      </c>
      <c r="F8378" s="16">
        <v>7.0000000000000007E-2</v>
      </c>
      <c r="G8378" s="15" t="s">
        <v>32</v>
      </c>
      <c r="H8378" s="18">
        <v>-268.64999999999998</v>
      </c>
      <c r="I8378" s="19">
        <v>15.98</v>
      </c>
      <c r="J8378" s="19">
        <v>8.99</v>
      </c>
      <c r="K8378" s="19" t="s">
        <v>97</v>
      </c>
      <c r="L8378" s="19" t="s">
        <v>98</v>
      </c>
      <c r="M8378" s="15" t="s">
        <v>2387</v>
      </c>
      <c r="N8378" s="15" t="s">
        <v>64</v>
      </c>
      <c r="O8378" s="15" t="s">
        <v>72</v>
      </c>
      <c r="P8378" s="20" t="s">
        <v>454</v>
      </c>
      <c r="Q8378" s="15" t="s">
        <v>49</v>
      </c>
      <c r="R8378" s="4"/>
      <c r="S8378" s="4"/>
    </row>
    <row r="8379" spans="1:19" ht="21" customHeight="1" x14ac:dyDescent="0.25">
      <c r="A8379" s="14">
        <f>DATE(2012,12,31)-936</f>
        <v>40338</v>
      </c>
      <c r="B8379" s="15" t="s">
        <v>506</v>
      </c>
      <c r="C8379" s="15" t="s">
        <v>85</v>
      </c>
      <c r="D8379" s="16">
        <v>43</v>
      </c>
      <c r="E8379" s="17">
        <v>679.65</v>
      </c>
      <c r="F8379" s="16">
        <v>0</v>
      </c>
      <c r="G8379" s="15" t="s">
        <v>32</v>
      </c>
      <c r="H8379" s="18">
        <v>31.203500000000002</v>
      </c>
      <c r="I8379" s="19">
        <v>15.01</v>
      </c>
      <c r="J8379" s="19">
        <v>8.4</v>
      </c>
      <c r="K8379" s="19" t="s">
        <v>97</v>
      </c>
      <c r="L8379" s="19" t="s">
        <v>98</v>
      </c>
      <c r="M8379" s="15" t="s">
        <v>2387</v>
      </c>
      <c r="N8379" s="15" t="s">
        <v>36</v>
      </c>
      <c r="O8379" s="15" t="s">
        <v>170</v>
      </c>
      <c r="P8379" s="20" t="s">
        <v>2251</v>
      </c>
      <c r="Q8379" s="15" t="s">
        <v>83</v>
      </c>
      <c r="R8379" s="4"/>
      <c r="S8379" s="4"/>
    </row>
    <row r="8380" spans="1:19" ht="21" customHeight="1" x14ac:dyDescent="0.25">
      <c r="A8380" s="14">
        <f>DATE(2012,12,31)-355</f>
        <v>40919</v>
      </c>
      <c r="B8380" s="15" t="s">
        <v>2074</v>
      </c>
      <c r="C8380" s="15" t="s">
        <v>51</v>
      </c>
      <c r="D8380" s="16">
        <v>42</v>
      </c>
      <c r="E8380" s="17">
        <v>437.73</v>
      </c>
      <c r="F8380" s="16">
        <v>0.01</v>
      </c>
      <c r="G8380" s="15" t="s">
        <v>32</v>
      </c>
      <c r="H8380" s="18">
        <v>205.7</v>
      </c>
      <c r="I8380" s="19">
        <v>9.9</v>
      </c>
      <c r="J8380" s="19">
        <v>1.39</v>
      </c>
      <c r="K8380" s="19" t="s">
        <v>44</v>
      </c>
      <c r="L8380" s="19" t="s">
        <v>45</v>
      </c>
      <c r="M8380" s="15" t="s">
        <v>2385</v>
      </c>
      <c r="N8380" s="15" t="s">
        <v>36</v>
      </c>
      <c r="O8380" s="15" t="s">
        <v>189</v>
      </c>
      <c r="P8380" s="20" t="s">
        <v>1357</v>
      </c>
      <c r="Q8380" s="15" t="s">
        <v>83</v>
      </c>
      <c r="R8380" s="4"/>
      <c r="S8380" s="4"/>
    </row>
    <row r="8381" spans="1:19" ht="21" customHeight="1" x14ac:dyDescent="0.25">
      <c r="A8381" s="14">
        <f>DATE(2012,12,31)-355</f>
        <v>40919</v>
      </c>
      <c r="B8381" s="15" t="s">
        <v>2074</v>
      </c>
      <c r="C8381" s="15" t="s">
        <v>51</v>
      </c>
      <c r="D8381" s="16">
        <v>16</v>
      </c>
      <c r="E8381" s="17">
        <v>275.01</v>
      </c>
      <c r="F8381" s="16">
        <v>0</v>
      </c>
      <c r="G8381" s="15" t="s">
        <v>32</v>
      </c>
      <c r="H8381" s="18">
        <v>-87.11</v>
      </c>
      <c r="I8381" s="19">
        <v>15.7</v>
      </c>
      <c r="J8381" s="19">
        <v>11.25</v>
      </c>
      <c r="K8381" s="19" t="s">
        <v>124</v>
      </c>
      <c r="L8381" s="19" t="s">
        <v>164</v>
      </c>
      <c r="M8381" s="15" t="s">
        <v>2379</v>
      </c>
      <c r="N8381" s="15" t="s">
        <v>36</v>
      </c>
      <c r="O8381" s="15" t="s">
        <v>37</v>
      </c>
      <c r="P8381" s="20" t="s">
        <v>940</v>
      </c>
      <c r="Q8381" s="15" t="s">
        <v>83</v>
      </c>
      <c r="R8381" s="4"/>
      <c r="S8381" s="4"/>
    </row>
    <row r="8382" spans="1:19" ht="21" customHeight="1" x14ac:dyDescent="0.25">
      <c r="A8382" s="14">
        <f>DATE(2012,12,31)-580</f>
        <v>40694</v>
      </c>
      <c r="B8382" s="15" t="s">
        <v>2219</v>
      </c>
      <c r="C8382" s="15" t="s">
        <v>85</v>
      </c>
      <c r="D8382" s="16">
        <v>26</v>
      </c>
      <c r="E8382" s="17">
        <v>437.77</v>
      </c>
      <c r="F8382" s="16">
        <v>0.01</v>
      </c>
      <c r="G8382" s="15" t="s">
        <v>101</v>
      </c>
      <c r="H8382" s="18">
        <v>-125.8</v>
      </c>
      <c r="I8382" s="19">
        <v>15.98</v>
      </c>
      <c r="J8382" s="19">
        <v>8.99</v>
      </c>
      <c r="K8382" s="19" t="s">
        <v>124</v>
      </c>
      <c r="L8382" s="19" t="s">
        <v>160</v>
      </c>
      <c r="M8382" s="15" t="s">
        <v>2281</v>
      </c>
      <c r="N8382" s="15" t="s">
        <v>64</v>
      </c>
      <c r="O8382" s="15" t="s">
        <v>72</v>
      </c>
      <c r="P8382" s="20" t="s">
        <v>1720</v>
      </c>
      <c r="Q8382" s="15" t="s">
        <v>49</v>
      </c>
      <c r="R8382" s="4"/>
      <c r="S8382" s="4"/>
    </row>
    <row r="8383" spans="1:19" ht="21" customHeight="1" x14ac:dyDescent="0.25">
      <c r="A8383" s="14">
        <f>DATE(2012,12,31)-580</f>
        <v>40694</v>
      </c>
      <c r="B8383" s="15" t="s">
        <v>1092</v>
      </c>
      <c r="C8383" s="15" t="s">
        <v>85</v>
      </c>
      <c r="D8383" s="16">
        <v>45</v>
      </c>
      <c r="E8383" s="17">
        <v>514.86</v>
      </c>
      <c r="F8383" s="16">
        <v>0.08</v>
      </c>
      <c r="G8383" s="15" t="s">
        <v>32</v>
      </c>
      <c r="H8383" s="18">
        <v>-10.84</v>
      </c>
      <c r="I8383" s="19">
        <v>12.28</v>
      </c>
      <c r="J8383" s="19">
        <v>6.47</v>
      </c>
      <c r="K8383" s="19" t="s">
        <v>124</v>
      </c>
      <c r="L8383" s="19" t="s">
        <v>160</v>
      </c>
      <c r="M8383" s="15" t="s">
        <v>2281</v>
      </c>
      <c r="N8383" s="15" t="s">
        <v>36</v>
      </c>
      <c r="O8383" s="15" t="s">
        <v>117</v>
      </c>
      <c r="P8383" s="20" t="s">
        <v>928</v>
      </c>
      <c r="Q8383" s="15" t="s">
        <v>83</v>
      </c>
      <c r="R8383" s="4"/>
      <c r="S8383" s="4"/>
    </row>
    <row r="8384" spans="1:19" ht="21" customHeight="1" x14ac:dyDescent="0.25">
      <c r="A8384" s="14">
        <f>DATE(2012,12,31)-580</f>
        <v>40694</v>
      </c>
      <c r="B8384" s="15" t="s">
        <v>1092</v>
      </c>
      <c r="C8384" s="15" t="s">
        <v>85</v>
      </c>
      <c r="D8384" s="16">
        <v>12</v>
      </c>
      <c r="E8384" s="17">
        <v>356.27</v>
      </c>
      <c r="F8384" s="16">
        <v>0.1</v>
      </c>
      <c r="G8384" s="15" t="s">
        <v>101</v>
      </c>
      <c r="H8384" s="18">
        <v>84.53</v>
      </c>
      <c r="I8384" s="19">
        <v>30.98</v>
      </c>
      <c r="J8384" s="19">
        <v>5.09</v>
      </c>
      <c r="K8384" s="19" t="s">
        <v>124</v>
      </c>
      <c r="L8384" s="19" t="s">
        <v>493</v>
      </c>
      <c r="M8384" s="15" t="s">
        <v>2367</v>
      </c>
      <c r="N8384" s="15" t="s">
        <v>36</v>
      </c>
      <c r="O8384" s="15" t="s">
        <v>117</v>
      </c>
      <c r="P8384" s="20" t="s">
        <v>1560</v>
      </c>
      <c r="Q8384" s="15" t="s">
        <v>83</v>
      </c>
      <c r="R8384" s="4"/>
      <c r="S8384" s="4"/>
    </row>
    <row r="8385" spans="1:19" ht="21" customHeight="1" x14ac:dyDescent="0.25">
      <c r="A8385" s="14">
        <f>DATE(2012,12,31)-412</f>
        <v>40862</v>
      </c>
      <c r="B8385" s="15" t="s">
        <v>1092</v>
      </c>
      <c r="C8385" s="15" t="s">
        <v>31</v>
      </c>
      <c r="D8385" s="16">
        <v>29</v>
      </c>
      <c r="E8385" s="17">
        <v>11039.75</v>
      </c>
      <c r="F8385" s="16">
        <v>0.06</v>
      </c>
      <c r="G8385" s="15" t="s">
        <v>58</v>
      </c>
      <c r="H8385" s="18">
        <v>2148.9699999999998</v>
      </c>
      <c r="I8385" s="19">
        <v>400.97</v>
      </c>
      <c r="J8385" s="19">
        <v>14.7</v>
      </c>
      <c r="K8385" s="19" t="s">
        <v>124</v>
      </c>
      <c r="L8385" s="19" t="s">
        <v>160</v>
      </c>
      <c r="M8385" s="15" t="s">
        <v>2281</v>
      </c>
      <c r="N8385" s="15" t="s">
        <v>64</v>
      </c>
      <c r="O8385" s="15" t="s">
        <v>122</v>
      </c>
      <c r="P8385" s="20" t="s">
        <v>317</v>
      </c>
      <c r="Q8385" s="15" t="s">
        <v>181</v>
      </c>
      <c r="R8385" s="4"/>
      <c r="S8385" s="4"/>
    </row>
    <row r="8386" spans="1:19" ht="21" customHeight="1" x14ac:dyDescent="0.25">
      <c r="A8386" s="14">
        <f>DATE(2012,12,31)-412</f>
        <v>40862</v>
      </c>
      <c r="B8386" s="15" t="s">
        <v>1993</v>
      </c>
      <c r="C8386" s="15" t="s">
        <v>31</v>
      </c>
      <c r="D8386" s="16">
        <v>30</v>
      </c>
      <c r="E8386" s="17">
        <v>4982.9440000000004</v>
      </c>
      <c r="F8386" s="16">
        <v>7.0000000000000007E-2</v>
      </c>
      <c r="G8386" s="15" t="s">
        <v>58</v>
      </c>
      <c r="H8386" s="18">
        <v>693.69</v>
      </c>
      <c r="I8386" s="19">
        <v>217.85</v>
      </c>
      <c r="J8386" s="19">
        <v>29.1</v>
      </c>
      <c r="K8386" s="19" t="s">
        <v>124</v>
      </c>
      <c r="L8386" s="19" t="s">
        <v>160</v>
      </c>
      <c r="M8386" s="15" t="s">
        <v>2281</v>
      </c>
      <c r="N8386" s="15" t="s">
        <v>54</v>
      </c>
      <c r="O8386" s="15" t="s">
        <v>61</v>
      </c>
      <c r="P8386" s="20" t="s">
        <v>1374</v>
      </c>
      <c r="Q8386" s="15" t="s">
        <v>63</v>
      </c>
      <c r="R8386" s="4"/>
      <c r="S8386" s="4"/>
    </row>
    <row r="8387" spans="1:19" ht="21" customHeight="1" x14ac:dyDescent="0.25">
      <c r="A8387" s="14">
        <f>DATE(2012,12,31)-261</f>
        <v>41013</v>
      </c>
      <c r="B8387" s="15" t="s">
        <v>794</v>
      </c>
      <c r="C8387" s="15" t="s">
        <v>51</v>
      </c>
      <c r="D8387" s="16">
        <v>5</v>
      </c>
      <c r="E8387" s="17">
        <v>26.5</v>
      </c>
      <c r="F8387" s="16">
        <v>0.01</v>
      </c>
      <c r="G8387" s="15" t="s">
        <v>101</v>
      </c>
      <c r="H8387" s="18">
        <v>2.61</v>
      </c>
      <c r="I8387" s="19">
        <v>4.26</v>
      </c>
      <c r="J8387" s="19">
        <v>1.2</v>
      </c>
      <c r="K8387" s="19" t="s">
        <v>124</v>
      </c>
      <c r="L8387" s="19" t="s">
        <v>158</v>
      </c>
      <c r="M8387" s="15" t="s">
        <v>158</v>
      </c>
      <c r="N8387" s="15" t="s">
        <v>36</v>
      </c>
      <c r="O8387" s="15" t="s">
        <v>77</v>
      </c>
      <c r="P8387" s="20" t="s">
        <v>306</v>
      </c>
      <c r="Q8387" s="15" t="s">
        <v>79</v>
      </c>
      <c r="R8387" s="4"/>
      <c r="S8387" s="4"/>
    </row>
    <row r="8388" spans="1:19" ht="21" customHeight="1" x14ac:dyDescent="0.25">
      <c r="A8388" s="14">
        <f>DATE(2012,12,31)-956</f>
        <v>40318</v>
      </c>
      <c r="B8388" s="15" t="s">
        <v>794</v>
      </c>
      <c r="C8388" s="15" t="s">
        <v>51</v>
      </c>
      <c r="D8388" s="16">
        <v>32</v>
      </c>
      <c r="E8388" s="17">
        <v>284.92</v>
      </c>
      <c r="F8388" s="16">
        <v>0.03</v>
      </c>
      <c r="G8388" s="15" t="s">
        <v>32</v>
      </c>
      <c r="H8388" s="18">
        <v>81.290000000000006</v>
      </c>
      <c r="I8388" s="19">
        <v>9.11</v>
      </c>
      <c r="J8388" s="19">
        <v>2.15</v>
      </c>
      <c r="K8388" s="19" t="s">
        <v>124</v>
      </c>
      <c r="L8388" s="19" t="s">
        <v>125</v>
      </c>
      <c r="M8388" s="15" t="s">
        <v>2358</v>
      </c>
      <c r="N8388" s="15" t="s">
        <v>36</v>
      </c>
      <c r="O8388" s="15" t="s">
        <v>117</v>
      </c>
      <c r="P8388" s="20" t="s">
        <v>1860</v>
      </c>
      <c r="Q8388" s="15" t="s">
        <v>79</v>
      </c>
      <c r="R8388" s="4"/>
      <c r="S8388" s="4"/>
    </row>
    <row r="8389" spans="1:19" ht="21" customHeight="1" x14ac:dyDescent="0.25">
      <c r="A8389" s="14">
        <f>DATE(2012,12,31)-148</f>
        <v>41126</v>
      </c>
      <c r="B8389" s="15" t="s">
        <v>1128</v>
      </c>
      <c r="C8389" s="15" t="s">
        <v>31</v>
      </c>
      <c r="D8389" s="16">
        <v>11</v>
      </c>
      <c r="E8389" s="17">
        <v>1255.48</v>
      </c>
      <c r="F8389" s="16">
        <v>0.06</v>
      </c>
      <c r="G8389" s="15" t="s">
        <v>58</v>
      </c>
      <c r="H8389" s="18">
        <v>-292.6506</v>
      </c>
      <c r="I8389" s="19">
        <v>115.99</v>
      </c>
      <c r="J8389" s="19">
        <v>56.14</v>
      </c>
      <c r="K8389" s="19" t="s">
        <v>124</v>
      </c>
      <c r="L8389" s="19" t="s">
        <v>164</v>
      </c>
      <c r="M8389" s="15" t="s">
        <v>2379</v>
      </c>
      <c r="N8389" s="15" t="s">
        <v>64</v>
      </c>
      <c r="O8389" s="15" t="s">
        <v>122</v>
      </c>
      <c r="P8389" s="20" t="s">
        <v>1374</v>
      </c>
      <c r="Q8389" s="15" t="s">
        <v>181</v>
      </c>
      <c r="R8389" s="4"/>
      <c r="S8389" s="4"/>
    </row>
    <row r="8390" spans="1:19" ht="21" customHeight="1" x14ac:dyDescent="0.25">
      <c r="A8390" s="14">
        <f>DATE(2012,12,31)-148</f>
        <v>41126</v>
      </c>
      <c r="B8390" s="15" t="s">
        <v>884</v>
      </c>
      <c r="C8390" s="15" t="s">
        <v>31</v>
      </c>
      <c r="D8390" s="16">
        <v>46</v>
      </c>
      <c r="E8390" s="17">
        <v>411.56</v>
      </c>
      <c r="F8390" s="16">
        <v>0.09</v>
      </c>
      <c r="G8390" s="15" t="s">
        <v>101</v>
      </c>
      <c r="H8390" s="18">
        <v>-188.02</v>
      </c>
      <c r="I8390" s="19">
        <v>9.3800000000000008</v>
      </c>
      <c r="J8390" s="19">
        <v>7.28</v>
      </c>
      <c r="K8390" s="19" t="s">
        <v>124</v>
      </c>
      <c r="L8390" s="19" t="s">
        <v>168</v>
      </c>
      <c r="M8390" s="15" t="s">
        <v>2378</v>
      </c>
      <c r="N8390" s="15" t="s">
        <v>36</v>
      </c>
      <c r="O8390" s="15" t="s">
        <v>37</v>
      </c>
      <c r="P8390" s="20" t="s">
        <v>1867</v>
      </c>
      <c r="Q8390" s="15" t="s">
        <v>83</v>
      </c>
      <c r="R8390" s="4"/>
      <c r="S8390" s="4"/>
    </row>
    <row r="8391" spans="1:19" ht="21" customHeight="1" x14ac:dyDescent="0.25">
      <c r="A8391" s="14">
        <f>DATE(2012,12,31)-379</f>
        <v>40895</v>
      </c>
      <c r="B8391" s="15" t="s">
        <v>311</v>
      </c>
      <c r="C8391" s="15" t="s">
        <v>43</v>
      </c>
      <c r="D8391" s="16">
        <v>1</v>
      </c>
      <c r="E8391" s="17">
        <v>10.59</v>
      </c>
      <c r="F8391" s="16">
        <v>0.1</v>
      </c>
      <c r="G8391" s="15" t="s">
        <v>32</v>
      </c>
      <c r="H8391" s="18">
        <v>-4.3099999999999996</v>
      </c>
      <c r="I8391" s="19">
        <v>9.11</v>
      </c>
      <c r="J8391" s="19">
        <v>2.15</v>
      </c>
      <c r="K8391" s="19" t="s">
        <v>44</v>
      </c>
      <c r="L8391" s="19" t="s">
        <v>236</v>
      </c>
      <c r="M8391" s="15" t="s">
        <v>2381</v>
      </c>
      <c r="N8391" s="15" t="s">
        <v>36</v>
      </c>
      <c r="O8391" s="15" t="s">
        <v>117</v>
      </c>
      <c r="P8391" s="20" t="s">
        <v>148</v>
      </c>
      <c r="Q8391" s="15" t="s">
        <v>79</v>
      </c>
      <c r="R8391" s="4"/>
      <c r="S8391" s="4"/>
    </row>
    <row r="8392" spans="1:19" ht="21" customHeight="1" x14ac:dyDescent="0.25">
      <c r="A8392" s="14">
        <f>DATE(2012,12,31)-1099</f>
        <v>40175</v>
      </c>
      <c r="B8392" s="15" t="s">
        <v>994</v>
      </c>
      <c r="C8392" s="15" t="s">
        <v>51</v>
      </c>
      <c r="D8392" s="16">
        <v>7</v>
      </c>
      <c r="E8392" s="17">
        <v>235.98</v>
      </c>
      <c r="F8392" s="16">
        <v>0.02</v>
      </c>
      <c r="G8392" s="15" t="s">
        <v>32</v>
      </c>
      <c r="H8392" s="18">
        <v>-32.28</v>
      </c>
      <c r="I8392" s="19">
        <v>30.98</v>
      </c>
      <c r="J8392" s="19">
        <v>17.079999999999998</v>
      </c>
      <c r="K8392" s="19" t="s">
        <v>124</v>
      </c>
      <c r="L8392" s="19" t="s">
        <v>319</v>
      </c>
      <c r="M8392" s="15" t="s">
        <v>2375</v>
      </c>
      <c r="N8392" s="15" t="s">
        <v>36</v>
      </c>
      <c r="O8392" s="15" t="s">
        <v>117</v>
      </c>
      <c r="P8392" s="20" t="s">
        <v>1198</v>
      </c>
      <c r="Q8392" s="15" t="s">
        <v>83</v>
      </c>
      <c r="R8392" s="4"/>
      <c r="S8392" s="4"/>
    </row>
    <row r="8393" spans="1:19" ht="21" customHeight="1" x14ac:dyDescent="0.25">
      <c r="A8393" s="14">
        <f>DATE(2012,12,31)-852</f>
        <v>40422</v>
      </c>
      <c r="B8393" s="15" t="s">
        <v>401</v>
      </c>
      <c r="C8393" s="15" t="s">
        <v>85</v>
      </c>
      <c r="D8393" s="16">
        <v>42</v>
      </c>
      <c r="E8393" s="17">
        <v>130.96</v>
      </c>
      <c r="F8393" s="16">
        <v>0.05</v>
      </c>
      <c r="G8393" s="15" t="s">
        <v>32</v>
      </c>
      <c r="H8393" s="18">
        <v>-66.739999999999995</v>
      </c>
      <c r="I8393" s="19">
        <v>3.14</v>
      </c>
      <c r="J8393" s="19">
        <v>1.92</v>
      </c>
      <c r="K8393" s="19" t="s">
        <v>44</v>
      </c>
      <c r="L8393" s="19" t="s">
        <v>52</v>
      </c>
      <c r="M8393" s="15" t="s">
        <v>2380</v>
      </c>
      <c r="N8393" s="15" t="s">
        <v>36</v>
      </c>
      <c r="O8393" s="15" t="s">
        <v>47</v>
      </c>
      <c r="P8393" s="20" t="s">
        <v>1304</v>
      </c>
      <c r="Q8393" s="15" t="s">
        <v>79</v>
      </c>
      <c r="R8393" s="4"/>
      <c r="S8393" s="4"/>
    </row>
    <row r="8394" spans="1:19" ht="21" customHeight="1" x14ac:dyDescent="0.25">
      <c r="A8394" s="14">
        <f>DATE(2012,12,31)-1422</f>
        <v>39852</v>
      </c>
      <c r="B8394" s="15" t="s">
        <v>394</v>
      </c>
      <c r="C8394" s="15" t="s">
        <v>85</v>
      </c>
      <c r="D8394" s="16">
        <v>47</v>
      </c>
      <c r="E8394" s="17">
        <v>714.46</v>
      </c>
      <c r="F8394" s="16">
        <v>7.0000000000000007E-2</v>
      </c>
      <c r="G8394" s="15" t="s">
        <v>32</v>
      </c>
      <c r="H8394" s="18">
        <v>-268.64999999999998</v>
      </c>
      <c r="I8394" s="19">
        <v>15.98</v>
      </c>
      <c r="J8394" s="19">
        <v>8.99</v>
      </c>
      <c r="K8394" s="19" t="s">
        <v>44</v>
      </c>
      <c r="L8394" s="19" t="s">
        <v>52</v>
      </c>
      <c r="M8394" s="15" t="s">
        <v>2380</v>
      </c>
      <c r="N8394" s="15" t="s">
        <v>64</v>
      </c>
      <c r="O8394" s="15" t="s">
        <v>72</v>
      </c>
      <c r="P8394" s="20" t="s">
        <v>190</v>
      </c>
      <c r="Q8394" s="15" t="s">
        <v>49</v>
      </c>
      <c r="R8394" s="4"/>
      <c r="S8394" s="4"/>
    </row>
    <row r="8395" spans="1:19" ht="21" customHeight="1" x14ac:dyDescent="0.25">
      <c r="A8395" s="14">
        <f>DATE(2012,12,31)-936</f>
        <v>40338</v>
      </c>
      <c r="B8395" s="15" t="s">
        <v>394</v>
      </c>
      <c r="C8395" s="15" t="s">
        <v>85</v>
      </c>
      <c r="D8395" s="16">
        <v>43</v>
      </c>
      <c r="E8395" s="17">
        <v>679.65</v>
      </c>
      <c r="F8395" s="16">
        <v>0</v>
      </c>
      <c r="G8395" s="15" t="s">
        <v>32</v>
      </c>
      <c r="H8395" s="18">
        <v>31.203500000000002</v>
      </c>
      <c r="I8395" s="19">
        <v>15.01</v>
      </c>
      <c r="J8395" s="19">
        <v>8.4</v>
      </c>
      <c r="K8395" s="19" t="s">
        <v>44</v>
      </c>
      <c r="L8395" s="19" t="s">
        <v>52</v>
      </c>
      <c r="M8395" s="15" t="s">
        <v>2380</v>
      </c>
      <c r="N8395" s="15" t="s">
        <v>36</v>
      </c>
      <c r="O8395" s="15" t="s">
        <v>170</v>
      </c>
      <c r="P8395" s="20" t="s">
        <v>242</v>
      </c>
      <c r="Q8395" s="15" t="s">
        <v>83</v>
      </c>
      <c r="R8395" s="4"/>
      <c r="S8395" s="4"/>
    </row>
    <row r="8396" spans="1:19" ht="21" customHeight="1" x14ac:dyDescent="0.25">
      <c r="A8396" s="14">
        <f>DATE(2012,12,31)-780</f>
        <v>40494</v>
      </c>
      <c r="B8396" s="15" t="s">
        <v>149</v>
      </c>
      <c r="C8396" s="15" t="s">
        <v>43</v>
      </c>
      <c r="D8396" s="16">
        <v>42</v>
      </c>
      <c r="E8396" s="17">
        <v>2170.3049999999998</v>
      </c>
      <c r="F8396" s="16">
        <v>0.1</v>
      </c>
      <c r="G8396" s="15" t="s">
        <v>32</v>
      </c>
      <c r="H8396" s="18">
        <v>264.32100000000003</v>
      </c>
      <c r="I8396" s="19">
        <v>65.989999999999995</v>
      </c>
      <c r="J8396" s="19">
        <v>8.99</v>
      </c>
      <c r="K8396" s="19" t="s">
        <v>44</v>
      </c>
      <c r="L8396" s="19" t="s">
        <v>52</v>
      </c>
      <c r="M8396" s="15" t="s">
        <v>2380</v>
      </c>
      <c r="N8396" s="15" t="s">
        <v>64</v>
      </c>
      <c r="O8396" s="15" t="s">
        <v>65</v>
      </c>
      <c r="P8396" s="20" t="s">
        <v>1198</v>
      </c>
      <c r="Q8396" s="15" t="s">
        <v>83</v>
      </c>
      <c r="R8396" s="4"/>
      <c r="S8396" s="4"/>
    </row>
    <row r="8397" spans="1:19" ht="21" customHeight="1" x14ac:dyDescent="0.25">
      <c r="A8397" s="14">
        <f>DATE(2012,12,31)-412</f>
        <v>40862</v>
      </c>
      <c r="B8397" s="15" t="s">
        <v>149</v>
      </c>
      <c r="C8397" s="15" t="s">
        <v>85</v>
      </c>
      <c r="D8397" s="16">
        <v>40</v>
      </c>
      <c r="E8397" s="17">
        <v>718.6</v>
      </c>
      <c r="F8397" s="16">
        <v>0.08</v>
      </c>
      <c r="G8397" s="15" t="s">
        <v>32</v>
      </c>
      <c r="H8397" s="18">
        <v>-81.489999999999995</v>
      </c>
      <c r="I8397" s="19">
        <v>17.98</v>
      </c>
      <c r="J8397" s="19">
        <v>4</v>
      </c>
      <c r="K8397" s="19" t="s">
        <v>44</v>
      </c>
      <c r="L8397" s="19" t="s">
        <v>52</v>
      </c>
      <c r="M8397" s="15" t="s">
        <v>2380</v>
      </c>
      <c r="N8397" s="15" t="s">
        <v>64</v>
      </c>
      <c r="O8397" s="15" t="s">
        <v>72</v>
      </c>
      <c r="P8397" s="20" t="s">
        <v>832</v>
      </c>
      <c r="Q8397" s="15" t="s">
        <v>83</v>
      </c>
      <c r="R8397" s="4"/>
      <c r="S8397" s="4"/>
    </row>
    <row r="8398" spans="1:19" ht="21" customHeight="1" x14ac:dyDescent="0.25">
      <c r="A8398" s="14">
        <f>DATE(2012,12,31)-1112</f>
        <v>40162</v>
      </c>
      <c r="B8398" s="15" t="s">
        <v>149</v>
      </c>
      <c r="C8398" s="15" t="s">
        <v>43</v>
      </c>
      <c r="D8398" s="16">
        <v>27</v>
      </c>
      <c r="E8398" s="17">
        <v>43.46</v>
      </c>
      <c r="F8398" s="16">
        <v>0</v>
      </c>
      <c r="G8398" s="15" t="s">
        <v>32</v>
      </c>
      <c r="H8398" s="18">
        <v>6.81</v>
      </c>
      <c r="I8398" s="19">
        <v>1.48</v>
      </c>
      <c r="J8398" s="19">
        <v>0.7</v>
      </c>
      <c r="K8398" s="19" t="s">
        <v>44</v>
      </c>
      <c r="L8398" s="19" t="s">
        <v>52</v>
      </c>
      <c r="M8398" s="15" t="s">
        <v>2380</v>
      </c>
      <c r="N8398" s="15" t="s">
        <v>36</v>
      </c>
      <c r="O8398" s="15" t="s">
        <v>105</v>
      </c>
      <c r="P8398" s="20" t="s">
        <v>1385</v>
      </c>
      <c r="Q8398" s="15" t="s">
        <v>79</v>
      </c>
      <c r="R8398" s="4"/>
      <c r="S8398" s="4"/>
    </row>
    <row r="8399" spans="1:19" ht="21" customHeight="1" x14ac:dyDescent="0.25">
      <c r="A8399" s="14">
        <f>DATE(2012,12,31)-1112</f>
        <v>40162</v>
      </c>
      <c r="B8399" s="15" t="s">
        <v>1379</v>
      </c>
      <c r="C8399" s="15" t="s">
        <v>43</v>
      </c>
      <c r="D8399" s="16">
        <v>5</v>
      </c>
      <c r="E8399" s="17">
        <v>927.98749999999995</v>
      </c>
      <c r="F8399" s="16">
        <v>0</v>
      </c>
      <c r="G8399" s="15" t="s">
        <v>32</v>
      </c>
      <c r="H8399" s="18">
        <v>-615.91199999999992</v>
      </c>
      <c r="I8399" s="19">
        <v>205.99</v>
      </c>
      <c r="J8399" s="19">
        <v>8.99</v>
      </c>
      <c r="K8399" s="19" t="s">
        <v>44</v>
      </c>
      <c r="L8399" s="19" t="s">
        <v>52</v>
      </c>
      <c r="M8399" s="15" t="s">
        <v>2380</v>
      </c>
      <c r="N8399" s="15" t="s">
        <v>64</v>
      </c>
      <c r="O8399" s="15" t="s">
        <v>65</v>
      </c>
      <c r="P8399" s="20" t="s">
        <v>2141</v>
      </c>
      <c r="Q8399" s="15" t="s">
        <v>83</v>
      </c>
      <c r="R8399" s="4"/>
      <c r="S8399" s="4"/>
    </row>
    <row r="8400" spans="1:19" ht="21" customHeight="1" x14ac:dyDescent="0.25">
      <c r="A8400" s="14">
        <f>DATE(2012,12,31)-168</f>
        <v>41106</v>
      </c>
      <c r="B8400" s="15" t="s">
        <v>1379</v>
      </c>
      <c r="C8400" s="15" t="s">
        <v>43</v>
      </c>
      <c r="D8400" s="16">
        <v>34</v>
      </c>
      <c r="E8400" s="17">
        <v>94.56</v>
      </c>
      <c r="F8400" s="16">
        <v>0</v>
      </c>
      <c r="G8400" s="15" t="s">
        <v>32</v>
      </c>
      <c r="H8400" s="18">
        <v>37.729999999999997</v>
      </c>
      <c r="I8400" s="19">
        <v>2.61</v>
      </c>
      <c r="J8400" s="19">
        <v>0.5</v>
      </c>
      <c r="K8400" s="19" t="s">
        <v>44</v>
      </c>
      <c r="L8400" s="19" t="s">
        <v>52</v>
      </c>
      <c r="M8400" s="15" t="s">
        <v>2380</v>
      </c>
      <c r="N8400" s="15" t="s">
        <v>36</v>
      </c>
      <c r="O8400" s="15" t="s">
        <v>114</v>
      </c>
      <c r="P8400" s="20" t="s">
        <v>2317</v>
      </c>
      <c r="Q8400" s="15" t="s">
        <v>83</v>
      </c>
      <c r="R8400" s="4"/>
      <c r="S8400" s="4"/>
    </row>
    <row r="8401" spans="1:19" ht="21" customHeight="1" x14ac:dyDescent="0.25">
      <c r="A8401" s="14">
        <f>DATE(2012,12,31)-836</f>
        <v>40438</v>
      </c>
      <c r="B8401" s="15" t="s">
        <v>1525</v>
      </c>
      <c r="C8401" s="15" t="s">
        <v>85</v>
      </c>
      <c r="D8401" s="16">
        <v>30</v>
      </c>
      <c r="E8401" s="17">
        <v>397.17</v>
      </c>
      <c r="F8401" s="16">
        <v>0.1</v>
      </c>
      <c r="G8401" s="15" t="s">
        <v>101</v>
      </c>
      <c r="H8401" s="18">
        <v>7.69</v>
      </c>
      <c r="I8401" s="19">
        <v>14.34</v>
      </c>
      <c r="J8401" s="19">
        <v>5</v>
      </c>
      <c r="K8401" s="19" t="s">
        <v>44</v>
      </c>
      <c r="L8401" s="19" t="s">
        <v>52</v>
      </c>
      <c r="M8401" s="15" t="s">
        <v>2380</v>
      </c>
      <c r="N8401" s="15" t="s">
        <v>54</v>
      </c>
      <c r="O8401" s="15" t="s">
        <v>55</v>
      </c>
      <c r="P8401" s="21" t="s">
        <v>277</v>
      </c>
      <c r="Q8401" s="15" t="s">
        <v>49</v>
      </c>
      <c r="R8401" s="4"/>
      <c r="S8401" s="4"/>
    </row>
    <row r="8402" spans="1:19" ht="21" customHeight="1" x14ac:dyDescent="0.25">
      <c r="A8402" s="14">
        <f>DATE(2012,12,31)-948</f>
        <v>40326</v>
      </c>
      <c r="B8402" s="15" t="s">
        <v>1525</v>
      </c>
      <c r="C8402" s="15" t="s">
        <v>85</v>
      </c>
      <c r="D8402" s="16">
        <v>3</v>
      </c>
      <c r="E8402" s="17">
        <v>336.84</v>
      </c>
      <c r="F8402" s="16">
        <v>0.08</v>
      </c>
      <c r="G8402" s="15" t="s">
        <v>58</v>
      </c>
      <c r="H8402" s="18">
        <v>-160.46</v>
      </c>
      <c r="I8402" s="19">
        <v>100.98</v>
      </c>
      <c r="J8402" s="19">
        <v>35.840000000000003</v>
      </c>
      <c r="K8402" s="19" t="s">
        <v>44</v>
      </c>
      <c r="L8402" s="19" t="s">
        <v>52</v>
      </c>
      <c r="M8402" s="15" t="s">
        <v>2380</v>
      </c>
      <c r="N8402" s="15" t="s">
        <v>54</v>
      </c>
      <c r="O8402" s="15" t="s">
        <v>134</v>
      </c>
      <c r="P8402" s="21" t="s">
        <v>440</v>
      </c>
      <c r="Q8402" s="15" t="s">
        <v>63</v>
      </c>
      <c r="R8402" s="4"/>
      <c r="S8402" s="4"/>
    </row>
    <row r="8403" spans="1:19" ht="21" customHeight="1" x14ac:dyDescent="0.25">
      <c r="A8403" s="14">
        <f>DATE(2012,12,31)-948</f>
        <v>40326</v>
      </c>
      <c r="B8403" s="15" t="s">
        <v>1525</v>
      </c>
      <c r="C8403" s="15" t="s">
        <v>85</v>
      </c>
      <c r="D8403" s="16">
        <v>7</v>
      </c>
      <c r="E8403" s="17">
        <v>1120.27</v>
      </c>
      <c r="F8403" s="16">
        <v>0</v>
      </c>
      <c r="G8403" s="15" t="s">
        <v>32</v>
      </c>
      <c r="H8403" s="18">
        <v>16.809999999999999</v>
      </c>
      <c r="I8403" s="19">
        <v>150.97999999999999</v>
      </c>
      <c r="J8403" s="19">
        <v>13.99</v>
      </c>
      <c r="K8403" s="19" t="s">
        <v>44</v>
      </c>
      <c r="L8403" s="19" t="s">
        <v>236</v>
      </c>
      <c r="M8403" s="15" t="s">
        <v>2381</v>
      </c>
      <c r="N8403" s="15" t="s">
        <v>64</v>
      </c>
      <c r="O8403" s="15" t="s">
        <v>122</v>
      </c>
      <c r="P8403" s="21" t="s">
        <v>123</v>
      </c>
      <c r="Q8403" s="15" t="s">
        <v>57</v>
      </c>
      <c r="R8403" s="4"/>
      <c r="S8403" s="4"/>
    </row>
    <row r="8404" spans="1:19" ht="21" customHeight="1" x14ac:dyDescent="0.25">
      <c r="A8404" s="14">
        <f>DATE(2012,12,31)-100</f>
        <v>41174</v>
      </c>
      <c r="B8404" s="15" t="s">
        <v>1525</v>
      </c>
      <c r="C8404" s="15" t="s">
        <v>51</v>
      </c>
      <c r="D8404" s="16">
        <v>45</v>
      </c>
      <c r="E8404" s="17">
        <v>712.04</v>
      </c>
      <c r="F8404" s="16">
        <v>7.0000000000000007E-2</v>
      </c>
      <c r="G8404" s="15" t="s">
        <v>32</v>
      </c>
      <c r="H8404" s="18">
        <v>-110.925</v>
      </c>
      <c r="I8404" s="19">
        <v>15.99</v>
      </c>
      <c r="J8404" s="19">
        <v>9.4</v>
      </c>
      <c r="K8404" s="19" t="s">
        <v>44</v>
      </c>
      <c r="L8404" s="19" t="s">
        <v>52</v>
      </c>
      <c r="M8404" s="15" t="s">
        <v>2380</v>
      </c>
      <c r="N8404" s="15" t="s">
        <v>64</v>
      </c>
      <c r="O8404" s="15" t="s">
        <v>122</v>
      </c>
      <c r="P8404" s="21" t="s">
        <v>2389</v>
      </c>
      <c r="Q8404" s="15" t="s">
        <v>83</v>
      </c>
      <c r="R8404" s="4"/>
      <c r="S8404" s="4"/>
    </row>
    <row r="8405" spans="1:19" ht="21" customHeight="1" x14ac:dyDescent="0.25">
      <c r="A8405" s="14">
        <f>DATE(2012,12,31)-299</f>
        <v>40975</v>
      </c>
      <c r="B8405" s="15" t="s">
        <v>1525</v>
      </c>
      <c r="C8405" s="15" t="s">
        <v>31</v>
      </c>
      <c r="D8405" s="16">
        <v>25</v>
      </c>
      <c r="E8405" s="17">
        <v>167.23</v>
      </c>
      <c r="F8405" s="16">
        <v>0.05</v>
      </c>
      <c r="G8405" s="15" t="s">
        <v>32</v>
      </c>
      <c r="H8405" s="18">
        <v>-43.17</v>
      </c>
      <c r="I8405" s="19">
        <v>6.68</v>
      </c>
      <c r="J8405" s="19">
        <v>5.41</v>
      </c>
      <c r="K8405" s="19" t="s">
        <v>44</v>
      </c>
      <c r="L8405" s="19" t="s">
        <v>52</v>
      </c>
      <c r="M8405" s="15" t="s">
        <v>2380</v>
      </c>
      <c r="N8405" s="15" t="s">
        <v>36</v>
      </c>
      <c r="O8405" s="15" t="s">
        <v>117</v>
      </c>
      <c r="P8405" s="21" t="s">
        <v>268</v>
      </c>
      <c r="Q8405" s="15" t="s">
        <v>83</v>
      </c>
      <c r="R8405" s="4"/>
      <c r="S8405" s="4"/>
    </row>
    <row r="8406" spans="1:19" ht="21" customHeight="1" x14ac:dyDescent="0.25">
      <c r="A8406" s="14">
        <f>DATE(2012,12,31)-264</f>
        <v>41010</v>
      </c>
      <c r="B8406" s="15" t="s">
        <v>1525</v>
      </c>
      <c r="C8406" s="15" t="s">
        <v>85</v>
      </c>
      <c r="D8406" s="16">
        <v>25</v>
      </c>
      <c r="E8406" s="17">
        <v>1610.26</v>
      </c>
      <c r="F8406" s="16">
        <v>0.06</v>
      </c>
      <c r="G8406" s="15" t="s">
        <v>32</v>
      </c>
      <c r="H8406" s="18">
        <v>122.42</v>
      </c>
      <c r="I8406" s="19">
        <v>64.98</v>
      </c>
      <c r="J8406" s="19">
        <v>6.88</v>
      </c>
      <c r="K8406" s="19" t="s">
        <v>44</v>
      </c>
      <c r="L8406" s="19" t="s">
        <v>52</v>
      </c>
      <c r="M8406" s="15" t="s">
        <v>2380</v>
      </c>
      <c r="N8406" s="15" t="s">
        <v>36</v>
      </c>
      <c r="O8406" s="15" t="s">
        <v>37</v>
      </c>
      <c r="P8406" s="21" t="s">
        <v>2390</v>
      </c>
      <c r="Q8406" s="15" t="s">
        <v>83</v>
      </c>
      <c r="R8406" s="4"/>
      <c r="S8406" s="4"/>
    </row>
    <row r="8407" spans="1:19" ht="21" customHeight="1" x14ac:dyDescent="0.25">
      <c r="A8407" s="14">
        <f>DATE(2012,12,31)-1179</f>
        <v>40095</v>
      </c>
      <c r="B8407" s="15" t="s">
        <v>1525</v>
      </c>
      <c r="C8407" s="15" t="s">
        <v>43</v>
      </c>
      <c r="D8407" s="16">
        <v>34</v>
      </c>
      <c r="E8407" s="17">
        <v>3361.84</v>
      </c>
      <c r="F8407" s="16">
        <v>0.08</v>
      </c>
      <c r="G8407" s="15" t="s">
        <v>58</v>
      </c>
      <c r="H8407" s="18">
        <v>1211.76</v>
      </c>
      <c r="I8407" s="19">
        <v>100.97</v>
      </c>
      <c r="J8407" s="19">
        <v>14</v>
      </c>
      <c r="K8407" s="19" t="s">
        <v>44</v>
      </c>
      <c r="L8407" s="19" t="s">
        <v>52</v>
      </c>
      <c r="M8407" s="15" t="s">
        <v>2380</v>
      </c>
      <c r="N8407" s="15" t="s">
        <v>64</v>
      </c>
      <c r="O8407" s="15" t="s">
        <v>122</v>
      </c>
      <c r="P8407" s="21" t="s">
        <v>1615</v>
      </c>
      <c r="Q8407" s="15" t="s">
        <v>181</v>
      </c>
      <c r="R8407" s="4"/>
      <c r="S8407" s="4"/>
    </row>
    <row r="8408" spans="1:19" ht="21" customHeight="1" x14ac:dyDescent="0.25">
      <c r="A8408" s="14">
        <f>DATE(2012,12,31)-1179</f>
        <v>40095</v>
      </c>
      <c r="B8408" s="15" t="s">
        <v>1525</v>
      </c>
      <c r="C8408" s="15" t="s">
        <v>43</v>
      </c>
      <c r="D8408" s="16">
        <v>29</v>
      </c>
      <c r="E8408" s="17">
        <v>195.82</v>
      </c>
      <c r="F8408" s="16">
        <v>7.0000000000000007E-2</v>
      </c>
      <c r="G8408" s="15" t="s">
        <v>32</v>
      </c>
      <c r="H8408" s="18">
        <v>-91.7</v>
      </c>
      <c r="I8408" s="19">
        <v>6.48</v>
      </c>
      <c r="J8408" s="19">
        <v>7.07</v>
      </c>
      <c r="K8408" s="19" t="s">
        <v>44</v>
      </c>
      <c r="L8408" s="19" t="s">
        <v>52</v>
      </c>
      <c r="M8408" s="15" t="s">
        <v>2380</v>
      </c>
      <c r="N8408" s="15" t="s">
        <v>36</v>
      </c>
      <c r="O8408" s="15" t="s">
        <v>117</v>
      </c>
      <c r="P8408" s="21" t="s">
        <v>2386</v>
      </c>
      <c r="Q8408" s="15" t="s">
        <v>83</v>
      </c>
      <c r="R8408" s="4"/>
      <c r="S8408" s="4"/>
    </row>
    <row r="8409" spans="1:19" ht="21" customHeight="1" x14ac:dyDescent="0.25">
      <c r="A8409" s="14">
        <f>DATE(2012,12,31)-1052</f>
        <v>40222</v>
      </c>
      <c r="B8409" s="15" t="s">
        <v>1525</v>
      </c>
      <c r="C8409" s="15" t="s">
        <v>43</v>
      </c>
      <c r="D8409" s="16">
        <v>35</v>
      </c>
      <c r="E8409" s="17">
        <v>225.4</v>
      </c>
      <c r="F8409" s="16">
        <v>0.08</v>
      </c>
      <c r="G8409" s="15" t="s">
        <v>32</v>
      </c>
      <c r="H8409" s="18">
        <v>-165.48</v>
      </c>
      <c r="I8409" s="19">
        <v>6.48</v>
      </c>
      <c r="J8409" s="19">
        <v>8.4</v>
      </c>
      <c r="K8409" s="19" t="s">
        <v>44</v>
      </c>
      <c r="L8409" s="19" t="s">
        <v>52</v>
      </c>
      <c r="M8409" s="15" t="s">
        <v>2380</v>
      </c>
      <c r="N8409" s="15" t="s">
        <v>36</v>
      </c>
      <c r="O8409" s="15" t="s">
        <v>117</v>
      </c>
      <c r="P8409" s="21" t="s">
        <v>729</v>
      </c>
      <c r="Q8409" s="15" t="s">
        <v>83</v>
      </c>
      <c r="R8409" s="4"/>
      <c r="S8409" s="4"/>
    </row>
    <row r="8410" spans="1:19" ht="21" customHeight="1" x14ac:dyDescent="0.25">
      <c r="A8410" s="14">
        <f>DATE(2012,12,31)-1052</f>
        <v>40222</v>
      </c>
      <c r="B8410" s="15" t="s">
        <v>1525</v>
      </c>
      <c r="C8410" s="15" t="s">
        <v>43</v>
      </c>
      <c r="D8410" s="16">
        <v>12</v>
      </c>
      <c r="E8410" s="17">
        <v>76.040000000000006</v>
      </c>
      <c r="F8410" s="16">
        <v>0.04</v>
      </c>
      <c r="G8410" s="15" t="s">
        <v>32</v>
      </c>
      <c r="H8410" s="18">
        <v>-47.55</v>
      </c>
      <c r="I8410" s="19">
        <v>5.98</v>
      </c>
      <c r="J8410" s="19">
        <v>7.15</v>
      </c>
      <c r="K8410" s="19" t="s">
        <v>44</v>
      </c>
      <c r="L8410" s="19" t="s">
        <v>52</v>
      </c>
      <c r="M8410" s="15" t="s">
        <v>2380</v>
      </c>
      <c r="N8410" s="15" t="s">
        <v>36</v>
      </c>
      <c r="O8410" s="15" t="s">
        <v>117</v>
      </c>
      <c r="P8410" s="21" t="s">
        <v>603</v>
      </c>
      <c r="Q8410" s="15" t="s">
        <v>83</v>
      </c>
      <c r="R8410" s="4"/>
      <c r="S8410" s="4"/>
    </row>
    <row r="8411" spans="1:19" ht="21" customHeight="1" x14ac:dyDescent="0.25">
      <c r="A8411" s="14">
        <f>DATE(2012,12,31)-956</f>
        <v>40318</v>
      </c>
      <c r="B8411" s="15" t="s">
        <v>404</v>
      </c>
      <c r="C8411" s="15" t="s">
        <v>85</v>
      </c>
      <c r="D8411" s="16">
        <v>36</v>
      </c>
      <c r="E8411" s="17">
        <v>283.20999999999998</v>
      </c>
      <c r="F8411" s="16">
        <v>0.08</v>
      </c>
      <c r="G8411" s="15" t="s">
        <v>32</v>
      </c>
      <c r="H8411" s="18">
        <v>-196.0635</v>
      </c>
      <c r="I8411" s="19">
        <v>8.0399999999999991</v>
      </c>
      <c r="J8411" s="19">
        <v>8.94</v>
      </c>
      <c r="K8411" s="19" t="s">
        <v>44</v>
      </c>
      <c r="L8411" s="19" t="s">
        <v>236</v>
      </c>
      <c r="M8411" s="15" t="s">
        <v>2381</v>
      </c>
      <c r="N8411" s="15" t="s">
        <v>36</v>
      </c>
      <c r="O8411" s="15" t="s">
        <v>170</v>
      </c>
      <c r="P8411" s="21" t="s">
        <v>2391</v>
      </c>
      <c r="Q8411" s="15" t="s">
        <v>83</v>
      </c>
      <c r="R8411" s="4"/>
      <c r="S8411" s="4"/>
    </row>
    <row r="8412" spans="1:19" ht="21" customHeight="1" x14ac:dyDescent="0.25">
      <c r="A8412" s="14">
        <f>DATE(2012,12,31)-956</f>
        <v>40318</v>
      </c>
      <c r="B8412" s="15" t="s">
        <v>404</v>
      </c>
      <c r="C8412" s="15" t="s">
        <v>85</v>
      </c>
      <c r="D8412" s="16">
        <v>18</v>
      </c>
      <c r="E8412" s="17">
        <v>45.8</v>
      </c>
      <c r="F8412" s="16">
        <v>0.04</v>
      </c>
      <c r="G8412" s="15" t="s">
        <v>32</v>
      </c>
      <c r="H8412" s="18">
        <v>-52.92</v>
      </c>
      <c r="I8412" s="19">
        <v>2.23</v>
      </c>
      <c r="J8412" s="19">
        <v>4.57</v>
      </c>
      <c r="K8412" s="19" t="s">
        <v>44</v>
      </c>
      <c r="L8412" s="19" t="s">
        <v>52</v>
      </c>
      <c r="M8412" s="15" t="s">
        <v>2380</v>
      </c>
      <c r="N8412" s="15" t="s">
        <v>54</v>
      </c>
      <c r="O8412" s="15" t="s">
        <v>55</v>
      </c>
      <c r="P8412" s="21" t="s">
        <v>1249</v>
      </c>
      <c r="Q8412" s="15" t="s">
        <v>49</v>
      </c>
      <c r="R8412" s="4"/>
      <c r="S8412" s="4"/>
    </row>
    <row r="8413" spans="1:19" ht="21" customHeight="1" x14ac:dyDescent="0.25">
      <c r="A8413" s="14">
        <f>DATE(2012,12,31)-704</f>
        <v>40570</v>
      </c>
      <c r="B8413" s="15" t="s">
        <v>404</v>
      </c>
      <c r="C8413" s="15" t="s">
        <v>85</v>
      </c>
      <c r="D8413" s="16">
        <v>17</v>
      </c>
      <c r="E8413" s="17">
        <v>312.03500000000003</v>
      </c>
      <c r="F8413" s="16">
        <v>0.05</v>
      </c>
      <c r="G8413" s="15" t="s">
        <v>32</v>
      </c>
      <c r="H8413" s="18">
        <v>-55.935000000000002</v>
      </c>
      <c r="I8413" s="19">
        <v>20.99</v>
      </c>
      <c r="J8413" s="19">
        <v>0.99</v>
      </c>
      <c r="K8413" s="19" t="s">
        <v>33</v>
      </c>
      <c r="L8413" s="19" t="s">
        <v>145</v>
      </c>
      <c r="M8413" s="15" t="s">
        <v>146</v>
      </c>
      <c r="N8413" s="15" t="s">
        <v>64</v>
      </c>
      <c r="O8413" s="15" t="s">
        <v>65</v>
      </c>
      <c r="P8413" s="21" t="s">
        <v>1811</v>
      </c>
      <c r="Q8413" s="15" t="s">
        <v>49</v>
      </c>
      <c r="R8413" s="4"/>
      <c r="S8413" s="4"/>
    </row>
    <row r="8414" spans="1:19" ht="21" customHeight="1" x14ac:dyDescent="0.25">
      <c r="A8414" s="14">
        <f>DATE(2012,12,31)-196</f>
        <v>41078</v>
      </c>
      <c r="B8414" s="15" t="s">
        <v>404</v>
      </c>
      <c r="C8414" s="15" t="s">
        <v>85</v>
      </c>
      <c r="D8414" s="16">
        <v>15</v>
      </c>
      <c r="E8414" s="17">
        <v>17.77</v>
      </c>
      <c r="F8414" s="16">
        <v>0.05</v>
      </c>
      <c r="G8414" s="15" t="s">
        <v>32</v>
      </c>
      <c r="H8414" s="18">
        <v>-37.67</v>
      </c>
      <c r="I8414" s="19">
        <v>0.99</v>
      </c>
      <c r="J8414" s="19">
        <v>2.96</v>
      </c>
      <c r="K8414" s="19" t="s">
        <v>44</v>
      </c>
      <c r="L8414" s="19" t="s">
        <v>80</v>
      </c>
      <c r="M8414" s="15" t="s">
        <v>2339</v>
      </c>
      <c r="N8414" s="15" t="s">
        <v>64</v>
      </c>
      <c r="O8414" s="15" t="s">
        <v>72</v>
      </c>
      <c r="P8414" s="21" t="s">
        <v>2345</v>
      </c>
      <c r="Q8414" s="15" t="s">
        <v>49</v>
      </c>
      <c r="R8414" s="4"/>
      <c r="S8414" s="4"/>
    </row>
    <row r="8415" spans="1:19" ht="21" customHeight="1" x14ac:dyDescent="0.25">
      <c r="A8415" s="14">
        <f>DATE(2012,12,31)-1299</f>
        <v>39975</v>
      </c>
      <c r="B8415" s="15" t="s">
        <v>404</v>
      </c>
      <c r="C8415" s="15" t="s">
        <v>85</v>
      </c>
      <c r="D8415" s="16">
        <v>23</v>
      </c>
      <c r="E8415" s="17">
        <v>224.34</v>
      </c>
      <c r="F8415" s="16">
        <v>0.02</v>
      </c>
      <c r="G8415" s="15" t="s">
        <v>101</v>
      </c>
      <c r="H8415" s="18">
        <v>-11.948500000000001</v>
      </c>
      <c r="I8415" s="19">
        <v>8.6</v>
      </c>
      <c r="J8415" s="19">
        <v>6.19</v>
      </c>
      <c r="K8415" s="19" t="s">
        <v>33</v>
      </c>
      <c r="L8415" s="19" t="s">
        <v>59</v>
      </c>
      <c r="M8415" s="15" t="s">
        <v>2344</v>
      </c>
      <c r="N8415" s="15" t="s">
        <v>36</v>
      </c>
      <c r="O8415" s="15" t="s">
        <v>170</v>
      </c>
      <c r="P8415" s="21" t="s">
        <v>413</v>
      </c>
      <c r="Q8415" s="15" t="s">
        <v>83</v>
      </c>
      <c r="R8415" s="4"/>
      <c r="S8415" s="4"/>
    </row>
    <row r="8416" spans="1:19" ht="21" customHeight="1" x14ac:dyDescent="0.25">
      <c r="A8416" s="14">
        <f>DATE(2012,12,31)-79</f>
        <v>41195</v>
      </c>
      <c r="B8416" s="15" t="s">
        <v>404</v>
      </c>
      <c r="C8416" s="15" t="s">
        <v>43</v>
      </c>
      <c r="D8416" s="16">
        <v>37</v>
      </c>
      <c r="E8416" s="17">
        <v>191.36</v>
      </c>
      <c r="F8416" s="16">
        <v>0.05</v>
      </c>
      <c r="G8416" s="15" t="s">
        <v>32</v>
      </c>
      <c r="H8416" s="18">
        <v>-82.086999999999989</v>
      </c>
      <c r="I8416" s="19">
        <v>4.91</v>
      </c>
      <c r="J8416" s="19">
        <v>4.97</v>
      </c>
      <c r="K8416" s="19" t="s">
        <v>33</v>
      </c>
      <c r="L8416" s="19" t="s">
        <v>59</v>
      </c>
      <c r="M8416" s="15" t="s">
        <v>2344</v>
      </c>
      <c r="N8416" s="15" t="s">
        <v>36</v>
      </c>
      <c r="O8416" s="15" t="s">
        <v>170</v>
      </c>
      <c r="P8416" s="21" t="s">
        <v>2003</v>
      </c>
      <c r="Q8416" s="15" t="s">
        <v>83</v>
      </c>
      <c r="R8416" s="4"/>
      <c r="S8416" s="4"/>
    </row>
    <row r="8417" spans="1:19" ht="21" customHeight="1" x14ac:dyDescent="0.25">
      <c r="A8417" s="14">
        <f>DATE(2012,12,31)-780</f>
        <v>40494</v>
      </c>
      <c r="B8417" s="15" t="s">
        <v>404</v>
      </c>
      <c r="C8417" s="15" t="s">
        <v>43</v>
      </c>
      <c r="D8417" s="16">
        <v>42</v>
      </c>
      <c r="E8417" s="17">
        <v>2170.3049999999998</v>
      </c>
      <c r="F8417" s="16">
        <v>0.1</v>
      </c>
      <c r="G8417" s="15" t="s">
        <v>32</v>
      </c>
      <c r="H8417" s="18">
        <v>264.32100000000003</v>
      </c>
      <c r="I8417" s="19">
        <v>65.989999999999995</v>
      </c>
      <c r="J8417" s="19">
        <v>8.99</v>
      </c>
      <c r="K8417" s="19" t="s">
        <v>69</v>
      </c>
      <c r="L8417" s="19" t="s">
        <v>70</v>
      </c>
      <c r="M8417" s="15" t="s">
        <v>2383</v>
      </c>
      <c r="N8417" s="15" t="s">
        <v>64</v>
      </c>
      <c r="O8417" s="15" t="s">
        <v>65</v>
      </c>
      <c r="P8417" s="21" t="s">
        <v>692</v>
      </c>
      <c r="Q8417" s="15" t="s">
        <v>83</v>
      </c>
      <c r="R8417" s="4"/>
      <c r="S8417" s="4"/>
    </row>
    <row r="8418" spans="1:19" ht="21" customHeight="1" x14ac:dyDescent="0.25">
      <c r="A8418" s="14">
        <f>DATE(2012,12,31)-412</f>
        <v>40862</v>
      </c>
      <c r="B8418" s="15" t="s">
        <v>404</v>
      </c>
      <c r="C8418" s="15" t="s">
        <v>85</v>
      </c>
      <c r="D8418" s="16">
        <v>40</v>
      </c>
      <c r="E8418" s="17">
        <v>718.6</v>
      </c>
      <c r="F8418" s="16">
        <v>0.08</v>
      </c>
      <c r="G8418" s="15" t="s">
        <v>32</v>
      </c>
      <c r="H8418" s="18">
        <v>-81.489999999999995</v>
      </c>
      <c r="I8418" s="19">
        <v>17.98</v>
      </c>
      <c r="J8418" s="19">
        <v>4</v>
      </c>
      <c r="K8418" s="19" t="s">
        <v>69</v>
      </c>
      <c r="L8418" s="19" t="s">
        <v>70</v>
      </c>
      <c r="M8418" s="15" t="s">
        <v>2383</v>
      </c>
      <c r="N8418" s="15" t="s">
        <v>64</v>
      </c>
      <c r="O8418" s="15" t="s">
        <v>72</v>
      </c>
      <c r="P8418" s="21" t="s">
        <v>1503</v>
      </c>
      <c r="Q8418" s="15" t="s">
        <v>83</v>
      </c>
      <c r="R8418" s="4"/>
      <c r="S8418" s="4"/>
    </row>
    <row r="8419" spans="1:19" ht="21" customHeight="1" x14ac:dyDescent="0.25">
      <c r="A8419" s="14">
        <f>DATE(2012,12,31)-1112</f>
        <v>40162</v>
      </c>
      <c r="B8419" s="15" t="s">
        <v>404</v>
      </c>
      <c r="C8419" s="15" t="s">
        <v>43</v>
      </c>
      <c r="D8419" s="16">
        <v>27</v>
      </c>
      <c r="E8419" s="17">
        <v>43.46</v>
      </c>
      <c r="F8419" s="16">
        <v>0</v>
      </c>
      <c r="G8419" s="15" t="s">
        <v>32</v>
      </c>
      <c r="H8419" s="18">
        <v>6.81</v>
      </c>
      <c r="I8419" s="19">
        <v>1.48</v>
      </c>
      <c r="J8419" s="19">
        <v>0.7</v>
      </c>
      <c r="K8419" s="19" t="s">
        <v>111</v>
      </c>
      <c r="L8419" s="19" t="s">
        <v>442</v>
      </c>
      <c r="M8419" s="15" t="s">
        <v>2376</v>
      </c>
      <c r="N8419" s="15" t="s">
        <v>36</v>
      </c>
      <c r="O8419" s="15" t="s">
        <v>105</v>
      </c>
      <c r="P8419" s="21" t="s">
        <v>1165</v>
      </c>
      <c r="Q8419" s="15" t="s">
        <v>79</v>
      </c>
      <c r="R8419" s="4"/>
      <c r="S8419" s="4"/>
    </row>
    <row r="8420" spans="1:19" ht="21" customHeight="1" x14ac:dyDescent="0.25">
      <c r="A8420" s="14">
        <f>DATE(2012,12,31)-1112</f>
        <v>40162</v>
      </c>
      <c r="B8420" s="15" t="s">
        <v>404</v>
      </c>
      <c r="C8420" s="15" t="s">
        <v>43</v>
      </c>
      <c r="D8420" s="16">
        <v>5</v>
      </c>
      <c r="E8420" s="17">
        <v>927.98749999999995</v>
      </c>
      <c r="F8420" s="16">
        <v>0</v>
      </c>
      <c r="G8420" s="15" t="s">
        <v>32</v>
      </c>
      <c r="H8420" s="18">
        <v>-615.91199999999992</v>
      </c>
      <c r="I8420" s="19">
        <v>205.99</v>
      </c>
      <c r="J8420" s="19">
        <v>8.99</v>
      </c>
      <c r="K8420" s="19" t="s">
        <v>97</v>
      </c>
      <c r="L8420" s="19" t="s">
        <v>98</v>
      </c>
      <c r="M8420" s="15" t="s">
        <v>2387</v>
      </c>
      <c r="N8420" s="15" t="s">
        <v>64</v>
      </c>
      <c r="O8420" s="15" t="s">
        <v>65</v>
      </c>
      <c r="P8420" s="21" t="s">
        <v>1464</v>
      </c>
      <c r="Q8420" s="15" t="s">
        <v>83</v>
      </c>
      <c r="R8420" s="4"/>
      <c r="S8420" s="4"/>
    </row>
    <row r="8421" spans="1:19" ht="21" customHeight="1" x14ac:dyDescent="0.25">
      <c r="A8421" s="14">
        <f>DATE(2012,12,31)-168</f>
        <v>41106</v>
      </c>
      <c r="B8421" s="15" t="s">
        <v>404</v>
      </c>
      <c r="C8421" s="15" t="s">
        <v>43</v>
      </c>
      <c r="D8421" s="16">
        <v>34</v>
      </c>
      <c r="E8421" s="17">
        <v>94.56</v>
      </c>
      <c r="F8421" s="16">
        <v>0</v>
      </c>
      <c r="G8421" s="15" t="s">
        <v>32</v>
      </c>
      <c r="H8421" s="18">
        <v>37.729999999999997</v>
      </c>
      <c r="I8421" s="19">
        <v>2.61</v>
      </c>
      <c r="J8421" s="19">
        <v>0.5</v>
      </c>
      <c r="K8421" s="19" t="s">
        <v>97</v>
      </c>
      <c r="L8421" s="19" t="s">
        <v>98</v>
      </c>
      <c r="M8421" s="15" t="s">
        <v>2387</v>
      </c>
      <c r="N8421" s="15" t="s">
        <v>36</v>
      </c>
      <c r="O8421" s="15" t="s">
        <v>114</v>
      </c>
      <c r="P8421" s="21" t="s">
        <v>587</v>
      </c>
      <c r="Q8421" s="15" t="s">
        <v>83</v>
      </c>
      <c r="R8421" s="4"/>
      <c r="S8421" s="4"/>
    </row>
    <row r="8422" spans="1:19" ht="21" customHeight="1" x14ac:dyDescent="0.25">
      <c r="A8422" s="14">
        <f>DATE(2012,12,31)-836</f>
        <v>40438</v>
      </c>
      <c r="B8422" s="15" t="s">
        <v>1467</v>
      </c>
      <c r="C8422" s="15" t="s">
        <v>85</v>
      </c>
      <c r="D8422" s="16">
        <v>30</v>
      </c>
      <c r="E8422" s="17">
        <v>397.17</v>
      </c>
      <c r="F8422" s="16">
        <v>0.1</v>
      </c>
      <c r="G8422" s="15" t="s">
        <v>101</v>
      </c>
      <c r="H8422" s="18">
        <v>7.69</v>
      </c>
      <c r="I8422" s="19">
        <v>14.34</v>
      </c>
      <c r="J8422" s="19">
        <v>5</v>
      </c>
      <c r="K8422" s="19" t="s">
        <v>44</v>
      </c>
      <c r="L8422" s="19" t="s">
        <v>52</v>
      </c>
      <c r="M8422" s="15" t="s">
        <v>2380</v>
      </c>
      <c r="N8422" s="15" t="s">
        <v>54</v>
      </c>
      <c r="O8422" s="15" t="s">
        <v>55</v>
      </c>
      <c r="P8422" s="21" t="s">
        <v>277</v>
      </c>
      <c r="Q8422" s="15" t="s">
        <v>49</v>
      </c>
      <c r="R8422" s="4"/>
      <c r="S8422" s="4"/>
    </row>
    <row r="8423" spans="1:19" ht="21" customHeight="1" x14ac:dyDescent="0.25">
      <c r="A8423" s="14">
        <f>DATE(2012,12,31)-948</f>
        <v>40326</v>
      </c>
      <c r="B8423" s="15" t="s">
        <v>1467</v>
      </c>
      <c r="C8423" s="15" t="s">
        <v>85</v>
      </c>
      <c r="D8423" s="16">
        <v>3</v>
      </c>
      <c r="E8423" s="17">
        <v>336.84</v>
      </c>
      <c r="F8423" s="16">
        <v>0.08</v>
      </c>
      <c r="G8423" s="15" t="s">
        <v>58</v>
      </c>
      <c r="H8423" s="18">
        <v>-160.46</v>
      </c>
      <c r="I8423" s="19">
        <v>100.98</v>
      </c>
      <c r="J8423" s="19">
        <v>35.840000000000003</v>
      </c>
      <c r="K8423" s="19" t="s">
        <v>44</v>
      </c>
      <c r="L8423" s="19" t="s">
        <v>80</v>
      </c>
      <c r="M8423" s="15" t="s">
        <v>2339</v>
      </c>
      <c r="N8423" s="15" t="s">
        <v>54</v>
      </c>
      <c r="O8423" s="15" t="s">
        <v>134</v>
      </c>
      <c r="P8423" s="21" t="s">
        <v>440</v>
      </c>
      <c r="Q8423" s="15" t="s">
        <v>63</v>
      </c>
      <c r="R8423" s="4"/>
      <c r="S8423" s="4"/>
    </row>
    <row r="8424" spans="1:19" ht="21" customHeight="1" x14ac:dyDescent="0.25">
      <c r="A8424" s="14">
        <f>DATE(2012,12,31)-948</f>
        <v>40326</v>
      </c>
      <c r="B8424" s="15" t="s">
        <v>1467</v>
      </c>
      <c r="C8424" s="15" t="s">
        <v>85</v>
      </c>
      <c r="D8424" s="16">
        <v>7</v>
      </c>
      <c r="E8424" s="17">
        <v>1120.27</v>
      </c>
      <c r="F8424" s="16">
        <v>0</v>
      </c>
      <c r="G8424" s="15" t="s">
        <v>32</v>
      </c>
      <c r="H8424" s="18">
        <v>16.809999999999999</v>
      </c>
      <c r="I8424" s="19">
        <v>150.97999999999999</v>
      </c>
      <c r="J8424" s="19">
        <v>13.99</v>
      </c>
      <c r="K8424" s="19" t="s">
        <v>97</v>
      </c>
      <c r="L8424" s="19" t="s">
        <v>98</v>
      </c>
      <c r="M8424" s="15" t="s">
        <v>2387</v>
      </c>
      <c r="N8424" s="15" t="s">
        <v>64</v>
      </c>
      <c r="O8424" s="15" t="s">
        <v>122</v>
      </c>
      <c r="P8424" s="21" t="s">
        <v>123</v>
      </c>
      <c r="Q8424" s="15" t="s">
        <v>57</v>
      </c>
      <c r="R8424" s="4"/>
      <c r="S8424" s="4"/>
    </row>
    <row r="8425" spans="1:19" ht="21" customHeight="1" x14ac:dyDescent="0.25">
      <c r="A8425" s="14">
        <f>DATE(2012,12,31)-100</f>
        <v>41174</v>
      </c>
      <c r="B8425" s="15" t="s">
        <v>1467</v>
      </c>
      <c r="C8425" s="15" t="s">
        <v>51</v>
      </c>
      <c r="D8425" s="16">
        <v>45</v>
      </c>
      <c r="E8425" s="17">
        <v>712.04</v>
      </c>
      <c r="F8425" s="16">
        <v>7.0000000000000007E-2</v>
      </c>
      <c r="G8425" s="15" t="s">
        <v>32</v>
      </c>
      <c r="H8425" s="18">
        <v>-110.925</v>
      </c>
      <c r="I8425" s="19">
        <v>15.99</v>
      </c>
      <c r="J8425" s="19">
        <v>9.4</v>
      </c>
      <c r="K8425" s="19" t="s">
        <v>97</v>
      </c>
      <c r="L8425" s="19" t="s">
        <v>283</v>
      </c>
      <c r="M8425" s="15" t="s">
        <v>2306</v>
      </c>
      <c r="N8425" s="15" t="s">
        <v>64</v>
      </c>
      <c r="O8425" s="15" t="s">
        <v>122</v>
      </c>
      <c r="P8425" s="21" t="s">
        <v>2389</v>
      </c>
      <c r="Q8425" s="15" t="s">
        <v>83</v>
      </c>
      <c r="R8425" s="4"/>
      <c r="S8425" s="4"/>
    </row>
    <row r="8426" spans="1:19" ht="21" customHeight="1" x14ac:dyDescent="0.25">
      <c r="A8426" s="14">
        <f>DATE(2012,12,31)-299</f>
        <v>40975</v>
      </c>
      <c r="B8426" s="15" t="s">
        <v>1467</v>
      </c>
      <c r="C8426" s="15" t="s">
        <v>31</v>
      </c>
      <c r="D8426" s="16">
        <v>25</v>
      </c>
      <c r="E8426" s="17">
        <v>167.23</v>
      </c>
      <c r="F8426" s="16">
        <v>0.05</v>
      </c>
      <c r="G8426" s="15" t="s">
        <v>32</v>
      </c>
      <c r="H8426" s="18">
        <v>-43.17</v>
      </c>
      <c r="I8426" s="19">
        <v>6.68</v>
      </c>
      <c r="J8426" s="19">
        <v>5.41</v>
      </c>
      <c r="K8426" s="19" t="s">
        <v>97</v>
      </c>
      <c r="L8426" s="19" t="s">
        <v>195</v>
      </c>
      <c r="M8426" s="15" t="s">
        <v>2388</v>
      </c>
      <c r="N8426" s="15" t="s">
        <v>36</v>
      </c>
      <c r="O8426" s="15" t="s">
        <v>117</v>
      </c>
      <c r="P8426" s="21" t="s">
        <v>268</v>
      </c>
      <c r="Q8426" s="15" t="s">
        <v>83</v>
      </c>
      <c r="R8426" s="4"/>
      <c r="S8426" s="4"/>
    </row>
    <row r="8427" spans="1:19" ht="21" customHeight="1" x14ac:dyDescent="0.25">
      <c r="A8427" s="14">
        <f>DATE(2012,12,31)-264</f>
        <v>41010</v>
      </c>
      <c r="B8427" s="15" t="s">
        <v>1467</v>
      </c>
      <c r="C8427" s="15" t="s">
        <v>85</v>
      </c>
      <c r="D8427" s="16">
        <v>25</v>
      </c>
      <c r="E8427" s="17">
        <v>1610.26</v>
      </c>
      <c r="F8427" s="16">
        <v>0.06</v>
      </c>
      <c r="G8427" s="15" t="s">
        <v>32</v>
      </c>
      <c r="H8427" s="18">
        <v>122.42</v>
      </c>
      <c r="I8427" s="19">
        <v>64.98</v>
      </c>
      <c r="J8427" s="19">
        <v>6.88</v>
      </c>
      <c r="K8427" s="19" t="s">
        <v>44</v>
      </c>
      <c r="L8427" s="19" t="s">
        <v>52</v>
      </c>
      <c r="M8427" s="15" t="s">
        <v>2380</v>
      </c>
      <c r="N8427" s="15" t="s">
        <v>36</v>
      </c>
      <c r="O8427" s="15" t="s">
        <v>37</v>
      </c>
      <c r="P8427" s="21" t="s">
        <v>2390</v>
      </c>
      <c r="Q8427" s="15" t="s">
        <v>83</v>
      </c>
      <c r="R8427" s="4"/>
      <c r="S8427" s="4"/>
    </row>
    <row r="8428" spans="1:19" ht="21" customHeight="1" x14ac:dyDescent="0.25">
      <c r="A8428" s="14">
        <f>DATE(2012,12,31)-1179</f>
        <v>40095</v>
      </c>
      <c r="B8428" s="15" t="s">
        <v>1467</v>
      </c>
      <c r="C8428" s="15" t="s">
        <v>43</v>
      </c>
      <c r="D8428" s="16">
        <v>34</v>
      </c>
      <c r="E8428" s="17">
        <v>3361.84</v>
      </c>
      <c r="F8428" s="16">
        <v>0.08</v>
      </c>
      <c r="G8428" s="15" t="s">
        <v>58</v>
      </c>
      <c r="H8428" s="18">
        <v>1211.76</v>
      </c>
      <c r="I8428" s="19">
        <v>100.97</v>
      </c>
      <c r="J8428" s="19">
        <v>14</v>
      </c>
      <c r="K8428" s="19" t="s">
        <v>33</v>
      </c>
      <c r="L8428" s="19" t="s">
        <v>59</v>
      </c>
      <c r="M8428" s="15" t="s">
        <v>2344</v>
      </c>
      <c r="N8428" s="15" t="s">
        <v>64</v>
      </c>
      <c r="O8428" s="15" t="s">
        <v>122</v>
      </c>
      <c r="P8428" s="21" t="s">
        <v>1615</v>
      </c>
      <c r="Q8428" s="15" t="s">
        <v>181</v>
      </c>
      <c r="R8428" s="4"/>
      <c r="S8428" s="4"/>
    </row>
    <row r="8429" spans="1:19" ht="21" customHeight="1" x14ac:dyDescent="0.25">
      <c r="A8429" s="14">
        <f>DATE(2012,12,31)-1179</f>
        <v>40095</v>
      </c>
      <c r="B8429" s="15" t="s">
        <v>1467</v>
      </c>
      <c r="C8429" s="15" t="s">
        <v>43</v>
      </c>
      <c r="D8429" s="16">
        <v>29</v>
      </c>
      <c r="E8429" s="17">
        <v>195.82</v>
      </c>
      <c r="F8429" s="16">
        <v>7.0000000000000007E-2</v>
      </c>
      <c r="G8429" s="15" t="s">
        <v>32</v>
      </c>
      <c r="H8429" s="18">
        <v>-91.7</v>
      </c>
      <c r="I8429" s="19">
        <v>6.48</v>
      </c>
      <c r="J8429" s="19">
        <v>7.07</v>
      </c>
      <c r="K8429" s="19" t="s">
        <v>44</v>
      </c>
      <c r="L8429" s="19" t="s">
        <v>52</v>
      </c>
      <c r="M8429" s="15" t="s">
        <v>2380</v>
      </c>
      <c r="N8429" s="15" t="s">
        <v>36</v>
      </c>
      <c r="O8429" s="15" t="s">
        <v>117</v>
      </c>
      <c r="P8429" s="21" t="s">
        <v>2386</v>
      </c>
      <c r="Q8429" s="15" t="s">
        <v>83</v>
      </c>
      <c r="R8429" s="4"/>
      <c r="S8429" s="4"/>
    </row>
    <row r="8430" spans="1:19" ht="21" customHeight="1" x14ac:dyDescent="0.25">
      <c r="A8430" s="14">
        <f>DATE(2012,12,31)-510</f>
        <v>40764</v>
      </c>
      <c r="B8430" s="15" t="s">
        <v>1467</v>
      </c>
      <c r="C8430" s="15" t="s">
        <v>85</v>
      </c>
      <c r="D8430" s="16">
        <v>17</v>
      </c>
      <c r="E8430" s="17">
        <v>42.29</v>
      </c>
      <c r="F8430" s="16">
        <v>0.06</v>
      </c>
      <c r="G8430" s="15" t="s">
        <v>32</v>
      </c>
      <c r="H8430" s="18">
        <v>-85.272499999999994</v>
      </c>
      <c r="I8430" s="19">
        <v>2.16</v>
      </c>
      <c r="J8430" s="19">
        <v>6.05</v>
      </c>
      <c r="K8430" s="19" t="s">
        <v>124</v>
      </c>
      <c r="L8430" s="19" t="s">
        <v>125</v>
      </c>
      <c r="M8430" s="15" t="s">
        <v>2358</v>
      </c>
      <c r="N8430" s="15" t="s">
        <v>36</v>
      </c>
      <c r="O8430" s="15" t="s">
        <v>170</v>
      </c>
      <c r="P8430" s="21" t="s">
        <v>475</v>
      </c>
      <c r="Q8430" s="15" t="s">
        <v>83</v>
      </c>
      <c r="R8430" s="4"/>
      <c r="S8430" s="4"/>
    </row>
    <row r="8431" spans="1:19" ht="21" customHeight="1" x14ac:dyDescent="0.25">
      <c r="A8431" s="14">
        <f>DATE(2012,12,31)-139</f>
        <v>41135</v>
      </c>
      <c r="B8431" s="15" t="s">
        <v>1467</v>
      </c>
      <c r="C8431" s="15" t="s">
        <v>85</v>
      </c>
      <c r="D8431" s="16">
        <v>50</v>
      </c>
      <c r="E8431" s="17">
        <v>197.36</v>
      </c>
      <c r="F8431" s="16">
        <v>7.0000000000000007E-2</v>
      </c>
      <c r="G8431" s="15" t="s">
        <v>32</v>
      </c>
      <c r="H8431" s="18">
        <v>-43.5045</v>
      </c>
      <c r="I8431" s="19">
        <v>4.18</v>
      </c>
      <c r="J8431" s="19">
        <v>2.99</v>
      </c>
      <c r="K8431" s="19" t="s">
        <v>33</v>
      </c>
      <c r="L8431" s="19" t="s">
        <v>93</v>
      </c>
      <c r="M8431" s="15" t="s">
        <v>94</v>
      </c>
      <c r="N8431" s="15" t="s">
        <v>36</v>
      </c>
      <c r="O8431" s="15" t="s">
        <v>170</v>
      </c>
      <c r="P8431" s="21" t="s">
        <v>1452</v>
      </c>
      <c r="Q8431" s="15" t="s">
        <v>83</v>
      </c>
      <c r="R8431" s="4"/>
      <c r="S8431" s="4"/>
    </row>
    <row r="8432" spans="1:19" ht="21" customHeight="1" x14ac:dyDescent="0.25">
      <c r="A8432" s="14">
        <f>DATE(2012,12,31)-1078</f>
        <v>40196</v>
      </c>
      <c r="B8432" s="15" t="s">
        <v>1467</v>
      </c>
      <c r="C8432" s="15" t="s">
        <v>43</v>
      </c>
      <c r="D8432" s="16">
        <v>4</v>
      </c>
      <c r="E8432" s="17">
        <v>883.31</v>
      </c>
      <c r="F8432" s="16">
        <v>0.01</v>
      </c>
      <c r="G8432" s="15" t="s">
        <v>58</v>
      </c>
      <c r="H8432" s="18">
        <v>-79.959999999999994</v>
      </c>
      <c r="I8432" s="19">
        <v>200.98</v>
      </c>
      <c r="J8432" s="19">
        <v>23.76</v>
      </c>
      <c r="K8432" s="19" t="s">
        <v>44</v>
      </c>
      <c r="L8432" s="19" t="s">
        <v>52</v>
      </c>
      <c r="M8432" s="15" t="s">
        <v>2380</v>
      </c>
      <c r="N8432" s="15" t="s">
        <v>54</v>
      </c>
      <c r="O8432" s="15" t="s">
        <v>252</v>
      </c>
      <c r="P8432" s="21" t="s">
        <v>2392</v>
      </c>
      <c r="Q8432" s="15" t="s">
        <v>181</v>
      </c>
      <c r="R8432" s="4"/>
      <c r="S8432" s="4"/>
    </row>
    <row r="8433" spans="1:19" ht="21" customHeight="1" x14ac:dyDescent="0.25">
      <c r="A8433" s="14">
        <f>DATE(2012,12,31)-168</f>
        <v>41106</v>
      </c>
      <c r="B8433" s="15" t="s">
        <v>1467</v>
      </c>
      <c r="C8433" s="15" t="s">
        <v>31</v>
      </c>
      <c r="D8433" s="16">
        <v>16</v>
      </c>
      <c r="E8433" s="17">
        <v>9695.84</v>
      </c>
      <c r="F8433" s="16">
        <v>0</v>
      </c>
      <c r="G8433" s="15" t="s">
        <v>32</v>
      </c>
      <c r="H8433" s="18">
        <v>2752.11</v>
      </c>
      <c r="I8433" s="19">
        <v>599.99</v>
      </c>
      <c r="J8433" s="19">
        <v>24.49</v>
      </c>
      <c r="K8433" s="19" t="s">
        <v>44</v>
      </c>
      <c r="L8433" s="19" t="s">
        <v>52</v>
      </c>
      <c r="M8433" s="15" t="s">
        <v>2380</v>
      </c>
      <c r="N8433" s="15" t="s">
        <v>64</v>
      </c>
      <c r="O8433" s="15" t="s">
        <v>460</v>
      </c>
      <c r="P8433" s="21" t="s">
        <v>597</v>
      </c>
      <c r="Q8433" s="15" t="s">
        <v>39</v>
      </c>
      <c r="R8433" s="4"/>
      <c r="S8433" s="4"/>
    </row>
    <row r="8434" spans="1:19" ht="21" customHeight="1" x14ac:dyDescent="0.25">
      <c r="A8434" s="14">
        <f>DATE(2012,12,31)-168</f>
        <v>41106</v>
      </c>
      <c r="B8434" s="15" t="s">
        <v>643</v>
      </c>
      <c r="C8434" s="15" t="s">
        <v>31</v>
      </c>
      <c r="D8434" s="16">
        <v>36</v>
      </c>
      <c r="E8434" s="17">
        <v>246.79</v>
      </c>
      <c r="F8434" s="16">
        <v>0.01</v>
      </c>
      <c r="G8434" s="15" t="s">
        <v>32</v>
      </c>
      <c r="H8434" s="18">
        <v>-90.08</v>
      </c>
      <c r="I8434" s="19">
        <v>6.48</v>
      </c>
      <c r="J8434" s="19">
        <v>6.6</v>
      </c>
      <c r="K8434" s="19" t="s">
        <v>33</v>
      </c>
      <c r="L8434" s="19" t="s">
        <v>59</v>
      </c>
      <c r="M8434" s="15" t="s">
        <v>2344</v>
      </c>
      <c r="N8434" s="15" t="s">
        <v>36</v>
      </c>
      <c r="O8434" s="15" t="s">
        <v>117</v>
      </c>
      <c r="P8434" s="21" t="s">
        <v>745</v>
      </c>
      <c r="Q8434" s="15" t="s">
        <v>83</v>
      </c>
      <c r="R8434" s="4"/>
      <c r="S8434" s="4"/>
    </row>
    <row r="8435" spans="1:19" ht="21" customHeight="1" x14ac:dyDescent="0.25">
      <c r="A8435" s="14">
        <f>DATE(2012,12,31)-168</f>
        <v>41106</v>
      </c>
      <c r="B8435" s="15" t="s">
        <v>643</v>
      </c>
      <c r="C8435" s="15" t="s">
        <v>31</v>
      </c>
      <c r="D8435" s="16">
        <v>39</v>
      </c>
      <c r="E8435" s="17">
        <v>777.78</v>
      </c>
      <c r="F8435" s="16">
        <v>0.01</v>
      </c>
      <c r="G8435" s="15" t="s">
        <v>32</v>
      </c>
      <c r="H8435" s="18">
        <v>237.75</v>
      </c>
      <c r="I8435" s="19">
        <v>19.84</v>
      </c>
      <c r="J8435" s="19">
        <v>4.0999999999999996</v>
      </c>
      <c r="K8435" s="19" t="s">
        <v>33</v>
      </c>
      <c r="L8435" s="19" t="s">
        <v>145</v>
      </c>
      <c r="M8435" s="15" t="s">
        <v>146</v>
      </c>
      <c r="N8435" s="15" t="s">
        <v>36</v>
      </c>
      <c r="O8435" s="15" t="s">
        <v>77</v>
      </c>
      <c r="P8435" s="21" t="s">
        <v>2393</v>
      </c>
      <c r="Q8435" s="15" t="s">
        <v>79</v>
      </c>
      <c r="R8435" s="4"/>
      <c r="S8435" s="4"/>
    </row>
    <row r="8436" spans="1:19" ht="21" customHeight="1" x14ac:dyDescent="0.25">
      <c r="A8436" s="14">
        <f>DATE(2012,12,31)-1136</f>
        <v>40138</v>
      </c>
      <c r="B8436" s="15" t="s">
        <v>643</v>
      </c>
      <c r="C8436" s="15" t="s">
        <v>31</v>
      </c>
      <c r="D8436" s="16">
        <v>33</v>
      </c>
      <c r="E8436" s="17">
        <v>1644.59</v>
      </c>
      <c r="F8436" s="16">
        <v>0.09</v>
      </c>
      <c r="G8436" s="15" t="s">
        <v>32</v>
      </c>
      <c r="H8436" s="18">
        <v>-52.92</v>
      </c>
      <c r="I8436" s="19">
        <v>50.98</v>
      </c>
      <c r="J8436" s="19">
        <v>6.5</v>
      </c>
      <c r="K8436" s="19" t="s">
        <v>33</v>
      </c>
      <c r="L8436" s="19" t="s">
        <v>59</v>
      </c>
      <c r="M8436" s="15" t="s">
        <v>2344</v>
      </c>
      <c r="N8436" s="15" t="s">
        <v>64</v>
      </c>
      <c r="O8436" s="15" t="s">
        <v>72</v>
      </c>
      <c r="P8436" s="21" t="s">
        <v>1422</v>
      </c>
      <c r="Q8436" s="15" t="s">
        <v>83</v>
      </c>
      <c r="R8436" s="4"/>
      <c r="S8436" s="4"/>
    </row>
    <row r="8437" spans="1:19" ht="21" customHeight="1" x14ac:dyDescent="0.25">
      <c r="A8437" s="14">
        <f>DATE(2012,12,31)-702</f>
        <v>40572</v>
      </c>
      <c r="B8437" s="15" t="s">
        <v>643</v>
      </c>
      <c r="C8437" s="15" t="s">
        <v>85</v>
      </c>
      <c r="D8437" s="16">
        <v>12</v>
      </c>
      <c r="E8437" s="17">
        <v>1379.98</v>
      </c>
      <c r="F8437" s="16">
        <v>0.06</v>
      </c>
      <c r="G8437" s="15" t="s">
        <v>58</v>
      </c>
      <c r="H8437" s="18">
        <v>-151.72999999999999</v>
      </c>
      <c r="I8437" s="19">
        <v>113.98</v>
      </c>
      <c r="J8437" s="19">
        <v>30</v>
      </c>
      <c r="K8437" s="19" t="s">
        <v>33</v>
      </c>
      <c r="L8437" s="19" t="s">
        <v>145</v>
      </c>
      <c r="M8437" s="15" t="s">
        <v>146</v>
      </c>
      <c r="N8437" s="15" t="s">
        <v>54</v>
      </c>
      <c r="O8437" s="15" t="s">
        <v>252</v>
      </c>
      <c r="P8437" s="21" t="s">
        <v>521</v>
      </c>
      <c r="Q8437" s="15" t="s">
        <v>181</v>
      </c>
      <c r="R8437" s="4"/>
      <c r="S8437" s="4"/>
    </row>
    <row r="8438" spans="1:19" ht="21" customHeight="1" x14ac:dyDescent="0.25">
      <c r="A8438" s="14">
        <f>DATE(2012,12,31)-246</f>
        <v>41028</v>
      </c>
      <c r="B8438" s="15" t="s">
        <v>643</v>
      </c>
      <c r="C8438" s="15" t="s">
        <v>85</v>
      </c>
      <c r="D8438" s="16">
        <v>30</v>
      </c>
      <c r="E8438" s="17">
        <v>2368.1679999999997</v>
      </c>
      <c r="F8438" s="16">
        <v>0</v>
      </c>
      <c r="G8438" s="15" t="s">
        <v>32</v>
      </c>
      <c r="H8438" s="18">
        <v>1181.2950000000001</v>
      </c>
      <c r="I8438" s="19">
        <v>85.99</v>
      </c>
      <c r="J8438" s="19">
        <v>1.25</v>
      </c>
      <c r="K8438" s="19" t="s">
        <v>69</v>
      </c>
      <c r="L8438" s="19" t="s">
        <v>70</v>
      </c>
      <c r="M8438" s="15" t="s">
        <v>2383</v>
      </c>
      <c r="N8438" s="15" t="s">
        <v>64</v>
      </c>
      <c r="O8438" s="15" t="s">
        <v>65</v>
      </c>
      <c r="P8438" s="21" t="s">
        <v>685</v>
      </c>
      <c r="Q8438" s="15" t="s">
        <v>49</v>
      </c>
      <c r="R8438" s="4"/>
      <c r="S8438" s="4"/>
    </row>
    <row r="8439" spans="1:19" ht="21" customHeight="1" x14ac:dyDescent="0.25">
      <c r="A8439" s="14">
        <f>DATE(2012,12,31)-1252</f>
        <v>40022</v>
      </c>
      <c r="B8439" s="15" t="s">
        <v>643</v>
      </c>
      <c r="C8439" s="15" t="s">
        <v>85</v>
      </c>
      <c r="D8439" s="16">
        <v>40</v>
      </c>
      <c r="E8439" s="17">
        <v>2550.12</v>
      </c>
      <c r="F8439" s="16">
        <v>0.01</v>
      </c>
      <c r="G8439" s="15" t="s">
        <v>101</v>
      </c>
      <c r="H8439" s="18">
        <v>882.45</v>
      </c>
      <c r="I8439" s="19">
        <v>60.97</v>
      </c>
      <c r="J8439" s="19">
        <v>4.5</v>
      </c>
      <c r="K8439" s="19" t="s">
        <v>69</v>
      </c>
      <c r="L8439" s="19" t="s">
        <v>70</v>
      </c>
      <c r="M8439" s="15" t="s">
        <v>2383</v>
      </c>
      <c r="N8439" s="15" t="s">
        <v>36</v>
      </c>
      <c r="O8439" s="15" t="s">
        <v>176</v>
      </c>
      <c r="P8439" s="21" t="s">
        <v>2394</v>
      </c>
      <c r="Q8439" s="15" t="s">
        <v>83</v>
      </c>
      <c r="R8439" s="4"/>
      <c r="S8439" s="4"/>
    </row>
    <row r="8440" spans="1:19" ht="21" customHeight="1" x14ac:dyDescent="0.25">
      <c r="A8440" s="14">
        <f>DATE(2012,12,31)-1252</f>
        <v>40022</v>
      </c>
      <c r="B8440" s="15" t="s">
        <v>643</v>
      </c>
      <c r="C8440" s="15" t="s">
        <v>85</v>
      </c>
      <c r="D8440" s="16">
        <v>46</v>
      </c>
      <c r="E8440" s="17">
        <v>5897.47</v>
      </c>
      <c r="F8440" s="16">
        <v>0</v>
      </c>
      <c r="G8440" s="15" t="s">
        <v>58</v>
      </c>
      <c r="H8440" s="18">
        <v>-1764.29</v>
      </c>
      <c r="I8440" s="19">
        <v>122.99</v>
      </c>
      <c r="J8440" s="19">
        <v>70.2</v>
      </c>
      <c r="K8440" s="19" t="s">
        <v>69</v>
      </c>
      <c r="L8440" s="19" t="s">
        <v>75</v>
      </c>
      <c r="M8440" s="15" t="s">
        <v>76</v>
      </c>
      <c r="N8440" s="15" t="s">
        <v>54</v>
      </c>
      <c r="O8440" s="15" t="s">
        <v>252</v>
      </c>
      <c r="P8440" s="21" t="s">
        <v>2395</v>
      </c>
      <c r="Q8440" s="15" t="s">
        <v>181</v>
      </c>
      <c r="R8440" s="4"/>
      <c r="S8440" s="4"/>
    </row>
    <row r="8441" spans="1:19" ht="21" customHeight="1" x14ac:dyDescent="0.25">
      <c r="A8441" s="14">
        <f>DATE(2012,12,31)-626</f>
        <v>40648</v>
      </c>
      <c r="B8441" s="15" t="s">
        <v>643</v>
      </c>
      <c r="C8441" s="15" t="s">
        <v>43</v>
      </c>
      <c r="D8441" s="16">
        <v>46</v>
      </c>
      <c r="E8441" s="17">
        <v>662.51</v>
      </c>
      <c r="F8441" s="16">
        <v>0.09</v>
      </c>
      <c r="G8441" s="15" t="s">
        <v>32</v>
      </c>
      <c r="H8441" s="18">
        <v>293.32</v>
      </c>
      <c r="I8441" s="19">
        <v>15.67</v>
      </c>
      <c r="J8441" s="19">
        <v>1.39</v>
      </c>
      <c r="K8441" s="19" t="s">
        <v>69</v>
      </c>
      <c r="L8441" s="19" t="s">
        <v>75</v>
      </c>
      <c r="M8441" s="15" t="s">
        <v>76</v>
      </c>
      <c r="N8441" s="15" t="s">
        <v>36</v>
      </c>
      <c r="O8441" s="15" t="s">
        <v>189</v>
      </c>
      <c r="P8441" s="21" t="s">
        <v>967</v>
      </c>
      <c r="Q8441" s="15" t="s">
        <v>83</v>
      </c>
      <c r="R8441" s="4"/>
      <c r="S8441" s="4"/>
    </row>
    <row r="8442" spans="1:19" ht="21" customHeight="1" x14ac:dyDescent="0.25">
      <c r="A8442" s="14">
        <f>DATE(2012,12,31)-626</f>
        <v>40648</v>
      </c>
      <c r="B8442" s="15" t="s">
        <v>643</v>
      </c>
      <c r="C8442" s="15" t="s">
        <v>43</v>
      </c>
      <c r="D8442" s="16">
        <v>21</v>
      </c>
      <c r="E8442" s="17">
        <v>61.18</v>
      </c>
      <c r="F8442" s="16">
        <v>0</v>
      </c>
      <c r="G8442" s="15" t="s">
        <v>32</v>
      </c>
      <c r="H8442" s="18">
        <v>6.85</v>
      </c>
      <c r="I8442" s="19">
        <v>2.88</v>
      </c>
      <c r="J8442" s="19">
        <v>0.7</v>
      </c>
      <c r="K8442" s="19" t="s">
        <v>69</v>
      </c>
      <c r="L8442" s="19" t="s">
        <v>75</v>
      </c>
      <c r="M8442" s="15" t="s">
        <v>76</v>
      </c>
      <c r="N8442" s="15" t="s">
        <v>36</v>
      </c>
      <c r="O8442" s="15" t="s">
        <v>77</v>
      </c>
      <c r="P8442" s="21" t="s">
        <v>95</v>
      </c>
      <c r="Q8442" s="15" t="s">
        <v>79</v>
      </c>
      <c r="R8442" s="4"/>
      <c r="S8442" s="4"/>
    </row>
    <row r="8443" spans="1:19" ht="21" customHeight="1" x14ac:dyDescent="0.25">
      <c r="A8443" s="14">
        <f>DATE(2012,12,31)-1306</f>
        <v>39968</v>
      </c>
      <c r="B8443" s="15" t="s">
        <v>643</v>
      </c>
      <c r="C8443" s="15" t="s">
        <v>43</v>
      </c>
      <c r="D8443" s="16">
        <v>3</v>
      </c>
      <c r="E8443" s="17">
        <v>3029.97</v>
      </c>
      <c r="F8443" s="16">
        <v>0</v>
      </c>
      <c r="G8443" s="15" t="s">
        <v>32</v>
      </c>
      <c r="H8443" s="18">
        <v>-1819.9964999999997</v>
      </c>
      <c r="I8443" s="19">
        <v>999.99</v>
      </c>
      <c r="J8443" s="19">
        <v>13.99</v>
      </c>
      <c r="K8443" s="19" t="s">
        <v>44</v>
      </c>
      <c r="L8443" s="19" t="s">
        <v>45</v>
      </c>
      <c r="M8443" s="15" t="s">
        <v>2385</v>
      </c>
      <c r="N8443" s="15" t="s">
        <v>64</v>
      </c>
      <c r="O8443" s="15" t="s">
        <v>122</v>
      </c>
      <c r="P8443" s="21" t="s">
        <v>1495</v>
      </c>
      <c r="Q8443" s="15" t="s">
        <v>57</v>
      </c>
      <c r="R8443" s="4"/>
      <c r="S8443" s="4"/>
    </row>
    <row r="8444" spans="1:19" ht="21" customHeight="1" x14ac:dyDescent="0.25">
      <c r="A8444" s="14">
        <f>DATE(2012,12,31)-1306</f>
        <v>39968</v>
      </c>
      <c r="B8444" s="15" t="s">
        <v>643</v>
      </c>
      <c r="C8444" s="15" t="s">
        <v>43</v>
      </c>
      <c r="D8444" s="16">
        <v>34</v>
      </c>
      <c r="E8444" s="17">
        <v>241.04</v>
      </c>
      <c r="F8444" s="16">
        <v>0.05</v>
      </c>
      <c r="G8444" s="15" t="s">
        <v>101</v>
      </c>
      <c r="H8444" s="18">
        <v>-28.2</v>
      </c>
      <c r="I8444" s="19">
        <v>6.48</v>
      </c>
      <c r="J8444" s="19">
        <v>5.14</v>
      </c>
      <c r="K8444" s="19" t="s">
        <v>44</v>
      </c>
      <c r="L8444" s="19" t="s">
        <v>120</v>
      </c>
      <c r="M8444" s="15" t="s">
        <v>2262</v>
      </c>
      <c r="N8444" s="15" t="s">
        <v>36</v>
      </c>
      <c r="O8444" s="15" t="s">
        <v>117</v>
      </c>
      <c r="P8444" s="21" t="s">
        <v>302</v>
      </c>
      <c r="Q8444" s="15" t="s">
        <v>83</v>
      </c>
      <c r="R8444" s="4"/>
      <c r="S8444" s="4"/>
    </row>
    <row r="8445" spans="1:19" ht="21" customHeight="1" x14ac:dyDescent="0.25">
      <c r="A8445" s="14">
        <f>DATE(2012,12,31)-289</f>
        <v>40985</v>
      </c>
      <c r="B8445" s="15" t="s">
        <v>643</v>
      </c>
      <c r="C8445" s="15" t="s">
        <v>85</v>
      </c>
      <c r="D8445" s="16">
        <v>5</v>
      </c>
      <c r="E8445" s="17">
        <v>44.17</v>
      </c>
      <c r="F8445" s="16">
        <v>0.02</v>
      </c>
      <c r="G8445" s="15" t="s">
        <v>32</v>
      </c>
      <c r="H8445" s="18">
        <v>23.41</v>
      </c>
      <c r="I8445" s="19">
        <v>7.59</v>
      </c>
      <c r="J8445" s="19">
        <v>4</v>
      </c>
      <c r="K8445" s="19" t="s">
        <v>44</v>
      </c>
      <c r="L8445" s="19" t="s">
        <v>89</v>
      </c>
      <c r="M8445" s="15" t="s">
        <v>2365</v>
      </c>
      <c r="N8445" s="15" t="s">
        <v>54</v>
      </c>
      <c r="O8445" s="15" t="s">
        <v>55</v>
      </c>
      <c r="P8445" s="21" t="s">
        <v>2396</v>
      </c>
      <c r="Q8445" s="15" t="s">
        <v>79</v>
      </c>
      <c r="R8445" s="4"/>
      <c r="S8445" s="4"/>
    </row>
    <row r="8446" spans="1:19" ht="21" customHeight="1" x14ac:dyDescent="0.25">
      <c r="A8446" s="14">
        <f>DATE(2012,12,31)-289</f>
        <v>40985</v>
      </c>
      <c r="B8446" s="15" t="s">
        <v>643</v>
      </c>
      <c r="C8446" s="15" t="s">
        <v>85</v>
      </c>
      <c r="D8446" s="16">
        <v>37</v>
      </c>
      <c r="E8446" s="17">
        <v>192.92</v>
      </c>
      <c r="F8446" s="16">
        <v>0.09</v>
      </c>
      <c r="G8446" s="15" t="s">
        <v>32</v>
      </c>
      <c r="H8446" s="18">
        <v>74.58</v>
      </c>
      <c r="I8446" s="19">
        <v>5.43</v>
      </c>
      <c r="J8446" s="19">
        <v>0.95</v>
      </c>
      <c r="K8446" s="19" t="s">
        <v>44</v>
      </c>
      <c r="L8446" s="19" t="s">
        <v>45</v>
      </c>
      <c r="M8446" s="15" t="s">
        <v>2385</v>
      </c>
      <c r="N8446" s="15" t="s">
        <v>36</v>
      </c>
      <c r="O8446" s="15" t="s">
        <v>117</v>
      </c>
      <c r="P8446" s="21" t="s">
        <v>1243</v>
      </c>
      <c r="Q8446" s="15" t="s">
        <v>79</v>
      </c>
      <c r="R8446" s="4"/>
      <c r="S8446" s="4"/>
    </row>
    <row r="8447" spans="1:19" ht="21" customHeight="1" x14ac:dyDescent="0.25">
      <c r="A8447" s="14">
        <f>DATE(2012,12,31)-289</f>
        <v>40985</v>
      </c>
      <c r="B8447" s="15" t="s">
        <v>643</v>
      </c>
      <c r="C8447" s="15" t="s">
        <v>85</v>
      </c>
      <c r="D8447" s="16">
        <v>37</v>
      </c>
      <c r="E8447" s="17">
        <v>10532.94</v>
      </c>
      <c r="F8447" s="16">
        <v>0.06</v>
      </c>
      <c r="G8447" s="15" t="s">
        <v>32</v>
      </c>
      <c r="H8447" s="18">
        <v>406.37</v>
      </c>
      <c r="I8447" s="19">
        <v>279.48</v>
      </c>
      <c r="J8447" s="19">
        <v>35</v>
      </c>
      <c r="K8447" s="19" t="s">
        <v>33</v>
      </c>
      <c r="L8447" s="19" t="s">
        <v>128</v>
      </c>
      <c r="M8447" s="15" t="s">
        <v>129</v>
      </c>
      <c r="N8447" s="15" t="s">
        <v>36</v>
      </c>
      <c r="O8447" s="15" t="s">
        <v>37</v>
      </c>
      <c r="P8447" s="21" t="s">
        <v>905</v>
      </c>
      <c r="Q8447" s="15" t="s">
        <v>39</v>
      </c>
      <c r="R8447" s="4"/>
      <c r="S8447" s="4"/>
    </row>
    <row r="8448" spans="1:19" ht="21" customHeight="1" x14ac:dyDescent="0.25">
      <c r="A8448" s="14">
        <f>DATE(2012,12,31)-301</f>
        <v>40973</v>
      </c>
      <c r="B8448" s="15" t="s">
        <v>643</v>
      </c>
      <c r="C8448" s="15" t="s">
        <v>31</v>
      </c>
      <c r="D8448" s="16">
        <v>44</v>
      </c>
      <c r="E8448" s="17">
        <v>364.4</v>
      </c>
      <c r="F8448" s="16">
        <v>0.05</v>
      </c>
      <c r="G8448" s="15" t="s">
        <v>32</v>
      </c>
      <c r="H8448" s="18">
        <v>51.08</v>
      </c>
      <c r="I8448" s="19">
        <v>8.5</v>
      </c>
      <c r="J8448" s="19">
        <v>1.99</v>
      </c>
      <c r="K8448" s="19" t="s">
        <v>33</v>
      </c>
      <c r="L8448" s="19" t="s">
        <v>59</v>
      </c>
      <c r="M8448" s="15" t="s">
        <v>2344</v>
      </c>
      <c r="N8448" s="15" t="s">
        <v>64</v>
      </c>
      <c r="O8448" s="15" t="s">
        <v>72</v>
      </c>
      <c r="P8448" s="21" t="s">
        <v>928</v>
      </c>
      <c r="Q8448" s="15" t="s">
        <v>49</v>
      </c>
      <c r="R8448" s="4"/>
      <c r="S8448" s="4"/>
    </row>
    <row r="8449" spans="1:19" ht="21" customHeight="1" x14ac:dyDescent="0.25">
      <c r="A8449" s="14">
        <f>DATE(2012,12,31)-604</f>
        <v>40670</v>
      </c>
      <c r="B8449" s="15" t="s">
        <v>643</v>
      </c>
      <c r="C8449" s="15" t="s">
        <v>43</v>
      </c>
      <c r="D8449" s="16">
        <v>7</v>
      </c>
      <c r="E8449" s="17">
        <v>33.99</v>
      </c>
      <c r="F8449" s="16">
        <v>0.09</v>
      </c>
      <c r="G8449" s="15" t="s">
        <v>32</v>
      </c>
      <c r="H8449" s="18">
        <v>-25.86</v>
      </c>
      <c r="I8449" s="19">
        <v>4.7699999999999996</v>
      </c>
      <c r="J8449" s="19">
        <v>2.39</v>
      </c>
      <c r="K8449" s="19" t="s">
        <v>97</v>
      </c>
      <c r="L8449" s="19" t="s">
        <v>195</v>
      </c>
      <c r="M8449" s="15" t="s">
        <v>2388</v>
      </c>
      <c r="N8449" s="15" t="s">
        <v>64</v>
      </c>
      <c r="O8449" s="15" t="s">
        <v>72</v>
      </c>
      <c r="P8449" s="21" t="s">
        <v>2397</v>
      </c>
      <c r="Q8449" s="15" t="s">
        <v>49</v>
      </c>
      <c r="R8449" s="4"/>
      <c r="S8449" s="4"/>
    </row>
    <row r="8450" spans="1:19" ht="21" customHeight="1" x14ac:dyDescent="0.25">
      <c r="A8450" s="14">
        <f>DATE(2012,12,31)-473</f>
        <v>40801</v>
      </c>
      <c r="B8450" s="15" t="s">
        <v>643</v>
      </c>
      <c r="C8450" s="15" t="s">
        <v>85</v>
      </c>
      <c r="D8450" s="16">
        <v>34</v>
      </c>
      <c r="E8450" s="17">
        <v>260.51</v>
      </c>
      <c r="F8450" s="16">
        <v>0.03</v>
      </c>
      <c r="G8450" s="15" t="s">
        <v>32</v>
      </c>
      <c r="H8450" s="18">
        <v>-127.5235</v>
      </c>
      <c r="I8450" s="19">
        <v>7.3</v>
      </c>
      <c r="J8450" s="19">
        <v>7.72</v>
      </c>
      <c r="K8450" s="19" t="s">
        <v>97</v>
      </c>
      <c r="L8450" s="19" t="s">
        <v>195</v>
      </c>
      <c r="M8450" s="15" t="s">
        <v>2388</v>
      </c>
      <c r="N8450" s="15" t="s">
        <v>36</v>
      </c>
      <c r="O8450" s="15" t="s">
        <v>170</v>
      </c>
      <c r="P8450" s="21" t="s">
        <v>274</v>
      </c>
      <c r="Q8450" s="15" t="s">
        <v>83</v>
      </c>
      <c r="R8450" s="4"/>
      <c r="S8450" s="4"/>
    </row>
    <row r="8451" spans="1:19" ht="21" customHeight="1" x14ac:dyDescent="0.25">
      <c r="A8451" s="14">
        <f>DATE(2012,12,31)-473</f>
        <v>40801</v>
      </c>
      <c r="B8451" s="15" t="s">
        <v>643</v>
      </c>
      <c r="C8451" s="15" t="s">
        <v>85</v>
      </c>
      <c r="D8451" s="16">
        <v>15</v>
      </c>
      <c r="E8451" s="17">
        <v>466.28</v>
      </c>
      <c r="F8451" s="16">
        <v>0</v>
      </c>
      <c r="G8451" s="15" t="s">
        <v>32</v>
      </c>
      <c r="H8451" s="18">
        <v>92.7</v>
      </c>
      <c r="I8451" s="19">
        <v>29.89</v>
      </c>
      <c r="J8451" s="19">
        <v>1.99</v>
      </c>
      <c r="K8451" s="19" t="s">
        <v>124</v>
      </c>
      <c r="L8451" s="19" t="s">
        <v>493</v>
      </c>
      <c r="M8451" s="15" t="s">
        <v>2367</v>
      </c>
      <c r="N8451" s="15" t="s">
        <v>64</v>
      </c>
      <c r="O8451" s="15" t="s">
        <v>72</v>
      </c>
      <c r="P8451" s="21" t="s">
        <v>825</v>
      </c>
      <c r="Q8451" s="15" t="s">
        <v>49</v>
      </c>
      <c r="R8451" s="4"/>
      <c r="S8451" s="4"/>
    </row>
    <row r="8452" spans="1:19" ht="21" customHeight="1" x14ac:dyDescent="0.25">
      <c r="A8452" s="14">
        <f>DATE(2012,12,31)-296</f>
        <v>40978</v>
      </c>
      <c r="B8452" s="15" t="s">
        <v>643</v>
      </c>
      <c r="C8452" s="15" t="s">
        <v>85</v>
      </c>
      <c r="D8452" s="16">
        <v>14</v>
      </c>
      <c r="E8452" s="17">
        <v>1961.39</v>
      </c>
      <c r="F8452" s="16">
        <v>0</v>
      </c>
      <c r="G8452" s="15" t="s">
        <v>32</v>
      </c>
      <c r="H8452" s="18">
        <v>761.04</v>
      </c>
      <c r="I8452" s="19">
        <v>136.97999999999999</v>
      </c>
      <c r="J8452" s="19">
        <v>24.49</v>
      </c>
      <c r="K8452" s="19" t="s">
        <v>124</v>
      </c>
      <c r="L8452" s="19" t="s">
        <v>125</v>
      </c>
      <c r="M8452" s="15" t="s">
        <v>2358</v>
      </c>
      <c r="N8452" s="15" t="s">
        <v>54</v>
      </c>
      <c r="O8452" s="15" t="s">
        <v>55</v>
      </c>
      <c r="P8452" s="21" t="s">
        <v>560</v>
      </c>
      <c r="Q8452" s="15" t="s">
        <v>39</v>
      </c>
      <c r="R8452" s="4"/>
      <c r="S8452" s="4"/>
    </row>
    <row r="8453" spans="1:19" ht="21" customHeight="1" x14ac:dyDescent="0.25">
      <c r="A8453" s="14">
        <f>DATE(2012,12,31)-296</f>
        <v>40978</v>
      </c>
      <c r="B8453" s="15" t="s">
        <v>643</v>
      </c>
      <c r="C8453" s="15" t="s">
        <v>85</v>
      </c>
      <c r="D8453" s="16">
        <v>3</v>
      </c>
      <c r="E8453" s="17">
        <v>4.9400000000000004</v>
      </c>
      <c r="F8453" s="16">
        <v>0.1</v>
      </c>
      <c r="G8453" s="15" t="s">
        <v>32</v>
      </c>
      <c r="H8453" s="18">
        <v>-1.76</v>
      </c>
      <c r="I8453" s="19">
        <v>1.48</v>
      </c>
      <c r="J8453" s="19">
        <v>0.7</v>
      </c>
      <c r="K8453" s="19" t="s">
        <v>124</v>
      </c>
      <c r="L8453" s="19" t="s">
        <v>158</v>
      </c>
      <c r="M8453" s="15" t="s">
        <v>158</v>
      </c>
      <c r="N8453" s="15" t="s">
        <v>36</v>
      </c>
      <c r="O8453" s="15" t="s">
        <v>105</v>
      </c>
      <c r="P8453" s="21" t="s">
        <v>1165</v>
      </c>
      <c r="Q8453" s="15" t="s">
        <v>79</v>
      </c>
      <c r="R8453" s="4"/>
      <c r="S8453" s="4"/>
    </row>
    <row r="8454" spans="1:19" ht="21" customHeight="1" x14ac:dyDescent="0.25">
      <c r="A8454" s="14">
        <f>DATE(2012,12,31)-823</f>
        <v>40451</v>
      </c>
      <c r="B8454" s="15" t="s">
        <v>643</v>
      </c>
      <c r="C8454" s="15" t="s">
        <v>31</v>
      </c>
      <c r="D8454" s="16">
        <v>3</v>
      </c>
      <c r="E8454" s="17">
        <v>22.06</v>
      </c>
      <c r="F8454" s="16">
        <v>0.05</v>
      </c>
      <c r="G8454" s="15" t="s">
        <v>32</v>
      </c>
      <c r="H8454" s="18">
        <v>-15.6</v>
      </c>
      <c r="I8454" s="19">
        <v>4.9800000000000004</v>
      </c>
      <c r="J8454" s="19">
        <v>7.44</v>
      </c>
      <c r="K8454" s="19" t="s">
        <v>124</v>
      </c>
      <c r="L8454" s="19" t="s">
        <v>158</v>
      </c>
      <c r="M8454" s="15" t="s">
        <v>158</v>
      </c>
      <c r="N8454" s="15" t="s">
        <v>36</v>
      </c>
      <c r="O8454" s="15" t="s">
        <v>117</v>
      </c>
      <c r="P8454" s="21" t="s">
        <v>266</v>
      </c>
      <c r="Q8454" s="15" t="s">
        <v>83</v>
      </c>
      <c r="R8454" s="4"/>
      <c r="S8454" s="4"/>
    </row>
    <row r="8455" spans="1:19" ht="21" customHeight="1" x14ac:dyDescent="0.25">
      <c r="A8455" s="14">
        <f>DATE(2012,12,31)-1121</f>
        <v>40153</v>
      </c>
      <c r="B8455" s="15" t="s">
        <v>643</v>
      </c>
      <c r="C8455" s="15" t="s">
        <v>51</v>
      </c>
      <c r="D8455" s="16">
        <v>3</v>
      </c>
      <c r="E8455" s="17">
        <v>549.91999999999996</v>
      </c>
      <c r="F8455" s="16">
        <v>0.09</v>
      </c>
      <c r="G8455" s="15" t="s">
        <v>58</v>
      </c>
      <c r="H8455" s="18">
        <v>-210.97</v>
      </c>
      <c r="I8455" s="19">
        <v>180.98</v>
      </c>
      <c r="J8455" s="19">
        <v>26.2</v>
      </c>
      <c r="K8455" s="19" t="s">
        <v>124</v>
      </c>
      <c r="L8455" s="19" t="s">
        <v>319</v>
      </c>
      <c r="M8455" s="15" t="s">
        <v>2375</v>
      </c>
      <c r="N8455" s="15" t="s">
        <v>54</v>
      </c>
      <c r="O8455" s="15" t="s">
        <v>252</v>
      </c>
      <c r="P8455" s="21" t="s">
        <v>2398</v>
      </c>
      <c r="Q8455" s="15" t="s">
        <v>181</v>
      </c>
      <c r="R8455" s="4"/>
      <c r="S8455" s="4"/>
    </row>
    <row r="8456" spans="1:19" ht="21" customHeight="1" x14ac:dyDescent="0.25">
      <c r="A8456" s="14">
        <f>DATE(2012,12,31)-1121</f>
        <v>40153</v>
      </c>
      <c r="B8456" s="15" t="s">
        <v>643</v>
      </c>
      <c r="C8456" s="15" t="s">
        <v>51</v>
      </c>
      <c r="D8456" s="16">
        <v>26</v>
      </c>
      <c r="E8456" s="17">
        <v>182.09</v>
      </c>
      <c r="F8456" s="16">
        <v>0</v>
      </c>
      <c r="G8456" s="15" t="s">
        <v>32</v>
      </c>
      <c r="H8456" s="18">
        <v>-28.15</v>
      </c>
      <c r="I8456" s="19">
        <v>6.48</v>
      </c>
      <c r="J8456" s="19">
        <v>5.19</v>
      </c>
      <c r="K8456" s="19" t="s">
        <v>124</v>
      </c>
      <c r="L8456" s="19" t="s">
        <v>158</v>
      </c>
      <c r="M8456" s="15" t="s">
        <v>158</v>
      </c>
      <c r="N8456" s="15" t="s">
        <v>36</v>
      </c>
      <c r="O8456" s="15" t="s">
        <v>117</v>
      </c>
      <c r="P8456" s="21" t="s">
        <v>2054</v>
      </c>
      <c r="Q8456" s="15" t="s">
        <v>83</v>
      </c>
      <c r="R8456" s="4"/>
      <c r="S8456" s="4"/>
    </row>
    <row r="8457" spans="1:19" ht="21" customHeight="1" x14ac:dyDescent="0.25">
      <c r="A8457" s="14">
        <f>DATE(2012,12,31)-1086</f>
        <v>40188</v>
      </c>
      <c r="B8457" s="15" t="s">
        <v>643</v>
      </c>
      <c r="C8457" s="15" t="s">
        <v>85</v>
      </c>
      <c r="D8457" s="16">
        <v>11</v>
      </c>
      <c r="E8457" s="17">
        <v>1091.47</v>
      </c>
      <c r="F8457" s="16">
        <v>0.04</v>
      </c>
      <c r="G8457" s="15" t="s">
        <v>32</v>
      </c>
      <c r="H8457" s="18">
        <v>160.47999999999999</v>
      </c>
      <c r="I8457" s="19">
        <v>92.23</v>
      </c>
      <c r="J8457" s="19">
        <v>39.61</v>
      </c>
      <c r="K8457" s="19" t="s">
        <v>44</v>
      </c>
      <c r="L8457" s="19" t="s">
        <v>236</v>
      </c>
      <c r="M8457" s="15" t="s">
        <v>2381</v>
      </c>
      <c r="N8457" s="15" t="s">
        <v>54</v>
      </c>
      <c r="O8457" s="15" t="s">
        <v>55</v>
      </c>
      <c r="P8457" s="21" t="s">
        <v>2399</v>
      </c>
      <c r="Q8457" s="15" t="s">
        <v>57</v>
      </c>
      <c r="R8457" s="4"/>
      <c r="S8457" s="4"/>
    </row>
    <row r="8458" spans="1:19" ht="21" customHeight="1" x14ac:dyDescent="0.25">
      <c r="A8458" s="14">
        <f>DATE(2012,12,31)-1086</f>
        <v>40188</v>
      </c>
      <c r="B8458" s="15" t="s">
        <v>643</v>
      </c>
      <c r="C8458" s="15" t="s">
        <v>85</v>
      </c>
      <c r="D8458" s="16">
        <v>35</v>
      </c>
      <c r="E8458" s="17">
        <v>112.59</v>
      </c>
      <c r="F8458" s="16">
        <v>0.09</v>
      </c>
      <c r="G8458" s="15" t="s">
        <v>101</v>
      </c>
      <c r="H8458" s="18">
        <v>-126.7</v>
      </c>
      <c r="I8458" s="19">
        <v>3.28</v>
      </c>
      <c r="J8458" s="19">
        <v>5</v>
      </c>
      <c r="K8458" s="19" t="s">
        <v>44</v>
      </c>
      <c r="L8458" s="19" t="s">
        <v>52</v>
      </c>
      <c r="M8458" s="15" t="s">
        <v>2380</v>
      </c>
      <c r="N8458" s="15" t="s">
        <v>36</v>
      </c>
      <c r="O8458" s="15" t="s">
        <v>77</v>
      </c>
      <c r="P8458" s="21" t="s">
        <v>863</v>
      </c>
      <c r="Q8458" s="15" t="s">
        <v>79</v>
      </c>
      <c r="R8458" s="4"/>
      <c r="S8458" s="4"/>
    </row>
    <row r="8459" spans="1:19" ht="21" customHeight="1" x14ac:dyDescent="0.25">
      <c r="A8459" s="14">
        <f>DATE(2012,12,31)-186</f>
        <v>41088</v>
      </c>
      <c r="B8459" s="15" t="s">
        <v>643</v>
      </c>
      <c r="C8459" s="15" t="s">
        <v>31</v>
      </c>
      <c r="D8459" s="16">
        <v>47</v>
      </c>
      <c r="E8459" s="17">
        <v>9633.59</v>
      </c>
      <c r="F8459" s="16">
        <v>0.06</v>
      </c>
      <c r="G8459" s="15" t="s">
        <v>58</v>
      </c>
      <c r="H8459" s="18">
        <v>176.67</v>
      </c>
      <c r="I8459" s="19">
        <v>216.6</v>
      </c>
      <c r="J8459" s="19">
        <v>64.2</v>
      </c>
      <c r="K8459" s="19" t="s">
        <v>44</v>
      </c>
      <c r="L8459" s="19" t="s">
        <v>236</v>
      </c>
      <c r="M8459" s="15" t="s">
        <v>2381</v>
      </c>
      <c r="N8459" s="15" t="s">
        <v>54</v>
      </c>
      <c r="O8459" s="15" t="s">
        <v>252</v>
      </c>
      <c r="P8459" s="21" t="s">
        <v>855</v>
      </c>
      <c r="Q8459" s="15" t="s">
        <v>181</v>
      </c>
      <c r="R8459" s="4"/>
      <c r="S8459" s="4"/>
    </row>
    <row r="8460" spans="1:19" ht="21" customHeight="1" x14ac:dyDescent="0.25">
      <c r="A8460" s="14">
        <f>DATE(2012,12,31)-186</f>
        <v>41088</v>
      </c>
      <c r="B8460" s="15" t="s">
        <v>643</v>
      </c>
      <c r="C8460" s="15" t="s">
        <v>31</v>
      </c>
      <c r="D8460" s="16">
        <v>26</v>
      </c>
      <c r="E8460" s="17">
        <v>3758.77</v>
      </c>
      <c r="F8460" s="16">
        <v>0</v>
      </c>
      <c r="G8460" s="15" t="s">
        <v>32</v>
      </c>
      <c r="H8460" s="18">
        <v>753.61</v>
      </c>
      <c r="I8460" s="19">
        <v>140.81</v>
      </c>
      <c r="J8460" s="19">
        <v>24.49</v>
      </c>
      <c r="K8460" s="19" t="s">
        <v>44</v>
      </c>
      <c r="L8460" s="19" t="s">
        <v>80</v>
      </c>
      <c r="M8460" s="15" t="s">
        <v>2339</v>
      </c>
      <c r="N8460" s="15" t="s">
        <v>54</v>
      </c>
      <c r="O8460" s="15" t="s">
        <v>252</v>
      </c>
      <c r="P8460" s="21" t="s">
        <v>1392</v>
      </c>
      <c r="Q8460" s="15" t="s">
        <v>39</v>
      </c>
      <c r="R8460" s="4"/>
      <c r="S8460" s="4"/>
    </row>
    <row r="8461" spans="1:19" ht="21" customHeight="1" x14ac:dyDescent="0.25">
      <c r="A8461" s="14">
        <f>DATE(2012,12,31)-318</f>
        <v>40956</v>
      </c>
      <c r="B8461" s="15" t="s">
        <v>643</v>
      </c>
      <c r="C8461" s="15" t="s">
        <v>85</v>
      </c>
      <c r="D8461" s="16">
        <v>15</v>
      </c>
      <c r="E8461" s="17">
        <v>1616.66</v>
      </c>
      <c r="F8461" s="16">
        <v>0</v>
      </c>
      <c r="G8461" s="15" t="s">
        <v>58</v>
      </c>
      <c r="H8461" s="18">
        <v>112.58</v>
      </c>
      <c r="I8461" s="19">
        <v>100.98</v>
      </c>
      <c r="J8461" s="19">
        <v>56.22</v>
      </c>
      <c r="K8461" s="19" t="s">
        <v>44</v>
      </c>
      <c r="L8461" s="19" t="s">
        <v>52</v>
      </c>
      <c r="M8461" s="15" t="s">
        <v>2380</v>
      </c>
      <c r="N8461" s="15" t="s">
        <v>54</v>
      </c>
      <c r="O8461" s="15" t="s">
        <v>134</v>
      </c>
      <c r="P8461" s="21" t="s">
        <v>397</v>
      </c>
      <c r="Q8461" s="15" t="s">
        <v>63</v>
      </c>
      <c r="R8461" s="4"/>
      <c r="S8461" s="4"/>
    </row>
    <row r="8462" spans="1:19" ht="21" customHeight="1" x14ac:dyDescent="0.25">
      <c r="A8462" s="14">
        <f>DATE(2012,12,31)-318</f>
        <v>40956</v>
      </c>
      <c r="B8462" s="15" t="s">
        <v>643</v>
      </c>
      <c r="C8462" s="15" t="s">
        <v>85</v>
      </c>
      <c r="D8462" s="16">
        <v>6</v>
      </c>
      <c r="E8462" s="17">
        <v>96.21</v>
      </c>
      <c r="F8462" s="16">
        <v>0.06</v>
      </c>
      <c r="G8462" s="15" t="s">
        <v>32</v>
      </c>
      <c r="H8462" s="18">
        <v>-19.34</v>
      </c>
      <c r="I8462" s="19">
        <v>14.58</v>
      </c>
      <c r="J8462" s="19">
        <v>57.4</v>
      </c>
      <c r="K8462" s="19" t="s">
        <v>44</v>
      </c>
      <c r="L8462" s="19" t="s">
        <v>52</v>
      </c>
      <c r="M8462" s="15" t="s">
        <v>2380</v>
      </c>
      <c r="N8462" s="15" t="s">
        <v>54</v>
      </c>
      <c r="O8462" s="15" t="s">
        <v>55</v>
      </c>
      <c r="P8462" s="21" t="s">
        <v>352</v>
      </c>
      <c r="Q8462" s="15" t="s">
        <v>83</v>
      </c>
      <c r="R8462" s="4"/>
      <c r="S8462" s="4"/>
    </row>
    <row r="8463" spans="1:19" ht="21" customHeight="1" x14ac:dyDescent="0.25">
      <c r="A8463" s="14">
        <f>DATE(2012,12,31)-46</f>
        <v>41228</v>
      </c>
      <c r="B8463" s="15" t="s">
        <v>643</v>
      </c>
      <c r="C8463" s="15" t="s">
        <v>51</v>
      </c>
      <c r="D8463" s="16">
        <v>3</v>
      </c>
      <c r="E8463" s="17">
        <v>18.91</v>
      </c>
      <c r="F8463" s="16">
        <v>0</v>
      </c>
      <c r="G8463" s="15" t="s">
        <v>32</v>
      </c>
      <c r="H8463" s="18">
        <v>-16.353000000000002</v>
      </c>
      <c r="I8463" s="19">
        <v>3.89</v>
      </c>
      <c r="J8463" s="19">
        <v>7.01</v>
      </c>
      <c r="K8463" s="19" t="s">
        <v>44</v>
      </c>
      <c r="L8463" s="19" t="s">
        <v>52</v>
      </c>
      <c r="M8463" s="15" t="s">
        <v>2380</v>
      </c>
      <c r="N8463" s="15" t="s">
        <v>36</v>
      </c>
      <c r="O8463" s="15" t="s">
        <v>170</v>
      </c>
      <c r="P8463" s="21" t="s">
        <v>711</v>
      </c>
      <c r="Q8463" s="15" t="s">
        <v>83</v>
      </c>
      <c r="R8463" s="4"/>
      <c r="S8463" s="4"/>
    </row>
    <row r="8464" spans="1:19" ht="21" customHeight="1" x14ac:dyDescent="0.25">
      <c r="A8464" s="14">
        <f>DATE(2012,12,31)-46</f>
        <v>41228</v>
      </c>
      <c r="B8464" s="15" t="s">
        <v>1152</v>
      </c>
      <c r="C8464" s="15" t="s">
        <v>51</v>
      </c>
      <c r="D8464" s="16">
        <v>7</v>
      </c>
      <c r="E8464" s="17">
        <v>685.7</v>
      </c>
      <c r="F8464" s="16">
        <v>0.01</v>
      </c>
      <c r="G8464" s="15" t="s">
        <v>32</v>
      </c>
      <c r="H8464" s="18">
        <v>350.94</v>
      </c>
      <c r="I8464" s="19">
        <v>88.84</v>
      </c>
      <c r="J8464" s="19">
        <v>20.79</v>
      </c>
      <c r="K8464" s="19" t="s">
        <v>44</v>
      </c>
      <c r="L8464" s="19" t="s">
        <v>45</v>
      </c>
      <c r="M8464" s="15" t="s">
        <v>2400</v>
      </c>
      <c r="N8464" s="15" t="s">
        <v>54</v>
      </c>
      <c r="O8464" s="15" t="s">
        <v>55</v>
      </c>
      <c r="P8464" s="21" t="s">
        <v>2056</v>
      </c>
      <c r="Q8464" s="15" t="s">
        <v>39</v>
      </c>
      <c r="R8464" s="4"/>
      <c r="S8464" s="4"/>
    </row>
    <row r="8465" spans="1:19" ht="21" customHeight="1" x14ac:dyDescent="0.25">
      <c r="A8465" s="14">
        <f>DATE(2012,12,31)-46</f>
        <v>41228</v>
      </c>
      <c r="B8465" s="15" t="s">
        <v>1152</v>
      </c>
      <c r="C8465" s="15" t="s">
        <v>51</v>
      </c>
      <c r="D8465" s="16">
        <v>10</v>
      </c>
      <c r="E8465" s="17">
        <v>1024.165</v>
      </c>
      <c r="F8465" s="16">
        <v>0.02</v>
      </c>
      <c r="G8465" s="15" t="s">
        <v>32</v>
      </c>
      <c r="H8465" s="18">
        <v>-105.69900000000001</v>
      </c>
      <c r="I8465" s="19">
        <v>115.99</v>
      </c>
      <c r="J8465" s="19">
        <v>5.99</v>
      </c>
      <c r="K8465" s="19" t="s">
        <v>124</v>
      </c>
      <c r="L8465" s="19" t="s">
        <v>160</v>
      </c>
      <c r="M8465" s="15" t="s">
        <v>2281</v>
      </c>
      <c r="N8465" s="15" t="s">
        <v>64</v>
      </c>
      <c r="O8465" s="15" t="s">
        <v>65</v>
      </c>
      <c r="P8465" s="21" t="s">
        <v>1032</v>
      </c>
      <c r="Q8465" s="15" t="s">
        <v>83</v>
      </c>
      <c r="R8465" s="4"/>
      <c r="S8465" s="4"/>
    </row>
    <row r="8466" spans="1:19" ht="21" customHeight="1" x14ac:dyDescent="0.25">
      <c r="A8466" s="14">
        <f>DATE(2012,12,31)-1438</f>
        <v>39836</v>
      </c>
      <c r="B8466" s="15" t="s">
        <v>1152</v>
      </c>
      <c r="C8466" s="15" t="s">
        <v>85</v>
      </c>
      <c r="D8466" s="16">
        <v>18</v>
      </c>
      <c r="E8466" s="17">
        <v>1383.2</v>
      </c>
      <c r="F8466" s="16">
        <v>0.01</v>
      </c>
      <c r="G8466" s="15" t="s">
        <v>32</v>
      </c>
      <c r="H8466" s="18">
        <v>-23.44</v>
      </c>
      <c r="I8466" s="19">
        <v>73.98</v>
      </c>
      <c r="J8466" s="19">
        <v>12.14</v>
      </c>
      <c r="K8466" s="19" t="s">
        <v>124</v>
      </c>
      <c r="L8466" s="19" t="s">
        <v>160</v>
      </c>
      <c r="M8466" s="15" t="s">
        <v>2281</v>
      </c>
      <c r="N8466" s="15" t="s">
        <v>64</v>
      </c>
      <c r="O8466" s="15" t="s">
        <v>72</v>
      </c>
      <c r="P8466" s="21" t="s">
        <v>566</v>
      </c>
      <c r="Q8466" s="15" t="s">
        <v>83</v>
      </c>
      <c r="R8466" s="4"/>
      <c r="S8466" s="4"/>
    </row>
    <row r="8467" spans="1:19" ht="21" customHeight="1" x14ac:dyDescent="0.25">
      <c r="A8467" s="14">
        <f>DATE(2012,12,31)-584</f>
        <v>40690</v>
      </c>
      <c r="B8467" s="15" t="s">
        <v>1152</v>
      </c>
      <c r="C8467" s="15" t="s">
        <v>43</v>
      </c>
      <c r="D8467" s="16">
        <v>20</v>
      </c>
      <c r="E8467" s="17">
        <v>211.42</v>
      </c>
      <c r="F8467" s="16">
        <v>0</v>
      </c>
      <c r="G8467" s="15" t="s">
        <v>32</v>
      </c>
      <c r="H8467" s="18">
        <v>-113.52</v>
      </c>
      <c r="I8467" s="19">
        <v>9.7100000000000009</v>
      </c>
      <c r="J8467" s="19">
        <v>9.4499999999999993</v>
      </c>
      <c r="K8467" s="19" t="s">
        <v>44</v>
      </c>
      <c r="L8467" s="19" t="s">
        <v>52</v>
      </c>
      <c r="M8467" s="15" t="s">
        <v>2380</v>
      </c>
      <c r="N8467" s="15" t="s">
        <v>36</v>
      </c>
      <c r="O8467" s="15" t="s">
        <v>37</v>
      </c>
      <c r="P8467" s="21" t="s">
        <v>130</v>
      </c>
      <c r="Q8467" s="15" t="s">
        <v>83</v>
      </c>
      <c r="R8467" s="4"/>
      <c r="S8467" s="4"/>
    </row>
    <row r="8468" spans="1:19" ht="21" customHeight="1" x14ac:dyDescent="0.25">
      <c r="A8468" s="14">
        <f>DATE(2012,12,31)-847</f>
        <v>40427</v>
      </c>
      <c r="B8468" s="15" t="s">
        <v>1152</v>
      </c>
      <c r="C8468" s="15" t="s">
        <v>43</v>
      </c>
      <c r="D8468" s="16">
        <v>20</v>
      </c>
      <c r="E8468" s="17">
        <v>112.03</v>
      </c>
      <c r="F8468" s="16">
        <v>0.05</v>
      </c>
      <c r="G8468" s="15" t="s">
        <v>32</v>
      </c>
      <c r="H8468" s="18">
        <v>-57.994500000000002</v>
      </c>
      <c r="I8468" s="19">
        <v>5.18</v>
      </c>
      <c r="J8468" s="19">
        <v>5.74</v>
      </c>
      <c r="K8468" s="19" t="s">
        <v>33</v>
      </c>
      <c r="L8468" s="19" t="s">
        <v>59</v>
      </c>
      <c r="M8468" s="15" t="s">
        <v>2344</v>
      </c>
      <c r="N8468" s="15" t="s">
        <v>36</v>
      </c>
      <c r="O8468" s="15" t="s">
        <v>170</v>
      </c>
      <c r="P8468" s="21" t="s">
        <v>427</v>
      </c>
      <c r="Q8468" s="15" t="s">
        <v>83</v>
      </c>
      <c r="R8468" s="4"/>
      <c r="S8468" s="4"/>
    </row>
    <row r="8469" spans="1:19" ht="21" customHeight="1" x14ac:dyDescent="0.25">
      <c r="A8469" s="14">
        <f>DATE(2012,12,31)-899</f>
        <v>40375</v>
      </c>
      <c r="B8469" s="15" t="s">
        <v>1152</v>
      </c>
      <c r="C8469" s="15" t="s">
        <v>43</v>
      </c>
      <c r="D8469" s="16">
        <v>45</v>
      </c>
      <c r="E8469" s="17">
        <v>5205.83</v>
      </c>
      <c r="F8469" s="16">
        <v>0.08</v>
      </c>
      <c r="G8469" s="15" t="s">
        <v>58</v>
      </c>
      <c r="H8469" s="18">
        <v>-818.76600000000008</v>
      </c>
      <c r="I8469" s="19">
        <v>124.49</v>
      </c>
      <c r="J8469" s="19">
        <v>51.94</v>
      </c>
      <c r="K8469" s="19" t="s">
        <v>33</v>
      </c>
      <c r="L8469" s="19" t="s">
        <v>128</v>
      </c>
      <c r="M8469" s="15" t="s">
        <v>129</v>
      </c>
      <c r="N8469" s="15" t="s">
        <v>54</v>
      </c>
      <c r="O8469" s="15" t="s">
        <v>61</v>
      </c>
      <c r="P8469" s="21" t="s">
        <v>220</v>
      </c>
      <c r="Q8469" s="15" t="s">
        <v>63</v>
      </c>
      <c r="R8469" s="4"/>
      <c r="S8469" s="4"/>
    </row>
    <row r="8470" spans="1:19" ht="21" customHeight="1" x14ac:dyDescent="0.25">
      <c r="A8470" s="14">
        <f>DATE(2012,12,31)-287</f>
        <v>40987</v>
      </c>
      <c r="B8470" s="15" t="s">
        <v>1152</v>
      </c>
      <c r="C8470" s="15" t="s">
        <v>51</v>
      </c>
      <c r="D8470" s="16">
        <v>46</v>
      </c>
      <c r="E8470" s="17">
        <v>175.23</v>
      </c>
      <c r="F8470" s="16">
        <v>0.04</v>
      </c>
      <c r="G8470" s="15" t="s">
        <v>32</v>
      </c>
      <c r="H8470" s="18">
        <v>-13.35</v>
      </c>
      <c r="I8470" s="19">
        <v>3.69</v>
      </c>
      <c r="J8470" s="19">
        <v>2.5</v>
      </c>
      <c r="K8470" s="19" t="s">
        <v>33</v>
      </c>
      <c r="L8470" s="19" t="s">
        <v>34</v>
      </c>
      <c r="M8470" s="15" t="s">
        <v>2377</v>
      </c>
      <c r="N8470" s="15" t="s">
        <v>36</v>
      </c>
      <c r="O8470" s="15" t="s">
        <v>189</v>
      </c>
      <c r="P8470" s="21" t="s">
        <v>1871</v>
      </c>
      <c r="Q8470" s="15" t="s">
        <v>83</v>
      </c>
      <c r="R8470" s="4"/>
      <c r="S8470" s="4"/>
    </row>
    <row r="8471" spans="1:19" ht="21" customHeight="1" x14ac:dyDescent="0.25">
      <c r="A8471" s="14">
        <f>DATE(2012,12,31)-1300</f>
        <v>39974</v>
      </c>
      <c r="B8471" s="15" t="s">
        <v>1152</v>
      </c>
      <c r="C8471" s="15" t="s">
        <v>43</v>
      </c>
      <c r="D8471" s="16">
        <v>14</v>
      </c>
      <c r="E8471" s="17">
        <v>132.72</v>
      </c>
      <c r="F8471" s="16">
        <v>0.05</v>
      </c>
      <c r="G8471" s="15" t="s">
        <v>32</v>
      </c>
      <c r="H8471" s="18">
        <v>-9.1769999999999996</v>
      </c>
      <c r="I8471" s="19">
        <v>8.85</v>
      </c>
      <c r="J8471" s="19">
        <v>5.6</v>
      </c>
      <c r="K8471" s="19" t="s">
        <v>33</v>
      </c>
      <c r="L8471" s="19" t="s">
        <v>34</v>
      </c>
      <c r="M8471" s="15" t="s">
        <v>2377</v>
      </c>
      <c r="N8471" s="15" t="s">
        <v>36</v>
      </c>
      <c r="O8471" s="15" t="s">
        <v>170</v>
      </c>
      <c r="P8471" s="21" t="s">
        <v>1218</v>
      </c>
      <c r="Q8471" s="15" t="s">
        <v>83</v>
      </c>
      <c r="R8471" s="4"/>
      <c r="S8471" s="4"/>
    </row>
    <row r="8472" spans="1:19" ht="21" customHeight="1" x14ac:dyDescent="0.25">
      <c r="A8472" s="14">
        <f>DATE(2012,12,31)-1347</f>
        <v>39927</v>
      </c>
      <c r="B8472" s="15" t="s">
        <v>1426</v>
      </c>
      <c r="C8472" s="15" t="s">
        <v>31</v>
      </c>
      <c r="D8472" s="16">
        <v>38</v>
      </c>
      <c r="E8472" s="17">
        <v>1396.58</v>
      </c>
      <c r="F8472" s="16">
        <v>0.03</v>
      </c>
      <c r="G8472" s="15" t="s">
        <v>32</v>
      </c>
      <c r="H8472" s="18">
        <v>600.72</v>
      </c>
      <c r="I8472" s="19">
        <v>35.409999999999997</v>
      </c>
      <c r="J8472" s="19">
        <v>1.99</v>
      </c>
      <c r="K8472" s="19" t="s">
        <v>33</v>
      </c>
      <c r="L8472" s="19" t="s">
        <v>59</v>
      </c>
      <c r="M8472" s="15" t="s">
        <v>2344</v>
      </c>
      <c r="N8472" s="15" t="s">
        <v>64</v>
      </c>
      <c r="O8472" s="15" t="s">
        <v>72</v>
      </c>
      <c r="P8472" s="21" t="s">
        <v>2401</v>
      </c>
      <c r="Q8472" s="15" t="s">
        <v>49</v>
      </c>
      <c r="R8472" s="4"/>
      <c r="S8472" s="4"/>
    </row>
    <row r="8473" spans="1:19" ht="21" customHeight="1" x14ac:dyDescent="0.25">
      <c r="A8473" s="14">
        <f>DATE(2012,12,31)-1347</f>
        <v>39927</v>
      </c>
      <c r="B8473" s="15" t="s">
        <v>1426</v>
      </c>
      <c r="C8473" s="15" t="s">
        <v>31</v>
      </c>
      <c r="D8473" s="16">
        <v>45</v>
      </c>
      <c r="E8473" s="17">
        <v>6448.69</v>
      </c>
      <c r="F8473" s="16">
        <v>0</v>
      </c>
      <c r="G8473" s="15" t="s">
        <v>32</v>
      </c>
      <c r="H8473" s="18">
        <v>1663.35</v>
      </c>
      <c r="I8473" s="19">
        <v>142.86000000000001</v>
      </c>
      <c r="J8473" s="19">
        <v>19.989999999999998</v>
      </c>
      <c r="K8473" s="19" t="s">
        <v>33</v>
      </c>
      <c r="L8473" s="19" t="s">
        <v>34</v>
      </c>
      <c r="M8473" s="15" t="s">
        <v>2377</v>
      </c>
      <c r="N8473" s="15" t="s">
        <v>36</v>
      </c>
      <c r="O8473" s="15" t="s">
        <v>37</v>
      </c>
      <c r="P8473" s="21" t="s">
        <v>1019</v>
      </c>
      <c r="Q8473" s="15" t="s">
        <v>83</v>
      </c>
      <c r="R8473" s="4"/>
      <c r="S8473" s="4"/>
    </row>
    <row r="8474" spans="1:19" ht="21" customHeight="1" x14ac:dyDescent="0.25">
      <c r="A8474" s="14">
        <f>DATE(2012,12,31)-649</f>
        <v>40625</v>
      </c>
      <c r="B8474" s="15" t="s">
        <v>552</v>
      </c>
      <c r="C8474" s="15" t="s">
        <v>85</v>
      </c>
      <c r="D8474" s="16">
        <v>6</v>
      </c>
      <c r="E8474" s="17">
        <v>143.78</v>
      </c>
      <c r="F8474" s="16">
        <v>0.04</v>
      </c>
      <c r="G8474" s="15" t="s">
        <v>32</v>
      </c>
      <c r="H8474" s="18">
        <v>75.3</v>
      </c>
      <c r="I8474" s="19">
        <v>22.72</v>
      </c>
      <c r="J8474" s="19">
        <v>8.99</v>
      </c>
      <c r="K8474" s="19" t="s">
        <v>33</v>
      </c>
      <c r="L8474" s="19" t="s">
        <v>59</v>
      </c>
      <c r="M8474" s="15" t="s">
        <v>2344</v>
      </c>
      <c r="N8474" s="15" t="s">
        <v>54</v>
      </c>
      <c r="O8474" s="15" t="s">
        <v>55</v>
      </c>
      <c r="P8474" s="21" t="s">
        <v>927</v>
      </c>
      <c r="Q8474" s="15" t="s">
        <v>49</v>
      </c>
      <c r="R8474" s="4"/>
      <c r="S8474" s="4"/>
    </row>
    <row r="8475" spans="1:19" ht="21" customHeight="1" x14ac:dyDescent="0.25">
      <c r="A8475" s="14">
        <f>DATE(2012,12,31)-499</f>
        <v>40775</v>
      </c>
      <c r="B8475" s="15" t="s">
        <v>552</v>
      </c>
      <c r="C8475" s="15" t="s">
        <v>43</v>
      </c>
      <c r="D8475" s="16">
        <v>37</v>
      </c>
      <c r="E8475" s="17">
        <v>252.99</v>
      </c>
      <c r="F8475" s="16">
        <v>0.08</v>
      </c>
      <c r="G8475" s="15" t="s">
        <v>32</v>
      </c>
      <c r="H8475" s="18">
        <v>28.76</v>
      </c>
      <c r="I8475" s="19">
        <v>7.08</v>
      </c>
      <c r="J8475" s="19">
        <v>2.35</v>
      </c>
      <c r="K8475" s="19" t="s">
        <v>33</v>
      </c>
      <c r="L8475" s="19" t="s">
        <v>34</v>
      </c>
      <c r="M8475" s="15" t="s">
        <v>2377</v>
      </c>
      <c r="N8475" s="15" t="s">
        <v>36</v>
      </c>
      <c r="O8475" s="15" t="s">
        <v>77</v>
      </c>
      <c r="P8475" s="21" t="s">
        <v>2402</v>
      </c>
      <c r="Q8475" s="15" t="s">
        <v>79</v>
      </c>
      <c r="R8475" s="4"/>
      <c r="S8475" s="4"/>
    </row>
    <row r="8476" spans="1:19" ht="21" customHeight="1" x14ac:dyDescent="0.25">
      <c r="A8476" s="14">
        <f>DATE(2012,12,31)-950</f>
        <v>40324</v>
      </c>
      <c r="B8476" s="15" t="s">
        <v>552</v>
      </c>
      <c r="C8476" s="15" t="s">
        <v>51</v>
      </c>
      <c r="D8476" s="16">
        <v>43</v>
      </c>
      <c r="E8476" s="17">
        <v>224.58</v>
      </c>
      <c r="F8476" s="16">
        <v>0.03</v>
      </c>
      <c r="G8476" s="15" t="s">
        <v>32</v>
      </c>
      <c r="H8476" s="18">
        <v>46.31</v>
      </c>
      <c r="I8476" s="19">
        <v>5.18</v>
      </c>
      <c r="J8476" s="19">
        <v>2.04</v>
      </c>
      <c r="K8476" s="19" t="s">
        <v>33</v>
      </c>
      <c r="L8476" s="19" t="s">
        <v>145</v>
      </c>
      <c r="M8476" s="15" t="s">
        <v>146</v>
      </c>
      <c r="N8476" s="15" t="s">
        <v>36</v>
      </c>
      <c r="O8476" s="15" t="s">
        <v>117</v>
      </c>
      <c r="P8476" s="21" t="s">
        <v>2403</v>
      </c>
      <c r="Q8476" s="15" t="s">
        <v>79</v>
      </c>
      <c r="R8476" s="4"/>
      <c r="S8476" s="4"/>
    </row>
    <row r="8477" spans="1:19" ht="21" customHeight="1" x14ac:dyDescent="0.25">
      <c r="A8477" s="14">
        <f>DATE(2012,12,31)-804</f>
        <v>40470</v>
      </c>
      <c r="B8477" s="15" t="s">
        <v>552</v>
      </c>
      <c r="C8477" s="15" t="s">
        <v>31</v>
      </c>
      <c r="D8477" s="16">
        <v>33</v>
      </c>
      <c r="E8477" s="17">
        <v>1646.47</v>
      </c>
      <c r="F8477" s="16">
        <v>0.05</v>
      </c>
      <c r="G8477" s="15" t="s">
        <v>32</v>
      </c>
      <c r="H8477" s="18">
        <v>743.59</v>
      </c>
      <c r="I8477" s="19">
        <v>48.91</v>
      </c>
      <c r="J8477" s="19">
        <v>5.81</v>
      </c>
      <c r="K8477" s="19" t="s">
        <v>33</v>
      </c>
      <c r="L8477" s="19" t="s">
        <v>59</v>
      </c>
      <c r="M8477" s="15" t="s">
        <v>2344</v>
      </c>
      <c r="N8477" s="15" t="s">
        <v>36</v>
      </c>
      <c r="O8477" s="15" t="s">
        <v>117</v>
      </c>
      <c r="P8477" s="21" t="s">
        <v>662</v>
      </c>
      <c r="Q8477" s="15" t="s">
        <v>83</v>
      </c>
      <c r="R8477" s="4"/>
      <c r="S8477" s="4"/>
    </row>
    <row r="8478" spans="1:19" ht="21" customHeight="1" x14ac:dyDescent="0.25">
      <c r="A8478" s="14">
        <f>DATE(2012,12,31)-420</f>
        <v>40854</v>
      </c>
      <c r="B8478" s="15" t="s">
        <v>552</v>
      </c>
      <c r="C8478" s="15" t="s">
        <v>31</v>
      </c>
      <c r="D8478" s="16">
        <v>9</v>
      </c>
      <c r="E8478" s="17">
        <v>149.63999999999999</v>
      </c>
      <c r="F8478" s="16">
        <v>0.05</v>
      </c>
      <c r="G8478" s="15" t="s">
        <v>32</v>
      </c>
      <c r="H8478" s="18">
        <v>13.77</v>
      </c>
      <c r="I8478" s="19">
        <v>16.739999999999998</v>
      </c>
      <c r="J8478" s="19">
        <v>5.08</v>
      </c>
      <c r="K8478" s="19" t="s">
        <v>33</v>
      </c>
      <c r="L8478" s="19" t="s">
        <v>93</v>
      </c>
      <c r="M8478" s="15" t="s">
        <v>94</v>
      </c>
      <c r="N8478" s="15" t="s">
        <v>36</v>
      </c>
      <c r="O8478" s="15" t="s">
        <v>170</v>
      </c>
      <c r="P8478" s="21" t="s">
        <v>2059</v>
      </c>
      <c r="Q8478" s="15" t="s">
        <v>83</v>
      </c>
      <c r="R8478" s="4"/>
      <c r="S8478" s="4"/>
    </row>
    <row r="8479" spans="1:19" ht="21" customHeight="1" x14ac:dyDescent="0.25">
      <c r="A8479" s="14">
        <f>DATE(2012,12,31)-1254</f>
        <v>40020</v>
      </c>
      <c r="B8479" s="15" t="s">
        <v>552</v>
      </c>
      <c r="C8479" s="15" t="s">
        <v>31</v>
      </c>
      <c r="D8479" s="16">
        <v>32</v>
      </c>
      <c r="E8479" s="17">
        <v>3416.38</v>
      </c>
      <c r="F8479" s="16">
        <v>0.01</v>
      </c>
      <c r="G8479" s="15" t="s">
        <v>58</v>
      </c>
      <c r="H8479" s="18">
        <v>-1142.2</v>
      </c>
      <c r="I8479" s="19">
        <v>100.98</v>
      </c>
      <c r="J8479" s="19">
        <v>57.38</v>
      </c>
      <c r="K8479" s="19" t="s">
        <v>33</v>
      </c>
      <c r="L8479" s="19" t="s">
        <v>145</v>
      </c>
      <c r="M8479" s="15" t="s">
        <v>146</v>
      </c>
      <c r="N8479" s="15" t="s">
        <v>54</v>
      </c>
      <c r="O8479" s="15" t="s">
        <v>134</v>
      </c>
      <c r="P8479" s="21" t="s">
        <v>624</v>
      </c>
      <c r="Q8479" s="15" t="s">
        <v>63</v>
      </c>
      <c r="R8479" s="4"/>
      <c r="S8479" s="4"/>
    </row>
    <row r="8480" spans="1:19" ht="21" customHeight="1" x14ac:dyDescent="0.25">
      <c r="A8480" s="14">
        <f>DATE(2012,12,31)-1254</f>
        <v>40020</v>
      </c>
      <c r="B8480" s="15" t="s">
        <v>552</v>
      </c>
      <c r="C8480" s="15" t="s">
        <v>31</v>
      </c>
      <c r="D8480" s="16">
        <v>14</v>
      </c>
      <c r="E8480" s="17">
        <v>142.81</v>
      </c>
      <c r="F8480" s="16">
        <v>0.01</v>
      </c>
      <c r="G8480" s="15" t="s">
        <v>32</v>
      </c>
      <c r="H8480" s="18">
        <v>39.64</v>
      </c>
      <c r="I8480" s="19">
        <v>10.14</v>
      </c>
      <c r="J8480" s="19">
        <v>2.27</v>
      </c>
      <c r="K8480" s="19" t="s">
        <v>69</v>
      </c>
      <c r="L8480" s="19" t="s">
        <v>70</v>
      </c>
      <c r="M8480" s="15" t="s">
        <v>2383</v>
      </c>
      <c r="N8480" s="15" t="s">
        <v>36</v>
      </c>
      <c r="O8480" s="15" t="s">
        <v>117</v>
      </c>
      <c r="P8480" s="21" t="s">
        <v>1448</v>
      </c>
      <c r="Q8480" s="15" t="s">
        <v>79</v>
      </c>
      <c r="R8480" s="4"/>
      <c r="S8480" s="4"/>
    </row>
    <row r="8481" spans="1:19" ht="21" customHeight="1" x14ac:dyDescent="0.25">
      <c r="A8481" s="14">
        <f>DATE(2012,12,31)-510</f>
        <v>40764</v>
      </c>
      <c r="B8481" s="15" t="s">
        <v>552</v>
      </c>
      <c r="C8481" s="15" t="s">
        <v>85</v>
      </c>
      <c r="D8481" s="16">
        <v>17</v>
      </c>
      <c r="E8481" s="17">
        <v>42.29</v>
      </c>
      <c r="F8481" s="16">
        <v>0.06</v>
      </c>
      <c r="G8481" s="15" t="s">
        <v>32</v>
      </c>
      <c r="H8481" s="18">
        <v>-85.272499999999994</v>
      </c>
      <c r="I8481" s="19">
        <v>2.16</v>
      </c>
      <c r="J8481" s="19">
        <v>6.05</v>
      </c>
      <c r="K8481" s="19" t="s">
        <v>69</v>
      </c>
      <c r="L8481" s="19" t="s">
        <v>70</v>
      </c>
      <c r="M8481" s="15" t="s">
        <v>2383</v>
      </c>
      <c r="N8481" s="15" t="s">
        <v>36</v>
      </c>
      <c r="O8481" s="15" t="s">
        <v>170</v>
      </c>
      <c r="P8481" s="21" t="s">
        <v>475</v>
      </c>
      <c r="Q8481" s="15" t="s">
        <v>83</v>
      </c>
      <c r="R8481" s="4"/>
      <c r="S8481" s="4"/>
    </row>
    <row r="8482" spans="1:19" ht="21" customHeight="1" x14ac:dyDescent="0.25">
      <c r="A8482" s="14">
        <f>DATE(2012,12,31)-139</f>
        <v>41135</v>
      </c>
      <c r="B8482" s="15" t="s">
        <v>552</v>
      </c>
      <c r="C8482" s="15" t="s">
        <v>85</v>
      </c>
      <c r="D8482" s="16">
        <v>50</v>
      </c>
      <c r="E8482" s="17">
        <v>197.36</v>
      </c>
      <c r="F8482" s="16">
        <v>7.0000000000000007E-2</v>
      </c>
      <c r="G8482" s="15" t="s">
        <v>32</v>
      </c>
      <c r="H8482" s="18">
        <v>-43.5045</v>
      </c>
      <c r="I8482" s="19">
        <v>4.18</v>
      </c>
      <c r="J8482" s="19">
        <v>2.99</v>
      </c>
      <c r="K8482" s="19" t="s">
        <v>69</v>
      </c>
      <c r="L8482" s="19" t="s">
        <v>75</v>
      </c>
      <c r="M8482" s="15" t="s">
        <v>76</v>
      </c>
      <c r="N8482" s="15" t="s">
        <v>36</v>
      </c>
      <c r="O8482" s="15" t="s">
        <v>170</v>
      </c>
      <c r="P8482" s="21" t="s">
        <v>1452</v>
      </c>
      <c r="Q8482" s="15" t="s">
        <v>83</v>
      </c>
      <c r="R8482" s="4"/>
      <c r="S8482" s="4"/>
    </row>
    <row r="8483" spans="1:19" ht="21" customHeight="1" x14ac:dyDescent="0.25">
      <c r="A8483" s="14">
        <f>DATE(2012,12,31)-1078</f>
        <v>40196</v>
      </c>
      <c r="B8483" s="15" t="s">
        <v>552</v>
      </c>
      <c r="C8483" s="15" t="s">
        <v>43</v>
      </c>
      <c r="D8483" s="16">
        <v>4</v>
      </c>
      <c r="E8483" s="17">
        <v>883.31</v>
      </c>
      <c r="F8483" s="16">
        <v>0.01</v>
      </c>
      <c r="G8483" s="15" t="s">
        <v>58</v>
      </c>
      <c r="H8483" s="18">
        <v>-79.959999999999994</v>
      </c>
      <c r="I8483" s="19">
        <v>200.98</v>
      </c>
      <c r="J8483" s="19">
        <v>23.76</v>
      </c>
      <c r="K8483" s="19" t="s">
        <v>69</v>
      </c>
      <c r="L8483" s="19" t="s">
        <v>70</v>
      </c>
      <c r="M8483" s="15" t="s">
        <v>2383</v>
      </c>
      <c r="N8483" s="15" t="s">
        <v>54</v>
      </c>
      <c r="O8483" s="15" t="s">
        <v>252</v>
      </c>
      <c r="P8483" s="21" t="s">
        <v>2392</v>
      </c>
      <c r="Q8483" s="15" t="s">
        <v>181</v>
      </c>
      <c r="R8483" s="4"/>
      <c r="S8483" s="4"/>
    </row>
    <row r="8484" spans="1:19" ht="21" customHeight="1" x14ac:dyDescent="0.25">
      <c r="A8484" s="14">
        <f>DATE(2012,12,31)-168</f>
        <v>41106</v>
      </c>
      <c r="B8484" s="15" t="s">
        <v>552</v>
      </c>
      <c r="C8484" s="15" t="s">
        <v>31</v>
      </c>
      <c r="D8484" s="16">
        <v>16</v>
      </c>
      <c r="E8484" s="17">
        <v>9695.84</v>
      </c>
      <c r="F8484" s="16">
        <v>0</v>
      </c>
      <c r="G8484" s="15" t="s">
        <v>32</v>
      </c>
      <c r="H8484" s="18">
        <v>2752.11</v>
      </c>
      <c r="I8484" s="19">
        <v>599.99</v>
      </c>
      <c r="J8484" s="19">
        <v>24.49</v>
      </c>
      <c r="K8484" s="19" t="s">
        <v>69</v>
      </c>
      <c r="L8484" s="19" t="s">
        <v>70</v>
      </c>
      <c r="M8484" s="15" t="s">
        <v>2383</v>
      </c>
      <c r="N8484" s="15" t="s">
        <v>64</v>
      </c>
      <c r="O8484" s="15" t="s">
        <v>460</v>
      </c>
      <c r="P8484" s="21" t="s">
        <v>597</v>
      </c>
      <c r="Q8484" s="15" t="s">
        <v>39</v>
      </c>
      <c r="R8484" s="4"/>
      <c r="S8484" s="4"/>
    </row>
    <row r="8485" spans="1:19" ht="21" customHeight="1" x14ac:dyDescent="0.25">
      <c r="A8485" s="14">
        <f>DATE(2012,12,31)-168</f>
        <v>41106</v>
      </c>
      <c r="B8485" s="15" t="s">
        <v>552</v>
      </c>
      <c r="C8485" s="15" t="s">
        <v>31</v>
      </c>
      <c r="D8485" s="16">
        <v>36</v>
      </c>
      <c r="E8485" s="17">
        <v>246.79</v>
      </c>
      <c r="F8485" s="16">
        <v>0.01</v>
      </c>
      <c r="G8485" s="15" t="s">
        <v>32</v>
      </c>
      <c r="H8485" s="18">
        <v>-90.08</v>
      </c>
      <c r="I8485" s="19">
        <v>6.48</v>
      </c>
      <c r="J8485" s="19">
        <v>6.6</v>
      </c>
      <c r="K8485" s="19" t="s">
        <v>69</v>
      </c>
      <c r="L8485" s="19" t="s">
        <v>70</v>
      </c>
      <c r="M8485" s="15" t="s">
        <v>2383</v>
      </c>
      <c r="N8485" s="15" t="s">
        <v>36</v>
      </c>
      <c r="O8485" s="15" t="s">
        <v>117</v>
      </c>
      <c r="P8485" s="21" t="s">
        <v>745</v>
      </c>
      <c r="Q8485" s="15" t="s">
        <v>83</v>
      </c>
      <c r="R8485" s="4"/>
      <c r="S8485" s="4"/>
    </row>
    <row r="8486" spans="1:19" ht="21" customHeight="1" x14ac:dyDescent="0.25">
      <c r="A8486" s="14">
        <f>DATE(2012,12,31)-168</f>
        <v>41106</v>
      </c>
      <c r="B8486" s="15" t="s">
        <v>552</v>
      </c>
      <c r="C8486" s="15" t="s">
        <v>31</v>
      </c>
      <c r="D8486" s="16">
        <v>39</v>
      </c>
      <c r="E8486" s="17">
        <v>777.78</v>
      </c>
      <c r="F8486" s="16">
        <v>0.01</v>
      </c>
      <c r="G8486" s="15" t="s">
        <v>32</v>
      </c>
      <c r="H8486" s="18">
        <v>237.75</v>
      </c>
      <c r="I8486" s="19">
        <v>19.84</v>
      </c>
      <c r="J8486" s="19">
        <v>4.0999999999999996</v>
      </c>
      <c r="K8486" s="19" t="s">
        <v>69</v>
      </c>
      <c r="L8486" s="19" t="s">
        <v>70</v>
      </c>
      <c r="M8486" s="15" t="s">
        <v>2383</v>
      </c>
      <c r="N8486" s="15" t="s">
        <v>36</v>
      </c>
      <c r="O8486" s="15" t="s">
        <v>77</v>
      </c>
      <c r="P8486" s="21" t="s">
        <v>2393</v>
      </c>
      <c r="Q8486" s="15" t="s">
        <v>79</v>
      </c>
      <c r="R8486" s="4"/>
      <c r="S8486" s="4"/>
    </row>
    <row r="8487" spans="1:19" ht="21" customHeight="1" x14ac:dyDescent="0.25">
      <c r="A8487" s="14">
        <f>DATE(2012,12,31)-1136</f>
        <v>40138</v>
      </c>
      <c r="B8487" s="15" t="s">
        <v>311</v>
      </c>
      <c r="C8487" s="15" t="s">
        <v>31</v>
      </c>
      <c r="D8487" s="16">
        <v>33</v>
      </c>
      <c r="E8487" s="17">
        <v>1644.59</v>
      </c>
      <c r="F8487" s="16">
        <v>0.09</v>
      </c>
      <c r="G8487" s="15" t="s">
        <v>32</v>
      </c>
      <c r="H8487" s="18">
        <v>-52.92</v>
      </c>
      <c r="I8487" s="19">
        <v>50.98</v>
      </c>
      <c r="J8487" s="19">
        <v>6.5</v>
      </c>
      <c r="K8487" s="19" t="s">
        <v>69</v>
      </c>
      <c r="L8487" s="19" t="s">
        <v>70</v>
      </c>
      <c r="M8487" s="15" t="s">
        <v>2383</v>
      </c>
      <c r="N8487" s="15" t="s">
        <v>64</v>
      </c>
      <c r="O8487" s="15" t="s">
        <v>72</v>
      </c>
      <c r="P8487" s="21" t="s">
        <v>1422</v>
      </c>
      <c r="Q8487" s="15" t="s">
        <v>83</v>
      </c>
      <c r="R8487" s="4"/>
      <c r="S8487" s="4"/>
    </row>
    <row r="8488" spans="1:19" ht="21" customHeight="1" x14ac:dyDescent="0.25">
      <c r="A8488" s="14">
        <f>DATE(2012,12,31)-702</f>
        <v>40572</v>
      </c>
      <c r="B8488" s="15" t="s">
        <v>311</v>
      </c>
      <c r="C8488" s="15" t="s">
        <v>85</v>
      </c>
      <c r="D8488" s="16">
        <v>12</v>
      </c>
      <c r="E8488" s="17">
        <v>1379.98</v>
      </c>
      <c r="F8488" s="16">
        <v>0.06</v>
      </c>
      <c r="G8488" s="15" t="s">
        <v>58</v>
      </c>
      <c r="H8488" s="18">
        <v>-151.72999999999999</v>
      </c>
      <c r="I8488" s="19">
        <v>113.98</v>
      </c>
      <c r="J8488" s="19">
        <v>30</v>
      </c>
      <c r="K8488" s="19" t="s">
        <v>69</v>
      </c>
      <c r="L8488" s="19" t="s">
        <v>70</v>
      </c>
      <c r="M8488" s="15" t="s">
        <v>2383</v>
      </c>
      <c r="N8488" s="15" t="s">
        <v>54</v>
      </c>
      <c r="O8488" s="15" t="s">
        <v>252</v>
      </c>
      <c r="P8488" s="21" t="s">
        <v>521</v>
      </c>
      <c r="Q8488" s="15" t="s">
        <v>181</v>
      </c>
      <c r="R8488" s="4"/>
      <c r="S8488" s="4"/>
    </row>
    <row r="8489" spans="1:19" ht="21" customHeight="1" x14ac:dyDescent="0.25">
      <c r="A8489" s="14">
        <f>DATE(2012,12,31)-246</f>
        <v>41028</v>
      </c>
      <c r="B8489" s="15" t="s">
        <v>311</v>
      </c>
      <c r="C8489" s="15" t="s">
        <v>85</v>
      </c>
      <c r="D8489" s="16">
        <v>30</v>
      </c>
      <c r="E8489" s="17">
        <v>2368.1679999999997</v>
      </c>
      <c r="F8489" s="16">
        <v>0</v>
      </c>
      <c r="G8489" s="15" t="s">
        <v>32</v>
      </c>
      <c r="H8489" s="18">
        <v>1181.2950000000001</v>
      </c>
      <c r="I8489" s="19">
        <v>85.99</v>
      </c>
      <c r="J8489" s="19">
        <v>1.25</v>
      </c>
      <c r="K8489" s="19" t="s">
        <v>69</v>
      </c>
      <c r="L8489" s="19" t="s">
        <v>215</v>
      </c>
      <c r="M8489" s="15" t="s">
        <v>2355</v>
      </c>
      <c r="N8489" s="15" t="s">
        <v>64</v>
      </c>
      <c r="O8489" s="15" t="s">
        <v>65</v>
      </c>
      <c r="P8489" s="21" t="s">
        <v>685</v>
      </c>
      <c r="Q8489" s="15" t="s">
        <v>49</v>
      </c>
      <c r="R8489" s="4"/>
      <c r="S8489" s="4"/>
    </row>
    <row r="8490" spans="1:19" ht="21" customHeight="1" x14ac:dyDescent="0.25">
      <c r="A8490" s="14">
        <f>DATE(2012,12,31)-1252</f>
        <v>40022</v>
      </c>
      <c r="B8490" s="15" t="s">
        <v>311</v>
      </c>
      <c r="C8490" s="15" t="s">
        <v>85</v>
      </c>
      <c r="D8490" s="16">
        <v>40</v>
      </c>
      <c r="E8490" s="17">
        <v>2550.12</v>
      </c>
      <c r="F8490" s="16">
        <v>0.01</v>
      </c>
      <c r="G8490" s="15" t="s">
        <v>101</v>
      </c>
      <c r="H8490" s="18">
        <v>882.45</v>
      </c>
      <c r="I8490" s="19">
        <v>60.97</v>
      </c>
      <c r="J8490" s="19">
        <v>4.5</v>
      </c>
      <c r="K8490" s="19" t="s">
        <v>69</v>
      </c>
      <c r="L8490" s="19" t="s">
        <v>215</v>
      </c>
      <c r="M8490" s="15" t="s">
        <v>2355</v>
      </c>
      <c r="N8490" s="15" t="s">
        <v>36</v>
      </c>
      <c r="O8490" s="15" t="s">
        <v>176</v>
      </c>
      <c r="P8490" s="21" t="s">
        <v>2394</v>
      </c>
      <c r="Q8490" s="15" t="s">
        <v>83</v>
      </c>
      <c r="R8490" s="4"/>
      <c r="S8490" s="4"/>
    </row>
    <row r="8491" spans="1:19" ht="21" customHeight="1" x14ac:dyDescent="0.25">
      <c r="A8491" s="14">
        <f>DATE(2012,12,31)-1252</f>
        <v>40022</v>
      </c>
      <c r="B8491" s="15" t="s">
        <v>311</v>
      </c>
      <c r="C8491" s="15" t="s">
        <v>85</v>
      </c>
      <c r="D8491" s="16">
        <v>46</v>
      </c>
      <c r="E8491" s="17">
        <v>5897.47</v>
      </c>
      <c r="F8491" s="16">
        <v>0</v>
      </c>
      <c r="G8491" s="15" t="s">
        <v>58</v>
      </c>
      <c r="H8491" s="18">
        <v>-1764.29</v>
      </c>
      <c r="I8491" s="19">
        <v>122.99</v>
      </c>
      <c r="J8491" s="19">
        <v>70.2</v>
      </c>
      <c r="K8491" s="19" t="s">
        <v>69</v>
      </c>
      <c r="L8491" s="19" t="s">
        <v>215</v>
      </c>
      <c r="M8491" s="15" t="s">
        <v>2355</v>
      </c>
      <c r="N8491" s="15" t="s">
        <v>54</v>
      </c>
      <c r="O8491" s="15" t="s">
        <v>252</v>
      </c>
      <c r="P8491" s="21" t="s">
        <v>2395</v>
      </c>
      <c r="Q8491" s="15" t="s">
        <v>181</v>
      </c>
      <c r="R8491" s="4"/>
      <c r="S8491" s="4"/>
    </row>
    <row r="8492" spans="1:19" ht="21" customHeight="1" x14ac:dyDescent="0.25">
      <c r="A8492" s="14">
        <f>DATE(2012,12,31)-626</f>
        <v>40648</v>
      </c>
      <c r="B8492" s="15" t="s">
        <v>492</v>
      </c>
      <c r="C8492" s="15" t="s">
        <v>43</v>
      </c>
      <c r="D8492" s="16">
        <v>46</v>
      </c>
      <c r="E8492" s="17">
        <v>662.51</v>
      </c>
      <c r="F8492" s="16">
        <v>0.09</v>
      </c>
      <c r="G8492" s="15" t="s">
        <v>32</v>
      </c>
      <c r="H8492" s="18">
        <v>293.32</v>
      </c>
      <c r="I8492" s="19">
        <v>15.67</v>
      </c>
      <c r="J8492" s="19">
        <v>1.39</v>
      </c>
      <c r="K8492" s="19" t="s">
        <v>69</v>
      </c>
      <c r="L8492" s="19" t="s">
        <v>215</v>
      </c>
      <c r="M8492" s="15" t="s">
        <v>2355</v>
      </c>
      <c r="N8492" s="15" t="s">
        <v>36</v>
      </c>
      <c r="O8492" s="15" t="s">
        <v>189</v>
      </c>
      <c r="P8492" s="21" t="s">
        <v>967</v>
      </c>
      <c r="Q8492" s="15" t="s">
        <v>83</v>
      </c>
      <c r="R8492" s="4"/>
      <c r="S8492" s="4"/>
    </row>
    <row r="8493" spans="1:19" ht="21" customHeight="1" x14ac:dyDescent="0.25">
      <c r="A8493" s="14">
        <f>DATE(2012,12,31)-626</f>
        <v>40648</v>
      </c>
      <c r="B8493" s="15" t="s">
        <v>492</v>
      </c>
      <c r="C8493" s="15" t="s">
        <v>43</v>
      </c>
      <c r="D8493" s="16">
        <v>21</v>
      </c>
      <c r="E8493" s="17">
        <v>61.18</v>
      </c>
      <c r="F8493" s="16">
        <v>0</v>
      </c>
      <c r="G8493" s="15" t="s">
        <v>32</v>
      </c>
      <c r="H8493" s="18">
        <v>6.85</v>
      </c>
      <c r="I8493" s="19">
        <v>2.88</v>
      </c>
      <c r="J8493" s="19">
        <v>0.7</v>
      </c>
      <c r="K8493" s="19" t="s">
        <v>69</v>
      </c>
      <c r="L8493" s="19" t="s">
        <v>215</v>
      </c>
      <c r="M8493" s="15" t="s">
        <v>2355</v>
      </c>
      <c r="N8493" s="15" t="s">
        <v>36</v>
      </c>
      <c r="O8493" s="15" t="s">
        <v>77</v>
      </c>
      <c r="P8493" s="21" t="s">
        <v>95</v>
      </c>
      <c r="Q8493" s="15" t="s">
        <v>79</v>
      </c>
      <c r="R8493" s="4"/>
      <c r="S8493" s="4"/>
    </row>
    <row r="8494" spans="1:19" ht="21" customHeight="1" x14ac:dyDescent="0.25">
      <c r="A8494" s="14">
        <f>DATE(2012,12,31)-1306</f>
        <v>39968</v>
      </c>
      <c r="B8494" s="15" t="s">
        <v>492</v>
      </c>
      <c r="C8494" s="15" t="s">
        <v>43</v>
      </c>
      <c r="D8494" s="16">
        <v>3</v>
      </c>
      <c r="E8494" s="17">
        <v>3029.97</v>
      </c>
      <c r="F8494" s="16">
        <v>0</v>
      </c>
      <c r="G8494" s="15" t="s">
        <v>32</v>
      </c>
      <c r="H8494" s="18">
        <v>-1819.9964999999997</v>
      </c>
      <c r="I8494" s="19">
        <v>999.99</v>
      </c>
      <c r="J8494" s="19">
        <v>13.99</v>
      </c>
      <c r="K8494" s="19" t="s">
        <v>69</v>
      </c>
      <c r="L8494" s="19" t="s">
        <v>215</v>
      </c>
      <c r="M8494" s="15" t="s">
        <v>2355</v>
      </c>
      <c r="N8494" s="15" t="s">
        <v>64</v>
      </c>
      <c r="O8494" s="15" t="s">
        <v>122</v>
      </c>
      <c r="P8494" s="21" t="s">
        <v>1495</v>
      </c>
      <c r="Q8494" s="15" t="s">
        <v>57</v>
      </c>
      <c r="R8494" s="4"/>
      <c r="S8494" s="4"/>
    </row>
    <row r="8495" spans="1:19" ht="21" customHeight="1" x14ac:dyDescent="0.25">
      <c r="A8495" s="14">
        <f>DATE(2012,12,31)-1306</f>
        <v>39968</v>
      </c>
      <c r="B8495" s="15" t="s">
        <v>492</v>
      </c>
      <c r="C8495" s="15" t="s">
        <v>43</v>
      </c>
      <c r="D8495" s="16">
        <v>34</v>
      </c>
      <c r="E8495" s="17">
        <v>241.04</v>
      </c>
      <c r="F8495" s="16">
        <v>0.05</v>
      </c>
      <c r="G8495" s="15" t="s">
        <v>101</v>
      </c>
      <c r="H8495" s="18">
        <v>-28.2</v>
      </c>
      <c r="I8495" s="19">
        <v>6.48</v>
      </c>
      <c r="J8495" s="19">
        <v>5.14</v>
      </c>
      <c r="K8495" s="19" t="s">
        <v>69</v>
      </c>
      <c r="L8495" s="19" t="s">
        <v>215</v>
      </c>
      <c r="M8495" s="15" t="s">
        <v>2355</v>
      </c>
      <c r="N8495" s="15" t="s">
        <v>36</v>
      </c>
      <c r="O8495" s="15" t="s">
        <v>117</v>
      </c>
      <c r="P8495" s="21" t="s">
        <v>302</v>
      </c>
      <c r="Q8495" s="15" t="s">
        <v>83</v>
      </c>
      <c r="R8495" s="4"/>
      <c r="S8495" s="4"/>
    </row>
    <row r="8496" spans="1:19" ht="21" customHeight="1" x14ac:dyDescent="0.25">
      <c r="A8496" s="14">
        <f>DATE(2012,12,31)-289</f>
        <v>40985</v>
      </c>
      <c r="B8496" s="15" t="s">
        <v>492</v>
      </c>
      <c r="C8496" s="15" t="s">
        <v>85</v>
      </c>
      <c r="D8496" s="16">
        <v>5</v>
      </c>
      <c r="E8496" s="17">
        <v>44.17</v>
      </c>
      <c r="F8496" s="16">
        <v>0.02</v>
      </c>
      <c r="G8496" s="15" t="s">
        <v>32</v>
      </c>
      <c r="H8496" s="18">
        <v>23.41</v>
      </c>
      <c r="I8496" s="19">
        <v>7.59</v>
      </c>
      <c r="J8496" s="19">
        <v>4</v>
      </c>
      <c r="K8496" s="19" t="s">
        <v>111</v>
      </c>
      <c r="L8496" s="19" t="s">
        <v>2301</v>
      </c>
      <c r="M8496" s="15" t="s">
        <v>2384</v>
      </c>
      <c r="N8496" s="15" t="s">
        <v>54</v>
      </c>
      <c r="O8496" s="15" t="s">
        <v>55</v>
      </c>
      <c r="P8496" s="21" t="s">
        <v>2396</v>
      </c>
      <c r="Q8496" s="15" t="s">
        <v>79</v>
      </c>
      <c r="R8496" s="4"/>
      <c r="S8496" s="4"/>
    </row>
    <row r="8497" spans="1:19" ht="21" customHeight="1" x14ac:dyDescent="0.25">
      <c r="A8497" s="14">
        <f>DATE(2012,12,31)-289</f>
        <v>40985</v>
      </c>
      <c r="B8497" s="15" t="s">
        <v>492</v>
      </c>
      <c r="C8497" s="15" t="s">
        <v>85</v>
      </c>
      <c r="D8497" s="16">
        <v>37</v>
      </c>
      <c r="E8497" s="17">
        <v>192.92</v>
      </c>
      <c r="F8497" s="16">
        <v>0.09</v>
      </c>
      <c r="G8497" s="15" t="s">
        <v>32</v>
      </c>
      <c r="H8497" s="18">
        <v>74.58</v>
      </c>
      <c r="I8497" s="19">
        <v>5.43</v>
      </c>
      <c r="J8497" s="19">
        <v>0.95</v>
      </c>
      <c r="K8497" s="19" t="s">
        <v>111</v>
      </c>
      <c r="L8497" s="19" t="s">
        <v>2301</v>
      </c>
      <c r="M8497" s="15" t="s">
        <v>2384</v>
      </c>
      <c r="N8497" s="15" t="s">
        <v>36</v>
      </c>
      <c r="O8497" s="15" t="s">
        <v>117</v>
      </c>
      <c r="P8497" s="21" t="s">
        <v>1243</v>
      </c>
      <c r="Q8497" s="15" t="s">
        <v>79</v>
      </c>
      <c r="R8497" s="4"/>
      <c r="S8497" s="4"/>
    </row>
    <row r="8498" spans="1:19" ht="21" customHeight="1" x14ac:dyDescent="0.25">
      <c r="A8498" s="14">
        <f>DATE(2012,12,31)-289</f>
        <v>40985</v>
      </c>
      <c r="B8498" s="15" t="s">
        <v>492</v>
      </c>
      <c r="C8498" s="15" t="s">
        <v>85</v>
      </c>
      <c r="D8498" s="16">
        <v>37</v>
      </c>
      <c r="E8498" s="17">
        <v>10532.94</v>
      </c>
      <c r="F8498" s="16">
        <v>0.06</v>
      </c>
      <c r="G8498" s="15" t="s">
        <v>32</v>
      </c>
      <c r="H8498" s="18">
        <v>406.37</v>
      </c>
      <c r="I8498" s="19">
        <v>279.48</v>
      </c>
      <c r="J8498" s="19">
        <v>35</v>
      </c>
      <c r="K8498" s="19" t="s">
        <v>44</v>
      </c>
      <c r="L8498" s="19" t="s">
        <v>89</v>
      </c>
      <c r="M8498" s="15" t="s">
        <v>2365</v>
      </c>
      <c r="N8498" s="15" t="s">
        <v>36</v>
      </c>
      <c r="O8498" s="15" t="s">
        <v>37</v>
      </c>
      <c r="P8498" s="21" t="s">
        <v>905</v>
      </c>
      <c r="Q8498" s="15" t="s">
        <v>39</v>
      </c>
      <c r="R8498" s="4"/>
      <c r="S8498" s="4"/>
    </row>
    <row r="8499" spans="1:19" ht="21" customHeight="1" x14ac:dyDescent="0.25">
      <c r="A8499" s="14">
        <f>DATE(2012,12,31)-301</f>
        <v>40973</v>
      </c>
      <c r="B8499" s="15" t="s">
        <v>492</v>
      </c>
      <c r="C8499" s="15" t="s">
        <v>31</v>
      </c>
      <c r="D8499" s="16">
        <v>44</v>
      </c>
      <c r="E8499" s="17">
        <v>364.4</v>
      </c>
      <c r="F8499" s="16">
        <v>0.05</v>
      </c>
      <c r="G8499" s="15" t="s">
        <v>32</v>
      </c>
      <c r="H8499" s="18">
        <v>51.08</v>
      </c>
      <c r="I8499" s="19">
        <v>8.5</v>
      </c>
      <c r="J8499" s="19">
        <v>1.99</v>
      </c>
      <c r="K8499" s="19" t="s">
        <v>44</v>
      </c>
      <c r="L8499" s="19" t="s">
        <v>89</v>
      </c>
      <c r="M8499" s="15" t="s">
        <v>2365</v>
      </c>
      <c r="N8499" s="15" t="s">
        <v>64</v>
      </c>
      <c r="O8499" s="15" t="s">
        <v>72</v>
      </c>
      <c r="P8499" s="21" t="s">
        <v>928</v>
      </c>
      <c r="Q8499" s="15" t="s">
        <v>49</v>
      </c>
      <c r="R8499" s="4"/>
      <c r="S8499" s="4"/>
    </row>
    <row r="8500" spans="1:19" ht="21" customHeight="1" x14ac:dyDescent="0.25">
      <c r="A8500" s="14">
        <f>DATE(2012,12,31)-604</f>
        <v>40670</v>
      </c>
      <c r="B8500" s="15" t="s">
        <v>492</v>
      </c>
      <c r="C8500" s="15" t="s">
        <v>43</v>
      </c>
      <c r="D8500" s="16">
        <v>7</v>
      </c>
      <c r="E8500" s="17">
        <v>33.99</v>
      </c>
      <c r="F8500" s="16">
        <v>0.09</v>
      </c>
      <c r="G8500" s="15" t="s">
        <v>32</v>
      </c>
      <c r="H8500" s="18">
        <v>-25.86</v>
      </c>
      <c r="I8500" s="19">
        <v>4.7699999999999996</v>
      </c>
      <c r="J8500" s="19">
        <v>2.39</v>
      </c>
      <c r="K8500" s="19" t="s">
        <v>44</v>
      </c>
      <c r="L8500" s="19" t="s">
        <v>89</v>
      </c>
      <c r="M8500" s="15" t="s">
        <v>2365</v>
      </c>
      <c r="N8500" s="15" t="s">
        <v>64</v>
      </c>
      <c r="O8500" s="15" t="s">
        <v>72</v>
      </c>
      <c r="P8500" s="21" t="s">
        <v>2397</v>
      </c>
      <c r="Q8500" s="15" t="s">
        <v>49</v>
      </c>
      <c r="R8500" s="4"/>
      <c r="S8500" s="4"/>
    </row>
    <row r="8501" spans="1:19" ht="21" customHeight="1" x14ac:dyDescent="0.25">
      <c r="A8501" s="14">
        <f>DATE(2012,12,31)-473</f>
        <v>40801</v>
      </c>
      <c r="B8501" s="15" t="s">
        <v>492</v>
      </c>
      <c r="C8501" s="15" t="s">
        <v>85</v>
      </c>
      <c r="D8501" s="16">
        <v>34</v>
      </c>
      <c r="E8501" s="17">
        <v>260.51</v>
      </c>
      <c r="F8501" s="16">
        <v>0.03</v>
      </c>
      <c r="G8501" s="15" t="s">
        <v>32</v>
      </c>
      <c r="H8501" s="18">
        <v>-127.5235</v>
      </c>
      <c r="I8501" s="19">
        <v>7.3</v>
      </c>
      <c r="J8501" s="19">
        <v>7.72</v>
      </c>
      <c r="K8501" s="19" t="s">
        <v>44</v>
      </c>
      <c r="L8501" s="19" t="s">
        <v>89</v>
      </c>
      <c r="M8501" s="15" t="s">
        <v>2365</v>
      </c>
      <c r="N8501" s="15" t="s">
        <v>36</v>
      </c>
      <c r="O8501" s="15" t="s">
        <v>170</v>
      </c>
      <c r="P8501" s="21" t="s">
        <v>274</v>
      </c>
      <c r="Q8501" s="15" t="s">
        <v>83</v>
      </c>
      <c r="R8501" s="4"/>
      <c r="S8501" s="4"/>
    </row>
    <row r="8502" spans="1:19" ht="21" customHeight="1" x14ac:dyDescent="0.25">
      <c r="A8502" s="14">
        <f>DATE(2012,12,31)-473</f>
        <v>40801</v>
      </c>
      <c r="B8502" s="15" t="s">
        <v>492</v>
      </c>
      <c r="C8502" s="15" t="s">
        <v>85</v>
      </c>
      <c r="D8502" s="16">
        <v>15</v>
      </c>
      <c r="E8502" s="17">
        <v>466.28</v>
      </c>
      <c r="F8502" s="16">
        <v>0</v>
      </c>
      <c r="G8502" s="15" t="s">
        <v>32</v>
      </c>
      <c r="H8502" s="18">
        <v>92.7</v>
      </c>
      <c r="I8502" s="19">
        <v>29.89</v>
      </c>
      <c r="J8502" s="19">
        <v>1.99</v>
      </c>
      <c r="K8502" s="19" t="s">
        <v>44</v>
      </c>
      <c r="L8502" s="19" t="s">
        <v>45</v>
      </c>
      <c r="M8502" s="15" t="s">
        <v>2400</v>
      </c>
      <c r="N8502" s="15" t="s">
        <v>64</v>
      </c>
      <c r="O8502" s="15" t="s">
        <v>72</v>
      </c>
      <c r="P8502" s="21" t="s">
        <v>825</v>
      </c>
      <c r="Q8502" s="15" t="s">
        <v>49</v>
      </c>
      <c r="R8502" s="4"/>
      <c r="S8502" s="4"/>
    </row>
    <row r="8503" spans="1:19" ht="21" customHeight="1" x14ac:dyDescent="0.25">
      <c r="A8503" s="14">
        <f>DATE(2012,12,31)-296</f>
        <v>40978</v>
      </c>
      <c r="B8503" s="15" t="s">
        <v>492</v>
      </c>
      <c r="C8503" s="15" t="s">
        <v>85</v>
      </c>
      <c r="D8503" s="16">
        <v>14</v>
      </c>
      <c r="E8503" s="17">
        <v>1961.39</v>
      </c>
      <c r="F8503" s="16">
        <v>0</v>
      </c>
      <c r="G8503" s="15" t="s">
        <v>32</v>
      </c>
      <c r="H8503" s="18">
        <v>761.04</v>
      </c>
      <c r="I8503" s="19">
        <v>136.97999999999999</v>
      </c>
      <c r="J8503" s="19">
        <v>24.49</v>
      </c>
      <c r="K8503" s="19" t="s">
        <v>44</v>
      </c>
      <c r="L8503" s="19" t="s">
        <v>45</v>
      </c>
      <c r="M8503" s="15" t="s">
        <v>2400</v>
      </c>
      <c r="N8503" s="15" t="s">
        <v>54</v>
      </c>
      <c r="O8503" s="15" t="s">
        <v>55</v>
      </c>
      <c r="P8503" s="21" t="s">
        <v>560</v>
      </c>
      <c r="Q8503" s="15" t="s">
        <v>39</v>
      </c>
      <c r="R8503" s="4"/>
      <c r="S8503" s="4"/>
    </row>
    <row r="8504" spans="1:19" ht="21" customHeight="1" x14ac:dyDescent="0.25">
      <c r="A8504" s="14">
        <f>DATE(2012,12,31)-296</f>
        <v>40978</v>
      </c>
      <c r="B8504" s="15" t="s">
        <v>492</v>
      </c>
      <c r="C8504" s="15" t="s">
        <v>85</v>
      </c>
      <c r="D8504" s="16">
        <v>3</v>
      </c>
      <c r="E8504" s="17">
        <v>4.9400000000000004</v>
      </c>
      <c r="F8504" s="16">
        <v>0.1</v>
      </c>
      <c r="G8504" s="15" t="s">
        <v>32</v>
      </c>
      <c r="H8504" s="18">
        <v>-1.76</v>
      </c>
      <c r="I8504" s="19">
        <v>1.48</v>
      </c>
      <c r="J8504" s="19">
        <v>0.7</v>
      </c>
      <c r="K8504" s="19" t="s">
        <v>44</v>
      </c>
      <c r="L8504" s="19" t="s">
        <v>89</v>
      </c>
      <c r="M8504" s="15" t="s">
        <v>2365</v>
      </c>
      <c r="N8504" s="15" t="s">
        <v>36</v>
      </c>
      <c r="O8504" s="15" t="s">
        <v>105</v>
      </c>
      <c r="P8504" s="21" t="s">
        <v>1165</v>
      </c>
      <c r="Q8504" s="15" t="s">
        <v>79</v>
      </c>
      <c r="R8504" s="4"/>
      <c r="S8504" s="4"/>
    </row>
    <row r="8505" spans="1:19" ht="21" customHeight="1" x14ac:dyDescent="0.25">
      <c r="A8505" s="14">
        <f>DATE(2012,12,31)-823</f>
        <v>40451</v>
      </c>
      <c r="B8505" s="15" t="s">
        <v>492</v>
      </c>
      <c r="C8505" s="15" t="s">
        <v>31</v>
      </c>
      <c r="D8505" s="16">
        <v>3</v>
      </c>
      <c r="E8505" s="17">
        <v>22.06</v>
      </c>
      <c r="F8505" s="16">
        <v>0.05</v>
      </c>
      <c r="G8505" s="15" t="s">
        <v>32</v>
      </c>
      <c r="H8505" s="18">
        <v>-15.6</v>
      </c>
      <c r="I8505" s="19">
        <v>4.9800000000000004</v>
      </c>
      <c r="J8505" s="19">
        <v>7.44</v>
      </c>
      <c r="K8505" s="19" t="s">
        <v>44</v>
      </c>
      <c r="L8505" s="19" t="s">
        <v>45</v>
      </c>
      <c r="M8505" s="15" t="s">
        <v>2400</v>
      </c>
      <c r="N8505" s="15" t="s">
        <v>36</v>
      </c>
      <c r="O8505" s="15" t="s">
        <v>117</v>
      </c>
      <c r="P8505" s="21" t="s">
        <v>266</v>
      </c>
      <c r="Q8505" s="15" t="s">
        <v>83</v>
      </c>
      <c r="R8505" s="4"/>
      <c r="S8505" s="4"/>
    </row>
    <row r="8506" spans="1:19" ht="21" customHeight="1" x14ac:dyDescent="0.25">
      <c r="A8506" s="14">
        <f>DATE(2012,12,31)-1121</f>
        <v>40153</v>
      </c>
      <c r="B8506" s="15" t="s">
        <v>492</v>
      </c>
      <c r="C8506" s="15" t="s">
        <v>51</v>
      </c>
      <c r="D8506" s="16">
        <v>3</v>
      </c>
      <c r="E8506" s="17">
        <v>549.91999999999996</v>
      </c>
      <c r="F8506" s="16">
        <v>0.09</v>
      </c>
      <c r="G8506" s="15" t="s">
        <v>58</v>
      </c>
      <c r="H8506" s="18">
        <v>-210.97</v>
      </c>
      <c r="I8506" s="19">
        <v>180.98</v>
      </c>
      <c r="J8506" s="19">
        <v>26.2</v>
      </c>
      <c r="K8506" s="19" t="s">
        <v>44</v>
      </c>
      <c r="L8506" s="19" t="s">
        <v>89</v>
      </c>
      <c r="M8506" s="15" t="s">
        <v>2365</v>
      </c>
      <c r="N8506" s="15" t="s">
        <v>54</v>
      </c>
      <c r="O8506" s="15" t="s">
        <v>252</v>
      </c>
      <c r="P8506" s="21" t="s">
        <v>2398</v>
      </c>
      <c r="Q8506" s="15" t="s">
        <v>181</v>
      </c>
      <c r="R8506" s="4"/>
      <c r="S8506" s="4"/>
    </row>
    <row r="8507" spans="1:19" ht="21" customHeight="1" x14ac:dyDescent="0.25">
      <c r="A8507" s="14">
        <f>DATE(2012,12,31)-1121</f>
        <v>40153</v>
      </c>
      <c r="B8507" s="15" t="s">
        <v>492</v>
      </c>
      <c r="C8507" s="15" t="s">
        <v>51</v>
      </c>
      <c r="D8507" s="16">
        <v>26</v>
      </c>
      <c r="E8507" s="17">
        <v>182.09</v>
      </c>
      <c r="F8507" s="16">
        <v>0</v>
      </c>
      <c r="G8507" s="15" t="s">
        <v>32</v>
      </c>
      <c r="H8507" s="18">
        <v>-28.15</v>
      </c>
      <c r="I8507" s="19">
        <v>6.48</v>
      </c>
      <c r="J8507" s="19">
        <v>5.19</v>
      </c>
      <c r="K8507" s="19" t="s">
        <v>44</v>
      </c>
      <c r="L8507" s="19" t="s">
        <v>89</v>
      </c>
      <c r="M8507" s="15" t="s">
        <v>2365</v>
      </c>
      <c r="N8507" s="15" t="s">
        <v>36</v>
      </c>
      <c r="O8507" s="15" t="s">
        <v>117</v>
      </c>
      <c r="P8507" s="21" t="s">
        <v>2054</v>
      </c>
      <c r="Q8507" s="15" t="s">
        <v>83</v>
      </c>
      <c r="R8507" s="4"/>
      <c r="S8507" s="4"/>
    </row>
    <row r="8508" spans="1:19" ht="21" customHeight="1" x14ac:dyDescent="0.25">
      <c r="A8508" s="14">
        <f>DATE(2012,12,31)-1086</f>
        <v>40188</v>
      </c>
      <c r="B8508" s="15" t="s">
        <v>492</v>
      </c>
      <c r="C8508" s="15" t="s">
        <v>85</v>
      </c>
      <c r="D8508" s="16">
        <v>11</v>
      </c>
      <c r="E8508" s="17">
        <v>1091.47</v>
      </c>
      <c r="F8508" s="16">
        <v>0.04</v>
      </c>
      <c r="G8508" s="15" t="s">
        <v>32</v>
      </c>
      <c r="H8508" s="18">
        <v>160.47999999999999</v>
      </c>
      <c r="I8508" s="19">
        <v>92.23</v>
      </c>
      <c r="J8508" s="19">
        <v>39.61</v>
      </c>
      <c r="K8508" s="19" t="s">
        <v>44</v>
      </c>
      <c r="L8508" s="19" t="s">
        <v>120</v>
      </c>
      <c r="M8508" s="15" t="s">
        <v>2262</v>
      </c>
      <c r="N8508" s="15" t="s">
        <v>54</v>
      </c>
      <c r="O8508" s="15" t="s">
        <v>55</v>
      </c>
      <c r="P8508" s="21" t="s">
        <v>2399</v>
      </c>
      <c r="Q8508" s="15" t="s">
        <v>57</v>
      </c>
      <c r="R8508" s="4"/>
      <c r="S8508" s="4"/>
    </row>
    <row r="8509" spans="1:19" ht="21" customHeight="1" x14ac:dyDescent="0.25">
      <c r="A8509" s="14">
        <f>DATE(2012,12,31)-1086</f>
        <v>40188</v>
      </c>
      <c r="B8509" s="15" t="s">
        <v>533</v>
      </c>
      <c r="C8509" s="15" t="s">
        <v>85</v>
      </c>
      <c r="D8509" s="16">
        <v>35</v>
      </c>
      <c r="E8509" s="17">
        <v>112.59</v>
      </c>
      <c r="F8509" s="16">
        <v>0.09</v>
      </c>
      <c r="G8509" s="15" t="s">
        <v>101</v>
      </c>
      <c r="H8509" s="18">
        <v>-126.7</v>
      </c>
      <c r="I8509" s="19">
        <v>3.28</v>
      </c>
      <c r="J8509" s="19">
        <v>5</v>
      </c>
      <c r="K8509" s="19" t="s">
        <v>44</v>
      </c>
      <c r="L8509" s="19" t="s">
        <v>89</v>
      </c>
      <c r="M8509" s="15" t="s">
        <v>2404</v>
      </c>
      <c r="N8509" s="15" t="s">
        <v>36</v>
      </c>
      <c r="O8509" s="15" t="s">
        <v>77</v>
      </c>
      <c r="P8509" s="21" t="s">
        <v>863</v>
      </c>
      <c r="Q8509" s="15" t="s">
        <v>79</v>
      </c>
      <c r="R8509" s="4"/>
      <c r="S8509" s="4"/>
    </row>
    <row r="8510" spans="1:19" ht="21" customHeight="1" x14ac:dyDescent="0.25">
      <c r="A8510" s="14">
        <f>DATE(2012,12,31)-186</f>
        <v>41088</v>
      </c>
      <c r="B8510" s="15" t="s">
        <v>533</v>
      </c>
      <c r="C8510" s="15" t="s">
        <v>31</v>
      </c>
      <c r="D8510" s="16">
        <v>47</v>
      </c>
      <c r="E8510" s="17">
        <v>9633.59</v>
      </c>
      <c r="F8510" s="16">
        <v>0.06</v>
      </c>
      <c r="G8510" s="15" t="s">
        <v>58</v>
      </c>
      <c r="H8510" s="18">
        <v>176.67</v>
      </c>
      <c r="I8510" s="19">
        <v>216.6</v>
      </c>
      <c r="J8510" s="19">
        <v>64.2</v>
      </c>
      <c r="K8510" s="19" t="s">
        <v>44</v>
      </c>
      <c r="L8510" s="19" t="s">
        <v>89</v>
      </c>
      <c r="M8510" s="15" t="s">
        <v>2404</v>
      </c>
      <c r="N8510" s="15" t="s">
        <v>54</v>
      </c>
      <c r="O8510" s="15" t="s">
        <v>252</v>
      </c>
      <c r="P8510" s="21" t="s">
        <v>855</v>
      </c>
      <c r="Q8510" s="15" t="s">
        <v>181</v>
      </c>
      <c r="R8510" s="4"/>
      <c r="S8510" s="4"/>
    </row>
    <row r="8511" spans="1:19" ht="21" customHeight="1" x14ac:dyDescent="0.25">
      <c r="A8511" s="14">
        <f>DATE(2012,12,31)-186</f>
        <v>41088</v>
      </c>
      <c r="B8511" s="15" t="s">
        <v>533</v>
      </c>
      <c r="C8511" s="15" t="s">
        <v>31</v>
      </c>
      <c r="D8511" s="16">
        <v>26</v>
      </c>
      <c r="E8511" s="17">
        <v>3758.77</v>
      </c>
      <c r="F8511" s="16">
        <v>0</v>
      </c>
      <c r="G8511" s="15" t="s">
        <v>32</v>
      </c>
      <c r="H8511" s="18">
        <v>753.61</v>
      </c>
      <c r="I8511" s="19">
        <v>140.81</v>
      </c>
      <c r="J8511" s="19">
        <v>24.49</v>
      </c>
      <c r="K8511" s="19" t="s">
        <v>44</v>
      </c>
      <c r="L8511" s="19" t="s">
        <v>89</v>
      </c>
      <c r="M8511" s="15" t="s">
        <v>2404</v>
      </c>
      <c r="N8511" s="15" t="s">
        <v>54</v>
      </c>
      <c r="O8511" s="15" t="s">
        <v>252</v>
      </c>
      <c r="P8511" s="21" t="s">
        <v>1392</v>
      </c>
      <c r="Q8511" s="15" t="s">
        <v>39</v>
      </c>
      <c r="R8511" s="4"/>
      <c r="S8511" s="4"/>
    </row>
    <row r="8512" spans="1:19" ht="21" customHeight="1" x14ac:dyDescent="0.25">
      <c r="A8512" s="14">
        <f>DATE(2012,12,31)-318</f>
        <v>40956</v>
      </c>
      <c r="B8512" s="15" t="s">
        <v>533</v>
      </c>
      <c r="C8512" s="15" t="s">
        <v>85</v>
      </c>
      <c r="D8512" s="16">
        <v>15</v>
      </c>
      <c r="E8512" s="17">
        <v>1616.66</v>
      </c>
      <c r="F8512" s="16">
        <v>0</v>
      </c>
      <c r="G8512" s="15" t="s">
        <v>58</v>
      </c>
      <c r="H8512" s="18">
        <v>112.58</v>
      </c>
      <c r="I8512" s="19">
        <v>100.98</v>
      </c>
      <c r="J8512" s="19">
        <v>56.22</v>
      </c>
      <c r="K8512" s="19" t="s">
        <v>44</v>
      </c>
      <c r="L8512" s="19" t="s">
        <v>89</v>
      </c>
      <c r="M8512" s="15" t="s">
        <v>2404</v>
      </c>
      <c r="N8512" s="15" t="s">
        <v>54</v>
      </c>
      <c r="O8512" s="15" t="s">
        <v>134</v>
      </c>
      <c r="P8512" s="21" t="s">
        <v>397</v>
      </c>
      <c r="Q8512" s="15" t="s">
        <v>63</v>
      </c>
      <c r="R8512" s="4"/>
      <c r="S8512" s="4"/>
    </row>
    <row r="8513" spans="1:19" ht="21" customHeight="1" x14ac:dyDescent="0.25">
      <c r="A8513" s="14">
        <f>DATE(2012,12,31)-318</f>
        <v>40956</v>
      </c>
      <c r="B8513" s="15" t="s">
        <v>533</v>
      </c>
      <c r="C8513" s="15" t="s">
        <v>85</v>
      </c>
      <c r="D8513" s="16">
        <v>6</v>
      </c>
      <c r="E8513" s="17">
        <v>96.21</v>
      </c>
      <c r="F8513" s="16">
        <v>0.06</v>
      </c>
      <c r="G8513" s="15" t="s">
        <v>32</v>
      </c>
      <c r="H8513" s="18">
        <v>-19.34</v>
      </c>
      <c r="I8513" s="19">
        <v>14.58</v>
      </c>
      <c r="J8513" s="19">
        <v>57.4</v>
      </c>
      <c r="K8513" s="19" t="s">
        <v>44</v>
      </c>
      <c r="L8513" s="19" t="s">
        <v>45</v>
      </c>
      <c r="M8513" s="15" t="s">
        <v>2400</v>
      </c>
      <c r="N8513" s="15" t="s">
        <v>54</v>
      </c>
      <c r="O8513" s="15" t="s">
        <v>55</v>
      </c>
      <c r="P8513" s="21" t="s">
        <v>352</v>
      </c>
      <c r="Q8513" s="15" t="s">
        <v>83</v>
      </c>
      <c r="R8513" s="4"/>
      <c r="S8513" s="4"/>
    </row>
    <row r="8514" spans="1:19" ht="21" customHeight="1" x14ac:dyDescent="0.25">
      <c r="A8514" s="14">
        <f>DATE(2012,12,31)-46</f>
        <v>41228</v>
      </c>
      <c r="B8514" s="15" t="s">
        <v>533</v>
      </c>
      <c r="C8514" s="15" t="s">
        <v>51</v>
      </c>
      <c r="D8514" s="16">
        <v>3</v>
      </c>
      <c r="E8514" s="17">
        <v>18.91</v>
      </c>
      <c r="F8514" s="16">
        <v>0</v>
      </c>
      <c r="G8514" s="15" t="s">
        <v>32</v>
      </c>
      <c r="H8514" s="18">
        <v>-16.353000000000002</v>
      </c>
      <c r="I8514" s="19">
        <v>3.89</v>
      </c>
      <c r="J8514" s="19">
        <v>7.01</v>
      </c>
      <c r="K8514" s="19" t="s">
        <v>44</v>
      </c>
      <c r="L8514" s="19" t="s">
        <v>89</v>
      </c>
      <c r="M8514" s="15" t="s">
        <v>2404</v>
      </c>
      <c r="N8514" s="15" t="s">
        <v>36</v>
      </c>
      <c r="O8514" s="15" t="s">
        <v>170</v>
      </c>
      <c r="P8514" s="21" t="s">
        <v>711</v>
      </c>
      <c r="Q8514" s="15" t="s">
        <v>83</v>
      </c>
      <c r="R8514" s="4"/>
      <c r="S8514" s="4"/>
    </row>
    <row r="8515" spans="1:19" ht="21" customHeight="1" x14ac:dyDescent="0.25">
      <c r="A8515" s="14">
        <f>DATE(2012,12,31)-46</f>
        <v>41228</v>
      </c>
      <c r="B8515" s="15" t="s">
        <v>533</v>
      </c>
      <c r="C8515" s="15" t="s">
        <v>51</v>
      </c>
      <c r="D8515" s="16">
        <v>7</v>
      </c>
      <c r="E8515" s="17">
        <v>685.7</v>
      </c>
      <c r="F8515" s="16">
        <v>0.01</v>
      </c>
      <c r="G8515" s="15" t="s">
        <v>32</v>
      </c>
      <c r="H8515" s="18">
        <v>350.94</v>
      </c>
      <c r="I8515" s="19">
        <v>88.84</v>
      </c>
      <c r="J8515" s="19">
        <v>20.79</v>
      </c>
      <c r="K8515" s="19" t="s">
        <v>44</v>
      </c>
      <c r="L8515" s="19" t="s">
        <v>80</v>
      </c>
      <c r="M8515" s="15" t="s">
        <v>2339</v>
      </c>
      <c r="N8515" s="15" t="s">
        <v>54</v>
      </c>
      <c r="O8515" s="15" t="s">
        <v>55</v>
      </c>
      <c r="P8515" s="21" t="s">
        <v>2056</v>
      </c>
      <c r="Q8515" s="15" t="s">
        <v>39</v>
      </c>
      <c r="R8515" s="4"/>
      <c r="S8515" s="4"/>
    </row>
    <row r="8516" spans="1:19" ht="21" customHeight="1" x14ac:dyDescent="0.25">
      <c r="A8516" s="14">
        <f>DATE(2012,12,31)-46</f>
        <v>41228</v>
      </c>
      <c r="B8516" s="15" t="s">
        <v>533</v>
      </c>
      <c r="C8516" s="15" t="s">
        <v>51</v>
      </c>
      <c r="D8516" s="16">
        <v>10</v>
      </c>
      <c r="E8516" s="17">
        <v>1024.165</v>
      </c>
      <c r="F8516" s="16">
        <v>0.02</v>
      </c>
      <c r="G8516" s="15" t="s">
        <v>32</v>
      </c>
      <c r="H8516" s="18">
        <v>-105.69900000000001</v>
      </c>
      <c r="I8516" s="19">
        <v>115.99</v>
      </c>
      <c r="J8516" s="19">
        <v>5.99</v>
      </c>
      <c r="K8516" s="19" t="s">
        <v>44</v>
      </c>
      <c r="L8516" s="19" t="s">
        <v>89</v>
      </c>
      <c r="M8516" s="15" t="s">
        <v>2404</v>
      </c>
      <c r="N8516" s="15" t="s">
        <v>64</v>
      </c>
      <c r="O8516" s="15" t="s">
        <v>65</v>
      </c>
      <c r="P8516" s="21" t="s">
        <v>1032</v>
      </c>
      <c r="Q8516" s="15" t="s">
        <v>83</v>
      </c>
      <c r="R8516" s="4"/>
      <c r="S8516" s="4"/>
    </row>
    <row r="8517" spans="1:19" ht="21" customHeight="1" x14ac:dyDescent="0.25">
      <c r="A8517" s="14">
        <f>DATE(2012,12,31)-1438</f>
        <v>39836</v>
      </c>
      <c r="B8517" s="15" t="s">
        <v>533</v>
      </c>
      <c r="C8517" s="15" t="s">
        <v>85</v>
      </c>
      <c r="D8517" s="16">
        <v>18</v>
      </c>
      <c r="E8517" s="17">
        <v>1383.2</v>
      </c>
      <c r="F8517" s="16">
        <v>0.01</v>
      </c>
      <c r="G8517" s="15" t="s">
        <v>32</v>
      </c>
      <c r="H8517" s="18">
        <v>-23.44</v>
      </c>
      <c r="I8517" s="19">
        <v>73.98</v>
      </c>
      <c r="J8517" s="19">
        <v>12.14</v>
      </c>
      <c r="K8517" s="19" t="s">
        <v>44</v>
      </c>
      <c r="L8517" s="19" t="s">
        <v>120</v>
      </c>
      <c r="M8517" s="15" t="s">
        <v>2262</v>
      </c>
      <c r="N8517" s="15" t="s">
        <v>64</v>
      </c>
      <c r="O8517" s="15" t="s">
        <v>72</v>
      </c>
      <c r="P8517" s="21" t="s">
        <v>566</v>
      </c>
      <c r="Q8517" s="15" t="s">
        <v>83</v>
      </c>
      <c r="R8517" s="4"/>
      <c r="S8517" s="4"/>
    </row>
    <row r="8518" spans="1:19" ht="21" customHeight="1" x14ac:dyDescent="0.25">
      <c r="A8518" s="14">
        <f>DATE(2012,12,31)-584</f>
        <v>40690</v>
      </c>
      <c r="B8518" s="15" t="s">
        <v>533</v>
      </c>
      <c r="C8518" s="15" t="s">
        <v>43</v>
      </c>
      <c r="D8518" s="16">
        <v>20</v>
      </c>
      <c r="E8518" s="17">
        <v>211.42</v>
      </c>
      <c r="F8518" s="16">
        <v>0</v>
      </c>
      <c r="G8518" s="15" t="s">
        <v>32</v>
      </c>
      <c r="H8518" s="18">
        <v>-113.52</v>
      </c>
      <c r="I8518" s="19">
        <v>9.7100000000000009</v>
      </c>
      <c r="J8518" s="19">
        <v>9.4499999999999993</v>
      </c>
      <c r="K8518" s="19" t="s">
        <v>44</v>
      </c>
      <c r="L8518" s="19" t="s">
        <v>120</v>
      </c>
      <c r="M8518" s="15" t="s">
        <v>2262</v>
      </c>
      <c r="N8518" s="15" t="s">
        <v>36</v>
      </c>
      <c r="O8518" s="15" t="s">
        <v>37</v>
      </c>
      <c r="P8518" s="21" t="s">
        <v>130</v>
      </c>
      <c r="Q8518" s="15" t="s">
        <v>83</v>
      </c>
      <c r="R8518" s="4"/>
      <c r="S8518" s="4"/>
    </row>
    <row r="8519" spans="1:19" ht="21" customHeight="1" x14ac:dyDescent="0.25">
      <c r="A8519" s="14">
        <f>DATE(2012,12,31)-847</f>
        <v>40427</v>
      </c>
      <c r="B8519" s="15" t="s">
        <v>533</v>
      </c>
      <c r="C8519" s="15" t="s">
        <v>43</v>
      </c>
      <c r="D8519" s="16">
        <v>20</v>
      </c>
      <c r="E8519" s="17">
        <v>112.03</v>
      </c>
      <c r="F8519" s="16">
        <v>0.05</v>
      </c>
      <c r="G8519" s="15" t="s">
        <v>32</v>
      </c>
      <c r="H8519" s="18">
        <v>-57.994500000000002</v>
      </c>
      <c r="I8519" s="19">
        <v>5.18</v>
      </c>
      <c r="J8519" s="19">
        <v>5.74</v>
      </c>
      <c r="K8519" s="19" t="s">
        <v>44</v>
      </c>
      <c r="L8519" s="19" t="s">
        <v>89</v>
      </c>
      <c r="M8519" s="15" t="s">
        <v>2404</v>
      </c>
      <c r="N8519" s="15" t="s">
        <v>36</v>
      </c>
      <c r="O8519" s="15" t="s">
        <v>170</v>
      </c>
      <c r="P8519" s="21" t="s">
        <v>427</v>
      </c>
      <c r="Q8519" s="15" t="s">
        <v>83</v>
      </c>
      <c r="R8519" s="4"/>
      <c r="S8519" s="4"/>
    </row>
    <row r="8520" spans="1:19" ht="21" customHeight="1" x14ac:dyDescent="0.25">
      <c r="A8520" s="14">
        <f>DATE(2012,12,31)-899</f>
        <v>40375</v>
      </c>
      <c r="B8520" s="15" t="s">
        <v>533</v>
      </c>
      <c r="C8520" s="15" t="s">
        <v>43</v>
      </c>
      <c r="D8520" s="16">
        <v>45</v>
      </c>
      <c r="E8520" s="17">
        <v>5205.83</v>
      </c>
      <c r="F8520" s="16">
        <v>0.08</v>
      </c>
      <c r="G8520" s="15" t="s">
        <v>58</v>
      </c>
      <c r="H8520" s="18">
        <v>-818.76600000000008</v>
      </c>
      <c r="I8520" s="19">
        <v>124.49</v>
      </c>
      <c r="J8520" s="19">
        <v>51.94</v>
      </c>
      <c r="K8520" s="19" t="s">
        <v>44</v>
      </c>
      <c r="L8520" s="19" t="s">
        <v>89</v>
      </c>
      <c r="M8520" s="15" t="s">
        <v>2404</v>
      </c>
      <c r="N8520" s="15" t="s">
        <v>54</v>
      </c>
      <c r="O8520" s="15" t="s">
        <v>61</v>
      </c>
      <c r="P8520" s="21" t="s">
        <v>220</v>
      </c>
      <c r="Q8520" s="15" t="s">
        <v>63</v>
      </c>
      <c r="R8520" s="4"/>
      <c r="S8520" s="4"/>
    </row>
    <row r="8521" spans="1:19" ht="21" customHeight="1" x14ac:dyDescent="0.25">
      <c r="A8521" s="14">
        <f>DATE(2012,12,31)-287</f>
        <v>40987</v>
      </c>
      <c r="B8521" s="15" t="s">
        <v>533</v>
      </c>
      <c r="C8521" s="15" t="s">
        <v>51</v>
      </c>
      <c r="D8521" s="16">
        <v>46</v>
      </c>
      <c r="E8521" s="17">
        <v>175.23</v>
      </c>
      <c r="F8521" s="16">
        <v>0.04</v>
      </c>
      <c r="G8521" s="15" t="s">
        <v>32</v>
      </c>
      <c r="H8521" s="18">
        <v>-13.35</v>
      </c>
      <c r="I8521" s="19">
        <v>3.69</v>
      </c>
      <c r="J8521" s="19">
        <v>2.5</v>
      </c>
      <c r="K8521" s="19" t="s">
        <v>124</v>
      </c>
      <c r="L8521" s="19" t="s">
        <v>160</v>
      </c>
      <c r="M8521" s="15" t="s">
        <v>2281</v>
      </c>
      <c r="N8521" s="15" t="s">
        <v>36</v>
      </c>
      <c r="O8521" s="15" t="s">
        <v>189</v>
      </c>
      <c r="P8521" s="21" t="s">
        <v>1871</v>
      </c>
      <c r="Q8521" s="15" t="s">
        <v>83</v>
      </c>
      <c r="R8521" s="4"/>
      <c r="S8521" s="4"/>
    </row>
    <row r="8522" spans="1:19" ht="21" customHeight="1" x14ac:dyDescent="0.25">
      <c r="A8522" s="14">
        <f>DATE(2012,12,31)-1300</f>
        <v>39974</v>
      </c>
      <c r="B8522" s="15" t="s">
        <v>804</v>
      </c>
      <c r="C8522" s="15" t="s">
        <v>43</v>
      </c>
      <c r="D8522" s="16">
        <v>14</v>
      </c>
      <c r="E8522" s="17">
        <v>132.72</v>
      </c>
      <c r="F8522" s="16">
        <v>0.05</v>
      </c>
      <c r="G8522" s="15" t="s">
        <v>32</v>
      </c>
      <c r="H8522" s="18">
        <v>-9.1769999999999996</v>
      </c>
      <c r="I8522" s="19">
        <v>8.85</v>
      </c>
      <c r="J8522" s="19">
        <v>5.6</v>
      </c>
      <c r="K8522" s="19" t="s">
        <v>124</v>
      </c>
      <c r="L8522" s="19" t="s">
        <v>160</v>
      </c>
      <c r="M8522" s="15" t="s">
        <v>2281</v>
      </c>
      <c r="N8522" s="15" t="s">
        <v>36</v>
      </c>
      <c r="O8522" s="15" t="s">
        <v>170</v>
      </c>
      <c r="P8522" s="21" t="s">
        <v>1218</v>
      </c>
      <c r="Q8522" s="15" t="s">
        <v>83</v>
      </c>
      <c r="R8522" s="4"/>
      <c r="S8522" s="4"/>
    </row>
    <row r="8523" spans="1:19" ht="21" customHeight="1" x14ac:dyDescent="0.25">
      <c r="A8523" s="14">
        <f>DATE(2012,12,31)-1347</f>
        <v>39927</v>
      </c>
      <c r="B8523" s="15" t="s">
        <v>804</v>
      </c>
      <c r="C8523" s="15" t="s">
        <v>31</v>
      </c>
      <c r="D8523" s="16">
        <v>38</v>
      </c>
      <c r="E8523" s="17">
        <v>1396.58</v>
      </c>
      <c r="F8523" s="16">
        <v>0.03</v>
      </c>
      <c r="G8523" s="15" t="s">
        <v>32</v>
      </c>
      <c r="H8523" s="18">
        <v>600.72</v>
      </c>
      <c r="I8523" s="19">
        <v>35.409999999999997</v>
      </c>
      <c r="J8523" s="19">
        <v>1.99</v>
      </c>
      <c r="K8523" s="19" t="s">
        <v>124</v>
      </c>
      <c r="L8523" s="19" t="s">
        <v>125</v>
      </c>
      <c r="M8523" s="15" t="s">
        <v>2358</v>
      </c>
      <c r="N8523" s="15" t="s">
        <v>64</v>
      </c>
      <c r="O8523" s="15" t="s">
        <v>72</v>
      </c>
      <c r="P8523" s="21" t="s">
        <v>2401</v>
      </c>
      <c r="Q8523" s="15" t="s">
        <v>49</v>
      </c>
      <c r="R8523" s="4"/>
      <c r="S8523" s="4"/>
    </row>
    <row r="8524" spans="1:19" ht="21" customHeight="1" x14ac:dyDescent="0.25">
      <c r="A8524" s="14">
        <f>DATE(2012,12,31)-1347</f>
        <v>39927</v>
      </c>
      <c r="B8524" s="15" t="s">
        <v>804</v>
      </c>
      <c r="C8524" s="15" t="s">
        <v>31</v>
      </c>
      <c r="D8524" s="16">
        <v>45</v>
      </c>
      <c r="E8524" s="17">
        <v>6448.69</v>
      </c>
      <c r="F8524" s="16">
        <v>0</v>
      </c>
      <c r="G8524" s="15" t="s">
        <v>32</v>
      </c>
      <c r="H8524" s="18">
        <v>1663.35</v>
      </c>
      <c r="I8524" s="19">
        <v>142.86000000000001</v>
      </c>
      <c r="J8524" s="19">
        <v>19.989999999999998</v>
      </c>
      <c r="K8524" s="19" t="s">
        <v>33</v>
      </c>
      <c r="L8524" s="19" t="s">
        <v>128</v>
      </c>
      <c r="M8524" s="15" t="s">
        <v>129</v>
      </c>
      <c r="N8524" s="15" t="s">
        <v>36</v>
      </c>
      <c r="O8524" s="15" t="s">
        <v>37</v>
      </c>
      <c r="P8524" s="21" t="s">
        <v>1019</v>
      </c>
      <c r="Q8524" s="15" t="s">
        <v>83</v>
      </c>
      <c r="R8524" s="4"/>
      <c r="S8524" s="4"/>
    </row>
    <row r="8525" spans="1:19" ht="21" customHeight="1" x14ac:dyDescent="0.25">
      <c r="A8525" s="14">
        <f>DATE(2012,12,31)-649</f>
        <v>40625</v>
      </c>
      <c r="B8525" s="15" t="s">
        <v>804</v>
      </c>
      <c r="C8525" s="15" t="s">
        <v>85</v>
      </c>
      <c r="D8525" s="16">
        <v>6</v>
      </c>
      <c r="E8525" s="17">
        <v>143.78</v>
      </c>
      <c r="F8525" s="16">
        <v>0.04</v>
      </c>
      <c r="G8525" s="15" t="s">
        <v>32</v>
      </c>
      <c r="H8525" s="18">
        <v>75.3</v>
      </c>
      <c r="I8525" s="19">
        <v>22.72</v>
      </c>
      <c r="J8525" s="19">
        <v>8.99</v>
      </c>
      <c r="K8525" s="19" t="s">
        <v>33</v>
      </c>
      <c r="L8525" s="19" t="s">
        <v>93</v>
      </c>
      <c r="M8525" s="15" t="s">
        <v>94</v>
      </c>
      <c r="N8525" s="15" t="s">
        <v>54</v>
      </c>
      <c r="O8525" s="15" t="s">
        <v>55</v>
      </c>
      <c r="P8525" s="21" t="s">
        <v>927</v>
      </c>
      <c r="Q8525" s="15" t="s">
        <v>49</v>
      </c>
      <c r="R8525" s="4"/>
      <c r="S8525" s="4"/>
    </row>
    <row r="8526" spans="1:19" ht="21" customHeight="1" x14ac:dyDescent="0.25">
      <c r="A8526" s="14">
        <f>DATE(2012,12,31)-499</f>
        <v>40775</v>
      </c>
      <c r="B8526" s="15" t="s">
        <v>804</v>
      </c>
      <c r="C8526" s="15" t="s">
        <v>43</v>
      </c>
      <c r="D8526" s="16">
        <v>37</v>
      </c>
      <c r="E8526" s="17">
        <v>252.99</v>
      </c>
      <c r="F8526" s="16">
        <v>0.08</v>
      </c>
      <c r="G8526" s="15" t="s">
        <v>32</v>
      </c>
      <c r="H8526" s="18">
        <v>28.76</v>
      </c>
      <c r="I8526" s="19">
        <v>7.08</v>
      </c>
      <c r="J8526" s="19">
        <v>2.35</v>
      </c>
      <c r="K8526" s="19" t="s">
        <v>33</v>
      </c>
      <c r="L8526" s="19" t="s">
        <v>128</v>
      </c>
      <c r="M8526" s="15" t="s">
        <v>129</v>
      </c>
      <c r="N8526" s="15" t="s">
        <v>36</v>
      </c>
      <c r="O8526" s="15" t="s">
        <v>77</v>
      </c>
      <c r="P8526" s="21" t="s">
        <v>2402</v>
      </c>
      <c r="Q8526" s="15" t="s">
        <v>79</v>
      </c>
      <c r="R8526" s="4"/>
      <c r="S8526" s="4"/>
    </row>
    <row r="8527" spans="1:19" ht="21" customHeight="1" x14ac:dyDescent="0.25">
      <c r="A8527" s="14">
        <f>DATE(2012,12,31)-950</f>
        <v>40324</v>
      </c>
      <c r="B8527" s="15" t="s">
        <v>804</v>
      </c>
      <c r="C8527" s="15" t="s">
        <v>51</v>
      </c>
      <c r="D8527" s="16">
        <v>43</v>
      </c>
      <c r="E8527" s="17">
        <v>224.58</v>
      </c>
      <c r="F8527" s="16">
        <v>0.03</v>
      </c>
      <c r="G8527" s="15" t="s">
        <v>32</v>
      </c>
      <c r="H8527" s="18">
        <v>46.31</v>
      </c>
      <c r="I8527" s="19">
        <v>5.18</v>
      </c>
      <c r="J8527" s="19">
        <v>2.04</v>
      </c>
      <c r="K8527" s="19" t="s">
        <v>33</v>
      </c>
      <c r="L8527" s="19" t="s">
        <v>128</v>
      </c>
      <c r="M8527" s="15" t="s">
        <v>129</v>
      </c>
      <c r="N8527" s="15" t="s">
        <v>36</v>
      </c>
      <c r="O8527" s="15" t="s">
        <v>117</v>
      </c>
      <c r="P8527" s="21" t="s">
        <v>2403</v>
      </c>
      <c r="Q8527" s="15" t="s">
        <v>79</v>
      </c>
      <c r="R8527" s="4"/>
      <c r="S8527" s="4"/>
    </row>
    <row r="8528" spans="1:19" ht="21" customHeight="1" x14ac:dyDescent="0.25">
      <c r="A8528" s="14">
        <f>DATE(2012,12,31)-804</f>
        <v>40470</v>
      </c>
      <c r="B8528" s="15" t="s">
        <v>804</v>
      </c>
      <c r="C8528" s="15" t="s">
        <v>31</v>
      </c>
      <c r="D8528" s="16">
        <v>33</v>
      </c>
      <c r="E8528" s="17">
        <v>1646.47</v>
      </c>
      <c r="F8528" s="16">
        <v>0.05</v>
      </c>
      <c r="G8528" s="15" t="s">
        <v>32</v>
      </c>
      <c r="H8528" s="18">
        <v>743.59</v>
      </c>
      <c r="I8528" s="19">
        <v>48.91</v>
      </c>
      <c r="J8528" s="19">
        <v>5.81</v>
      </c>
      <c r="K8528" s="19" t="s">
        <v>33</v>
      </c>
      <c r="L8528" s="19" t="s">
        <v>93</v>
      </c>
      <c r="M8528" s="15" t="s">
        <v>94</v>
      </c>
      <c r="N8528" s="15" t="s">
        <v>36</v>
      </c>
      <c r="O8528" s="15" t="s">
        <v>117</v>
      </c>
      <c r="P8528" s="21" t="s">
        <v>662</v>
      </c>
      <c r="Q8528" s="15" t="s">
        <v>83</v>
      </c>
      <c r="R8528" s="4"/>
      <c r="S8528" s="4"/>
    </row>
    <row r="8529" spans="1:19" ht="21" customHeight="1" x14ac:dyDescent="0.25">
      <c r="A8529" s="14">
        <f>DATE(2012,12,31)-420</f>
        <v>40854</v>
      </c>
      <c r="B8529" s="15" t="s">
        <v>804</v>
      </c>
      <c r="C8529" s="15" t="s">
        <v>31</v>
      </c>
      <c r="D8529" s="16">
        <v>9</v>
      </c>
      <c r="E8529" s="17">
        <v>149.63999999999999</v>
      </c>
      <c r="F8529" s="16">
        <v>0.05</v>
      </c>
      <c r="G8529" s="15" t="s">
        <v>32</v>
      </c>
      <c r="H8529" s="18">
        <v>13.77</v>
      </c>
      <c r="I8529" s="19">
        <v>16.739999999999998</v>
      </c>
      <c r="J8529" s="19">
        <v>5.08</v>
      </c>
      <c r="K8529" s="19" t="s">
        <v>33</v>
      </c>
      <c r="L8529" s="19" t="s">
        <v>93</v>
      </c>
      <c r="M8529" s="15" t="s">
        <v>94</v>
      </c>
      <c r="N8529" s="15" t="s">
        <v>36</v>
      </c>
      <c r="O8529" s="15" t="s">
        <v>170</v>
      </c>
      <c r="P8529" s="21" t="s">
        <v>2059</v>
      </c>
      <c r="Q8529" s="15" t="s">
        <v>83</v>
      </c>
      <c r="R8529" s="4"/>
      <c r="S8529" s="4"/>
    </row>
    <row r="8530" spans="1:19" ht="21" customHeight="1" x14ac:dyDescent="0.25">
      <c r="A8530" s="14">
        <f>DATE(2012,12,31)-1254</f>
        <v>40020</v>
      </c>
      <c r="B8530" s="15" t="s">
        <v>804</v>
      </c>
      <c r="C8530" s="15" t="s">
        <v>31</v>
      </c>
      <c r="D8530" s="16">
        <v>32</v>
      </c>
      <c r="E8530" s="17">
        <v>3416.38</v>
      </c>
      <c r="F8530" s="16">
        <v>0.01</v>
      </c>
      <c r="G8530" s="15" t="s">
        <v>58</v>
      </c>
      <c r="H8530" s="18">
        <v>-1142.2</v>
      </c>
      <c r="I8530" s="19">
        <v>100.98</v>
      </c>
      <c r="J8530" s="19">
        <v>57.38</v>
      </c>
      <c r="K8530" s="19" t="s">
        <v>33</v>
      </c>
      <c r="L8530" s="19" t="s">
        <v>128</v>
      </c>
      <c r="M8530" s="15" t="s">
        <v>129</v>
      </c>
      <c r="N8530" s="15" t="s">
        <v>54</v>
      </c>
      <c r="O8530" s="15" t="s">
        <v>134</v>
      </c>
      <c r="P8530" s="21" t="s">
        <v>624</v>
      </c>
      <c r="Q8530" s="15" t="s">
        <v>63</v>
      </c>
      <c r="R8530" s="4"/>
      <c r="S8530" s="4"/>
    </row>
    <row r="8531" spans="1:19" ht="21" customHeight="1" x14ac:dyDescent="0.25">
      <c r="A8531" s="14">
        <f>DATE(2012,12,31)-1254</f>
        <v>40020</v>
      </c>
      <c r="B8531" s="15" t="s">
        <v>804</v>
      </c>
      <c r="C8531" s="15" t="s">
        <v>31</v>
      </c>
      <c r="D8531" s="16">
        <v>14</v>
      </c>
      <c r="E8531" s="17">
        <v>142.81</v>
      </c>
      <c r="F8531" s="16">
        <v>0.01</v>
      </c>
      <c r="G8531" s="15" t="s">
        <v>32</v>
      </c>
      <c r="H8531" s="18">
        <v>39.64</v>
      </c>
      <c r="I8531" s="19">
        <v>10.14</v>
      </c>
      <c r="J8531" s="19">
        <v>2.27</v>
      </c>
      <c r="K8531" s="19" t="s">
        <v>97</v>
      </c>
      <c r="L8531" s="19" t="s">
        <v>98</v>
      </c>
      <c r="M8531" s="15" t="s">
        <v>2387</v>
      </c>
      <c r="N8531" s="15" t="s">
        <v>36</v>
      </c>
      <c r="O8531" s="15" t="s">
        <v>117</v>
      </c>
      <c r="P8531" s="21" t="s">
        <v>1448</v>
      </c>
      <c r="Q8531" s="15" t="s">
        <v>79</v>
      </c>
      <c r="R8531" s="4"/>
      <c r="S8531" s="4"/>
    </row>
    <row r="8532" spans="1:19" ht="21" customHeight="1" x14ac:dyDescent="0.25">
      <c r="A8532" s="14">
        <f>DATE(2012,12,31)-510</f>
        <v>40764</v>
      </c>
      <c r="B8532" s="15" t="s">
        <v>804</v>
      </c>
      <c r="C8532" s="15" t="s">
        <v>85</v>
      </c>
      <c r="D8532" s="16">
        <v>17</v>
      </c>
      <c r="E8532" s="17">
        <v>42.29</v>
      </c>
      <c r="F8532" s="16">
        <v>0.06</v>
      </c>
      <c r="G8532" s="15" t="s">
        <v>32</v>
      </c>
      <c r="H8532" s="18">
        <v>-85.272499999999994</v>
      </c>
      <c r="I8532" s="19">
        <v>2.16</v>
      </c>
      <c r="J8532" s="19">
        <v>6.05</v>
      </c>
      <c r="K8532" s="19" t="s">
        <v>97</v>
      </c>
      <c r="L8532" s="19" t="s">
        <v>195</v>
      </c>
      <c r="M8532" s="15" t="s">
        <v>2388</v>
      </c>
      <c r="N8532" s="15" t="s">
        <v>36</v>
      </c>
      <c r="O8532" s="15" t="s">
        <v>170</v>
      </c>
      <c r="P8532" s="21" t="s">
        <v>475</v>
      </c>
      <c r="Q8532" s="15" t="s">
        <v>83</v>
      </c>
      <c r="R8532" s="4"/>
      <c r="S8532" s="4"/>
    </row>
    <row r="8533" spans="1:19" ht="21" customHeight="1" x14ac:dyDescent="0.25">
      <c r="A8533" s="14">
        <f>DATE(2012,12,31)-139</f>
        <v>41135</v>
      </c>
      <c r="B8533" s="15" t="s">
        <v>804</v>
      </c>
      <c r="C8533" s="15" t="s">
        <v>85</v>
      </c>
      <c r="D8533" s="16">
        <v>50</v>
      </c>
      <c r="E8533" s="17">
        <v>197.36</v>
      </c>
      <c r="F8533" s="16">
        <v>7.0000000000000007E-2</v>
      </c>
      <c r="G8533" s="15" t="s">
        <v>32</v>
      </c>
      <c r="H8533" s="18">
        <v>-43.5045</v>
      </c>
      <c r="I8533" s="19">
        <v>4.18</v>
      </c>
      <c r="J8533" s="19">
        <v>2.99</v>
      </c>
      <c r="K8533" s="19" t="s">
        <v>97</v>
      </c>
      <c r="L8533" s="19" t="s">
        <v>98</v>
      </c>
      <c r="M8533" s="15" t="s">
        <v>2387</v>
      </c>
      <c r="N8533" s="15" t="s">
        <v>36</v>
      </c>
      <c r="O8533" s="15" t="s">
        <v>170</v>
      </c>
      <c r="P8533" s="21" t="s">
        <v>1452</v>
      </c>
      <c r="Q8533" s="15" t="s">
        <v>83</v>
      </c>
      <c r="R8533" s="4"/>
      <c r="S8533" s="4"/>
    </row>
    <row r="8534" spans="1:19" ht="21" customHeight="1" x14ac:dyDescent="0.25">
      <c r="A8534" s="14">
        <f>DATE(2012,12,31)-1078</f>
        <v>40196</v>
      </c>
      <c r="B8534" s="15" t="s">
        <v>1295</v>
      </c>
      <c r="C8534" s="15" t="s">
        <v>43</v>
      </c>
      <c r="D8534" s="16">
        <v>4</v>
      </c>
      <c r="E8534" s="17">
        <v>883.31</v>
      </c>
      <c r="F8534" s="16">
        <v>0.01</v>
      </c>
      <c r="G8534" s="15" t="s">
        <v>58</v>
      </c>
      <c r="H8534" s="18">
        <v>-79.959999999999994</v>
      </c>
      <c r="I8534" s="19">
        <v>200.98</v>
      </c>
      <c r="J8534" s="19">
        <v>23.76</v>
      </c>
      <c r="K8534" s="19" t="s">
        <v>97</v>
      </c>
      <c r="L8534" s="19" t="s">
        <v>98</v>
      </c>
      <c r="M8534" s="15" t="s">
        <v>2387</v>
      </c>
      <c r="N8534" s="15" t="s">
        <v>54</v>
      </c>
      <c r="O8534" s="15" t="s">
        <v>252</v>
      </c>
      <c r="P8534" s="21" t="s">
        <v>2392</v>
      </c>
      <c r="Q8534" s="15" t="s">
        <v>181</v>
      </c>
      <c r="R8534" s="4"/>
      <c r="S8534" s="4"/>
    </row>
    <row r="8535" spans="1:19" ht="21" customHeight="1" x14ac:dyDescent="0.25">
      <c r="A8535" s="14">
        <f>DATE(2012,12,31)-168</f>
        <v>41106</v>
      </c>
      <c r="B8535" s="15" t="s">
        <v>1295</v>
      </c>
      <c r="C8535" s="15" t="s">
        <v>31</v>
      </c>
      <c r="D8535" s="16">
        <v>16</v>
      </c>
      <c r="E8535" s="17">
        <v>9695.84</v>
      </c>
      <c r="F8535" s="16">
        <v>0</v>
      </c>
      <c r="G8535" s="15" t="s">
        <v>32</v>
      </c>
      <c r="H8535" s="18">
        <v>2752.11</v>
      </c>
      <c r="I8535" s="19">
        <v>599.99</v>
      </c>
      <c r="J8535" s="19">
        <v>24.49</v>
      </c>
      <c r="K8535" s="19" t="s">
        <v>97</v>
      </c>
      <c r="L8535" s="19" t="s">
        <v>98</v>
      </c>
      <c r="M8535" s="15" t="s">
        <v>2387</v>
      </c>
      <c r="N8535" s="15" t="s">
        <v>64</v>
      </c>
      <c r="O8535" s="15" t="s">
        <v>460</v>
      </c>
      <c r="P8535" s="21" t="s">
        <v>597</v>
      </c>
      <c r="Q8535" s="15" t="s">
        <v>39</v>
      </c>
      <c r="R8535" s="4"/>
      <c r="S8535" s="4"/>
    </row>
    <row r="8536" spans="1:19" ht="21" customHeight="1" x14ac:dyDescent="0.25">
      <c r="A8536" s="14">
        <f>DATE(2012,12,31)-168</f>
        <v>41106</v>
      </c>
      <c r="B8536" s="15" t="s">
        <v>1295</v>
      </c>
      <c r="C8536" s="15" t="s">
        <v>31</v>
      </c>
      <c r="D8536" s="16">
        <v>36</v>
      </c>
      <c r="E8536" s="17">
        <v>246.79</v>
      </c>
      <c r="F8536" s="16">
        <v>0.01</v>
      </c>
      <c r="G8536" s="15" t="s">
        <v>32</v>
      </c>
      <c r="H8536" s="18">
        <v>-90.08</v>
      </c>
      <c r="I8536" s="19">
        <v>6.48</v>
      </c>
      <c r="J8536" s="19">
        <v>6.6</v>
      </c>
      <c r="K8536" s="19" t="s">
        <v>97</v>
      </c>
      <c r="L8536" s="19" t="s">
        <v>98</v>
      </c>
      <c r="M8536" s="15" t="s">
        <v>2387</v>
      </c>
      <c r="N8536" s="15" t="s">
        <v>36</v>
      </c>
      <c r="O8536" s="15" t="s">
        <v>117</v>
      </c>
      <c r="P8536" s="21" t="s">
        <v>745</v>
      </c>
      <c r="Q8536" s="15" t="s">
        <v>83</v>
      </c>
      <c r="R8536" s="4"/>
      <c r="S8536" s="4"/>
    </row>
    <row r="8537" spans="1:19" ht="21" customHeight="1" x14ac:dyDescent="0.25">
      <c r="A8537" s="14">
        <f>DATE(2012,12,31)-168</f>
        <v>41106</v>
      </c>
      <c r="B8537" s="15" t="s">
        <v>1295</v>
      </c>
      <c r="C8537" s="15" t="s">
        <v>31</v>
      </c>
      <c r="D8537" s="16">
        <v>39</v>
      </c>
      <c r="E8537" s="17">
        <v>777.78</v>
      </c>
      <c r="F8537" s="16">
        <v>0.01</v>
      </c>
      <c r="G8537" s="15" t="s">
        <v>32</v>
      </c>
      <c r="H8537" s="18">
        <v>237.75</v>
      </c>
      <c r="I8537" s="19">
        <v>19.84</v>
      </c>
      <c r="J8537" s="19">
        <v>4.0999999999999996</v>
      </c>
      <c r="K8537" s="19" t="s">
        <v>97</v>
      </c>
      <c r="L8537" s="19" t="s">
        <v>98</v>
      </c>
      <c r="M8537" s="15" t="s">
        <v>2387</v>
      </c>
      <c r="N8537" s="15" t="s">
        <v>36</v>
      </c>
      <c r="O8537" s="15" t="s">
        <v>77</v>
      </c>
      <c r="P8537" s="21" t="s">
        <v>2393</v>
      </c>
      <c r="Q8537" s="15" t="s">
        <v>79</v>
      </c>
      <c r="R8537" s="4"/>
      <c r="S8537" s="4"/>
    </row>
    <row r="8538" spans="1:19" ht="21" customHeight="1" x14ac:dyDescent="0.25">
      <c r="A8538" s="14">
        <f>DATE(2012,12,31)-1136</f>
        <v>40138</v>
      </c>
      <c r="B8538" s="15" t="s">
        <v>1295</v>
      </c>
      <c r="C8538" s="15" t="s">
        <v>31</v>
      </c>
      <c r="D8538" s="16">
        <v>33</v>
      </c>
      <c r="E8538" s="17">
        <v>1644.59</v>
      </c>
      <c r="F8538" s="16">
        <v>0.09</v>
      </c>
      <c r="G8538" s="15" t="s">
        <v>32</v>
      </c>
      <c r="H8538" s="18">
        <v>-52.92</v>
      </c>
      <c r="I8538" s="19">
        <v>50.98</v>
      </c>
      <c r="J8538" s="19">
        <v>6.5</v>
      </c>
      <c r="K8538" s="19" t="s">
        <v>97</v>
      </c>
      <c r="L8538" s="19" t="s">
        <v>98</v>
      </c>
      <c r="M8538" s="15" t="s">
        <v>2387</v>
      </c>
      <c r="N8538" s="15" t="s">
        <v>64</v>
      </c>
      <c r="O8538" s="15" t="s">
        <v>72</v>
      </c>
      <c r="P8538" s="21" t="s">
        <v>1422</v>
      </c>
      <c r="Q8538" s="15" t="s">
        <v>83</v>
      </c>
      <c r="R8538" s="4"/>
      <c r="S8538" s="4"/>
    </row>
    <row r="8539" spans="1:19" ht="21" customHeight="1" x14ac:dyDescent="0.25">
      <c r="A8539" s="14">
        <f>DATE(2012,12,31)-702</f>
        <v>40572</v>
      </c>
      <c r="B8539" s="15" t="s">
        <v>1295</v>
      </c>
      <c r="C8539" s="15" t="s">
        <v>85</v>
      </c>
      <c r="D8539" s="16">
        <v>12</v>
      </c>
      <c r="E8539" s="17">
        <v>1379.98</v>
      </c>
      <c r="F8539" s="16">
        <v>0.06</v>
      </c>
      <c r="G8539" s="15" t="s">
        <v>58</v>
      </c>
      <c r="H8539" s="18">
        <v>-151.72999999999999</v>
      </c>
      <c r="I8539" s="19">
        <v>113.98</v>
      </c>
      <c r="J8539" s="19">
        <v>30</v>
      </c>
      <c r="K8539" s="19" t="s">
        <v>97</v>
      </c>
      <c r="L8539" s="19" t="s">
        <v>132</v>
      </c>
      <c r="M8539" s="15" t="s">
        <v>2294</v>
      </c>
      <c r="N8539" s="15" t="s">
        <v>54</v>
      </c>
      <c r="O8539" s="15" t="s">
        <v>252</v>
      </c>
      <c r="P8539" s="21" t="s">
        <v>521</v>
      </c>
      <c r="Q8539" s="15" t="s">
        <v>181</v>
      </c>
      <c r="R8539" s="4"/>
      <c r="S8539" s="4"/>
    </row>
    <row r="8540" spans="1:19" ht="21" customHeight="1" x14ac:dyDescent="0.25">
      <c r="A8540" s="14">
        <f>DATE(2012,12,31)-246</f>
        <v>41028</v>
      </c>
      <c r="B8540" s="15" t="s">
        <v>1295</v>
      </c>
      <c r="C8540" s="15" t="s">
        <v>85</v>
      </c>
      <c r="D8540" s="16">
        <v>30</v>
      </c>
      <c r="E8540" s="17">
        <v>2368.1679999999997</v>
      </c>
      <c r="F8540" s="16">
        <v>0</v>
      </c>
      <c r="G8540" s="15" t="s">
        <v>32</v>
      </c>
      <c r="H8540" s="18">
        <v>1181.2950000000001</v>
      </c>
      <c r="I8540" s="19">
        <v>85.99</v>
      </c>
      <c r="J8540" s="19">
        <v>1.25</v>
      </c>
      <c r="K8540" s="19" t="s">
        <v>97</v>
      </c>
      <c r="L8540" s="19" t="s">
        <v>195</v>
      </c>
      <c r="M8540" s="15" t="s">
        <v>2388</v>
      </c>
      <c r="N8540" s="15" t="s">
        <v>64</v>
      </c>
      <c r="O8540" s="15" t="s">
        <v>65</v>
      </c>
      <c r="P8540" s="21" t="s">
        <v>685</v>
      </c>
      <c r="Q8540" s="15" t="s">
        <v>49</v>
      </c>
      <c r="R8540" s="4"/>
      <c r="S8540" s="4"/>
    </row>
    <row r="8541" spans="1:19" ht="21" customHeight="1" x14ac:dyDescent="0.25">
      <c r="A8541" s="14">
        <f>DATE(2012,12,31)-1252</f>
        <v>40022</v>
      </c>
      <c r="B8541" s="15" t="s">
        <v>1295</v>
      </c>
      <c r="C8541" s="15" t="s">
        <v>85</v>
      </c>
      <c r="D8541" s="16">
        <v>40</v>
      </c>
      <c r="E8541" s="17">
        <v>2550.12</v>
      </c>
      <c r="F8541" s="16">
        <v>0.01</v>
      </c>
      <c r="G8541" s="15" t="s">
        <v>101</v>
      </c>
      <c r="H8541" s="18">
        <v>882.45</v>
      </c>
      <c r="I8541" s="19">
        <v>60.97</v>
      </c>
      <c r="J8541" s="19">
        <v>4.5</v>
      </c>
      <c r="K8541" s="19" t="s">
        <v>97</v>
      </c>
      <c r="L8541" s="19" t="s">
        <v>98</v>
      </c>
      <c r="M8541" s="15" t="s">
        <v>2387</v>
      </c>
      <c r="N8541" s="15" t="s">
        <v>36</v>
      </c>
      <c r="O8541" s="15" t="s">
        <v>176</v>
      </c>
      <c r="P8541" s="21" t="s">
        <v>2394</v>
      </c>
      <c r="Q8541" s="15" t="s">
        <v>83</v>
      </c>
      <c r="R8541" s="4"/>
      <c r="S8541" s="4"/>
    </row>
    <row r="8542" spans="1:19" ht="21" customHeight="1" x14ac:dyDescent="0.25">
      <c r="A8542" s="14">
        <f>DATE(2012,12,31)-1252</f>
        <v>40022</v>
      </c>
      <c r="B8542" s="15" t="s">
        <v>1295</v>
      </c>
      <c r="C8542" s="15" t="s">
        <v>85</v>
      </c>
      <c r="D8542" s="16">
        <v>46</v>
      </c>
      <c r="E8542" s="17">
        <v>5897.47</v>
      </c>
      <c r="F8542" s="16">
        <v>0</v>
      </c>
      <c r="G8542" s="15" t="s">
        <v>58</v>
      </c>
      <c r="H8542" s="18">
        <v>-1764.29</v>
      </c>
      <c r="I8542" s="19">
        <v>122.99</v>
      </c>
      <c r="J8542" s="19">
        <v>70.2</v>
      </c>
      <c r="K8542" s="19" t="s">
        <v>97</v>
      </c>
      <c r="L8542" s="19" t="s">
        <v>195</v>
      </c>
      <c r="M8542" s="15" t="s">
        <v>2388</v>
      </c>
      <c r="N8542" s="15" t="s">
        <v>54</v>
      </c>
      <c r="O8542" s="15" t="s">
        <v>252</v>
      </c>
      <c r="P8542" s="21" t="s">
        <v>2395</v>
      </c>
      <c r="Q8542" s="15" t="s">
        <v>181</v>
      </c>
      <c r="R8542" s="4"/>
      <c r="S8542" s="4"/>
    </row>
    <row r="8543" spans="1:19" ht="21" customHeight="1" x14ac:dyDescent="0.25">
      <c r="A8543" s="14">
        <f>DATE(2012,12,31)-626</f>
        <v>40648</v>
      </c>
      <c r="B8543" s="15" t="s">
        <v>1295</v>
      </c>
      <c r="C8543" s="15" t="s">
        <v>43</v>
      </c>
      <c r="D8543" s="16">
        <v>46</v>
      </c>
      <c r="E8543" s="17">
        <v>662.51</v>
      </c>
      <c r="F8543" s="16">
        <v>0.09</v>
      </c>
      <c r="G8543" s="15" t="s">
        <v>32</v>
      </c>
      <c r="H8543" s="18">
        <v>293.32</v>
      </c>
      <c r="I8543" s="19">
        <v>15.67</v>
      </c>
      <c r="J8543" s="19">
        <v>1.39</v>
      </c>
      <c r="K8543" s="19" t="s">
        <v>124</v>
      </c>
      <c r="L8543" s="19" t="s">
        <v>160</v>
      </c>
      <c r="M8543" s="15" t="s">
        <v>2281</v>
      </c>
      <c r="N8543" s="15" t="s">
        <v>36</v>
      </c>
      <c r="O8543" s="15" t="s">
        <v>189</v>
      </c>
      <c r="P8543" s="21" t="s">
        <v>967</v>
      </c>
      <c r="Q8543" s="15" t="s">
        <v>83</v>
      </c>
      <c r="R8543" s="4"/>
      <c r="S8543" s="4"/>
    </row>
    <row r="8544" spans="1:19" ht="21" customHeight="1" x14ac:dyDescent="0.25">
      <c r="A8544" s="14">
        <f>DATE(2012,12,31)-626</f>
        <v>40648</v>
      </c>
      <c r="B8544" s="15" t="s">
        <v>330</v>
      </c>
      <c r="C8544" s="15" t="s">
        <v>43</v>
      </c>
      <c r="D8544" s="16">
        <v>21</v>
      </c>
      <c r="E8544" s="17">
        <v>61.18</v>
      </c>
      <c r="F8544" s="16">
        <v>0</v>
      </c>
      <c r="G8544" s="15" t="s">
        <v>32</v>
      </c>
      <c r="H8544" s="18">
        <v>6.85</v>
      </c>
      <c r="I8544" s="19">
        <v>2.88</v>
      </c>
      <c r="J8544" s="19">
        <v>0.7</v>
      </c>
      <c r="K8544" s="19" t="s">
        <v>124</v>
      </c>
      <c r="L8544" s="19" t="s">
        <v>160</v>
      </c>
      <c r="M8544" s="15" t="s">
        <v>2281</v>
      </c>
      <c r="N8544" s="15" t="s">
        <v>36</v>
      </c>
      <c r="O8544" s="15" t="s">
        <v>77</v>
      </c>
      <c r="P8544" s="21" t="s">
        <v>95</v>
      </c>
      <c r="Q8544" s="15" t="s">
        <v>79</v>
      </c>
      <c r="R8544" s="4"/>
      <c r="S8544" s="4"/>
    </row>
    <row r="8545" spans="1:19" ht="21" customHeight="1" x14ac:dyDescent="0.25">
      <c r="A8545" s="14">
        <f>DATE(2012,12,31)-1306</f>
        <v>39968</v>
      </c>
      <c r="B8545" s="15" t="s">
        <v>330</v>
      </c>
      <c r="C8545" s="15" t="s">
        <v>43</v>
      </c>
      <c r="D8545" s="16">
        <v>3</v>
      </c>
      <c r="E8545" s="17">
        <v>3029.97</v>
      </c>
      <c r="F8545" s="16">
        <v>0</v>
      </c>
      <c r="G8545" s="15" t="s">
        <v>32</v>
      </c>
      <c r="H8545" s="18">
        <v>-1819.9964999999997</v>
      </c>
      <c r="I8545" s="19">
        <v>999.99</v>
      </c>
      <c r="J8545" s="19">
        <v>13.99</v>
      </c>
      <c r="K8545" s="19" t="s">
        <v>124</v>
      </c>
      <c r="L8545" s="19" t="s">
        <v>160</v>
      </c>
      <c r="M8545" s="15" t="s">
        <v>2281</v>
      </c>
      <c r="N8545" s="15" t="s">
        <v>64</v>
      </c>
      <c r="O8545" s="15" t="s">
        <v>122</v>
      </c>
      <c r="P8545" s="21" t="s">
        <v>1495</v>
      </c>
      <c r="Q8545" s="15" t="s">
        <v>57</v>
      </c>
      <c r="R8545" s="4"/>
      <c r="S8545" s="4"/>
    </row>
    <row r="8546" spans="1:19" ht="21" customHeight="1" x14ac:dyDescent="0.25">
      <c r="A8546" s="14">
        <f>DATE(2012,12,31)-1306</f>
        <v>39968</v>
      </c>
      <c r="B8546" s="15" t="s">
        <v>330</v>
      </c>
      <c r="C8546" s="15" t="s">
        <v>43</v>
      </c>
      <c r="D8546" s="16">
        <v>34</v>
      </c>
      <c r="E8546" s="17">
        <v>241.04</v>
      </c>
      <c r="F8546" s="16">
        <v>0.05</v>
      </c>
      <c r="G8546" s="15" t="s">
        <v>101</v>
      </c>
      <c r="H8546" s="18">
        <v>-28.2</v>
      </c>
      <c r="I8546" s="19">
        <v>6.48</v>
      </c>
      <c r="J8546" s="19">
        <v>5.14</v>
      </c>
      <c r="K8546" s="19" t="s">
        <v>124</v>
      </c>
      <c r="L8546" s="19" t="s">
        <v>160</v>
      </c>
      <c r="M8546" s="15" t="s">
        <v>2281</v>
      </c>
      <c r="N8546" s="15" t="s">
        <v>36</v>
      </c>
      <c r="O8546" s="15" t="s">
        <v>117</v>
      </c>
      <c r="P8546" s="21" t="s">
        <v>302</v>
      </c>
      <c r="Q8546" s="15" t="s">
        <v>83</v>
      </c>
      <c r="R8546" s="4"/>
      <c r="S8546" s="4"/>
    </row>
    <row r="8547" spans="1:19" ht="21" customHeight="1" x14ac:dyDescent="0.25">
      <c r="A8547" s="14">
        <f>DATE(2012,12,31)-289</f>
        <v>40985</v>
      </c>
      <c r="B8547" s="15" t="s">
        <v>330</v>
      </c>
      <c r="C8547" s="15" t="s">
        <v>85</v>
      </c>
      <c r="D8547" s="16">
        <v>5</v>
      </c>
      <c r="E8547" s="17">
        <v>44.17</v>
      </c>
      <c r="F8547" s="16">
        <v>0.02</v>
      </c>
      <c r="G8547" s="15" t="s">
        <v>32</v>
      </c>
      <c r="H8547" s="18">
        <v>23.41</v>
      </c>
      <c r="I8547" s="19">
        <v>7.59</v>
      </c>
      <c r="J8547" s="19">
        <v>4</v>
      </c>
      <c r="K8547" s="19" t="s">
        <v>124</v>
      </c>
      <c r="L8547" s="19" t="s">
        <v>493</v>
      </c>
      <c r="M8547" s="15" t="s">
        <v>2367</v>
      </c>
      <c r="N8547" s="15" t="s">
        <v>54</v>
      </c>
      <c r="O8547" s="15" t="s">
        <v>55</v>
      </c>
      <c r="P8547" s="21" t="s">
        <v>2396</v>
      </c>
      <c r="Q8547" s="15" t="s">
        <v>79</v>
      </c>
      <c r="R8547" s="4"/>
      <c r="S8547" s="4"/>
    </row>
    <row r="8548" spans="1:19" ht="21" customHeight="1" x14ac:dyDescent="0.25">
      <c r="A8548" s="14">
        <f>DATE(2012,12,31)-289</f>
        <v>40985</v>
      </c>
      <c r="B8548" s="15" t="s">
        <v>330</v>
      </c>
      <c r="C8548" s="15" t="s">
        <v>85</v>
      </c>
      <c r="D8548" s="16">
        <v>37</v>
      </c>
      <c r="E8548" s="17">
        <v>192.92</v>
      </c>
      <c r="F8548" s="16">
        <v>0.09</v>
      </c>
      <c r="G8548" s="15" t="s">
        <v>32</v>
      </c>
      <c r="H8548" s="18">
        <v>74.58</v>
      </c>
      <c r="I8548" s="19">
        <v>5.43</v>
      </c>
      <c r="J8548" s="19">
        <v>0.95</v>
      </c>
      <c r="K8548" s="19" t="s">
        <v>124</v>
      </c>
      <c r="L8548" s="19" t="s">
        <v>160</v>
      </c>
      <c r="M8548" s="15" t="s">
        <v>2281</v>
      </c>
      <c r="N8548" s="15" t="s">
        <v>36</v>
      </c>
      <c r="O8548" s="15" t="s">
        <v>117</v>
      </c>
      <c r="P8548" s="21" t="s">
        <v>1243</v>
      </c>
      <c r="Q8548" s="15" t="s">
        <v>79</v>
      </c>
      <c r="R8548" s="4"/>
      <c r="S8548" s="4"/>
    </row>
    <row r="8549" spans="1:19" ht="21" customHeight="1" x14ac:dyDescent="0.25">
      <c r="A8549" s="14">
        <f>DATE(2012,12,31)-289</f>
        <v>40985</v>
      </c>
      <c r="B8549" s="15" t="s">
        <v>330</v>
      </c>
      <c r="C8549" s="15" t="s">
        <v>85</v>
      </c>
      <c r="D8549" s="16">
        <v>37</v>
      </c>
      <c r="E8549" s="17">
        <v>10532.94</v>
      </c>
      <c r="F8549" s="16">
        <v>0.06</v>
      </c>
      <c r="G8549" s="15" t="s">
        <v>32</v>
      </c>
      <c r="H8549" s="18">
        <v>406.37</v>
      </c>
      <c r="I8549" s="19">
        <v>279.48</v>
      </c>
      <c r="J8549" s="19">
        <v>35</v>
      </c>
      <c r="K8549" s="19" t="s">
        <v>124</v>
      </c>
      <c r="L8549" s="19" t="s">
        <v>160</v>
      </c>
      <c r="M8549" s="15" t="s">
        <v>2281</v>
      </c>
      <c r="N8549" s="15" t="s">
        <v>36</v>
      </c>
      <c r="O8549" s="15" t="s">
        <v>37</v>
      </c>
      <c r="P8549" s="21" t="s">
        <v>905</v>
      </c>
      <c r="Q8549" s="15" t="s">
        <v>39</v>
      </c>
      <c r="R8549" s="4"/>
      <c r="S8549" s="4"/>
    </row>
    <row r="8550" spans="1:19" ht="21" customHeight="1" x14ac:dyDescent="0.25">
      <c r="A8550" s="14">
        <f>DATE(2012,12,31)-301</f>
        <v>40973</v>
      </c>
      <c r="B8550" s="15" t="s">
        <v>330</v>
      </c>
      <c r="C8550" s="15" t="s">
        <v>31</v>
      </c>
      <c r="D8550" s="16">
        <v>44</v>
      </c>
      <c r="E8550" s="17">
        <v>364.4</v>
      </c>
      <c r="F8550" s="16">
        <v>0.05</v>
      </c>
      <c r="G8550" s="15" t="s">
        <v>32</v>
      </c>
      <c r="H8550" s="18">
        <v>51.08</v>
      </c>
      <c r="I8550" s="19">
        <v>8.5</v>
      </c>
      <c r="J8550" s="19">
        <v>1.99</v>
      </c>
      <c r="K8550" s="19" t="s">
        <v>124</v>
      </c>
      <c r="L8550" s="19" t="s">
        <v>160</v>
      </c>
      <c r="M8550" s="15" t="s">
        <v>2281</v>
      </c>
      <c r="N8550" s="15" t="s">
        <v>64</v>
      </c>
      <c r="O8550" s="15" t="s">
        <v>72</v>
      </c>
      <c r="P8550" s="21" t="s">
        <v>928</v>
      </c>
      <c r="Q8550" s="15" t="s">
        <v>49</v>
      </c>
      <c r="R8550" s="4"/>
      <c r="S8550" s="4"/>
    </row>
    <row r="8551" spans="1:19" ht="21" customHeight="1" x14ac:dyDescent="0.25">
      <c r="A8551" s="14">
        <f>DATE(2012,12,31)-604</f>
        <v>40670</v>
      </c>
      <c r="B8551" s="15" t="s">
        <v>330</v>
      </c>
      <c r="C8551" s="15" t="s">
        <v>43</v>
      </c>
      <c r="D8551" s="16">
        <v>7</v>
      </c>
      <c r="E8551" s="17">
        <v>33.99</v>
      </c>
      <c r="F8551" s="16">
        <v>0.09</v>
      </c>
      <c r="G8551" s="15" t="s">
        <v>32</v>
      </c>
      <c r="H8551" s="18">
        <v>-25.86</v>
      </c>
      <c r="I8551" s="19">
        <v>4.7699999999999996</v>
      </c>
      <c r="J8551" s="19">
        <v>2.39</v>
      </c>
      <c r="K8551" s="19" t="s">
        <v>124</v>
      </c>
      <c r="L8551" s="19" t="s">
        <v>164</v>
      </c>
      <c r="M8551" s="15" t="s">
        <v>2379</v>
      </c>
      <c r="N8551" s="15" t="s">
        <v>64</v>
      </c>
      <c r="O8551" s="15" t="s">
        <v>72</v>
      </c>
      <c r="P8551" s="21" t="s">
        <v>2397</v>
      </c>
      <c r="Q8551" s="15" t="s">
        <v>49</v>
      </c>
      <c r="R8551" s="4"/>
      <c r="S8551" s="4"/>
    </row>
    <row r="8552" spans="1:19" ht="21" customHeight="1" x14ac:dyDescent="0.25">
      <c r="A8552" s="14">
        <f>DATE(2012,12,31)-473</f>
        <v>40801</v>
      </c>
      <c r="B8552" s="15" t="s">
        <v>330</v>
      </c>
      <c r="C8552" s="15" t="s">
        <v>85</v>
      </c>
      <c r="D8552" s="16">
        <v>34</v>
      </c>
      <c r="E8552" s="17">
        <v>260.51</v>
      </c>
      <c r="F8552" s="16">
        <v>0.03</v>
      </c>
      <c r="G8552" s="15" t="s">
        <v>32</v>
      </c>
      <c r="H8552" s="18">
        <v>-127.5235</v>
      </c>
      <c r="I8552" s="19">
        <v>7.3</v>
      </c>
      <c r="J8552" s="19">
        <v>7.72</v>
      </c>
      <c r="K8552" s="19" t="s">
        <v>124</v>
      </c>
      <c r="L8552" s="19" t="s">
        <v>160</v>
      </c>
      <c r="M8552" s="15" t="s">
        <v>2281</v>
      </c>
      <c r="N8552" s="15" t="s">
        <v>36</v>
      </c>
      <c r="O8552" s="15" t="s">
        <v>170</v>
      </c>
      <c r="P8552" s="21" t="s">
        <v>274</v>
      </c>
      <c r="Q8552" s="15" t="s">
        <v>83</v>
      </c>
      <c r="R8552" s="4"/>
      <c r="S8552" s="4"/>
    </row>
    <row r="8553" spans="1:19" ht="21" customHeight="1" x14ac:dyDescent="0.25">
      <c r="A8553" s="14">
        <f>DATE(2012,12,31)-473</f>
        <v>40801</v>
      </c>
      <c r="B8553" s="15" t="s">
        <v>1726</v>
      </c>
      <c r="C8553" s="15" t="s">
        <v>85</v>
      </c>
      <c r="D8553" s="16">
        <v>15</v>
      </c>
      <c r="E8553" s="17">
        <v>466.28</v>
      </c>
      <c r="F8553" s="16">
        <v>0</v>
      </c>
      <c r="G8553" s="15" t="s">
        <v>32</v>
      </c>
      <c r="H8553" s="18">
        <v>92.7</v>
      </c>
      <c r="I8553" s="19">
        <v>29.89</v>
      </c>
      <c r="J8553" s="19">
        <v>1.99</v>
      </c>
      <c r="K8553" s="19" t="s">
        <v>124</v>
      </c>
      <c r="L8553" s="19" t="s">
        <v>164</v>
      </c>
      <c r="M8553" s="15" t="s">
        <v>2379</v>
      </c>
      <c r="N8553" s="15" t="s">
        <v>64</v>
      </c>
      <c r="O8553" s="15" t="s">
        <v>72</v>
      </c>
      <c r="P8553" s="21" t="s">
        <v>825</v>
      </c>
      <c r="Q8553" s="15" t="s">
        <v>49</v>
      </c>
      <c r="R8553" s="4"/>
      <c r="S8553" s="4"/>
    </row>
    <row r="8554" spans="1:19" ht="21" customHeight="1" x14ac:dyDescent="0.25">
      <c r="A8554" s="14">
        <f>DATE(2012,12,31)-296</f>
        <v>40978</v>
      </c>
      <c r="B8554" s="15" t="s">
        <v>1726</v>
      </c>
      <c r="C8554" s="15" t="s">
        <v>85</v>
      </c>
      <c r="D8554" s="16">
        <v>14</v>
      </c>
      <c r="E8554" s="17">
        <v>1961.39</v>
      </c>
      <c r="F8554" s="16">
        <v>0</v>
      </c>
      <c r="G8554" s="15" t="s">
        <v>32</v>
      </c>
      <c r="H8554" s="18">
        <v>761.04</v>
      </c>
      <c r="I8554" s="19">
        <v>136.97999999999999</v>
      </c>
      <c r="J8554" s="19">
        <v>24.49</v>
      </c>
      <c r="K8554" s="19" t="s">
        <v>124</v>
      </c>
      <c r="L8554" s="19" t="s">
        <v>158</v>
      </c>
      <c r="M8554" s="15" t="s">
        <v>158</v>
      </c>
      <c r="N8554" s="15" t="s">
        <v>54</v>
      </c>
      <c r="O8554" s="15" t="s">
        <v>55</v>
      </c>
      <c r="P8554" s="21" t="s">
        <v>560</v>
      </c>
      <c r="Q8554" s="15" t="s">
        <v>39</v>
      </c>
      <c r="R8554" s="4"/>
      <c r="S8554" s="4"/>
    </row>
    <row r="8555" spans="1:19" ht="21" customHeight="1" x14ac:dyDescent="0.25">
      <c r="A8555" s="14">
        <f>DATE(2012,12,31)-296</f>
        <v>40978</v>
      </c>
      <c r="B8555" s="15" t="s">
        <v>1726</v>
      </c>
      <c r="C8555" s="15" t="s">
        <v>85</v>
      </c>
      <c r="D8555" s="16">
        <v>3</v>
      </c>
      <c r="E8555" s="17">
        <v>4.9400000000000004</v>
      </c>
      <c r="F8555" s="16">
        <v>0.1</v>
      </c>
      <c r="G8555" s="15" t="s">
        <v>32</v>
      </c>
      <c r="H8555" s="18">
        <v>-1.76</v>
      </c>
      <c r="I8555" s="19">
        <v>1.48</v>
      </c>
      <c r="J8555" s="19">
        <v>0.7</v>
      </c>
      <c r="K8555" s="19" t="s">
        <v>124</v>
      </c>
      <c r="L8555" s="19" t="s">
        <v>164</v>
      </c>
      <c r="M8555" s="15" t="s">
        <v>2379</v>
      </c>
      <c r="N8555" s="15" t="s">
        <v>36</v>
      </c>
      <c r="O8555" s="15" t="s">
        <v>105</v>
      </c>
      <c r="P8555" s="21" t="s">
        <v>1165</v>
      </c>
      <c r="Q8555" s="15" t="s">
        <v>79</v>
      </c>
      <c r="R8555" s="4"/>
      <c r="S8555" s="4"/>
    </row>
    <row r="8556" spans="1:19" ht="21" customHeight="1" x14ac:dyDescent="0.25">
      <c r="A8556" s="14">
        <f>DATE(2012,12,31)-823</f>
        <v>40451</v>
      </c>
      <c r="B8556" s="15" t="s">
        <v>1726</v>
      </c>
      <c r="C8556" s="15" t="s">
        <v>31</v>
      </c>
      <c r="D8556" s="16">
        <v>3</v>
      </c>
      <c r="E8556" s="17">
        <v>22.06</v>
      </c>
      <c r="F8556" s="16">
        <v>0.05</v>
      </c>
      <c r="G8556" s="15" t="s">
        <v>32</v>
      </c>
      <c r="H8556" s="18">
        <v>-15.6</v>
      </c>
      <c r="I8556" s="19">
        <v>4.9800000000000004</v>
      </c>
      <c r="J8556" s="19">
        <v>7.44</v>
      </c>
      <c r="K8556" s="19" t="s">
        <v>124</v>
      </c>
      <c r="L8556" s="19" t="s">
        <v>164</v>
      </c>
      <c r="M8556" s="15" t="s">
        <v>2379</v>
      </c>
      <c r="N8556" s="15" t="s">
        <v>36</v>
      </c>
      <c r="O8556" s="15" t="s">
        <v>117</v>
      </c>
      <c r="P8556" s="21" t="s">
        <v>266</v>
      </c>
      <c r="Q8556" s="15" t="s">
        <v>83</v>
      </c>
      <c r="R8556" s="4"/>
      <c r="S8556" s="4"/>
    </row>
    <row r="8557" spans="1:19" ht="21" customHeight="1" x14ac:dyDescent="0.25">
      <c r="A8557" s="14">
        <f>DATE(2012,12,31)-1121</f>
        <v>40153</v>
      </c>
      <c r="B8557" s="15" t="s">
        <v>1726</v>
      </c>
      <c r="C8557" s="15" t="s">
        <v>51</v>
      </c>
      <c r="D8557" s="16">
        <v>3</v>
      </c>
      <c r="E8557" s="17">
        <v>549.91999999999996</v>
      </c>
      <c r="F8557" s="16">
        <v>0.09</v>
      </c>
      <c r="G8557" s="15" t="s">
        <v>58</v>
      </c>
      <c r="H8557" s="18">
        <v>-210.97</v>
      </c>
      <c r="I8557" s="19">
        <v>180.98</v>
      </c>
      <c r="J8557" s="19">
        <v>26.2</v>
      </c>
      <c r="K8557" s="19" t="s">
        <v>124</v>
      </c>
      <c r="L8557" s="19" t="s">
        <v>164</v>
      </c>
      <c r="M8557" s="15" t="s">
        <v>2379</v>
      </c>
      <c r="N8557" s="15" t="s">
        <v>54</v>
      </c>
      <c r="O8557" s="15" t="s">
        <v>252</v>
      </c>
      <c r="P8557" s="21" t="s">
        <v>2398</v>
      </c>
      <c r="Q8557" s="15" t="s">
        <v>181</v>
      </c>
      <c r="R8557" s="4"/>
      <c r="S8557" s="4"/>
    </row>
    <row r="8558" spans="1:19" ht="21" customHeight="1" x14ac:dyDescent="0.25">
      <c r="A8558" s="14">
        <f>DATE(2012,12,31)-1121</f>
        <v>40153</v>
      </c>
      <c r="B8558" s="15" t="s">
        <v>1726</v>
      </c>
      <c r="C8558" s="15" t="s">
        <v>51</v>
      </c>
      <c r="D8558" s="16">
        <v>26</v>
      </c>
      <c r="E8558" s="17">
        <v>182.09</v>
      </c>
      <c r="F8558" s="16">
        <v>0</v>
      </c>
      <c r="G8558" s="15" t="s">
        <v>32</v>
      </c>
      <c r="H8558" s="18">
        <v>-28.15</v>
      </c>
      <c r="I8558" s="19">
        <v>6.48</v>
      </c>
      <c r="J8558" s="19">
        <v>5.19</v>
      </c>
      <c r="K8558" s="19" t="s">
        <v>124</v>
      </c>
      <c r="L8558" s="19" t="s">
        <v>125</v>
      </c>
      <c r="M8558" s="15" t="s">
        <v>2358</v>
      </c>
      <c r="N8558" s="15" t="s">
        <v>36</v>
      </c>
      <c r="O8558" s="15" t="s">
        <v>117</v>
      </c>
      <c r="P8558" s="21" t="s">
        <v>2054</v>
      </c>
      <c r="Q8558" s="15" t="s">
        <v>83</v>
      </c>
      <c r="R8558" s="4"/>
      <c r="S8558" s="4"/>
    </row>
    <row r="8559" spans="1:19" ht="21" customHeight="1" x14ac:dyDescent="0.25">
      <c r="A8559" s="14">
        <f>DATE(2012,12,31)-1086</f>
        <v>40188</v>
      </c>
      <c r="B8559" s="15" t="s">
        <v>1926</v>
      </c>
      <c r="C8559" s="15" t="s">
        <v>85</v>
      </c>
      <c r="D8559" s="16">
        <v>11</v>
      </c>
      <c r="E8559" s="17">
        <v>1091.47</v>
      </c>
      <c r="F8559" s="16">
        <v>0.04</v>
      </c>
      <c r="G8559" s="15" t="s">
        <v>32</v>
      </c>
      <c r="H8559" s="18">
        <v>160.47999999999999</v>
      </c>
      <c r="I8559" s="19">
        <v>92.23</v>
      </c>
      <c r="J8559" s="19">
        <v>39.61</v>
      </c>
      <c r="K8559" s="19" t="s">
        <v>124</v>
      </c>
      <c r="L8559" s="19" t="s">
        <v>158</v>
      </c>
      <c r="M8559" s="15" t="s">
        <v>158</v>
      </c>
      <c r="N8559" s="15" t="s">
        <v>54</v>
      </c>
      <c r="O8559" s="15" t="s">
        <v>55</v>
      </c>
      <c r="P8559" s="21" t="s">
        <v>2399</v>
      </c>
      <c r="Q8559" s="15" t="s">
        <v>57</v>
      </c>
      <c r="R8559" s="4"/>
      <c r="S8559" s="4"/>
    </row>
    <row r="8560" spans="1:19" ht="21" customHeight="1" x14ac:dyDescent="0.25">
      <c r="A8560" s="14">
        <f>DATE(2012,12,31)-1086</f>
        <v>40188</v>
      </c>
      <c r="B8560" s="15" t="s">
        <v>1926</v>
      </c>
      <c r="C8560" s="15" t="s">
        <v>85</v>
      </c>
      <c r="D8560" s="16">
        <v>35</v>
      </c>
      <c r="E8560" s="17">
        <v>112.59</v>
      </c>
      <c r="F8560" s="16">
        <v>0.09</v>
      </c>
      <c r="G8560" s="15" t="s">
        <v>101</v>
      </c>
      <c r="H8560" s="18">
        <v>-126.7</v>
      </c>
      <c r="I8560" s="19">
        <v>3.28</v>
      </c>
      <c r="J8560" s="19">
        <v>5</v>
      </c>
      <c r="K8560" s="19" t="s">
        <v>44</v>
      </c>
      <c r="L8560" s="19" t="s">
        <v>52</v>
      </c>
      <c r="M8560" s="15" t="s">
        <v>2380</v>
      </c>
      <c r="N8560" s="15" t="s">
        <v>36</v>
      </c>
      <c r="O8560" s="15" t="s">
        <v>77</v>
      </c>
      <c r="P8560" s="21" t="s">
        <v>863</v>
      </c>
      <c r="Q8560" s="15" t="s">
        <v>79</v>
      </c>
      <c r="R8560" s="4"/>
      <c r="S8560" s="4"/>
    </row>
    <row r="8561" spans="1:19" ht="21" customHeight="1" x14ac:dyDescent="0.25">
      <c r="A8561" s="14">
        <f>DATE(2012,12,31)-186</f>
        <v>41088</v>
      </c>
      <c r="B8561" s="15" t="s">
        <v>1926</v>
      </c>
      <c r="C8561" s="15" t="s">
        <v>31</v>
      </c>
      <c r="D8561" s="16">
        <v>47</v>
      </c>
      <c r="E8561" s="17">
        <v>9633.59</v>
      </c>
      <c r="F8561" s="16">
        <v>0.06</v>
      </c>
      <c r="G8561" s="15" t="s">
        <v>58</v>
      </c>
      <c r="H8561" s="18">
        <v>176.67</v>
      </c>
      <c r="I8561" s="19">
        <v>216.6</v>
      </c>
      <c r="J8561" s="19">
        <v>64.2</v>
      </c>
      <c r="K8561" s="19" t="s">
        <v>44</v>
      </c>
      <c r="L8561" s="19" t="s">
        <v>80</v>
      </c>
      <c r="M8561" s="15" t="s">
        <v>2339</v>
      </c>
      <c r="N8561" s="15" t="s">
        <v>54</v>
      </c>
      <c r="O8561" s="15" t="s">
        <v>252</v>
      </c>
      <c r="P8561" s="21" t="s">
        <v>855</v>
      </c>
      <c r="Q8561" s="15" t="s">
        <v>181</v>
      </c>
      <c r="R8561" s="4"/>
      <c r="S8561" s="4"/>
    </row>
    <row r="8562" spans="1:19" ht="21" customHeight="1" x14ac:dyDescent="0.25">
      <c r="A8562" s="14">
        <f>DATE(2012,12,31)-186</f>
        <v>41088</v>
      </c>
      <c r="B8562" s="15" t="s">
        <v>1926</v>
      </c>
      <c r="C8562" s="15" t="s">
        <v>31</v>
      </c>
      <c r="D8562" s="16">
        <v>26</v>
      </c>
      <c r="E8562" s="17">
        <v>3758.77</v>
      </c>
      <c r="F8562" s="16">
        <v>0</v>
      </c>
      <c r="G8562" s="15" t="s">
        <v>32</v>
      </c>
      <c r="H8562" s="18">
        <v>753.61</v>
      </c>
      <c r="I8562" s="19">
        <v>140.81</v>
      </c>
      <c r="J8562" s="19">
        <v>24.49</v>
      </c>
      <c r="K8562" s="19" t="s">
        <v>44</v>
      </c>
      <c r="L8562" s="19" t="s">
        <v>52</v>
      </c>
      <c r="M8562" s="15" t="s">
        <v>2380</v>
      </c>
      <c r="N8562" s="15" t="s">
        <v>54</v>
      </c>
      <c r="O8562" s="15" t="s">
        <v>252</v>
      </c>
      <c r="P8562" s="21" t="s">
        <v>1392</v>
      </c>
      <c r="Q8562" s="15" t="s">
        <v>39</v>
      </c>
      <c r="R8562" s="4"/>
      <c r="S8562" s="4"/>
    </row>
    <row r="8563" spans="1:19" ht="21" customHeight="1" x14ac:dyDescent="0.25">
      <c r="A8563" s="14">
        <f>DATE(2012,12,31)-318</f>
        <v>40956</v>
      </c>
      <c r="B8563" s="15" t="s">
        <v>1926</v>
      </c>
      <c r="C8563" s="15" t="s">
        <v>85</v>
      </c>
      <c r="D8563" s="16">
        <v>15</v>
      </c>
      <c r="E8563" s="17">
        <v>1616.66</v>
      </c>
      <c r="F8563" s="16">
        <v>0</v>
      </c>
      <c r="G8563" s="15" t="s">
        <v>58</v>
      </c>
      <c r="H8563" s="18">
        <v>112.58</v>
      </c>
      <c r="I8563" s="19">
        <v>100.98</v>
      </c>
      <c r="J8563" s="19">
        <v>56.22</v>
      </c>
      <c r="K8563" s="19" t="s">
        <v>44</v>
      </c>
      <c r="L8563" s="19" t="s">
        <v>52</v>
      </c>
      <c r="M8563" s="15" t="s">
        <v>2380</v>
      </c>
      <c r="N8563" s="15" t="s">
        <v>54</v>
      </c>
      <c r="O8563" s="15" t="s">
        <v>134</v>
      </c>
      <c r="P8563" s="21" t="s">
        <v>397</v>
      </c>
      <c r="Q8563" s="15" t="s">
        <v>63</v>
      </c>
      <c r="R8563" s="4"/>
      <c r="S8563" s="4"/>
    </row>
    <row r="8564" spans="1:19" ht="21" customHeight="1" x14ac:dyDescent="0.25">
      <c r="A8564" s="14">
        <f>DATE(2012,12,31)-318</f>
        <v>40956</v>
      </c>
      <c r="B8564" s="15" t="s">
        <v>1926</v>
      </c>
      <c r="C8564" s="15" t="s">
        <v>85</v>
      </c>
      <c r="D8564" s="16">
        <v>6</v>
      </c>
      <c r="E8564" s="17">
        <v>96.21</v>
      </c>
      <c r="F8564" s="16">
        <v>0.06</v>
      </c>
      <c r="G8564" s="15" t="s">
        <v>32</v>
      </c>
      <c r="H8564" s="18">
        <v>-19.34</v>
      </c>
      <c r="I8564" s="19">
        <v>14.58</v>
      </c>
      <c r="J8564" s="19">
        <v>57.4</v>
      </c>
      <c r="K8564" s="19" t="s">
        <v>97</v>
      </c>
      <c r="L8564" s="19" t="s">
        <v>195</v>
      </c>
      <c r="M8564" s="15" t="s">
        <v>2405</v>
      </c>
      <c r="N8564" s="15" t="s">
        <v>54</v>
      </c>
      <c r="O8564" s="15" t="s">
        <v>55</v>
      </c>
      <c r="P8564" s="21" t="s">
        <v>352</v>
      </c>
      <c r="Q8564" s="15" t="s">
        <v>83</v>
      </c>
      <c r="R8564" s="4"/>
      <c r="S8564" s="4"/>
    </row>
    <row r="8565" spans="1:19" ht="21" customHeight="1" x14ac:dyDescent="0.25">
      <c r="A8565" s="14">
        <f>DATE(2012,12,31)-46</f>
        <v>41228</v>
      </c>
      <c r="B8565" s="15" t="s">
        <v>1926</v>
      </c>
      <c r="C8565" s="15" t="s">
        <v>51</v>
      </c>
      <c r="D8565" s="16">
        <v>3</v>
      </c>
      <c r="E8565" s="17">
        <v>18.91</v>
      </c>
      <c r="F8565" s="16">
        <v>0</v>
      </c>
      <c r="G8565" s="15" t="s">
        <v>32</v>
      </c>
      <c r="H8565" s="18">
        <v>-16.353000000000002</v>
      </c>
      <c r="I8565" s="19">
        <v>3.89</v>
      </c>
      <c r="J8565" s="19">
        <v>7.01</v>
      </c>
      <c r="K8565" s="19" t="s">
        <v>124</v>
      </c>
      <c r="L8565" s="19" t="s">
        <v>319</v>
      </c>
      <c r="M8565" s="15" t="s">
        <v>2375</v>
      </c>
      <c r="N8565" s="15" t="s">
        <v>36</v>
      </c>
      <c r="O8565" s="15" t="s">
        <v>170</v>
      </c>
      <c r="P8565" s="21" t="s">
        <v>711</v>
      </c>
      <c r="Q8565" s="15" t="s">
        <v>83</v>
      </c>
      <c r="R8565" s="4"/>
      <c r="S8565" s="4"/>
    </row>
    <row r="8566" spans="1:19" ht="21" customHeight="1" x14ac:dyDescent="0.25">
      <c r="A8566" s="14">
        <f>DATE(2012,12,31)-46</f>
        <v>41228</v>
      </c>
      <c r="B8566" s="15" t="s">
        <v>1281</v>
      </c>
      <c r="C8566" s="15" t="s">
        <v>51</v>
      </c>
      <c r="D8566" s="16">
        <v>7</v>
      </c>
      <c r="E8566" s="17">
        <v>685.7</v>
      </c>
      <c r="F8566" s="16">
        <v>0.01</v>
      </c>
      <c r="G8566" s="15" t="s">
        <v>32</v>
      </c>
      <c r="H8566" s="18">
        <v>350.94</v>
      </c>
      <c r="I8566" s="19">
        <v>88.84</v>
      </c>
      <c r="J8566" s="19">
        <v>20.79</v>
      </c>
      <c r="K8566" s="19" t="s">
        <v>44</v>
      </c>
      <c r="L8566" s="19" t="s">
        <v>52</v>
      </c>
      <c r="M8566" s="15" t="s">
        <v>2380</v>
      </c>
      <c r="N8566" s="15" t="s">
        <v>54</v>
      </c>
      <c r="O8566" s="15" t="s">
        <v>55</v>
      </c>
      <c r="P8566" s="21" t="s">
        <v>2056</v>
      </c>
      <c r="Q8566" s="15" t="s">
        <v>39</v>
      </c>
      <c r="R8566" s="4"/>
      <c r="S8566" s="4"/>
    </row>
    <row r="8567" spans="1:19" ht="21" customHeight="1" x14ac:dyDescent="0.25">
      <c r="A8567" s="14">
        <f>DATE(2012,12,31)-46</f>
        <v>41228</v>
      </c>
      <c r="B8567" s="15" t="s">
        <v>1281</v>
      </c>
      <c r="C8567" s="15" t="s">
        <v>51</v>
      </c>
      <c r="D8567" s="16">
        <v>10</v>
      </c>
      <c r="E8567" s="17">
        <v>1024.165</v>
      </c>
      <c r="F8567" s="16">
        <v>0.02</v>
      </c>
      <c r="G8567" s="15" t="s">
        <v>32</v>
      </c>
      <c r="H8567" s="18">
        <v>-105.69900000000001</v>
      </c>
      <c r="I8567" s="19">
        <v>115.99</v>
      </c>
      <c r="J8567" s="19">
        <v>5.99</v>
      </c>
      <c r="K8567" s="19" t="s">
        <v>44</v>
      </c>
      <c r="L8567" s="19" t="s">
        <v>52</v>
      </c>
      <c r="M8567" s="15" t="s">
        <v>2380</v>
      </c>
      <c r="N8567" s="15" t="s">
        <v>64</v>
      </c>
      <c r="O8567" s="15" t="s">
        <v>65</v>
      </c>
      <c r="P8567" s="21" t="s">
        <v>1032</v>
      </c>
      <c r="Q8567" s="15" t="s">
        <v>83</v>
      </c>
      <c r="R8567" s="4"/>
      <c r="S8567" s="4"/>
    </row>
    <row r="8568" spans="1:19" ht="21" customHeight="1" x14ac:dyDescent="0.25">
      <c r="A8568" s="14">
        <f>DATE(2012,12,31)-1438</f>
        <v>39836</v>
      </c>
      <c r="B8568" s="15" t="s">
        <v>1281</v>
      </c>
      <c r="C8568" s="15" t="s">
        <v>85</v>
      </c>
      <c r="D8568" s="16">
        <v>18</v>
      </c>
      <c r="E8568" s="17">
        <v>1383.2</v>
      </c>
      <c r="F8568" s="16">
        <v>0.01</v>
      </c>
      <c r="G8568" s="15" t="s">
        <v>32</v>
      </c>
      <c r="H8568" s="18">
        <v>-23.44</v>
      </c>
      <c r="I8568" s="19">
        <v>73.98</v>
      </c>
      <c r="J8568" s="19">
        <v>12.14</v>
      </c>
      <c r="K8568" s="19" t="s">
        <v>44</v>
      </c>
      <c r="L8568" s="19" t="s">
        <v>52</v>
      </c>
      <c r="M8568" s="15" t="s">
        <v>2380</v>
      </c>
      <c r="N8568" s="15" t="s">
        <v>64</v>
      </c>
      <c r="O8568" s="15" t="s">
        <v>72</v>
      </c>
      <c r="P8568" s="21" t="s">
        <v>566</v>
      </c>
      <c r="Q8568" s="15" t="s">
        <v>83</v>
      </c>
      <c r="R8568" s="4"/>
      <c r="S8568" s="4"/>
    </row>
    <row r="8569" spans="1:19" ht="21" customHeight="1" x14ac:dyDescent="0.25">
      <c r="A8569" s="14">
        <f>DATE(2012,12,31)-584</f>
        <v>40690</v>
      </c>
      <c r="B8569" s="15" t="s">
        <v>1281</v>
      </c>
      <c r="C8569" s="15" t="s">
        <v>43</v>
      </c>
      <c r="D8569" s="16">
        <v>20</v>
      </c>
      <c r="E8569" s="17">
        <v>211.42</v>
      </c>
      <c r="F8569" s="16">
        <v>0</v>
      </c>
      <c r="G8569" s="15" t="s">
        <v>32</v>
      </c>
      <c r="H8569" s="18">
        <v>-113.52</v>
      </c>
      <c r="I8569" s="19">
        <v>9.7100000000000009</v>
      </c>
      <c r="J8569" s="19">
        <v>9.4499999999999993</v>
      </c>
      <c r="K8569" s="19" t="s">
        <v>44</v>
      </c>
      <c r="L8569" s="19" t="s">
        <v>52</v>
      </c>
      <c r="M8569" s="15" t="s">
        <v>2380</v>
      </c>
      <c r="N8569" s="15" t="s">
        <v>36</v>
      </c>
      <c r="O8569" s="15" t="s">
        <v>37</v>
      </c>
      <c r="P8569" s="21" t="s">
        <v>130</v>
      </c>
      <c r="Q8569" s="15" t="s">
        <v>83</v>
      </c>
      <c r="R8569" s="4"/>
      <c r="S8569" s="4"/>
    </row>
  </sheetData>
  <autoFilter ref="A1:Q8569" xr:uid="{E8C07794-1E8B-4541-817B-35715132F296}"/>
  <mergeCells count="15">
    <mergeCell ref="S2:S4"/>
    <mergeCell ref="T2:U4"/>
    <mergeCell ref="W2:W4"/>
    <mergeCell ref="S6:S8"/>
    <mergeCell ref="T6:U8"/>
    <mergeCell ref="W6:W8"/>
    <mergeCell ref="S18:S20"/>
    <mergeCell ref="T18:U20"/>
    <mergeCell ref="W18:W20"/>
    <mergeCell ref="S10:S12"/>
    <mergeCell ref="T10:U12"/>
    <mergeCell ref="W10:W12"/>
    <mergeCell ref="S14:S16"/>
    <mergeCell ref="T14:U16"/>
    <mergeCell ref="W14:W16"/>
  </mergeCells>
  <phoneticPr fontId="2" type="noConversion"/>
  <pageMargins left="0.7" right="0.7" top="0.75" bottom="0.75" header="0.3" footer="0.3"/>
  <pageSetup paperSize="9" orientation="portrait" horizontalDpi="4294967294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【函数基础操作】</vt:lpstr>
      <vt:lpstr>【排名  极值】</vt:lpstr>
      <vt:lpstr>【counta和averagea】</vt:lpstr>
      <vt:lpstr>【count和average函数实战】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dglwwkr</dc:creator>
  <cp:lastModifiedBy>asus</cp:lastModifiedBy>
  <dcterms:created xsi:type="dcterms:W3CDTF">2015-06-05T18:19:34Z</dcterms:created>
  <dcterms:modified xsi:type="dcterms:W3CDTF">2022-03-17T02:37:39Z</dcterms:modified>
</cp:coreProperties>
</file>